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threadedComments/threadedComment4.xml" ContentType="application/vnd.ms-excel.threaded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5.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6.xml" ContentType="application/vnd.ms-excel.threadedcomments+xml"/>
  <Override PartName="/xl/comments12.xml" ContentType="application/vnd.openxmlformats-officedocument.spreadsheetml.comments+xml"/>
  <Override PartName="/xl/threadedComments/threadedComment7.xml" ContentType="application/vnd.ms-excel.threaded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threadedComments/threadedComment8.xml" ContentType="application/vnd.ms-excel.threaded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threadedComments/threadedComment9.xml" ContentType="application/vnd.ms-excel.threadedcomments+xml"/>
  <Override PartName="/xl/comments28.xml" ContentType="application/vnd.openxmlformats-officedocument.spreadsheetml.comments+xml"/>
  <Override PartName="/xl/threadedComments/threadedComment10.xml" ContentType="application/vnd.ms-excel.threadedcomments+xml"/>
  <Override PartName="/xl/comments29.xml" ContentType="application/vnd.openxmlformats-officedocument.spreadsheetml.comments+xml"/>
  <Override PartName="/xl/threadedComments/threadedComment11.xml" ContentType="application/vnd.ms-excel.threaded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4.xml" ContentType="application/vnd.openxmlformats-officedocument.drawing+xml"/>
  <Override PartName="/xl/comments3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worldbankgroup-my.sharepoint.com/personal/ssechi_globalpartnership_org/Documents/Documents/"/>
    </mc:Choice>
  </mc:AlternateContent>
  <xr:revisionPtr revIDLastSave="0" documentId="8_{CE670E8D-FF13-4636-B848-510EE43EA851}" xr6:coauthVersionLast="47" xr6:coauthVersionMax="47" xr10:uidLastSave="{00000000-0000-0000-0000-000000000000}"/>
  <bookViews>
    <workbookView xWindow="28680" yWindow="-120" windowWidth="29040" windowHeight="15840" tabRatio="949" firstSheet="1" activeTab="3" xr2:uid="{00000000-000D-0000-FFFF-FFFF00000000}"/>
  </bookViews>
  <sheets>
    <sheet name="Summary input sheet" sheetId="71" state="hidden" r:id="rId1"/>
    <sheet name="Note" sheetId="93" r:id="rId2"/>
    <sheet name="Summary" sheetId="102" r:id="rId3"/>
    <sheet name="Summary_inputs" sheetId="77" r:id="rId4"/>
    <sheet name="SOURCE_IMF" sheetId="62" r:id="rId5"/>
    <sheet name="IMF__GDP" sheetId="74" r:id="rId6"/>
    <sheet name="SOURCE_RF10" sheetId="60" r:id="rId7"/>
    <sheet name="Afghanistan" sheetId="104" r:id="rId8"/>
    <sheet name="Albania" sheetId="38" r:id="rId9"/>
    <sheet name="Bangladesh" sheetId="17" r:id="rId10"/>
    <sheet name="Benin" sheetId="49" r:id="rId11"/>
    <sheet name="Bhutan" sheetId="21" r:id="rId12"/>
    <sheet name="Burkina Faso" sheetId="58" r:id="rId13"/>
    <sheet name="Burundi" sheetId="13" r:id="rId14"/>
    <sheet name="Côte d'Ivoire" sheetId="44" r:id="rId15"/>
    <sheet name="Cambodia" sheetId="50" r:id="rId16"/>
    <sheet name="Cameroon" sheetId="46" r:id="rId17"/>
    <sheet name="Central African Republic" sheetId="80" r:id="rId18"/>
    <sheet name="Chad" sheetId="2" r:id="rId19"/>
    <sheet name="Comoros" sheetId="103" r:id="rId20"/>
    <sheet name="Congo, Republic of" sheetId="16" r:id="rId21"/>
    <sheet name="Djibouti" sheetId="25" r:id="rId22"/>
    <sheet name="Congo, Democratic Republic of" sheetId="54" r:id="rId23"/>
    <sheet name="Ethiopia" sheetId="81" r:id="rId24"/>
    <sheet name="The Gambia" sheetId="34" r:id="rId25"/>
    <sheet name="Ghana" sheetId="39" r:id="rId26"/>
    <sheet name="Guinea" sheetId="15" r:id="rId27"/>
    <sheet name="Guyana" sheetId="40" r:id="rId28"/>
    <sheet name="Haïti" sheetId="8" r:id="rId29"/>
    <sheet name="Honduras" sheetId="18" r:id="rId30"/>
    <sheet name="Kenya" sheetId="48" r:id="rId31"/>
    <sheet name="Lao PDR" sheetId="10" r:id="rId32"/>
    <sheet name="Lesotho" sheetId="7" r:id="rId33"/>
    <sheet name="Liberia" sheetId="41" r:id="rId34"/>
    <sheet name="Madagascar" sheetId="57" r:id="rId35"/>
    <sheet name="Malawi" sheetId="42" r:id="rId36"/>
    <sheet name="Mali" sheetId="45" r:id="rId37"/>
    <sheet name="Mauritania" sheetId="14" r:id="rId38"/>
    <sheet name="Moldova" sheetId="19" r:id="rId39"/>
    <sheet name="Mozambique" sheetId="26" r:id="rId40"/>
    <sheet name="Nepal" sheetId="20" r:id="rId41"/>
    <sheet name="Nicaragua" sheetId="43" r:id="rId42"/>
    <sheet name="Niger" sheetId="27" r:id="rId43"/>
    <sheet name="Nigeria (Jigawa)" sheetId="84" r:id="rId44"/>
    <sheet name="Nigeria (Kaduna)" sheetId="85" r:id="rId45"/>
    <sheet name="Nigeria (Kano)" sheetId="86" r:id="rId46"/>
    <sheet name="Nigeria (Sotoko)" sheetId="87" r:id="rId47"/>
    <sheet name="Palistan (Balochistan)" sheetId="9" r:id="rId48"/>
    <sheet name="Pakistan (Sindh)" sheetId="6" r:id="rId49"/>
    <sheet name="Papua New Guinea" sheetId="37" r:id="rId50"/>
    <sheet name="Rwanda" sheetId="36" r:id="rId51"/>
    <sheet name="Sao Tome and Principe" sheetId="28" r:id="rId52"/>
    <sheet name="Senegal" sheetId="55" r:id="rId53"/>
    <sheet name="Sierra Leone" sheetId="29" r:id="rId54"/>
    <sheet name="South Sudan" sheetId="5" r:id="rId55"/>
    <sheet name="Tajikistan" sheetId="82" r:id="rId56"/>
    <sheet name="Tanzania (Mainland)" sheetId="3" r:id="rId57"/>
    <sheet name="Tanzania (Zanzibar)" sheetId="33" r:id="rId58"/>
    <sheet name="Timor Leste" sheetId="31" r:id="rId59"/>
    <sheet name="Togo" sheetId="12" r:id="rId60"/>
    <sheet name="Uganda" sheetId="52" r:id="rId61"/>
    <sheet name="Uzbekistan" sheetId="83" r:id="rId62"/>
    <sheet name="Vietnam" sheetId="51" r:id="rId63"/>
    <sheet name="Zambia" sheetId="32" r:id="rId64"/>
    <sheet name="Zimbabwe" sheetId="1"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#REF!</definedName>
    <definedName name="\N">#REF!</definedName>
    <definedName name="\P">#REF!</definedName>
    <definedName name="\S">#REF!</definedName>
    <definedName name="\X">#REF!</definedName>
    <definedName name="___Q59" localSheetId="7" hidden="1">{#N/A,#N/A,TRUE,"BoP"}</definedName>
    <definedName name="___Q59" hidden="1">{#N/A,#N/A,TRUE,"BoP"}</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000">#REF!</definedName>
    <definedName name="_2001">#REF!</definedName>
    <definedName name="_2002">#REF!</definedName>
    <definedName name="_2003">#REF!</definedName>
    <definedName name="_96TAXCHG">#REF!</definedName>
    <definedName name="_MCV1">#REF!</definedName>
    <definedName name="_Q59" localSheetId="7" hidden="1">{#N/A,#N/A,TRUE,"BoP"}</definedName>
    <definedName name="_Q59" hidden="1">{#N/A,#N/A,TRUE,"BoP"}</definedName>
    <definedName name="_Sort" hidden="1">#REF!</definedName>
    <definedName name="_Tab1">'[1]PIBR-31,40'!#REF!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4">#REF!</definedName>
    <definedName name="_Tab5">#REF!</definedName>
    <definedName name="_Tab6">#REF!</definedName>
    <definedName name="_Tab7">#REF!</definedName>
    <definedName name="_Tab8">#REF!</definedName>
    <definedName name="_Tab9">#REF!</definedName>
    <definedName name="ACTIVATE">#REF!</definedName>
    <definedName name="Actual_prices_through_December_1999">#REF!</definedName>
    <definedName name="ad">#REF!</definedName>
    <definedName name="Admin_Progs">OFFSET([2]LISTS!$D$13,0,0,COUNTA([2]LISTS!$D$13:$D$151),1)</definedName>
    <definedName name="ADMIN_SUB">OFFSET([2]LISTS!$C$13,0,0,COUNTA([2]LISTS!$C$13:$C$151),1)</definedName>
    <definedName name="ALTNGDP_R">#REF!</definedName>
    <definedName name="AREAS">OFFSET([2]LISTS!$I$13,0,0,COUNTA([2]LISTS!$I$13:$I$151),1)</definedName>
    <definedName name="ASD" localSheetId="7" hidden="1">{#N/A,#N/A,TRUE,"BoP"}</definedName>
    <definedName name="ASD" hidden="1">{#N/A,#N/A,TRUE,"BoP"}</definedName>
    <definedName name="ATable1">#REF!</definedName>
    <definedName name="b">[3]WEO!#REF!</definedName>
    <definedName name="BANKING">#REF!</definedName>
    <definedName name="BASEYEAR">#REF!</definedName>
    <definedName name="BCA">#REF!</definedName>
    <definedName name="BCA_NGDP">#REF!</definedName>
    <definedName name="BEA">#REF!</definedName>
    <definedName name="BEABA">#REF!</definedName>
    <definedName name="BEABI">#REF!</definedName>
    <definedName name="BEAMU">#REF!</definedName>
    <definedName name="BED">#REF!</definedName>
    <definedName name="BED_6">#REF!</definedName>
    <definedName name="BEO">#REF!</definedName>
    <definedName name="BER">#REF!</definedName>
    <definedName name="BERBA">#REF!</definedName>
    <definedName name="BERBI">#REF!</definedName>
    <definedName name="BF">#REF!</definedName>
    <definedName name="BFD">#REF!</definedName>
    <definedName name="BFDI">#REF!</definedName>
    <definedName name="BFL_C_G">#REF!</definedName>
    <definedName name="BFL_C_P">#REF!</definedName>
    <definedName name="BFL_CBA">#REF!</definedName>
    <definedName name="BFL_CBI">#REF!</definedName>
    <definedName name="BFL_CMU">#REF!</definedName>
    <definedName name="BFL_D_G">#REF!</definedName>
    <definedName name="BFL_D_P">#REF!</definedName>
    <definedName name="BFL_DBA">#REF!</definedName>
    <definedName name="BFL_DBI">#REF!</definedName>
    <definedName name="BFL_DF">#REF!</definedName>
    <definedName name="BFL_DMU">#REF!</definedName>
    <definedName name="BFLB_DF">#REF!</definedName>
    <definedName name="BFLRES">#REF!</definedName>
    <definedName name="BFO_S">#REF!</definedName>
    <definedName name="BFOL_L">#REF!</definedName>
    <definedName name="BFOL_S">#REF!</definedName>
    <definedName name="BFOLB">#REF!</definedName>
    <definedName name="BFOLG_L">#REF!</definedName>
    <definedName name="BFOTH">#REF!</definedName>
    <definedName name="BFPA">#REF!</definedName>
    <definedName name="BFPL">#REF!</definedName>
    <definedName name="BFPLBN">#REF!</definedName>
    <definedName name="BFPLD_G">#REF!</definedName>
    <definedName name="BFPLE_G">#REF!</definedName>
    <definedName name="BFPLMM">#REF!</definedName>
    <definedName name="BFRA">#REF!</definedName>
    <definedName name="BFUND">#REF!</definedName>
    <definedName name="BIGBUD">#REF!</definedName>
    <definedName name="BiH....Stock_of_External_Debt__Before_Debt_Relief___1997_2005_1__2">#REF!</definedName>
    <definedName name="BIP">#REF!</definedName>
    <definedName name="BK">#REF!</definedName>
    <definedName name="BKF">#REF!</definedName>
    <definedName name="BKFA">#REF!</definedName>
    <definedName name="BKFBA">#REF!</definedName>
    <definedName name="BKFBI">#REF!</definedName>
    <definedName name="BKFMU">#REF!</definedName>
    <definedName name="blss" localSheetId="7" hidden="1">{"Sum Param for financing cap",#N/A,FALSE,"Sum";"Sum selected econ indictrs",#N/A,FALSE,"Sum";"Sum Sav Inv assmt of dom. fin.",#N/A,FALSE,"Sum"}</definedName>
    <definedName name="blss" hidden="1">{"Sum Param for financing cap",#N/A,FALSE,"Sum";"Sum selected econ indictrs",#N/A,FALSE,"Sum";"Sum Sav Inv assmt of dom. fin.",#N/A,FALSE,"Sum"}</definedName>
    <definedName name="BMG">#REF!</definedName>
    <definedName name="BMI">#REF!</definedName>
    <definedName name="BMII_G">#REF!</definedName>
    <definedName name="BMII_P">#REF!</definedName>
    <definedName name="BMIIBA">#REF!</definedName>
    <definedName name="BMIIBI">#REF!</definedName>
    <definedName name="BMIIMU">#REF!</definedName>
    <definedName name="BMS">#REF!</definedName>
    <definedName name="BNEO">#REF!</definedName>
    <definedName name="BOP">#REF!</definedName>
    <definedName name="BOPSUM">#REF!</definedName>
    <definedName name="BTRG">#REF!</definedName>
    <definedName name="BTRP">#REF!</definedName>
    <definedName name="BUDGET">#REF!</definedName>
    <definedName name="BXG">#REF!</definedName>
    <definedName name="BXI">#REF!</definedName>
    <definedName name="BXS">#REF!</definedName>
    <definedName name="ccc">#REF!</definedName>
    <definedName name="CCODE">#REF!</definedName>
    <definedName name="CHK1.1">#REF!</definedName>
    <definedName name="CHK2.1">#REF!</definedName>
    <definedName name="CHK2.2">#REF!</definedName>
    <definedName name="CHK2.3">#REF!</definedName>
    <definedName name="COUNTER">#REF!</definedName>
    <definedName name="CPI">#REF!</definedName>
    <definedName name="CSIDATES">[4]WEO!#REF!</definedName>
    <definedName name="CUMBUD">#REF!</definedName>
    <definedName name="CUMPROG">#REF!</definedName>
    <definedName name="CurrVintage">'[5]A Current Data'!$D$60</definedName>
    <definedName name="D_D_Sdiff">#REF!</definedName>
    <definedName name="D_D_Sdiff1">#REF!</definedName>
    <definedName name="D_G">#REF!</definedName>
    <definedName name="D_P">#REF!</definedName>
    <definedName name="D_PCPI">#REF!</definedName>
    <definedName name="D_PCPIAQ">#REF!</definedName>
    <definedName name="D_PCPIQ">#REF!</definedName>
    <definedName name="D_S">#REF!</definedName>
    <definedName name="D_SY">#REF!</definedName>
    <definedName name="DA">#REF!</definedName>
    <definedName name="DABA">#REF!</definedName>
    <definedName name="DABI">#REF!</definedName>
    <definedName name="DAMU">#REF!</definedName>
    <definedName name="data">#REF!</definedName>
    <definedName name="Date">'[5]A Current Data'!$D$61</definedName>
    <definedName name="dates">#REF!</definedName>
    <definedName name="DATESW">#REF!</definedName>
    <definedName name="DATEWEO">#REF!</definedName>
    <definedName name="DBA">#REF!</definedName>
    <definedName name="DBI">#REF!</definedName>
    <definedName name="DDR">#REF!</definedName>
    <definedName name="DDRBA">#REF!</definedName>
    <definedName name="dem">#REF!</definedName>
    <definedName name="df">'[6]18'!$A$1</definedName>
    <definedName name="dfg">'[6]13'!$A$1</definedName>
    <definedName name="dfghdghd">#REF!</definedName>
    <definedName name="dfgs">#REF!</definedName>
    <definedName name="dfsd">#REF!</definedName>
    <definedName name="dfsgsfgsdfgs">#REF!</definedName>
    <definedName name="dghetrewty">#REF!</definedName>
    <definedName name="Discount_NC">[7]NPV_base!#REF!</definedName>
    <definedName name="DiscountRate">#REF!</definedName>
    <definedName name="DMU">#REF!</definedName>
    <definedName name="DMX_Units">#REF!</definedName>
    <definedName name="documentation">#REF!</definedName>
    <definedName name="dummy">#REF!</definedName>
    <definedName name="EC">#REF!</definedName>
    <definedName name="ECON">OFFSET([2]LISTS!$M$13,0,0,COUNTA([2]LISTS!$M$13:$M$151),1)</definedName>
    <definedName name="ECON_2_LOOKUP">OFFSET([2]LISTS!$L$13,0,0,COUNTA([2]LISTS!$L$13:$L$136),1):OFFSET([2]LISTS!$M$13,0,0,COUNTA([2]LISTS!$M$13:$M$136),1)</definedName>
    <definedName name="ECON_3_LOOKUP">OFFSET([2]LISTS!$K$13,0,0,COUNTA([2]LISTS!$K$13:$K$151),1):OFFSET([2]LISTS!$M$13,0,0,COUNTA([2]LISTS!$M$13:$M$151),1)</definedName>
    <definedName name="ECON_SUB">OFFSET([2]LISTS!$L$13,0,0,COUNTA([2]LISTS!$L$13:$L$151),1)</definedName>
    <definedName name="ECON_SUB_FOR_DECIDED">OFFSET([2]LISTS!$O$13,0,0,COUNTA([2]LISTS!$O$13:$O$151),1)</definedName>
    <definedName name="ECON_SUB_SUB">OFFSET([2]LISTS!$K$13,0,0,COUNTA([2]LISTS!$K$13:$K$151),1)</definedName>
    <definedName name="ECON_UPPER">OFFSET([2]LISTS!$Q$13,0,0,COUNTA([2]LISTS!$Q$13:$Q$151),1)</definedName>
    <definedName name="ECON_UPPER_LOOKUP">[2]LISTS!$O$13:$P$146</definedName>
    <definedName name="econet">#REF!</definedName>
    <definedName name="economic">#REF!</definedName>
    <definedName name="EDSSDESCRIPTOR">#REF!</definedName>
    <definedName name="EDSSFILE">#REF!</definedName>
    <definedName name="EDSSNAME">#REF!</definedName>
    <definedName name="EDSSTABLES">#REF!</definedName>
    <definedName name="EDSSTIME">#REF!</definedName>
    <definedName name="EISCODE">#REF!</definedName>
    <definedName name="ENDA">#REF!</definedName>
    <definedName name="ENDA_PR">#REF!</definedName>
    <definedName name="ENDE">#REF!</definedName>
    <definedName name="erte">'[6]7'!$A$1</definedName>
    <definedName name="erteyrt">'[6]9'!$A$1</definedName>
    <definedName name="ertyer">'[6]5'!$A$1</definedName>
    <definedName name="ertyert">#REF!</definedName>
    <definedName name="ertyertyey">#REF!</definedName>
    <definedName name="ertyryety">'[6]10'!$A$1</definedName>
    <definedName name="EST_LOOKUP">[2]Estimates!$G$17:$U$1359</definedName>
    <definedName name="ety">'[6]6'!$A$1</definedName>
    <definedName name="exchr">#REF!</definedName>
    <definedName name="EXP">#REF!</definedName>
    <definedName name="f">#REF!</definedName>
    <definedName name="fdsg">#REF!</definedName>
    <definedName name="fg">'[6]19'!$A$1</definedName>
    <definedName name="fgd">#REF!</definedName>
    <definedName name="FIDR">#REF!</definedName>
    <definedName name="Fiscal">#REF!</definedName>
    <definedName name="FMB">#REF!</definedName>
    <definedName name="fsdfg">#REF!</definedName>
    <definedName name="fsgsgfs">#REF!</definedName>
    <definedName name="g" localSheetId="7" hidden="1">{"Sum Param for financing cap",#N/A,FALSE,"Sum";"Sum selected econ indictrs",#N/A,FALSE,"Sum";"Sum Sav Inv assmt of dom. fin.",#N/A,FALSE,"Sum"}</definedName>
    <definedName name="g" hidden="1">{"Sum Param for financing cap",#N/A,FALSE,"Sum";"Sum selected econ indictrs",#N/A,FALSE,"Sum";"Sum Sav Inv assmt of dom. fin.",#N/A,FALSE,"Sum"}</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RG">#REF!</definedName>
    <definedName name="GGEC">#REF!</definedName>
    <definedName name="GGENL">#REF!</definedName>
    <definedName name="GGRG">#REF!</definedName>
    <definedName name="GOZREV">#REF!</definedName>
    <definedName name="Grace_NC">[7]NPV_base!#REF!</definedName>
    <definedName name="h">#REF!</definedName>
    <definedName name="hhhhhh">#REF!</definedName>
    <definedName name="Identifier">OFFSET([2]Admin!$B$17,0,0,COUNTA([2]Admin!$B$17:$B$255),1)</definedName>
    <definedName name="info">#REF!</definedName>
    <definedName name="infonotes">#REF!</definedName>
    <definedName name="INTEREST">#REF!</definedName>
    <definedName name="INTEREST.">#REF!</definedName>
    <definedName name="Interest_NC">[7]NPV_base!#REF!</definedName>
    <definedName name="InterestRate">#REF!</definedName>
    <definedName name="j">'[6]22'!$A$1</definedName>
    <definedName name="k">'[6]23'!$A$1</definedName>
    <definedName name="LE">#REF!</definedName>
    <definedName name="LEGC">#REF!</definedName>
    <definedName name="LLS">#REF!</definedName>
    <definedName name="LP">#REF!</definedName>
    <definedName name="LUR">#REF!</definedName>
    <definedName name="macro">[8]Macro!$A$1:$Q$118</definedName>
    <definedName name="Maturity_NC">[7]NPV_base!#REF!</definedName>
    <definedName name="MCV">[9]Q2!$E$69:$AN$69</definedName>
    <definedName name="MCV_B">[9]Q6!$E$160:$AN$160</definedName>
    <definedName name="MCV_N">#REF!</definedName>
    <definedName name="MCV_N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emotable" localSheetId="7" hidden="1">{"Sum Param for financing cap",#N/A,FALSE,"Sum";"Sum selected econ indictrs",#N/A,FALSE,"Sum";"Sum Sav Inv assmt of dom. fin.",#N/A,FALSE,"Sum"}</definedName>
    <definedName name="memotable" hidden="1">{"Sum Param for financing cap",#N/A,FALSE,"Sum";"Sum selected econ indictrs",#N/A,FALSE,"Sum";"Sum Sav Inv assmt of dom. fin.",#N/A,FALSE,"Sum"}</definedName>
    <definedName name="MICROM">[4]WEO!#REF!</definedName>
    <definedName name="MIDDLE">#REF!</definedName>
    <definedName name="namebop">#REF!</definedName>
    <definedName name="NAMES">#REF!</definedName>
    <definedName name="NAMESW">#REF!</definedName>
    <definedName name="NAMEWEO">#REF!</definedName>
    <definedName name="NC_R">#REF!</definedName>
    <definedName name="NCG">#REF!</definedName>
    <definedName name="NCG_R">#REF!</definedName>
    <definedName name="NCP">#REF!</definedName>
    <definedName name="NCP_R">#REF!</definedName>
    <definedName name="NDXNAMES">#REF!</definedName>
    <definedName name="NDXWEEKS">#REF!</definedName>
    <definedName name="NFB_R">#REF!</definedName>
    <definedName name="NFB_R_GDP">#REF!</definedName>
    <definedName name="NFI">#REF!</definedName>
    <definedName name="NFI_R">#REF!</definedName>
    <definedName name="NFIG">#REF!</definedName>
    <definedName name="NFIP">#REF!</definedName>
    <definedName name="NGDP">#REF!</definedName>
    <definedName name="NGDP_R">#REF!</definedName>
    <definedName name="NGDP_RG">#REF!</definedName>
    <definedName name="NGDPO">#REF!</definedName>
    <definedName name="NGDPO_R">#REF!</definedName>
    <definedName name="NGDPXO">#REF!</definedName>
    <definedName name="NGDPXO_R">#REF!</definedName>
    <definedName name="NGNI">#REF!</definedName>
    <definedName name="NGPXO">#REF!</definedName>
    <definedName name="NGPXO_R">#REF!</definedName>
    <definedName name="NGS">#REF!</definedName>
    <definedName name="NGS_NGDP">#REF!</definedName>
    <definedName name="NGSG">#REF!</definedName>
    <definedName name="NGSP">#REF!</definedName>
    <definedName name="NI">#REF!</definedName>
    <definedName name="NI_GDP">#REF!</definedName>
    <definedName name="NI_NGDP">#REF!</definedName>
    <definedName name="NI_R">#REF!</definedName>
    <definedName name="NINV">#REF!</definedName>
    <definedName name="NINV_R">#REF!</definedName>
    <definedName name="NINV_R_GDP">#REF!</definedName>
    <definedName name="NM">#REF!</definedName>
    <definedName name="NM_R">#REF!</definedName>
    <definedName name="NMG">#REF!</definedName>
    <definedName name="NMG_R">#REF!</definedName>
    <definedName name="NMG_RG">#REF!</definedName>
    <definedName name="NMS">#REF!</definedName>
    <definedName name="NMS_R">#REF!</definedName>
    <definedName name="NNAMES">#REF!</definedName>
    <definedName name="NOTES">#REF!</definedName>
    <definedName name="NTDD_R">#REF!</definedName>
    <definedName name="NTDD_RG">#REF!</definedName>
    <definedName name="NX">#REF!</definedName>
    <definedName name="NX_R">#REF!</definedName>
    <definedName name="nxcv">#REF!</definedName>
    <definedName name="NXG">#REF!</definedName>
    <definedName name="NXG_R">#REF!</definedName>
    <definedName name="NXG_RG">#REF!</definedName>
    <definedName name="NXS">#REF!</definedName>
    <definedName name="NXS_R">#REF!</definedName>
    <definedName name="pchBMG">#REF!</definedName>
    <definedName name="pchBXG">#REF!</definedName>
    <definedName name="pchNM_R">#REF!</definedName>
    <definedName name="pchNMG_R">#REF!</definedName>
    <definedName name="pchNX_R">#REF!</definedName>
    <definedName name="pchNXG_R">#REF!</definedName>
    <definedName name="PCPI">#REF!</definedName>
    <definedName name="PCPIE">#REF!</definedName>
    <definedName name="PPPGDP">#REF!</definedName>
    <definedName name="prefix">#REF!</definedName>
    <definedName name="print">#REF!</definedName>
    <definedName name="_xlnm.Print_Area" localSheetId="7">Afghanistan!$A$1:$M$115</definedName>
    <definedName name="_xlnm.Print_Area" localSheetId="8">Albania!$A$1:$M$121</definedName>
    <definedName name="_xlnm.Print_Area" localSheetId="9">Bangladesh!$A$1:$M$107</definedName>
    <definedName name="_xlnm.Print_Area" localSheetId="10">Benin!$A$1:$M$103</definedName>
    <definedName name="_xlnm.Print_Area" localSheetId="11">Bhutan!$A$1:$M$132</definedName>
    <definedName name="_xlnm.Print_Area" localSheetId="12">'Burkina Faso'!$A$1:$P$124</definedName>
    <definedName name="_xlnm.Print_Area" localSheetId="16">Cameroon!$A$1:$M$104</definedName>
    <definedName name="_xlnm.Print_Area" localSheetId="17">'Central African Republic'!$A$1:$E$126</definedName>
    <definedName name="_xlnm.Print_Area" localSheetId="18">Chad!$A$1:$M$131</definedName>
    <definedName name="_xlnm.Print_Area" localSheetId="19">Comoros!$A$1:$E$104</definedName>
    <definedName name="_xlnm.Print_Area" localSheetId="22">'Congo, Democratic Republic of'!$A$1:$M$113</definedName>
    <definedName name="_xlnm.Print_Area" localSheetId="20">'Congo, Republic of'!$A$1:$M$109</definedName>
    <definedName name="_xlnm.Print_Area" localSheetId="14">'Côte d''Ivoire'!$A$1:$M$148</definedName>
    <definedName name="_xlnm.Print_Area" localSheetId="23">Ethiopia!$A$1:$M$98</definedName>
    <definedName name="_xlnm.Print_Area" localSheetId="25">Ghana!$A$1:$M$118</definedName>
    <definedName name="_xlnm.Print_Area" localSheetId="26">Guinea!$A$1:$M$110</definedName>
    <definedName name="_xlnm.Print_Area" localSheetId="27">Guyana!$A$1:$M$156</definedName>
    <definedName name="_xlnm.Print_Area" localSheetId="28">Haïti!$A$1:$M$136</definedName>
    <definedName name="_xlnm.Print_Area" localSheetId="29">Honduras!$A$1:$M$120</definedName>
    <definedName name="_xlnm.Print_Area" localSheetId="30">Kenya!$A$1:$M$130</definedName>
    <definedName name="_xlnm.Print_Area" localSheetId="32">Lesotho!$A$1:$M$117</definedName>
    <definedName name="_xlnm.Print_Area" localSheetId="33">Liberia!$A$1:$M$117</definedName>
    <definedName name="_xlnm.Print_Area" localSheetId="34">Madagascar!$A$1:$M$130</definedName>
    <definedName name="_xlnm.Print_Area" localSheetId="35">Malawi!$A$1:$M$122</definedName>
    <definedName name="_xlnm.Print_Area" localSheetId="36">Mali!$A$1:$P$131</definedName>
    <definedName name="_xlnm.Print_Area" localSheetId="37">Mauritania!$A$1:$L$121</definedName>
    <definedName name="_xlnm.Print_Area" localSheetId="38">Moldova!$A$1:$M$127</definedName>
    <definedName name="_xlnm.Print_Area" localSheetId="39">Mozambique!$A$1:$M$117</definedName>
    <definedName name="_xlnm.Print_Area" localSheetId="40">Nepal!$A$1:$M$120</definedName>
    <definedName name="_xlnm.Print_Area" localSheetId="41">Nicaragua!$A$1:$M$141</definedName>
    <definedName name="_xlnm.Print_Area" localSheetId="42">Niger!$A$1:$P$136</definedName>
    <definedName name="_xlnm.Print_Area" localSheetId="43">'Nigeria (Jigawa)'!$A$1:$E$117</definedName>
    <definedName name="_xlnm.Print_Area" localSheetId="44">'Nigeria (Kaduna)'!$A$1:$E$177</definedName>
    <definedName name="_xlnm.Print_Area" localSheetId="45">'Nigeria (Kano)'!$A$1:$E$112</definedName>
    <definedName name="_xlnm.Print_Area" localSheetId="46">'Nigeria (Sotoko)'!$A$1:$E$117</definedName>
    <definedName name="_xlnm.Print_Area" localSheetId="48">'Pakistan (Sindh)'!$A$1:$M$116</definedName>
    <definedName name="_xlnm.Print_Area" localSheetId="47">'Palistan (Balochistan)'!$A$1:$M$118</definedName>
    <definedName name="_xlnm.Print_Area" localSheetId="49">'Papua New Guinea'!$A$1:$M$123</definedName>
    <definedName name="_xlnm.Print_Area" localSheetId="50">Rwanda!$A$1:$M$142</definedName>
    <definedName name="_xlnm.Print_Area" localSheetId="51">'Sao Tome and Principe'!$A$1:$BL$115</definedName>
    <definedName name="_xlnm.Print_Area" localSheetId="52">Senegal!$A$1:$M$105</definedName>
    <definedName name="_xlnm.Print_Area" localSheetId="53">'Sierra Leone'!$A$1:$M$119</definedName>
    <definedName name="_xlnm.Print_Area" localSheetId="54">'South Sudan'!$A$1:$M$116</definedName>
    <definedName name="_xlnm.Print_Area" localSheetId="56">'Tanzania (Mainland)'!$A$1:$M$131</definedName>
    <definedName name="_xlnm.Print_Area" localSheetId="57">'Tanzania (Zanzibar)'!$A$1:$M$124</definedName>
    <definedName name="_xlnm.Print_Area" localSheetId="58">'Timor Leste'!$A$1:$M$135</definedName>
    <definedName name="_xlnm.Print_Area" localSheetId="63">Zambia!$A$1:$P$190</definedName>
    <definedName name="_xlnm.Print_Area" localSheetId="64">Zimbabwe!$A$1:$M$125</definedName>
    <definedName name="_xlnm.Print_Titles">[10]SUMMARY!$B:$D,[10]SUMMARY!$3:$5</definedName>
    <definedName name="PROG_LOOKUP">[2]LISTS!$F$13:$G$146</definedName>
    <definedName name="PROG_SUB">OFFSET([2]LISTS!$F$13,0,0,COUNTA([2]LISTS!$F$13:$F$151),1)</definedName>
    <definedName name="projred">#REF!</definedName>
    <definedName name="Provisions">#REF!</definedName>
    <definedName name="Provisions2">#REF!</definedName>
    <definedName name="QBUD97">#REF!</definedName>
    <definedName name="QREV97">#REF!</definedName>
    <definedName name="Quest" localSheetId="7" hidden="1">{"Sum Param for financing cap",#N/A,FALSE,"Sum";"Sum selected econ indictrs",#N/A,FALSE,"Sum";"Sum Sav Inv assmt of dom. fin.",#N/A,FALSE,"Sum"}</definedName>
    <definedName name="Quest" hidden="1">{"Sum Param for financing cap",#N/A,FALSE,"Sum";"Sum selected econ indictrs",#N/A,FALSE,"Sum";"Sum Sav Inv assmt of dom. fin.",#N/A,FALSE,"Sum"}</definedName>
    <definedName name="rangename">#REF!</definedName>
    <definedName name="REGISTERALL">#REF!</definedName>
    <definedName name="RESERVE">'[11]RBZ-former'!$O$2:$V$66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OMBOP">#REF!</definedName>
    <definedName name="sdfdffg">#REF!</definedName>
    <definedName name="sdfgsdfgsfg">#REF!</definedName>
    <definedName name="sdr">#REF!</definedName>
    <definedName name="SECTORS">#REF!</definedName>
    <definedName name="select">'[12]CODE LIST'!$N$2:$N$6</definedName>
    <definedName name="sfgsf">#REF!</definedName>
    <definedName name="sheetname">#REF!</definedName>
    <definedName name="sss" localSheetId="7" hidden="1">{"Sum Param for financing cap",#N/A,FALSE,"Sum";"Sum selected econ indictrs",#N/A,FALSE,"Sum";"Sum Sav Inv assmt of dom. fin.",#N/A,FALSE,"Sum"}</definedName>
    <definedName name="sss" hidden="1">{"Sum Param for financing cap",#N/A,FALSE,"Sum";"Sum selected econ indictrs",#N/A,FALSE,"Sum";"Sum Sav Inv assmt of dom. fin.",#N/A,FALSE,"Sum"}</definedName>
    <definedName name="ssss" localSheetId="7" hidden="1">{"Sum Param for financing cap",#N/A,FALSE,"Sum";"Sum selected econ indictrs",#N/A,FALSE,"Sum";"Sum Sav Inv assmt of dom. fin.",#N/A,FALSE,"Sum"}</definedName>
    <definedName name="ssss" hidden="1">{"Sum Param for financing cap",#N/A,FALSE,"Sum";"Sum selected econ indictrs",#N/A,FALSE,"Sum";"Sum Sav Inv assmt of dom. fin.",#N/A,FALSE,"Sum"}</definedName>
    <definedName name="STOP">#REF!</definedName>
    <definedName name="t">#REF!</definedName>
    <definedName name="Tab21new">'[13]Gov-20'!$A$1</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1.__BiH___Outstanding_Stock_PC_Debt_and_Debt_Service__1997_2005">#REF!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1">'[11]RBZ-former'!$O$44:$V$85</definedName>
    <definedName name="TABLE10">#REF!</definedName>
    <definedName name="Table13">#REF!</definedName>
    <definedName name="table14">#REF!</definedName>
    <definedName name="table15.Imports3">#REF!</definedName>
    <definedName name="table16">#REF!</definedName>
    <definedName name="Table17">#REF!</definedName>
    <definedName name="Table18">#REF!</definedName>
    <definedName name="table19">#REF!</definedName>
    <definedName name="TABLE1B">#REF!</definedName>
    <definedName name="table2">'[11]RBZ-former'!$O$2:$V$42</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[8]Main!#REF!</definedName>
    <definedName name="table3.fiscal">[8]Main!#REF!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5">#REF!</definedName>
    <definedName name="TABLE6">#REF!</definedName>
    <definedName name="TABLE7">#REF!</definedName>
    <definedName name="TABLE8">#REF!</definedName>
    <definedName name="TABLE8A">#REF!</definedName>
    <definedName name="TABLE9">#REF!</definedName>
    <definedName name="TABLE9A">#REF!</definedName>
    <definedName name="tablename">#REF!</definedName>
    <definedName name="TAXCUT">#REF!</definedName>
    <definedName name="TDATE">#REF!</definedName>
    <definedName name="TMG_D">#REF!</definedName>
    <definedName name="TMGO">#REF!</definedName>
    <definedName name="TNAME">#REF!</definedName>
    <definedName name="today">'[14]A Current Data'!$D$61</definedName>
    <definedName name="Transactions_with_IMF__1997_2005">#REF!</definedName>
    <definedName name="Transactions_with_the_World_Bank__1997_2005">#REF!</definedName>
    <definedName name="TWP">#REF!</definedName>
    <definedName name="TXG_D">#REF!</definedName>
    <definedName name="TXGO">#REF!</definedName>
    <definedName name="UPD_date">#REF!</definedName>
    <definedName name="UPD_NAME">#REF!</definedName>
    <definedName name="USERNAME">#REF!</definedName>
    <definedName name="v">'[6]8'!$A$1</definedName>
    <definedName name="vn">#REF!</definedName>
    <definedName name="WEIGHTS">#REF!</definedName>
    <definedName name="weodata">#REF!</definedName>
    <definedName name="WIN">[4]WEO!#REF!</definedName>
    <definedName name="wrn.BOPALL." localSheetId="7" hidden="1">{#N/A,#N/A,TRUE,"BoP"}</definedName>
    <definedName name="wrn.BOPALL." hidden="1">{#N/A,#N/A,TRUE,"BoP"}</definedName>
    <definedName name="wrn.test." localSheetId="7"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7"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xcnvxvnxn">#REF!</definedName>
    <definedName name="xcvbxcv">#REF!</definedName>
    <definedName name="XGS">#REF!</definedName>
    <definedName name="xvbx">'[6]4'!$A$1</definedName>
    <definedName name="xvbxvb">'[6]28'!$A$1</definedName>
    <definedName name="xvcbxvbxv">'[6]17'!$A$1</definedName>
    <definedName name="xxWRS_1">#REF!</definedName>
    <definedName name="xxWRS_2">#REF!</definedName>
    <definedName name="xxWRS_3">#REF!</definedName>
    <definedName name="Year">#REF!</definedName>
    <definedName name="Year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91" i="39" l="1"/>
  <c r="BH99" i="26" l="1"/>
  <c r="BF99" i="26"/>
  <c r="BB99" i="26"/>
  <c r="BA99" i="26"/>
  <c r="BH98" i="26"/>
  <c r="BF98" i="26"/>
  <c r="BH87" i="26"/>
  <c r="BF87" i="26"/>
  <c r="BB87" i="26"/>
  <c r="BA87" i="26"/>
  <c r="BH85" i="26"/>
  <c r="BF85" i="26"/>
  <c r="BB85" i="26"/>
  <c r="BA85" i="26"/>
  <c r="BH84" i="26"/>
  <c r="BF84" i="26"/>
  <c r="BI79" i="26"/>
  <c r="BD79" i="26"/>
  <c r="BI78" i="26"/>
  <c r="BD78" i="26"/>
  <c r="BI77" i="26"/>
  <c r="BD77" i="26"/>
  <c r="BI76" i="26"/>
  <c r="BD76" i="26"/>
  <c r="BI75" i="26"/>
  <c r="BD75" i="26"/>
  <c r="BI74" i="26"/>
  <c r="BD74" i="26"/>
  <c r="BI73" i="26"/>
  <c r="BD73" i="26"/>
  <c r="BI72" i="26"/>
  <c r="BD72" i="26"/>
  <c r="BI66" i="26"/>
  <c r="BD66" i="26"/>
  <c r="BI39" i="26"/>
  <c r="BD39" i="26"/>
  <c r="BI38" i="26"/>
  <c r="BD38" i="26"/>
  <c r="BH37" i="26"/>
  <c r="BI37" i="26" s="1"/>
  <c r="BF37" i="26"/>
  <c r="BB37" i="26"/>
  <c r="BD37" i="26" s="1"/>
  <c r="BA37" i="26"/>
  <c r="BA98" i="26" s="1"/>
  <c r="BF30" i="26"/>
  <c r="BF86" i="26" s="1"/>
  <c r="BF90" i="26" s="1"/>
  <c r="BF92" i="26" s="1"/>
  <c r="BB30" i="26"/>
  <c r="BB86" i="26" s="1"/>
  <c r="BB90" i="26" s="1"/>
  <c r="BB92" i="26" s="1"/>
  <c r="BA30" i="26"/>
  <c r="BA86" i="26" s="1"/>
  <c r="BA90" i="26" s="1"/>
  <c r="BA92" i="26" s="1"/>
  <c r="BI29" i="26"/>
  <c r="BI28" i="26"/>
  <c r="BD28" i="26"/>
  <c r="BH27" i="26"/>
  <c r="BI27" i="26" s="1"/>
  <c r="BD27" i="26"/>
  <c r="BH26" i="26"/>
  <c r="BI26" i="26" s="1"/>
  <c r="BD26" i="26"/>
  <c r="BB24" i="26"/>
  <c r="BD24" i="26" s="1"/>
  <c r="BI23" i="26"/>
  <c r="BD23" i="26"/>
  <c r="BH22" i="26"/>
  <c r="BI22" i="26" s="1"/>
  <c r="BD22" i="26"/>
  <c r="BI21" i="26"/>
  <c r="BD21" i="26"/>
  <c r="BI20" i="26"/>
  <c r="BD20" i="26"/>
  <c r="BF19" i="26"/>
  <c r="BF24" i="26" s="1"/>
  <c r="BB19" i="26"/>
  <c r="BD19" i="26" s="1"/>
  <c r="BA19" i="26"/>
  <c r="BA24" i="26" s="1"/>
  <c r="BH17" i="26"/>
  <c r="BI17" i="26" s="1"/>
  <c r="BF17" i="26"/>
  <c r="BA17" i="26"/>
  <c r="BI16" i="26"/>
  <c r="BD16" i="26"/>
  <c r="BI15" i="26"/>
  <c r="BD15" i="26"/>
  <c r="BI14" i="26"/>
  <c r="BD14" i="26"/>
  <c r="BI13" i="26"/>
  <c r="BB13" i="26"/>
  <c r="BB17" i="26" s="1"/>
  <c r="BD17" i="26" s="1"/>
  <c r="BI12" i="26"/>
  <c r="BD12" i="26"/>
  <c r="BO105" i="19"/>
  <c r="BG104" i="19"/>
  <c r="BF104" i="19"/>
  <c r="BG103" i="19"/>
  <c r="BG102" i="19"/>
  <c r="BF102" i="19"/>
  <c r="BM101" i="19"/>
  <c r="BM105" i="19" s="1"/>
  <c r="BK101" i="19"/>
  <c r="BK105" i="19" s="1"/>
  <c r="BG101" i="19"/>
  <c r="BG105" i="19" s="1"/>
  <c r="BF101" i="19"/>
  <c r="BM98" i="19"/>
  <c r="BI98" i="19"/>
  <c r="BI97" i="19"/>
  <c r="BM97" i="19" s="1"/>
  <c r="BI96" i="19"/>
  <c r="BM96" i="19" s="1"/>
  <c r="BI95" i="19"/>
  <c r="BM95" i="19" s="1"/>
  <c r="BM94" i="19"/>
  <c r="BI94" i="19"/>
  <c r="BI93" i="19"/>
  <c r="BM93" i="19" s="1"/>
  <c r="BI92" i="19"/>
  <c r="BM92" i="19" s="1"/>
  <c r="BI91" i="19"/>
  <c r="BM91" i="19" s="1"/>
  <c r="BM90" i="19"/>
  <c r="BI90" i="19"/>
  <c r="BI87" i="19"/>
  <c r="BI86" i="19"/>
  <c r="BI85" i="19"/>
  <c r="BI84" i="19"/>
  <c r="BI81" i="19"/>
  <c r="BI80" i="19"/>
  <c r="BI79" i="19"/>
  <c r="BM77" i="19"/>
  <c r="BI77" i="19"/>
  <c r="BM76" i="19"/>
  <c r="BI76" i="19"/>
  <c r="BI75" i="19"/>
  <c r="BM75" i="19" s="1"/>
  <c r="BI74" i="19"/>
  <c r="BM74" i="19" s="1"/>
  <c r="BM73" i="19"/>
  <c r="BI73" i="19"/>
  <c r="BM72" i="19"/>
  <c r="BI72" i="19"/>
  <c r="BM71" i="19"/>
  <c r="BI71" i="19"/>
  <c r="BI70" i="19"/>
  <c r="BM70" i="19" s="1"/>
  <c r="BI68" i="19"/>
  <c r="BI67" i="19"/>
  <c r="BI66" i="19"/>
  <c r="BI65" i="19"/>
  <c r="BI64" i="19"/>
  <c r="BI63" i="19"/>
  <c r="BI62" i="19"/>
  <c r="BI61" i="19"/>
  <c r="BI60" i="19"/>
  <c r="BI59" i="19"/>
  <c r="BI58" i="19"/>
  <c r="BI57" i="19"/>
  <c r="BI56" i="19"/>
  <c r="BI55" i="19"/>
  <c r="BI54" i="19"/>
  <c r="BI53" i="19"/>
  <c r="BI52" i="19"/>
  <c r="BI51" i="19"/>
  <c r="BI50" i="19"/>
  <c r="BI49" i="19"/>
  <c r="BI47" i="19"/>
  <c r="BI46" i="19"/>
  <c r="BI43" i="19"/>
  <c r="BM40" i="19"/>
  <c r="BI40" i="19"/>
  <c r="BM39" i="19"/>
  <c r="BI39" i="19"/>
  <c r="BM38" i="19"/>
  <c r="BI38" i="19"/>
  <c r="BM37" i="19"/>
  <c r="BI37" i="19"/>
  <c r="BM36" i="19"/>
  <c r="BI36" i="19"/>
  <c r="BI35" i="19"/>
  <c r="BM31" i="19"/>
  <c r="BI31" i="19"/>
  <c r="BM28" i="19"/>
  <c r="BK28" i="19"/>
  <c r="BG28" i="19"/>
  <c r="BF28" i="19"/>
  <c r="BF103" i="19" s="1"/>
  <c r="BI20" i="19"/>
  <c r="BI19" i="19"/>
  <c r="BI18" i="19"/>
  <c r="BM17" i="19"/>
  <c r="BM22" i="19" s="1"/>
  <c r="BK17" i="19"/>
  <c r="BK22" i="19" s="1"/>
  <c r="BG17" i="19"/>
  <c r="BG22" i="19" s="1"/>
  <c r="BF17" i="19"/>
  <c r="BI17" i="19" s="1"/>
  <c r="BI15" i="19"/>
  <c r="BI14" i="19"/>
  <c r="BI13" i="19"/>
  <c r="BM12" i="19"/>
  <c r="BK12" i="19"/>
  <c r="BG12" i="19"/>
  <c r="BF12" i="19"/>
  <c r="BI12" i="19" s="1"/>
  <c r="BK7" i="19"/>
  <c r="AK101" i="14"/>
  <c r="AK112" i="14" s="1"/>
  <c r="AU100" i="14"/>
  <c r="AQ100" i="14"/>
  <c r="AK100" i="14"/>
  <c r="AG100" i="14"/>
  <c r="AA100" i="14"/>
  <c r="W100" i="14"/>
  <c r="S100" i="14"/>
  <c r="N100" i="14"/>
  <c r="L100" i="14"/>
  <c r="K100" i="14"/>
  <c r="I100" i="14"/>
  <c r="H100" i="14"/>
  <c r="F100" i="14"/>
  <c r="AU99" i="14"/>
  <c r="AQ99" i="14"/>
  <c r="AK99" i="14"/>
  <c r="AG99" i="14"/>
  <c r="AA99" i="14"/>
  <c r="W99" i="14"/>
  <c r="S99" i="14"/>
  <c r="N99" i="14"/>
  <c r="K99" i="14"/>
  <c r="F99" i="14"/>
  <c r="AQ98" i="14"/>
  <c r="AK98" i="14"/>
  <c r="AA98" i="14"/>
  <c r="L98" i="14"/>
  <c r="K98" i="14"/>
  <c r="I98" i="14"/>
  <c r="H98" i="14"/>
  <c r="F98" i="14"/>
  <c r="AQ97" i="14"/>
  <c r="AQ101" i="14" s="1"/>
  <c r="AK97" i="14"/>
  <c r="W97" i="14"/>
  <c r="S97" i="14"/>
  <c r="N97" i="14"/>
  <c r="L97" i="14"/>
  <c r="K97" i="14"/>
  <c r="K101" i="14" s="1"/>
  <c r="K102" i="14" s="1"/>
  <c r="I97" i="14"/>
  <c r="H97" i="14"/>
  <c r="F97" i="14"/>
  <c r="F101" i="14" s="1"/>
  <c r="F102" i="14" s="1"/>
  <c r="K94" i="14"/>
  <c r="H94" i="14"/>
  <c r="F94" i="14"/>
  <c r="K93" i="14"/>
  <c r="H93" i="14"/>
  <c r="F93" i="14"/>
  <c r="K92" i="14"/>
  <c r="H92" i="14"/>
  <c r="AU91" i="14"/>
  <c r="K91" i="14"/>
  <c r="H91" i="14"/>
  <c r="F91" i="14"/>
  <c r="AA59" i="14"/>
  <c r="AA57" i="14"/>
  <c r="AU53" i="14"/>
  <c r="AA53" i="14"/>
  <c r="W53" i="14"/>
  <c r="S53" i="14"/>
  <c r="N53" i="14"/>
  <c r="AU52" i="14"/>
  <c r="AG52" i="14"/>
  <c r="AA52" i="14"/>
  <c r="W52" i="14"/>
  <c r="S52" i="14"/>
  <c r="N52" i="14"/>
  <c r="AU51" i="14"/>
  <c r="AU98" i="14" s="1"/>
  <c r="AG51" i="14"/>
  <c r="AG98" i="14" s="1"/>
  <c r="AA51" i="14"/>
  <c r="W51" i="14"/>
  <c r="W98" i="14" s="1"/>
  <c r="S51" i="14"/>
  <c r="S98" i="14" s="1"/>
  <c r="N51" i="14"/>
  <c r="N98" i="14" s="1"/>
  <c r="AA50" i="14"/>
  <c r="AU41" i="14"/>
  <c r="AG41" i="14"/>
  <c r="AG40" i="14" s="1"/>
  <c r="AA41" i="14"/>
  <c r="AA40" i="14" s="1"/>
  <c r="AG39" i="14"/>
  <c r="AG38" i="14" s="1"/>
  <c r="AG97" i="14" s="1"/>
  <c r="AG101" i="14" s="1"/>
  <c r="AA39" i="14"/>
  <c r="AA38" i="14"/>
  <c r="AU33" i="14"/>
  <c r="AU97" i="14" s="1"/>
  <c r="AA33" i="14"/>
  <c r="AA32" i="14" s="1"/>
  <c r="AA97" i="14" s="1"/>
  <c r="AA101" i="14" s="1"/>
  <c r="I28" i="14"/>
  <c r="K27" i="14"/>
  <c r="L27" i="14" s="1"/>
  <c r="L99" i="14" s="1"/>
  <c r="H27" i="14"/>
  <c r="H99" i="14" s="1"/>
  <c r="H101" i="14" s="1"/>
  <c r="H102" i="14" s="1"/>
  <c r="AW23" i="14"/>
  <c r="AU23" i="14"/>
  <c r="AR23" i="14"/>
  <c r="AQ23" i="14"/>
  <c r="AU21" i="14"/>
  <c r="AM21" i="14"/>
  <c r="AK21" i="14"/>
  <c r="AA21" i="14"/>
  <c r="W21" i="14"/>
  <c r="N21" i="14"/>
  <c r="L21" i="14"/>
  <c r="K21" i="14"/>
  <c r="F21" i="14"/>
  <c r="AW20" i="14"/>
  <c r="AW16" i="14" s="1"/>
  <c r="AW21" i="14" s="1"/>
  <c r="AU20" i="14"/>
  <c r="AR20" i="14"/>
  <c r="AQ20" i="14"/>
  <c r="AQ16" i="14" s="1"/>
  <c r="AQ21" i="14" s="1"/>
  <c r="AW19" i="14"/>
  <c r="AU19" i="14"/>
  <c r="AR19" i="14"/>
  <c r="AQ19" i="14"/>
  <c r="AW18" i="14"/>
  <c r="AU18" i="14"/>
  <c r="AR18" i="14"/>
  <c r="AQ18" i="14"/>
  <c r="S17" i="14"/>
  <c r="S21" i="14" s="1"/>
  <c r="N17" i="14"/>
  <c r="AU16" i="14"/>
  <c r="AR16" i="14"/>
  <c r="AR21" i="14" s="1"/>
  <c r="AM16" i="14"/>
  <c r="AK16" i="14"/>
  <c r="AH16" i="14"/>
  <c r="AH21" i="14" s="1"/>
  <c r="AG16" i="14"/>
  <c r="AG21" i="14" s="1"/>
  <c r="AC16" i="14"/>
  <c r="AC21" i="14" s="1"/>
  <c r="AA16" i="14"/>
  <c r="X16" i="14"/>
  <c r="X21" i="14" s="1"/>
  <c r="W16" i="14"/>
  <c r="AW14" i="14"/>
  <c r="AU14" i="14"/>
  <c r="AU12" i="14" s="1"/>
  <c r="AR14" i="14"/>
  <c r="AR12" i="14" s="1"/>
  <c r="AQ14" i="14"/>
  <c r="L14" i="14"/>
  <c r="K14" i="14"/>
  <c r="I14" i="14"/>
  <c r="H14" i="14"/>
  <c r="AW13" i="14"/>
  <c r="AU13" i="14"/>
  <c r="AR13" i="14"/>
  <c r="AQ13" i="14"/>
  <c r="S13" i="14"/>
  <c r="N13" i="14"/>
  <c r="N12" i="14" s="1"/>
  <c r="AW12" i="14"/>
  <c r="AQ12" i="14"/>
  <c r="AM12" i="14"/>
  <c r="AK12" i="14"/>
  <c r="AH12" i="14"/>
  <c r="AG12" i="14"/>
  <c r="AC12" i="14"/>
  <c r="AA12" i="14"/>
  <c r="X12" i="14"/>
  <c r="W12" i="14"/>
  <c r="S12" i="14"/>
  <c r="BE100" i="14"/>
  <c r="BC100" i="14"/>
  <c r="AZ100" i="14"/>
  <c r="AY100" i="14"/>
  <c r="BE99" i="14"/>
  <c r="BC99" i="14"/>
  <c r="AZ99" i="14"/>
  <c r="AY99" i="14"/>
  <c r="BE97" i="14"/>
  <c r="BC97" i="14"/>
  <c r="AZ97" i="14"/>
  <c r="AY97" i="14"/>
  <c r="BC91" i="14"/>
  <c r="AZ56" i="14"/>
  <c r="AY56" i="14"/>
  <c r="AZ53" i="14"/>
  <c r="AY53" i="14"/>
  <c r="BE52" i="14"/>
  <c r="BC52" i="14"/>
  <c r="AZ52" i="14"/>
  <c r="AY52" i="14"/>
  <c r="BE51" i="14"/>
  <c r="BE98" i="14" s="1"/>
  <c r="BC51" i="14"/>
  <c r="BC98" i="14" s="1"/>
  <c r="AZ51" i="14"/>
  <c r="AY51" i="14"/>
  <c r="AZ48" i="14"/>
  <c r="AZ98" i="14" s="1"/>
  <c r="AY48" i="14"/>
  <c r="AY98" i="14" s="1"/>
  <c r="BE23" i="14"/>
  <c r="BE20" i="14"/>
  <c r="BE16" i="14" s="1"/>
  <c r="BE21" i="14" s="1"/>
  <c r="BE19" i="14"/>
  <c r="BE18" i="14"/>
  <c r="BC16" i="14"/>
  <c r="BC21" i="14" s="1"/>
  <c r="AZ16" i="14"/>
  <c r="AZ21" i="14" s="1"/>
  <c r="AY16" i="14"/>
  <c r="AY21" i="14" s="1"/>
  <c r="BE14" i="14"/>
  <c r="BE13" i="14"/>
  <c r="BE12" i="14" s="1"/>
  <c r="BC12" i="14"/>
  <c r="AZ12" i="14"/>
  <c r="AY12" i="14"/>
  <c r="BO113" i="45"/>
  <c r="BI113" i="45"/>
  <c r="BO100" i="45"/>
  <c r="BM100" i="45"/>
  <c r="BI100" i="45"/>
  <c r="BH100" i="45"/>
  <c r="BH99" i="45"/>
  <c r="BO98" i="45"/>
  <c r="BM98" i="45"/>
  <c r="BI98" i="45"/>
  <c r="BH98" i="45"/>
  <c r="BO97" i="45"/>
  <c r="BM97" i="45"/>
  <c r="BM113" i="45" s="1"/>
  <c r="BI97" i="45"/>
  <c r="BH97" i="45"/>
  <c r="BH113" i="45" s="1"/>
  <c r="BK73" i="45"/>
  <c r="BH73" i="45"/>
  <c r="BK34" i="45"/>
  <c r="BH29" i="45"/>
  <c r="BM29" i="45" s="1"/>
  <c r="BM99" i="45" s="1"/>
  <c r="BO25" i="45"/>
  <c r="BM25" i="45"/>
  <c r="BK25" i="45"/>
  <c r="BO21" i="45"/>
  <c r="BO18" i="45" s="1"/>
  <c r="BO23" i="45" s="1"/>
  <c r="BM21" i="45"/>
  <c r="BM18" i="45" s="1"/>
  <c r="BM23" i="45" s="1"/>
  <c r="BK21" i="45"/>
  <c r="BO19" i="45"/>
  <c r="BM19" i="45"/>
  <c r="BK19" i="45"/>
  <c r="BK18" i="45"/>
  <c r="BI18" i="45"/>
  <c r="BI23" i="45" s="1"/>
  <c r="BH18" i="45"/>
  <c r="BH23" i="45" s="1"/>
  <c r="BO15" i="45"/>
  <c r="BM15" i="45"/>
  <c r="BI15" i="45"/>
  <c r="BK15" i="45" s="1"/>
  <c r="BH15" i="45"/>
  <c r="BO14" i="45"/>
  <c r="BM14" i="45"/>
  <c r="BH14" i="45"/>
  <c r="BK14" i="45" s="1"/>
  <c r="BO12" i="45"/>
  <c r="BO16" i="45" s="1"/>
  <c r="BM12" i="45"/>
  <c r="BM16" i="45" s="1"/>
  <c r="BK12" i="45"/>
  <c r="BI12" i="45"/>
  <c r="BI16" i="45" s="1"/>
  <c r="BH12" i="45"/>
  <c r="BH16" i="45" s="1"/>
  <c r="BG96" i="42"/>
  <c r="BG97" i="42" s="1"/>
  <c r="BE96" i="42"/>
  <c r="BE97" i="42" s="1"/>
  <c r="BB96" i="42"/>
  <c r="BB97" i="42" s="1"/>
  <c r="BA96" i="42"/>
  <c r="BA97" i="42" s="1"/>
  <c r="BG92" i="42"/>
  <c r="BE92" i="42"/>
  <c r="BB92" i="42"/>
  <c r="BA92" i="42"/>
  <c r="BG90" i="42"/>
  <c r="BE90" i="42"/>
  <c r="BB90" i="42"/>
  <c r="BA90" i="42"/>
  <c r="BG89" i="42"/>
  <c r="BE89" i="42"/>
  <c r="BB89" i="42"/>
  <c r="BA89" i="42"/>
  <c r="BG59" i="42"/>
  <c r="BE59" i="42"/>
  <c r="BB59" i="42"/>
  <c r="BA59" i="42"/>
  <c r="BG29" i="42"/>
  <c r="BE29" i="42"/>
  <c r="BE91" i="42" s="1"/>
  <c r="BE95" i="42" s="1"/>
  <c r="BB29" i="42"/>
  <c r="BA29" i="42"/>
  <c r="BA91" i="42" s="1"/>
  <c r="BA95" i="42" s="1"/>
  <c r="BE23" i="42"/>
  <c r="BG17" i="42"/>
  <c r="BG23" i="42" s="1"/>
  <c r="BE17" i="42"/>
  <c r="BB17" i="42"/>
  <c r="BB23" i="42" s="1"/>
  <c r="BA17" i="42"/>
  <c r="BA23" i="42" s="1"/>
  <c r="BG15" i="42"/>
  <c r="BE15" i="42"/>
  <c r="BB15" i="42"/>
  <c r="BA15" i="42"/>
  <c r="B190" i="52"/>
  <c r="B189" i="52"/>
  <c r="B188" i="52"/>
  <c r="B187" i="52"/>
  <c r="B186" i="52"/>
  <c r="AP171" i="52"/>
  <c r="AN171" i="52"/>
  <c r="Y171" i="52"/>
  <c r="X171" i="52"/>
  <c r="V171" i="52"/>
  <c r="M171" i="52"/>
  <c r="L171" i="52"/>
  <c r="I171" i="52"/>
  <c r="H171" i="52"/>
  <c r="F171" i="52"/>
  <c r="AE170" i="52"/>
  <c r="AC170" i="52"/>
  <c r="Y170" i="52"/>
  <c r="X170" i="52"/>
  <c r="M170" i="52"/>
  <c r="AP169" i="52"/>
  <c r="AN169" i="52"/>
  <c r="I169" i="52"/>
  <c r="F169" i="52"/>
  <c r="AE168" i="52"/>
  <c r="AC168" i="52"/>
  <c r="Y168" i="52"/>
  <c r="X168" i="52"/>
  <c r="M168" i="52"/>
  <c r="L168" i="52"/>
  <c r="I168" i="52"/>
  <c r="H168" i="52"/>
  <c r="F168" i="52"/>
  <c r="J165" i="52"/>
  <c r="M165" i="52" s="1"/>
  <c r="J164" i="52"/>
  <c r="M164" i="52" s="1"/>
  <c r="AJ162" i="52"/>
  <c r="AH162" i="52"/>
  <c r="J162" i="52"/>
  <c r="M162" i="52" s="1"/>
  <c r="J161" i="52"/>
  <c r="M161" i="52" s="1"/>
  <c r="AP160" i="52"/>
  <c r="AN160" i="52"/>
  <c r="AJ160" i="52"/>
  <c r="AH160" i="52"/>
  <c r="V160" i="52"/>
  <c r="T160" i="52"/>
  <c r="P160" i="52"/>
  <c r="O160" i="52"/>
  <c r="J160" i="52"/>
  <c r="M160" i="52" s="1"/>
  <c r="AP159" i="52"/>
  <c r="AN159" i="52"/>
  <c r="AJ159" i="52"/>
  <c r="AH159" i="52"/>
  <c r="V159" i="52"/>
  <c r="T159" i="52"/>
  <c r="P159" i="52"/>
  <c r="O159" i="52"/>
  <c r="M159" i="52"/>
  <c r="J159" i="52"/>
  <c r="AP158" i="52"/>
  <c r="AN158" i="52"/>
  <c r="AJ158" i="52"/>
  <c r="AH158" i="52"/>
  <c r="V158" i="52"/>
  <c r="T158" i="52"/>
  <c r="P158" i="52"/>
  <c r="O158" i="52"/>
  <c r="J158" i="52"/>
  <c r="M158" i="52" s="1"/>
  <c r="AP157" i="52"/>
  <c r="AN157" i="52"/>
  <c r="AJ157" i="52"/>
  <c r="AH157" i="52"/>
  <c r="V157" i="52"/>
  <c r="T157" i="52"/>
  <c r="P157" i="52"/>
  <c r="O157" i="52"/>
  <c r="J157" i="52"/>
  <c r="M157" i="52" s="1"/>
  <c r="J156" i="52"/>
  <c r="M156" i="52" s="1"/>
  <c r="I153" i="52"/>
  <c r="J152" i="52"/>
  <c r="AP151" i="52"/>
  <c r="AN151" i="52"/>
  <c r="AJ151" i="52"/>
  <c r="AH151" i="52"/>
  <c r="AE151" i="52"/>
  <c r="AC151" i="52"/>
  <c r="Y151" i="52"/>
  <c r="X151" i="52"/>
  <c r="V151" i="52"/>
  <c r="T151" i="52"/>
  <c r="P151" i="52"/>
  <c r="O151" i="52"/>
  <c r="J151" i="52"/>
  <c r="J150" i="52"/>
  <c r="Y148" i="52"/>
  <c r="T148" i="52"/>
  <c r="P148" i="52"/>
  <c r="O148" i="52"/>
  <c r="M148" i="52"/>
  <c r="L148" i="52"/>
  <c r="I148" i="52"/>
  <c r="H148" i="52"/>
  <c r="F148" i="52"/>
  <c r="AE147" i="52"/>
  <c r="AC147" i="52"/>
  <c r="AJ146" i="52"/>
  <c r="AJ171" i="52" s="1"/>
  <c r="AH146" i="52"/>
  <c r="AH171" i="52" s="1"/>
  <c r="V146" i="52"/>
  <c r="V148" i="52" s="1"/>
  <c r="T146" i="52"/>
  <c r="T171" i="52" s="1"/>
  <c r="P146" i="52"/>
  <c r="P171" i="52" s="1"/>
  <c r="O146" i="52"/>
  <c r="O171" i="52" s="1"/>
  <c r="AE145" i="52"/>
  <c r="AE146" i="52" s="1"/>
  <c r="AC145" i="52"/>
  <c r="AC146" i="52" s="1"/>
  <c r="Y145" i="52"/>
  <c r="X145" i="52"/>
  <c r="X148" i="52" s="1"/>
  <c r="J145" i="52"/>
  <c r="V143" i="52"/>
  <c r="T143" i="52"/>
  <c r="I143" i="52"/>
  <c r="I170" i="52" s="1"/>
  <c r="H143" i="52"/>
  <c r="J143" i="52" s="1"/>
  <c r="V138" i="52"/>
  <c r="T138" i="52"/>
  <c r="J138" i="52"/>
  <c r="V137" i="52"/>
  <c r="T137" i="52"/>
  <c r="J137" i="52"/>
  <c r="V136" i="52"/>
  <c r="T136" i="52"/>
  <c r="J136" i="52"/>
  <c r="V135" i="52"/>
  <c r="T135" i="52"/>
  <c r="J135" i="52"/>
  <c r="V134" i="52"/>
  <c r="T134" i="52"/>
  <c r="J134" i="52"/>
  <c r="V133" i="52"/>
  <c r="T133" i="52"/>
  <c r="J133" i="52"/>
  <c r="V132" i="52"/>
  <c r="T132" i="52"/>
  <c r="J132" i="52"/>
  <c r="V130" i="52"/>
  <c r="T130" i="52"/>
  <c r="J130" i="52"/>
  <c r="V129" i="52"/>
  <c r="T129" i="52"/>
  <c r="J129" i="52"/>
  <c r="V128" i="52"/>
  <c r="T128" i="52"/>
  <c r="J128" i="52"/>
  <c r="V127" i="52"/>
  <c r="T127" i="52"/>
  <c r="J127" i="52"/>
  <c r="J123" i="52"/>
  <c r="J122" i="52"/>
  <c r="J121" i="52"/>
  <c r="J120" i="52"/>
  <c r="J119" i="52"/>
  <c r="J118" i="52"/>
  <c r="J117" i="52"/>
  <c r="J116" i="52"/>
  <c r="J115" i="52"/>
  <c r="H114" i="52"/>
  <c r="V114" i="52" s="1"/>
  <c r="AE113" i="52"/>
  <c r="Y113" i="52"/>
  <c r="T113" i="52"/>
  <c r="M113" i="52"/>
  <c r="L113" i="52"/>
  <c r="J113" i="52"/>
  <c r="H113" i="52"/>
  <c r="H169" i="52" s="1"/>
  <c r="AP105" i="52"/>
  <c r="AN105" i="52"/>
  <c r="AP101" i="52"/>
  <c r="AN101" i="52"/>
  <c r="AJ101" i="52"/>
  <c r="AH101" i="52"/>
  <c r="V101" i="52"/>
  <c r="T101" i="52"/>
  <c r="P101" i="52"/>
  <c r="O101" i="52"/>
  <c r="J100" i="52"/>
  <c r="AP97" i="52"/>
  <c r="AN97" i="52"/>
  <c r="V97" i="52"/>
  <c r="T97" i="52"/>
  <c r="P97" i="52"/>
  <c r="O97" i="52"/>
  <c r="J96" i="52"/>
  <c r="AP93" i="52"/>
  <c r="AN93" i="52"/>
  <c r="AJ93" i="52"/>
  <c r="AH93" i="52"/>
  <c r="V93" i="52"/>
  <c r="T93" i="52"/>
  <c r="P93" i="52"/>
  <c r="O93" i="52"/>
  <c r="J92" i="52"/>
  <c r="AP89" i="52"/>
  <c r="AN89" i="52"/>
  <c r="AJ89" i="52"/>
  <c r="AH89" i="52"/>
  <c r="V89" i="52"/>
  <c r="T89" i="52"/>
  <c r="P89" i="52"/>
  <c r="O89" i="52"/>
  <c r="J88" i="52"/>
  <c r="AP85" i="52"/>
  <c r="AN85" i="52"/>
  <c r="AJ85" i="52"/>
  <c r="AH85" i="52"/>
  <c r="V85" i="52"/>
  <c r="T85" i="52"/>
  <c r="P85" i="52"/>
  <c r="O85" i="52"/>
  <c r="J84" i="52"/>
  <c r="AP81" i="52"/>
  <c r="AN81" i="52"/>
  <c r="AJ81" i="52"/>
  <c r="AH81" i="52"/>
  <c r="V81" i="52"/>
  <c r="T81" i="52"/>
  <c r="P81" i="52"/>
  <c r="O81" i="52"/>
  <c r="J80" i="52"/>
  <c r="AP77" i="52"/>
  <c r="AN77" i="52"/>
  <c r="AJ77" i="52"/>
  <c r="AH77" i="52"/>
  <c r="V77" i="52"/>
  <c r="T77" i="52"/>
  <c r="P77" i="52"/>
  <c r="O77" i="52"/>
  <c r="J76" i="52"/>
  <c r="AP73" i="52"/>
  <c r="AN73" i="52"/>
  <c r="AJ73" i="52"/>
  <c r="AH73" i="52"/>
  <c r="V73" i="52"/>
  <c r="T73" i="52"/>
  <c r="P73" i="52"/>
  <c r="O73" i="52"/>
  <c r="J72" i="52"/>
  <c r="AP69" i="52"/>
  <c r="AN69" i="52"/>
  <c r="AJ69" i="52"/>
  <c r="AH69" i="52"/>
  <c r="V69" i="52"/>
  <c r="T69" i="52"/>
  <c r="P69" i="52"/>
  <c r="O69" i="52"/>
  <c r="J68" i="52"/>
  <c r="AP65" i="52"/>
  <c r="AN65" i="52"/>
  <c r="AJ65" i="52"/>
  <c r="AH65" i="52"/>
  <c r="V65" i="52"/>
  <c r="T65" i="52"/>
  <c r="P65" i="52"/>
  <c r="O65" i="52"/>
  <c r="J64" i="52"/>
  <c r="AP61" i="52"/>
  <c r="AN61" i="52"/>
  <c r="AJ61" i="52"/>
  <c r="AH61" i="52"/>
  <c r="V61" i="52"/>
  <c r="T61" i="52"/>
  <c r="V58" i="52"/>
  <c r="AP57" i="52"/>
  <c r="AN57" i="52"/>
  <c r="AJ57" i="52"/>
  <c r="AH57" i="52"/>
  <c r="V57" i="52"/>
  <c r="T57" i="52"/>
  <c r="P57" i="52"/>
  <c r="O57" i="52"/>
  <c r="J56" i="52"/>
  <c r="V54" i="52"/>
  <c r="AP53" i="52"/>
  <c r="AN53" i="52"/>
  <c r="AJ53" i="52"/>
  <c r="AH53" i="52"/>
  <c r="V53" i="52"/>
  <c r="T53" i="52"/>
  <c r="P53" i="52"/>
  <c r="P168" i="52" s="1"/>
  <c r="O53" i="52"/>
  <c r="J52" i="52"/>
  <c r="AP49" i="52"/>
  <c r="AN49" i="52"/>
  <c r="AJ49" i="52"/>
  <c r="AJ168" i="52" s="1"/>
  <c r="AH49" i="52"/>
  <c r="V49" i="52"/>
  <c r="T49" i="52"/>
  <c r="P49" i="52"/>
  <c r="O49" i="52"/>
  <c r="J48" i="52"/>
  <c r="AP45" i="52"/>
  <c r="AN45" i="52"/>
  <c r="AN174" i="52" s="1"/>
  <c r="AJ45" i="52"/>
  <c r="AH45" i="52"/>
  <c r="AH113" i="52" s="1"/>
  <c r="V45" i="52"/>
  <c r="T45" i="52"/>
  <c r="P45" i="52"/>
  <c r="O45" i="52"/>
  <c r="O113" i="52" s="1"/>
  <c r="J44" i="52"/>
  <c r="V32" i="52"/>
  <c r="T32" i="52"/>
  <c r="J32" i="52"/>
  <c r="AP31" i="52"/>
  <c r="AP170" i="52" s="1"/>
  <c r="AN31" i="52"/>
  <c r="AN170" i="52" s="1"/>
  <c r="AJ31" i="52"/>
  <c r="AJ170" i="52" s="1"/>
  <c r="AH31" i="52"/>
  <c r="AH170" i="52" s="1"/>
  <c r="Y31" i="52"/>
  <c r="X31" i="52"/>
  <c r="P31" i="52"/>
  <c r="P170" i="52" s="1"/>
  <c r="M31" i="52"/>
  <c r="I31" i="52"/>
  <c r="H31" i="52"/>
  <c r="F31" i="52"/>
  <c r="F170" i="52" s="1"/>
  <c r="F172" i="52" s="1"/>
  <c r="J29" i="52"/>
  <c r="N28" i="52"/>
  <c r="J28" i="52"/>
  <c r="J27" i="52"/>
  <c r="V26" i="52"/>
  <c r="T26" i="52"/>
  <c r="J26" i="52"/>
  <c r="V25" i="52"/>
  <c r="T25" i="52"/>
  <c r="O25" i="52"/>
  <c r="O31" i="52" s="1"/>
  <c r="L25" i="52"/>
  <c r="L31" i="52" s="1"/>
  <c r="L170" i="52" s="1"/>
  <c r="J25" i="52"/>
  <c r="AP23" i="52"/>
  <c r="AH23" i="52"/>
  <c r="Y23" i="52"/>
  <c r="X23" i="52"/>
  <c r="P23" i="52"/>
  <c r="O23" i="52"/>
  <c r="J23" i="52"/>
  <c r="F23" i="52"/>
  <c r="AP22" i="52"/>
  <c r="AN22" i="52"/>
  <c r="AJ22" i="52"/>
  <c r="AH22" i="52"/>
  <c r="V22" i="52"/>
  <c r="T22" i="52"/>
  <c r="P22" i="52"/>
  <c r="V21" i="52"/>
  <c r="V17" i="52" s="1"/>
  <c r="V23" i="52" s="1"/>
  <c r="T21" i="52"/>
  <c r="J21" i="52"/>
  <c r="J18" i="52"/>
  <c r="AP17" i="52"/>
  <c r="AN17" i="52"/>
  <c r="AN23" i="52" s="1"/>
  <c r="AJ17" i="52"/>
  <c r="AJ23" i="52" s="1"/>
  <c r="AH17" i="52"/>
  <c r="AE17" i="52"/>
  <c r="AE23" i="52" s="1"/>
  <c r="AC17" i="52"/>
  <c r="AC23" i="52" s="1"/>
  <c r="T17" i="52"/>
  <c r="T23" i="52" s="1"/>
  <c r="P17" i="52"/>
  <c r="O17" i="52"/>
  <c r="M17" i="52"/>
  <c r="L17" i="52"/>
  <c r="J17" i="52"/>
  <c r="I17" i="52"/>
  <c r="H17" i="52"/>
  <c r="F17" i="52"/>
  <c r="AP15" i="52"/>
  <c r="AN15" i="52"/>
  <c r="AJ15" i="52"/>
  <c r="AH15" i="52"/>
  <c r="P15" i="52"/>
  <c r="O15" i="52"/>
  <c r="L15" i="52"/>
  <c r="I15" i="52"/>
  <c r="F15" i="52"/>
  <c r="AE13" i="52"/>
  <c r="AC13" i="52"/>
  <c r="Y13" i="52"/>
  <c r="V13" i="52"/>
  <c r="T13" i="52"/>
  <c r="X13" i="52" s="1"/>
  <c r="X15" i="52" s="1"/>
  <c r="J13" i="52"/>
  <c r="AE12" i="52"/>
  <c r="AE15" i="52" s="1"/>
  <c r="AC12" i="52"/>
  <c r="AC15" i="52" s="1"/>
  <c r="Y12" i="52"/>
  <c r="Y15" i="52" s="1"/>
  <c r="X12" i="52"/>
  <c r="V12" i="52"/>
  <c r="V15" i="52" s="1"/>
  <c r="T12" i="52"/>
  <c r="M12" i="52"/>
  <c r="M15" i="52" s="1"/>
  <c r="I12" i="52"/>
  <c r="H12" i="52"/>
  <c r="H15" i="52" s="1"/>
  <c r="J15" i="52" s="1"/>
  <c r="X7" i="52"/>
  <c r="O7" i="52"/>
  <c r="AV171" i="52"/>
  <c r="AT171" i="52"/>
  <c r="AV169" i="52"/>
  <c r="AT169" i="52"/>
  <c r="AT168" i="52"/>
  <c r="AV162" i="52"/>
  <c r="AV157" i="52"/>
  <c r="AV151" i="52"/>
  <c r="AT151" i="52"/>
  <c r="AW125" i="52"/>
  <c r="AV38" i="52"/>
  <c r="AV174" i="52" s="1"/>
  <c r="AT38" i="52"/>
  <c r="AT174" i="52" s="1"/>
  <c r="AV31" i="52"/>
  <c r="AV170" i="52" s="1"/>
  <c r="AT31" i="52"/>
  <c r="AT170" i="52" s="1"/>
  <c r="AW25" i="52"/>
  <c r="AV22" i="52"/>
  <c r="AT22" i="52"/>
  <c r="AW22" i="52" s="1"/>
  <c r="AW21" i="52"/>
  <c r="AW20" i="52"/>
  <c r="AW19" i="52"/>
  <c r="AV17" i="52"/>
  <c r="AV23" i="52" s="1"/>
  <c r="AW23" i="52" s="1"/>
  <c r="AT17" i="52"/>
  <c r="AT23" i="52" s="1"/>
  <c r="AV15" i="52"/>
  <c r="AW15" i="52" s="1"/>
  <c r="AT15" i="52"/>
  <c r="AW13" i="52"/>
  <c r="AW12" i="52"/>
  <c r="BG94" i="12"/>
  <c r="BA94" i="12"/>
  <c r="BA96" i="12" s="1"/>
  <c r="BG91" i="12"/>
  <c r="BE91" i="12"/>
  <c r="BA91" i="12"/>
  <c r="AZ91" i="12"/>
  <c r="BG90" i="12"/>
  <c r="BE90" i="12"/>
  <c r="BA90" i="12"/>
  <c r="AZ90" i="12"/>
  <c r="BG89" i="12"/>
  <c r="BA89" i="12"/>
  <c r="BG88" i="12"/>
  <c r="BG92" i="12" s="1"/>
  <c r="BA88" i="12"/>
  <c r="BA92" i="12" s="1"/>
  <c r="BF59" i="12"/>
  <c r="AZ50" i="12"/>
  <c r="BE49" i="12"/>
  <c r="AZ49" i="12"/>
  <c r="BE47" i="12"/>
  <c r="BE46" i="12"/>
  <c r="AZ46" i="12"/>
  <c r="BE45" i="12"/>
  <c r="BE89" i="12" s="1"/>
  <c r="AZ45" i="12"/>
  <c r="AZ89" i="12" s="1"/>
  <c r="AZ39" i="12"/>
  <c r="BC39" i="12" s="1"/>
  <c r="BE38" i="12"/>
  <c r="AZ38" i="12"/>
  <c r="BC38" i="12" s="1"/>
  <c r="AZ37" i="12"/>
  <c r="BC37" i="12" s="1"/>
  <c r="BE36" i="12"/>
  <c r="AZ35" i="12"/>
  <c r="BC35" i="12" s="1"/>
  <c r="BE34" i="12"/>
  <c r="BE94" i="12" s="1"/>
  <c r="BE96" i="12" s="1"/>
  <c r="AZ34" i="12"/>
  <c r="BC23" i="12"/>
  <c r="BG23" i="12" s="1"/>
  <c r="BC21" i="12"/>
  <c r="BG21" i="12" s="1"/>
  <c r="BC20" i="12"/>
  <c r="BG20" i="12" s="1"/>
  <c r="BC19" i="12"/>
  <c r="BG19" i="12" s="1"/>
  <c r="BE18" i="12"/>
  <c r="BG18" i="12" s="1"/>
  <c r="BC18" i="12"/>
  <c r="BE17" i="12"/>
  <c r="BG17" i="12" s="1"/>
  <c r="BA17" i="12"/>
  <c r="BC17" i="12" s="1"/>
  <c r="AZ17" i="12"/>
  <c r="BC14" i="12"/>
  <c r="BG14" i="12" s="1"/>
  <c r="BG13" i="12"/>
  <c r="BC13" i="12"/>
  <c r="BE12" i="12"/>
  <c r="BE15" i="12" s="1"/>
  <c r="BA12" i="12"/>
  <c r="BA15" i="12" s="1"/>
  <c r="AZ12" i="12"/>
  <c r="AZ15" i="12" s="1"/>
  <c r="B135" i="31"/>
  <c r="B134" i="31"/>
  <c r="B133" i="31"/>
  <c r="B132" i="31"/>
  <c r="B131" i="31"/>
  <c r="B130" i="31"/>
  <c r="B129" i="31"/>
  <c r="B128" i="31"/>
  <c r="B127" i="31"/>
  <c r="B126" i="31"/>
  <c r="B125" i="31"/>
  <c r="B124" i="31"/>
  <c r="AY110" i="31"/>
  <c r="AW110" i="31"/>
  <c r="AS110" i="31"/>
  <c r="AR110" i="31"/>
  <c r="AN110" i="31"/>
  <c r="AL110" i="31"/>
  <c r="AH110" i="31"/>
  <c r="AG110" i="31"/>
  <c r="AE110" i="31"/>
  <c r="AC110" i="31"/>
  <c r="Y110" i="31"/>
  <c r="X110" i="31"/>
  <c r="V110" i="31"/>
  <c r="T110" i="31"/>
  <c r="P110" i="31"/>
  <c r="O110" i="31"/>
  <c r="L110" i="31"/>
  <c r="I110" i="31"/>
  <c r="H110" i="31"/>
  <c r="F110" i="31"/>
  <c r="AS109" i="31"/>
  <c r="Y109" i="31"/>
  <c r="I109" i="31"/>
  <c r="AY108" i="31"/>
  <c r="AS108" i="31"/>
  <c r="AN108" i="31"/>
  <c r="AL108" i="31"/>
  <c r="AH108" i="31"/>
  <c r="AG108" i="31"/>
  <c r="AE108" i="31"/>
  <c r="AC108" i="31"/>
  <c r="Y108" i="31"/>
  <c r="X108" i="31"/>
  <c r="V108" i="31"/>
  <c r="T108" i="31"/>
  <c r="L108" i="31"/>
  <c r="F108" i="31"/>
  <c r="AR107" i="31"/>
  <c r="AE107" i="31"/>
  <c r="L107" i="31"/>
  <c r="I107" i="31"/>
  <c r="H107" i="31"/>
  <c r="F107" i="31"/>
  <c r="J93" i="31"/>
  <c r="J92" i="31"/>
  <c r="J91" i="31"/>
  <c r="J90" i="31"/>
  <c r="AU87" i="31"/>
  <c r="AU86" i="31"/>
  <c r="AU85" i="31"/>
  <c r="AU84" i="31"/>
  <c r="AU83" i="31"/>
  <c r="AU82" i="31"/>
  <c r="AU81" i="31"/>
  <c r="AU80" i="31"/>
  <c r="AU79" i="31"/>
  <c r="AU78" i="31"/>
  <c r="AU77" i="31"/>
  <c r="AU76" i="31"/>
  <c r="J76" i="31"/>
  <c r="J74" i="31"/>
  <c r="M74" i="31" s="1"/>
  <c r="AU71" i="31"/>
  <c r="AU70" i="31"/>
  <c r="J70" i="31"/>
  <c r="M70" i="31" s="1"/>
  <c r="J69" i="31"/>
  <c r="M69" i="31" s="1"/>
  <c r="AU68" i="31"/>
  <c r="J68" i="31"/>
  <c r="AU66" i="31"/>
  <c r="J66" i="31"/>
  <c r="AY65" i="31"/>
  <c r="AW65" i="31"/>
  <c r="AU65" i="31"/>
  <c r="AU64" i="31"/>
  <c r="AN64" i="31"/>
  <c r="AL64" i="31"/>
  <c r="AL109" i="31" s="1"/>
  <c r="J64" i="31"/>
  <c r="AY62" i="31"/>
  <c r="AW62" i="31"/>
  <c r="AW108" i="31" s="1"/>
  <c r="AU62" i="31"/>
  <c r="AR62" i="31"/>
  <c r="AR108" i="31" s="1"/>
  <c r="P62" i="31"/>
  <c r="O62" i="31"/>
  <c r="M62" i="31"/>
  <c r="L62" i="31"/>
  <c r="I62" i="31"/>
  <c r="H62" i="31"/>
  <c r="J62" i="31" s="1"/>
  <c r="AU59" i="31"/>
  <c r="P58" i="31"/>
  <c r="O58" i="31"/>
  <c r="M58" i="31"/>
  <c r="L58" i="31"/>
  <c r="I58" i="31"/>
  <c r="H58" i="31"/>
  <c r="J58" i="31" s="1"/>
  <c r="AU57" i="31"/>
  <c r="P57" i="31"/>
  <c r="P108" i="31" s="1"/>
  <c r="O57" i="31"/>
  <c r="O108" i="31" s="1"/>
  <c r="M57" i="31"/>
  <c r="M108" i="31" s="1"/>
  <c r="L57" i="31"/>
  <c r="L113" i="31" s="1"/>
  <c r="I57" i="31"/>
  <c r="I113" i="31" s="1"/>
  <c r="H57" i="31"/>
  <c r="AU56" i="31"/>
  <c r="J56" i="31"/>
  <c r="AU55" i="31"/>
  <c r="J55" i="31"/>
  <c r="AU54" i="31"/>
  <c r="M54" i="31"/>
  <c r="M113" i="31" s="1"/>
  <c r="J54" i="31"/>
  <c r="M52" i="31"/>
  <c r="J52" i="31"/>
  <c r="J51" i="31"/>
  <c r="M51" i="31" s="1"/>
  <c r="J50" i="31"/>
  <c r="J45" i="31"/>
  <c r="M45" i="31" s="1"/>
  <c r="M107" i="31" s="1"/>
  <c r="AY44" i="31"/>
  <c r="AW44" i="31"/>
  <c r="AS44" i="31"/>
  <c r="AU44" i="31" s="1"/>
  <c r="AR44" i="31"/>
  <c r="AN44" i="31"/>
  <c r="AN107" i="31" s="1"/>
  <c r="AL44" i="31"/>
  <c r="Y44" i="31"/>
  <c r="X44" i="31"/>
  <c r="X107" i="31" s="1"/>
  <c r="V44" i="31"/>
  <c r="V107" i="31" s="1"/>
  <c r="T44" i="31"/>
  <c r="P44" i="31"/>
  <c r="O44" i="31"/>
  <c r="J43" i="31"/>
  <c r="AY41" i="31"/>
  <c r="AW41" i="31"/>
  <c r="AS41" i="31"/>
  <c r="AU41" i="31" s="1"/>
  <c r="AR41" i="31"/>
  <c r="AY39" i="31"/>
  <c r="AY38" i="31" s="1"/>
  <c r="AW39" i="31"/>
  <c r="AW38" i="31" s="1"/>
  <c r="AU39" i="31"/>
  <c r="AS38" i="31"/>
  <c r="AU38" i="31" s="1"/>
  <c r="AR38" i="31"/>
  <c r="AN38" i="31"/>
  <c r="AL38" i="31"/>
  <c r="AL107" i="31" s="1"/>
  <c r="AL111" i="31" s="1"/>
  <c r="AH38" i="31"/>
  <c r="AH113" i="31" s="1"/>
  <c r="AG38" i="31"/>
  <c r="AG107" i="31" s="1"/>
  <c r="AE38" i="31"/>
  <c r="AC38" i="31"/>
  <c r="Y38" i="31"/>
  <c r="Y113" i="31" s="1"/>
  <c r="X38" i="31"/>
  <c r="V38" i="31"/>
  <c r="T38" i="31"/>
  <c r="T107" i="31" s="1"/>
  <c r="P38" i="31"/>
  <c r="P113" i="31" s="1"/>
  <c r="O38" i="31"/>
  <c r="O107" i="31" s="1"/>
  <c r="O111" i="31" s="1"/>
  <c r="J37" i="31"/>
  <c r="M31" i="31"/>
  <c r="M76" i="31" s="1"/>
  <c r="M110" i="31" s="1"/>
  <c r="AY30" i="31"/>
  <c r="AY109" i="31" s="1"/>
  <c r="AW30" i="31"/>
  <c r="AW109" i="31" s="1"/>
  <c r="AS30" i="31"/>
  <c r="AR30" i="31"/>
  <c r="AR109" i="31" s="1"/>
  <c r="AN30" i="31"/>
  <c r="AN109" i="31" s="1"/>
  <c r="AL30" i="31"/>
  <c r="AH30" i="31"/>
  <c r="AH109" i="31" s="1"/>
  <c r="AG30" i="31"/>
  <c r="AG109" i="31" s="1"/>
  <c r="AE30" i="31"/>
  <c r="AE109" i="31" s="1"/>
  <c r="AC30" i="31"/>
  <c r="AC109" i="31" s="1"/>
  <c r="Y30" i="31"/>
  <c r="X30" i="31"/>
  <c r="X109" i="31" s="1"/>
  <c r="V30" i="31"/>
  <c r="V109" i="31" s="1"/>
  <c r="T30" i="31"/>
  <c r="T109" i="31" s="1"/>
  <c r="P30" i="31"/>
  <c r="P109" i="31" s="1"/>
  <c r="O30" i="31"/>
  <c r="O109" i="31" s="1"/>
  <c r="M30" i="31"/>
  <c r="M109" i="31" s="1"/>
  <c r="L30" i="31"/>
  <c r="L109" i="31" s="1"/>
  <c r="I30" i="31"/>
  <c r="H30" i="31"/>
  <c r="H109" i="31" s="1"/>
  <c r="F30" i="31"/>
  <c r="F109" i="31" s="1"/>
  <c r="J29" i="31"/>
  <c r="AU28" i="31"/>
  <c r="J28" i="31"/>
  <c r="J27" i="31"/>
  <c r="AU26" i="31"/>
  <c r="AY24" i="31"/>
  <c r="AU24" i="31"/>
  <c r="AH24" i="31"/>
  <c r="AC24" i="31"/>
  <c r="Y24" i="31"/>
  <c r="I24" i="31"/>
  <c r="J24" i="31" s="1"/>
  <c r="F24" i="31"/>
  <c r="AW22" i="31"/>
  <c r="J22" i="31"/>
  <c r="AY21" i="31"/>
  <c r="AW21" i="31"/>
  <c r="AW20" i="31" s="1"/>
  <c r="AW18" i="31" s="1"/>
  <c r="AS21" i="31"/>
  <c r="AU21" i="31" s="1"/>
  <c r="AR21" i="31"/>
  <c r="V21" i="31"/>
  <c r="V20" i="31" s="1"/>
  <c r="V18" i="31" s="1"/>
  <c r="T21" i="31"/>
  <c r="P21" i="31"/>
  <c r="P20" i="31" s="1"/>
  <c r="P18" i="31" s="1"/>
  <c r="O21" i="31"/>
  <c r="AY20" i="31"/>
  <c r="AS20" i="31"/>
  <c r="AU20" i="31" s="1"/>
  <c r="AR20" i="31"/>
  <c r="AR18" i="31" s="1"/>
  <c r="AN20" i="31"/>
  <c r="AL20" i="31"/>
  <c r="AL18" i="31" s="1"/>
  <c r="AH20" i="31"/>
  <c r="AG20" i="31"/>
  <c r="AG24" i="31" s="1"/>
  <c r="AE20" i="31"/>
  <c r="AE24" i="31" s="1"/>
  <c r="AC20" i="31"/>
  <c r="Y20" i="31"/>
  <c r="X20" i="31"/>
  <c r="X24" i="31" s="1"/>
  <c r="T20" i="31"/>
  <c r="T18" i="31" s="1"/>
  <c r="O20" i="31"/>
  <c r="O18" i="31" s="1"/>
  <c r="M19" i="31"/>
  <c r="L19" i="31"/>
  <c r="I19" i="31"/>
  <c r="J19" i="31" s="1"/>
  <c r="H19" i="31"/>
  <c r="F19" i="31"/>
  <c r="AY18" i="31"/>
  <c r="AS18" i="31"/>
  <c r="AN18" i="31"/>
  <c r="M18" i="31"/>
  <c r="L18" i="31"/>
  <c r="H18" i="31"/>
  <c r="AU16" i="31"/>
  <c r="AL16" i="31"/>
  <c r="AG16" i="31"/>
  <c r="AE16" i="31"/>
  <c r="AC16" i="31"/>
  <c r="M16" i="31"/>
  <c r="I16" i="31"/>
  <c r="AY15" i="31"/>
  <c r="AW15" i="31"/>
  <c r="AS15" i="31"/>
  <c r="AS12" i="31" s="1"/>
  <c r="AU12" i="31" s="1"/>
  <c r="AR15" i="31"/>
  <c r="J14" i="31"/>
  <c r="AY13" i="31"/>
  <c r="AY12" i="31" s="1"/>
  <c r="AN13" i="31"/>
  <c r="AN16" i="31" s="1"/>
  <c r="AH13" i="31"/>
  <c r="AH16" i="31" s="1"/>
  <c r="AE13" i="31"/>
  <c r="X13" i="31"/>
  <c r="X16" i="31" s="1"/>
  <c r="T13" i="31"/>
  <c r="T16" i="31" s="1"/>
  <c r="P13" i="31"/>
  <c r="O13" i="31"/>
  <c r="M13" i="31"/>
  <c r="L13" i="31"/>
  <c r="I13" i="31"/>
  <c r="H13" i="31"/>
  <c r="H16" i="31" s="1"/>
  <c r="J16" i="31" s="1"/>
  <c r="AW12" i="31"/>
  <c r="AR12" i="31"/>
  <c r="V12" i="31"/>
  <c r="P12" i="31"/>
  <c r="P16" i="31" s="1"/>
  <c r="O12" i="31"/>
  <c r="O16" i="31" s="1"/>
  <c r="M12" i="31"/>
  <c r="L12" i="31"/>
  <c r="L16" i="31" s="1"/>
  <c r="J12" i="31"/>
  <c r="AN10" i="31"/>
  <c r="AL10" i="31"/>
  <c r="AC10" i="31"/>
  <c r="AE10" i="31" s="1"/>
  <c r="V10" i="31"/>
  <c r="T10" i="31"/>
  <c r="T7" i="31"/>
  <c r="X7" i="31" s="1"/>
  <c r="AC7" i="31" s="1"/>
  <c r="AG7" i="31" s="1"/>
  <c r="AL7" i="31" s="1"/>
  <c r="AR7" i="31" s="1"/>
  <c r="AW7" i="31" s="1"/>
  <c r="O7" i="31"/>
  <c r="BJ110" i="31"/>
  <c r="BH110" i="31"/>
  <c r="BD110" i="31"/>
  <c r="BC110" i="31"/>
  <c r="BD109" i="31"/>
  <c r="BD111" i="31" s="1"/>
  <c r="BC109" i="31"/>
  <c r="BC113" i="31" s="1"/>
  <c r="BC115" i="31" s="1"/>
  <c r="BJ108" i="31"/>
  <c r="BH108" i="31"/>
  <c r="BD108" i="31"/>
  <c r="BC108" i="31"/>
  <c r="BJ107" i="31"/>
  <c r="BH107" i="31"/>
  <c r="BD107" i="31"/>
  <c r="BC107" i="31"/>
  <c r="BK72" i="31"/>
  <c r="BF72" i="31"/>
  <c r="BK71" i="31"/>
  <c r="BF71" i="31"/>
  <c r="BK70" i="31"/>
  <c r="BF70" i="31"/>
  <c r="BK68" i="31"/>
  <c r="BF68" i="31"/>
  <c r="BK67" i="31"/>
  <c r="BF67" i="31"/>
  <c r="BK66" i="31"/>
  <c r="BF66" i="31"/>
  <c r="BJ65" i="31"/>
  <c r="BK65" i="31" s="1"/>
  <c r="BH65" i="31"/>
  <c r="BH109" i="31" s="1"/>
  <c r="BH113" i="31" s="1"/>
  <c r="BH115" i="31" s="1"/>
  <c r="BF65" i="31"/>
  <c r="BD65" i="31"/>
  <c r="BC65" i="31"/>
  <c r="BK64" i="31"/>
  <c r="BF64" i="31"/>
  <c r="BF62" i="31"/>
  <c r="BK60" i="31"/>
  <c r="BF60" i="31"/>
  <c r="BK59" i="31"/>
  <c r="BF59" i="31"/>
  <c r="BK57" i="31"/>
  <c r="BF57" i="31"/>
  <c r="BK56" i="31"/>
  <c r="BF56" i="31"/>
  <c r="BK55" i="31"/>
  <c r="BF55" i="31"/>
  <c r="BK54" i="31"/>
  <c r="BF52" i="31"/>
  <c r="BK51" i="31"/>
  <c r="BF51" i="31"/>
  <c r="BK48" i="31"/>
  <c r="BF48" i="31"/>
  <c r="BK47" i="31"/>
  <c r="BF47" i="31"/>
  <c r="BK45" i="31"/>
  <c r="BF45" i="31"/>
  <c r="BK44" i="31"/>
  <c r="BF44" i="31"/>
  <c r="BF42" i="31"/>
  <c r="BK41" i="31"/>
  <c r="BF41" i="31"/>
  <c r="BK39" i="31"/>
  <c r="BF39" i="31"/>
  <c r="BK38" i="31"/>
  <c r="BF38" i="31"/>
  <c r="BJ30" i="31"/>
  <c r="BH30" i="31"/>
  <c r="BK30" i="31" s="1"/>
  <c r="BD30" i="31"/>
  <c r="BC30" i="31"/>
  <c r="BK28" i="31"/>
  <c r="BF28" i="31"/>
  <c r="BK26" i="31"/>
  <c r="BF26" i="31"/>
  <c r="BD24" i="31"/>
  <c r="BF24" i="31" s="1"/>
  <c r="BK23" i="31"/>
  <c r="BK22" i="31"/>
  <c r="BF22" i="31"/>
  <c r="BJ21" i="31"/>
  <c r="BK21" i="31" s="1"/>
  <c r="BD21" i="31"/>
  <c r="BC21" i="31"/>
  <c r="BC24" i="31" s="1"/>
  <c r="BK20" i="31"/>
  <c r="BJ20" i="31"/>
  <c r="BH20" i="31"/>
  <c r="BD20" i="31"/>
  <c r="BC20" i="31"/>
  <c r="BJ18" i="31"/>
  <c r="BJ24" i="31" s="1"/>
  <c r="BK24" i="31" s="1"/>
  <c r="BH18" i="31"/>
  <c r="BH24" i="31" s="1"/>
  <c r="BF18" i="31"/>
  <c r="BD18" i="31"/>
  <c r="BC18" i="31"/>
  <c r="BD16" i="31"/>
  <c r="BF16" i="31" s="1"/>
  <c r="BC16" i="31"/>
  <c r="BF15" i="31"/>
  <c r="BK14" i="31"/>
  <c r="BK13" i="31"/>
  <c r="BD13" i="31"/>
  <c r="BJ12" i="31"/>
  <c r="BJ16" i="31" s="1"/>
  <c r="BH12" i="31"/>
  <c r="BH16" i="31" s="1"/>
  <c r="BF12" i="31"/>
  <c r="BD12" i="31"/>
  <c r="BC12" i="31"/>
  <c r="AI109" i="27"/>
  <c r="AE109" i="27"/>
  <c r="AA109" i="27"/>
  <c r="Z109" i="27"/>
  <c r="R109" i="27"/>
  <c r="R110" i="27" s="1"/>
  <c r="BI105" i="27"/>
  <c r="BG105" i="27"/>
  <c r="BC105" i="27"/>
  <c r="BB105" i="27"/>
  <c r="AZ105" i="27"/>
  <c r="AX105" i="27"/>
  <c r="AT105" i="27"/>
  <c r="AS105" i="27"/>
  <c r="AP105" i="27"/>
  <c r="AN105" i="27"/>
  <c r="AJ105" i="27"/>
  <c r="AI105" i="27"/>
  <c r="AG105" i="27"/>
  <c r="AE105" i="27"/>
  <c r="AA105" i="27"/>
  <c r="Z105" i="27"/>
  <c r="V105" i="27"/>
  <c r="R105" i="27"/>
  <c r="O105" i="27"/>
  <c r="L105" i="27"/>
  <c r="I105" i="27"/>
  <c r="H105" i="27"/>
  <c r="F105" i="27"/>
  <c r="AI103" i="27"/>
  <c r="AE103" i="27"/>
  <c r="AA103" i="27"/>
  <c r="Z103" i="27"/>
  <c r="AT102" i="27"/>
  <c r="AS102" i="27"/>
  <c r="AN102" i="27"/>
  <c r="AI102" i="27"/>
  <c r="AE102" i="27"/>
  <c r="AA102" i="27"/>
  <c r="Z102" i="27"/>
  <c r="O102" i="27"/>
  <c r="L102" i="27"/>
  <c r="I102" i="27"/>
  <c r="H102" i="27"/>
  <c r="F102" i="27"/>
  <c r="J99" i="27"/>
  <c r="M99" i="27" s="1"/>
  <c r="J98" i="27"/>
  <c r="M98" i="27" s="1"/>
  <c r="J97" i="27"/>
  <c r="M97" i="27" s="1"/>
  <c r="J96" i="27"/>
  <c r="M96" i="27" s="1"/>
  <c r="J95" i="27"/>
  <c r="M95" i="27" s="1"/>
  <c r="J94" i="27"/>
  <c r="M94" i="27" s="1"/>
  <c r="J93" i="27"/>
  <c r="M93" i="27" s="1"/>
  <c r="AX92" i="27"/>
  <c r="AZ92" i="27" s="1"/>
  <c r="AT92" i="27"/>
  <c r="AV92" i="27" s="1"/>
  <c r="AS92" i="27"/>
  <c r="AN92" i="27"/>
  <c r="AC92" i="27"/>
  <c r="AG92" i="27" s="1"/>
  <c r="AJ92" i="27" s="1"/>
  <c r="AL92" i="27" s="1"/>
  <c r="AP92" i="27" s="1"/>
  <c r="J92" i="27"/>
  <c r="M92" i="27" s="1"/>
  <c r="AT91" i="27"/>
  <c r="AS91" i="27"/>
  <c r="AN91" i="27"/>
  <c r="AC91" i="27"/>
  <c r="AG91" i="27" s="1"/>
  <c r="AJ91" i="27" s="1"/>
  <c r="AL91" i="27" s="1"/>
  <c r="J91" i="27"/>
  <c r="M91" i="27" s="1"/>
  <c r="AV90" i="27"/>
  <c r="AS90" i="27"/>
  <c r="AN90" i="27"/>
  <c r="AZ85" i="27"/>
  <c r="AT85" i="27"/>
  <c r="AC85" i="27"/>
  <c r="AG85" i="27" s="1"/>
  <c r="AJ85" i="27" s="1"/>
  <c r="AL85" i="27" s="1"/>
  <c r="AP85" i="27" s="1"/>
  <c r="O85" i="27"/>
  <c r="L85" i="27"/>
  <c r="I85" i="27"/>
  <c r="J85" i="27" s="1"/>
  <c r="H85" i="27"/>
  <c r="F85" i="27"/>
  <c r="AZ84" i="27"/>
  <c r="AT84" i="27"/>
  <c r="AC84" i="27"/>
  <c r="AG84" i="27" s="1"/>
  <c r="AJ84" i="27" s="1"/>
  <c r="AL84" i="27" s="1"/>
  <c r="AP84" i="27" s="1"/>
  <c r="O84" i="27"/>
  <c r="L84" i="27"/>
  <c r="I84" i="27"/>
  <c r="H84" i="27"/>
  <c r="J84" i="27" s="1"/>
  <c r="M84" i="27" s="1"/>
  <c r="F84" i="27"/>
  <c r="AZ83" i="27"/>
  <c r="AT83" i="27"/>
  <c r="AG83" i="27"/>
  <c r="AJ83" i="27" s="1"/>
  <c r="AL83" i="27" s="1"/>
  <c r="AP83" i="27" s="1"/>
  <c r="AC83" i="27"/>
  <c r="O83" i="27"/>
  <c r="L83" i="27"/>
  <c r="AZ82" i="27"/>
  <c r="AT82" i="27"/>
  <c r="AP82" i="27"/>
  <c r="AG82" i="27"/>
  <c r="AJ82" i="27" s="1"/>
  <c r="O82" i="27"/>
  <c r="L82" i="27"/>
  <c r="I82" i="27"/>
  <c r="H82" i="27"/>
  <c r="J82" i="27" s="1"/>
  <c r="J83" i="27" s="1"/>
  <c r="F82" i="27"/>
  <c r="P77" i="27"/>
  <c r="P105" i="27" s="1"/>
  <c r="J77" i="27"/>
  <c r="M77" i="27" s="1"/>
  <c r="M105" i="27" s="1"/>
  <c r="J75" i="27"/>
  <c r="P75" i="27" s="1"/>
  <c r="J74" i="27"/>
  <c r="P74" i="27" s="1"/>
  <c r="P73" i="27"/>
  <c r="M73" i="27"/>
  <c r="J72" i="27"/>
  <c r="P72" i="27" s="1"/>
  <c r="BI71" i="27"/>
  <c r="BG71" i="27"/>
  <c r="BC71" i="27"/>
  <c r="BE71" i="27" s="1"/>
  <c r="BB71" i="27"/>
  <c r="AZ71" i="27"/>
  <c r="AX71" i="27"/>
  <c r="AT71" i="27"/>
  <c r="AV71" i="27" s="1"/>
  <c r="AS71" i="27"/>
  <c r="O71" i="27"/>
  <c r="P71" i="27" s="1"/>
  <c r="L71" i="27"/>
  <c r="M71" i="27" s="1"/>
  <c r="I71" i="27"/>
  <c r="H71" i="27"/>
  <c r="J71" i="27" s="1"/>
  <c r="F71" i="27"/>
  <c r="BI70" i="27"/>
  <c r="BG70" i="27"/>
  <c r="BC70" i="27"/>
  <c r="BB70" i="27"/>
  <c r="AZ70" i="27"/>
  <c r="AX70" i="27"/>
  <c r="AT70" i="27"/>
  <c r="AV70" i="27" s="1"/>
  <c r="AS70" i="27"/>
  <c r="AC70" i="27"/>
  <c r="AG70" i="27" s="1"/>
  <c r="AJ70" i="27" s="1"/>
  <c r="AL70" i="27" s="1"/>
  <c r="O70" i="27"/>
  <c r="L70" i="27"/>
  <c r="I70" i="27"/>
  <c r="H70" i="27"/>
  <c r="J70" i="27" s="1"/>
  <c r="F70" i="27"/>
  <c r="BI69" i="27"/>
  <c r="BG69" i="27"/>
  <c r="BC69" i="27"/>
  <c r="BE69" i="27" s="1"/>
  <c r="BB69" i="27"/>
  <c r="AZ69" i="27"/>
  <c r="AX69" i="27"/>
  <c r="AV69" i="27"/>
  <c r="AT69" i="27"/>
  <c r="AS69" i="27"/>
  <c r="AC69" i="27"/>
  <c r="AC71" i="27" s="1"/>
  <c r="AG71" i="27" s="1"/>
  <c r="AJ71" i="27" s="1"/>
  <c r="V69" i="27"/>
  <c r="R69" i="27"/>
  <c r="O69" i="27"/>
  <c r="BI68" i="27"/>
  <c r="BG68" i="27"/>
  <c r="BC68" i="27"/>
  <c r="BB68" i="27"/>
  <c r="AZ68" i="27"/>
  <c r="AX68" i="27"/>
  <c r="AT68" i="27"/>
  <c r="AS68" i="27"/>
  <c r="AC68" i="27"/>
  <c r="AG68" i="27" s="1"/>
  <c r="V68" i="27"/>
  <c r="R68" i="27"/>
  <c r="O68" i="27"/>
  <c r="L68" i="27"/>
  <c r="I68" i="27"/>
  <c r="H68" i="27"/>
  <c r="J68" i="27" s="1"/>
  <c r="J69" i="27" s="1"/>
  <c r="M69" i="27" s="1"/>
  <c r="F68" i="27"/>
  <c r="M66" i="27"/>
  <c r="J66" i="27"/>
  <c r="P66" i="27" s="1"/>
  <c r="BB65" i="27"/>
  <c r="BG65" i="27" s="1"/>
  <c r="AN65" i="27"/>
  <c r="AC65" i="27"/>
  <c r="AG65" i="27" s="1"/>
  <c r="AJ65" i="27" s="1"/>
  <c r="AL65" i="27" s="1"/>
  <c r="BE63" i="27"/>
  <c r="AN63" i="27"/>
  <c r="AS63" i="27" s="1"/>
  <c r="AX63" i="27" s="1"/>
  <c r="AZ63" i="27" s="1"/>
  <c r="AG63" i="27"/>
  <c r="AJ63" i="27" s="1"/>
  <c r="AL63" i="27" s="1"/>
  <c r="AP63" i="27" s="1"/>
  <c r="AT63" i="27" s="1"/>
  <c r="AV63" i="27" s="1"/>
  <c r="AC63" i="27"/>
  <c r="J63" i="27"/>
  <c r="M63" i="27" s="1"/>
  <c r="BE62" i="27"/>
  <c r="AS62" i="27"/>
  <c r="AX62" i="27" s="1"/>
  <c r="AZ62" i="27" s="1"/>
  <c r="AN62" i="27"/>
  <c r="AC62" i="27"/>
  <c r="AG62" i="27" s="1"/>
  <c r="AJ62" i="27" s="1"/>
  <c r="AL62" i="27" s="1"/>
  <c r="BE61" i="27"/>
  <c r="AN61" i="27"/>
  <c r="AC61" i="27"/>
  <c r="AG61" i="27" s="1"/>
  <c r="AJ61" i="27" s="1"/>
  <c r="AL61" i="27" s="1"/>
  <c r="BE60" i="27"/>
  <c r="AN60" i="27"/>
  <c r="AC60" i="27"/>
  <c r="AG60" i="27" s="1"/>
  <c r="AJ60" i="27" s="1"/>
  <c r="AL60" i="27" s="1"/>
  <c r="R60" i="27"/>
  <c r="V60" i="27" s="1"/>
  <c r="O60" i="27"/>
  <c r="L60" i="27"/>
  <c r="I60" i="27"/>
  <c r="H60" i="27"/>
  <c r="J60" i="27" s="1"/>
  <c r="F60" i="27"/>
  <c r="BE59" i="27"/>
  <c r="AN59" i="27"/>
  <c r="AS59" i="27" s="1"/>
  <c r="AX59" i="27" s="1"/>
  <c r="AZ59" i="27" s="1"/>
  <c r="AJ59" i="27"/>
  <c r="AL59" i="27" s="1"/>
  <c r="AC59" i="27"/>
  <c r="AG59" i="27" s="1"/>
  <c r="R59" i="27"/>
  <c r="V59" i="27" s="1"/>
  <c r="O59" i="27"/>
  <c r="L59" i="27"/>
  <c r="I59" i="27"/>
  <c r="H59" i="27"/>
  <c r="F59" i="27"/>
  <c r="BE58" i="27"/>
  <c r="AN58" i="27"/>
  <c r="AS58" i="27" s="1"/>
  <c r="AX58" i="27" s="1"/>
  <c r="AZ58" i="27" s="1"/>
  <c r="AC58" i="27"/>
  <c r="AG58" i="27" s="1"/>
  <c r="AJ58" i="27" s="1"/>
  <c r="AL58" i="27" s="1"/>
  <c r="R58" i="27"/>
  <c r="V58" i="27" s="1"/>
  <c r="O58" i="27"/>
  <c r="L58" i="27"/>
  <c r="I58" i="27"/>
  <c r="H58" i="27"/>
  <c r="F58" i="27"/>
  <c r="AN57" i="27"/>
  <c r="AP57" i="27" s="1"/>
  <c r="AT57" i="27" s="1"/>
  <c r="AG57" i="27"/>
  <c r="AJ57" i="27" s="1"/>
  <c r="R57" i="27"/>
  <c r="V57" i="27" s="1"/>
  <c r="O57" i="27"/>
  <c r="L57" i="27"/>
  <c r="I57" i="27"/>
  <c r="H57" i="27"/>
  <c r="J57" i="27" s="1"/>
  <c r="F57" i="27"/>
  <c r="BE56" i="27"/>
  <c r="AN56" i="27"/>
  <c r="AS56" i="27" s="1"/>
  <c r="AX56" i="27" s="1"/>
  <c r="AZ56" i="27" s="1"/>
  <c r="AC56" i="27"/>
  <c r="AG56" i="27" s="1"/>
  <c r="AJ56" i="27" s="1"/>
  <c r="AL56" i="27" s="1"/>
  <c r="AP56" i="27" s="1"/>
  <c r="AT56" i="27" s="1"/>
  <c r="AV56" i="27" s="1"/>
  <c r="R56" i="27"/>
  <c r="V56" i="27" s="1"/>
  <c r="O56" i="27"/>
  <c r="L56" i="27"/>
  <c r="I56" i="27"/>
  <c r="H56" i="27"/>
  <c r="F56" i="27"/>
  <c r="AN55" i="27"/>
  <c r="AS55" i="27" s="1"/>
  <c r="AC55" i="27"/>
  <c r="AG55" i="27" s="1"/>
  <c r="AJ55" i="27" s="1"/>
  <c r="R55" i="27"/>
  <c r="O55" i="27"/>
  <c r="L55" i="27"/>
  <c r="I55" i="27"/>
  <c r="H55" i="27"/>
  <c r="F55" i="27"/>
  <c r="P52" i="27"/>
  <c r="J52" i="27"/>
  <c r="M52" i="27" s="1"/>
  <c r="J51" i="27"/>
  <c r="M51" i="27" s="1"/>
  <c r="J50" i="27"/>
  <c r="P50" i="27" s="1"/>
  <c r="BE49" i="27"/>
  <c r="AZ49" i="27"/>
  <c r="AX49" i="27"/>
  <c r="AV49" i="27"/>
  <c r="BI48" i="27"/>
  <c r="BI47" i="27" s="1"/>
  <c r="BG48" i="27"/>
  <c r="BC48" i="27"/>
  <c r="BE48" i="27" s="1"/>
  <c r="BB48" i="27"/>
  <c r="AZ48" i="27"/>
  <c r="AX48" i="27"/>
  <c r="AV48" i="27"/>
  <c r="AG48" i="27"/>
  <c r="AJ48" i="27" s="1"/>
  <c r="AC48" i="27"/>
  <c r="BG47" i="27"/>
  <c r="BB47" i="27"/>
  <c r="AZ47" i="27"/>
  <c r="AX47" i="27"/>
  <c r="AV47" i="27"/>
  <c r="AG47" i="27"/>
  <c r="AJ47" i="27" s="1"/>
  <c r="AL47" i="27" s="1"/>
  <c r="AC47" i="27"/>
  <c r="BE46" i="27"/>
  <c r="AZ46" i="27"/>
  <c r="AX46" i="27"/>
  <c r="AV46" i="27"/>
  <c r="V46" i="27"/>
  <c r="R46" i="27"/>
  <c r="J46" i="27"/>
  <c r="P46" i="27" s="1"/>
  <c r="BI45" i="27"/>
  <c r="BG45" i="27"/>
  <c r="BG44" i="27" s="1"/>
  <c r="BC45" i="27"/>
  <c r="BB45" i="27"/>
  <c r="BB44" i="27" s="1"/>
  <c r="AZ45" i="27"/>
  <c r="AX45" i="27"/>
  <c r="AV45" i="27"/>
  <c r="AL45" i="27"/>
  <c r="AG45" i="27"/>
  <c r="AJ45" i="27" s="1"/>
  <c r="AC45" i="27"/>
  <c r="BI44" i="27"/>
  <c r="AZ44" i="27"/>
  <c r="AX44" i="27"/>
  <c r="AV44" i="27"/>
  <c r="AG44" i="27"/>
  <c r="AJ44" i="27" s="1"/>
  <c r="AC44" i="27"/>
  <c r="BE43" i="27"/>
  <c r="AZ43" i="27"/>
  <c r="AX43" i="27"/>
  <c r="AV43" i="27"/>
  <c r="V43" i="27"/>
  <c r="R43" i="27"/>
  <c r="J43" i="27"/>
  <c r="P43" i="27" s="1"/>
  <c r="BI42" i="27"/>
  <c r="BI41" i="27" s="1"/>
  <c r="BG42" i="27"/>
  <c r="BC42" i="27"/>
  <c r="BB42" i="27"/>
  <c r="BB41" i="27" s="1"/>
  <c r="BE41" i="27" s="1"/>
  <c r="AZ42" i="27"/>
  <c r="AX42" i="27"/>
  <c r="AV42" i="27"/>
  <c r="AG42" i="27"/>
  <c r="AJ42" i="27" s="1"/>
  <c r="AC42" i="27"/>
  <c r="BG41" i="27"/>
  <c r="BC41" i="27"/>
  <c r="AZ41" i="27"/>
  <c r="AX41" i="27"/>
  <c r="AV41" i="27"/>
  <c r="AG41" i="27"/>
  <c r="AJ41" i="27" s="1"/>
  <c r="AC41" i="27"/>
  <c r="BE40" i="27"/>
  <c r="AZ40" i="27"/>
  <c r="AX40" i="27"/>
  <c r="AV40" i="27"/>
  <c r="V40" i="27"/>
  <c r="R40" i="27"/>
  <c r="BI39" i="27"/>
  <c r="BI92" i="27" s="1"/>
  <c r="BG39" i="27"/>
  <c r="BC39" i="27"/>
  <c r="BE39" i="27" s="1"/>
  <c r="BB39" i="27"/>
  <c r="BB38" i="27" s="1"/>
  <c r="AZ39" i="27"/>
  <c r="AX39" i="27"/>
  <c r="AV39" i="27"/>
  <c r="AG39" i="27"/>
  <c r="AC39" i="27"/>
  <c r="BC38" i="27"/>
  <c r="BC91" i="27" s="1"/>
  <c r="AZ38" i="27"/>
  <c r="AX38" i="27"/>
  <c r="AV38" i="27"/>
  <c r="AJ38" i="27"/>
  <c r="AP38" i="27" s="1"/>
  <c r="AG38" i="27"/>
  <c r="AC38" i="27"/>
  <c r="BE37" i="27"/>
  <c r="AZ37" i="27"/>
  <c r="AZ102" i="27" s="1"/>
  <c r="AX37" i="27"/>
  <c r="AV37" i="27"/>
  <c r="V37" i="27"/>
  <c r="V102" i="27" s="1"/>
  <c r="R37" i="27"/>
  <c r="J37" i="27"/>
  <c r="P37" i="27" s="1"/>
  <c r="AT35" i="27"/>
  <c r="AJ35" i="27"/>
  <c r="AI35" i="27"/>
  <c r="J31" i="27"/>
  <c r="F31" i="27"/>
  <c r="BG30" i="27"/>
  <c r="BG104" i="27" s="1"/>
  <c r="AI30" i="27"/>
  <c r="AI104" i="27" s="1"/>
  <c r="AI108" i="27" s="1"/>
  <c r="AI117" i="27" s="1"/>
  <c r="AG30" i="27"/>
  <c r="AA30" i="27"/>
  <c r="AA104" i="27" s="1"/>
  <c r="AA108" i="27" s="1"/>
  <c r="Z30" i="27"/>
  <c r="Z104" i="27" s="1"/>
  <c r="Z108" i="27" s="1"/>
  <c r="O30" i="27"/>
  <c r="O104" i="27" s="1"/>
  <c r="L30" i="27"/>
  <c r="M30" i="27" s="1"/>
  <c r="H30" i="27"/>
  <c r="F30" i="27" s="1"/>
  <c r="F104" i="27" s="1"/>
  <c r="BC29" i="27"/>
  <c r="AZ29" i="27"/>
  <c r="AP29" i="27"/>
  <c r="P29" i="27"/>
  <c r="J29" i="27"/>
  <c r="M29" i="27" s="1"/>
  <c r="BC28" i="27"/>
  <c r="BE28" i="27" s="1"/>
  <c r="AC28" i="27"/>
  <c r="AG28" i="27" s="1"/>
  <c r="M28" i="27"/>
  <c r="J28" i="27"/>
  <c r="P28" i="27" s="1"/>
  <c r="BC27" i="27"/>
  <c r="AZ27" i="27"/>
  <c r="AP27" i="27"/>
  <c r="M27" i="27"/>
  <c r="J27" i="27"/>
  <c r="P27" i="27" s="1"/>
  <c r="BI26" i="27"/>
  <c r="BE26" i="27"/>
  <c r="AV26" i="27"/>
  <c r="AL26" i="27"/>
  <c r="AP26" i="27" s="1"/>
  <c r="J26" i="27"/>
  <c r="P24" i="27"/>
  <c r="O24" i="27"/>
  <c r="I24" i="27"/>
  <c r="H24" i="27"/>
  <c r="F24" i="27"/>
  <c r="BI22" i="27"/>
  <c r="AT22" i="27"/>
  <c r="AV22" i="27" s="1"/>
  <c r="AZ22" i="27" s="1"/>
  <c r="BC22" i="27" s="1"/>
  <c r="AL22" i="27"/>
  <c r="AP22" i="27" s="1"/>
  <c r="AA22" i="27"/>
  <c r="J22" i="27"/>
  <c r="BG21" i="27"/>
  <c r="BC21" i="27"/>
  <c r="BE21" i="27" s="1"/>
  <c r="BB21" i="27"/>
  <c r="AZ21" i="27"/>
  <c r="AX21" i="27"/>
  <c r="AT21" i="27"/>
  <c r="AV21" i="27" s="1"/>
  <c r="AS21" i="27"/>
  <c r="AN21" i="27"/>
  <c r="AJ21" i="27"/>
  <c r="AI21" i="27"/>
  <c r="AL21" i="27" s="1"/>
  <c r="AP21" i="27" s="1"/>
  <c r="AG21" i="27"/>
  <c r="AE21" i="27"/>
  <c r="AE24" i="27" s="1"/>
  <c r="AA21" i="27"/>
  <c r="Z21" i="27"/>
  <c r="BI20" i="27"/>
  <c r="BI21" i="27" s="1"/>
  <c r="BE20" i="27"/>
  <c r="AV20" i="27"/>
  <c r="AP20" i="27"/>
  <c r="AL20" i="27"/>
  <c r="AA20" i="27"/>
  <c r="J19" i="27"/>
  <c r="BI18" i="27"/>
  <c r="BI24" i="27" s="1"/>
  <c r="BG18" i="27"/>
  <c r="BG24" i="27" s="1"/>
  <c r="BC18" i="27"/>
  <c r="BB18" i="27"/>
  <c r="AZ18" i="27"/>
  <c r="AX18" i="27"/>
  <c r="AX24" i="27" s="1"/>
  <c r="AT18" i="27"/>
  <c r="AT24" i="27" s="1"/>
  <c r="AS18" i="27"/>
  <c r="AS24" i="27" s="1"/>
  <c r="AN18" i="27"/>
  <c r="AN70" i="27" s="1"/>
  <c r="AJ18" i="27"/>
  <c r="AI18" i="27"/>
  <c r="AG18" i="27"/>
  <c r="AG24" i="27" s="1"/>
  <c r="AE18" i="27"/>
  <c r="AA18" i="27"/>
  <c r="Z18" i="27"/>
  <c r="Z24" i="27" s="1"/>
  <c r="V18" i="27"/>
  <c r="V24" i="27" s="1"/>
  <c r="R18" i="27"/>
  <c r="R24" i="27" s="1"/>
  <c r="M18" i="27"/>
  <c r="L18" i="27"/>
  <c r="J18" i="27"/>
  <c r="BG16" i="27"/>
  <c r="AX16" i="27"/>
  <c r="P16" i="27"/>
  <c r="O16" i="27"/>
  <c r="M16" i="27"/>
  <c r="L16" i="27"/>
  <c r="I16" i="27"/>
  <c r="H16" i="27"/>
  <c r="J16" i="27" s="1"/>
  <c r="BI15" i="27"/>
  <c r="BG15" i="27"/>
  <c r="BC15" i="27"/>
  <c r="BE15" i="27" s="1"/>
  <c r="BB15" i="27"/>
  <c r="BB16" i="27" s="1"/>
  <c r="AZ15" i="27"/>
  <c r="AZ16" i="27" s="1"/>
  <c r="AX15" i="27"/>
  <c r="AT15" i="27"/>
  <c r="AT16" i="27" s="1"/>
  <c r="AS15" i="27"/>
  <c r="AN15" i="27"/>
  <c r="AJ15" i="27"/>
  <c r="AI15" i="27"/>
  <c r="AI16" i="27" s="1"/>
  <c r="AG15" i="27"/>
  <c r="AG16" i="27" s="1"/>
  <c r="AE15" i="27"/>
  <c r="AE16" i="27" s="1"/>
  <c r="AA15" i="27"/>
  <c r="AA16" i="27" s="1"/>
  <c r="Z15" i="27"/>
  <c r="Z16" i="27" s="1"/>
  <c r="BI14" i="27"/>
  <c r="BE14" i="27"/>
  <c r="AV14" i="27"/>
  <c r="AL14" i="27"/>
  <c r="AP14" i="27" s="1"/>
  <c r="V13" i="27"/>
  <c r="J13" i="27"/>
  <c r="BI12" i="27"/>
  <c r="BE12" i="27"/>
  <c r="AV12" i="27"/>
  <c r="AP12" i="27"/>
  <c r="AN12" i="27"/>
  <c r="AN16" i="27" s="1"/>
  <c r="AL12" i="27"/>
  <c r="V12" i="27"/>
  <c r="V16" i="27" s="1"/>
  <c r="R12" i="27"/>
  <c r="R16" i="27" s="1"/>
  <c r="J12" i="27"/>
  <c r="AI10" i="27"/>
  <c r="BF88" i="26" l="1"/>
  <c r="BA84" i="26"/>
  <c r="BA88" i="26" s="1"/>
  <c r="BB84" i="26"/>
  <c r="BB88" i="26" s="1"/>
  <c r="BB98" i="26"/>
  <c r="BH30" i="26"/>
  <c r="BH86" i="26" s="1"/>
  <c r="BH90" i="26" s="1"/>
  <c r="BD13" i="26"/>
  <c r="BH19" i="26"/>
  <c r="BK111" i="19"/>
  <c r="BK106" i="19"/>
  <c r="BM111" i="19"/>
  <c r="BM106" i="19"/>
  <c r="BF105" i="19"/>
  <c r="BG111" i="19"/>
  <c r="BG106" i="19"/>
  <c r="BF22" i="19"/>
  <c r="BI22" i="19" s="1"/>
  <c r="AG107" i="14"/>
  <c r="AG103" i="14"/>
  <c r="AG105" i="14" s="1"/>
  <c r="AG102" i="14"/>
  <c r="AG112" i="14"/>
  <c r="L101" i="14"/>
  <c r="L102" i="14" s="1"/>
  <c r="N101" i="14"/>
  <c r="S101" i="14"/>
  <c r="W101" i="14"/>
  <c r="AA107" i="14"/>
  <c r="AA103" i="14"/>
  <c r="AA105" i="14" s="1"/>
  <c r="AA102" i="14"/>
  <c r="AA112" i="14"/>
  <c r="AA108" i="14"/>
  <c r="AA109" i="14" s="1"/>
  <c r="AA104" i="14"/>
  <c r="AV101" i="14"/>
  <c r="AU101" i="14"/>
  <c r="AQ108" i="14"/>
  <c r="AQ109" i="14" s="1"/>
  <c r="AQ107" i="14"/>
  <c r="AQ102" i="14"/>
  <c r="AK102" i="14"/>
  <c r="AK103" i="14"/>
  <c r="AK105" i="14" s="1"/>
  <c r="AK107" i="14"/>
  <c r="I27" i="14"/>
  <c r="I99" i="14" s="1"/>
  <c r="I101" i="14" s="1"/>
  <c r="I102" i="14" s="1"/>
  <c r="AK108" i="14"/>
  <c r="AK109" i="14" s="1"/>
  <c r="AK104" i="14"/>
  <c r="AY101" i="14"/>
  <c r="AZ101" i="14"/>
  <c r="AZ102" i="14" s="1"/>
  <c r="BC101" i="14"/>
  <c r="BE101" i="14"/>
  <c r="BK23" i="45"/>
  <c r="BK16" i="45"/>
  <c r="BH101" i="45"/>
  <c r="BI29" i="45"/>
  <c r="BM101" i="45"/>
  <c r="BB91" i="42"/>
  <c r="BB95" i="42" s="1"/>
  <c r="BG91" i="42"/>
  <c r="BG95" i="42" s="1"/>
  <c r="BE93" i="42"/>
  <c r="BA98" i="42"/>
  <c r="BA93" i="42"/>
  <c r="BG98" i="42"/>
  <c r="BE98" i="42"/>
  <c r="AH174" i="52"/>
  <c r="O170" i="52"/>
  <c r="T31" i="52"/>
  <c r="T170" i="52" s="1"/>
  <c r="AP174" i="52"/>
  <c r="AE171" i="52"/>
  <c r="AE148" i="52"/>
  <c r="I172" i="52"/>
  <c r="AN176" i="52"/>
  <c r="AN183" i="52"/>
  <c r="T28" i="52"/>
  <c r="V28" i="52"/>
  <c r="F178" i="52"/>
  <c r="F173" i="52"/>
  <c r="F179" i="52"/>
  <c r="F180" i="52" s="1"/>
  <c r="AC148" i="52"/>
  <c r="AC171" i="52"/>
  <c r="T174" i="52"/>
  <c r="AE169" i="52"/>
  <c r="AE172" i="52" s="1"/>
  <c r="AJ174" i="52"/>
  <c r="T15" i="52"/>
  <c r="V113" i="52"/>
  <c r="V169" i="52" s="1"/>
  <c r="J114" i="52"/>
  <c r="Y114" i="52"/>
  <c r="X114" i="52"/>
  <c r="X174" i="52" s="1"/>
  <c r="H170" i="52"/>
  <c r="H172" i="52" s="1"/>
  <c r="J12" i="52"/>
  <c r="V31" i="52"/>
  <c r="V170" i="52" s="1"/>
  <c r="V174" i="52" s="1"/>
  <c r="X113" i="52"/>
  <c r="L114" i="52"/>
  <c r="L169" i="52" s="1"/>
  <c r="L172" i="52" s="1"/>
  <c r="AC114" i="52"/>
  <c r="O168" i="52"/>
  <c r="AH168" i="52"/>
  <c r="AC113" i="52"/>
  <c r="O114" i="52"/>
  <c r="O169" i="52" s="1"/>
  <c r="AH114" i="52"/>
  <c r="AH169" i="52" s="1"/>
  <c r="T168" i="52"/>
  <c r="AN168" i="52"/>
  <c r="AN172" i="52" s="1"/>
  <c r="M114" i="52"/>
  <c r="M169" i="52" s="1"/>
  <c r="M172" i="52" s="1"/>
  <c r="P114" i="52"/>
  <c r="P174" i="52" s="1"/>
  <c r="AJ114" i="52"/>
  <c r="V168" i="52"/>
  <c r="V172" i="52" s="1"/>
  <c r="AP168" i="52"/>
  <c r="AP172" i="52" s="1"/>
  <c r="AE114" i="52"/>
  <c r="AE174" i="52" s="1"/>
  <c r="T114" i="52"/>
  <c r="T169" i="52" s="1"/>
  <c r="P113" i="52"/>
  <c r="AJ113" i="52"/>
  <c r="AJ169" i="52" s="1"/>
  <c r="AJ172" i="52" s="1"/>
  <c r="AT172" i="52"/>
  <c r="AT183" i="52"/>
  <c r="AT176" i="52"/>
  <c r="AV183" i="52"/>
  <c r="AV176" i="52"/>
  <c r="AV168" i="52"/>
  <c r="AV172" i="52" s="1"/>
  <c r="AW17" i="52"/>
  <c r="BA98" i="12"/>
  <c r="BA95" i="12"/>
  <c r="BA93" i="12"/>
  <c r="BC15" i="12"/>
  <c r="BG15" i="12" s="1"/>
  <c r="BG95" i="12"/>
  <c r="BG93" i="12"/>
  <c r="BG96" i="12"/>
  <c r="BE88" i="12"/>
  <c r="BE92" i="12" s="1"/>
  <c r="BC34" i="12"/>
  <c r="BC12" i="12"/>
  <c r="AZ36" i="12"/>
  <c r="BG12" i="12"/>
  <c r="BG98" i="12" s="1"/>
  <c r="AC113" i="31"/>
  <c r="H113" i="31"/>
  <c r="AU18" i="31"/>
  <c r="AE113" i="31"/>
  <c r="AW113" i="31"/>
  <c r="AW115" i="31" s="1"/>
  <c r="AW107" i="31"/>
  <c r="AW111" i="31" s="1"/>
  <c r="I122" i="31"/>
  <c r="I115" i="31"/>
  <c r="O121" i="31"/>
  <c r="O118" i="31"/>
  <c r="O119" i="31" s="1"/>
  <c r="O112" i="31"/>
  <c r="O117" i="31"/>
  <c r="F113" i="31"/>
  <c r="F111" i="31"/>
  <c r="P115" i="31"/>
  <c r="P122" i="31"/>
  <c r="AH115" i="31"/>
  <c r="AH122" i="31"/>
  <c r="V111" i="31"/>
  <c r="AG111" i="31"/>
  <c r="T111" i="31"/>
  <c r="AL118" i="31"/>
  <c r="AL119" i="31" s="1"/>
  <c r="AL112" i="31"/>
  <c r="AL117" i="31"/>
  <c r="AL121" i="31"/>
  <c r="X111" i="31"/>
  <c r="M111" i="31"/>
  <c r="L111" i="31"/>
  <c r="L122" i="31"/>
  <c r="L115" i="31"/>
  <c r="V113" i="31"/>
  <c r="AN113" i="31"/>
  <c r="AE111" i="31"/>
  <c r="M122" i="31"/>
  <c r="M115" i="31"/>
  <c r="X113" i="31"/>
  <c r="AR113" i="31"/>
  <c r="AR115" i="31" s="1"/>
  <c r="AR111" i="31"/>
  <c r="AY107" i="31"/>
  <c r="AY111" i="31" s="1"/>
  <c r="AY113" i="31"/>
  <c r="AY115" i="31" s="1"/>
  <c r="Y122" i="31"/>
  <c r="Y115" i="31"/>
  <c r="AN111" i="31"/>
  <c r="J57" i="31"/>
  <c r="Y107" i="31"/>
  <c r="Y111" i="31" s="1"/>
  <c r="AS107" i="31"/>
  <c r="AS111" i="31" s="1"/>
  <c r="V13" i="31"/>
  <c r="V16" i="31" s="1"/>
  <c r="I18" i="31"/>
  <c r="J18" i="31" s="1"/>
  <c r="AC107" i="31"/>
  <c r="AC111" i="31" s="1"/>
  <c r="O113" i="31"/>
  <c r="AG113" i="31"/>
  <c r="Y13" i="31"/>
  <c r="Y16" i="31" s="1"/>
  <c r="AU15" i="31"/>
  <c r="T113" i="31"/>
  <c r="AL113" i="31"/>
  <c r="AL114" i="31" s="1"/>
  <c r="P107" i="31"/>
  <c r="P111" i="31" s="1"/>
  <c r="AH107" i="31"/>
  <c r="AH111" i="31" s="1"/>
  <c r="H108" i="31"/>
  <c r="H111" i="31" s="1"/>
  <c r="I108" i="31"/>
  <c r="I111" i="31" s="1"/>
  <c r="AS113" i="31"/>
  <c r="AS115" i="31" s="1"/>
  <c r="BK16" i="31"/>
  <c r="BD117" i="31"/>
  <c r="BD112" i="31"/>
  <c r="BH111" i="31"/>
  <c r="BJ111" i="31"/>
  <c r="BD113" i="31"/>
  <c r="BD115" i="31" s="1"/>
  <c r="BK12" i="31"/>
  <c r="BK18" i="31"/>
  <c r="BJ109" i="31"/>
  <c r="BJ113" i="31" s="1"/>
  <c r="BJ115" i="31" s="1"/>
  <c r="BC111" i="31"/>
  <c r="AA106" i="27"/>
  <c r="AL42" i="27"/>
  <c r="AL40" i="27"/>
  <c r="AL44" i="27"/>
  <c r="AL43" i="27"/>
  <c r="AG109" i="27"/>
  <c r="AG110" i="27" s="1"/>
  <c r="BI16" i="27"/>
  <c r="AA24" i="27"/>
  <c r="AJ39" i="27"/>
  <c r="AL37" i="27" s="1"/>
  <c r="J40" i="27"/>
  <c r="M40" i="27" s="1"/>
  <c r="M46" i="27"/>
  <c r="P51" i="27"/>
  <c r="O103" i="27"/>
  <c r="M72" i="27"/>
  <c r="AI106" i="27"/>
  <c r="AI113" i="27" s="1"/>
  <c r="R103" i="27"/>
  <c r="P57" i="27"/>
  <c r="AP65" i="27"/>
  <c r="AT65" i="27" s="1"/>
  <c r="AV68" i="27"/>
  <c r="AJ24" i="27"/>
  <c r="J24" i="27"/>
  <c r="AN30" i="27"/>
  <c r="AS65" i="27"/>
  <c r="AX65" i="27" s="1"/>
  <c r="AZ65" i="27" s="1"/>
  <c r="AP61" i="27"/>
  <c r="AT61" i="27" s="1"/>
  <c r="AV61" i="27" s="1"/>
  <c r="AA110" i="27"/>
  <c r="AL15" i="27"/>
  <c r="BB30" i="27"/>
  <c r="BB104" i="27" s="1"/>
  <c r="M37" i="27"/>
  <c r="M43" i="27"/>
  <c r="L103" i="27"/>
  <c r="AG69" i="27"/>
  <c r="AJ69" i="27" s="1"/>
  <c r="AL69" i="27" s="1"/>
  <c r="AL71" i="27" s="1"/>
  <c r="AV91" i="27"/>
  <c r="AZ24" i="27"/>
  <c r="P82" i="27"/>
  <c r="AP70" i="27"/>
  <c r="BI38" i="27"/>
  <c r="BE68" i="27"/>
  <c r="BE70" i="27"/>
  <c r="BC47" i="27"/>
  <c r="BE47" i="27" s="1"/>
  <c r="AV15" i="27"/>
  <c r="M75" i="27"/>
  <c r="BE22" i="27"/>
  <c r="BC24" i="27"/>
  <c r="AJ109" i="27"/>
  <c r="AJ110" i="27" s="1"/>
  <c r="AJ68" i="27"/>
  <c r="AL68" i="27" s="1"/>
  <c r="AT109" i="27"/>
  <c r="AT110" i="27" s="1"/>
  <c r="AL46" i="27"/>
  <c r="AL48" i="27"/>
  <c r="AL55" i="27"/>
  <c r="AJ103" i="27"/>
  <c r="BC55" i="27"/>
  <c r="BB102" i="27"/>
  <c r="BB91" i="27"/>
  <c r="BE38" i="27"/>
  <c r="AS16" i="27"/>
  <c r="AV16" i="27" s="1"/>
  <c r="R30" i="27"/>
  <c r="R102" i="27"/>
  <c r="AX55" i="27"/>
  <c r="J58" i="27"/>
  <c r="P58" i="27" s="1"/>
  <c r="AS61" i="27"/>
  <c r="AX61" i="27" s="1"/>
  <c r="AZ61" i="27" s="1"/>
  <c r="P69" i="27"/>
  <c r="AG103" i="27"/>
  <c r="AA111" i="27"/>
  <c r="AA117" i="27"/>
  <c r="AI24" i="27"/>
  <c r="AP47" i="27"/>
  <c r="AP45" i="27"/>
  <c r="AL38" i="27"/>
  <c r="AP37" i="27"/>
  <c r="AP41" i="27"/>
  <c r="AP39" i="27"/>
  <c r="BI102" i="27"/>
  <c r="BI91" i="27"/>
  <c r="J56" i="27"/>
  <c r="J59" i="27"/>
  <c r="P59" i="27" s="1"/>
  <c r="P84" i="27"/>
  <c r="AG102" i="27"/>
  <c r="Z106" i="27"/>
  <c r="Z110" i="27"/>
  <c r="AI110" i="27"/>
  <c r="BB55" i="27"/>
  <c r="BB108" i="27" s="1"/>
  <c r="BB24" i="27"/>
  <c r="Z117" i="27"/>
  <c r="Z111" i="27"/>
  <c r="AL18" i="27"/>
  <c r="AP18" i="27" s="1"/>
  <c r="AP24" i="27" s="1"/>
  <c r="AP40" i="27"/>
  <c r="AL41" i="27"/>
  <c r="V55" i="27"/>
  <c r="V103" i="27" s="1"/>
  <c r="AS57" i="27"/>
  <c r="AX57" i="27" s="1"/>
  <c r="AZ57" i="27" s="1"/>
  <c r="M58" i="27"/>
  <c r="AP58" i="27"/>
  <c r="AT58" i="27" s="1"/>
  <c r="AV58" i="27" s="1"/>
  <c r="AP59" i="27"/>
  <c r="AT59" i="27" s="1"/>
  <c r="AV59" i="27" s="1"/>
  <c r="AJ102" i="27"/>
  <c r="AE110" i="27"/>
  <c r="BC92" i="27"/>
  <c r="AA113" i="27"/>
  <c r="AA114" i="27"/>
  <c r="AA115" i="27" s="1"/>
  <c r="AA118" i="27"/>
  <c r="AA107" i="27"/>
  <c r="BC16" i="27"/>
  <c r="BE16" i="27" s="1"/>
  <c r="AN24" i="27"/>
  <c r="AN68" i="27"/>
  <c r="BE18" i="27"/>
  <c r="H104" i="27"/>
  <c r="I30" i="27"/>
  <c r="I104" i="27" s="1"/>
  <c r="AE30" i="27"/>
  <c r="AE104" i="27" s="1"/>
  <c r="AE108" i="27" s="1"/>
  <c r="AX102" i="27"/>
  <c r="AX91" i="27"/>
  <c r="AZ91" i="27" s="1"/>
  <c r="BG38" i="27"/>
  <c r="BG92" i="27"/>
  <c r="F103" i="27"/>
  <c r="F106" i="27" s="1"/>
  <c r="M57" i="27"/>
  <c r="AP60" i="27"/>
  <c r="AT60" i="27" s="1"/>
  <c r="BC65" i="27"/>
  <c r="BC109" i="27" s="1"/>
  <c r="BC110" i="27" s="1"/>
  <c r="M85" i="27"/>
  <c r="AP91" i="27"/>
  <c r="O106" i="27"/>
  <c r="AJ16" i="27"/>
  <c r="BC30" i="27"/>
  <c r="BC104" i="27" s="1"/>
  <c r="AL39" i="27"/>
  <c r="BE42" i="27"/>
  <c r="AP43" i="27"/>
  <c r="BC44" i="27"/>
  <c r="BE44" i="27" s="1"/>
  <c r="BE45" i="27"/>
  <c r="AP46" i="27"/>
  <c r="M50" i="27"/>
  <c r="M102" i="27" s="1"/>
  <c r="H103" i="27"/>
  <c r="J55" i="27"/>
  <c r="P55" i="27" s="1"/>
  <c r="M60" i="27"/>
  <c r="AS60" i="27"/>
  <c r="AX60" i="27" s="1"/>
  <c r="AZ60" i="27" s="1"/>
  <c r="M70" i="27"/>
  <c r="AN71" i="27"/>
  <c r="M83" i="27"/>
  <c r="P85" i="27"/>
  <c r="BB92" i="27"/>
  <c r="AI111" i="27"/>
  <c r="AP44" i="27"/>
  <c r="I103" i="27"/>
  <c r="AN103" i="27"/>
  <c r="P60" i="27"/>
  <c r="M68" i="27"/>
  <c r="P70" i="27"/>
  <c r="P83" i="27"/>
  <c r="L104" i="27"/>
  <c r="L106" i="27" s="1"/>
  <c r="AL90" i="27"/>
  <c r="AP90" i="27" s="1"/>
  <c r="AP15" i="27"/>
  <c r="AP16" i="27" s="1"/>
  <c r="AV18" i="27"/>
  <c r="P30" i="27"/>
  <c r="P104" i="27" s="1"/>
  <c r="AJ30" i="27"/>
  <c r="BI30" i="27"/>
  <c r="BI104" i="27" s="1"/>
  <c r="P40" i="27"/>
  <c r="P102" i="27" s="1"/>
  <c r="AP42" i="27"/>
  <c r="AP48" i="27"/>
  <c r="AP55" i="27"/>
  <c r="AP62" i="27"/>
  <c r="AT62" i="27" s="1"/>
  <c r="AV62" i="27" s="1"/>
  <c r="P63" i="27"/>
  <c r="P68" i="27"/>
  <c r="AN69" i="27"/>
  <c r="M82" i="27"/>
  <c r="AX90" i="27"/>
  <c r="AZ90" i="27" s="1"/>
  <c r="M74" i="27"/>
  <c r="BI19" i="26" l="1"/>
  <c r="BH24" i="26"/>
  <c r="BI24" i="26" s="1"/>
  <c r="BH92" i="26"/>
  <c r="BB94" i="26"/>
  <c r="BB91" i="26"/>
  <c r="BB89" i="26"/>
  <c r="BB95" i="26"/>
  <c r="BB96" i="26" s="1"/>
  <c r="BA94" i="26"/>
  <c r="BA91" i="26"/>
  <c r="BA89" i="26"/>
  <c r="BA95" i="26"/>
  <c r="BA96" i="26" s="1"/>
  <c r="BH88" i="26"/>
  <c r="BF94" i="26"/>
  <c r="BF91" i="26"/>
  <c r="BF89" i="26"/>
  <c r="BF95" i="26"/>
  <c r="BF96" i="26" s="1"/>
  <c r="BF111" i="19"/>
  <c r="BF106" i="19"/>
  <c r="S105" i="14"/>
  <c r="S107" i="14"/>
  <c r="S103" i="14"/>
  <c r="S102" i="14"/>
  <c r="S112" i="14"/>
  <c r="S104" i="14"/>
  <c r="N107" i="14"/>
  <c r="N103" i="14"/>
  <c r="N102" i="14"/>
  <c r="AG104" i="14"/>
  <c r="AU108" i="14"/>
  <c r="AU109" i="14" s="1"/>
  <c r="AU102" i="14"/>
  <c r="AU107" i="14"/>
  <c r="W104" i="14"/>
  <c r="W107" i="14"/>
  <c r="W103" i="14"/>
  <c r="W105" i="14" s="1"/>
  <c r="W102" i="14"/>
  <c r="W112" i="14"/>
  <c r="BE102" i="14"/>
  <c r="BE108" i="14"/>
  <c r="BE109" i="14" s="1"/>
  <c r="BE107" i="14"/>
  <c r="BC102" i="14"/>
  <c r="BC108" i="14"/>
  <c r="BC109" i="14" s="1"/>
  <c r="BC107" i="14"/>
  <c r="AY107" i="14"/>
  <c r="AY102" i="14"/>
  <c r="AY108" i="14"/>
  <c r="AY109" i="14" s="1"/>
  <c r="BO29" i="45"/>
  <c r="BO99" i="45" s="1"/>
  <c r="BO101" i="45" s="1"/>
  <c r="BI99" i="45"/>
  <c r="BI101" i="45" s="1"/>
  <c r="BH102" i="45"/>
  <c r="BH108" i="45"/>
  <c r="BM102" i="45"/>
  <c r="BM108" i="45"/>
  <c r="BB107" i="42"/>
  <c r="BB93" i="42"/>
  <c r="BB98" i="42"/>
  <c r="BG93" i="42"/>
  <c r="BE100" i="42"/>
  <c r="BE94" i="42"/>
  <c r="BE106" i="42"/>
  <c r="BB100" i="42"/>
  <c r="BB106" i="42"/>
  <c r="BB94" i="42"/>
  <c r="BG100" i="42"/>
  <c r="BG106" i="42"/>
  <c r="BG94" i="42"/>
  <c r="BG107" i="42"/>
  <c r="BA100" i="42"/>
  <c r="BA106" i="42"/>
  <c r="BA94" i="42"/>
  <c r="BE107" i="42"/>
  <c r="BA107" i="42"/>
  <c r="X176" i="52"/>
  <c r="X183" i="52"/>
  <c r="P176" i="52"/>
  <c r="P183" i="52"/>
  <c r="AJ179" i="52"/>
  <c r="AJ180" i="52" s="1"/>
  <c r="AJ182" i="52"/>
  <c r="AJ178" i="52"/>
  <c r="AJ173" i="52"/>
  <c r="AJ175" i="52"/>
  <c r="M173" i="52"/>
  <c r="M178" i="52"/>
  <c r="H173" i="52"/>
  <c r="H178" i="52"/>
  <c r="L173" i="52"/>
  <c r="L178" i="52"/>
  <c r="AE183" i="52"/>
  <c r="AE176" i="52"/>
  <c r="V176" i="52"/>
  <c r="V183" i="52"/>
  <c r="AE175" i="52"/>
  <c r="AE173" i="52"/>
  <c r="AE182" i="52"/>
  <c r="AE178" i="52"/>
  <c r="AE179" i="52"/>
  <c r="AE180" i="52" s="1"/>
  <c r="O172" i="52"/>
  <c r="O174" i="52"/>
  <c r="P169" i="52"/>
  <c r="P172" i="52" s="1"/>
  <c r="AN182" i="52"/>
  <c r="AN178" i="52"/>
  <c r="AN179" i="52"/>
  <c r="AN180" i="52" s="1"/>
  <c r="AN175" i="52"/>
  <c r="AN173" i="52"/>
  <c r="Y174" i="52"/>
  <c r="Y169" i="52"/>
  <c r="Y172" i="52" s="1"/>
  <c r="I173" i="52"/>
  <c r="I179" i="52"/>
  <c r="I180" i="52" s="1"/>
  <c r="I178" i="52"/>
  <c r="T172" i="52"/>
  <c r="X169" i="52"/>
  <c r="X172" i="52" s="1"/>
  <c r="AH176" i="52"/>
  <c r="AH183" i="52"/>
  <c r="AP182" i="52"/>
  <c r="AP178" i="52"/>
  <c r="AP179" i="52"/>
  <c r="AP180" i="52" s="1"/>
  <c r="AP175" i="52"/>
  <c r="AP173" i="52"/>
  <c r="T176" i="52"/>
  <c r="T183" i="52"/>
  <c r="AP176" i="52"/>
  <c r="AP183" i="52"/>
  <c r="V182" i="52"/>
  <c r="V178" i="52"/>
  <c r="V179" i="52"/>
  <c r="V180" i="52" s="1"/>
  <c r="V175" i="52"/>
  <c r="V173" i="52"/>
  <c r="AC169" i="52"/>
  <c r="AC172" i="52" s="1"/>
  <c r="AC174" i="52"/>
  <c r="AJ176" i="52"/>
  <c r="AJ183" i="52"/>
  <c r="AH172" i="52"/>
  <c r="AV175" i="52"/>
  <c r="AV182" i="52"/>
  <c r="AV178" i="52"/>
  <c r="AV173" i="52"/>
  <c r="AT175" i="52"/>
  <c r="AT178" i="52"/>
  <c r="AT182" i="52"/>
  <c r="AT173" i="52"/>
  <c r="BC36" i="12"/>
  <c r="AZ88" i="12"/>
  <c r="AZ92" i="12" s="1"/>
  <c r="BE98" i="12"/>
  <c r="BE95" i="12"/>
  <c r="BE93" i="12"/>
  <c r="AZ94" i="12"/>
  <c r="AZ96" i="12" s="1"/>
  <c r="I118" i="31"/>
  <c r="I119" i="31" s="1"/>
  <c r="I117" i="31"/>
  <c r="I121" i="31"/>
  <c r="I114" i="31"/>
  <c r="I112" i="31"/>
  <c r="H114" i="31"/>
  <c r="H117" i="31"/>
  <c r="H121" i="31"/>
  <c r="H118" i="31"/>
  <c r="H119" i="31" s="1"/>
  <c r="H112" i="31"/>
  <c r="AG115" i="31"/>
  <c r="AG122" i="31"/>
  <c r="AN112" i="31"/>
  <c r="AN121" i="31"/>
  <c r="AN117" i="31"/>
  <c r="AN114" i="31"/>
  <c r="AN118" i="31"/>
  <c r="AN119" i="31" s="1"/>
  <c r="X115" i="31"/>
  <c r="X122" i="31"/>
  <c r="L117" i="31"/>
  <c r="L112" i="31"/>
  <c r="L121" i="31"/>
  <c r="L114" i="31"/>
  <c r="L118" i="31"/>
  <c r="L119" i="31" s="1"/>
  <c r="T118" i="31"/>
  <c r="T119" i="31" s="1"/>
  <c r="T117" i="31"/>
  <c r="T112" i="31"/>
  <c r="T121" i="31"/>
  <c r="T114" i="31"/>
  <c r="F112" i="31"/>
  <c r="F121" i="31"/>
  <c r="F117" i="31"/>
  <c r="F114" i="31"/>
  <c r="F118" i="31"/>
  <c r="F119" i="31" s="1"/>
  <c r="AW117" i="31"/>
  <c r="AW112" i="31"/>
  <c r="AW114" i="31"/>
  <c r="AH114" i="31"/>
  <c r="AH118" i="31"/>
  <c r="AH119" i="31" s="1"/>
  <c r="AH112" i="31"/>
  <c r="AH117" i="31"/>
  <c r="AH121" i="31"/>
  <c r="AC112" i="31"/>
  <c r="AC117" i="31"/>
  <c r="AC121" i="31"/>
  <c r="AC114" i="31"/>
  <c r="AC118" i="31"/>
  <c r="AC119" i="31" s="1"/>
  <c r="X114" i="31"/>
  <c r="X117" i="31"/>
  <c r="X121" i="31"/>
  <c r="X118" i="31"/>
  <c r="X119" i="31" s="1"/>
  <c r="X112" i="31"/>
  <c r="O115" i="31"/>
  <c r="O122" i="31"/>
  <c r="F115" i="31"/>
  <c r="F122" i="31"/>
  <c r="P114" i="31"/>
  <c r="P118" i="31"/>
  <c r="P119" i="31" s="1"/>
  <c r="P112" i="31"/>
  <c r="P117" i="31"/>
  <c r="P121" i="31"/>
  <c r="AE117" i="31"/>
  <c r="AE121" i="31"/>
  <c r="AE114" i="31"/>
  <c r="AE118" i="31"/>
  <c r="AE119" i="31" s="1"/>
  <c r="AE112" i="31"/>
  <c r="V112" i="31"/>
  <c r="V121" i="31"/>
  <c r="V117" i="31"/>
  <c r="V114" i="31"/>
  <c r="V118" i="31"/>
  <c r="V119" i="31" s="1"/>
  <c r="AE122" i="31"/>
  <c r="AE115" i="31"/>
  <c r="AL115" i="31"/>
  <c r="AL122" i="31"/>
  <c r="AN115" i="31"/>
  <c r="AN122" i="31"/>
  <c r="AG121" i="31"/>
  <c r="AG114" i="31"/>
  <c r="AG118" i="31"/>
  <c r="AG119" i="31" s="1"/>
  <c r="AG112" i="31"/>
  <c r="AG117" i="31"/>
  <c r="T115" i="31"/>
  <c r="T122" i="31"/>
  <c r="AS117" i="31"/>
  <c r="AS114" i="31"/>
  <c r="AS112" i="31"/>
  <c r="AY117" i="31"/>
  <c r="AY114" i="31"/>
  <c r="AY112" i="31"/>
  <c r="V115" i="31"/>
  <c r="V122" i="31"/>
  <c r="O114" i="31"/>
  <c r="H115" i="31"/>
  <c r="H122" i="31"/>
  <c r="M117" i="31"/>
  <c r="M121" i="31"/>
  <c r="M114" i="31"/>
  <c r="M118" i="31"/>
  <c r="M119" i="31" s="1"/>
  <c r="M112" i="31"/>
  <c r="Y118" i="31"/>
  <c r="Y119" i="31" s="1"/>
  <c r="Y117" i="31"/>
  <c r="Y121" i="31"/>
  <c r="Y114" i="31"/>
  <c r="Y112" i="31"/>
  <c r="AR114" i="31"/>
  <c r="AR117" i="31"/>
  <c r="AR112" i="31"/>
  <c r="AC122" i="31"/>
  <c r="AC115" i="31"/>
  <c r="BJ117" i="31"/>
  <c r="BJ114" i="31"/>
  <c r="BJ112" i="31"/>
  <c r="BH117" i="31"/>
  <c r="BH114" i="31"/>
  <c r="BH112" i="31"/>
  <c r="BC117" i="31"/>
  <c r="BC114" i="31"/>
  <c r="BC112" i="31"/>
  <c r="BD114" i="31"/>
  <c r="AS30" i="27"/>
  <c r="AN28" i="27"/>
  <c r="M59" i="27"/>
  <c r="AG104" i="27"/>
  <c r="AG108" i="27" s="1"/>
  <c r="M104" i="27"/>
  <c r="AI107" i="27"/>
  <c r="AI118" i="27"/>
  <c r="AI114" i="27"/>
  <c r="AI115" i="27" s="1"/>
  <c r="AS103" i="27"/>
  <c r="AV65" i="27"/>
  <c r="L114" i="27"/>
  <c r="L115" i="27" s="1"/>
  <c r="L113" i="27"/>
  <c r="L107" i="27"/>
  <c r="AG117" i="27"/>
  <c r="AG111" i="27"/>
  <c r="AP103" i="27"/>
  <c r="AT55" i="27"/>
  <c r="H106" i="27"/>
  <c r="O107" i="27"/>
  <c r="O113" i="27"/>
  <c r="O114" i="27"/>
  <c r="O115" i="27" s="1"/>
  <c r="BC102" i="27"/>
  <c r="BB117" i="27"/>
  <c r="BG102" i="27"/>
  <c r="BG91" i="27"/>
  <c r="AP68" i="27"/>
  <c r="AG106" i="27"/>
  <c r="AJ104" i="27"/>
  <c r="AJ108" i="27" s="1"/>
  <c r="AJ28" i="27"/>
  <c r="AL28" i="27" s="1"/>
  <c r="AP28" i="27" s="1"/>
  <c r="AP30" i="27" s="1"/>
  <c r="AP102" i="27"/>
  <c r="AE106" i="27"/>
  <c r="AN104" i="27"/>
  <c r="BC108" i="27"/>
  <c r="AZ55" i="27"/>
  <c r="AX103" i="27"/>
  <c r="F114" i="27"/>
  <c r="F107" i="27"/>
  <c r="Z113" i="27"/>
  <c r="Z114" i="27"/>
  <c r="Z115" i="27" s="1"/>
  <c r="Z118" i="27"/>
  <c r="Z107" i="27"/>
  <c r="M55" i="27"/>
  <c r="M103" i="27" s="1"/>
  <c r="M106" i="27" s="1"/>
  <c r="AP71" i="27"/>
  <c r="BG55" i="27"/>
  <c r="BG103" i="27" s="1"/>
  <c r="BB103" i="27"/>
  <c r="BB106" i="27" s="1"/>
  <c r="R104" i="27"/>
  <c r="R108" i="27" s="1"/>
  <c r="R111" i="27" s="1"/>
  <c r="V30" i="27"/>
  <c r="V104" i="27" s="1"/>
  <c r="V106" i="27" s="1"/>
  <c r="BC103" i="27"/>
  <c r="BI55" i="27"/>
  <c r="BE55" i="27"/>
  <c r="I106" i="27"/>
  <c r="BI65" i="27"/>
  <c r="BE65" i="27"/>
  <c r="AJ106" i="27"/>
  <c r="AP69" i="27"/>
  <c r="AV60" i="27"/>
  <c r="AE111" i="27"/>
  <c r="AE117" i="27"/>
  <c r="P56" i="27"/>
  <c r="P103" i="27" s="1"/>
  <c r="P106" i="27" s="1"/>
  <c r="M56" i="27"/>
  <c r="BH94" i="26" l="1"/>
  <c r="BH91" i="26"/>
  <c r="BH89" i="26"/>
  <c r="BH95" i="26"/>
  <c r="BH96" i="26" s="1"/>
  <c r="BI102" i="45"/>
  <c r="BI108" i="45"/>
  <c r="BO102" i="45"/>
  <c r="BO108" i="45"/>
  <c r="Y183" i="52"/>
  <c r="Y176" i="52"/>
  <c r="X179" i="52"/>
  <c r="X180" i="52" s="1"/>
  <c r="X173" i="52"/>
  <c r="X175" i="52"/>
  <c r="X182" i="52"/>
  <c r="X178" i="52"/>
  <c r="AC183" i="52"/>
  <c r="AC176" i="52"/>
  <c r="O175" i="52"/>
  <c r="O173" i="52"/>
  <c r="O182" i="52"/>
  <c r="O178" i="52"/>
  <c r="O179" i="52"/>
  <c r="O180" i="52" s="1"/>
  <c r="AC175" i="52"/>
  <c r="AC173" i="52"/>
  <c r="AC182" i="52"/>
  <c r="AC178" i="52"/>
  <c r="AC179" i="52"/>
  <c r="AC180" i="52" s="1"/>
  <c r="T182" i="52"/>
  <c r="T178" i="52"/>
  <c r="T179" i="52"/>
  <c r="T180" i="52" s="1"/>
  <c r="T175" i="52"/>
  <c r="T173" i="52"/>
  <c r="AH175" i="52"/>
  <c r="AH173" i="52"/>
  <c r="AH182" i="52"/>
  <c r="AH178" i="52"/>
  <c r="AH179" i="52"/>
  <c r="AH180" i="52" s="1"/>
  <c r="P179" i="52"/>
  <c r="P180" i="52" s="1"/>
  <c r="P182" i="52"/>
  <c r="P178" i="52"/>
  <c r="P175" i="52"/>
  <c r="P173" i="52"/>
  <c r="Y179" i="52"/>
  <c r="Y180" i="52" s="1"/>
  <c r="Y175" i="52"/>
  <c r="Y173" i="52"/>
  <c r="Y182" i="52"/>
  <c r="Y178" i="52"/>
  <c r="O176" i="52"/>
  <c r="O183" i="52"/>
  <c r="AZ98" i="12"/>
  <c r="AZ95" i="12"/>
  <c r="AZ93" i="12"/>
  <c r="BG106" i="27"/>
  <c r="AP104" i="27"/>
  <c r="AP108" i="27" s="1"/>
  <c r="AX30" i="27"/>
  <c r="AS104" i="27"/>
  <c r="AS108" i="27" s="1"/>
  <c r="AT30" i="27"/>
  <c r="AS28" i="27"/>
  <c r="P107" i="27"/>
  <c r="P113" i="27"/>
  <c r="P114" i="27"/>
  <c r="P115" i="27" s="1"/>
  <c r="M113" i="27"/>
  <c r="M107" i="27"/>
  <c r="M114" i="27"/>
  <c r="M115" i="27" s="1"/>
  <c r="BB107" i="27"/>
  <c r="BB118" i="27"/>
  <c r="BB113" i="27"/>
  <c r="AJ118" i="27"/>
  <c r="AJ107" i="27"/>
  <c r="AJ113" i="27"/>
  <c r="AJ114" i="27"/>
  <c r="AJ115" i="27" s="1"/>
  <c r="AZ103" i="27"/>
  <c r="AJ111" i="27"/>
  <c r="AJ117" i="27"/>
  <c r="BC111" i="27"/>
  <c r="BC117" i="27"/>
  <c r="H114" i="27"/>
  <c r="H107" i="27"/>
  <c r="BI103" i="27"/>
  <c r="BI106" i="27" s="1"/>
  <c r="BI108" i="27"/>
  <c r="BI117" i="27" s="1"/>
  <c r="AN108" i="27"/>
  <c r="AN106" i="27"/>
  <c r="R106" i="27"/>
  <c r="AT103" i="27"/>
  <c r="AV55" i="27"/>
  <c r="AE113" i="27"/>
  <c r="AE114" i="27"/>
  <c r="AE115" i="27" s="1"/>
  <c r="AE118" i="27"/>
  <c r="AE107" i="27"/>
  <c r="AG113" i="27"/>
  <c r="AG114" i="27"/>
  <c r="AG115" i="27" s="1"/>
  <c r="AG118" i="27"/>
  <c r="AG107" i="27"/>
  <c r="BG117" i="27"/>
  <c r="BG118" i="27"/>
  <c r="BG107" i="27"/>
  <c r="BG113" i="27"/>
  <c r="AP106" i="27"/>
  <c r="V113" i="27"/>
  <c r="V107" i="27"/>
  <c r="I114" i="27"/>
  <c r="I107" i="27"/>
  <c r="BG108" i="27"/>
  <c r="BC106" i="27"/>
  <c r="BJ86" i="6"/>
  <c r="BH86" i="6"/>
  <c r="BE86" i="6"/>
  <c r="BC86" i="6"/>
  <c r="BE85" i="6"/>
  <c r="BE84" i="6"/>
  <c r="BC84" i="6"/>
  <c r="BH83" i="6"/>
  <c r="BC83" i="6"/>
  <c r="BH72" i="6"/>
  <c r="BC72" i="6"/>
  <c r="BH53" i="6"/>
  <c r="BJ53" i="6" s="1"/>
  <c r="BF53" i="6"/>
  <c r="BF52" i="6"/>
  <c r="BE52" i="6"/>
  <c r="BC52" i="6"/>
  <c r="BH52" i="6" s="1"/>
  <c r="BF45" i="6"/>
  <c r="BH44" i="6"/>
  <c r="BH84" i="6" s="1"/>
  <c r="BF44" i="6"/>
  <c r="BF36" i="6"/>
  <c r="BJ36" i="6" s="1"/>
  <c r="BE36" i="6"/>
  <c r="BE35" i="6"/>
  <c r="BH28" i="6"/>
  <c r="BE28" i="6"/>
  <c r="BC28" i="6"/>
  <c r="BC85" i="6" s="1"/>
  <c r="BC89" i="6" s="1"/>
  <c r="BC91" i="6" s="1"/>
  <c r="BF26" i="6"/>
  <c r="BJ26" i="6" s="1"/>
  <c r="BF24" i="6"/>
  <c r="BJ24" i="6" s="1"/>
  <c r="BF20" i="6"/>
  <c r="BJ20" i="6" s="1"/>
  <c r="BF19" i="6"/>
  <c r="BJ19" i="6" s="1"/>
  <c r="BH18" i="6"/>
  <c r="BE18" i="6"/>
  <c r="BF18" i="6" s="1"/>
  <c r="BJ18" i="6" s="1"/>
  <c r="BC18" i="6"/>
  <c r="BH17" i="6"/>
  <c r="BE17" i="6"/>
  <c r="BE22" i="6" s="1"/>
  <c r="BF22" i="6" s="1"/>
  <c r="BC17" i="6"/>
  <c r="BC22" i="6" s="1"/>
  <c r="BF15" i="6"/>
  <c r="BF13" i="6"/>
  <c r="BJ13" i="6" s="1"/>
  <c r="BH12" i="6"/>
  <c r="BE12" i="6"/>
  <c r="BF12" i="6" s="1"/>
  <c r="BC12" i="6"/>
  <c r="BH7" i="6"/>
  <c r="BF88" i="9"/>
  <c r="BD88" i="9"/>
  <c r="AZ88" i="9"/>
  <c r="AY88" i="9"/>
  <c r="AY87" i="9"/>
  <c r="AY91" i="9" s="1"/>
  <c r="BF86" i="9"/>
  <c r="BD86" i="9"/>
  <c r="AZ86" i="9"/>
  <c r="AY86" i="9"/>
  <c r="BD85" i="9"/>
  <c r="BD89" i="9" s="1"/>
  <c r="AZ85" i="9"/>
  <c r="AY85" i="9"/>
  <c r="AY89" i="9" s="1"/>
  <c r="BB77" i="9"/>
  <c r="BF77" i="9" s="1"/>
  <c r="BB74" i="9"/>
  <c r="BF74" i="9" s="1"/>
  <c r="BB71" i="9"/>
  <c r="BB70" i="9"/>
  <c r="BB69" i="9"/>
  <c r="BB68" i="9"/>
  <c r="BB66" i="9"/>
  <c r="BB65" i="9"/>
  <c r="BB64" i="9"/>
  <c r="BB62" i="9"/>
  <c r="BB61" i="9"/>
  <c r="BB60" i="9"/>
  <c r="BB59" i="9"/>
  <c r="BB57" i="9"/>
  <c r="BB53" i="9"/>
  <c r="BB52" i="9"/>
  <c r="BB50" i="9"/>
  <c r="BB49" i="9"/>
  <c r="BB48" i="9"/>
  <c r="BB45" i="9"/>
  <c r="BB44" i="9"/>
  <c r="BB42" i="9"/>
  <c r="BB41" i="9"/>
  <c r="BB40" i="9"/>
  <c r="BB38" i="9"/>
  <c r="BB37" i="9"/>
  <c r="BB36" i="9"/>
  <c r="BF36" i="9" s="1"/>
  <c r="BB35" i="9"/>
  <c r="BF35" i="9" s="1"/>
  <c r="BB31" i="9"/>
  <c r="BD28" i="9"/>
  <c r="AZ28" i="9"/>
  <c r="AY28" i="9"/>
  <c r="BB27" i="9"/>
  <c r="BF27" i="9" s="1"/>
  <c r="BF26" i="9"/>
  <c r="BF87" i="9" s="1"/>
  <c r="BB26" i="9"/>
  <c r="BB25" i="9"/>
  <c r="BB24" i="9"/>
  <c r="BB56" i="9" s="1"/>
  <c r="BB21" i="9"/>
  <c r="BF21" i="9" s="1"/>
  <c r="BB20" i="9"/>
  <c r="BF20" i="9" s="1"/>
  <c r="BB19" i="9"/>
  <c r="BD18" i="9"/>
  <c r="BF18" i="9" s="1"/>
  <c r="AZ18" i="9"/>
  <c r="AY18" i="9"/>
  <c r="BB18" i="9" s="1"/>
  <c r="BF19" i="9" s="1"/>
  <c r="BD17" i="9"/>
  <c r="BD87" i="9" s="1"/>
  <c r="BD91" i="9" s="1"/>
  <c r="BB17" i="9"/>
  <c r="BF17" i="9" s="1"/>
  <c r="AZ17" i="9"/>
  <c r="AZ22" i="9" s="1"/>
  <c r="AY17" i="9"/>
  <c r="AY22" i="9" s="1"/>
  <c r="BF14" i="9"/>
  <c r="BB14" i="9"/>
  <c r="BF13" i="9"/>
  <c r="BB13" i="9"/>
  <c r="BD12" i="9"/>
  <c r="BD15" i="9" s="1"/>
  <c r="AZ12" i="9"/>
  <c r="AZ15" i="9" s="1"/>
  <c r="AY12" i="9"/>
  <c r="BB12" i="9" s="1"/>
  <c r="BW1" i="32"/>
  <c r="BS155" i="32"/>
  <c r="BQ155" i="32"/>
  <c r="BS153" i="32"/>
  <c r="BS152" i="32"/>
  <c r="BQ130" i="32"/>
  <c r="BR153" i="32" s="1"/>
  <c r="BQ122" i="32"/>
  <c r="BQ121" i="32"/>
  <c r="BQ120" i="32"/>
  <c r="BS28" i="32"/>
  <c r="BS30" i="32" s="1"/>
  <c r="BS154" i="32" s="1"/>
  <c r="BQ28" i="32"/>
  <c r="BQ30" i="32" s="1"/>
  <c r="BS19" i="32"/>
  <c r="BQ19" i="32"/>
  <c r="BS18" i="32"/>
  <c r="BS23" i="32" s="1"/>
  <c r="BQ18" i="32"/>
  <c r="BS16" i="32"/>
  <c r="BQ16" i="32"/>
  <c r="F91" i="18"/>
  <c r="H91" i="18"/>
  <c r="I91" i="18"/>
  <c r="L91" i="18"/>
  <c r="M91" i="18"/>
  <c r="O91" i="18"/>
  <c r="P91" i="18"/>
  <c r="T91" i="18"/>
  <c r="V91" i="18"/>
  <c r="X91" i="18"/>
  <c r="Y91" i="18"/>
  <c r="AC91" i="18"/>
  <c r="AE91" i="18"/>
  <c r="AJ91" i="18"/>
  <c r="AI91" i="18"/>
  <c r="AP91" i="18"/>
  <c r="AN91" i="18"/>
  <c r="BI89" i="18"/>
  <c r="BG89" i="18"/>
  <c r="BC89" i="18"/>
  <c r="BB89" i="18"/>
  <c r="BG88" i="18"/>
  <c r="BC88" i="18"/>
  <c r="BB88" i="18"/>
  <c r="BI87" i="18"/>
  <c r="BI86" i="18"/>
  <c r="BI90" i="18" s="1"/>
  <c r="BG86" i="18"/>
  <c r="BC86" i="18"/>
  <c r="BC90" i="18" s="1"/>
  <c r="BB86" i="18"/>
  <c r="BI69" i="18"/>
  <c r="BG69" i="18"/>
  <c r="BE52" i="18"/>
  <c r="BE51" i="18"/>
  <c r="BE50" i="18"/>
  <c r="BI49" i="18"/>
  <c r="BG49" i="18"/>
  <c r="BG87" i="18" s="1"/>
  <c r="BC49" i="18"/>
  <c r="BC87" i="18" s="1"/>
  <c r="BB49" i="18"/>
  <c r="BB87" i="18" s="1"/>
  <c r="BE40" i="18"/>
  <c r="BI33" i="18"/>
  <c r="BI88" i="18" s="1"/>
  <c r="BG33" i="18"/>
  <c r="BC33" i="18"/>
  <c r="BB33" i="18"/>
  <c r="BJ29" i="18"/>
  <c r="BE29" i="18"/>
  <c r="BJ27" i="18"/>
  <c r="BE27" i="18"/>
  <c r="BJ26" i="18"/>
  <c r="BE26" i="18"/>
  <c r="BI25" i="18"/>
  <c r="BJ25" i="18" s="1"/>
  <c r="BG25" i="18"/>
  <c r="BE25" i="18"/>
  <c r="BC25" i="18"/>
  <c r="BB25" i="18"/>
  <c r="BC24" i="18"/>
  <c r="BE24" i="18" s="1"/>
  <c r="BB24" i="18"/>
  <c r="BJ23" i="18"/>
  <c r="BE23" i="18"/>
  <c r="BJ22" i="18"/>
  <c r="BE22" i="18"/>
  <c r="BJ21" i="18"/>
  <c r="BE21" i="18"/>
  <c r="BI20" i="18"/>
  <c r="BJ20" i="18" s="1"/>
  <c r="BG20" i="18"/>
  <c r="BG24" i="18" s="1"/>
  <c r="BE20" i="18"/>
  <c r="BC20" i="18"/>
  <c r="BB20" i="18"/>
  <c r="BI18" i="18"/>
  <c r="BJ18" i="18" s="1"/>
  <c r="BG18" i="18"/>
  <c r="BE18" i="18"/>
  <c r="BC18" i="18"/>
  <c r="BB18" i="18"/>
  <c r="BJ17" i="18"/>
  <c r="BE17" i="18"/>
  <c r="BC15" i="18"/>
  <c r="BB15" i="18"/>
  <c r="BJ14" i="18"/>
  <c r="BE14" i="18"/>
  <c r="BJ12" i="18"/>
  <c r="BE12" i="18"/>
  <c r="AZ26" i="8"/>
  <c r="B124" i="8"/>
  <c r="B123" i="8"/>
  <c r="T111" i="8"/>
  <c r="T113" i="8" s="1"/>
  <c r="O111" i="8"/>
  <c r="O113" i="8" s="1"/>
  <c r="I111" i="8"/>
  <c r="I113" i="8" s="1"/>
  <c r="I109" i="8"/>
  <c r="I116" i="8" s="1"/>
  <c r="I117" i="8" s="1"/>
  <c r="BF108" i="8"/>
  <c r="BD108" i="8"/>
  <c r="AZ108" i="8"/>
  <c r="AY108" i="8"/>
  <c r="AW108" i="8"/>
  <c r="AU108" i="8"/>
  <c r="AQ108" i="8"/>
  <c r="AP108" i="8"/>
  <c r="AN108" i="8"/>
  <c r="AL108" i="8"/>
  <c r="AH108" i="8"/>
  <c r="AG108" i="8"/>
  <c r="AE108" i="8"/>
  <c r="AC108" i="8"/>
  <c r="Y108" i="8"/>
  <c r="X108" i="8"/>
  <c r="V108" i="8"/>
  <c r="T108" i="8"/>
  <c r="P108" i="8"/>
  <c r="O108" i="8"/>
  <c r="L108" i="8"/>
  <c r="I108" i="8"/>
  <c r="H108" i="8"/>
  <c r="F108" i="8"/>
  <c r="AG107" i="8"/>
  <c r="AG111" i="8" s="1"/>
  <c r="AG113" i="8" s="1"/>
  <c r="AE107" i="8"/>
  <c r="Y107" i="8"/>
  <c r="O107" i="8"/>
  <c r="I107" i="8"/>
  <c r="BD106" i="8"/>
  <c r="AQ106" i="8"/>
  <c r="AP106" i="8"/>
  <c r="AL106" i="8"/>
  <c r="AG106" i="8"/>
  <c r="AG109" i="8" s="1"/>
  <c r="AC106" i="8"/>
  <c r="X106" i="8"/>
  <c r="T106" i="8"/>
  <c r="P106" i="8"/>
  <c r="O106" i="8"/>
  <c r="O109" i="8" s="1"/>
  <c r="L106" i="8"/>
  <c r="I106" i="8"/>
  <c r="H106" i="8"/>
  <c r="F106" i="8"/>
  <c r="AL105" i="8"/>
  <c r="AH105" i="8"/>
  <c r="AG105" i="8"/>
  <c r="AC105" i="8"/>
  <c r="Y105" i="8"/>
  <c r="X105" i="8"/>
  <c r="T105" i="8"/>
  <c r="T109" i="8" s="1"/>
  <c r="P105" i="8"/>
  <c r="O105" i="8"/>
  <c r="I105" i="8"/>
  <c r="F105" i="8"/>
  <c r="BB102" i="8"/>
  <c r="AS102" i="8"/>
  <c r="AJ102" i="8"/>
  <c r="AA102" i="8"/>
  <c r="R102" i="8"/>
  <c r="J102" i="8"/>
  <c r="M102" i="8" s="1"/>
  <c r="BB101" i="8"/>
  <c r="AS101" i="8"/>
  <c r="AJ101" i="8"/>
  <c r="AA101" i="8"/>
  <c r="R101" i="8"/>
  <c r="M101" i="8"/>
  <c r="J101" i="8"/>
  <c r="BB100" i="8"/>
  <c r="AS100" i="8"/>
  <c r="AJ100" i="8"/>
  <c r="AA100" i="8"/>
  <c r="R100" i="8"/>
  <c r="M100" i="8"/>
  <c r="J100" i="8"/>
  <c r="BB99" i="8"/>
  <c r="AS99" i="8"/>
  <c r="AJ99" i="8"/>
  <c r="AA99" i="8"/>
  <c r="R99" i="8"/>
  <c r="M99" i="8"/>
  <c r="J99" i="8"/>
  <c r="BB98" i="8"/>
  <c r="AS98" i="8"/>
  <c r="AJ98" i="8"/>
  <c r="AA98" i="8"/>
  <c r="R98" i="8"/>
  <c r="M98" i="8"/>
  <c r="J98" i="8"/>
  <c r="BB97" i="8"/>
  <c r="AS97" i="8"/>
  <c r="AJ97" i="8"/>
  <c r="AA97" i="8"/>
  <c r="R97" i="8"/>
  <c r="J97" i="8"/>
  <c r="M97" i="8" s="1"/>
  <c r="BB96" i="8"/>
  <c r="AS96" i="8"/>
  <c r="AJ96" i="8"/>
  <c r="AA96" i="8"/>
  <c r="R96" i="8"/>
  <c r="J96" i="8"/>
  <c r="M96" i="8" s="1"/>
  <c r="BB95" i="8"/>
  <c r="AS95" i="8"/>
  <c r="AJ95" i="8"/>
  <c r="AA95" i="8"/>
  <c r="R95" i="8"/>
  <c r="M95" i="8"/>
  <c r="J95" i="8"/>
  <c r="BB94" i="8"/>
  <c r="AS94" i="8"/>
  <c r="AJ94" i="8"/>
  <c r="AA94" i="8"/>
  <c r="R94" i="8"/>
  <c r="J94" i="8"/>
  <c r="M94" i="8" s="1"/>
  <c r="BB91" i="8"/>
  <c r="AS91" i="8"/>
  <c r="AJ91" i="8"/>
  <c r="AA91" i="8"/>
  <c r="R91" i="8"/>
  <c r="J91" i="8"/>
  <c r="J90" i="8"/>
  <c r="BB89" i="8"/>
  <c r="AS89" i="8"/>
  <c r="AJ89" i="8"/>
  <c r="AA89" i="8"/>
  <c r="R89" i="8"/>
  <c r="J89" i="8"/>
  <c r="BB88" i="8"/>
  <c r="AS88" i="8"/>
  <c r="AJ88" i="8"/>
  <c r="AA88" i="8"/>
  <c r="R88" i="8"/>
  <c r="J88" i="8"/>
  <c r="BB86" i="8"/>
  <c r="AS86" i="8"/>
  <c r="AJ86" i="8"/>
  <c r="AA86" i="8"/>
  <c r="R86" i="8"/>
  <c r="BB85" i="8"/>
  <c r="AS85" i="8"/>
  <c r="AJ85" i="8"/>
  <c r="AA85" i="8"/>
  <c r="R85" i="8"/>
  <c r="BB83" i="8"/>
  <c r="AS83" i="8"/>
  <c r="AJ83" i="8"/>
  <c r="AA83" i="8"/>
  <c r="R83" i="8"/>
  <c r="J83" i="8"/>
  <c r="BB81" i="8"/>
  <c r="AS81" i="8"/>
  <c r="AJ81" i="8"/>
  <c r="AA81" i="8"/>
  <c r="R81" i="8"/>
  <c r="J81" i="8"/>
  <c r="M81" i="8" s="1"/>
  <c r="BB80" i="8"/>
  <c r="AS80" i="8"/>
  <c r="AJ80" i="8"/>
  <c r="AA80" i="8"/>
  <c r="R80" i="8"/>
  <c r="J80" i="8"/>
  <c r="M80" i="8" s="1"/>
  <c r="BB78" i="8"/>
  <c r="AS78" i="8"/>
  <c r="AJ78" i="8"/>
  <c r="AA78" i="8"/>
  <c r="R78" i="8"/>
  <c r="M78" i="8"/>
  <c r="J78" i="8"/>
  <c r="BB77" i="8"/>
  <c r="AS77" i="8"/>
  <c r="AJ77" i="8"/>
  <c r="AA77" i="8"/>
  <c r="R77" i="8"/>
  <c r="J77" i="8"/>
  <c r="M77" i="8" s="1"/>
  <c r="BF76" i="8"/>
  <c r="AQ76" i="8"/>
  <c r="AW76" i="8" s="1"/>
  <c r="AZ76" i="8" s="1"/>
  <c r="AP76" i="8"/>
  <c r="AJ76" i="8"/>
  <c r="AA76" i="8"/>
  <c r="R76" i="8"/>
  <c r="M76" i="8"/>
  <c r="J76" i="8"/>
  <c r="BF75" i="8"/>
  <c r="AY75" i="8"/>
  <c r="BB75" i="8" s="1"/>
  <c r="AW75" i="8"/>
  <c r="AZ75" i="8" s="1"/>
  <c r="AU75" i="8"/>
  <c r="AS75" i="8"/>
  <c r="AJ75" i="8"/>
  <c r="AA75" i="8"/>
  <c r="V75" i="8"/>
  <c r="R75" i="8"/>
  <c r="M75" i="8"/>
  <c r="J75" i="8"/>
  <c r="H75" i="8"/>
  <c r="BF74" i="8"/>
  <c r="BB74" i="8"/>
  <c r="AS74" i="8"/>
  <c r="AJ74" i="8"/>
  <c r="AA74" i="8"/>
  <c r="R74" i="8"/>
  <c r="V74" i="8" s="1"/>
  <c r="M74" i="8"/>
  <c r="J74" i="8"/>
  <c r="BB72" i="8"/>
  <c r="AS72" i="8"/>
  <c r="AJ72" i="8"/>
  <c r="AH72" i="8"/>
  <c r="AA72" i="8"/>
  <c r="R72" i="8"/>
  <c r="M72" i="8"/>
  <c r="J72" i="8"/>
  <c r="BB71" i="8"/>
  <c r="AS71" i="8"/>
  <c r="AJ71" i="8"/>
  <c r="AH71" i="8"/>
  <c r="BF70" i="8"/>
  <c r="AY70" i="8"/>
  <c r="AU70" i="8"/>
  <c r="AW70" i="8" s="1"/>
  <c r="AZ70" i="8" s="1"/>
  <c r="BB70" i="8" s="1"/>
  <c r="AS70" i="8"/>
  <c r="AH70" i="8"/>
  <c r="AJ70" i="8" s="1"/>
  <c r="AN70" i="8" s="1"/>
  <c r="AE70" i="8"/>
  <c r="BB69" i="8"/>
  <c r="AS69" i="8"/>
  <c r="AJ69" i="8"/>
  <c r="AN69" i="8" s="1"/>
  <c r="AH69" i="8"/>
  <c r="AE69" i="8"/>
  <c r="AA69" i="8"/>
  <c r="Y69" i="8"/>
  <c r="V69" i="8"/>
  <c r="R69" i="8"/>
  <c r="BB68" i="8"/>
  <c r="AS68" i="8"/>
  <c r="AJ68" i="8"/>
  <c r="AN68" i="8" s="1"/>
  <c r="AH68" i="8"/>
  <c r="AE68" i="8"/>
  <c r="AA68" i="8"/>
  <c r="Y68" i="8"/>
  <c r="R68" i="8"/>
  <c r="V68" i="8" s="1"/>
  <c r="BB67" i="8"/>
  <c r="AS67" i="8"/>
  <c r="AN67" i="8"/>
  <c r="AJ67" i="8"/>
  <c r="AH67" i="8"/>
  <c r="AE67" i="8"/>
  <c r="AA67" i="8"/>
  <c r="Y67" i="8"/>
  <c r="R67" i="8"/>
  <c r="V67" i="8" s="1"/>
  <c r="BB66" i="8"/>
  <c r="AS66" i="8"/>
  <c r="AN66" i="8"/>
  <c r="AJ66" i="8"/>
  <c r="AH66" i="8"/>
  <c r="AE66" i="8"/>
  <c r="AA66" i="8"/>
  <c r="Y66" i="8"/>
  <c r="V66" i="8"/>
  <c r="R66" i="8"/>
  <c r="BF65" i="8"/>
  <c r="AU65" i="8"/>
  <c r="AY65" i="8" s="1"/>
  <c r="AS65" i="8"/>
  <c r="AN65" i="8"/>
  <c r="AJ65" i="8"/>
  <c r="AH65" i="8"/>
  <c r="AE65" i="8"/>
  <c r="BF64" i="8"/>
  <c r="AZ64" i="8"/>
  <c r="AY64" i="8"/>
  <c r="BB64" i="8" s="1"/>
  <c r="AW64" i="8"/>
  <c r="AU64" i="8"/>
  <c r="AS64" i="8"/>
  <c r="AJ64" i="8"/>
  <c r="AN64" i="8" s="1"/>
  <c r="AH64" i="8"/>
  <c r="AE64" i="8"/>
  <c r="BB63" i="8"/>
  <c r="AS63" i="8"/>
  <c r="AN63" i="8"/>
  <c r="AJ63" i="8"/>
  <c r="AH63" i="8"/>
  <c r="V63" i="8"/>
  <c r="R63" i="8"/>
  <c r="BF62" i="8"/>
  <c r="BB62" i="8"/>
  <c r="AZ62" i="8"/>
  <c r="AY62" i="8"/>
  <c r="AW62" i="8"/>
  <c r="AU62" i="8"/>
  <c r="AS62" i="8"/>
  <c r="AH62" i="8"/>
  <c r="AJ62" i="8" s="1"/>
  <c r="AN62" i="8" s="1"/>
  <c r="AE62" i="8"/>
  <c r="Y62" i="8"/>
  <c r="V62" i="8"/>
  <c r="BB61" i="8"/>
  <c r="AS61" i="8"/>
  <c r="AJ61" i="8"/>
  <c r="AN61" i="8" s="1"/>
  <c r="AH61" i="8"/>
  <c r="AE61" i="8"/>
  <c r="AA61" i="8"/>
  <c r="Y61" i="8"/>
  <c r="R61" i="8"/>
  <c r="V61" i="8" s="1"/>
  <c r="BF60" i="8"/>
  <c r="AZ60" i="8"/>
  <c r="BB60" i="8" s="1"/>
  <c r="AY60" i="8"/>
  <c r="AW60" i="8"/>
  <c r="AU60" i="8"/>
  <c r="AS60" i="8"/>
  <c r="AH60" i="8"/>
  <c r="AJ60" i="8" s="1"/>
  <c r="AN60" i="8" s="1"/>
  <c r="AE60" i="8"/>
  <c r="AA60" i="8"/>
  <c r="Y60" i="8"/>
  <c r="V60" i="8"/>
  <c r="R60" i="8"/>
  <c r="BB59" i="8"/>
  <c r="AS59" i="8"/>
  <c r="AJ59" i="8"/>
  <c r="AN59" i="8" s="1"/>
  <c r="AH59" i="8"/>
  <c r="AE59" i="8"/>
  <c r="AA59" i="8"/>
  <c r="Y59" i="8"/>
  <c r="V59" i="8"/>
  <c r="R59" i="8"/>
  <c r="BF58" i="8"/>
  <c r="AY58" i="8"/>
  <c r="AU58" i="8"/>
  <c r="AW58" i="8" s="1"/>
  <c r="AZ58" i="8" s="1"/>
  <c r="BB58" i="8" s="1"/>
  <c r="AS58" i="8"/>
  <c r="AH58" i="8"/>
  <c r="AJ58" i="8" s="1"/>
  <c r="AN58" i="8" s="1"/>
  <c r="AE58" i="8"/>
  <c r="AA58" i="8"/>
  <c r="Y58" i="8"/>
  <c r="R58" i="8"/>
  <c r="V58" i="8" s="1"/>
  <c r="AU57" i="8"/>
  <c r="AY57" i="8" s="1"/>
  <c r="BB57" i="8" s="1"/>
  <c r="AS57" i="8"/>
  <c r="AN57" i="8"/>
  <c r="AJ57" i="8"/>
  <c r="AH57" i="8"/>
  <c r="Y57" i="8"/>
  <c r="AA57" i="8" s="1"/>
  <c r="AE57" i="8" s="1"/>
  <c r="V57" i="8"/>
  <c r="R57" i="8"/>
  <c r="BF56" i="8"/>
  <c r="AU56" i="8"/>
  <c r="AY56" i="8" s="1"/>
  <c r="AS56" i="8"/>
  <c r="AN56" i="8"/>
  <c r="AJ56" i="8"/>
  <c r="AH56" i="8"/>
  <c r="AA56" i="8"/>
  <c r="AE56" i="8" s="1"/>
  <c r="Y56" i="8"/>
  <c r="R56" i="8"/>
  <c r="V56" i="8" s="1"/>
  <c r="M56" i="8"/>
  <c r="J56" i="8"/>
  <c r="BF55" i="8"/>
  <c r="AU55" i="8"/>
  <c r="AW55" i="8" s="1"/>
  <c r="AZ55" i="8" s="1"/>
  <c r="AS55" i="8"/>
  <c r="AN55" i="8"/>
  <c r="AJ55" i="8"/>
  <c r="AH55" i="8"/>
  <c r="Y55" i="8"/>
  <c r="AA55" i="8" s="1"/>
  <c r="AE55" i="8" s="1"/>
  <c r="V55" i="8"/>
  <c r="R55" i="8"/>
  <c r="M55" i="8"/>
  <c r="J55" i="8"/>
  <c r="BB54" i="8"/>
  <c r="AS54" i="8"/>
  <c r="AJ54" i="8"/>
  <c r="AN54" i="8" s="1"/>
  <c r="AH54" i="8"/>
  <c r="AE54" i="8"/>
  <c r="AA54" i="8"/>
  <c r="Y54" i="8"/>
  <c r="R54" i="8"/>
  <c r="V54" i="8" s="1"/>
  <c r="J54" i="8"/>
  <c r="M54" i="8" s="1"/>
  <c r="BF53" i="8"/>
  <c r="BF106" i="8" s="1"/>
  <c r="AU53" i="8"/>
  <c r="AY53" i="8" s="1"/>
  <c r="AS53" i="8"/>
  <c r="AJ53" i="8"/>
  <c r="AN53" i="8" s="1"/>
  <c r="AH53" i="8"/>
  <c r="AG53" i="8"/>
  <c r="Y53" i="8"/>
  <c r="AA53" i="8" s="1"/>
  <c r="AE53" i="8" s="1"/>
  <c r="R53" i="8"/>
  <c r="V53" i="8" s="1"/>
  <c r="M53" i="8"/>
  <c r="J53" i="8"/>
  <c r="BF52" i="8"/>
  <c r="AU52" i="8"/>
  <c r="AU106" i="8" s="1"/>
  <c r="AS52" i="8"/>
  <c r="AN52" i="8"/>
  <c r="AJ52" i="8"/>
  <c r="AH52" i="8"/>
  <c r="AA52" i="8"/>
  <c r="AE52" i="8" s="1"/>
  <c r="Y52" i="8"/>
  <c r="R52" i="8"/>
  <c r="V52" i="8" s="1"/>
  <c r="M52" i="8"/>
  <c r="J52" i="8"/>
  <c r="BB51" i="8"/>
  <c r="AS51" i="8"/>
  <c r="AN51" i="8"/>
  <c r="AJ51" i="8"/>
  <c r="AH51" i="8"/>
  <c r="AH106" i="8" s="1"/>
  <c r="AE51" i="8"/>
  <c r="AE106" i="8" s="1"/>
  <c r="AA51" i="8"/>
  <c r="Y51" i="8"/>
  <c r="Y106" i="8" s="1"/>
  <c r="Y109" i="8" s="1"/>
  <c r="R51" i="8"/>
  <c r="V51" i="8" s="1"/>
  <c r="M51" i="8"/>
  <c r="J51" i="8"/>
  <c r="BB49" i="8"/>
  <c r="AS49" i="8"/>
  <c r="AJ49" i="8"/>
  <c r="AA49" i="8"/>
  <c r="R49" i="8"/>
  <c r="J49" i="8"/>
  <c r="M49" i="8" s="1"/>
  <c r="BB48" i="8"/>
  <c r="AS48" i="8"/>
  <c r="AJ48" i="8"/>
  <c r="AA48" i="8"/>
  <c r="R48" i="8"/>
  <c r="J48" i="8"/>
  <c r="M48" i="8" s="1"/>
  <c r="BB47" i="8"/>
  <c r="AS47" i="8"/>
  <c r="AJ47" i="8"/>
  <c r="AA47" i="8"/>
  <c r="R47" i="8"/>
  <c r="M47" i="8"/>
  <c r="J47" i="8"/>
  <c r="J45" i="8"/>
  <c r="BB44" i="8"/>
  <c r="AS44" i="8"/>
  <c r="AJ44" i="8"/>
  <c r="AE44" i="8"/>
  <c r="AA44" i="8"/>
  <c r="R44" i="8"/>
  <c r="L44" i="8"/>
  <c r="H44" i="8"/>
  <c r="J44" i="8" s="1"/>
  <c r="BF43" i="8"/>
  <c r="AZ43" i="8"/>
  <c r="BB43" i="8" s="1"/>
  <c r="AY43" i="8"/>
  <c r="AW43" i="8"/>
  <c r="AU43" i="8"/>
  <c r="AQ43" i="8"/>
  <c r="AS43" i="8" s="1"/>
  <c r="AN43" i="8"/>
  <c r="AJ43" i="8"/>
  <c r="AE43" i="8"/>
  <c r="AA43" i="8"/>
  <c r="R43" i="8"/>
  <c r="M43" i="8"/>
  <c r="L43" i="8"/>
  <c r="J43" i="8"/>
  <c r="H43" i="8"/>
  <c r="BD42" i="8"/>
  <c r="BD105" i="8" s="1"/>
  <c r="BD109" i="8" s="1"/>
  <c r="AQ42" i="8"/>
  <c r="AQ105" i="8" s="1"/>
  <c r="AN42" i="8"/>
  <c r="AJ42" i="8"/>
  <c r="AH42" i="8"/>
  <c r="BF41" i="8"/>
  <c r="AP41" i="8"/>
  <c r="AS41" i="8" s="1"/>
  <c r="BF40" i="8"/>
  <c r="BB40" i="8"/>
  <c r="AZ40" i="8"/>
  <c r="AY40" i="8"/>
  <c r="AW40" i="8"/>
  <c r="AU40" i="8"/>
  <c r="AS40" i="8"/>
  <c r="AJ40" i="8"/>
  <c r="AE40" i="8"/>
  <c r="AA40" i="8"/>
  <c r="R40" i="8"/>
  <c r="M40" i="8"/>
  <c r="L40" i="8"/>
  <c r="J40" i="8"/>
  <c r="BF39" i="8"/>
  <c r="BF111" i="8" s="1"/>
  <c r="BF113" i="8" s="1"/>
  <c r="BB39" i="8"/>
  <c r="AS39" i="8"/>
  <c r="AN39" i="8"/>
  <c r="AJ39" i="8"/>
  <c r="AA39" i="8"/>
  <c r="AE39" i="8" s="1"/>
  <c r="Y39" i="8"/>
  <c r="V39" i="8"/>
  <c r="R39" i="8"/>
  <c r="P39" i="8"/>
  <c r="P111" i="8" s="1"/>
  <c r="P113" i="8" s="1"/>
  <c r="M39" i="8"/>
  <c r="L39" i="8"/>
  <c r="L105" i="8" s="1"/>
  <c r="L109" i="8" s="1"/>
  <c r="H39" i="8"/>
  <c r="J39" i="8" s="1"/>
  <c r="J33" i="8"/>
  <c r="M33" i="8" s="1"/>
  <c r="M83" i="8" s="1"/>
  <c r="M108" i="8" s="1"/>
  <c r="BF32" i="8"/>
  <c r="BF107" i="8" s="1"/>
  <c r="BD32" i="8"/>
  <c r="BD107" i="8" s="1"/>
  <c r="BD111" i="8" s="1"/>
  <c r="BD113" i="8" s="1"/>
  <c r="AY32" i="8"/>
  <c r="AU32" i="8"/>
  <c r="AP32" i="8"/>
  <c r="AP107" i="8" s="1"/>
  <c r="AP111" i="8" s="1"/>
  <c r="AP113" i="8" s="1"/>
  <c r="AN32" i="8"/>
  <c r="AN107" i="8" s="1"/>
  <c r="AL32" i="8"/>
  <c r="AL107" i="8" s="1"/>
  <c r="AL111" i="8" s="1"/>
  <c r="AL113" i="8" s="1"/>
  <c r="AH32" i="8"/>
  <c r="AH107" i="8" s="1"/>
  <c r="AH111" i="8" s="1"/>
  <c r="AH113" i="8" s="1"/>
  <c r="AG32" i="8"/>
  <c r="AE32" i="8"/>
  <c r="AC32" i="8"/>
  <c r="AC107" i="8" s="1"/>
  <c r="Y32" i="8"/>
  <c r="X32" i="8"/>
  <c r="X107" i="8" s="1"/>
  <c r="X111" i="8" s="1"/>
  <c r="X113" i="8" s="1"/>
  <c r="V32" i="8"/>
  <c r="V107" i="8" s="1"/>
  <c r="T32" i="8"/>
  <c r="T107" i="8" s="1"/>
  <c r="P32" i="8"/>
  <c r="P107" i="8" s="1"/>
  <c r="O32" i="8"/>
  <c r="M32" i="8"/>
  <c r="L32" i="8"/>
  <c r="L107" i="8" s="1"/>
  <c r="I32" i="8"/>
  <c r="H32" i="8"/>
  <c r="H107" i="8" s="1"/>
  <c r="F32" i="8"/>
  <c r="F107" i="8" s="1"/>
  <c r="BB31" i="8"/>
  <c r="AS31" i="8"/>
  <c r="AJ31" i="8"/>
  <c r="AA31" i="8"/>
  <c r="R31" i="8"/>
  <c r="J31" i="8"/>
  <c r="BB30" i="8"/>
  <c r="AS30" i="8"/>
  <c r="AJ30" i="8"/>
  <c r="AA30" i="8"/>
  <c r="R30" i="8"/>
  <c r="J30" i="8"/>
  <c r="BB29" i="8"/>
  <c r="AS29" i="8"/>
  <c r="AJ29" i="8"/>
  <c r="AA29" i="8"/>
  <c r="R29" i="8"/>
  <c r="J29" i="8"/>
  <c r="BB28" i="8"/>
  <c r="AZ28" i="8"/>
  <c r="AW28" i="8"/>
  <c r="AS28" i="8"/>
  <c r="AJ28" i="8"/>
  <c r="AE28" i="8"/>
  <c r="AA28" i="8"/>
  <c r="R28" i="8"/>
  <c r="J28" i="8"/>
  <c r="AY26" i="8"/>
  <c r="AU26" i="8"/>
  <c r="X26" i="8"/>
  <c r="M26" i="8"/>
  <c r="L26" i="8"/>
  <c r="I26" i="8"/>
  <c r="J26" i="8" s="1"/>
  <c r="H26" i="8"/>
  <c r="BF25" i="8"/>
  <c r="BB25" i="8"/>
  <c r="AZ25" i="8"/>
  <c r="AW25" i="8"/>
  <c r="AW21" i="8" s="1"/>
  <c r="AS25" i="8"/>
  <c r="Y25" i="8"/>
  <c r="V25" i="8"/>
  <c r="V26" i="8" s="1"/>
  <c r="BF24" i="8"/>
  <c r="BB24" i="8"/>
  <c r="AZ24" i="8"/>
  <c r="AW24" i="8"/>
  <c r="AS24" i="8"/>
  <c r="AJ24" i="8"/>
  <c r="AE24" i="8"/>
  <c r="AE19" i="8" s="1"/>
  <c r="AE26" i="8" s="1"/>
  <c r="AA24" i="8"/>
  <c r="R24" i="8"/>
  <c r="J24" i="8"/>
  <c r="AQ23" i="8"/>
  <c r="AS23" i="8" s="1"/>
  <c r="AW23" i="8" s="1"/>
  <c r="AZ23" i="8" s="1"/>
  <c r="BB23" i="8" s="1"/>
  <c r="BF23" i="8" s="1"/>
  <c r="AP23" i="8"/>
  <c r="AP26" i="8" s="1"/>
  <c r="AE23" i="8"/>
  <c r="AC23" i="8"/>
  <c r="BD22" i="8"/>
  <c r="BF22" i="8" s="1"/>
  <c r="AY22" i="8"/>
  <c r="BF21" i="8"/>
  <c r="BB21" i="8"/>
  <c r="AZ21" i="8"/>
  <c r="AY21" i="8"/>
  <c r="AS21" i="8"/>
  <c r="AQ21" i="8"/>
  <c r="AQ22" i="8" s="1"/>
  <c r="AS22" i="8" s="1"/>
  <c r="AW22" i="8" s="1"/>
  <c r="AZ22" i="8" s="1"/>
  <c r="BB22" i="8" s="1"/>
  <c r="AL21" i="8"/>
  <c r="AJ21" i="8"/>
  <c r="AH21" i="8"/>
  <c r="AG21" i="8"/>
  <c r="AG23" i="8" s="1"/>
  <c r="AJ23" i="8" s="1"/>
  <c r="AN23" i="8" s="1"/>
  <c r="AE21" i="8"/>
  <c r="AC21" i="8"/>
  <c r="BB20" i="8"/>
  <c r="AS20" i="8"/>
  <c r="AJ20" i="8"/>
  <c r="AA20" i="8"/>
  <c r="T20" i="8"/>
  <c r="T26" i="8" s="1"/>
  <c r="R20" i="8"/>
  <c r="O20" i="8"/>
  <c r="O26" i="8" s="1"/>
  <c r="J20" i="8"/>
  <c r="BF19" i="8"/>
  <c r="BD19" i="8"/>
  <c r="AZ19" i="8"/>
  <c r="AY19" i="8"/>
  <c r="AW19" i="8"/>
  <c r="AU19" i="8"/>
  <c r="AQ19" i="8"/>
  <c r="AN19" i="8"/>
  <c r="AN26" i="8" s="1"/>
  <c r="AL19" i="8"/>
  <c r="AL26" i="8" s="1"/>
  <c r="AJ19" i="8"/>
  <c r="AH19" i="8"/>
  <c r="AH26" i="8" s="1"/>
  <c r="AG19" i="8"/>
  <c r="AG26" i="8" s="1"/>
  <c r="AC19" i="8"/>
  <c r="AC26" i="8" s="1"/>
  <c r="AA19" i="8"/>
  <c r="Y19" i="8"/>
  <c r="Y26" i="8" s="1"/>
  <c r="V19" i="8"/>
  <c r="R19" i="8"/>
  <c r="P19" i="8"/>
  <c r="P26" i="8" s="1"/>
  <c r="J19" i="8"/>
  <c r="I19" i="8"/>
  <c r="BF17" i="8"/>
  <c r="BD17" i="8"/>
  <c r="AY17" i="8"/>
  <c r="BB17" i="8" s="1"/>
  <c r="AQ17" i="8"/>
  <c r="AP17" i="8"/>
  <c r="AS17" i="8" s="1"/>
  <c r="AN17" i="8"/>
  <c r="AL17" i="8"/>
  <c r="AJ17" i="8"/>
  <c r="AH17" i="8"/>
  <c r="AG17" i="8"/>
  <c r="AC17" i="8"/>
  <c r="Y17" i="8"/>
  <c r="X17" i="8"/>
  <c r="AA17" i="8" s="1"/>
  <c r="V17" i="8"/>
  <c r="T17" i="8"/>
  <c r="R17" i="8"/>
  <c r="P17" i="8"/>
  <c r="O17" i="8"/>
  <c r="M17" i="8"/>
  <c r="L17" i="8"/>
  <c r="H17" i="8"/>
  <c r="J17" i="8" s="1"/>
  <c r="BB14" i="8"/>
  <c r="AU14" i="8"/>
  <c r="AP14" i="8"/>
  <c r="AS14" i="8" s="1"/>
  <c r="AJ14" i="8"/>
  <c r="AE14" i="8"/>
  <c r="AA14" i="8"/>
  <c r="R14" i="8"/>
  <c r="J14" i="8"/>
  <c r="BB13" i="8"/>
  <c r="AP13" i="8"/>
  <c r="AU13" i="8" s="1"/>
  <c r="AZ12" i="8"/>
  <c r="AZ17" i="8" s="1"/>
  <c r="AW12" i="8"/>
  <c r="AW17" i="8" s="1"/>
  <c r="AU12" i="8"/>
  <c r="AU17" i="8" s="1"/>
  <c r="AS12" i="8"/>
  <c r="AP12" i="8"/>
  <c r="AJ12" i="8"/>
  <c r="AE12" i="8"/>
  <c r="AE17" i="8" s="1"/>
  <c r="AA12" i="8"/>
  <c r="R12" i="8"/>
  <c r="J12" i="8"/>
  <c r="O5" i="8"/>
  <c r="BF127" i="40"/>
  <c r="BB127" i="40"/>
  <c r="BA127" i="40"/>
  <c r="AW127" i="40"/>
  <c r="AS127" i="40"/>
  <c r="AR127" i="40"/>
  <c r="BF125" i="40"/>
  <c r="BB125" i="40"/>
  <c r="BA125" i="40"/>
  <c r="AW125" i="40"/>
  <c r="AS125" i="40"/>
  <c r="AR125" i="40"/>
  <c r="BD121" i="40"/>
  <c r="AU121" i="40"/>
  <c r="BD120" i="40"/>
  <c r="BH120" i="40" s="1"/>
  <c r="AU120" i="40"/>
  <c r="AY120" i="40" s="1"/>
  <c r="BD119" i="40"/>
  <c r="BH119" i="40" s="1"/>
  <c r="AU119" i="40"/>
  <c r="AY119" i="40" s="1"/>
  <c r="BD118" i="40"/>
  <c r="BH118" i="40" s="1"/>
  <c r="AU118" i="40"/>
  <c r="AY118" i="40" s="1"/>
  <c r="BD117" i="40"/>
  <c r="BH117" i="40" s="1"/>
  <c r="AU117" i="40"/>
  <c r="AY117" i="40" s="1"/>
  <c r="BD114" i="40"/>
  <c r="AU114" i="40"/>
  <c r="BD113" i="40"/>
  <c r="AU113" i="40"/>
  <c r="BD112" i="40"/>
  <c r="AU112" i="40"/>
  <c r="BD111" i="40"/>
  <c r="AU111" i="40"/>
  <c r="BD109" i="40"/>
  <c r="AU109" i="40"/>
  <c r="BD108" i="40"/>
  <c r="BH108" i="40" s="1"/>
  <c r="AU108" i="40"/>
  <c r="AY108" i="40" s="1"/>
  <c r="BD107" i="40"/>
  <c r="BH107" i="40" s="1"/>
  <c r="AU107" i="40"/>
  <c r="AY107" i="40" s="1"/>
  <c r="BD106" i="40"/>
  <c r="BH106" i="40" s="1"/>
  <c r="AU106" i="40"/>
  <c r="AY106" i="40" s="1"/>
  <c r="BD105" i="40"/>
  <c r="BH105" i="40" s="1"/>
  <c r="AU105" i="40"/>
  <c r="AY105" i="40" s="1"/>
  <c r="BD104" i="40"/>
  <c r="BH104" i="40" s="1"/>
  <c r="AU104" i="40"/>
  <c r="AY104" i="40" s="1"/>
  <c r="BD103" i="40"/>
  <c r="BH103" i="40" s="1"/>
  <c r="AU103" i="40"/>
  <c r="AY103" i="40" s="1"/>
  <c r="BD102" i="40"/>
  <c r="BH102" i="40" s="1"/>
  <c r="AU102" i="40"/>
  <c r="AY102" i="40" s="1"/>
  <c r="BD101" i="40"/>
  <c r="BH101" i="40" s="1"/>
  <c r="AU101" i="40"/>
  <c r="AY101" i="40" s="1"/>
  <c r="BD100" i="40"/>
  <c r="BH100" i="40" s="1"/>
  <c r="AU100" i="40"/>
  <c r="AY100" i="40" s="1"/>
  <c r="BD99" i="40"/>
  <c r="BH99" i="40" s="1"/>
  <c r="AU99" i="40"/>
  <c r="AY99" i="40" s="1"/>
  <c r="BD98" i="40"/>
  <c r="BH98" i="40" s="1"/>
  <c r="AU98" i="40"/>
  <c r="AY98" i="40" s="1"/>
  <c r="BD97" i="40"/>
  <c r="BH97" i="40" s="1"/>
  <c r="AU97" i="40"/>
  <c r="AY97" i="40" s="1"/>
  <c r="BD96" i="40"/>
  <c r="BH96" i="40" s="1"/>
  <c r="AU96" i="40"/>
  <c r="AY96" i="40" s="1"/>
  <c r="BD95" i="40"/>
  <c r="BH95" i="40" s="1"/>
  <c r="AU95" i="40"/>
  <c r="AY95" i="40" s="1"/>
  <c r="BD94" i="40"/>
  <c r="BH94" i="40" s="1"/>
  <c r="AU94" i="40"/>
  <c r="AY94" i="40" s="1"/>
  <c r="BD93" i="40"/>
  <c r="BH93" i="40" s="1"/>
  <c r="AU93" i="40"/>
  <c r="AY93" i="40" s="1"/>
  <c r="BD92" i="40"/>
  <c r="BH92" i="40" s="1"/>
  <c r="AU92" i="40"/>
  <c r="AY92" i="40" s="1"/>
  <c r="BD91" i="40"/>
  <c r="BH91" i="40" s="1"/>
  <c r="AU91" i="40"/>
  <c r="AY91" i="40" s="1"/>
  <c r="BD90" i="40"/>
  <c r="BH90" i="40" s="1"/>
  <c r="AU90" i="40"/>
  <c r="AY90" i="40" s="1"/>
  <c r="BD89" i="40"/>
  <c r="BH89" i="40" s="1"/>
  <c r="AU89" i="40"/>
  <c r="AY89" i="40" s="1"/>
  <c r="BF87" i="40"/>
  <c r="BB87" i="40"/>
  <c r="BA87" i="40"/>
  <c r="AW87" i="40"/>
  <c r="AW126" i="40" s="1"/>
  <c r="AS87" i="40"/>
  <c r="AR87" i="40"/>
  <c r="AU87" i="40" s="1"/>
  <c r="BD86" i="40"/>
  <c r="BH86" i="40" s="1"/>
  <c r="AU86" i="40"/>
  <c r="AY86" i="40" s="1"/>
  <c r="BD85" i="40"/>
  <c r="BH85" i="40" s="1"/>
  <c r="AU85" i="40"/>
  <c r="AY85" i="40" s="1"/>
  <c r="BD84" i="40"/>
  <c r="BH84" i="40" s="1"/>
  <c r="AU84" i="40"/>
  <c r="AY84" i="40" s="1"/>
  <c r="BD83" i="40"/>
  <c r="BH83" i="40" s="1"/>
  <c r="AU83" i="40"/>
  <c r="AY83" i="40" s="1"/>
  <c r="BD82" i="40"/>
  <c r="BH82" i="40" s="1"/>
  <c r="AU82" i="40"/>
  <c r="AY82" i="40" s="1"/>
  <c r="BD81" i="40"/>
  <c r="BH81" i="40" s="1"/>
  <c r="AU81" i="40"/>
  <c r="AY81" i="40" s="1"/>
  <c r="BD80" i="40"/>
  <c r="BH80" i="40" s="1"/>
  <c r="AU80" i="40"/>
  <c r="AY80" i="40" s="1"/>
  <c r="BD79" i="40"/>
  <c r="BH79" i="40" s="1"/>
  <c r="AU79" i="40"/>
  <c r="AY79" i="40" s="1"/>
  <c r="BD78" i="40"/>
  <c r="BH78" i="40" s="1"/>
  <c r="AU78" i="40"/>
  <c r="AY78" i="40" s="1"/>
  <c r="BD77" i="40"/>
  <c r="BH77" i="40" s="1"/>
  <c r="AU77" i="40"/>
  <c r="AY77" i="40" s="1"/>
  <c r="BD76" i="40"/>
  <c r="BH76" i="40" s="1"/>
  <c r="AU76" i="40"/>
  <c r="AY76" i="40" s="1"/>
  <c r="BH75" i="40"/>
  <c r="AU75" i="40"/>
  <c r="AY75" i="40" s="1"/>
  <c r="BD74" i="40"/>
  <c r="BH74" i="40" s="1"/>
  <c r="AU74" i="40"/>
  <c r="AY74" i="40" s="1"/>
  <c r="BD73" i="40"/>
  <c r="BH73" i="40" s="1"/>
  <c r="AU73" i="40"/>
  <c r="AY73" i="40" s="1"/>
  <c r="BH72" i="40"/>
  <c r="BD72" i="40"/>
  <c r="AU72" i="40"/>
  <c r="AY72" i="40" s="1"/>
  <c r="BD71" i="40"/>
  <c r="BH71" i="40" s="1"/>
  <c r="AU71" i="40"/>
  <c r="AY71" i="40" s="1"/>
  <c r="BD70" i="40"/>
  <c r="BH70" i="40" s="1"/>
  <c r="AU70" i="40"/>
  <c r="AY70" i="40" s="1"/>
  <c r="BD69" i="40"/>
  <c r="BH69" i="40" s="1"/>
  <c r="AU69" i="40"/>
  <c r="AY69" i="40" s="1"/>
  <c r="BH68" i="40"/>
  <c r="BD68" i="40"/>
  <c r="AY68" i="40"/>
  <c r="AU68" i="40"/>
  <c r="BD67" i="40"/>
  <c r="BH67" i="40" s="1"/>
  <c r="AU67" i="40"/>
  <c r="AY67" i="40" s="1"/>
  <c r="BD66" i="40"/>
  <c r="BH66" i="40" s="1"/>
  <c r="AY66" i="40"/>
  <c r="AU66" i="40"/>
  <c r="BD65" i="40"/>
  <c r="BH65" i="40" s="1"/>
  <c r="AU65" i="40"/>
  <c r="AY65" i="40" s="1"/>
  <c r="BD64" i="40"/>
  <c r="BH64" i="40" s="1"/>
  <c r="AY64" i="40"/>
  <c r="AU64" i="40"/>
  <c r="BH63" i="40"/>
  <c r="BD63" i="40"/>
  <c r="AU63" i="40"/>
  <c r="AY63" i="40" s="1"/>
  <c r="BD61" i="40"/>
  <c r="AU61" i="40"/>
  <c r="BD58" i="40"/>
  <c r="BH58" i="40" s="1"/>
  <c r="AY58" i="40"/>
  <c r="AU58" i="40"/>
  <c r="BD57" i="40"/>
  <c r="BH57" i="40" s="1"/>
  <c r="AU57" i="40"/>
  <c r="AY57" i="40" s="1"/>
  <c r="BH56" i="40"/>
  <c r="AY56" i="40"/>
  <c r="BH55" i="40"/>
  <c r="BD55" i="40"/>
  <c r="AU55" i="40"/>
  <c r="AY55" i="40" s="1"/>
  <c r="BD54" i="40"/>
  <c r="BH54" i="40" s="1"/>
  <c r="AU54" i="40"/>
  <c r="AY54" i="40" s="1"/>
  <c r="BD53" i="40"/>
  <c r="BH53" i="40" s="1"/>
  <c r="AU53" i="40"/>
  <c r="AY53" i="40" s="1"/>
  <c r="BH52" i="40"/>
  <c r="BH51" i="40"/>
  <c r="AU51" i="40"/>
  <c r="AY51" i="40" s="1"/>
  <c r="BD50" i="40"/>
  <c r="BH50" i="40" s="1"/>
  <c r="AU50" i="40"/>
  <c r="AY50" i="40" s="1"/>
  <c r="BH49" i="40"/>
  <c r="BD49" i="40"/>
  <c r="AU49" i="40"/>
  <c r="AY49" i="40" s="1"/>
  <c r="BD48" i="40"/>
  <c r="BH48" i="40" s="1"/>
  <c r="AU48" i="40"/>
  <c r="AY48" i="40" s="1"/>
  <c r="BH47" i="40"/>
  <c r="BD47" i="40"/>
  <c r="AY47" i="40"/>
  <c r="AU47" i="40"/>
  <c r="BD45" i="40"/>
  <c r="AU45" i="40"/>
  <c r="BD44" i="40"/>
  <c r="AU44" i="40"/>
  <c r="BD43" i="40"/>
  <c r="AU43" i="40"/>
  <c r="BD42" i="40"/>
  <c r="AU42" i="40"/>
  <c r="BD41" i="40"/>
  <c r="AU41" i="40"/>
  <c r="BD40" i="40"/>
  <c r="AU40" i="40"/>
  <c r="BD39" i="40"/>
  <c r="AU39" i="40"/>
  <c r="BH37" i="40"/>
  <c r="BD37" i="40"/>
  <c r="AU37" i="40"/>
  <c r="AY37" i="40" s="1"/>
  <c r="BA36" i="40"/>
  <c r="BD36" i="40" s="1"/>
  <c r="BH36" i="40" s="1"/>
  <c r="AW36" i="40"/>
  <c r="AS36" i="40"/>
  <c r="AU36" i="40" s="1"/>
  <c r="AY36" i="40" s="1"/>
  <c r="AR36" i="40"/>
  <c r="BD35" i="40"/>
  <c r="BH35" i="40" s="1"/>
  <c r="AU35" i="40"/>
  <c r="AY35" i="40" s="1"/>
  <c r="BF34" i="40"/>
  <c r="BB34" i="40"/>
  <c r="BB124" i="40" s="1"/>
  <c r="BA34" i="40"/>
  <c r="BD34" i="40" s="1"/>
  <c r="AW34" i="40"/>
  <c r="AS34" i="40"/>
  <c r="AR34" i="40"/>
  <c r="BD30" i="40"/>
  <c r="AU30" i="40"/>
  <c r="BD29" i="40"/>
  <c r="AU29" i="40"/>
  <c r="BA27" i="40"/>
  <c r="BA126" i="40" s="1"/>
  <c r="AW27" i="40"/>
  <c r="AS27" i="40"/>
  <c r="AS126" i="40" s="1"/>
  <c r="AR27" i="40"/>
  <c r="AR126" i="40" s="1"/>
  <c r="BD26" i="40"/>
  <c r="BH26" i="40" s="1"/>
  <c r="AU26" i="40"/>
  <c r="AY26" i="40" s="1"/>
  <c r="BF25" i="40"/>
  <c r="BF27" i="40" s="1"/>
  <c r="BF126" i="40" s="1"/>
  <c r="BF130" i="40" s="1"/>
  <c r="BB25" i="40"/>
  <c r="BB27" i="40" s="1"/>
  <c r="AW25" i="40"/>
  <c r="AS25" i="40"/>
  <c r="AR25" i="40"/>
  <c r="BD24" i="40"/>
  <c r="BH24" i="40" s="1"/>
  <c r="AU24" i="40"/>
  <c r="AY24" i="40" s="1"/>
  <c r="AY27" i="40" s="1"/>
  <c r="BD23" i="40"/>
  <c r="AU23" i="40"/>
  <c r="BD20" i="40"/>
  <c r="AU20" i="40"/>
  <c r="BD19" i="40"/>
  <c r="BH19" i="40" s="1"/>
  <c r="AY19" i="40"/>
  <c r="AU19" i="40"/>
  <c r="BH18" i="40"/>
  <c r="BD18" i="40"/>
  <c r="AU18" i="40"/>
  <c r="AY18" i="40" s="1"/>
  <c r="BF17" i="40"/>
  <c r="BF21" i="40" s="1"/>
  <c r="BB17" i="40"/>
  <c r="BB21" i="40" s="1"/>
  <c r="BA17" i="40"/>
  <c r="BA21" i="40" s="1"/>
  <c r="BD21" i="40" s="1"/>
  <c r="AW17" i="40"/>
  <c r="AW21" i="40" s="1"/>
  <c r="AS17" i="40"/>
  <c r="AS21" i="40" s="1"/>
  <c r="AR17" i="40"/>
  <c r="AR21" i="40" s="1"/>
  <c r="BF15" i="40"/>
  <c r="AU15" i="40"/>
  <c r="BD14" i="40"/>
  <c r="BH14" i="40" s="1"/>
  <c r="AU14" i="40"/>
  <c r="AY14" i="40" s="1"/>
  <c r="BF13" i="40"/>
  <c r="BB13" i="40"/>
  <c r="BB15" i="40" s="1"/>
  <c r="BA13" i="40"/>
  <c r="BA15" i="40" s="1"/>
  <c r="AW13" i="40"/>
  <c r="AY13" i="40" s="1"/>
  <c r="AS13" i="40"/>
  <c r="AU13" i="40" s="1"/>
  <c r="AR13" i="40"/>
  <c r="BD12" i="40"/>
  <c r="BH12" i="40" s="1"/>
  <c r="AU12" i="40"/>
  <c r="AY12" i="40" s="1"/>
  <c r="AT28" i="27" l="1"/>
  <c r="AV28" i="27" s="1"/>
  <c r="AT104" i="27"/>
  <c r="AT108" i="27" s="1"/>
  <c r="AX28" i="27"/>
  <c r="AX104" i="27"/>
  <c r="AZ30" i="27"/>
  <c r="AZ104" i="27" s="1"/>
  <c r="AZ108" i="27" s="1"/>
  <c r="AS106" i="27"/>
  <c r="AZ106" i="27"/>
  <c r="AZ113" i="27" s="1"/>
  <c r="R107" i="27"/>
  <c r="R113" i="27"/>
  <c r="BC107" i="27"/>
  <c r="BC118" i="27"/>
  <c r="BC113" i="27"/>
  <c r="BC114" i="27"/>
  <c r="BC115" i="27" s="1"/>
  <c r="AP113" i="27"/>
  <c r="AP107" i="27"/>
  <c r="AN118" i="27"/>
  <c r="AN107" i="27"/>
  <c r="AN113" i="27"/>
  <c r="BI118" i="27"/>
  <c r="BI113" i="27"/>
  <c r="BI107" i="27"/>
  <c r="BE89" i="6"/>
  <c r="BE91" i="6" s="1"/>
  <c r="BC98" i="6"/>
  <c r="BH22" i="6"/>
  <c r="BJ28" i="6"/>
  <c r="BC87" i="6"/>
  <c r="BC93" i="6" s="1"/>
  <c r="BF17" i="6"/>
  <c r="BJ12" i="6"/>
  <c r="BJ52" i="6"/>
  <c r="BJ85" i="6" s="1"/>
  <c r="BC90" i="6"/>
  <c r="BC97" i="6"/>
  <c r="BH85" i="6"/>
  <c r="BH89" i="6" s="1"/>
  <c r="BE83" i="6"/>
  <c r="BE87" i="6" s="1"/>
  <c r="BJ17" i="6"/>
  <c r="BJ22" i="6" s="1"/>
  <c r="BF35" i="6"/>
  <c r="BJ35" i="6" s="1"/>
  <c r="BJ44" i="6"/>
  <c r="BJ84" i="6" s="1"/>
  <c r="BD100" i="9"/>
  <c r="BD93" i="9"/>
  <c r="BF91" i="9"/>
  <c r="BF93" i="9" s="1"/>
  <c r="BF85" i="9"/>
  <c r="BF89" i="9" s="1"/>
  <c r="BD95" i="9"/>
  <c r="BD92" i="9"/>
  <c r="BD90" i="9"/>
  <c r="BD99" i="9"/>
  <c r="BF22" i="9"/>
  <c r="AY100" i="9"/>
  <c r="AY93" i="9"/>
  <c r="AY95" i="9"/>
  <c r="AY92" i="9"/>
  <c r="AY90" i="9"/>
  <c r="AY99" i="9"/>
  <c r="BF100" i="9"/>
  <c r="BB22" i="9"/>
  <c r="AZ89" i="9"/>
  <c r="AY15" i="9"/>
  <c r="BB15" i="9" s="1"/>
  <c r="BD22" i="9"/>
  <c r="AZ87" i="9"/>
  <c r="AZ91" i="9" s="1"/>
  <c r="BF12" i="9"/>
  <c r="BF15" i="9" s="1"/>
  <c r="BF24" i="9"/>
  <c r="BB55" i="9"/>
  <c r="BQ23" i="32"/>
  <c r="BQ154" i="32"/>
  <c r="BS156" i="32"/>
  <c r="BQ153" i="32"/>
  <c r="BQ152" i="32"/>
  <c r="BR152" i="32"/>
  <c r="BB90" i="18"/>
  <c r="BC97" i="18"/>
  <c r="BC91" i="18"/>
  <c r="BC92" i="18"/>
  <c r="BC98" i="18"/>
  <c r="BC99" i="18" s="1"/>
  <c r="BG90" i="18"/>
  <c r="BI97" i="18"/>
  <c r="BI98" i="18"/>
  <c r="BI99" i="18" s="1"/>
  <c r="BI92" i="18"/>
  <c r="BI91" i="18"/>
  <c r="BI24" i="18"/>
  <c r="BJ24" i="18" s="1"/>
  <c r="BE49" i="18"/>
  <c r="AG115" i="8"/>
  <c r="AG112" i="8"/>
  <c r="AG110" i="8"/>
  <c r="AE105" i="8"/>
  <c r="AE109" i="8" s="1"/>
  <c r="AE111" i="8"/>
  <c r="AE113" i="8" s="1"/>
  <c r="V106" i="8"/>
  <c r="AL109" i="8"/>
  <c r="AQ26" i="8"/>
  <c r="AJ26" i="8"/>
  <c r="Y115" i="8"/>
  <c r="Y112" i="8"/>
  <c r="Y110" i="8"/>
  <c r="P109" i="8"/>
  <c r="F109" i="8"/>
  <c r="F110" i="8" s="1"/>
  <c r="AN111" i="8"/>
  <c r="AN113" i="8" s="1"/>
  <c r="T116" i="8"/>
  <c r="T117" i="8" s="1"/>
  <c r="T115" i="8"/>
  <c r="T112" i="8"/>
  <c r="T110" i="8"/>
  <c r="BF26" i="8"/>
  <c r="AW26" i="8"/>
  <c r="AA26" i="8"/>
  <c r="M105" i="8"/>
  <c r="BB56" i="8"/>
  <c r="X109" i="8"/>
  <c r="AS26" i="8"/>
  <c r="AC111" i="8"/>
  <c r="AC113" i="8" s="1"/>
  <c r="AC109" i="8"/>
  <c r="O116" i="8"/>
  <c r="O117" i="8" s="1"/>
  <c r="O115" i="8"/>
  <c r="O112" i="8"/>
  <c r="O110" i="8"/>
  <c r="BD115" i="8"/>
  <c r="BD112" i="8"/>
  <c r="R26" i="8"/>
  <c r="BB26" i="8"/>
  <c r="V111" i="8"/>
  <c r="V113" i="8" s="1"/>
  <c r="AN106" i="8"/>
  <c r="L116" i="8"/>
  <c r="L117" i="8" s="1"/>
  <c r="L115" i="8"/>
  <c r="L112" i="8"/>
  <c r="L110" i="8"/>
  <c r="M106" i="8"/>
  <c r="M107" i="8"/>
  <c r="AH109" i="8"/>
  <c r="H111" i="8"/>
  <c r="H113" i="8" s="1"/>
  <c r="I110" i="8"/>
  <c r="Y111" i="8"/>
  <c r="Y113" i="8" s="1"/>
  <c r="I112" i="8"/>
  <c r="I115" i="8"/>
  <c r="BB12" i="8"/>
  <c r="AQ32" i="8"/>
  <c r="AQ107" i="8" s="1"/>
  <c r="AQ109" i="8" s="1"/>
  <c r="AU41" i="8"/>
  <c r="AS42" i="8"/>
  <c r="AW52" i="8"/>
  <c r="AY55" i="8"/>
  <c r="BB55" i="8" s="1"/>
  <c r="AW56" i="8"/>
  <c r="AZ56" i="8" s="1"/>
  <c r="AW65" i="8"/>
  <c r="AZ65" i="8" s="1"/>
  <c r="BB65" i="8" s="1"/>
  <c r="V105" i="8"/>
  <c r="V109" i="8" s="1"/>
  <c r="AN105" i="8"/>
  <c r="AN109" i="8" s="1"/>
  <c r="L111" i="8"/>
  <c r="L113" i="8" s="1"/>
  <c r="AY52" i="8"/>
  <c r="H105" i="8"/>
  <c r="H109" i="8" s="1"/>
  <c r="AP105" i="8"/>
  <c r="AP109" i="8" s="1"/>
  <c r="M111" i="8"/>
  <c r="M113" i="8" s="1"/>
  <c r="AS13" i="8"/>
  <c r="AS19" i="8"/>
  <c r="AW32" i="8"/>
  <c r="AW42" i="8"/>
  <c r="AZ42" i="8" s="1"/>
  <c r="AZ105" i="8" s="1"/>
  <c r="AW53" i="8"/>
  <c r="AZ53" i="8" s="1"/>
  <c r="BB53" i="8" s="1"/>
  <c r="AS76" i="8"/>
  <c r="AU76" i="8"/>
  <c r="AU107" i="8" s="1"/>
  <c r="AU111" i="8" s="1"/>
  <c r="AU113" i="8" s="1"/>
  <c r="BD21" i="8"/>
  <c r="BD26" i="8" s="1"/>
  <c r="BB19" i="8"/>
  <c r="AY15" i="40"/>
  <c r="BD17" i="40"/>
  <c r="AW15" i="40"/>
  <c r="AW124" i="40"/>
  <c r="AW128" i="40" s="1"/>
  <c r="AW134" i="40" s="1"/>
  <c r="BD87" i="40"/>
  <c r="BH87" i="40" s="1"/>
  <c r="BH34" i="40"/>
  <c r="BH124" i="40" s="1"/>
  <c r="AU21" i="40"/>
  <c r="AS124" i="40"/>
  <c r="AS128" i="40" s="1"/>
  <c r="BH127" i="40"/>
  <c r="AU25" i="40"/>
  <c r="AY25" i="40" s="1"/>
  <c r="AR124" i="40"/>
  <c r="AR128" i="40" s="1"/>
  <c r="AR134" i="40" s="1"/>
  <c r="BB126" i="40"/>
  <c r="AU34" i="40"/>
  <c r="AY34" i="40" s="1"/>
  <c r="AY87" i="40"/>
  <c r="AY126" i="40" s="1"/>
  <c r="BF139" i="40"/>
  <c r="BF132" i="40"/>
  <c r="AW138" i="40"/>
  <c r="BA130" i="40"/>
  <c r="BH125" i="40"/>
  <c r="BB128" i="40"/>
  <c r="AY125" i="40"/>
  <c r="BD15" i="40"/>
  <c r="AR129" i="40"/>
  <c r="AR138" i="40"/>
  <c r="AY127" i="40"/>
  <c r="AU17" i="40"/>
  <c r="AY17" i="40" s="1"/>
  <c r="AY21" i="40" s="1"/>
  <c r="BD25" i="40"/>
  <c r="BH25" i="40" s="1"/>
  <c r="BH27" i="40" s="1"/>
  <c r="BA124" i="40"/>
  <c r="BA128" i="40" s="1"/>
  <c r="BD13" i="40"/>
  <c r="BH13" i="40" s="1"/>
  <c r="BH15" i="40" s="1"/>
  <c r="BH17" i="40"/>
  <c r="BH21" i="40" s="1"/>
  <c r="BF124" i="40"/>
  <c r="BF128" i="40" s="1"/>
  <c r="AR130" i="40"/>
  <c r="AR131" i="40" s="1"/>
  <c r="AW130" i="40"/>
  <c r="AS113" i="27" l="1"/>
  <c r="AS118" i="27"/>
  <c r="AS107" i="27"/>
  <c r="AX108" i="27"/>
  <c r="AX106" i="27"/>
  <c r="AZ107" i="27"/>
  <c r="AT111" i="27"/>
  <c r="AT117" i="27"/>
  <c r="AZ28" i="27"/>
  <c r="AT106" i="27"/>
  <c r="BC88" i="6"/>
  <c r="BH91" i="6"/>
  <c r="BH98" i="6"/>
  <c r="BH87" i="6"/>
  <c r="BE93" i="6"/>
  <c r="BE90" i="6"/>
  <c r="BE88" i="6"/>
  <c r="BJ89" i="6"/>
  <c r="BJ91" i="6" s="1"/>
  <c r="BJ83" i="6"/>
  <c r="BJ87" i="6" s="1"/>
  <c r="BF95" i="9"/>
  <c r="BF92" i="9"/>
  <c r="BF90" i="9"/>
  <c r="BF99" i="9"/>
  <c r="AZ100" i="9"/>
  <c r="AZ93" i="9"/>
  <c r="AZ95" i="9"/>
  <c r="AZ92" i="9"/>
  <c r="AZ90" i="9"/>
  <c r="AZ99" i="9"/>
  <c r="BQ156" i="32"/>
  <c r="BQ162" i="32" s="1"/>
  <c r="BQ157" i="32"/>
  <c r="BS157" i="32"/>
  <c r="BS162" i="32"/>
  <c r="BG97" i="18"/>
  <c r="BG91" i="18"/>
  <c r="BG92" i="18"/>
  <c r="BG98" i="18"/>
  <c r="BG99" i="18" s="1"/>
  <c r="BB98" i="18"/>
  <c r="BB99" i="18" s="1"/>
  <c r="BB97" i="18"/>
  <c r="BB91" i="18"/>
  <c r="BB92" i="18"/>
  <c r="AQ115" i="8"/>
  <c r="AQ110" i="8"/>
  <c r="AL115" i="8"/>
  <c r="AL112" i="8"/>
  <c r="AL110" i="8"/>
  <c r="V116" i="8"/>
  <c r="V117" i="8" s="1"/>
  <c r="V115" i="8"/>
  <c r="V112" i="8"/>
  <c r="V110" i="8"/>
  <c r="AH115" i="8"/>
  <c r="AH112" i="8"/>
  <c r="AH110" i="8"/>
  <c r="P116" i="8"/>
  <c r="P117" i="8" s="1"/>
  <c r="P115" i="8"/>
  <c r="P112" i="8"/>
  <c r="P110" i="8"/>
  <c r="X115" i="8"/>
  <c r="X112" i="8"/>
  <c r="X110" i="8"/>
  <c r="AP115" i="8"/>
  <c r="AP112" i="8"/>
  <c r="AP110" i="8"/>
  <c r="AQ111" i="8"/>
  <c r="AQ113" i="8" s="1"/>
  <c r="AE110" i="8"/>
  <c r="AE115" i="8"/>
  <c r="AE112" i="8"/>
  <c r="AN115" i="8"/>
  <c r="AN112" i="8"/>
  <c r="AN110" i="8"/>
  <c r="AY76" i="8"/>
  <c r="AY106" i="8"/>
  <c r="AW106" i="8"/>
  <c r="AZ52" i="8"/>
  <c r="AZ106" i="8" s="1"/>
  <c r="AZ109" i="8" s="1"/>
  <c r="AW105" i="8"/>
  <c r="M109" i="8"/>
  <c r="H116" i="8"/>
  <c r="H117" i="8" s="1"/>
  <c r="H115" i="8"/>
  <c r="H112" i="8"/>
  <c r="H110" i="8"/>
  <c r="BF42" i="8"/>
  <c r="BF105" i="8" s="1"/>
  <c r="BF109" i="8" s="1"/>
  <c r="AZ32" i="8"/>
  <c r="AZ107" i="8" s="1"/>
  <c r="AZ111" i="8" s="1"/>
  <c r="AZ113" i="8" s="1"/>
  <c r="AW107" i="8"/>
  <c r="AW111" i="8" s="1"/>
  <c r="AW113" i="8" s="1"/>
  <c r="AY41" i="8"/>
  <c r="AU42" i="8"/>
  <c r="AU105" i="8" s="1"/>
  <c r="AU109" i="8" s="1"/>
  <c r="BD110" i="8"/>
  <c r="AC115" i="8"/>
  <c r="AC112" i="8"/>
  <c r="AC110" i="8"/>
  <c r="AW131" i="40"/>
  <c r="AW129" i="40"/>
  <c r="BH126" i="40"/>
  <c r="BH130" i="40" s="1"/>
  <c r="BH132" i="40" s="1"/>
  <c r="BH139" i="40"/>
  <c r="BF131" i="40"/>
  <c r="BF138" i="40"/>
  <c r="BF134" i="40"/>
  <c r="BF129" i="40"/>
  <c r="BH128" i="40"/>
  <c r="AY130" i="40"/>
  <c r="AY124" i="40"/>
  <c r="AY128" i="40" s="1"/>
  <c r="AR132" i="40"/>
  <c r="AR139" i="40"/>
  <c r="BA138" i="40"/>
  <c r="BA129" i="40"/>
  <c r="BA131" i="40"/>
  <c r="BA134" i="40"/>
  <c r="BA139" i="40"/>
  <c r="BA132" i="40"/>
  <c r="AW132" i="40"/>
  <c r="AW139" i="40"/>
  <c r="AC91" i="5"/>
  <c r="Y91" i="5"/>
  <c r="BB89" i="5"/>
  <c r="AY89" i="5"/>
  <c r="AW89" i="5"/>
  <c r="AR89" i="5"/>
  <c r="AN89" i="5"/>
  <c r="AL89" i="5"/>
  <c r="AH89" i="5"/>
  <c r="AG89" i="5"/>
  <c r="AE89" i="5"/>
  <c r="AE91" i="5" s="1"/>
  <c r="AC89" i="5"/>
  <c r="Y89" i="5"/>
  <c r="X89" i="5"/>
  <c r="T89" i="5"/>
  <c r="T91" i="5" s="1"/>
  <c r="O89" i="5"/>
  <c r="O91" i="5" s="1"/>
  <c r="O87" i="5"/>
  <c r="O90" i="5" s="1"/>
  <c r="BD86" i="5"/>
  <c r="BB86" i="5"/>
  <c r="AY86" i="5"/>
  <c r="AW86" i="5"/>
  <c r="AS86" i="5"/>
  <c r="AR86" i="5"/>
  <c r="AN86" i="5"/>
  <c r="AL86" i="5"/>
  <c r="AH86" i="5"/>
  <c r="AG86" i="5"/>
  <c r="AE86" i="5"/>
  <c r="AC86" i="5"/>
  <c r="Y86" i="5"/>
  <c r="X86" i="5"/>
  <c r="T86" i="5"/>
  <c r="P86" i="5"/>
  <c r="O86" i="5"/>
  <c r="M86" i="5"/>
  <c r="L86" i="5"/>
  <c r="I86" i="5"/>
  <c r="H86" i="5"/>
  <c r="F86" i="5"/>
  <c r="X85" i="5"/>
  <c r="O85" i="5"/>
  <c r="M85" i="5"/>
  <c r="L85" i="5"/>
  <c r="BD84" i="5"/>
  <c r="BB84" i="5"/>
  <c r="AY84" i="5"/>
  <c r="AW84" i="5"/>
  <c r="AS84" i="5"/>
  <c r="AR84" i="5"/>
  <c r="AN84" i="5"/>
  <c r="AL84" i="5"/>
  <c r="AH84" i="5"/>
  <c r="AG84" i="5"/>
  <c r="AE84" i="5"/>
  <c r="AC84" i="5"/>
  <c r="X84" i="5"/>
  <c r="T84" i="5"/>
  <c r="O84" i="5"/>
  <c r="M84" i="5"/>
  <c r="L84" i="5"/>
  <c r="I84" i="5"/>
  <c r="H84" i="5"/>
  <c r="F84" i="5"/>
  <c r="BB83" i="5"/>
  <c r="AW83" i="5"/>
  <c r="AS83" i="5"/>
  <c r="AR83" i="5"/>
  <c r="AN83" i="5"/>
  <c r="AL83" i="5"/>
  <c r="AL87" i="5" s="1"/>
  <c r="AH83" i="5"/>
  <c r="AG83" i="5"/>
  <c r="AE83" i="5"/>
  <c r="AC83" i="5"/>
  <c r="X83" i="5"/>
  <c r="X87" i="5" s="1"/>
  <c r="T83" i="5"/>
  <c r="O83" i="5"/>
  <c r="M83" i="5"/>
  <c r="M87" i="5" s="1"/>
  <c r="L83" i="5"/>
  <c r="L87" i="5" s="1"/>
  <c r="I83" i="5"/>
  <c r="H83" i="5"/>
  <c r="F83" i="5"/>
  <c r="AU80" i="5"/>
  <c r="AY80" i="5" s="1"/>
  <c r="AS80" i="5"/>
  <c r="AJ80" i="5"/>
  <c r="AN80" i="5" s="1"/>
  <c r="AH80" i="5"/>
  <c r="AE80" i="5"/>
  <c r="AA80" i="5"/>
  <c r="R80" i="5"/>
  <c r="V80" i="5" s="1"/>
  <c r="M80" i="5"/>
  <c r="J80" i="5"/>
  <c r="AU79" i="5"/>
  <c r="AY79" i="5" s="1"/>
  <c r="AS79" i="5"/>
  <c r="AN79" i="5"/>
  <c r="AJ79" i="5"/>
  <c r="AH79" i="5"/>
  <c r="AE79" i="5"/>
  <c r="AA79" i="5"/>
  <c r="R79" i="5"/>
  <c r="V79" i="5" s="1"/>
  <c r="M79" i="5"/>
  <c r="J79" i="5"/>
  <c r="AU78" i="5"/>
  <c r="AY78" i="5" s="1"/>
  <c r="AS78" i="5"/>
  <c r="AJ78" i="5"/>
  <c r="AN78" i="5" s="1"/>
  <c r="AH78" i="5"/>
  <c r="AE78" i="5"/>
  <c r="AA78" i="5"/>
  <c r="R78" i="5"/>
  <c r="V78" i="5" s="1"/>
  <c r="M78" i="5"/>
  <c r="J78" i="5"/>
  <c r="AU77" i="5"/>
  <c r="AY77" i="5" s="1"/>
  <c r="AS77" i="5"/>
  <c r="AN77" i="5"/>
  <c r="AJ77" i="5"/>
  <c r="AH77" i="5"/>
  <c r="AE77" i="5"/>
  <c r="AA77" i="5"/>
  <c r="R77" i="5"/>
  <c r="V77" i="5" s="1"/>
  <c r="M77" i="5"/>
  <c r="J77" i="5"/>
  <c r="AU76" i="5"/>
  <c r="AY76" i="5" s="1"/>
  <c r="AS76" i="5"/>
  <c r="AJ76" i="5"/>
  <c r="AN76" i="5" s="1"/>
  <c r="AH76" i="5"/>
  <c r="AE76" i="5"/>
  <c r="AA76" i="5"/>
  <c r="R76" i="5"/>
  <c r="V76" i="5" s="1"/>
  <c r="M76" i="5"/>
  <c r="J76" i="5"/>
  <c r="AU75" i="5"/>
  <c r="AY75" i="5" s="1"/>
  <c r="AS75" i="5"/>
  <c r="AN75" i="5"/>
  <c r="AJ75" i="5"/>
  <c r="AH75" i="5"/>
  <c r="AE75" i="5"/>
  <c r="AA75" i="5"/>
  <c r="R75" i="5"/>
  <c r="V75" i="5" s="1"/>
  <c r="M75" i="5"/>
  <c r="J75" i="5"/>
  <c r="AU74" i="5"/>
  <c r="AY74" i="5" s="1"/>
  <c r="AS74" i="5"/>
  <c r="AJ74" i="5"/>
  <c r="AN74" i="5" s="1"/>
  <c r="AH74" i="5"/>
  <c r="AE74" i="5"/>
  <c r="AA74" i="5"/>
  <c r="R74" i="5"/>
  <c r="V74" i="5" s="1"/>
  <c r="M74" i="5"/>
  <c r="J74" i="5"/>
  <c r="AU73" i="5"/>
  <c r="AY73" i="5" s="1"/>
  <c r="AS73" i="5"/>
  <c r="AN73" i="5"/>
  <c r="AJ73" i="5"/>
  <c r="AH73" i="5"/>
  <c r="AE73" i="5"/>
  <c r="AA73" i="5"/>
  <c r="R73" i="5"/>
  <c r="V73" i="5" s="1"/>
  <c r="M73" i="5"/>
  <c r="J73" i="5"/>
  <c r="AU72" i="5"/>
  <c r="AY72" i="5" s="1"/>
  <c r="AS72" i="5"/>
  <c r="AJ72" i="5"/>
  <c r="AN72" i="5" s="1"/>
  <c r="AH72" i="5"/>
  <c r="AE72" i="5"/>
  <c r="AA72" i="5"/>
  <c r="R72" i="5"/>
  <c r="V72" i="5" s="1"/>
  <c r="M72" i="5"/>
  <c r="J72" i="5"/>
  <c r="AU69" i="5"/>
  <c r="AJ69" i="5"/>
  <c r="AA69" i="5"/>
  <c r="V69" i="5"/>
  <c r="R69" i="5"/>
  <c r="J69" i="5"/>
  <c r="AU68" i="5"/>
  <c r="AJ68" i="5"/>
  <c r="AA68" i="5"/>
  <c r="R68" i="5"/>
  <c r="V68" i="5" s="1"/>
  <c r="J68" i="5"/>
  <c r="AU67" i="5"/>
  <c r="AJ67" i="5"/>
  <c r="AA67" i="5"/>
  <c r="R67" i="5"/>
  <c r="V67" i="5" s="1"/>
  <c r="J67" i="5"/>
  <c r="AU66" i="5"/>
  <c r="AJ66" i="5"/>
  <c r="AA66" i="5"/>
  <c r="R66" i="5"/>
  <c r="V66" i="5" s="1"/>
  <c r="J66" i="5"/>
  <c r="AU64" i="5"/>
  <c r="AJ64" i="5"/>
  <c r="AA64" i="5"/>
  <c r="V64" i="5"/>
  <c r="R64" i="5"/>
  <c r="AU63" i="5"/>
  <c r="AJ63" i="5"/>
  <c r="AA63" i="5"/>
  <c r="R63" i="5"/>
  <c r="V63" i="5" s="1"/>
  <c r="AU62" i="5"/>
  <c r="AJ62" i="5"/>
  <c r="AA62" i="5"/>
  <c r="R62" i="5"/>
  <c r="V62" i="5" s="1"/>
  <c r="V86" i="5" s="1"/>
  <c r="J62" i="5"/>
  <c r="AU60" i="5"/>
  <c r="AJ60" i="5"/>
  <c r="AA60" i="5"/>
  <c r="R60" i="5"/>
  <c r="V60" i="5" s="1"/>
  <c r="Y60" i="5" s="1"/>
  <c r="P60" i="5"/>
  <c r="J60" i="5"/>
  <c r="AU59" i="5"/>
  <c r="AJ59" i="5"/>
  <c r="AA59" i="5"/>
  <c r="R59" i="5"/>
  <c r="V59" i="5" s="1"/>
  <c r="Y59" i="5" s="1"/>
  <c r="P59" i="5"/>
  <c r="J59" i="5"/>
  <c r="AU58" i="5"/>
  <c r="AJ58" i="5"/>
  <c r="AA58" i="5"/>
  <c r="R58" i="5"/>
  <c r="V58" i="5" s="1"/>
  <c r="Y58" i="5" s="1"/>
  <c r="P58" i="5"/>
  <c r="AU57" i="5"/>
  <c r="AJ57" i="5"/>
  <c r="AA57" i="5"/>
  <c r="Y57" i="5"/>
  <c r="V57" i="5"/>
  <c r="R57" i="5"/>
  <c r="P57" i="5"/>
  <c r="J57" i="5"/>
  <c r="AU56" i="5"/>
  <c r="AJ56" i="5"/>
  <c r="AA56" i="5"/>
  <c r="Y56" i="5"/>
  <c r="V56" i="5"/>
  <c r="R56" i="5"/>
  <c r="P56" i="5"/>
  <c r="J56" i="5"/>
  <c r="AU55" i="5"/>
  <c r="AJ55" i="5"/>
  <c r="AA55" i="5"/>
  <c r="Y55" i="5"/>
  <c r="V55" i="5"/>
  <c r="R55" i="5"/>
  <c r="P55" i="5"/>
  <c r="J55" i="5"/>
  <c r="AU54" i="5"/>
  <c r="AJ54" i="5"/>
  <c r="AA54" i="5"/>
  <c r="Y54" i="5"/>
  <c r="Y85" i="5" s="1"/>
  <c r="V54" i="5"/>
  <c r="R54" i="5"/>
  <c r="P54" i="5"/>
  <c r="P85" i="5" s="1"/>
  <c r="J54" i="5"/>
  <c r="AU53" i="5"/>
  <c r="AJ53" i="5"/>
  <c r="AA53" i="5"/>
  <c r="V53" i="5"/>
  <c r="R53" i="5"/>
  <c r="J53" i="5"/>
  <c r="AU51" i="5"/>
  <c r="AJ51" i="5"/>
  <c r="AA51" i="5"/>
  <c r="R51" i="5"/>
  <c r="V51" i="5" s="1"/>
  <c r="Y51" i="5" s="1"/>
  <c r="P51" i="5"/>
  <c r="J51" i="5"/>
  <c r="AU50" i="5"/>
  <c r="AJ50" i="5"/>
  <c r="AA50" i="5"/>
  <c r="R50" i="5"/>
  <c r="V50" i="5" s="1"/>
  <c r="Y50" i="5" s="1"/>
  <c r="P50" i="5"/>
  <c r="J50" i="5"/>
  <c r="AU49" i="5"/>
  <c r="AJ49" i="5"/>
  <c r="AA49" i="5"/>
  <c r="R49" i="5"/>
  <c r="V49" i="5" s="1"/>
  <c r="Y49" i="5" s="1"/>
  <c r="P49" i="5"/>
  <c r="J49" i="5"/>
  <c r="AU48" i="5"/>
  <c r="AJ48" i="5"/>
  <c r="AA48" i="5"/>
  <c r="R48" i="5"/>
  <c r="V48" i="5" s="1"/>
  <c r="Y48" i="5" s="1"/>
  <c r="P48" i="5"/>
  <c r="J48" i="5"/>
  <c r="AU47" i="5"/>
  <c r="AJ47" i="5"/>
  <c r="AA47" i="5"/>
  <c r="R47" i="5"/>
  <c r="V47" i="5" s="1"/>
  <c r="Y47" i="5" s="1"/>
  <c r="P47" i="5"/>
  <c r="J47" i="5"/>
  <c r="AU46" i="5"/>
  <c r="AJ46" i="5"/>
  <c r="AA46" i="5"/>
  <c r="R46" i="5"/>
  <c r="V46" i="5" s="1"/>
  <c r="Y46" i="5" s="1"/>
  <c r="P46" i="5"/>
  <c r="J46" i="5"/>
  <c r="AU45" i="5"/>
  <c r="AJ45" i="5"/>
  <c r="AA45" i="5"/>
  <c r="R45" i="5"/>
  <c r="V45" i="5" s="1"/>
  <c r="P45" i="5"/>
  <c r="P84" i="5" s="1"/>
  <c r="J45" i="5"/>
  <c r="AU43" i="5"/>
  <c r="AJ43" i="5"/>
  <c r="AA43" i="5"/>
  <c r="R43" i="5"/>
  <c r="V43" i="5" s="1"/>
  <c r="Y43" i="5" s="1"/>
  <c r="P43" i="5"/>
  <c r="J43" i="5"/>
  <c r="AU42" i="5"/>
  <c r="AJ42" i="5"/>
  <c r="AA42" i="5"/>
  <c r="R42" i="5"/>
  <c r="V42" i="5" s="1"/>
  <c r="Y42" i="5" s="1"/>
  <c r="P42" i="5"/>
  <c r="J42" i="5"/>
  <c r="AU41" i="5"/>
  <c r="AJ41" i="5"/>
  <c r="AA41" i="5"/>
  <c r="R41" i="5"/>
  <c r="V41" i="5" s="1"/>
  <c r="Y41" i="5" s="1"/>
  <c r="P41" i="5"/>
  <c r="J41" i="5"/>
  <c r="AU39" i="5"/>
  <c r="AJ39" i="5"/>
  <c r="AA39" i="5"/>
  <c r="R39" i="5"/>
  <c r="V39" i="5" s="1"/>
  <c r="Y39" i="5" s="1"/>
  <c r="P39" i="5"/>
  <c r="J39" i="5"/>
  <c r="AU38" i="5"/>
  <c r="AJ38" i="5"/>
  <c r="AA38" i="5"/>
  <c r="R38" i="5"/>
  <c r="V38" i="5" s="1"/>
  <c r="Y38" i="5" s="1"/>
  <c r="Y83" i="5" s="1"/>
  <c r="P38" i="5"/>
  <c r="J38" i="5"/>
  <c r="AU37" i="5"/>
  <c r="AJ37" i="5"/>
  <c r="AA37" i="5"/>
  <c r="R37" i="5"/>
  <c r="BD36" i="5"/>
  <c r="BD83" i="5" s="1"/>
  <c r="BD87" i="5" s="1"/>
  <c r="BD88" i="5" s="1"/>
  <c r="AY36" i="5"/>
  <c r="AY83" i="5" s="1"/>
  <c r="AY87" i="5" s="1"/>
  <c r="AY88" i="5" s="1"/>
  <c r="AS36" i="5"/>
  <c r="AS89" i="5" s="1"/>
  <c r="AJ36" i="5"/>
  <c r="AA36" i="5"/>
  <c r="P36" i="5"/>
  <c r="P83" i="5" s="1"/>
  <c r="P87" i="5" s="1"/>
  <c r="J36" i="5"/>
  <c r="AU32" i="5"/>
  <c r="AJ32" i="5"/>
  <c r="AA32" i="5"/>
  <c r="R32" i="5"/>
  <c r="V32" i="5" s="1"/>
  <c r="AU31" i="5"/>
  <c r="AJ31" i="5"/>
  <c r="AA31" i="5"/>
  <c r="R31" i="5"/>
  <c r="V31" i="5" s="1"/>
  <c r="J30" i="5"/>
  <c r="BD29" i="5"/>
  <c r="BD85" i="5" s="1"/>
  <c r="BB29" i="5"/>
  <c r="BB85" i="5" s="1"/>
  <c r="BB87" i="5" s="1"/>
  <c r="AY29" i="5"/>
  <c r="AY85" i="5" s="1"/>
  <c r="AW29" i="5"/>
  <c r="AW85" i="5" s="1"/>
  <c r="AS29" i="5"/>
  <c r="AS85" i="5" s="1"/>
  <c r="AR29" i="5"/>
  <c r="AR85" i="5" s="1"/>
  <c r="AN29" i="5"/>
  <c r="AN85" i="5" s="1"/>
  <c r="AL29" i="5"/>
  <c r="AL85" i="5" s="1"/>
  <c r="AH29" i="5"/>
  <c r="AH85" i="5" s="1"/>
  <c r="AH87" i="5" s="1"/>
  <c r="AG29" i="5"/>
  <c r="AG85" i="5" s="1"/>
  <c r="AG87" i="5" s="1"/>
  <c r="AE29" i="5"/>
  <c r="AE85" i="5" s="1"/>
  <c r="AC29" i="5"/>
  <c r="AC85" i="5" s="1"/>
  <c r="T29" i="5"/>
  <c r="T85" i="5" s="1"/>
  <c r="M29" i="5"/>
  <c r="L29" i="5"/>
  <c r="I29" i="5"/>
  <c r="I85" i="5" s="1"/>
  <c r="H29" i="5"/>
  <c r="H85" i="5" s="1"/>
  <c r="F29" i="5"/>
  <c r="F85" i="5" s="1"/>
  <c r="AU28" i="5"/>
  <c r="AJ28" i="5"/>
  <c r="AA28" i="5"/>
  <c r="R28" i="5"/>
  <c r="V28" i="5" s="1"/>
  <c r="J28" i="5"/>
  <c r="AU27" i="5"/>
  <c r="AJ27" i="5"/>
  <c r="AA27" i="5"/>
  <c r="V27" i="5"/>
  <c r="R27" i="5"/>
  <c r="J27" i="5"/>
  <c r="AU26" i="5"/>
  <c r="AJ26" i="5"/>
  <c r="AA26" i="5"/>
  <c r="R26" i="5"/>
  <c r="V26" i="5" s="1"/>
  <c r="V29" i="5" s="1"/>
  <c r="V85" i="5" s="1"/>
  <c r="J26" i="5"/>
  <c r="BD25" i="5"/>
  <c r="AS25" i="5"/>
  <c r="AU25" i="5" s="1"/>
  <c r="AH25" i="5"/>
  <c r="AJ25" i="5" s="1"/>
  <c r="AE25" i="5"/>
  <c r="AA25" i="5"/>
  <c r="V25" i="5"/>
  <c r="R25" i="5"/>
  <c r="J25" i="5"/>
  <c r="BD23" i="5"/>
  <c r="AS23" i="5"/>
  <c r="AU23" i="5" s="1"/>
  <c r="AN23" i="5"/>
  <c r="T23" i="5"/>
  <c r="P23" i="5"/>
  <c r="O23" i="5"/>
  <c r="R23" i="5" s="1"/>
  <c r="V23" i="5" s="1"/>
  <c r="I23" i="5"/>
  <c r="H23" i="5"/>
  <c r="J23" i="5" s="1"/>
  <c r="AU22" i="5"/>
  <c r="AJ22" i="5"/>
  <c r="AH22" i="5"/>
  <c r="AA22" i="5"/>
  <c r="AE22" i="5" s="1"/>
  <c r="R22" i="5"/>
  <c r="V22" i="5" s="1"/>
  <c r="BD21" i="5"/>
  <c r="AS21" i="5"/>
  <c r="AU21" i="5" s="1"/>
  <c r="AJ21" i="5"/>
  <c r="AA21" i="5"/>
  <c r="R21" i="5"/>
  <c r="V21" i="5" s="1"/>
  <c r="J21" i="5"/>
  <c r="AS19" i="5"/>
  <c r="AS17" i="5" s="1"/>
  <c r="BD18" i="5"/>
  <c r="AU18" i="5"/>
  <c r="AJ18" i="5"/>
  <c r="AA18" i="5"/>
  <c r="R18" i="5"/>
  <c r="V18" i="5" s="1"/>
  <c r="BD17" i="5"/>
  <c r="BB17" i="5"/>
  <c r="AY17" i="5"/>
  <c r="AW17" i="5"/>
  <c r="AR17" i="5"/>
  <c r="AL17" i="5"/>
  <c r="AJ17" i="5"/>
  <c r="AH17" i="5"/>
  <c r="AH23" i="5" s="1"/>
  <c r="AG17" i="5"/>
  <c r="AG23" i="5" s="1"/>
  <c r="AJ23" i="5" s="1"/>
  <c r="AE17" i="5"/>
  <c r="AE23" i="5" s="1"/>
  <c r="AC17" i="5"/>
  <c r="AC23" i="5" s="1"/>
  <c r="Y17" i="5"/>
  <c r="Y23" i="5" s="1"/>
  <c r="X17" i="5"/>
  <c r="X23" i="5" s="1"/>
  <c r="AA23" i="5" s="1"/>
  <c r="V17" i="5"/>
  <c r="R17" i="5"/>
  <c r="M17" i="5"/>
  <c r="L17" i="5"/>
  <c r="L23" i="5" s="1"/>
  <c r="I17" i="5"/>
  <c r="H17" i="5"/>
  <c r="J17" i="5" s="1"/>
  <c r="F17" i="5"/>
  <c r="F23" i="5" s="1"/>
  <c r="BD15" i="5"/>
  <c r="AN15" i="5"/>
  <c r="AL15" i="5"/>
  <c r="AH15" i="5"/>
  <c r="AG15" i="5"/>
  <c r="AJ15" i="5" s="1"/>
  <c r="AE15" i="5"/>
  <c r="AC15" i="5"/>
  <c r="Y15" i="5"/>
  <c r="X15" i="5"/>
  <c r="AA15" i="5" s="1"/>
  <c r="P15" i="5"/>
  <c r="O15" i="5"/>
  <c r="R15" i="5" s="1"/>
  <c r="I15" i="5"/>
  <c r="H15" i="5"/>
  <c r="J15" i="5" s="1"/>
  <c r="F15" i="5"/>
  <c r="AU14" i="5"/>
  <c r="AJ14" i="5"/>
  <c r="AA14" i="5"/>
  <c r="R14" i="5"/>
  <c r="AU13" i="5"/>
  <c r="AJ13" i="5"/>
  <c r="AA13" i="5"/>
  <c r="R13" i="5"/>
  <c r="L13" i="5"/>
  <c r="J13" i="5"/>
  <c r="I13" i="5"/>
  <c r="BD12" i="5"/>
  <c r="BB12" i="5"/>
  <c r="BB15" i="5" s="1"/>
  <c r="AY12" i="5"/>
  <c r="AY15" i="5" s="1"/>
  <c r="AW12" i="5"/>
  <c r="AW15" i="5" s="1"/>
  <c r="AS12" i="5"/>
  <c r="AS15" i="5" s="1"/>
  <c r="AR12" i="5"/>
  <c r="AR15" i="5" s="1"/>
  <c r="AU15" i="5" s="1"/>
  <c r="AL12" i="5"/>
  <c r="AJ12" i="5"/>
  <c r="AA12" i="5"/>
  <c r="T12" i="5"/>
  <c r="T15" i="5" s="1"/>
  <c r="R12" i="5"/>
  <c r="P12" i="5"/>
  <c r="O12" i="5"/>
  <c r="M12" i="5"/>
  <c r="L12" i="5"/>
  <c r="L15" i="5" s="1"/>
  <c r="I12" i="5"/>
  <c r="H12" i="5"/>
  <c r="J12" i="5" s="1"/>
  <c r="F12" i="5"/>
  <c r="B129" i="37"/>
  <c r="B128" i="37"/>
  <c r="B127" i="37"/>
  <c r="B126" i="37"/>
  <c r="B125" i="37"/>
  <c r="AS113" i="37"/>
  <c r="AM113" i="37"/>
  <c r="AM115" i="37" s="1"/>
  <c r="AM111" i="37"/>
  <c r="AM112" i="37" s="1"/>
  <c r="AX110" i="37"/>
  <c r="AS110" i="37"/>
  <c r="AM110" i="37"/>
  <c r="AH110" i="37"/>
  <c r="AF110" i="37"/>
  <c r="AB110" i="37"/>
  <c r="Z110" i="37"/>
  <c r="H110" i="37"/>
  <c r="F110" i="37"/>
  <c r="AZ109" i="37"/>
  <c r="AX109" i="37"/>
  <c r="AT109" i="37"/>
  <c r="AS109" i="37"/>
  <c r="AO109" i="37"/>
  <c r="AM109" i="37"/>
  <c r="AF109" i="37"/>
  <c r="V109" i="37"/>
  <c r="T109" i="37"/>
  <c r="P109" i="37"/>
  <c r="O109" i="37"/>
  <c r="AX108" i="37"/>
  <c r="AT108" i="37"/>
  <c r="AS108" i="37"/>
  <c r="AO108" i="37"/>
  <c r="AM108" i="37"/>
  <c r="AH108" i="37"/>
  <c r="AF108" i="37"/>
  <c r="AB108" i="37"/>
  <c r="Z108" i="37"/>
  <c r="T108" i="37"/>
  <c r="P108" i="37"/>
  <c r="O108" i="37"/>
  <c r="M108" i="37"/>
  <c r="L108" i="37"/>
  <c r="F108" i="37"/>
  <c r="AX107" i="37"/>
  <c r="AX111" i="37" s="1"/>
  <c r="AM107" i="37"/>
  <c r="L107" i="37"/>
  <c r="H107" i="37"/>
  <c r="J93" i="37"/>
  <c r="M93" i="37" s="1"/>
  <c r="J92" i="37"/>
  <c r="M92" i="37" s="1"/>
  <c r="J91" i="37"/>
  <c r="M91" i="37" s="1"/>
  <c r="M90" i="37"/>
  <c r="J90" i="37"/>
  <c r="AM88" i="37"/>
  <c r="F88" i="37"/>
  <c r="AV87" i="37"/>
  <c r="AO87" i="37"/>
  <c r="AI87" i="37"/>
  <c r="V87" i="37"/>
  <c r="T87" i="37"/>
  <c r="O87" i="37"/>
  <c r="P87" i="37" s="1"/>
  <c r="R87" i="37" s="1"/>
  <c r="L87" i="37"/>
  <c r="M87" i="37" s="1"/>
  <c r="I87" i="37"/>
  <c r="I110" i="37" s="1"/>
  <c r="F87" i="37"/>
  <c r="AV86" i="37"/>
  <c r="AO86" i="37"/>
  <c r="AI86" i="37"/>
  <c r="V86" i="37"/>
  <c r="V110" i="37" s="1"/>
  <c r="T86" i="37"/>
  <c r="R86" i="37"/>
  <c r="P86" i="37"/>
  <c r="O86" i="37"/>
  <c r="M86" i="37"/>
  <c r="L86" i="37"/>
  <c r="F86" i="37"/>
  <c r="AZ85" i="37"/>
  <c r="AZ110" i="37" s="1"/>
  <c r="AO85" i="37"/>
  <c r="AO110" i="37" s="1"/>
  <c r="AI85" i="37"/>
  <c r="V85" i="37"/>
  <c r="V113" i="37" s="1"/>
  <c r="V115" i="37" s="1"/>
  <c r="T85" i="37"/>
  <c r="T113" i="37" s="1"/>
  <c r="T115" i="37" s="1"/>
  <c r="P85" i="37"/>
  <c r="R85" i="37" s="1"/>
  <c r="O85" i="37"/>
  <c r="O110" i="37" s="1"/>
  <c r="M85" i="37"/>
  <c r="L85" i="37"/>
  <c r="L110" i="37" s="1"/>
  <c r="J85" i="37"/>
  <c r="AV83" i="37"/>
  <c r="AI83" i="37"/>
  <c r="R83" i="37"/>
  <c r="J83" i="37"/>
  <c r="AV82" i="37"/>
  <c r="AI82" i="37"/>
  <c r="R82" i="37"/>
  <c r="J82" i="37"/>
  <c r="AV81" i="37"/>
  <c r="AI81" i="37"/>
  <c r="R81" i="37"/>
  <c r="J81" i="37"/>
  <c r="AV80" i="37"/>
  <c r="AI80" i="37"/>
  <c r="R80" i="37"/>
  <c r="J80" i="37"/>
  <c r="AV79" i="37"/>
  <c r="AI79" i="37"/>
  <c r="R79" i="37"/>
  <c r="J79" i="37"/>
  <c r="AV78" i="37"/>
  <c r="AI78" i="37"/>
  <c r="R78" i="37"/>
  <c r="J78" i="37"/>
  <c r="AV77" i="37"/>
  <c r="AI77" i="37"/>
  <c r="R77" i="37"/>
  <c r="J77" i="37"/>
  <c r="AV76" i="37"/>
  <c r="AI76" i="37"/>
  <c r="R76" i="37"/>
  <c r="J76" i="37"/>
  <c r="F76" i="37"/>
  <c r="J74" i="37"/>
  <c r="J73" i="37"/>
  <c r="AZ72" i="37"/>
  <c r="AV72" i="37"/>
  <c r="AO72" i="37"/>
  <c r="J72" i="37"/>
  <c r="AV71" i="37"/>
  <c r="AZ71" i="37" s="1"/>
  <c r="R71" i="37"/>
  <c r="J71" i="37"/>
  <c r="AZ70" i="37"/>
  <c r="AV70" i="37"/>
  <c r="AO70" i="37"/>
  <c r="AI70" i="37"/>
  <c r="V70" i="37"/>
  <c r="V108" i="37" s="1"/>
  <c r="R70" i="37"/>
  <c r="I70" i="37"/>
  <c r="H70" i="37"/>
  <c r="J70" i="37" s="1"/>
  <c r="AZ69" i="37"/>
  <c r="AV69" i="37"/>
  <c r="AO69" i="37"/>
  <c r="R69" i="37"/>
  <c r="I69" i="37"/>
  <c r="H69" i="37"/>
  <c r="J69" i="37" s="1"/>
  <c r="AZ68" i="37"/>
  <c r="AV68" i="37"/>
  <c r="AZ67" i="37"/>
  <c r="AV67" i="37"/>
  <c r="AO67" i="37"/>
  <c r="AO113" i="37" s="1"/>
  <c r="AO115" i="37" s="1"/>
  <c r="AI67" i="37"/>
  <c r="R67" i="37"/>
  <c r="I67" i="37"/>
  <c r="I108" i="37" s="1"/>
  <c r="H67" i="37"/>
  <c r="H108" i="37" s="1"/>
  <c r="AV65" i="37"/>
  <c r="R65" i="37"/>
  <c r="J65" i="37"/>
  <c r="M65" i="37" s="1"/>
  <c r="AV64" i="37"/>
  <c r="R64" i="37"/>
  <c r="M64" i="37"/>
  <c r="J64" i="37"/>
  <c r="M63" i="37"/>
  <c r="M107" i="37" s="1"/>
  <c r="J63" i="37"/>
  <c r="AZ61" i="37"/>
  <c r="AX61" i="37"/>
  <c r="AT61" i="37"/>
  <c r="AT107" i="37" s="1"/>
  <c r="AS61" i="37"/>
  <c r="AS107" i="37" s="1"/>
  <c r="AS111" i="37" s="1"/>
  <c r="AO61" i="37"/>
  <c r="AO60" i="37"/>
  <c r="AV59" i="37"/>
  <c r="AO59" i="37"/>
  <c r="AZ58" i="37"/>
  <c r="AV58" i="37"/>
  <c r="AO58" i="37"/>
  <c r="AZ57" i="37"/>
  <c r="AV57" i="37"/>
  <c r="AZ56" i="37"/>
  <c r="AV56" i="37"/>
  <c r="AX55" i="37"/>
  <c r="AX113" i="37" s="1"/>
  <c r="AX115" i="37" s="1"/>
  <c r="AV55" i="37"/>
  <c r="AO47" i="37"/>
  <c r="AO46" i="37"/>
  <c r="AO45" i="37"/>
  <c r="J45" i="37"/>
  <c r="J44" i="37"/>
  <c r="I44" i="37"/>
  <c r="F44" i="37"/>
  <c r="I43" i="37"/>
  <c r="H43" i="37"/>
  <c r="J43" i="37" s="1"/>
  <c r="F43" i="37"/>
  <c r="Z42" i="37"/>
  <c r="R42" i="37"/>
  <c r="P42" i="37"/>
  <c r="V42" i="37" s="1"/>
  <c r="O42" i="37"/>
  <c r="T42" i="37" s="1"/>
  <c r="R41" i="37"/>
  <c r="P41" i="37"/>
  <c r="P107" i="37" s="1"/>
  <c r="O41" i="37"/>
  <c r="O107" i="37" s="1"/>
  <c r="O111" i="37" s="1"/>
  <c r="AO40" i="37"/>
  <c r="AO107" i="37" s="1"/>
  <c r="AO111" i="37" s="1"/>
  <c r="AI40" i="37"/>
  <c r="I40" i="37"/>
  <c r="I107" i="37" s="1"/>
  <c r="H40" i="37"/>
  <c r="F40" i="37"/>
  <c r="F107" i="37" s="1"/>
  <c r="F111" i="37" s="1"/>
  <c r="AV36" i="37"/>
  <c r="AI36" i="37"/>
  <c r="R36" i="37"/>
  <c r="AZ35" i="37"/>
  <c r="AX35" i="37"/>
  <c r="AV35" i="37"/>
  <c r="AT85" i="37" s="1"/>
  <c r="AT35" i="37"/>
  <c r="AS35" i="37"/>
  <c r="AO35" i="37"/>
  <c r="AH35" i="37"/>
  <c r="AH88" i="37" s="1"/>
  <c r="AF35" i="37"/>
  <c r="AI35" i="37" s="1"/>
  <c r="AB35" i="37"/>
  <c r="AB88" i="37" s="1"/>
  <c r="Z35" i="37"/>
  <c r="Z88" i="37" s="1"/>
  <c r="V35" i="37"/>
  <c r="T35" i="37"/>
  <c r="R35" i="37"/>
  <c r="P35" i="37"/>
  <c r="O35" i="37"/>
  <c r="AI34" i="37"/>
  <c r="M34" i="37"/>
  <c r="L34" i="37"/>
  <c r="I34" i="37"/>
  <c r="H34" i="37"/>
  <c r="H88" i="37" s="1"/>
  <c r="F34" i="37"/>
  <c r="AH33" i="37"/>
  <c r="AH109" i="37" s="1"/>
  <c r="AF33" i="37"/>
  <c r="AB33" i="37"/>
  <c r="AB109" i="37" s="1"/>
  <c r="Z33" i="37"/>
  <c r="Z109" i="37" s="1"/>
  <c r="M33" i="37"/>
  <c r="M109" i="37" s="1"/>
  <c r="L33" i="37"/>
  <c r="L109" i="37" s="1"/>
  <c r="I33" i="37"/>
  <c r="I109" i="37" s="1"/>
  <c r="H33" i="37"/>
  <c r="H109" i="37" s="1"/>
  <c r="F33" i="37"/>
  <c r="F109" i="37" s="1"/>
  <c r="J32" i="37"/>
  <c r="J31" i="37"/>
  <c r="AO30" i="37"/>
  <c r="AM30" i="37"/>
  <c r="AI30" i="37"/>
  <c r="J30" i="37"/>
  <c r="AV29" i="37"/>
  <c r="AI29" i="37"/>
  <c r="P29" i="37"/>
  <c r="O29" i="37"/>
  <c r="R29" i="37" s="1"/>
  <c r="M29" i="37"/>
  <c r="L29" i="37"/>
  <c r="J29" i="37"/>
  <c r="I29" i="37"/>
  <c r="H29" i="37"/>
  <c r="F29" i="37"/>
  <c r="AZ27" i="37"/>
  <c r="AX27" i="37"/>
  <c r="AT27" i="37"/>
  <c r="AV27" i="37" s="1"/>
  <c r="AI27" i="37"/>
  <c r="R27" i="37"/>
  <c r="J27" i="37"/>
  <c r="AV26" i="37"/>
  <c r="J26" i="37"/>
  <c r="AV25" i="37"/>
  <c r="AZ24" i="37"/>
  <c r="AZ55" i="37" s="1"/>
  <c r="AX24" i="37"/>
  <c r="AT24" i="37"/>
  <c r="AS24" i="37"/>
  <c r="AS27" i="37" s="1"/>
  <c r="AI22" i="37"/>
  <c r="R22" i="37"/>
  <c r="P22" i="37"/>
  <c r="O22" i="37"/>
  <c r="M22" i="37"/>
  <c r="L22" i="37"/>
  <c r="I22" i="37"/>
  <c r="J22" i="37" s="1"/>
  <c r="H22" i="37"/>
  <c r="F22" i="37"/>
  <c r="AO21" i="37"/>
  <c r="AM21" i="37"/>
  <c r="AH21" i="37"/>
  <c r="AI21" i="37" s="1"/>
  <c r="AF21" i="37"/>
  <c r="AB21" i="37"/>
  <c r="Z21" i="37"/>
  <c r="V21" i="37"/>
  <c r="T21" i="37"/>
  <c r="P21" i="37"/>
  <c r="O21" i="37"/>
  <c r="R21" i="37" s="1"/>
  <c r="M21" i="37"/>
  <c r="L21" i="37"/>
  <c r="I21" i="37"/>
  <c r="H21" i="37"/>
  <c r="J21" i="37" s="1"/>
  <c r="F21" i="37"/>
  <c r="AI20" i="37"/>
  <c r="P20" i="37"/>
  <c r="P19" i="37" s="1"/>
  <c r="R19" i="37" s="1"/>
  <c r="O20" i="37"/>
  <c r="O19" i="37" s="1"/>
  <c r="M20" i="37"/>
  <c r="L20" i="37"/>
  <c r="J20" i="37"/>
  <c r="I20" i="37"/>
  <c r="H20" i="37"/>
  <c r="F20" i="37"/>
  <c r="F19" i="37" s="1"/>
  <c r="AO19" i="37"/>
  <c r="AO27" i="37" s="1"/>
  <c r="AM19" i="37"/>
  <c r="AM27" i="37" s="1"/>
  <c r="AI19" i="37"/>
  <c r="V19" i="37"/>
  <c r="T19" i="37"/>
  <c r="M19" i="37"/>
  <c r="L19" i="37"/>
  <c r="H19" i="37"/>
  <c r="AZ17" i="37"/>
  <c r="AX17" i="37"/>
  <c r="AT17" i="37"/>
  <c r="AV17" i="37" s="1"/>
  <c r="AS17" i="37"/>
  <c r="AO17" i="37"/>
  <c r="AI17" i="37"/>
  <c r="R17" i="37"/>
  <c r="J17" i="37"/>
  <c r="AV16" i="37"/>
  <c r="AV14" i="37"/>
  <c r="AI13" i="37"/>
  <c r="R13" i="37"/>
  <c r="J13" i="37"/>
  <c r="AV12" i="37"/>
  <c r="AO11" i="37"/>
  <c r="AM11" i="37"/>
  <c r="AM17" i="37" s="1"/>
  <c r="AH11" i="37"/>
  <c r="AI11" i="37" s="1"/>
  <c r="AF11" i="37"/>
  <c r="V11" i="37"/>
  <c r="T11" i="37"/>
  <c r="P11" i="37"/>
  <c r="O11" i="37"/>
  <c r="R11" i="37" s="1"/>
  <c r="M11" i="37"/>
  <c r="L11" i="37"/>
  <c r="I11" i="37"/>
  <c r="H11" i="37"/>
  <c r="J11" i="37" s="1"/>
  <c r="F11" i="37"/>
  <c r="AS6" i="37"/>
  <c r="AX6" i="37" s="1"/>
  <c r="O6" i="37"/>
  <c r="T6" i="37" s="1"/>
  <c r="BJ100" i="57"/>
  <c r="BH100" i="57"/>
  <c r="BD100" i="57"/>
  <c r="BC100" i="57"/>
  <c r="AY100" i="57"/>
  <c r="AW100" i="57"/>
  <c r="AS100" i="57"/>
  <c r="AR100" i="57"/>
  <c r="AN100" i="57"/>
  <c r="AL100" i="57"/>
  <c r="AH100" i="57"/>
  <c r="AG100" i="57"/>
  <c r="AE100" i="57"/>
  <c r="AC100" i="57"/>
  <c r="Y100" i="57"/>
  <c r="X100" i="57"/>
  <c r="V100" i="57"/>
  <c r="T100" i="57"/>
  <c r="P100" i="57"/>
  <c r="O100" i="57"/>
  <c r="M100" i="57"/>
  <c r="L100" i="57"/>
  <c r="I100" i="57"/>
  <c r="H100" i="57"/>
  <c r="F100" i="57"/>
  <c r="AS99" i="57"/>
  <c r="Y99" i="57"/>
  <c r="V99" i="57"/>
  <c r="T99" i="57"/>
  <c r="AW98" i="57"/>
  <c r="X98" i="57"/>
  <c r="L98" i="57"/>
  <c r="M97" i="57"/>
  <c r="L97" i="57"/>
  <c r="I97" i="57"/>
  <c r="H97" i="57"/>
  <c r="F97" i="57"/>
  <c r="J94" i="57"/>
  <c r="M94" i="57" s="1"/>
  <c r="J93" i="57"/>
  <c r="M93" i="57" s="1"/>
  <c r="J92" i="57"/>
  <c r="M92" i="57" s="1"/>
  <c r="M91" i="57"/>
  <c r="J91" i="57"/>
  <c r="J90" i="57"/>
  <c r="M90" i="57" s="1"/>
  <c r="J89" i="57"/>
  <c r="M89" i="57" s="1"/>
  <c r="BH88" i="57"/>
  <c r="BJ88" i="57" s="1"/>
  <c r="BF88" i="57"/>
  <c r="BC88" i="57"/>
  <c r="AW88" i="57"/>
  <c r="AR88" i="57"/>
  <c r="AU88" i="57" s="1"/>
  <c r="AL88" i="57"/>
  <c r="AJ88" i="57"/>
  <c r="M88" i="57"/>
  <c r="J88" i="57"/>
  <c r="BH87" i="57"/>
  <c r="BC87" i="57"/>
  <c r="AW87" i="57"/>
  <c r="AU87" i="57"/>
  <c r="AR87" i="57"/>
  <c r="AL87" i="57"/>
  <c r="AJ87" i="57"/>
  <c r="AN87" i="57" s="1"/>
  <c r="J87" i="57"/>
  <c r="M87" i="57" s="1"/>
  <c r="BJ86" i="57"/>
  <c r="BH86" i="57"/>
  <c r="BC86" i="57"/>
  <c r="BF86" i="57" s="1"/>
  <c r="AW86" i="57"/>
  <c r="AR86" i="57"/>
  <c r="AU86" i="57" s="1"/>
  <c r="AN86" i="57"/>
  <c r="AL86" i="57"/>
  <c r="AJ86" i="57"/>
  <c r="M86" i="57"/>
  <c r="J86" i="57"/>
  <c r="J83" i="57"/>
  <c r="BH82" i="57"/>
  <c r="BD82" i="57"/>
  <c r="BF82" i="57" s="1"/>
  <c r="BC82" i="57"/>
  <c r="AW82" i="57"/>
  <c r="AS82" i="57"/>
  <c r="AU82" i="57" s="1"/>
  <c r="AY82" i="57" s="1"/>
  <c r="AR82" i="57"/>
  <c r="AE82" i="57"/>
  <c r="AC82" i="57"/>
  <c r="Y82" i="57"/>
  <c r="X82" i="57"/>
  <c r="V82" i="57"/>
  <c r="T82" i="57"/>
  <c r="P82" i="57"/>
  <c r="O82" i="57"/>
  <c r="J82" i="57"/>
  <c r="AE81" i="57"/>
  <c r="AC81" i="57"/>
  <c r="Y81" i="57"/>
  <c r="X81" i="57"/>
  <c r="V81" i="57"/>
  <c r="T81" i="57"/>
  <c r="P81" i="57"/>
  <c r="O81" i="57"/>
  <c r="J81" i="57"/>
  <c r="AC80" i="57"/>
  <c r="Y80" i="57"/>
  <c r="X80" i="57"/>
  <c r="T80" i="57"/>
  <c r="P80" i="57"/>
  <c r="O80" i="57"/>
  <c r="J80" i="57"/>
  <c r="J75" i="57"/>
  <c r="J73" i="57"/>
  <c r="J72" i="57"/>
  <c r="J70" i="57"/>
  <c r="J69" i="57"/>
  <c r="BD68" i="57"/>
  <c r="BF68" i="57" s="1"/>
  <c r="BJ68" i="57" s="1"/>
  <c r="AU68" i="57"/>
  <c r="AH68" i="57"/>
  <c r="AJ68" i="57" s="1"/>
  <c r="AN68" i="57" s="1"/>
  <c r="AG68" i="57"/>
  <c r="J68" i="57"/>
  <c r="BF67" i="57"/>
  <c r="AU67" i="57"/>
  <c r="AY67" i="57" s="1"/>
  <c r="AN67" i="57"/>
  <c r="AH67" i="57"/>
  <c r="AJ67" i="57" s="1"/>
  <c r="AG67" i="57"/>
  <c r="J67" i="57"/>
  <c r="BH66" i="57"/>
  <c r="BD66" i="57"/>
  <c r="BD99" i="57" s="1"/>
  <c r="BC66" i="57"/>
  <c r="BC99" i="57" s="1"/>
  <c r="AW66" i="57"/>
  <c r="AW99" i="57" s="1"/>
  <c r="AR66" i="57"/>
  <c r="AU66" i="57" s="1"/>
  <c r="AY66" i="57" s="1"/>
  <c r="AN66" i="57"/>
  <c r="AL66" i="57"/>
  <c r="AL99" i="57" s="1"/>
  <c r="AJ66" i="57"/>
  <c r="AH66" i="57"/>
  <c r="AH99" i="57" s="1"/>
  <c r="AG66" i="57"/>
  <c r="AG99" i="57" s="1"/>
  <c r="J66" i="57"/>
  <c r="J64" i="57"/>
  <c r="J63" i="57"/>
  <c r="J62" i="57"/>
  <c r="J61" i="57"/>
  <c r="AJ60" i="57"/>
  <c r="AN60" i="57" s="1"/>
  <c r="AH60" i="57"/>
  <c r="AG60" i="57"/>
  <c r="AE60" i="57"/>
  <c r="Y60" i="57"/>
  <c r="V60" i="57"/>
  <c r="P60" i="57"/>
  <c r="M60" i="57"/>
  <c r="J60" i="57"/>
  <c r="I60" i="57"/>
  <c r="H60" i="57"/>
  <c r="F60" i="57"/>
  <c r="BH57" i="57"/>
  <c r="AG57" i="57"/>
  <c r="AE57" i="57"/>
  <c r="AH57" i="57" s="1"/>
  <c r="AJ57" i="57" s="1"/>
  <c r="AN57" i="57" s="1"/>
  <c r="Y57" i="57"/>
  <c r="V57" i="57"/>
  <c r="V98" i="57" s="1"/>
  <c r="P57" i="57"/>
  <c r="M57" i="57"/>
  <c r="H57" i="57"/>
  <c r="F57" i="57"/>
  <c r="BH54" i="57"/>
  <c r="BH98" i="57" s="1"/>
  <c r="BC54" i="57"/>
  <c r="BC98" i="57" s="1"/>
  <c r="AW54" i="57"/>
  <c r="AR54" i="57"/>
  <c r="AR98" i="57" s="1"/>
  <c r="AL54" i="57"/>
  <c r="AL98" i="57" s="1"/>
  <c r="AC54" i="57"/>
  <c r="AC98" i="57" s="1"/>
  <c r="Y54" i="57"/>
  <c r="Y98" i="57" s="1"/>
  <c r="X54" i="57"/>
  <c r="V54" i="57"/>
  <c r="T54" i="57"/>
  <c r="T98" i="57" s="1"/>
  <c r="O54" i="57"/>
  <c r="L54" i="57"/>
  <c r="J52" i="57"/>
  <c r="J51" i="57"/>
  <c r="R50" i="57"/>
  <c r="AE50" i="57" s="1"/>
  <c r="M50" i="57"/>
  <c r="J50" i="57"/>
  <c r="AJ48" i="57"/>
  <c r="J48" i="57"/>
  <c r="AH47" i="57"/>
  <c r="AG47" i="57"/>
  <c r="AJ47" i="57" s="1"/>
  <c r="AJ46" i="57"/>
  <c r="AG46" i="57"/>
  <c r="AE46" i="57"/>
  <c r="AH46" i="57" s="1"/>
  <c r="AC46" i="57"/>
  <c r="Y46" i="57"/>
  <c r="X46" i="57"/>
  <c r="V46" i="57"/>
  <c r="V103" i="57" s="1"/>
  <c r="V105" i="57" s="1"/>
  <c r="T46" i="57"/>
  <c r="P46" i="57"/>
  <c r="O46" i="57"/>
  <c r="J46" i="57"/>
  <c r="BH45" i="57"/>
  <c r="BC45" i="57"/>
  <c r="BC44" i="57" s="1"/>
  <c r="AW45" i="57"/>
  <c r="AU45" i="57"/>
  <c r="AJ45" i="57"/>
  <c r="J45" i="57"/>
  <c r="AW44" i="57"/>
  <c r="AY44" i="57" s="1"/>
  <c r="AU44" i="57"/>
  <c r="AS44" i="57"/>
  <c r="AR44" i="57"/>
  <c r="AJ44" i="57"/>
  <c r="AY43" i="57"/>
  <c r="AH43" i="57"/>
  <c r="AG43" i="57"/>
  <c r="AJ43" i="57" s="1"/>
  <c r="BJ42" i="57"/>
  <c r="BH42" i="57"/>
  <c r="AY42" i="57"/>
  <c r="AU42" i="57"/>
  <c r="AE42" i="57"/>
  <c r="AH42" i="57" s="1"/>
  <c r="AC42" i="57"/>
  <c r="AG42" i="57" s="1"/>
  <c r="Y42" i="57"/>
  <c r="X42" i="57"/>
  <c r="V42" i="57"/>
  <c r="T42" i="57"/>
  <c r="P42" i="57"/>
  <c r="O42" i="57"/>
  <c r="BH41" i="57"/>
  <c r="BJ41" i="57" s="1"/>
  <c r="AY41" i="57"/>
  <c r="AU41" i="57"/>
  <c r="AS41" i="57"/>
  <c r="AR41" i="57"/>
  <c r="AJ41" i="57"/>
  <c r="J41" i="57"/>
  <c r="BJ40" i="57"/>
  <c r="AY40" i="57"/>
  <c r="AL40" i="57"/>
  <c r="AL82" i="57" s="1"/>
  <c r="AG40" i="57"/>
  <c r="AG82" i="57" s="1"/>
  <c r="AE40" i="57"/>
  <c r="AH40" i="57" s="1"/>
  <c r="V40" i="57"/>
  <c r="V80" i="57" s="1"/>
  <c r="BH39" i="57"/>
  <c r="BC39" i="57"/>
  <c r="AW39" i="57"/>
  <c r="AY39" i="57" s="1"/>
  <c r="AU39" i="57"/>
  <c r="AL39" i="57"/>
  <c r="AL38" i="57" s="1"/>
  <c r="AJ39" i="57"/>
  <c r="AH39" i="57"/>
  <c r="AG39" i="57"/>
  <c r="X39" i="57"/>
  <c r="V39" i="57"/>
  <c r="O39" i="57"/>
  <c r="O38" i="57" s="1"/>
  <c r="BH38" i="57"/>
  <c r="BC38" i="57"/>
  <c r="AS38" i="57"/>
  <c r="AR38" i="57"/>
  <c r="AR103" i="57" s="1"/>
  <c r="AG38" i="57"/>
  <c r="AE38" i="57"/>
  <c r="AC38" i="57"/>
  <c r="Y38" i="57"/>
  <c r="X38" i="57"/>
  <c r="X103" i="57" s="1"/>
  <c r="X105" i="57" s="1"/>
  <c r="V38" i="57"/>
  <c r="T38" i="57"/>
  <c r="P38" i="57"/>
  <c r="AJ37" i="57"/>
  <c r="M37" i="57"/>
  <c r="L37" i="57"/>
  <c r="J37" i="57"/>
  <c r="AE30" i="57"/>
  <c r="AE99" i="57" s="1"/>
  <c r="AC30" i="57"/>
  <c r="AC99" i="57" s="1"/>
  <c r="Y30" i="57"/>
  <c r="X30" i="57"/>
  <c r="X99" i="57" s="1"/>
  <c r="P30" i="57"/>
  <c r="P99" i="57" s="1"/>
  <c r="O30" i="57"/>
  <c r="O99" i="57" s="1"/>
  <c r="L30" i="57"/>
  <c r="L99" i="57" s="1"/>
  <c r="I30" i="57"/>
  <c r="M30" i="57" s="1"/>
  <c r="M99" i="57" s="1"/>
  <c r="H30" i="57"/>
  <c r="H99" i="57" s="1"/>
  <c r="F30" i="57"/>
  <c r="F99" i="57" s="1"/>
  <c r="J29" i="57"/>
  <c r="J28" i="57"/>
  <c r="J27" i="57"/>
  <c r="BH26" i="57"/>
  <c r="BF26" i="57"/>
  <c r="BC26" i="57"/>
  <c r="AW26" i="57"/>
  <c r="AY26" i="57" s="1"/>
  <c r="AU26" i="57"/>
  <c r="AJ26" i="57"/>
  <c r="AN26" i="57" s="1"/>
  <c r="AE26" i="57"/>
  <c r="AC26" i="57"/>
  <c r="Y26" i="57"/>
  <c r="X26" i="57"/>
  <c r="V26" i="57"/>
  <c r="J26" i="57"/>
  <c r="I26" i="57"/>
  <c r="AU24" i="57"/>
  <c r="AH24" i="57"/>
  <c r="AJ24" i="57" s="1"/>
  <c r="AG24" i="57"/>
  <c r="V24" i="57"/>
  <c r="T24" i="57"/>
  <c r="M24" i="57"/>
  <c r="AY23" i="57"/>
  <c r="AL23" i="57"/>
  <c r="AN23" i="57" s="1"/>
  <c r="AJ23" i="57"/>
  <c r="AE23" i="57"/>
  <c r="AC23" i="57"/>
  <c r="Y23" i="57"/>
  <c r="X23" i="57"/>
  <c r="V23" i="57"/>
  <c r="BH22" i="57"/>
  <c r="BD22" i="57"/>
  <c r="BD18" i="57" s="1"/>
  <c r="BD24" i="57" s="1"/>
  <c r="BF24" i="57" s="1"/>
  <c r="BC22" i="57"/>
  <c r="AW22" i="57"/>
  <c r="AU22" i="57"/>
  <c r="AJ22" i="57"/>
  <c r="AN22" i="57" s="1"/>
  <c r="AE22" i="57"/>
  <c r="AE24" i="57" s="1"/>
  <c r="AC22" i="57"/>
  <c r="Y22" i="57"/>
  <c r="X22" i="57"/>
  <c r="V22" i="57"/>
  <c r="T22" i="57"/>
  <c r="P22" i="57"/>
  <c r="P24" i="57" s="1"/>
  <c r="O22" i="57"/>
  <c r="O24" i="57" s="1"/>
  <c r="F22" i="57"/>
  <c r="BJ21" i="57"/>
  <c r="BH21" i="57"/>
  <c r="BF21" i="57"/>
  <c r="BC21" i="57"/>
  <c r="AW21" i="57"/>
  <c r="AY21" i="57" s="1"/>
  <c r="AU21" i="57"/>
  <c r="AL21" i="57"/>
  <c r="AJ21" i="57"/>
  <c r="AE21" i="57"/>
  <c r="AC21" i="57"/>
  <c r="Y21" i="57"/>
  <c r="X21" i="57"/>
  <c r="V21" i="57"/>
  <c r="BH20" i="57"/>
  <c r="BC20" i="57"/>
  <c r="BC24" i="57" s="1"/>
  <c r="AW20" i="57"/>
  <c r="AY20" i="57" s="1"/>
  <c r="AU20" i="57"/>
  <c r="AL20" i="57"/>
  <c r="AJ20" i="57"/>
  <c r="AE20" i="57"/>
  <c r="AC20" i="57"/>
  <c r="Y20" i="57"/>
  <c r="X20" i="57"/>
  <c r="V20" i="57"/>
  <c r="AY19" i="57"/>
  <c r="AJ19" i="57"/>
  <c r="AN19" i="57" s="1"/>
  <c r="M19" i="57"/>
  <c r="M22" i="57" s="1"/>
  <c r="J19" i="57"/>
  <c r="BC18" i="57"/>
  <c r="AW18" i="57"/>
  <c r="AY18" i="57" s="1"/>
  <c r="AU18" i="57"/>
  <c r="AS57" i="57" s="1"/>
  <c r="AU57" i="57" s="1"/>
  <c r="AY57" i="57" s="1"/>
  <c r="AS18" i="57"/>
  <c r="AR18" i="57"/>
  <c r="AN18" i="57"/>
  <c r="AL18" i="57"/>
  <c r="AJ18" i="57"/>
  <c r="AE18" i="57"/>
  <c r="AC18" i="57"/>
  <c r="AC24" i="57" s="1"/>
  <c r="Y18" i="57"/>
  <c r="Y24" i="57" s="1"/>
  <c r="X18" i="57"/>
  <c r="V18" i="57"/>
  <c r="T18" i="57"/>
  <c r="P18" i="57"/>
  <c r="O18" i="57"/>
  <c r="M18" i="57"/>
  <c r="L18" i="57"/>
  <c r="L24" i="57" s="1"/>
  <c r="J18" i="57"/>
  <c r="I18" i="57"/>
  <c r="I22" i="57" s="1"/>
  <c r="J22" i="57" s="1"/>
  <c r="H18" i="57"/>
  <c r="H24" i="57" s="1"/>
  <c r="J24" i="57" s="1"/>
  <c r="F18" i="57"/>
  <c r="F24" i="57" s="1"/>
  <c r="BD16" i="57"/>
  <c r="BF16" i="57" s="1"/>
  <c r="BC16" i="57"/>
  <c r="AW16" i="57"/>
  <c r="AY16" i="57" s="1"/>
  <c r="AU16" i="57"/>
  <c r="AS16" i="57"/>
  <c r="AH16" i="57"/>
  <c r="AC16" i="57"/>
  <c r="T16" i="57"/>
  <c r="P16" i="57"/>
  <c r="O16" i="57"/>
  <c r="I16" i="57"/>
  <c r="H16" i="57"/>
  <c r="J16" i="57" s="1"/>
  <c r="F16" i="57"/>
  <c r="AU15" i="57"/>
  <c r="AY15" i="57" s="1"/>
  <c r="AJ15" i="57"/>
  <c r="AN15" i="57" s="1"/>
  <c r="BH14" i="57"/>
  <c r="BC14" i="57"/>
  <c r="BF14" i="57" s="1"/>
  <c r="AW14" i="57"/>
  <c r="AY14" i="57" s="1"/>
  <c r="AU14" i="57"/>
  <c r="AS14" i="57"/>
  <c r="AR14" i="57"/>
  <c r="AJ14" i="57"/>
  <c r="AN14" i="57" s="1"/>
  <c r="AY13" i="57"/>
  <c r="AG13" i="57"/>
  <c r="AJ13" i="57" s="1"/>
  <c r="AN13" i="57" s="1"/>
  <c r="AE13" i="57"/>
  <c r="AC13" i="57"/>
  <c r="Y13" i="57"/>
  <c r="X13" i="57"/>
  <c r="V13" i="57"/>
  <c r="M13" i="57"/>
  <c r="L13" i="57"/>
  <c r="J13" i="57"/>
  <c r="H13" i="57"/>
  <c r="F13" i="57"/>
  <c r="BH12" i="57"/>
  <c r="BH16" i="57" s="1"/>
  <c r="BF12" i="57"/>
  <c r="BD12" i="57"/>
  <c r="BC12" i="57"/>
  <c r="AY12" i="57"/>
  <c r="AW12" i="57"/>
  <c r="AS12" i="57"/>
  <c r="AU12" i="57" s="1"/>
  <c r="AR12" i="57"/>
  <c r="AR16" i="57" s="1"/>
  <c r="AL12" i="57"/>
  <c r="AG12" i="57"/>
  <c r="AG16" i="57" s="1"/>
  <c r="AE12" i="57"/>
  <c r="AE16" i="57" s="1"/>
  <c r="AC12" i="57"/>
  <c r="Y12" i="57"/>
  <c r="Y16" i="57" s="1"/>
  <c r="X12" i="57"/>
  <c r="V12" i="57"/>
  <c r="V16" i="57" s="1"/>
  <c r="M12" i="57"/>
  <c r="M16" i="57" s="1"/>
  <c r="L12" i="57"/>
  <c r="L16" i="57" s="1"/>
  <c r="H12" i="57"/>
  <c r="J12" i="57" s="1"/>
  <c r="F12" i="57"/>
  <c r="T7" i="57"/>
  <c r="AC7" i="57" s="1"/>
  <c r="O7" i="57"/>
  <c r="AX113" i="27" l="1"/>
  <c r="AX107" i="27"/>
  <c r="AX118" i="27"/>
  <c r="AT113" i="27"/>
  <c r="AT107" i="27"/>
  <c r="AT118" i="27"/>
  <c r="AT114" i="27"/>
  <c r="AT115" i="27" s="1"/>
  <c r="BH93" i="6"/>
  <c r="BH90" i="6"/>
  <c r="BH88" i="6"/>
  <c r="BH97" i="6"/>
  <c r="BJ93" i="6"/>
  <c r="BJ90" i="6"/>
  <c r="BJ88" i="6"/>
  <c r="AU115" i="8"/>
  <c r="AU112" i="8"/>
  <c r="AU110" i="8"/>
  <c r="AZ115" i="8"/>
  <c r="AZ112" i="8"/>
  <c r="AZ110" i="8"/>
  <c r="AY105" i="8"/>
  <c r="AY109" i="8" s="1"/>
  <c r="BB41" i="8"/>
  <c r="AY42" i="8"/>
  <c r="BB42" i="8" s="1"/>
  <c r="BB76" i="8"/>
  <c r="AY107" i="8"/>
  <c r="AY111" i="8" s="1"/>
  <c r="AY113" i="8" s="1"/>
  <c r="M115" i="8"/>
  <c r="M110" i="8"/>
  <c r="M116" i="8"/>
  <c r="M117" i="8" s="1"/>
  <c r="M112" i="8"/>
  <c r="AW109" i="8"/>
  <c r="BF115" i="8"/>
  <c r="BF112" i="8"/>
  <c r="BF110" i="8"/>
  <c r="AQ112" i="8"/>
  <c r="BB52" i="8"/>
  <c r="BH131" i="40"/>
  <c r="BH134" i="40"/>
  <c r="BH129" i="40"/>
  <c r="BH138" i="40"/>
  <c r="AY132" i="40"/>
  <c r="AY139" i="40"/>
  <c r="AY138" i="40"/>
  <c r="AY131" i="40"/>
  <c r="AY134" i="40"/>
  <c r="AY129" i="40"/>
  <c r="AL88" i="5"/>
  <c r="AL93" i="5"/>
  <c r="Y45" i="5"/>
  <c r="Y84" i="5" s="1"/>
  <c r="Y87" i="5" s="1"/>
  <c r="V84" i="5"/>
  <c r="H87" i="5"/>
  <c r="AE87" i="5"/>
  <c r="AH93" i="5"/>
  <c r="AH88" i="5"/>
  <c r="M93" i="5"/>
  <c r="M88" i="5"/>
  <c r="I87" i="5"/>
  <c r="AG93" i="5"/>
  <c r="AG88" i="5"/>
  <c r="L88" i="5"/>
  <c r="L93" i="5"/>
  <c r="AU17" i="5"/>
  <c r="AN87" i="5"/>
  <c r="AN88" i="5" s="1"/>
  <c r="T87" i="5"/>
  <c r="AR87" i="5"/>
  <c r="P90" i="5"/>
  <c r="P88" i="5"/>
  <c r="P93" i="5"/>
  <c r="X93" i="5"/>
  <c r="X88" i="5"/>
  <c r="X90" i="5"/>
  <c r="AS87" i="5"/>
  <c r="BB93" i="5"/>
  <c r="BB88" i="5"/>
  <c r="F87" i="5"/>
  <c r="AC87" i="5"/>
  <c r="AW87" i="5"/>
  <c r="AU36" i="5"/>
  <c r="O93" i="5"/>
  <c r="AU12" i="5"/>
  <c r="O88" i="5"/>
  <c r="X91" i="5"/>
  <c r="R36" i="5"/>
  <c r="V36" i="5" s="1"/>
  <c r="P89" i="5"/>
  <c r="P91" i="5" s="1"/>
  <c r="BD89" i="5"/>
  <c r="AA17" i="5"/>
  <c r="V40" i="37"/>
  <c r="V107" i="37"/>
  <c r="V111" i="37" s="1"/>
  <c r="AX117" i="37"/>
  <c r="AX114" i="37"/>
  <c r="AX112" i="37"/>
  <c r="AT113" i="37"/>
  <c r="AT115" i="37" s="1"/>
  <c r="AT110" i="37"/>
  <c r="AV85" i="37"/>
  <c r="I111" i="37"/>
  <c r="AS112" i="37"/>
  <c r="AS117" i="37"/>
  <c r="AS114" i="37"/>
  <c r="M110" i="37"/>
  <c r="M111" i="37" s="1"/>
  <c r="T40" i="37"/>
  <c r="Z41" i="37" s="1"/>
  <c r="T107" i="37"/>
  <c r="AO112" i="37"/>
  <c r="AO117" i="37"/>
  <c r="AO114" i="37"/>
  <c r="AT111" i="37"/>
  <c r="AZ107" i="37"/>
  <c r="AZ113" i="37"/>
  <c r="AZ115" i="37" s="1"/>
  <c r="O112" i="37"/>
  <c r="O117" i="37"/>
  <c r="F117" i="37"/>
  <c r="F112" i="37"/>
  <c r="P111" i="37"/>
  <c r="AZ108" i="37"/>
  <c r="H111" i="37"/>
  <c r="L111" i="37"/>
  <c r="P88" i="37"/>
  <c r="AO88" i="37"/>
  <c r="P110" i="37"/>
  <c r="I19" i="37"/>
  <c r="J19" i="37" s="1"/>
  <c r="J34" i="37"/>
  <c r="T88" i="37"/>
  <c r="T110" i="37"/>
  <c r="AM114" i="37"/>
  <c r="AS115" i="37"/>
  <c r="V88" i="37"/>
  <c r="AM117" i="37"/>
  <c r="J40" i="37"/>
  <c r="J67" i="37"/>
  <c r="O113" i="37"/>
  <c r="O115" i="37" s="1"/>
  <c r="I88" i="37"/>
  <c r="P113" i="37"/>
  <c r="P115" i="37" s="1"/>
  <c r="R20" i="37"/>
  <c r="L88" i="37"/>
  <c r="AF88" i="37"/>
  <c r="AV24" i="37"/>
  <c r="M88" i="37"/>
  <c r="O88" i="37"/>
  <c r="AJ42" i="57"/>
  <c r="O103" i="57"/>
  <c r="O105" i="57" s="1"/>
  <c r="O97" i="57"/>
  <c r="AN99" i="57"/>
  <c r="AJ16" i="57"/>
  <c r="AN16" i="57" s="1"/>
  <c r="AE97" i="57"/>
  <c r="AN12" i="57"/>
  <c r="AR112" i="57"/>
  <c r="AR105" i="57"/>
  <c r="BH18" i="57"/>
  <c r="AJ40" i="57"/>
  <c r="AN40" i="57" s="1"/>
  <c r="AH82" i="57"/>
  <c r="AJ82" i="57" s="1"/>
  <c r="AN82" i="57" s="1"/>
  <c r="BF20" i="57"/>
  <c r="BJ20" i="57" s="1"/>
  <c r="AN21" i="57"/>
  <c r="Y103" i="57"/>
  <c r="Y105" i="57" s="1"/>
  <c r="AU38" i="57"/>
  <c r="H54" i="57"/>
  <c r="F54" i="57"/>
  <c r="F98" i="57" s="1"/>
  <c r="F101" i="57" s="1"/>
  <c r="AE54" i="57"/>
  <c r="AY99" i="57"/>
  <c r="AY87" i="57"/>
  <c r="AN88" i="57"/>
  <c r="AR97" i="57"/>
  <c r="AJ12" i="57"/>
  <c r="X24" i="57"/>
  <c r="BF22" i="57"/>
  <c r="BJ22" i="57" s="1"/>
  <c r="AL24" i="57"/>
  <c r="AN24" i="57" s="1"/>
  <c r="AC103" i="57"/>
  <c r="AC105" i="57" s="1"/>
  <c r="AW38" i="57"/>
  <c r="M54" i="57"/>
  <c r="M98" i="57" s="1"/>
  <c r="AG54" i="57"/>
  <c r="AG98" i="57" s="1"/>
  <c r="AE80" i="57"/>
  <c r="AS97" i="57"/>
  <c r="BF87" i="57"/>
  <c r="BJ87" i="57" s="1"/>
  <c r="AY88" i="57"/>
  <c r="L101" i="57"/>
  <c r="AR99" i="57"/>
  <c r="BJ16" i="57"/>
  <c r="AW24" i="57"/>
  <c r="AY24" i="57" s="1"/>
  <c r="M101" i="57"/>
  <c r="I99" i="57"/>
  <c r="AE103" i="57"/>
  <c r="AE105" i="57" s="1"/>
  <c r="O98" i="57"/>
  <c r="P54" i="57"/>
  <c r="P98" i="57" s="1"/>
  <c r="AN20" i="57"/>
  <c r="AG103" i="57"/>
  <c r="AG97" i="57"/>
  <c r="AG101" i="57" s="1"/>
  <c r="BF39" i="57"/>
  <c r="AY45" i="57"/>
  <c r="Y50" i="57"/>
  <c r="Y97" i="57" s="1"/>
  <c r="Y101" i="57" s="1"/>
  <c r="I57" i="57"/>
  <c r="J57" i="57" s="1"/>
  <c r="X7" i="57"/>
  <c r="X16" i="57"/>
  <c r="BJ12" i="57"/>
  <c r="BJ14" i="57"/>
  <c r="P103" i="57"/>
  <c r="P105" i="57" s="1"/>
  <c r="P97" i="57"/>
  <c r="P101" i="57" s="1"/>
  <c r="AH38" i="57"/>
  <c r="AS54" i="57"/>
  <c r="AS60" i="57"/>
  <c r="AU60" i="57" s="1"/>
  <c r="AY60" i="57" s="1"/>
  <c r="BF66" i="57"/>
  <c r="BJ66" i="57" s="1"/>
  <c r="BJ99" i="57" s="1"/>
  <c r="X97" i="57"/>
  <c r="X101" i="57" s="1"/>
  <c r="BH99" i="57"/>
  <c r="AL103" i="57"/>
  <c r="AL105" i="57" s="1"/>
  <c r="AL97" i="57"/>
  <c r="AL101" i="57" s="1"/>
  <c r="AY86" i="57"/>
  <c r="T103" i="57"/>
  <c r="T105" i="57" s="1"/>
  <c r="BH97" i="57"/>
  <c r="BH101" i="57" s="1"/>
  <c r="BF18" i="57"/>
  <c r="AY22" i="57"/>
  <c r="BJ26" i="57"/>
  <c r="V97" i="57"/>
  <c r="V101" i="57" s="1"/>
  <c r="AN39" i="57"/>
  <c r="BH44" i="57"/>
  <c r="AC97" i="57"/>
  <c r="AC101" i="57" s="1"/>
  <c r="BC97" i="57"/>
  <c r="BC101" i="57" s="1"/>
  <c r="BC103" i="57"/>
  <c r="BC105" i="57" s="1"/>
  <c r="T97" i="57"/>
  <c r="T101" i="57" s="1"/>
  <c r="AW115" i="8" l="1"/>
  <c r="AW112" i="8"/>
  <c r="AW110" i="8"/>
  <c r="AY115" i="8"/>
  <c r="AY112" i="8"/>
  <c r="AY110" i="8"/>
  <c r="Y93" i="5"/>
  <c r="Y88" i="5"/>
  <c r="Y90" i="5"/>
  <c r="AW88" i="5"/>
  <c r="AW93" i="5"/>
  <c r="AC93" i="5"/>
  <c r="AC88" i="5"/>
  <c r="AC90" i="5"/>
  <c r="AE90" i="5"/>
  <c r="AE93" i="5"/>
  <c r="AE88" i="5"/>
  <c r="AR88" i="5"/>
  <c r="AR93" i="5"/>
  <c r="I93" i="5"/>
  <c r="I88" i="5"/>
  <c r="AS88" i="5"/>
  <c r="AS93" i="5"/>
  <c r="T90" i="5"/>
  <c r="T93" i="5"/>
  <c r="T88" i="5"/>
  <c r="V89" i="5"/>
  <c r="V91" i="5" s="1"/>
  <c r="V37" i="5"/>
  <c r="V83" i="5" s="1"/>
  <c r="V87" i="5" s="1"/>
  <c r="H93" i="5"/>
  <c r="H88" i="5"/>
  <c r="F93" i="5"/>
  <c r="F88" i="5"/>
  <c r="M112" i="37"/>
  <c r="M117" i="37"/>
  <c r="L112" i="37"/>
  <c r="L117" i="37"/>
  <c r="Z113" i="37"/>
  <c r="Z115" i="37" s="1"/>
  <c r="Z107" i="37"/>
  <c r="Z111" i="37" s="1"/>
  <c r="AB41" i="37"/>
  <c r="H117" i="37"/>
  <c r="H112" i="37"/>
  <c r="P112" i="37"/>
  <c r="P117" i="37"/>
  <c r="P114" i="37"/>
  <c r="AT117" i="37"/>
  <c r="AT114" i="37"/>
  <c r="AT112" i="37"/>
  <c r="V117" i="37"/>
  <c r="V114" i="37"/>
  <c r="V112" i="37"/>
  <c r="I117" i="37"/>
  <c r="I112" i="37"/>
  <c r="AZ111" i="37"/>
  <c r="O114" i="37"/>
  <c r="T111" i="37"/>
  <c r="Y104" i="57"/>
  <c r="Y102" i="57"/>
  <c r="Y108" i="57"/>
  <c r="Y109" i="57" s="1"/>
  <c r="Y107" i="57"/>
  <c r="X104" i="57"/>
  <c r="X102" i="57"/>
  <c r="X108" i="57"/>
  <c r="X109" i="57" s="1"/>
  <c r="X107" i="57"/>
  <c r="AW103" i="57"/>
  <c r="AY38" i="57"/>
  <c r="AW97" i="57"/>
  <c r="AW101" i="57" s="1"/>
  <c r="BH103" i="57"/>
  <c r="M108" i="57"/>
  <c r="M109" i="57" s="1"/>
  <c r="M107" i="57"/>
  <c r="M102" i="57"/>
  <c r="BF45" i="57"/>
  <c r="BJ39" i="57"/>
  <c r="BD39" i="57"/>
  <c r="AG108" i="57"/>
  <c r="AG109" i="57" s="1"/>
  <c r="AG107" i="57"/>
  <c r="AG111" i="57"/>
  <c r="AG104" i="57"/>
  <c r="AG102" i="57"/>
  <c r="BH111" i="57"/>
  <c r="BH102" i="57"/>
  <c r="BH107" i="57"/>
  <c r="T104" i="57"/>
  <c r="T102" i="57"/>
  <c r="T107" i="57"/>
  <c r="T108" i="57"/>
  <c r="T109" i="57" s="1"/>
  <c r="AS98" i="57"/>
  <c r="AS101" i="57" s="1"/>
  <c r="AU54" i="57"/>
  <c r="AY54" i="57" s="1"/>
  <c r="AY98" i="57" s="1"/>
  <c r="AG112" i="57"/>
  <c r="AG105" i="57"/>
  <c r="BC112" i="57"/>
  <c r="O101" i="57"/>
  <c r="V104" i="57"/>
  <c r="V102" i="57"/>
  <c r="V107" i="57"/>
  <c r="V108" i="57"/>
  <c r="V109" i="57" s="1"/>
  <c r="AE98" i="57"/>
  <c r="AH54" i="57"/>
  <c r="AL112" i="57"/>
  <c r="BC107" i="57"/>
  <c r="BC111" i="57"/>
  <c r="BC104" i="57"/>
  <c r="BC102" i="57"/>
  <c r="AL111" i="57"/>
  <c r="AL104" i="57"/>
  <c r="AL102" i="57"/>
  <c r="AL108" i="57"/>
  <c r="AL109" i="57" s="1"/>
  <c r="AL107" i="57"/>
  <c r="AJ38" i="57"/>
  <c r="AN38" i="57" s="1"/>
  <c r="AH103" i="57"/>
  <c r="AH97" i="57"/>
  <c r="L102" i="57"/>
  <c r="L108" i="57"/>
  <c r="L109" i="57" s="1"/>
  <c r="L107" i="57"/>
  <c r="F102" i="57"/>
  <c r="F107" i="57"/>
  <c r="AC104" i="57"/>
  <c r="AC102" i="57"/>
  <c r="AC108" i="57"/>
  <c r="AC109" i="57" s="1"/>
  <c r="AC107" i="57"/>
  <c r="P108" i="57"/>
  <c r="P109" i="57" s="1"/>
  <c r="P107" i="57"/>
  <c r="P104" i="57"/>
  <c r="P102" i="57"/>
  <c r="I54" i="57"/>
  <c r="I98" i="57" s="1"/>
  <c r="I101" i="57" s="1"/>
  <c r="H98" i="57"/>
  <c r="H101" i="57" s="1"/>
  <c r="J54" i="57"/>
  <c r="BH24" i="57"/>
  <c r="BJ24" i="57" s="1"/>
  <c r="BJ18" i="57"/>
  <c r="BF60" i="57"/>
  <c r="BF54" i="57"/>
  <c r="BF57" i="57"/>
  <c r="BF38" i="57"/>
  <c r="AR101" i="57"/>
  <c r="AS103" i="57"/>
  <c r="AE101" i="57"/>
  <c r="V88" i="5" l="1"/>
  <c r="V90" i="5"/>
  <c r="T112" i="37"/>
  <c r="T117" i="37"/>
  <c r="T114" i="37"/>
  <c r="AB42" i="37"/>
  <c r="AF41" i="37"/>
  <c r="AB107" i="37"/>
  <c r="AB111" i="37" s="1"/>
  <c r="AB113" i="37"/>
  <c r="AB115" i="37" s="1"/>
  <c r="Z117" i="37"/>
  <c r="Z114" i="37"/>
  <c r="Z112" i="37"/>
  <c r="AZ117" i="37"/>
  <c r="AZ114" i="37"/>
  <c r="AZ112" i="37"/>
  <c r="AS111" i="57"/>
  <c r="AS104" i="57"/>
  <c r="AS102" i="57"/>
  <c r="AS107" i="57"/>
  <c r="BD60" i="57"/>
  <c r="BJ60" i="57"/>
  <c r="AH98" i="57"/>
  <c r="AJ54" i="57"/>
  <c r="AN54" i="57" s="1"/>
  <c r="AN98" i="57" s="1"/>
  <c r="BH112" i="57"/>
  <c r="BH105" i="57"/>
  <c r="BD57" i="57"/>
  <c r="BJ57" i="57"/>
  <c r="BD54" i="57"/>
  <c r="BD98" i="57" s="1"/>
  <c r="BJ54" i="57"/>
  <c r="BJ98" i="57" s="1"/>
  <c r="AE108" i="57"/>
  <c r="AE109" i="57" s="1"/>
  <c r="AE107" i="57"/>
  <c r="AE104" i="57"/>
  <c r="AE102" i="57"/>
  <c r="BH104" i="57"/>
  <c r="AR111" i="57"/>
  <c r="AR104" i="57"/>
  <c r="AR102" i="57"/>
  <c r="AR107" i="57"/>
  <c r="AH101" i="57"/>
  <c r="AW104" i="57"/>
  <c r="AW102" i="57"/>
  <c r="AW107" i="57"/>
  <c r="AW111" i="57"/>
  <c r="O108" i="57"/>
  <c r="O109" i="57" s="1"/>
  <c r="O107" i="57"/>
  <c r="O104" i="57"/>
  <c r="O102" i="57"/>
  <c r="H102" i="57"/>
  <c r="H108" i="57"/>
  <c r="H109" i="57" s="1"/>
  <c r="H107" i="57"/>
  <c r="AH112" i="57"/>
  <c r="AH105" i="57"/>
  <c r="BD45" i="57"/>
  <c r="BJ45" i="57"/>
  <c r="AY103" i="57"/>
  <c r="AY37" i="57"/>
  <c r="AY97" i="57" s="1"/>
  <c r="AY101" i="57" s="1"/>
  <c r="AS112" i="57"/>
  <c r="AS105" i="57"/>
  <c r="BF44" i="57"/>
  <c r="BJ38" i="57"/>
  <c r="BD38" i="57"/>
  <c r="I102" i="57"/>
  <c r="I108" i="57"/>
  <c r="I109" i="57" s="1"/>
  <c r="I107" i="57"/>
  <c r="AN97" i="57"/>
  <c r="AN37" i="57"/>
  <c r="AN103" i="57"/>
  <c r="AW105" i="57"/>
  <c r="AW112" i="57"/>
  <c r="AF42" i="37" l="1"/>
  <c r="AH41" i="37"/>
  <c r="AF107" i="37"/>
  <c r="AF111" i="37" s="1"/>
  <c r="AF113" i="37"/>
  <c r="AF115" i="37" s="1"/>
  <c r="AB117" i="37"/>
  <c r="AB114" i="37"/>
  <c r="AB112" i="37"/>
  <c r="AY105" i="57"/>
  <c r="AY112" i="57"/>
  <c r="AH108" i="57"/>
  <c r="AH109" i="57" s="1"/>
  <c r="AH107" i="57"/>
  <c r="AH111" i="57"/>
  <c r="AH104" i="57"/>
  <c r="AH102" i="57"/>
  <c r="BJ37" i="57"/>
  <c r="AN105" i="57"/>
  <c r="AN112" i="57"/>
  <c r="BD44" i="57"/>
  <c r="BD103" i="57" s="1"/>
  <c r="BJ44" i="57"/>
  <c r="BJ43" i="57" s="1"/>
  <c r="AN101" i="57"/>
  <c r="AY107" i="57"/>
  <c r="AY104" i="57"/>
  <c r="AY111" i="57"/>
  <c r="AY102" i="57"/>
  <c r="BJ83" i="15"/>
  <c r="BJ85" i="15" s="1"/>
  <c r="AU83" i="15"/>
  <c r="AU85" i="15" s="1"/>
  <c r="AN83" i="15"/>
  <c r="AN85" i="15" s="1"/>
  <c r="AI83" i="15"/>
  <c r="AI85" i="15" s="1"/>
  <c r="X83" i="15"/>
  <c r="X85" i="15" s="1"/>
  <c r="P83" i="15"/>
  <c r="P85" i="15" s="1"/>
  <c r="O83" i="15"/>
  <c r="O85" i="15" s="1"/>
  <c r="L82" i="15"/>
  <c r="BL80" i="15"/>
  <c r="BJ80" i="15"/>
  <c r="BF80" i="15"/>
  <c r="BE80" i="15"/>
  <c r="BA80" i="15"/>
  <c r="AY80" i="15"/>
  <c r="AU80" i="15"/>
  <c r="AT80" i="15"/>
  <c r="AP80" i="15"/>
  <c r="AN80" i="15"/>
  <c r="AJ80" i="15"/>
  <c r="AI80" i="15"/>
  <c r="AE80" i="15"/>
  <c r="AC80" i="15"/>
  <c r="Y80" i="15"/>
  <c r="X80" i="15"/>
  <c r="V80" i="15"/>
  <c r="T80" i="15"/>
  <c r="P80" i="15"/>
  <c r="O80" i="15"/>
  <c r="L80" i="15"/>
  <c r="I80" i="15"/>
  <c r="H80" i="15"/>
  <c r="F80" i="15"/>
  <c r="BJ79" i="15"/>
  <c r="BF79" i="15"/>
  <c r="BA79" i="15"/>
  <c r="AY79" i="15"/>
  <c r="AP79" i="15"/>
  <c r="AN79" i="15"/>
  <c r="AC79" i="15"/>
  <c r="T79" i="15"/>
  <c r="P79" i="15"/>
  <c r="BL78" i="15"/>
  <c r="BJ78" i="15"/>
  <c r="BF78" i="15"/>
  <c r="BE78" i="15"/>
  <c r="BA78" i="15"/>
  <c r="AY78" i="15"/>
  <c r="AU78" i="15"/>
  <c r="AT78" i="15"/>
  <c r="AP78" i="15"/>
  <c r="AN78" i="15"/>
  <c r="AJ78" i="15"/>
  <c r="AI78" i="15"/>
  <c r="AE78" i="15"/>
  <c r="AC78" i="15"/>
  <c r="Y78" i="15"/>
  <c r="X78" i="15"/>
  <c r="V78" i="15"/>
  <c r="T78" i="15"/>
  <c r="P78" i="15"/>
  <c r="O78" i="15"/>
  <c r="L78" i="15"/>
  <c r="I78" i="15"/>
  <c r="H78" i="15"/>
  <c r="F78" i="15"/>
  <c r="AU77" i="15"/>
  <c r="AI77" i="15"/>
  <c r="X77" i="15"/>
  <c r="O77" i="15"/>
  <c r="F77" i="15"/>
  <c r="J74" i="15"/>
  <c r="BJ73" i="15"/>
  <c r="BF73" i="15"/>
  <c r="AP73" i="15"/>
  <c r="AN73" i="15"/>
  <c r="AL73" i="15"/>
  <c r="AI73" i="15"/>
  <c r="AJ73" i="15" s="1"/>
  <c r="AE73" i="15"/>
  <c r="AC73" i="15"/>
  <c r="X73" i="15"/>
  <c r="T73" i="15"/>
  <c r="O73" i="15"/>
  <c r="M73" i="15"/>
  <c r="L73" i="15"/>
  <c r="I73" i="15"/>
  <c r="J73" i="15" s="1"/>
  <c r="H73" i="15"/>
  <c r="BL72" i="15"/>
  <c r="BJ72" i="15"/>
  <c r="BF72" i="15"/>
  <c r="AP72" i="15"/>
  <c r="AN72" i="15"/>
  <c r="AL72" i="15"/>
  <c r="AI72" i="15"/>
  <c r="AE72" i="15"/>
  <c r="AC72" i="15"/>
  <c r="X72" i="15"/>
  <c r="O72" i="15"/>
  <c r="J72" i="15"/>
  <c r="BL71" i="15"/>
  <c r="BJ71" i="15"/>
  <c r="BF71" i="15"/>
  <c r="AP71" i="15"/>
  <c r="AN71" i="15"/>
  <c r="AI71" i="15"/>
  <c r="AE71" i="15"/>
  <c r="AL71" i="15" s="1"/>
  <c r="AJ71" i="15" s="1"/>
  <c r="AC71" i="15"/>
  <c r="X71" i="15"/>
  <c r="T71" i="15"/>
  <c r="O71" i="15"/>
  <c r="M71" i="15"/>
  <c r="J71" i="15"/>
  <c r="I71" i="15"/>
  <c r="J68" i="15"/>
  <c r="J66" i="15"/>
  <c r="M66" i="15" s="1"/>
  <c r="M65" i="15"/>
  <c r="J65" i="15"/>
  <c r="M64" i="15"/>
  <c r="J63" i="15"/>
  <c r="M63" i="15" s="1"/>
  <c r="R62" i="15"/>
  <c r="M62" i="15"/>
  <c r="L62" i="15"/>
  <c r="J62" i="15"/>
  <c r="I62" i="15"/>
  <c r="H62" i="15"/>
  <c r="BL61" i="15"/>
  <c r="BH61" i="15"/>
  <c r="AW61" i="15"/>
  <c r="AE61" i="15"/>
  <c r="AL61" i="15" s="1"/>
  <c r="AJ61" i="15" s="1"/>
  <c r="R61" i="15"/>
  <c r="V61" i="15" s="1"/>
  <c r="AA61" i="15" s="1"/>
  <c r="Y61" i="15" s="1"/>
  <c r="M61" i="15"/>
  <c r="L61" i="15"/>
  <c r="I61" i="15"/>
  <c r="J61" i="15" s="1"/>
  <c r="H61" i="15"/>
  <c r="BL60" i="15"/>
  <c r="BH60" i="15"/>
  <c r="AW60" i="15"/>
  <c r="AE60" i="15"/>
  <c r="AL60" i="15" s="1"/>
  <c r="AJ60" i="15" s="1"/>
  <c r="AA60" i="15"/>
  <c r="Y60" i="15" s="1"/>
  <c r="V60" i="15"/>
  <c r="R60" i="15"/>
  <c r="M60" i="15"/>
  <c r="L60" i="15"/>
  <c r="I60" i="15"/>
  <c r="H60" i="15"/>
  <c r="J60" i="15" s="1"/>
  <c r="BL59" i="15"/>
  <c r="BL79" i="15" s="1"/>
  <c r="BH59" i="15"/>
  <c r="AW59" i="15"/>
  <c r="AL59" i="15"/>
  <c r="AJ59" i="15" s="1"/>
  <c r="AJ79" i="15" s="1"/>
  <c r="AE59" i="15"/>
  <c r="R59" i="15"/>
  <c r="V59" i="15" s="1"/>
  <c r="M59" i="15"/>
  <c r="L59" i="15"/>
  <c r="I59" i="15"/>
  <c r="H59" i="15"/>
  <c r="J59" i="15" s="1"/>
  <c r="M57" i="15"/>
  <c r="J57" i="15"/>
  <c r="M56" i="15"/>
  <c r="J56" i="15"/>
  <c r="M55" i="15"/>
  <c r="J55" i="15"/>
  <c r="J54" i="15"/>
  <c r="M54" i="15" s="1"/>
  <c r="M53" i="15"/>
  <c r="J53" i="15"/>
  <c r="M52" i="15"/>
  <c r="J52" i="15"/>
  <c r="M51" i="15"/>
  <c r="M78" i="15" s="1"/>
  <c r="J51" i="15"/>
  <c r="J49" i="15"/>
  <c r="M49" i="15" s="1"/>
  <c r="M48" i="15"/>
  <c r="M77" i="15" s="1"/>
  <c r="J48" i="15"/>
  <c r="M47" i="15"/>
  <c r="J47" i="15"/>
  <c r="AP45" i="15"/>
  <c r="AN45" i="15"/>
  <c r="AC45" i="15"/>
  <c r="AC83" i="15" s="1"/>
  <c r="AC85" i="15" s="1"/>
  <c r="T45" i="15"/>
  <c r="R45" i="15"/>
  <c r="V45" i="15" s="1"/>
  <c r="AA45" i="15" s="1"/>
  <c r="Y45" i="15" s="1"/>
  <c r="I45" i="15"/>
  <c r="H45" i="15"/>
  <c r="J45" i="15" s="1"/>
  <c r="BL44" i="15"/>
  <c r="BL73" i="15" s="1"/>
  <c r="BA44" i="15"/>
  <c r="AJ44" i="15"/>
  <c r="AE44" i="15"/>
  <c r="BH43" i="15"/>
  <c r="BE43" i="15"/>
  <c r="AW43" i="15"/>
  <c r="AJ43" i="15"/>
  <c r="AE43" i="15"/>
  <c r="V43" i="15"/>
  <c r="AA43" i="15" s="1"/>
  <c r="Y43" i="15" s="1"/>
  <c r="R43" i="15"/>
  <c r="BL42" i="15"/>
  <c r="BJ42" i="15"/>
  <c r="BF42" i="15"/>
  <c r="BA42" i="15"/>
  <c r="AY42" i="15"/>
  <c r="AY44" i="15" s="1"/>
  <c r="BE44" i="15" s="1"/>
  <c r="AW42" i="15"/>
  <c r="AT42" i="15"/>
  <c r="AN42" i="15"/>
  <c r="AJ42" i="15"/>
  <c r="AE42" i="15"/>
  <c r="T42" i="15"/>
  <c r="R42" i="15"/>
  <c r="L42" i="15"/>
  <c r="I42" i="15"/>
  <c r="H42" i="15"/>
  <c r="J42" i="15" s="1"/>
  <c r="AY41" i="15"/>
  <c r="BE41" i="15" s="1"/>
  <c r="T41" i="15"/>
  <c r="T72" i="15" s="1"/>
  <c r="BE40" i="15"/>
  <c r="BH40" i="15" s="1"/>
  <c r="BA40" i="15"/>
  <c r="BA39" i="15" s="1"/>
  <c r="AW40" i="15"/>
  <c r="AJ40" i="15"/>
  <c r="AE40" i="15"/>
  <c r="T40" i="15"/>
  <c r="V40" i="15" s="1"/>
  <c r="AA40" i="15" s="1"/>
  <c r="Y40" i="15" s="1"/>
  <c r="R40" i="15"/>
  <c r="BL39" i="15"/>
  <c r="BJ39" i="15"/>
  <c r="BF39" i="15"/>
  <c r="AY39" i="15"/>
  <c r="AT39" i="15"/>
  <c r="AW39" i="15" s="1"/>
  <c r="AN39" i="15"/>
  <c r="AL39" i="15"/>
  <c r="AP39" i="15" s="1"/>
  <c r="AJ39" i="15"/>
  <c r="AE39" i="15"/>
  <c r="AA39" i="15"/>
  <c r="Y39" i="15" s="1"/>
  <c r="T39" i="15"/>
  <c r="R39" i="15"/>
  <c r="V39" i="15" s="1"/>
  <c r="L39" i="15"/>
  <c r="I39" i="15"/>
  <c r="H39" i="15"/>
  <c r="BA38" i="15"/>
  <c r="AY38" i="15"/>
  <c r="BE38" i="15" s="1"/>
  <c r="BE71" i="15" s="1"/>
  <c r="AJ38" i="15"/>
  <c r="AE38" i="15"/>
  <c r="H38" i="15"/>
  <c r="J38" i="15" s="1"/>
  <c r="BH37" i="15"/>
  <c r="BE37" i="15"/>
  <c r="BA37" i="15"/>
  <c r="BA36" i="15" s="1"/>
  <c r="AW37" i="15"/>
  <c r="AJ37" i="15"/>
  <c r="AE37" i="15"/>
  <c r="R37" i="15"/>
  <c r="V37" i="15" s="1"/>
  <c r="AA37" i="15" s="1"/>
  <c r="Y37" i="15" s="1"/>
  <c r="BL36" i="15"/>
  <c r="BL83" i="15" s="1"/>
  <c r="BL85" i="15" s="1"/>
  <c r="BJ36" i="15"/>
  <c r="BJ77" i="15" s="1"/>
  <c r="BF36" i="15"/>
  <c r="BF83" i="15" s="1"/>
  <c r="BF85" i="15" s="1"/>
  <c r="BE36" i="15"/>
  <c r="AY36" i="15"/>
  <c r="AY77" i="15" s="1"/>
  <c r="AY81" i="15" s="1"/>
  <c r="AY88" i="15" s="1"/>
  <c r="AY89" i="15" s="1"/>
  <c r="AT36" i="15"/>
  <c r="AN36" i="15"/>
  <c r="AN77" i="15" s="1"/>
  <c r="AJ36" i="15"/>
  <c r="AL36" i="15" s="1"/>
  <c r="AE36" i="15"/>
  <c r="V36" i="15"/>
  <c r="T36" i="15"/>
  <c r="T77" i="15" s="1"/>
  <c r="T81" i="15" s="1"/>
  <c r="T88" i="15" s="1"/>
  <c r="T89" i="15" s="1"/>
  <c r="R36" i="15"/>
  <c r="L36" i="15"/>
  <c r="L77" i="15" s="1"/>
  <c r="L81" i="15" s="1"/>
  <c r="I36" i="15"/>
  <c r="J36" i="15" s="1"/>
  <c r="H36" i="15"/>
  <c r="M32" i="15"/>
  <c r="M68" i="15" s="1"/>
  <c r="M80" i="15" s="1"/>
  <c r="J32" i="15"/>
  <c r="BF31" i="15"/>
  <c r="BE31" i="15"/>
  <c r="BE79" i="15" s="1"/>
  <c r="AU31" i="15"/>
  <c r="AU79" i="15" s="1"/>
  <c r="AU81" i="15" s="1"/>
  <c r="AT31" i="15"/>
  <c r="AT79" i="15" s="1"/>
  <c r="AJ31" i="15"/>
  <c r="AI31" i="15"/>
  <c r="AI79" i="15" s="1"/>
  <c r="Y31" i="15"/>
  <c r="X31" i="15"/>
  <c r="X79" i="15" s="1"/>
  <c r="P31" i="15"/>
  <c r="O31" i="15"/>
  <c r="O79" i="15" s="1"/>
  <c r="O81" i="15" s="1"/>
  <c r="O88" i="15" s="1"/>
  <c r="O89" i="15" s="1"/>
  <c r="L31" i="15"/>
  <c r="L79" i="15" s="1"/>
  <c r="I31" i="15"/>
  <c r="I79" i="15" s="1"/>
  <c r="H31" i="15"/>
  <c r="H79" i="15" s="1"/>
  <c r="F31" i="15"/>
  <c r="F79" i="15" s="1"/>
  <c r="M30" i="15"/>
  <c r="J30" i="15"/>
  <c r="M29" i="15"/>
  <c r="J29" i="15"/>
  <c r="BA28" i="15"/>
  <c r="M28" i="15"/>
  <c r="M31" i="15" s="1"/>
  <c r="J28" i="15"/>
  <c r="BL27" i="15"/>
  <c r="BH27" i="15"/>
  <c r="BA27" i="15"/>
  <c r="AW27" i="15"/>
  <c r="AN27" i="15"/>
  <c r="AL27" i="15"/>
  <c r="AP27" i="15" s="1"/>
  <c r="AA27" i="15"/>
  <c r="R27" i="15"/>
  <c r="V27" i="15" s="1"/>
  <c r="J27" i="15"/>
  <c r="AY25" i="15"/>
  <c r="AJ25" i="15"/>
  <c r="AI25" i="15"/>
  <c r="AC25" i="15"/>
  <c r="X25" i="15"/>
  <c r="T25" i="15"/>
  <c r="L25" i="15"/>
  <c r="J25" i="15"/>
  <c r="H25" i="15"/>
  <c r="F25" i="15"/>
  <c r="BJ24" i="15"/>
  <c r="BL24" i="15" s="1"/>
  <c r="BH24" i="15"/>
  <c r="BA24" i="15"/>
  <c r="BL23" i="15"/>
  <c r="BJ23" i="15"/>
  <c r="BH23" i="15"/>
  <c r="BE23" i="15"/>
  <c r="BA23" i="15"/>
  <c r="BA25" i="15" s="1"/>
  <c r="AY23" i="15"/>
  <c r="BL22" i="15"/>
  <c r="BH22" i="15"/>
  <c r="BA22" i="15"/>
  <c r="AW22" i="15"/>
  <c r="AN22" i="15"/>
  <c r="AL22" i="15"/>
  <c r="AP22" i="15" s="1"/>
  <c r="AE22" i="15"/>
  <c r="AE19" i="15" s="1"/>
  <c r="AE25" i="15" s="1"/>
  <c r="Y22" i="15"/>
  <c r="AA22" i="15" s="1"/>
  <c r="R22" i="15"/>
  <c r="V22" i="15" s="1"/>
  <c r="J22" i="15"/>
  <c r="BL21" i="15"/>
  <c r="BH21" i="15"/>
  <c r="BA21" i="15"/>
  <c r="BA14" i="15" s="1"/>
  <c r="AU21" i="15"/>
  <c r="AW21" i="15" s="1"/>
  <c r="AT21" i="15"/>
  <c r="AP21" i="15"/>
  <c r="AL21" i="15"/>
  <c r="Y21" i="15"/>
  <c r="AA21" i="15" s="1"/>
  <c r="P21" i="15"/>
  <c r="R21" i="15" s="1"/>
  <c r="V21" i="15" s="1"/>
  <c r="J21" i="15"/>
  <c r="BL20" i="15"/>
  <c r="BH20" i="15"/>
  <c r="BA20" i="15"/>
  <c r="AW20" i="15"/>
  <c r="AP20" i="15"/>
  <c r="AN20" i="15"/>
  <c r="AJ20" i="15"/>
  <c r="AI20" i="15"/>
  <c r="AL20" i="15" s="1"/>
  <c r="AE20" i="15"/>
  <c r="Y20" i="15"/>
  <c r="V20" i="15"/>
  <c r="T20" i="15"/>
  <c r="R20" i="15"/>
  <c r="J20" i="15"/>
  <c r="BL19" i="15"/>
  <c r="BJ19" i="15"/>
  <c r="BF19" i="15"/>
  <c r="BE19" i="15"/>
  <c r="BE25" i="15" s="1"/>
  <c r="BA19" i="15"/>
  <c r="AY19" i="15"/>
  <c r="AU19" i="15"/>
  <c r="AW19" i="15" s="1"/>
  <c r="AT19" i="15"/>
  <c r="AT25" i="15" s="1"/>
  <c r="AN19" i="15"/>
  <c r="AN25" i="15" s="1"/>
  <c r="AL19" i="15"/>
  <c r="AJ19" i="15"/>
  <c r="AI19" i="15"/>
  <c r="AA19" i="15"/>
  <c r="Y19" i="15"/>
  <c r="T19" i="15"/>
  <c r="R19" i="15"/>
  <c r="P19" i="15"/>
  <c r="P25" i="15" s="1"/>
  <c r="R25" i="15" s="1"/>
  <c r="O19" i="15"/>
  <c r="O25" i="15" s="1"/>
  <c r="J19" i="15"/>
  <c r="BF17" i="15"/>
  <c r="BE17" i="15"/>
  <c r="AU17" i="15"/>
  <c r="AW17" i="15" s="1"/>
  <c r="AT17" i="15"/>
  <c r="AN17" i="15"/>
  <c r="AL17" i="15"/>
  <c r="AP17" i="15" s="1"/>
  <c r="AJ17" i="15"/>
  <c r="AI17" i="15"/>
  <c r="AC17" i="15"/>
  <c r="AA17" i="15"/>
  <c r="Y17" i="15"/>
  <c r="X17" i="15"/>
  <c r="T17" i="15"/>
  <c r="V17" i="15" s="1"/>
  <c r="J17" i="15"/>
  <c r="BL16" i="15"/>
  <c r="BJ16" i="15"/>
  <c r="BJ17" i="15" s="1"/>
  <c r="BA16" i="15"/>
  <c r="AY14" i="15"/>
  <c r="AW14" i="15"/>
  <c r="BL13" i="15"/>
  <c r="BL17" i="15" s="1"/>
  <c r="BH13" i="15"/>
  <c r="BA13" i="15"/>
  <c r="AY13" i="15"/>
  <c r="AW13" i="15"/>
  <c r="AN13" i="15"/>
  <c r="AL13" i="15"/>
  <c r="AP13" i="15" s="1"/>
  <c r="AA13" i="15"/>
  <c r="V13" i="15"/>
  <c r="J13" i="15"/>
  <c r="M13" i="15" s="1"/>
  <c r="F13" i="15"/>
  <c r="F17" i="15" s="1"/>
  <c r="BL12" i="15"/>
  <c r="BJ12" i="15"/>
  <c r="BF12" i="15"/>
  <c r="BH12" i="15" s="1"/>
  <c r="BE12" i="15"/>
  <c r="BA12" i="15"/>
  <c r="BA17" i="15" s="1"/>
  <c r="AY12" i="15"/>
  <c r="AY17" i="15" s="1"/>
  <c r="AW12" i="15"/>
  <c r="AU12" i="15"/>
  <c r="AT12" i="15"/>
  <c r="AN12" i="15"/>
  <c r="AL12" i="15"/>
  <c r="AP12" i="15" s="1"/>
  <c r="AE12" i="15"/>
  <c r="AA12" i="15"/>
  <c r="V12" i="15"/>
  <c r="T12" i="15"/>
  <c r="O12" i="15"/>
  <c r="O17" i="15" s="1"/>
  <c r="L12" i="15"/>
  <c r="L17" i="15" s="1"/>
  <c r="M17" i="15" s="1"/>
  <c r="J12" i="15"/>
  <c r="AK80" i="25"/>
  <c r="AJ80" i="25"/>
  <c r="AG80" i="25"/>
  <c r="AF80" i="25"/>
  <c r="AC80" i="25"/>
  <c r="AB80" i="25"/>
  <c r="Y80" i="25"/>
  <c r="V80" i="25"/>
  <c r="S80" i="25"/>
  <c r="P80" i="25"/>
  <c r="M80" i="25"/>
  <c r="J80" i="25"/>
  <c r="I80" i="25"/>
  <c r="G80" i="25"/>
  <c r="AK78" i="25"/>
  <c r="AJ78" i="25"/>
  <c r="AG78" i="25"/>
  <c r="AF78" i="25"/>
  <c r="AC78" i="25"/>
  <c r="AB78" i="25"/>
  <c r="Y78" i="25"/>
  <c r="V78" i="25"/>
  <c r="S78" i="25"/>
  <c r="P78" i="25"/>
  <c r="M78" i="25"/>
  <c r="J78" i="25"/>
  <c r="I78" i="25"/>
  <c r="G78" i="25"/>
  <c r="AK77" i="25"/>
  <c r="AG77" i="25"/>
  <c r="AG81" i="25" s="1"/>
  <c r="AG83" i="25" s="1"/>
  <c r="AC77" i="25"/>
  <c r="S77" i="25"/>
  <c r="P77" i="25"/>
  <c r="J77" i="25"/>
  <c r="G77" i="25"/>
  <c r="K74" i="25"/>
  <c r="N74" i="25" s="1"/>
  <c r="Q74" i="25" s="1"/>
  <c r="T74" i="25" s="1"/>
  <c r="W74" i="25" s="1"/>
  <c r="Z74" i="25" s="1"/>
  <c r="K73" i="25"/>
  <c r="N73" i="25" s="1"/>
  <c r="Q73" i="25" s="1"/>
  <c r="T73" i="25" s="1"/>
  <c r="W73" i="25" s="1"/>
  <c r="Z73" i="25" s="1"/>
  <c r="K72" i="25"/>
  <c r="N72" i="25" s="1"/>
  <c r="Q72" i="25" s="1"/>
  <c r="T72" i="25" s="1"/>
  <c r="W72" i="25" s="1"/>
  <c r="Z72" i="25" s="1"/>
  <c r="M71" i="25"/>
  <c r="I71" i="25"/>
  <c r="K71" i="25" s="1"/>
  <c r="K68" i="25"/>
  <c r="K66" i="25"/>
  <c r="N66" i="25" s="1"/>
  <c r="Q66" i="25" s="1"/>
  <c r="T66" i="25" s="1"/>
  <c r="W66" i="25" s="1"/>
  <c r="Z66" i="25" s="1"/>
  <c r="K65" i="25"/>
  <c r="N65" i="25" s="1"/>
  <c r="Q65" i="25" s="1"/>
  <c r="T65" i="25" s="1"/>
  <c r="W65" i="25" s="1"/>
  <c r="Z65" i="25" s="1"/>
  <c r="AJ64" i="25"/>
  <c r="AF64" i="25"/>
  <c r="AB64" i="25"/>
  <c r="AF63" i="25"/>
  <c r="AB63" i="25"/>
  <c r="K63" i="25"/>
  <c r="N63" i="25" s="1"/>
  <c r="Q63" i="25" s="1"/>
  <c r="T63" i="25" s="1"/>
  <c r="W63" i="25" s="1"/>
  <c r="Z63" i="25" s="1"/>
  <c r="AJ62" i="25"/>
  <c r="AF62" i="25"/>
  <c r="AB62" i="25"/>
  <c r="AB61" i="25" s="1"/>
  <c r="K62" i="25"/>
  <c r="N62" i="25" s="1"/>
  <c r="Q62" i="25" s="1"/>
  <c r="T62" i="25" s="1"/>
  <c r="W62" i="25" s="1"/>
  <c r="Z62" i="25" s="1"/>
  <c r="K61" i="25"/>
  <c r="N61" i="25" s="1"/>
  <c r="Q61" i="25" s="1"/>
  <c r="T61" i="25" s="1"/>
  <c r="W61" i="25" s="1"/>
  <c r="Z61" i="25" s="1"/>
  <c r="AJ60" i="25"/>
  <c r="P60" i="25"/>
  <c r="K60" i="25"/>
  <c r="N60" i="25" s="1"/>
  <c r="AE59" i="25"/>
  <c r="AE58" i="25"/>
  <c r="AE57" i="25"/>
  <c r="AE56" i="25"/>
  <c r="AE55" i="25"/>
  <c r="AJ54" i="25"/>
  <c r="AF54" i="25"/>
  <c r="AB54" i="25"/>
  <c r="Y54" i="25"/>
  <c r="V54" i="25"/>
  <c r="M54" i="25"/>
  <c r="I54" i="25"/>
  <c r="K54" i="25" s="1"/>
  <c r="K52" i="25"/>
  <c r="N52" i="25" s="1"/>
  <c r="Q52" i="25" s="1"/>
  <c r="T52" i="25" s="1"/>
  <c r="W52" i="25" s="1"/>
  <c r="Z52" i="25" s="1"/>
  <c r="K51" i="25"/>
  <c r="N51" i="25" s="1"/>
  <c r="Q51" i="25" s="1"/>
  <c r="T51" i="25" s="1"/>
  <c r="W51" i="25" s="1"/>
  <c r="Z51" i="25" s="1"/>
  <c r="K50" i="25"/>
  <c r="N50" i="25" s="1"/>
  <c r="Q50" i="25" s="1"/>
  <c r="T50" i="25" s="1"/>
  <c r="W50" i="25" s="1"/>
  <c r="Z50" i="25" s="1"/>
  <c r="K49" i="25"/>
  <c r="N49" i="25" s="1"/>
  <c r="Q49" i="25" s="1"/>
  <c r="T49" i="25" s="1"/>
  <c r="W49" i="25" s="1"/>
  <c r="Z49" i="25" s="1"/>
  <c r="K48" i="25"/>
  <c r="N48" i="25" s="1"/>
  <c r="Q48" i="25" s="1"/>
  <c r="T48" i="25" s="1"/>
  <c r="W48" i="25" s="1"/>
  <c r="Z48" i="25" s="1"/>
  <c r="K47" i="25"/>
  <c r="N47" i="25" s="1"/>
  <c r="Q47" i="25" s="1"/>
  <c r="T47" i="25" s="1"/>
  <c r="W47" i="25" s="1"/>
  <c r="Z47" i="25" s="1"/>
  <c r="K46" i="25"/>
  <c r="N46" i="25" s="1"/>
  <c r="K44" i="25"/>
  <c r="N44" i="25" s="1"/>
  <c r="Q44" i="25" s="1"/>
  <c r="T44" i="25" s="1"/>
  <c r="W44" i="25" s="1"/>
  <c r="Z44" i="25" s="1"/>
  <c r="K43" i="25"/>
  <c r="N43" i="25" s="1"/>
  <c r="Q43" i="25" s="1"/>
  <c r="T43" i="25" s="1"/>
  <c r="W43" i="25" s="1"/>
  <c r="Z43" i="25" s="1"/>
  <c r="K42" i="25"/>
  <c r="N42" i="25" s="1"/>
  <c r="Q42" i="25" s="1"/>
  <c r="T42" i="25" s="1"/>
  <c r="W42" i="25" s="1"/>
  <c r="Z42" i="25" s="1"/>
  <c r="K40" i="25"/>
  <c r="N40" i="25" s="1"/>
  <c r="Q40" i="25" s="1"/>
  <c r="T40" i="25" s="1"/>
  <c r="W40" i="25" s="1"/>
  <c r="Z40" i="25" s="1"/>
  <c r="AJ39" i="25"/>
  <c r="AJ63" i="25" s="1"/>
  <c r="K39" i="25"/>
  <c r="N39" i="25" s="1"/>
  <c r="Q39" i="25" s="1"/>
  <c r="T39" i="25" s="1"/>
  <c r="W39" i="25" s="1"/>
  <c r="Z39" i="25" s="1"/>
  <c r="AF37" i="25"/>
  <c r="AB37" i="25"/>
  <c r="K37" i="25"/>
  <c r="N37" i="25" s="1"/>
  <c r="Q37" i="25" s="1"/>
  <c r="T37" i="25" s="1"/>
  <c r="W37" i="25" s="1"/>
  <c r="Z37" i="25" s="1"/>
  <c r="AJ36" i="25"/>
  <c r="AF36" i="25"/>
  <c r="AF60" i="25" s="1"/>
  <c r="AB36" i="25"/>
  <c r="AB30" i="25" s="1"/>
  <c r="AB77" i="25" s="1"/>
  <c r="AJ30" i="25"/>
  <c r="Y30" i="25"/>
  <c r="Y77" i="25" s="1"/>
  <c r="V30" i="25"/>
  <c r="V77" i="25" s="1"/>
  <c r="M30" i="25"/>
  <c r="M77" i="25" s="1"/>
  <c r="I30" i="25"/>
  <c r="I77" i="25" s="1"/>
  <c r="AK26" i="25"/>
  <c r="K26" i="25"/>
  <c r="N26" i="25" s="1"/>
  <c r="N68" i="25" s="1"/>
  <c r="N80" i="25" s="1"/>
  <c r="AK25" i="25"/>
  <c r="AK79" i="25" s="1"/>
  <c r="AJ25" i="25"/>
  <c r="AG25" i="25"/>
  <c r="AG79" i="25" s="1"/>
  <c r="AF25" i="25"/>
  <c r="AC25" i="25"/>
  <c r="AC79" i="25" s="1"/>
  <c r="Y25" i="25"/>
  <c r="V25" i="25"/>
  <c r="V79" i="25" s="1"/>
  <c r="S25" i="25"/>
  <c r="S79" i="25" s="1"/>
  <c r="S81" i="25" s="1"/>
  <c r="P25" i="25"/>
  <c r="M25" i="25"/>
  <c r="J25" i="25"/>
  <c r="J79" i="25" s="1"/>
  <c r="I25" i="25"/>
  <c r="I79" i="25" s="1"/>
  <c r="G25" i="25"/>
  <c r="G79" i="25" s="1"/>
  <c r="K24" i="25"/>
  <c r="N24" i="25" s="1"/>
  <c r="Q24" i="25" s="1"/>
  <c r="T24" i="25" s="1"/>
  <c r="W24" i="25" s="1"/>
  <c r="Z24" i="25" s="1"/>
  <c r="AB23" i="25"/>
  <c r="K23" i="25"/>
  <c r="N23" i="25" s="1"/>
  <c r="Q23" i="25" s="1"/>
  <c r="T23" i="25" s="1"/>
  <c r="W23" i="25" s="1"/>
  <c r="Z23" i="25" s="1"/>
  <c r="AB22" i="25"/>
  <c r="K22" i="25"/>
  <c r="N22" i="25" s="1"/>
  <c r="AF21" i="25"/>
  <c r="Y21" i="25"/>
  <c r="AB21" i="25" s="1"/>
  <c r="V21" i="25"/>
  <c r="W21" i="25" s="1"/>
  <c r="K21" i="25"/>
  <c r="N21" i="25" s="1"/>
  <c r="Q21" i="25" s="1"/>
  <c r="T21" i="25" s="1"/>
  <c r="AJ18" i="25"/>
  <c r="AF18" i="25"/>
  <c r="Y18" i="25"/>
  <c r="AB18" i="25" s="1"/>
  <c r="V18" i="25"/>
  <c r="S18" i="25"/>
  <c r="P18" i="25"/>
  <c r="M18" i="25"/>
  <c r="M19" i="25" s="1"/>
  <c r="I18" i="25"/>
  <c r="K18" i="25" s="1"/>
  <c r="Y17" i="25"/>
  <c r="AB17" i="25" s="1"/>
  <c r="V17" i="25"/>
  <c r="K17" i="25"/>
  <c r="AJ16" i="25"/>
  <c r="AF16" i="25"/>
  <c r="AF19" i="25" s="1"/>
  <c r="Y16" i="25"/>
  <c r="AB16" i="25" s="1"/>
  <c r="V16" i="25"/>
  <c r="S16" i="25"/>
  <c r="P16" i="25"/>
  <c r="P19" i="25" s="1"/>
  <c r="M16" i="25"/>
  <c r="I16" i="25"/>
  <c r="I19" i="25" s="1"/>
  <c r="K19" i="25" s="1"/>
  <c r="AD15" i="25"/>
  <c r="Y14" i="25"/>
  <c r="S14" i="25"/>
  <c r="P14" i="25"/>
  <c r="P12" i="25" s="1"/>
  <c r="M14" i="25"/>
  <c r="M12" i="25" s="1"/>
  <c r="K14" i="25"/>
  <c r="I14" i="25"/>
  <c r="I12" i="25" s="1"/>
  <c r="K12" i="25" s="1"/>
  <c r="AB13" i="25"/>
  <c r="K13" i="25"/>
  <c r="N13" i="25" s="1"/>
  <c r="Q13" i="25" s="1"/>
  <c r="T13" i="25" s="1"/>
  <c r="W13" i="25" s="1"/>
  <c r="Z13" i="25" s="1"/>
  <c r="AJ12" i="25"/>
  <c r="AJ14" i="25" s="1"/>
  <c r="AF12" i="25"/>
  <c r="AF14" i="25" s="1"/>
  <c r="Y12" i="25"/>
  <c r="AB12" i="25" s="1"/>
  <c r="AB14" i="25" s="1"/>
  <c r="V12" i="25"/>
  <c r="AH11" i="25"/>
  <c r="AD11" i="25"/>
  <c r="M2" i="25"/>
  <c r="BF84" i="21"/>
  <c r="BF83" i="21"/>
  <c r="BF82" i="21"/>
  <c r="BF81" i="21"/>
  <c r="BF80" i="21"/>
  <c r="BF79" i="21"/>
  <c r="BF27" i="21"/>
  <c r="BF26" i="21"/>
  <c r="BF25" i="21"/>
  <c r="BD13" i="21"/>
  <c r="BF14" i="21"/>
  <c r="BD15" i="21"/>
  <c r="BD18" i="21"/>
  <c r="BD22" i="21" s="1"/>
  <c r="BD77" i="21"/>
  <c r="BD98" i="21"/>
  <c r="BD99" i="21"/>
  <c r="BF99" i="21"/>
  <c r="BD101" i="21"/>
  <c r="BF101" i="21"/>
  <c r="BD104" i="21"/>
  <c r="BD107" i="21" s="1"/>
  <c r="BD105" i="21"/>
  <c r="BD106" i="21" s="1"/>
  <c r="AF114" i="37" l="1"/>
  <c r="AF112" i="37"/>
  <c r="AF117" i="37"/>
  <c r="AI41" i="37"/>
  <c r="AH107" i="37"/>
  <c r="AH111" i="37" s="1"/>
  <c r="AH113" i="37"/>
  <c r="AH115" i="37" s="1"/>
  <c r="AH42" i="37"/>
  <c r="AI42" i="37" s="1"/>
  <c r="BD112" i="57"/>
  <c r="BD105" i="57"/>
  <c r="AN111" i="57"/>
  <c r="AN104" i="57"/>
  <c r="AN102" i="57"/>
  <c r="AN108" i="57"/>
  <c r="AN109" i="57" s="1"/>
  <c r="AN107" i="57"/>
  <c r="BD97" i="57"/>
  <c r="BD101" i="57" s="1"/>
  <c r="BJ103" i="57"/>
  <c r="BJ97" i="57"/>
  <c r="BJ101" i="57" s="1"/>
  <c r="AY87" i="15"/>
  <c r="V19" i="15"/>
  <c r="V25" i="15" s="1"/>
  <c r="V42" i="15"/>
  <c r="AA42" i="15" s="1"/>
  <c r="Y42" i="15" s="1"/>
  <c r="BL77" i="15"/>
  <c r="BL81" i="15" s="1"/>
  <c r="AY82" i="15"/>
  <c r="AA36" i="15"/>
  <c r="Y36" i="15" s="1"/>
  <c r="V83" i="15"/>
  <c r="V85" i="15" s="1"/>
  <c r="BA83" i="15"/>
  <c r="BA77" i="15"/>
  <c r="BA81" i="15" s="1"/>
  <c r="BJ81" i="15"/>
  <c r="J39" i="15"/>
  <c r="H77" i="15"/>
  <c r="H81" i="15" s="1"/>
  <c r="AJ72" i="15"/>
  <c r="F81" i="15"/>
  <c r="F82" i="15" s="1"/>
  <c r="BH17" i="15"/>
  <c r="AA20" i="15"/>
  <c r="Y25" i="15"/>
  <c r="AA25" i="15" s="1"/>
  <c r="AN81" i="15"/>
  <c r="BE72" i="15"/>
  <c r="BH41" i="15"/>
  <c r="T83" i="15"/>
  <c r="T85" i="15" s="1"/>
  <c r="R41" i="15"/>
  <c r="R38" i="15"/>
  <c r="R44" i="15"/>
  <c r="O87" i="15"/>
  <c r="O84" i="15"/>
  <c r="O82" i="15"/>
  <c r="T87" i="15"/>
  <c r="T84" i="15"/>
  <c r="T82" i="15"/>
  <c r="AI81" i="15"/>
  <c r="AP37" i="15"/>
  <c r="AP36" i="15"/>
  <c r="AL42" i="15"/>
  <c r="BF25" i="15"/>
  <c r="BH25" i="15" s="1"/>
  <c r="BH19" i="15"/>
  <c r="M79" i="15"/>
  <c r="M81" i="15" s="1"/>
  <c r="M82" i="15" s="1"/>
  <c r="L87" i="15"/>
  <c r="L88" i="15"/>
  <c r="L89" i="15" s="1"/>
  <c r="AT83" i="15"/>
  <c r="AT85" i="15" s="1"/>
  <c r="AT77" i="15"/>
  <c r="AT81" i="15" s="1"/>
  <c r="AY83" i="15"/>
  <c r="AY85" i="15" s="1"/>
  <c r="BE39" i="15"/>
  <c r="BE77" i="15" s="1"/>
  <c r="BE81" i="15" s="1"/>
  <c r="X81" i="15"/>
  <c r="BL25" i="15"/>
  <c r="BE73" i="15"/>
  <c r="BH44" i="15"/>
  <c r="V79" i="15"/>
  <c r="AA59" i="15"/>
  <c r="Y59" i="15" s="1"/>
  <c r="Y79" i="15" s="1"/>
  <c r="AP19" i="15"/>
  <c r="AP25" i="15" s="1"/>
  <c r="BJ25" i="15"/>
  <c r="AL25" i="15"/>
  <c r="AU88" i="15"/>
  <c r="AU89" i="15" s="1"/>
  <c r="AU87" i="15"/>
  <c r="AU84" i="15"/>
  <c r="AU82" i="15"/>
  <c r="AW36" i="15"/>
  <c r="AU25" i="15"/>
  <c r="AW25" i="15" s="1"/>
  <c r="BH36" i="15"/>
  <c r="AP40" i="15"/>
  <c r="BE42" i="15"/>
  <c r="BH42" i="15" s="1"/>
  <c r="AJ77" i="15"/>
  <c r="AJ81" i="15" s="1"/>
  <c r="BF77" i="15"/>
  <c r="BF81" i="15" s="1"/>
  <c r="AE79" i="15"/>
  <c r="AJ83" i="15"/>
  <c r="AJ85" i="15" s="1"/>
  <c r="AE45" i="15"/>
  <c r="AE83" i="15" s="1"/>
  <c r="AE85" i="15" s="1"/>
  <c r="I77" i="15"/>
  <c r="I81" i="15" s="1"/>
  <c r="I82" i="15" s="1"/>
  <c r="AC77" i="15"/>
  <c r="AC81" i="15" s="1"/>
  <c r="AE77" i="15"/>
  <c r="M12" i="15"/>
  <c r="M79" i="25"/>
  <c r="M81" i="25" s="1"/>
  <c r="AF30" i="25"/>
  <c r="AF77" i="25" s="1"/>
  <c r="Y79" i="25"/>
  <c r="Y81" i="25" s="1"/>
  <c r="AF61" i="25"/>
  <c r="AB19" i="25"/>
  <c r="K16" i="25"/>
  <c r="N16" i="25" s="1"/>
  <c r="Q16" i="25" s="1"/>
  <c r="T16" i="25" s="1"/>
  <c r="W16" i="25" s="1"/>
  <c r="Z16" i="25" s="1"/>
  <c r="AJ19" i="25"/>
  <c r="AJ37" i="25"/>
  <c r="AJ77" i="25" s="1"/>
  <c r="AJ81" i="25" s="1"/>
  <c r="N14" i="25"/>
  <c r="N71" i="25"/>
  <c r="Q71" i="25" s="1"/>
  <c r="T71" i="25" s="1"/>
  <c r="W71" i="25" s="1"/>
  <c r="Z71" i="25" s="1"/>
  <c r="AJ61" i="25"/>
  <c r="AJ79" i="25" s="1"/>
  <c r="I81" i="25"/>
  <c r="I82" i="25" s="1"/>
  <c r="N18" i="25"/>
  <c r="Q18" i="25" s="1"/>
  <c r="T18" i="25" s="1"/>
  <c r="W18" i="25" s="1"/>
  <c r="Z18" i="25" s="1"/>
  <c r="AB25" i="25"/>
  <c r="AB79" i="25" s="1"/>
  <c r="AB81" i="25" s="1"/>
  <c r="AF79" i="25"/>
  <c r="P79" i="25"/>
  <c r="P81" i="25" s="1"/>
  <c r="AC81" i="25"/>
  <c r="AC82" i="25" s="1"/>
  <c r="AB60" i="25"/>
  <c r="Q22" i="25"/>
  <c r="N25" i="25"/>
  <c r="N12" i="25"/>
  <c r="Q12" i="25" s="1"/>
  <c r="AD20" i="25"/>
  <c r="AH20" i="25" s="1"/>
  <c r="AH15" i="25"/>
  <c r="N19" i="25"/>
  <c r="Q19" i="25" s="1"/>
  <c r="V81" i="25"/>
  <c r="I85" i="25"/>
  <c r="I86" i="25" s="1"/>
  <c r="Q14" i="25"/>
  <c r="T14" i="25" s="1"/>
  <c r="W14" i="25" s="1"/>
  <c r="Z14" i="25" s="1"/>
  <c r="S19" i="25"/>
  <c r="Q46" i="25"/>
  <c r="N78" i="25"/>
  <c r="AK81" i="25"/>
  <c r="I83" i="25"/>
  <c r="S12" i="25"/>
  <c r="S83" i="25" s="1"/>
  <c r="S82" i="25"/>
  <c r="J81" i="25"/>
  <c r="G81" i="25"/>
  <c r="Z21" i="25"/>
  <c r="N54" i="25"/>
  <c r="Q54" i="25" s="1"/>
  <c r="T54" i="25" s="1"/>
  <c r="W54" i="25" s="1"/>
  <c r="Z54" i="25" s="1"/>
  <c r="Q60" i="25"/>
  <c r="T60" i="25" s="1"/>
  <c r="W60" i="25" s="1"/>
  <c r="Z60" i="25" s="1"/>
  <c r="AG82" i="25"/>
  <c r="Q26" i="25"/>
  <c r="K30" i="25"/>
  <c r="N30" i="25" s="1"/>
  <c r="AH112" i="37" l="1"/>
  <c r="AH117" i="37"/>
  <c r="AH114" i="37"/>
  <c r="BD107" i="57"/>
  <c r="BD111" i="57"/>
  <c r="BD104" i="57"/>
  <c r="BD102" i="57"/>
  <c r="BJ111" i="57"/>
  <c r="BJ104" i="57"/>
  <c r="BJ102" i="57"/>
  <c r="BJ107" i="57"/>
  <c r="BJ105" i="57"/>
  <c r="BJ112" i="57"/>
  <c r="BE87" i="15"/>
  <c r="BE82" i="15"/>
  <c r="BE88" i="15"/>
  <c r="BE89" i="15" s="1"/>
  <c r="AE81" i="15"/>
  <c r="AJ87" i="15"/>
  <c r="AJ84" i="15"/>
  <c r="AJ82" i="15"/>
  <c r="AJ88" i="15"/>
  <c r="AJ89" i="15" s="1"/>
  <c r="AT88" i="15"/>
  <c r="AT89" i="15" s="1"/>
  <c r="AT87" i="15"/>
  <c r="AT84" i="15"/>
  <c r="AT82" i="15"/>
  <c r="AP83" i="15"/>
  <c r="AP85" i="15" s="1"/>
  <c r="AN87" i="15"/>
  <c r="AN84" i="15"/>
  <c r="AN82" i="15"/>
  <c r="AN88" i="15"/>
  <c r="AN89" i="15" s="1"/>
  <c r="BJ87" i="15"/>
  <c r="BJ84" i="15"/>
  <c r="BJ82" i="15"/>
  <c r="BJ88" i="15"/>
  <c r="BJ89" i="15" s="1"/>
  <c r="Y83" i="15"/>
  <c r="Y85" i="15" s="1"/>
  <c r="BF87" i="15"/>
  <c r="BF84" i="15"/>
  <c r="BF82" i="15"/>
  <c r="BF88" i="15"/>
  <c r="BF89" i="15" s="1"/>
  <c r="AC88" i="15"/>
  <c r="AC89" i="15" s="1"/>
  <c r="AC87" i="15"/>
  <c r="AC82" i="15"/>
  <c r="AC84" i="15"/>
  <c r="P44" i="15"/>
  <c r="P73" i="15" s="1"/>
  <c r="R73" i="15" s="1"/>
  <c r="V73" i="15" s="1"/>
  <c r="AA73" i="15" s="1"/>
  <c r="Y73" i="15" s="1"/>
  <c r="V44" i="15"/>
  <c r="AA44" i="15" s="1"/>
  <c r="Y44" i="15" s="1"/>
  <c r="AI87" i="15"/>
  <c r="AI84" i="15"/>
  <c r="AI82" i="15"/>
  <c r="AI88" i="15"/>
  <c r="AI89" i="15" s="1"/>
  <c r="P38" i="15"/>
  <c r="V38" i="15"/>
  <c r="BL87" i="15"/>
  <c r="BL84" i="15"/>
  <c r="BL82" i="15"/>
  <c r="BL88" i="15"/>
  <c r="BL89" i="15" s="1"/>
  <c r="AP43" i="15"/>
  <c r="AP42" i="15"/>
  <c r="AP77" i="15" s="1"/>
  <c r="AP81" i="15" s="1"/>
  <c r="BH39" i="15"/>
  <c r="P41" i="15"/>
  <c r="P72" i="15" s="1"/>
  <c r="R72" i="15" s="1"/>
  <c r="V72" i="15" s="1"/>
  <c r="AA72" i="15" s="1"/>
  <c r="Y72" i="15" s="1"/>
  <c r="V41" i="15"/>
  <c r="AA41" i="15" s="1"/>
  <c r="Y41" i="15" s="1"/>
  <c r="BA88" i="15"/>
  <c r="BA89" i="15" s="1"/>
  <c r="BA87" i="15"/>
  <c r="BA84" i="15"/>
  <c r="BA82" i="15"/>
  <c r="BE83" i="15"/>
  <c r="BE85" i="15" s="1"/>
  <c r="AY84" i="15"/>
  <c r="X88" i="15"/>
  <c r="X89" i="15" s="1"/>
  <c r="X87" i="15"/>
  <c r="X84" i="15"/>
  <c r="X82" i="15"/>
  <c r="BA85" i="15"/>
  <c r="H87" i="15"/>
  <c r="H88" i="15"/>
  <c r="H89" i="15" s="1"/>
  <c r="H82" i="15"/>
  <c r="Y82" i="25"/>
  <c r="Y83" i="25"/>
  <c r="P85" i="25"/>
  <c r="P86" i="25" s="1"/>
  <c r="P83" i="25"/>
  <c r="P82" i="25"/>
  <c r="AC83" i="25"/>
  <c r="AF81" i="25"/>
  <c r="T46" i="25"/>
  <c r="Q78" i="25"/>
  <c r="Q25" i="25"/>
  <c r="Q79" i="25" s="1"/>
  <c r="T22" i="25"/>
  <c r="G83" i="25"/>
  <c r="G82" i="25"/>
  <c r="G85" i="25"/>
  <c r="G86" i="25" s="1"/>
  <c r="T19" i="25"/>
  <c r="W19" i="25" s="1"/>
  <c r="Z19" i="25" s="1"/>
  <c r="N79" i="25"/>
  <c r="N77" i="25"/>
  <c r="Q30" i="25"/>
  <c r="J82" i="25"/>
  <c r="J85" i="25"/>
  <c r="J86" i="25" s="1"/>
  <c r="J83" i="25"/>
  <c r="M82" i="25"/>
  <c r="M85" i="25"/>
  <c r="M86" i="25" s="1"/>
  <c r="M83" i="25"/>
  <c r="T12" i="25"/>
  <c r="W12" i="25" s="1"/>
  <c r="Z12" i="25" s="1"/>
  <c r="Q68" i="25"/>
  <c r="Q80" i="25" s="1"/>
  <c r="T26" i="25"/>
  <c r="AJ83" i="25"/>
  <c r="AJ82" i="25"/>
  <c r="AK82" i="25"/>
  <c r="AK83" i="25"/>
  <c r="V82" i="25"/>
  <c r="V83" i="25"/>
  <c r="AB83" i="25"/>
  <c r="AB82" i="25"/>
  <c r="AP87" i="15" l="1"/>
  <c r="AP84" i="15"/>
  <c r="AP82" i="15"/>
  <c r="AP88" i="15"/>
  <c r="AP89" i="15" s="1"/>
  <c r="P71" i="15"/>
  <c r="R71" i="15" s="1"/>
  <c r="V71" i="15" s="1"/>
  <c r="AA71" i="15" s="1"/>
  <c r="Y71" i="15" s="1"/>
  <c r="P77" i="15"/>
  <c r="P81" i="15" s="1"/>
  <c r="AE88" i="15"/>
  <c r="AE89" i="15" s="1"/>
  <c r="AE87" i="15"/>
  <c r="AE84" i="15"/>
  <c r="AE82" i="15"/>
  <c r="BE84" i="15"/>
  <c r="AA38" i="15"/>
  <c r="Y38" i="15" s="1"/>
  <c r="Y77" i="15" s="1"/>
  <c r="Y81" i="15" s="1"/>
  <c r="V77" i="15"/>
  <c r="V81" i="15" s="1"/>
  <c r="N81" i="25"/>
  <c r="AF83" i="25"/>
  <c r="AF82" i="25"/>
  <c r="T68" i="25"/>
  <c r="T80" i="25" s="1"/>
  <c r="W26" i="25"/>
  <c r="T25" i="25"/>
  <c r="T79" i="25" s="1"/>
  <c r="W22" i="25"/>
  <c r="Q77" i="25"/>
  <c r="Q81" i="25" s="1"/>
  <c r="T30" i="25"/>
  <c r="N82" i="25"/>
  <c r="N85" i="25"/>
  <c r="N86" i="25" s="1"/>
  <c r="N83" i="25"/>
  <c r="T78" i="25"/>
  <c r="W46" i="25"/>
  <c r="P84" i="15" l="1"/>
  <c r="P82" i="15"/>
  <c r="Y88" i="15"/>
  <c r="Y89" i="15" s="1"/>
  <c r="Y87" i="15"/>
  <c r="Y84" i="15"/>
  <c r="Y82" i="15"/>
  <c r="V84" i="15"/>
  <c r="V82" i="15"/>
  <c r="T77" i="25"/>
  <c r="T81" i="25" s="1"/>
  <c r="W30" i="25"/>
  <c r="Q83" i="25"/>
  <c r="Q82" i="25"/>
  <c r="Q85" i="25"/>
  <c r="Q86" i="25" s="1"/>
  <c r="W25" i="25"/>
  <c r="W79" i="25" s="1"/>
  <c r="Z22" i="25"/>
  <c r="Z25" i="25" s="1"/>
  <c r="Z79" i="25" s="1"/>
  <c r="W78" i="25"/>
  <c r="Z46" i="25"/>
  <c r="Z78" i="25" s="1"/>
  <c r="W68" i="25"/>
  <c r="W80" i="25" s="1"/>
  <c r="Z26" i="25"/>
  <c r="Z68" i="25" l="1"/>
  <c r="Z80" i="25" s="1"/>
  <c r="AC26" i="25"/>
  <c r="AG26" i="25" s="1"/>
  <c r="W77" i="25"/>
  <c r="W81" i="25" s="1"/>
  <c r="Z30" i="25"/>
  <c r="Z77" i="25" s="1"/>
  <c r="Z81" i="25" s="1"/>
  <c r="T83" i="25"/>
  <c r="T82" i="25"/>
  <c r="W82" i="25" l="1"/>
  <c r="W83" i="25"/>
  <c r="Z82" i="25"/>
  <c r="Z83" i="25"/>
  <c r="AW88" i="28" l="1"/>
  <c r="AS88" i="28"/>
  <c r="AL88" i="28"/>
  <c r="AL90" i="28" s="1"/>
  <c r="AH88" i="28"/>
  <c r="AC88" i="28"/>
  <c r="X88" i="28"/>
  <c r="X90" i="28" s="1"/>
  <c r="T88" i="28"/>
  <c r="T90" i="28" s="1"/>
  <c r="O88" i="28"/>
  <c r="L88" i="28"/>
  <c r="I88" i="28"/>
  <c r="H88" i="28"/>
  <c r="F88" i="28"/>
  <c r="BJ85" i="28"/>
  <c r="BH85" i="28"/>
  <c r="BD85" i="28"/>
  <c r="BC85" i="28"/>
  <c r="AY85" i="28"/>
  <c r="AW85" i="28"/>
  <c r="AS85" i="28"/>
  <c r="AR85" i="28"/>
  <c r="AN85" i="28"/>
  <c r="AL85" i="28"/>
  <c r="AH85" i="28"/>
  <c r="AG85" i="28"/>
  <c r="AE85" i="28"/>
  <c r="AC85" i="28"/>
  <c r="Y85" i="28"/>
  <c r="X85" i="28"/>
  <c r="V85" i="28"/>
  <c r="T85" i="28"/>
  <c r="P85" i="28"/>
  <c r="O85" i="28"/>
  <c r="L85" i="28"/>
  <c r="I85" i="28"/>
  <c r="H85" i="28"/>
  <c r="F85" i="28"/>
  <c r="BJ84" i="28"/>
  <c r="BH84" i="28"/>
  <c r="BD84" i="28"/>
  <c r="BC84" i="28"/>
  <c r="AY84" i="28"/>
  <c r="AW84" i="28"/>
  <c r="AS84" i="28"/>
  <c r="AR84" i="28"/>
  <c r="AN84" i="28"/>
  <c r="AL84" i="28"/>
  <c r="AH84" i="28"/>
  <c r="AG84" i="28"/>
  <c r="AE84" i="28"/>
  <c r="AC84" i="28"/>
  <c r="Y84" i="28"/>
  <c r="X84" i="28"/>
  <c r="V84" i="28"/>
  <c r="T84" i="28"/>
  <c r="P84" i="28"/>
  <c r="O84" i="28"/>
  <c r="BJ83" i="28"/>
  <c r="BH83" i="28"/>
  <c r="BD83" i="28"/>
  <c r="BC83" i="28"/>
  <c r="AY83" i="28"/>
  <c r="AW83" i="28"/>
  <c r="AS83" i="28"/>
  <c r="AR83" i="28"/>
  <c r="AN83" i="28"/>
  <c r="AL83" i="28"/>
  <c r="AH83" i="28"/>
  <c r="AG83" i="28"/>
  <c r="AE83" i="28"/>
  <c r="AC83" i="28"/>
  <c r="Y83" i="28"/>
  <c r="X83" i="28"/>
  <c r="V83" i="28"/>
  <c r="T83" i="28"/>
  <c r="P83" i="28"/>
  <c r="O83" i="28"/>
  <c r="L83" i="28"/>
  <c r="I83" i="28"/>
  <c r="H83" i="28"/>
  <c r="F83" i="28"/>
  <c r="BH82" i="28"/>
  <c r="BH86" i="28" s="1"/>
  <c r="BD82" i="28"/>
  <c r="BD86" i="28" s="1"/>
  <c r="BC82" i="28"/>
  <c r="AW82" i="28"/>
  <c r="AW86" i="28" s="1"/>
  <c r="AW89" i="28" s="1"/>
  <c r="AS82" i="28"/>
  <c r="AS86" i="28" s="1"/>
  <c r="AR82" i="28"/>
  <c r="AR86" i="28" s="1"/>
  <c r="AN82" i="28"/>
  <c r="AN86" i="28" s="1"/>
  <c r="AL82" i="28"/>
  <c r="AL86" i="28" s="1"/>
  <c r="AH82" i="28"/>
  <c r="AH86" i="28" s="1"/>
  <c r="AC82" i="28"/>
  <c r="AC86" i="28" s="1"/>
  <c r="AC89" i="28" s="1"/>
  <c r="X82" i="28"/>
  <c r="X86" i="28" s="1"/>
  <c r="T82" i="28"/>
  <c r="T86" i="28" s="1"/>
  <c r="O82" i="28"/>
  <c r="O86" i="28" s="1"/>
  <c r="L82" i="28"/>
  <c r="I82" i="28"/>
  <c r="H82" i="28"/>
  <c r="J68" i="28"/>
  <c r="M68" i="28" s="1"/>
  <c r="J67" i="28"/>
  <c r="M67" i="28" s="1"/>
  <c r="J66" i="28"/>
  <c r="M66" i="28" s="1"/>
  <c r="AC65" i="28"/>
  <c r="X65" i="28"/>
  <c r="T65" i="28"/>
  <c r="O65" i="28"/>
  <c r="L65" i="28"/>
  <c r="I65" i="28"/>
  <c r="H65" i="28"/>
  <c r="J65" i="28" s="1"/>
  <c r="J61" i="28"/>
  <c r="J59" i="28"/>
  <c r="M59" i="28" s="1"/>
  <c r="J58" i="28"/>
  <c r="M58" i="28" s="1"/>
  <c r="J56" i="28"/>
  <c r="M56" i="28" s="1"/>
  <c r="J55" i="28"/>
  <c r="M55" i="28" s="1"/>
  <c r="J54" i="28"/>
  <c r="M54" i="28" s="1"/>
  <c r="J53" i="28"/>
  <c r="M53" i="28" s="1"/>
  <c r="J52" i="28"/>
  <c r="M52" i="28" s="1"/>
  <c r="J50" i="28"/>
  <c r="M50" i="28" s="1"/>
  <c r="J49" i="28"/>
  <c r="M49" i="28" s="1"/>
  <c r="J48" i="28"/>
  <c r="M48" i="28" s="1"/>
  <c r="M47" i="28"/>
  <c r="J47" i="28"/>
  <c r="J46" i="28"/>
  <c r="M46" i="28" s="1"/>
  <c r="J45" i="28"/>
  <c r="M45" i="28" s="1"/>
  <c r="J44" i="28"/>
  <c r="M44" i="28" s="1"/>
  <c r="J42" i="28"/>
  <c r="M42" i="28" s="1"/>
  <c r="J41" i="28"/>
  <c r="M41" i="28" s="1"/>
  <c r="J40" i="28"/>
  <c r="M40" i="28" s="1"/>
  <c r="Y38" i="28"/>
  <c r="J38" i="28"/>
  <c r="P38" i="28" s="1"/>
  <c r="AG37" i="28"/>
  <c r="AG88" i="28" s="1"/>
  <c r="Y37" i="28"/>
  <c r="Y88" i="28" s="1"/>
  <c r="V37" i="28"/>
  <c r="V88" i="28" s="1"/>
  <c r="J37" i="28"/>
  <c r="P37" i="28" s="1"/>
  <c r="P88" i="28" s="1"/>
  <c r="AG36" i="28"/>
  <c r="Y36" i="28"/>
  <c r="V36" i="28"/>
  <c r="J36" i="28"/>
  <c r="P36" i="28" s="1"/>
  <c r="P65" i="28" s="1"/>
  <c r="BJ35" i="28"/>
  <c r="BJ82" i="28" s="1"/>
  <c r="BJ86" i="28" s="1"/>
  <c r="BF35" i="28"/>
  <c r="AU35" i="28"/>
  <c r="AY35" i="28" s="1"/>
  <c r="AY82" i="28" s="1"/>
  <c r="AY86" i="28" s="1"/>
  <c r="Y35" i="28"/>
  <c r="Y82" i="28" s="1"/>
  <c r="Y86" i="28" s="1"/>
  <c r="J35" i="28"/>
  <c r="P35" i="28" s="1"/>
  <c r="F35" i="28"/>
  <c r="F82" i="28" s="1"/>
  <c r="M29" i="28"/>
  <c r="M61" i="28" s="1"/>
  <c r="M85" i="28" s="1"/>
  <c r="L28" i="28"/>
  <c r="M28" i="28" s="1"/>
  <c r="I28" i="28"/>
  <c r="I84" i="28" s="1"/>
  <c r="H28" i="28"/>
  <c r="H84" i="28" s="1"/>
  <c r="F28" i="28"/>
  <c r="F84" i="28" s="1"/>
  <c r="J27" i="28"/>
  <c r="J26" i="28"/>
  <c r="M26" i="28" s="1"/>
  <c r="BJ25" i="28"/>
  <c r="BF25" i="28"/>
  <c r="AU25" i="28"/>
  <c r="AY25" i="28" s="1"/>
  <c r="AG25" i="28"/>
  <c r="J25" i="28"/>
  <c r="M25" i="28" s="1"/>
  <c r="BJ24" i="28"/>
  <c r="BF24" i="28"/>
  <c r="AU24" i="28"/>
  <c r="AY24" i="28" s="1"/>
  <c r="AG24" i="28"/>
  <c r="J24" i="28"/>
  <c r="M24" i="28" s="1"/>
  <c r="X22" i="28"/>
  <c r="T22" i="28"/>
  <c r="BJ21" i="28"/>
  <c r="BF21" i="28"/>
  <c r="AU21" i="28"/>
  <c r="AY21" i="28" s="1"/>
  <c r="AG21" i="28"/>
  <c r="BJ20" i="28"/>
  <c r="BJ17" i="28" s="1"/>
  <c r="BJ22" i="28" s="1"/>
  <c r="BF20" i="28"/>
  <c r="AY20" i="28"/>
  <c r="AU20" i="28"/>
  <c r="AG20" i="28"/>
  <c r="L20" i="28"/>
  <c r="J20" i="28"/>
  <c r="BJ19" i="28"/>
  <c r="BF19" i="28"/>
  <c r="AU19" i="28"/>
  <c r="AY19" i="28" s="1"/>
  <c r="AG19" i="28"/>
  <c r="BJ18" i="28"/>
  <c r="BF18" i="28"/>
  <c r="AU18" i="28"/>
  <c r="AY18" i="28" s="1"/>
  <c r="AG18" i="28"/>
  <c r="J18" i="28"/>
  <c r="M18" i="28" s="1"/>
  <c r="BH17" i="28"/>
  <c r="BH22" i="28" s="1"/>
  <c r="BD17" i="28"/>
  <c r="BD22" i="28" s="1"/>
  <c r="BC17" i="28"/>
  <c r="BC22" i="28" s="1"/>
  <c r="AW17" i="28"/>
  <c r="AS17" i="28"/>
  <c r="AR17" i="28"/>
  <c r="AR90" i="28" s="1"/>
  <c r="AN17" i="28"/>
  <c r="AN22" i="28" s="1"/>
  <c r="AL17" i="28"/>
  <c r="AL22" i="28" s="1"/>
  <c r="AH17" i="28"/>
  <c r="AH22" i="28" s="1"/>
  <c r="AE17" i="28"/>
  <c r="AE22" i="28" s="1"/>
  <c r="AC17" i="28"/>
  <c r="AC22" i="28" s="1"/>
  <c r="Y17" i="28"/>
  <c r="Y22" i="28" s="1"/>
  <c r="V17" i="28"/>
  <c r="V22" i="28" s="1"/>
  <c r="P17" i="28"/>
  <c r="P22" i="28" s="1"/>
  <c r="O17" i="28"/>
  <c r="O22" i="28" s="1"/>
  <c r="L17" i="28"/>
  <c r="I17" i="28"/>
  <c r="I22" i="28" s="1"/>
  <c r="H17" i="28"/>
  <c r="H22" i="28" s="1"/>
  <c r="J22" i="28" s="1"/>
  <c r="F17" i="28"/>
  <c r="F22" i="28" s="1"/>
  <c r="BH15" i="28"/>
  <c r="BD15" i="28"/>
  <c r="BF15" i="28" s="1"/>
  <c r="BC15" i="28"/>
  <c r="AW15" i="28"/>
  <c r="AS15" i="28"/>
  <c r="AN15" i="28"/>
  <c r="AL15" i="28"/>
  <c r="AH15" i="28"/>
  <c r="AE15" i="28"/>
  <c r="AC15" i="28"/>
  <c r="Y15" i="28"/>
  <c r="X15" i="28"/>
  <c r="V15" i="28"/>
  <c r="T15" i="28"/>
  <c r="P15" i="28"/>
  <c r="O15" i="28"/>
  <c r="L15" i="28"/>
  <c r="J15" i="28"/>
  <c r="I15" i="28"/>
  <c r="H15" i="28"/>
  <c r="F15" i="28"/>
  <c r="BJ13" i="28"/>
  <c r="BF13" i="28"/>
  <c r="AR13" i="28"/>
  <c r="AU13" i="28" s="1"/>
  <c r="AY13" i="28" s="1"/>
  <c r="AG13" i="28"/>
  <c r="J13" i="28"/>
  <c r="M13" i="28" s="1"/>
  <c r="BJ12" i="28"/>
  <c r="BJ15" i="28" s="1"/>
  <c r="BF12" i="28"/>
  <c r="AR12" i="28"/>
  <c r="AU12" i="28" s="1"/>
  <c r="AY12" i="28" s="1"/>
  <c r="AG12" i="28"/>
  <c r="AG15" i="28" s="1"/>
  <c r="J12" i="28"/>
  <c r="M12" i="28" s="1"/>
  <c r="M15" i="28" s="1"/>
  <c r="AG10" i="28"/>
  <c r="O7" i="28"/>
  <c r="T7" i="28" s="1"/>
  <c r="V90" i="28" l="1"/>
  <c r="Y90" i="28"/>
  <c r="AG17" i="28"/>
  <c r="AG22" i="28" s="1"/>
  <c r="AG90" i="28"/>
  <c r="BC86" i="28"/>
  <c r="AC90" i="28"/>
  <c r="BF17" i="28"/>
  <c r="M20" i="28"/>
  <c r="V82" i="28"/>
  <c r="V86" i="28" s="1"/>
  <c r="V92" i="28" s="1"/>
  <c r="F90" i="28"/>
  <c r="AE36" i="28"/>
  <c r="M38" i="28"/>
  <c r="H90" i="28"/>
  <c r="P82" i="28"/>
  <c r="P86" i="28" s="1"/>
  <c r="P87" i="28" s="1"/>
  <c r="AG82" i="28"/>
  <c r="AG86" i="28" s="1"/>
  <c r="AG89" i="28" s="1"/>
  <c r="I90" i="28"/>
  <c r="P90" i="28"/>
  <c r="L90" i="28"/>
  <c r="AW90" i="28"/>
  <c r="AU17" i="28"/>
  <c r="AY17" i="28" s="1"/>
  <c r="M37" i="28"/>
  <c r="M88" i="28" s="1"/>
  <c r="Y65" i="28"/>
  <c r="Y93" i="28" s="1"/>
  <c r="Y94" i="28" s="1"/>
  <c r="O90" i="28"/>
  <c r="T87" i="28"/>
  <c r="T89" i="28"/>
  <c r="T93" i="28"/>
  <c r="T94" i="28" s="1"/>
  <c r="T92" i="28"/>
  <c r="AS92" i="28"/>
  <c r="AS87" i="28"/>
  <c r="AY15" i="28"/>
  <c r="BF22" i="28"/>
  <c r="M84" i="28"/>
  <c r="X93" i="28"/>
  <c r="X94" i="28" s="1"/>
  <c r="X92" i="28"/>
  <c r="X89" i="28"/>
  <c r="X87" i="28"/>
  <c r="BC92" i="28"/>
  <c r="BC87" i="28"/>
  <c r="V89" i="28"/>
  <c r="V87" i="28"/>
  <c r="M83" i="28"/>
  <c r="BD87" i="28"/>
  <c r="BD92" i="28"/>
  <c r="BJ92" i="28"/>
  <c r="BJ87" i="28"/>
  <c r="F86" i="28"/>
  <c r="AE65" i="28"/>
  <c r="AH87" i="28"/>
  <c r="AH92" i="28"/>
  <c r="BH87" i="28"/>
  <c r="BH92" i="28"/>
  <c r="O87" i="28"/>
  <c r="O93" i="28"/>
  <c r="O94" i="28" s="1"/>
  <c r="O92" i="28"/>
  <c r="O89" i="28"/>
  <c r="P89" i="28"/>
  <c r="AG92" i="28"/>
  <c r="AG87" i="28"/>
  <c r="H86" i="28"/>
  <c r="AL87" i="28"/>
  <c r="AL92" i="28"/>
  <c r="AL89" i="28"/>
  <c r="Y92" i="28"/>
  <c r="Y87" i="28"/>
  <c r="Y89" i="28"/>
  <c r="I86" i="28"/>
  <c r="AN92" i="28"/>
  <c r="AN87" i="28"/>
  <c r="AY92" i="28"/>
  <c r="AR92" i="28"/>
  <c r="AR89" i="28"/>
  <c r="AR87" i="28"/>
  <c r="AR22" i="28"/>
  <c r="V65" i="28"/>
  <c r="V93" i="28" s="1"/>
  <c r="V94" i="28" s="1"/>
  <c r="L84" i="28"/>
  <c r="L86" i="28" s="1"/>
  <c r="AC92" i="28"/>
  <c r="AW92" i="28"/>
  <c r="L22" i="28"/>
  <c r="AR15" i="28"/>
  <c r="AU15" i="28" s="1"/>
  <c r="AS22" i="28"/>
  <c r="AC93" i="28"/>
  <c r="AC94" i="28" s="1"/>
  <c r="AW22" i="28"/>
  <c r="M35" i="28"/>
  <c r="M82" i="28" s="1"/>
  <c r="M86" i="28" s="1"/>
  <c r="M36" i="28"/>
  <c r="M65" i="28" s="1"/>
  <c r="AC87" i="28"/>
  <c r="AW87" i="28"/>
  <c r="J17" i="28"/>
  <c r="M17" i="28" s="1"/>
  <c r="AE37" i="28"/>
  <c r="AE88" i="28" s="1"/>
  <c r="AE90" i="28" s="1"/>
  <c r="AY22" i="28" l="1"/>
  <c r="AY87" i="28"/>
  <c r="P92" i="28"/>
  <c r="P93" i="28"/>
  <c r="P94" i="28" s="1"/>
  <c r="AU22" i="28"/>
  <c r="M22" i="28"/>
  <c r="M90" i="28"/>
  <c r="I92" i="28"/>
  <c r="I89" i="28"/>
  <c r="I87" i="28"/>
  <c r="I93" i="28"/>
  <c r="I94" i="28" s="1"/>
  <c r="H93" i="28"/>
  <c r="H94" i="28" s="1"/>
  <c r="H92" i="28"/>
  <c r="H89" i="28"/>
  <c r="H87" i="28"/>
  <c r="AE82" i="28"/>
  <c r="AE86" i="28" s="1"/>
  <c r="M89" i="28"/>
  <c r="M87" i="28"/>
  <c r="M93" i="28"/>
  <c r="M94" i="28" s="1"/>
  <c r="M92" i="28"/>
  <c r="F93" i="28"/>
  <c r="F94" i="28" s="1"/>
  <c r="F92" i="28"/>
  <c r="F89" i="28"/>
  <c r="F87" i="28"/>
  <c r="L89" i="28"/>
  <c r="L87" i="28"/>
  <c r="L93" i="28"/>
  <c r="L94" i="28" s="1"/>
  <c r="L92" i="28"/>
  <c r="AE89" i="28" l="1"/>
  <c r="AE93" i="28"/>
  <c r="AE94" i="28" s="1"/>
  <c r="AE87" i="28"/>
  <c r="AE92" i="28"/>
  <c r="BO39" i="29" l="1"/>
  <c r="AO31" i="29"/>
  <c r="AO32" i="29"/>
  <c r="AO33" i="29"/>
  <c r="AO34" i="29"/>
  <c r="AO35" i="29"/>
  <c r="AO36" i="29"/>
  <c r="AO37" i="29"/>
  <c r="AO38" i="29"/>
  <c r="AO39" i="29"/>
  <c r="AO40" i="29"/>
  <c r="AO41" i="29"/>
  <c r="AO42" i="29"/>
  <c r="AO43" i="29"/>
  <c r="AO44" i="29"/>
  <c r="AO45" i="29"/>
  <c r="AO46" i="29"/>
  <c r="AO47" i="29"/>
  <c r="AO48" i="29"/>
  <c r="AO49" i="29"/>
  <c r="AO50" i="29"/>
  <c r="AO51" i="29"/>
  <c r="AO52" i="29"/>
  <c r="AO53" i="29"/>
  <c r="AO54" i="29"/>
  <c r="AO55" i="29"/>
  <c r="AO56" i="29"/>
  <c r="AO57" i="29"/>
  <c r="AO58" i="29"/>
  <c r="AO59" i="29"/>
  <c r="AO60" i="29"/>
  <c r="AO61" i="29"/>
  <c r="AO62" i="29"/>
  <c r="AO63" i="29"/>
  <c r="AO64" i="29"/>
  <c r="AO65" i="29"/>
  <c r="AO66" i="29"/>
  <c r="AO67" i="29"/>
  <c r="AO68" i="29"/>
  <c r="AO69" i="29"/>
  <c r="AO70" i="29"/>
  <c r="AO71" i="29"/>
  <c r="AO72" i="29"/>
  <c r="AO73" i="29"/>
  <c r="AO74" i="29"/>
  <c r="AO75" i="29"/>
  <c r="AO76" i="29"/>
  <c r="AO77" i="29"/>
  <c r="AO78" i="29"/>
  <c r="AO79" i="29"/>
  <c r="AO80" i="29"/>
  <c r="AO81" i="29"/>
  <c r="AO82" i="29"/>
  <c r="AO83" i="29"/>
  <c r="AO84" i="29"/>
  <c r="AO85" i="29"/>
  <c r="AO86" i="29"/>
  <c r="AO87" i="29"/>
  <c r="AO88" i="29"/>
  <c r="AO89" i="29"/>
  <c r="AO90" i="29"/>
  <c r="AO91" i="29"/>
  <c r="AO92" i="29"/>
  <c r="AO93" i="29"/>
  <c r="AO94" i="29"/>
  <c r="AO95" i="29"/>
  <c r="AO96" i="29"/>
  <c r="AO97" i="29"/>
  <c r="AO98" i="29"/>
  <c r="AO99" i="29"/>
  <c r="AO100" i="29"/>
  <c r="AO101" i="29"/>
  <c r="AO30" i="29"/>
  <c r="BK27" i="29"/>
  <c r="BK28" i="29"/>
  <c r="BK29" i="29"/>
  <c r="BK30" i="29"/>
  <c r="BK31" i="29"/>
  <c r="BK32" i="29"/>
  <c r="BK33" i="29"/>
  <c r="BK34" i="29"/>
  <c r="BK35" i="29"/>
  <c r="BK36" i="29"/>
  <c r="BK37" i="29"/>
  <c r="BK38" i="29"/>
  <c r="BK39" i="29"/>
  <c r="BK40" i="29"/>
  <c r="BK41" i="29"/>
  <c r="BK42" i="29"/>
  <c r="BK43" i="29"/>
  <c r="BK44" i="29"/>
  <c r="BK45" i="29"/>
  <c r="BK46" i="29"/>
  <c r="BK47" i="29"/>
  <c r="BK48" i="29"/>
  <c r="BK49" i="29"/>
  <c r="BK50" i="29"/>
  <c r="BK51" i="29"/>
  <c r="BK52" i="29"/>
  <c r="BK53" i="29"/>
  <c r="BK54" i="29"/>
  <c r="BK55" i="29"/>
  <c r="BK56" i="29"/>
  <c r="BK57" i="29"/>
  <c r="BK58" i="29"/>
  <c r="BK59" i="29"/>
  <c r="BK60" i="29"/>
  <c r="BK61" i="29"/>
  <c r="BK62" i="29"/>
  <c r="BK63" i="29"/>
  <c r="BK64" i="29"/>
  <c r="BK65" i="29"/>
  <c r="BK66" i="29"/>
  <c r="BK67" i="29"/>
  <c r="BK68" i="29"/>
  <c r="BK69" i="29"/>
  <c r="BK70" i="29"/>
  <c r="BK71" i="29"/>
  <c r="BK72" i="29"/>
  <c r="BK73" i="29"/>
  <c r="BK74" i="29"/>
  <c r="BK75" i="29"/>
  <c r="BK76" i="29"/>
  <c r="BK77" i="29"/>
  <c r="BK78" i="29"/>
  <c r="BK79" i="29"/>
  <c r="BK80" i="29"/>
  <c r="BK81" i="29"/>
  <c r="BK82" i="29"/>
  <c r="BK83" i="29"/>
  <c r="BK84" i="29"/>
  <c r="BK85" i="29"/>
  <c r="BK86" i="29"/>
  <c r="BK87" i="29"/>
  <c r="BK88" i="29"/>
  <c r="BK89" i="29"/>
  <c r="BK90" i="29"/>
  <c r="BK91" i="29"/>
  <c r="BK92" i="29"/>
  <c r="BK93" i="29"/>
  <c r="BK94" i="29"/>
  <c r="BK95" i="29"/>
  <c r="BK96" i="29"/>
  <c r="BK97" i="29"/>
  <c r="BK98" i="29"/>
  <c r="BK99" i="29"/>
  <c r="BK100" i="29"/>
  <c r="BK101" i="29"/>
  <c r="BK26" i="29"/>
  <c r="AZ56" i="29"/>
  <c r="AZ57" i="29"/>
  <c r="AZ58" i="29"/>
  <c r="AZ59" i="29"/>
  <c r="AZ60" i="29"/>
  <c r="AZ61" i="29"/>
  <c r="AZ62" i="29"/>
  <c r="AZ63" i="29"/>
  <c r="AZ64" i="29"/>
  <c r="AZ65" i="29"/>
  <c r="AZ66" i="29"/>
  <c r="AZ67" i="29"/>
  <c r="AZ68" i="29"/>
  <c r="AZ69" i="29"/>
  <c r="AZ70" i="29"/>
  <c r="AZ71" i="29"/>
  <c r="AZ72" i="29"/>
  <c r="AZ73" i="29"/>
  <c r="AZ74" i="29"/>
  <c r="AZ75" i="29"/>
  <c r="AZ76" i="29"/>
  <c r="AZ77" i="29"/>
  <c r="AZ78" i="29"/>
  <c r="AZ79" i="29"/>
  <c r="AZ80" i="29"/>
  <c r="AZ81" i="29"/>
  <c r="AZ82" i="29"/>
  <c r="AZ83" i="29"/>
  <c r="AZ84" i="29"/>
  <c r="AZ85" i="29"/>
  <c r="AZ86" i="29"/>
  <c r="AZ87" i="29"/>
  <c r="AZ88" i="29"/>
  <c r="AZ89" i="29"/>
  <c r="AZ90" i="29"/>
  <c r="AZ91" i="29"/>
  <c r="AZ92" i="29"/>
  <c r="AZ93" i="29"/>
  <c r="AZ94" i="29"/>
  <c r="AZ95" i="29"/>
  <c r="AZ96" i="29"/>
  <c r="AZ97" i="29"/>
  <c r="AZ98" i="29"/>
  <c r="AZ99" i="29"/>
  <c r="AZ100" i="29"/>
  <c r="AZ101" i="29"/>
  <c r="AZ55" i="29"/>
  <c r="BB97" i="33" l="1"/>
  <c r="BB106" i="33" s="1"/>
  <c r="BA97" i="33"/>
  <c r="BA99" i="33" s="1"/>
  <c r="BF94" i="33"/>
  <c r="BB94" i="33"/>
  <c r="BA94" i="33"/>
  <c r="BH93" i="33"/>
  <c r="BF93" i="33"/>
  <c r="BB93" i="33"/>
  <c r="BA93" i="33"/>
  <c r="BH92" i="33"/>
  <c r="BF92" i="33"/>
  <c r="BB92" i="33"/>
  <c r="BA92" i="33"/>
  <c r="BB91" i="33"/>
  <c r="BB95" i="33" s="1"/>
  <c r="BA91" i="33"/>
  <c r="BA95" i="33" s="1"/>
  <c r="BD82" i="33"/>
  <c r="BH82" i="33" s="1"/>
  <c r="BF81" i="33"/>
  <c r="BA81" i="33"/>
  <c r="BA106" i="33" s="1"/>
  <c r="BH76" i="33"/>
  <c r="BF76" i="33"/>
  <c r="BA76" i="33"/>
  <c r="BH70" i="33"/>
  <c r="BH94" i="33" s="1"/>
  <c r="BH38" i="33"/>
  <c r="BF38" i="33"/>
  <c r="BF36" i="33" s="1"/>
  <c r="BD38" i="33"/>
  <c r="BH37" i="33"/>
  <c r="BD37" i="33"/>
  <c r="BH36" i="33"/>
  <c r="BH97" i="33" s="1"/>
  <c r="BH99" i="33" s="1"/>
  <c r="BD36" i="33"/>
  <c r="BA36" i="33"/>
  <c r="BB24" i="33"/>
  <c r="BD24" i="33" s="1"/>
  <c r="BH22" i="33"/>
  <c r="BF22" i="33"/>
  <c r="BA22" i="33"/>
  <c r="BB19" i="33"/>
  <c r="BD19" i="33" s="1"/>
  <c r="BB18" i="33"/>
  <c r="BD18" i="33" s="1"/>
  <c r="BB17" i="33"/>
  <c r="BB22" i="33" s="1"/>
  <c r="BD22" i="33" s="1"/>
  <c r="BH15" i="33"/>
  <c r="BF15" i="33"/>
  <c r="BA15" i="33"/>
  <c r="BB13" i="33"/>
  <c r="BB15" i="33" s="1"/>
  <c r="BD15" i="33" s="1"/>
  <c r="BD12" i="33"/>
  <c r="BB12" i="33"/>
  <c r="BD101" i="3"/>
  <c r="AY101" i="3"/>
  <c r="BF100" i="3"/>
  <c r="BD100" i="3"/>
  <c r="BD104" i="3" s="1"/>
  <c r="BD106" i="3" s="1"/>
  <c r="AZ100" i="3"/>
  <c r="AY100" i="3"/>
  <c r="AY104" i="3" s="1"/>
  <c r="AY106" i="3" s="1"/>
  <c r="BD99" i="3"/>
  <c r="AY99" i="3"/>
  <c r="BD98" i="3"/>
  <c r="BD102" i="3" s="1"/>
  <c r="AZ98" i="3"/>
  <c r="AY98" i="3"/>
  <c r="AY102" i="3" s="1"/>
  <c r="BD81" i="3"/>
  <c r="AZ81" i="3"/>
  <c r="AY81" i="3"/>
  <c r="BH79" i="3"/>
  <c r="AZ77" i="3"/>
  <c r="AZ101" i="3" s="1"/>
  <c r="BF62" i="3"/>
  <c r="AZ62" i="3"/>
  <c r="BF61" i="3"/>
  <c r="AZ61" i="3"/>
  <c r="BF60" i="3"/>
  <c r="AZ60" i="3"/>
  <c r="BF59" i="3"/>
  <c r="BF99" i="3" s="1"/>
  <c r="AZ59" i="3"/>
  <c r="BF58" i="3"/>
  <c r="AZ58" i="3"/>
  <c r="AZ99" i="3" s="1"/>
  <c r="BB49" i="3"/>
  <c r="BF49" i="3" s="1"/>
  <c r="BF47" i="3"/>
  <c r="BB47" i="3"/>
  <c r="BF45" i="3"/>
  <c r="BF81" i="3" s="1"/>
  <c r="BB45" i="3"/>
  <c r="BB44" i="3"/>
  <c r="BF44" i="3" s="1"/>
  <c r="BB43" i="3"/>
  <c r="BF43" i="3" s="1"/>
  <c r="AZ38" i="3"/>
  <c r="AZ78" i="3" s="1"/>
  <c r="AY38" i="3"/>
  <c r="BB37" i="3"/>
  <c r="BF37" i="3" s="1"/>
  <c r="BF77" i="3" s="1"/>
  <c r="AZ29" i="3"/>
  <c r="AY29" i="3"/>
  <c r="BB29" i="3" s="1"/>
  <c r="BF28" i="3"/>
  <c r="BB28" i="3"/>
  <c r="BB26" i="3"/>
  <c r="BF26" i="3" s="1"/>
  <c r="BB25" i="3"/>
  <c r="BF25" i="3" s="1"/>
  <c r="BD19" i="3"/>
  <c r="BD29" i="3" s="1"/>
  <c r="BF29" i="3" s="1"/>
  <c r="BB19" i="3"/>
  <c r="AZ19" i="3"/>
  <c r="AY19" i="3"/>
  <c r="AY17" i="3"/>
  <c r="AZ16" i="3"/>
  <c r="BB15" i="3" s="1"/>
  <c r="BF15" i="3" s="1"/>
  <c r="AY16" i="3"/>
  <c r="BB14" i="3"/>
  <c r="BF14" i="3" s="1"/>
  <c r="BD13" i="3"/>
  <c r="BD17" i="3" s="1"/>
  <c r="BB13" i="3"/>
  <c r="AG23" i="55"/>
  <c r="BD96" i="55"/>
  <c r="BD98" i="55" s="1"/>
  <c r="AK96" i="55"/>
  <c r="AK98" i="55" s="1"/>
  <c r="S96" i="55"/>
  <c r="S98" i="55" s="1"/>
  <c r="N96" i="55"/>
  <c r="N98" i="55" s="1"/>
  <c r="O94" i="55"/>
  <c r="BF93" i="55"/>
  <c r="BD93" i="55"/>
  <c r="BD94" i="55" s="1"/>
  <c r="BA93" i="55"/>
  <c r="AZ93" i="55"/>
  <c r="AU93" i="55"/>
  <c r="AQ93" i="55"/>
  <c r="AP93" i="55"/>
  <c r="AK93" i="55"/>
  <c r="AG93" i="55"/>
  <c r="AF93" i="55"/>
  <c r="AB93" i="55"/>
  <c r="X93" i="55"/>
  <c r="W93" i="55"/>
  <c r="U93" i="55"/>
  <c r="S93" i="55"/>
  <c r="O93" i="55"/>
  <c r="N93" i="55"/>
  <c r="K93" i="55"/>
  <c r="H93" i="55"/>
  <c r="G93" i="55"/>
  <c r="E93" i="55"/>
  <c r="BF92" i="55"/>
  <c r="BD92" i="55"/>
  <c r="AZ92" i="55"/>
  <c r="AZ96" i="55" s="1"/>
  <c r="AZ98" i="55" s="1"/>
  <c r="AU92" i="55"/>
  <c r="AU96" i="55" s="1"/>
  <c r="AU98" i="55" s="1"/>
  <c r="AQ92" i="55"/>
  <c r="AP92" i="55"/>
  <c r="AP96" i="55" s="1"/>
  <c r="AP98" i="55" s="1"/>
  <c r="AK92" i="55"/>
  <c r="AF92" i="55"/>
  <c r="AF96" i="55" s="1"/>
  <c r="AF98" i="55" s="1"/>
  <c r="AB92" i="55"/>
  <c r="AB96" i="55" s="1"/>
  <c r="AB98" i="55" s="1"/>
  <c r="W92" i="55"/>
  <c r="W96" i="55" s="1"/>
  <c r="W98" i="55" s="1"/>
  <c r="S92" i="55"/>
  <c r="O92" i="55"/>
  <c r="N92" i="55"/>
  <c r="E92" i="55"/>
  <c r="BA91" i="55"/>
  <c r="AZ91" i="55"/>
  <c r="AU91" i="55"/>
  <c r="AQ91" i="55"/>
  <c r="AP91" i="55"/>
  <c r="AK91" i="55"/>
  <c r="AK94" i="55" s="1"/>
  <c r="AG91" i="55"/>
  <c r="AF91" i="55"/>
  <c r="AB91" i="55"/>
  <c r="X91" i="55"/>
  <c r="W91" i="55"/>
  <c r="S91" i="55"/>
  <c r="S94" i="55" s="1"/>
  <c r="O91" i="55"/>
  <c r="N91" i="55"/>
  <c r="K91" i="55"/>
  <c r="H91" i="55"/>
  <c r="G91" i="55"/>
  <c r="E91" i="55"/>
  <c r="BD90" i="55"/>
  <c r="AZ90" i="55"/>
  <c r="AZ94" i="55" s="1"/>
  <c r="AU90" i="55"/>
  <c r="AU94" i="55" s="1"/>
  <c r="AP90" i="55"/>
  <c r="AP94" i="55" s="1"/>
  <c r="AK90" i="55"/>
  <c r="AF90" i="55"/>
  <c r="AF94" i="55" s="1"/>
  <c r="AB90" i="55"/>
  <c r="AB94" i="55" s="1"/>
  <c r="W90" i="55"/>
  <c r="W94" i="55" s="1"/>
  <c r="S90" i="55"/>
  <c r="O90" i="55"/>
  <c r="N90" i="55"/>
  <c r="N94" i="55" s="1"/>
  <c r="K90" i="55"/>
  <c r="K94" i="55" s="1"/>
  <c r="G90" i="55"/>
  <c r="E90" i="55"/>
  <c r="E94" i="55" s="1"/>
  <c r="E95" i="55" s="1"/>
  <c r="Q87" i="55"/>
  <c r="I87" i="55"/>
  <c r="L87" i="55" s="1"/>
  <c r="N86" i="55"/>
  <c r="Q86" i="55" s="1"/>
  <c r="K86" i="55"/>
  <c r="L86" i="55" s="1"/>
  <c r="I86" i="55"/>
  <c r="H86" i="55"/>
  <c r="G86" i="55"/>
  <c r="Q85" i="55"/>
  <c r="N85" i="55"/>
  <c r="K85" i="55"/>
  <c r="H85" i="55"/>
  <c r="I85" i="55" s="1"/>
  <c r="L85" i="55" s="1"/>
  <c r="G85" i="55"/>
  <c r="N84" i="55"/>
  <c r="Q84" i="55" s="1"/>
  <c r="K84" i="55"/>
  <c r="L84" i="55" s="1"/>
  <c r="H84" i="55"/>
  <c r="G84" i="55"/>
  <c r="I84" i="55" s="1"/>
  <c r="BC75" i="55"/>
  <c r="AW75" i="55"/>
  <c r="AW93" i="55" s="1"/>
  <c r="AS75" i="55"/>
  <c r="AI75" i="55"/>
  <c r="Z75" i="55"/>
  <c r="AD75" i="55" s="1"/>
  <c r="U75" i="55"/>
  <c r="Q75" i="55"/>
  <c r="I75" i="55"/>
  <c r="BC73" i="55"/>
  <c r="AW73" i="55"/>
  <c r="AS73" i="55"/>
  <c r="AI73" i="55"/>
  <c r="Z73" i="55"/>
  <c r="AD73" i="55" s="1"/>
  <c r="AM73" i="55" s="1"/>
  <c r="Q73" i="55"/>
  <c r="U73" i="55" s="1"/>
  <c r="I73" i="55"/>
  <c r="L73" i="55" s="1"/>
  <c r="BC72" i="55"/>
  <c r="AW72" i="55"/>
  <c r="AS72" i="55"/>
  <c r="AM72" i="55"/>
  <c r="AI72" i="55"/>
  <c r="AD72" i="55"/>
  <c r="Z72" i="55"/>
  <c r="Q72" i="55"/>
  <c r="U72" i="55" s="1"/>
  <c r="L72" i="55"/>
  <c r="I72" i="55"/>
  <c r="BC71" i="55"/>
  <c r="AW71" i="55"/>
  <c r="AS71" i="55"/>
  <c r="AI71" i="55"/>
  <c r="AD71" i="55"/>
  <c r="AM71" i="55" s="1"/>
  <c r="Z71" i="55"/>
  <c r="Q71" i="55"/>
  <c r="U71" i="55" s="1"/>
  <c r="BC70" i="55"/>
  <c r="AW70" i="55"/>
  <c r="AS70" i="55"/>
  <c r="AM70" i="55"/>
  <c r="AI70" i="55"/>
  <c r="AD70" i="55"/>
  <c r="Z70" i="55"/>
  <c r="U70" i="55"/>
  <c r="Q70" i="55"/>
  <c r="L70" i="55"/>
  <c r="I70" i="55"/>
  <c r="BC69" i="55"/>
  <c r="AW69" i="55"/>
  <c r="AW92" i="55" s="1"/>
  <c r="AS69" i="55"/>
  <c r="AI69" i="55"/>
  <c r="Z69" i="55"/>
  <c r="AD69" i="55" s="1"/>
  <c r="AM69" i="55" s="1"/>
  <c r="Q69" i="55"/>
  <c r="U69" i="55" s="1"/>
  <c r="L69" i="55"/>
  <c r="I69" i="55"/>
  <c r="BC68" i="55"/>
  <c r="U68" i="55"/>
  <c r="Q68" i="55"/>
  <c r="K68" i="55"/>
  <c r="H68" i="55"/>
  <c r="G68" i="55"/>
  <c r="I68" i="55" s="1"/>
  <c r="L68" i="55" s="1"/>
  <c r="BC67" i="55"/>
  <c r="BA67" i="55"/>
  <c r="BA92" i="55" s="1"/>
  <c r="AG67" i="55"/>
  <c r="AG92" i="55" s="1"/>
  <c r="U67" i="55"/>
  <c r="Q67" i="55"/>
  <c r="K67" i="55"/>
  <c r="H67" i="55"/>
  <c r="G67" i="55"/>
  <c r="I67" i="55" s="1"/>
  <c r="L67" i="55" s="1"/>
  <c r="BC66" i="55"/>
  <c r="BF78" i="55" s="1"/>
  <c r="Q66" i="55"/>
  <c r="U66" i="55" s="1"/>
  <c r="K66" i="55"/>
  <c r="I66" i="55"/>
  <c r="L66" i="55" s="1"/>
  <c r="H66" i="55"/>
  <c r="G66" i="55"/>
  <c r="BC64" i="55"/>
  <c r="AW64" i="55"/>
  <c r="AS64" i="55"/>
  <c r="AI64" i="55"/>
  <c r="AD64" i="55"/>
  <c r="AM64" i="55" s="1"/>
  <c r="Z64" i="55"/>
  <c r="U64" i="55"/>
  <c r="Q64" i="55"/>
  <c r="I64" i="55"/>
  <c r="L64" i="55" s="1"/>
  <c r="BC52" i="55"/>
  <c r="AW52" i="55"/>
  <c r="AS52" i="55"/>
  <c r="AI52" i="55"/>
  <c r="Z52" i="55"/>
  <c r="AD52" i="55" s="1"/>
  <c r="AM52" i="55" s="1"/>
  <c r="U52" i="55"/>
  <c r="Q52" i="55"/>
  <c r="I52" i="55"/>
  <c r="L52" i="55" s="1"/>
  <c r="BC51" i="55"/>
  <c r="AW51" i="55"/>
  <c r="AS51" i="55"/>
  <c r="AI51" i="55"/>
  <c r="Z51" i="55"/>
  <c r="AD51" i="55" s="1"/>
  <c r="AM51" i="55" s="1"/>
  <c r="U51" i="55"/>
  <c r="Q51" i="55"/>
  <c r="L51" i="55"/>
  <c r="I51" i="55"/>
  <c r="BC50" i="55"/>
  <c r="AW50" i="55"/>
  <c r="AS50" i="55"/>
  <c r="AI50" i="55"/>
  <c r="Z50" i="55"/>
  <c r="AD50" i="55" s="1"/>
  <c r="AM50" i="55" s="1"/>
  <c r="Q50" i="55"/>
  <c r="U50" i="55" s="1"/>
  <c r="L50" i="55"/>
  <c r="I50" i="55"/>
  <c r="BC49" i="55"/>
  <c r="AW49" i="55"/>
  <c r="AS49" i="55"/>
  <c r="AI49" i="55"/>
  <c r="Z49" i="55"/>
  <c r="AD49" i="55" s="1"/>
  <c r="AM49" i="55" s="1"/>
  <c r="U49" i="55"/>
  <c r="Q49" i="55"/>
  <c r="L49" i="55"/>
  <c r="I49" i="55"/>
  <c r="BC47" i="55"/>
  <c r="AW47" i="55"/>
  <c r="AS47" i="55"/>
  <c r="AI47" i="55"/>
  <c r="Z47" i="55"/>
  <c r="AD47" i="55" s="1"/>
  <c r="AM47" i="55" s="1"/>
  <c r="Q47" i="55"/>
  <c r="U47" i="55" s="1"/>
  <c r="I47" i="55"/>
  <c r="L47" i="55" s="1"/>
  <c r="BC46" i="55"/>
  <c r="AW46" i="55"/>
  <c r="AW91" i="55" s="1"/>
  <c r="AS46" i="55"/>
  <c r="AM46" i="55"/>
  <c r="AI46" i="55"/>
  <c r="AD46" i="55"/>
  <c r="Z46" i="55"/>
  <c r="Q46" i="55"/>
  <c r="U46" i="55" s="1"/>
  <c r="L46" i="55"/>
  <c r="I46" i="55"/>
  <c r="BC44" i="55"/>
  <c r="AW44" i="55"/>
  <c r="AS44" i="55"/>
  <c r="AI44" i="55"/>
  <c r="AD44" i="55"/>
  <c r="AM44" i="55" s="1"/>
  <c r="Z44" i="55"/>
  <c r="Q44" i="55"/>
  <c r="U44" i="55" s="1"/>
  <c r="I44" i="55"/>
  <c r="L44" i="55" s="1"/>
  <c r="BC43" i="55"/>
  <c r="AW43" i="55"/>
  <c r="AS43" i="55"/>
  <c r="AI43" i="55"/>
  <c r="AD43" i="55"/>
  <c r="AM43" i="55" s="1"/>
  <c r="Z43" i="55"/>
  <c r="U43" i="55"/>
  <c r="Q43" i="55"/>
  <c r="I43" i="55"/>
  <c r="L43" i="55" s="1"/>
  <c r="BC42" i="55"/>
  <c r="AW42" i="55"/>
  <c r="AS42" i="55"/>
  <c r="AI42" i="55"/>
  <c r="Z42" i="55"/>
  <c r="AD42" i="55" s="1"/>
  <c r="AM42" i="55" s="1"/>
  <c r="U42" i="55"/>
  <c r="Q42" i="55"/>
  <c r="I42" i="55"/>
  <c r="L42" i="55" s="1"/>
  <c r="BC41" i="55"/>
  <c r="AS41" i="55"/>
  <c r="AI41" i="55"/>
  <c r="Z41" i="55"/>
  <c r="Q41" i="55"/>
  <c r="BC40" i="55"/>
  <c r="AS40" i="55"/>
  <c r="AI40" i="55"/>
  <c r="Z40" i="55"/>
  <c r="U40" i="55"/>
  <c r="Q40" i="55"/>
  <c r="I40" i="55"/>
  <c r="L40" i="55" s="1"/>
  <c r="BC39" i="55"/>
  <c r="BA39" i="55"/>
  <c r="AQ39" i="55"/>
  <c r="AS39" i="55" s="1"/>
  <c r="AW39" i="55" s="1"/>
  <c r="AI39" i="55"/>
  <c r="AM39" i="55" s="1"/>
  <c r="AG39" i="55"/>
  <c r="AD39" i="55"/>
  <c r="Z39" i="55"/>
  <c r="X39" i="55"/>
  <c r="Q39" i="55"/>
  <c r="U39" i="55" s="1"/>
  <c r="BA38" i="55"/>
  <c r="BC38" i="55" s="1"/>
  <c r="AW38" i="55"/>
  <c r="AS38" i="55"/>
  <c r="AQ38" i="55"/>
  <c r="AG38" i="55"/>
  <c r="AI38" i="55" s="1"/>
  <c r="AM38" i="55" s="1"/>
  <c r="U38" i="55"/>
  <c r="Q38" i="55"/>
  <c r="H38" i="55"/>
  <c r="I38" i="55" s="1"/>
  <c r="L38" i="55" s="1"/>
  <c r="BA37" i="55"/>
  <c r="BC37" i="55" s="1"/>
  <c r="AW37" i="55"/>
  <c r="AS37" i="55"/>
  <c r="AQ37" i="55"/>
  <c r="AM37" i="55"/>
  <c r="AI37" i="55"/>
  <c r="AG37" i="55"/>
  <c r="Z37" i="55"/>
  <c r="AD37" i="55" s="1"/>
  <c r="X37" i="55"/>
  <c r="U37" i="55"/>
  <c r="Q37" i="55"/>
  <c r="BC36" i="55"/>
  <c r="BA36" i="55"/>
  <c r="AQ36" i="55"/>
  <c r="AS36" i="55" s="1"/>
  <c r="AW36" i="55" s="1"/>
  <c r="AM36" i="55"/>
  <c r="AI36" i="55"/>
  <c r="AG36" i="55"/>
  <c r="Q36" i="55"/>
  <c r="U36" i="55" s="1"/>
  <c r="L36" i="55"/>
  <c r="I36" i="55"/>
  <c r="H36" i="55"/>
  <c r="BC35" i="55"/>
  <c r="BA35" i="55"/>
  <c r="AQ35" i="55"/>
  <c r="AS35" i="55" s="1"/>
  <c r="AW35" i="55" s="1"/>
  <c r="AM35" i="55"/>
  <c r="AI35" i="55"/>
  <c r="AG35" i="55"/>
  <c r="AD35" i="55"/>
  <c r="Z35" i="55"/>
  <c r="X35" i="55" s="1"/>
  <c r="Q35" i="55"/>
  <c r="U35" i="55" s="1"/>
  <c r="BC34" i="55"/>
  <c r="BA34" i="55"/>
  <c r="BA96" i="55" s="1"/>
  <c r="AQ34" i="55"/>
  <c r="AS34" i="55" s="1"/>
  <c r="AW34" i="55" s="1"/>
  <c r="AG34" i="55"/>
  <c r="AI34" i="55" s="1"/>
  <c r="AM34" i="55" s="1"/>
  <c r="Q34" i="55"/>
  <c r="U34" i="55" s="1"/>
  <c r="H34" i="55"/>
  <c r="H90" i="55" s="1"/>
  <c r="BC30" i="55"/>
  <c r="AS30" i="55"/>
  <c r="AI30" i="55"/>
  <c r="Z30" i="55"/>
  <c r="Q30" i="55"/>
  <c r="L30" i="55"/>
  <c r="L75" i="55" s="1"/>
  <c r="L93" i="55" s="1"/>
  <c r="I30" i="55"/>
  <c r="K29" i="55"/>
  <c r="K92" i="55" s="1"/>
  <c r="H29" i="55"/>
  <c r="H92" i="55" s="1"/>
  <c r="G29" i="55"/>
  <c r="E29" i="55"/>
  <c r="BC28" i="55"/>
  <c r="AW28" i="55"/>
  <c r="AS28" i="55"/>
  <c r="AM28" i="55"/>
  <c r="AI28" i="55"/>
  <c r="AD28" i="55"/>
  <c r="Z28" i="55"/>
  <c r="Q28" i="55"/>
  <c r="U28" i="55" s="1"/>
  <c r="L28" i="55"/>
  <c r="I28" i="55"/>
  <c r="BC27" i="55"/>
  <c r="AW27" i="55"/>
  <c r="AS27" i="55"/>
  <c r="AI27" i="55"/>
  <c r="AD27" i="55"/>
  <c r="AM27" i="55" s="1"/>
  <c r="Z27" i="55"/>
  <c r="Q27" i="55"/>
  <c r="U27" i="55" s="1"/>
  <c r="L27" i="55"/>
  <c r="I27" i="55"/>
  <c r="BC26" i="55"/>
  <c r="AW26" i="55"/>
  <c r="AS26" i="55"/>
  <c r="AI26" i="55"/>
  <c r="Z26" i="55"/>
  <c r="AD26" i="55" s="1"/>
  <c r="AM26" i="55" s="1"/>
  <c r="U26" i="55"/>
  <c r="Q26" i="55"/>
  <c r="I26" i="55"/>
  <c r="L26" i="55" s="1"/>
  <c r="L29" i="55" s="1"/>
  <c r="BA25" i="55"/>
  <c r="AZ25" i="55"/>
  <c r="BC25" i="55" s="1"/>
  <c r="AS25" i="55"/>
  <c r="AS66" i="55" s="1"/>
  <c r="AS67" i="55" s="1"/>
  <c r="AS68" i="55" s="1"/>
  <c r="AI25" i="55"/>
  <c r="AI66" i="55" s="1"/>
  <c r="Z25" i="55"/>
  <c r="Z66" i="55" s="1"/>
  <c r="U25" i="55"/>
  <c r="Q25" i="55"/>
  <c r="I25" i="55"/>
  <c r="L25" i="55" s="1"/>
  <c r="AW23" i="55"/>
  <c r="AU23" i="55"/>
  <c r="AX23" i="55" s="1"/>
  <c r="AF23" i="55"/>
  <c r="AI23" i="55" s="1"/>
  <c r="O23" i="55"/>
  <c r="K23" i="55"/>
  <c r="L23" i="55" s="1"/>
  <c r="I23" i="55"/>
  <c r="H23" i="55"/>
  <c r="G23" i="55"/>
  <c r="BG22" i="55"/>
  <c r="BA22" i="55"/>
  <c r="AZ22" i="55"/>
  <c r="AX22" i="55"/>
  <c r="AS22" i="55"/>
  <c r="AI22" i="55"/>
  <c r="AG22" i="55"/>
  <c r="X22" i="55"/>
  <c r="Z22" i="55" s="1"/>
  <c r="AD22" i="55" s="1"/>
  <c r="U22" i="55"/>
  <c r="Q22" i="55"/>
  <c r="I22" i="55"/>
  <c r="L22" i="55" s="1"/>
  <c r="BG21" i="55"/>
  <c r="BA21" i="55"/>
  <c r="AZ21" i="55"/>
  <c r="AX21" i="55"/>
  <c r="AS21" i="55"/>
  <c r="AG21" i="55"/>
  <c r="AI21" i="55" s="1"/>
  <c r="AD21" i="55"/>
  <c r="Z21" i="55"/>
  <c r="X21" i="55"/>
  <c r="BG20" i="55"/>
  <c r="BA20" i="55"/>
  <c r="AZ20" i="55"/>
  <c r="AX20" i="55"/>
  <c r="AS20" i="55"/>
  <c r="AI20" i="55"/>
  <c r="AD20" i="55"/>
  <c r="Z20" i="55"/>
  <c r="BG19" i="55"/>
  <c r="BA19" i="55"/>
  <c r="AZ19" i="55"/>
  <c r="AX19" i="55"/>
  <c r="AS19" i="55"/>
  <c r="AI19" i="55"/>
  <c r="AD19" i="55"/>
  <c r="Z19" i="55"/>
  <c r="Q19" i="55"/>
  <c r="U19" i="55" s="1"/>
  <c r="L19" i="55"/>
  <c r="I19" i="55"/>
  <c r="BF18" i="55"/>
  <c r="BG18" i="55" s="1"/>
  <c r="BD18" i="55"/>
  <c r="BD23" i="55" s="1"/>
  <c r="AZ18" i="55"/>
  <c r="AZ23" i="55" s="1"/>
  <c r="BC23" i="55" s="1"/>
  <c r="AX18" i="55"/>
  <c r="AW18" i="55"/>
  <c r="BA18" i="55" s="1"/>
  <c r="BA23" i="55" s="1"/>
  <c r="AU18" i="55"/>
  <c r="AS18" i="55"/>
  <c r="AQ18" i="55"/>
  <c r="AQ23" i="55" s="1"/>
  <c r="AP18" i="55"/>
  <c r="AP23" i="55" s="1"/>
  <c r="AS23" i="55" s="1"/>
  <c r="AM18" i="55"/>
  <c r="AM23" i="55" s="1"/>
  <c r="AK18" i="55"/>
  <c r="AK23" i="55" s="1"/>
  <c r="AG18" i="55"/>
  <c r="AF18" i="55"/>
  <c r="AI18" i="55" s="1"/>
  <c r="AB18" i="55"/>
  <c r="AB23" i="55" s="1"/>
  <c r="X18" i="55"/>
  <c r="X23" i="55" s="1"/>
  <c r="W18" i="55"/>
  <c r="W23" i="55" s="1"/>
  <c r="S18" i="55"/>
  <c r="S23" i="55" s="1"/>
  <c r="Q18" i="55"/>
  <c r="U18" i="55" s="1"/>
  <c r="O18" i="55"/>
  <c r="N18" i="55"/>
  <c r="N23" i="55" s="1"/>
  <c r="Q23" i="55" s="1"/>
  <c r="I18" i="55"/>
  <c r="L18" i="55" s="1"/>
  <c r="AU16" i="55"/>
  <c r="AX16" i="55" s="1"/>
  <c r="AS16" i="55"/>
  <c r="AM16" i="55"/>
  <c r="AK16" i="55"/>
  <c r="AI16" i="55"/>
  <c r="AF16" i="55"/>
  <c r="AB16" i="55"/>
  <c r="W16" i="55"/>
  <c r="Z16" i="55" s="1"/>
  <c r="S16" i="55"/>
  <c r="O16" i="55"/>
  <c r="K16" i="55"/>
  <c r="L16" i="55" s="1"/>
  <c r="I16" i="55"/>
  <c r="H16" i="55"/>
  <c r="G16" i="55"/>
  <c r="BG15" i="55"/>
  <c r="AX15" i="55"/>
  <c r="AS15" i="55"/>
  <c r="BG14" i="55"/>
  <c r="BC14" i="55"/>
  <c r="AX14" i="55"/>
  <c r="BF13" i="55"/>
  <c r="BF16" i="55" s="1"/>
  <c r="BD13" i="55"/>
  <c r="BG13" i="55" s="1"/>
  <c r="BH13" i="55" s="1"/>
  <c r="BC13" i="55"/>
  <c r="BA13" i="55"/>
  <c r="AZ13" i="55"/>
  <c r="AX13" i="55"/>
  <c r="AS13" i="55"/>
  <c r="AD13" i="55"/>
  <c r="X13" i="55"/>
  <c r="Q13" i="55"/>
  <c r="U13" i="55" s="1"/>
  <c r="L13" i="55"/>
  <c r="I13" i="55"/>
  <c r="BG12" i="55"/>
  <c r="BC12" i="55"/>
  <c r="BA12" i="55"/>
  <c r="BA16" i="55" s="1"/>
  <c r="AZ12" i="55"/>
  <c r="AZ16" i="55" s="1"/>
  <c r="AX12" i="55"/>
  <c r="AS12" i="55"/>
  <c r="AI12" i="55"/>
  <c r="AF12" i="55"/>
  <c r="AB12" i="55"/>
  <c r="AD12" i="55" s="1"/>
  <c r="AD16" i="55" s="1"/>
  <c r="X12" i="55"/>
  <c r="W12" i="55"/>
  <c r="Z12" i="55" s="1"/>
  <c r="U12" i="55"/>
  <c r="Q12" i="55"/>
  <c r="N12" i="55"/>
  <c r="N16" i="55" s="1"/>
  <c r="Q16" i="55" s="1"/>
  <c r="I12" i="55"/>
  <c r="L12" i="55" s="1"/>
  <c r="G2" i="55"/>
  <c r="BH22" i="55"/>
  <c r="BH21" i="55"/>
  <c r="BH20" i="55"/>
  <c r="BH19" i="55"/>
  <c r="BH23" i="55"/>
  <c r="BH15" i="55"/>
  <c r="BH14" i="55"/>
  <c r="BH16" i="55"/>
  <c r="BH12" i="55"/>
  <c r="BC98" i="1"/>
  <c r="BE94" i="1"/>
  <c r="BC94" i="1"/>
  <c r="BC91" i="1"/>
  <c r="BE84" i="1"/>
  <c r="BE83" i="1"/>
  <c r="BC83" i="1"/>
  <c r="BE81" i="1"/>
  <c r="BE80" i="1" s="1"/>
  <c r="BC80" i="1"/>
  <c r="BE63" i="1"/>
  <c r="BE61" i="1"/>
  <c r="BE60" i="1"/>
  <c r="BE55" i="1"/>
  <c r="BE53" i="1"/>
  <c r="BE51" i="1"/>
  <c r="BE92" i="1" s="1"/>
  <c r="BC51" i="1"/>
  <c r="BC97" i="1" s="1"/>
  <c r="BE40" i="1"/>
  <c r="BE39" i="1"/>
  <c r="BE37" i="1"/>
  <c r="BE98" i="1" s="1"/>
  <c r="BE36" i="1"/>
  <c r="BE28" i="1"/>
  <c r="BE93" i="1" s="1"/>
  <c r="BC28" i="1"/>
  <c r="BC93" i="1" s="1"/>
  <c r="BE22" i="1"/>
  <c r="BC22" i="1"/>
  <c r="BE15" i="1"/>
  <c r="BC15" i="1"/>
  <c r="BE111" i="36"/>
  <c r="BC111" i="36"/>
  <c r="BE109" i="36"/>
  <c r="BC109" i="36"/>
  <c r="BC108" i="36"/>
  <c r="BC112" i="36" s="1"/>
  <c r="BE97" i="36"/>
  <c r="BE36" i="36"/>
  <c r="BE108" i="36" s="1"/>
  <c r="BE112" i="36" s="1"/>
  <c r="BE29" i="36"/>
  <c r="BE110" i="36" s="1"/>
  <c r="BC29" i="36"/>
  <c r="BC110" i="36" s="1"/>
  <c r="BE17" i="36"/>
  <c r="BE23" i="36" s="1"/>
  <c r="BC17" i="36"/>
  <c r="BC23" i="36" s="1"/>
  <c r="BE12" i="36"/>
  <c r="BE15" i="36" s="1"/>
  <c r="BC12" i="36"/>
  <c r="BC15" i="36" s="1"/>
  <c r="AX100" i="48"/>
  <c r="AV100" i="48"/>
  <c r="AU100" i="48"/>
  <c r="AS100" i="48"/>
  <c r="AV99" i="48"/>
  <c r="AX97" i="48"/>
  <c r="AV97" i="48"/>
  <c r="AX88" i="48"/>
  <c r="AV88" i="48"/>
  <c r="AS88" i="48"/>
  <c r="AX87" i="48"/>
  <c r="AV87" i="48"/>
  <c r="AS87" i="48"/>
  <c r="AX86" i="48"/>
  <c r="AV86" i="48"/>
  <c r="AS86" i="48"/>
  <c r="AV82" i="48"/>
  <c r="AS82" i="48"/>
  <c r="AX66" i="48"/>
  <c r="AV66" i="48"/>
  <c r="AS66" i="48"/>
  <c r="AU66" i="48" s="1"/>
  <c r="AU99" i="48" s="1"/>
  <c r="AX59" i="48"/>
  <c r="AU59" i="48"/>
  <c r="AX58" i="48"/>
  <c r="AS58" i="48"/>
  <c r="AU58" i="48" s="1"/>
  <c r="AV57" i="48"/>
  <c r="AX57" i="48" s="1"/>
  <c r="AU57" i="48"/>
  <c r="AS57" i="48"/>
  <c r="AX56" i="48"/>
  <c r="AU56" i="48"/>
  <c r="AX55" i="48"/>
  <c r="AU55" i="48"/>
  <c r="AV54" i="48"/>
  <c r="AX54" i="48" s="1"/>
  <c r="AU54" i="48"/>
  <c r="AS54" i="48"/>
  <c r="AS53" i="48"/>
  <c r="AV53" i="48" s="1"/>
  <c r="AU45" i="48"/>
  <c r="AS45" i="48"/>
  <c r="AS103" i="48" s="1"/>
  <c r="AS105" i="48" s="1"/>
  <c r="AU38" i="48"/>
  <c r="AU97" i="48" s="1"/>
  <c r="AS38" i="48"/>
  <c r="AS97" i="48" s="1"/>
  <c r="AX32" i="48"/>
  <c r="AV29" i="48"/>
  <c r="AU29" i="48"/>
  <c r="AS29" i="48"/>
  <c r="AS99" i="48" s="1"/>
  <c r="AX25" i="48"/>
  <c r="AX29" i="48" s="1"/>
  <c r="AX99" i="48" s="1"/>
  <c r="AX23" i="48"/>
  <c r="AX21" i="48"/>
  <c r="AV21" i="48"/>
  <c r="AU21" i="48"/>
  <c r="AS21" i="48"/>
  <c r="AS18" i="48" s="1"/>
  <c r="AX19" i="48"/>
  <c r="AX18" i="48"/>
  <c r="AV18" i="48"/>
  <c r="AV23" i="48" s="1"/>
  <c r="AU18" i="48"/>
  <c r="AX16" i="48"/>
  <c r="AV16" i="48"/>
  <c r="AU16" i="48"/>
  <c r="AS16" i="48"/>
  <c r="BG90" i="7"/>
  <c r="BA90" i="7"/>
  <c r="BG86" i="7"/>
  <c r="BE86" i="7"/>
  <c r="BA86" i="7"/>
  <c r="AZ86" i="7"/>
  <c r="BG84" i="7"/>
  <c r="BE84" i="7"/>
  <c r="BA84" i="7"/>
  <c r="AZ84" i="7"/>
  <c r="BG83" i="7"/>
  <c r="BC76" i="7"/>
  <c r="BG76" i="7" s="1"/>
  <c r="BG75" i="7"/>
  <c r="BC75" i="7"/>
  <c r="BG72" i="7"/>
  <c r="BC72" i="7"/>
  <c r="BG71" i="7"/>
  <c r="BC71" i="7"/>
  <c r="BE66" i="7"/>
  <c r="BA66" i="7"/>
  <c r="BG52" i="7"/>
  <c r="BC52" i="7"/>
  <c r="BG38" i="7"/>
  <c r="BG66" i="7" s="1"/>
  <c r="BE38" i="7"/>
  <c r="BA38" i="7"/>
  <c r="AZ38" i="7"/>
  <c r="AZ36" i="7" s="1"/>
  <c r="BG37" i="7"/>
  <c r="BA37" i="7"/>
  <c r="BE36" i="7"/>
  <c r="BE83" i="7" s="1"/>
  <c r="BE87" i="7" s="1"/>
  <c r="BA36" i="7"/>
  <c r="BC36" i="7" s="1"/>
  <c r="BC35" i="7"/>
  <c r="BE28" i="7"/>
  <c r="BE85" i="7" s="1"/>
  <c r="BE89" i="7" s="1"/>
  <c r="BC27" i="7"/>
  <c r="BE26" i="7"/>
  <c r="BA26" i="7"/>
  <c r="BA28" i="7" s="1"/>
  <c r="BA85" i="7" s="1"/>
  <c r="BA89" i="7" s="1"/>
  <c r="AZ26" i="7"/>
  <c r="AZ28" i="7" s="1"/>
  <c r="AZ85" i="7" s="1"/>
  <c r="AZ89" i="7" s="1"/>
  <c r="BC25" i="7"/>
  <c r="BC24" i="7"/>
  <c r="BC21" i="7"/>
  <c r="BC20" i="7"/>
  <c r="BG19" i="7"/>
  <c r="BE19" i="7"/>
  <c r="BC19" i="7"/>
  <c r="BA19" i="7"/>
  <c r="AZ19" i="7"/>
  <c r="BC18" i="7"/>
  <c r="BG17" i="7"/>
  <c r="BG22" i="7" s="1"/>
  <c r="BE17" i="7"/>
  <c r="BE22" i="7" s="1"/>
  <c r="BA17" i="7"/>
  <c r="BA22" i="7" s="1"/>
  <c r="AZ17" i="7"/>
  <c r="BC17" i="7" s="1"/>
  <c r="BC15" i="7"/>
  <c r="BC14" i="7"/>
  <c r="BC13" i="7"/>
  <c r="BG12" i="7"/>
  <c r="BE12" i="7"/>
  <c r="BA12" i="7"/>
  <c r="AZ12" i="7"/>
  <c r="BC12" i="7" s="1"/>
  <c r="AZ93" i="39"/>
  <c r="AZ91" i="39"/>
  <c r="BG88" i="39"/>
  <c r="BE88" i="39"/>
  <c r="BA88" i="39"/>
  <c r="AZ88" i="39"/>
  <c r="AZ87" i="39"/>
  <c r="BE86" i="39"/>
  <c r="AZ86" i="39"/>
  <c r="AZ85" i="39"/>
  <c r="AZ89" i="39" s="1"/>
  <c r="BG69" i="39"/>
  <c r="BA69" i="39"/>
  <c r="BA68" i="39"/>
  <c r="BG47" i="39"/>
  <c r="BG86" i="39" s="1"/>
  <c r="BA47" i="39"/>
  <c r="BA86" i="39" s="1"/>
  <c r="BC40" i="39"/>
  <c r="BA40" i="39" s="1"/>
  <c r="BE37" i="39"/>
  <c r="AZ37" i="39"/>
  <c r="BE36" i="39"/>
  <c r="AZ36" i="39"/>
  <c r="BA36" i="39" s="1"/>
  <c r="BH31" i="39"/>
  <c r="BG29" i="39"/>
  <c r="BE29" i="39"/>
  <c r="BE87" i="39" s="1"/>
  <c r="BA29" i="39"/>
  <c r="AZ29" i="39"/>
  <c r="BH27" i="39"/>
  <c r="BC27" i="39"/>
  <c r="BH26" i="39"/>
  <c r="BC26" i="39"/>
  <c r="BH25" i="39"/>
  <c r="BC25" i="39"/>
  <c r="BA55" i="39" s="1"/>
  <c r="BH23" i="39"/>
  <c r="BH40" i="39" s="1"/>
  <c r="BG40" i="39" s="1"/>
  <c r="BC23" i="39"/>
  <c r="BH21" i="39"/>
  <c r="BC21" i="39"/>
  <c r="BH20" i="39"/>
  <c r="BH39" i="39" s="1"/>
  <c r="BC20" i="39"/>
  <c r="BC39" i="39" s="1"/>
  <c r="BH19" i="39"/>
  <c r="BH37" i="39" s="1"/>
  <c r="BC19" i="39"/>
  <c r="BC37" i="39" s="1"/>
  <c r="BG17" i="39"/>
  <c r="BH17" i="39" s="1"/>
  <c r="BH36" i="39" s="1"/>
  <c r="BE17" i="39"/>
  <c r="BC17" i="39"/>
  <c r="BC36" i="39" s="1"/>
  <c r="BA17" i="39"/>
  <c r="AZ17" i="39"/>
  <c r="BH15" i="39"/>
  <c r="BC15" i="39"/>
  <c r="BA15" i="39"/>
  <c r="AZ15" i="39"/>
  <c r="BH13" i="39"/>
  <c r="BC13" i="39"/>
  <c r="BG12" i="39"/>
  <c r="BE12" i="39"/>
  <c r="BH12" i="39" s="1"/>
  <c r="BC12" i="39"/>
  <c r="BJ71" i="34"/>
  <c r="BH71" i="34"/>
  <c r="BD71" i="34"/>
  <c r="BC71" i="34"/>
  <c r="BJ69" i="34"/>
  <c r="BH69" i="34"/>
  <c r="BD69" i="34"/>
  <c r="BC69" i="34"/>
  <c r="BJ68" i="34"/>
  <c r="BH68" i="34"/>
  <c r="BD68" i="34"/>
  <c r="BC68" i="34"/>
  <c r="BJ65" i="34"/>
  <c r="BJ64" i="34"/>
  <c r="BF37" i="34"/>
  <c r="BF35" i="34"/>
  <c r="BJ28" i="34"/>
  <c r="BJ70" i="34" s="1"/>
  <c r="BH28" i="34"/>
  <c r="BH70" i="34" s="1"/>
  <c r="BD28" i="34"/>
  <c r="BD70" i="34" s="1"/>
  <c r="BD72" i="34" s="1"/>
  <c r="BD73" i="34" s="1"/>
  <c r="BC28" i="34"/>
  <c r="BC70" i="34" s="1"/>
  <c r="BF25" i="34"/>
  <c r="BF24" i="34"/>
  <c r="BF23" i="34"/>
  <c r="BF21" i="34"/>
  <c r="BF20" i="34"/>
  <c r="BF18" i="34"/>
  <c r="BJ17" i="34"/>
  <c r="BH17" i="34"/>
  <c r="BD17" i="34"/>
  <c r="BF17" i="34" s="1"/>
  <c r="BC17" i="34"/>
  <c r="BH15" i="34"/>
  <c r="BC15" i="34"/>
  <c r="BN86" i="41"/>
  <c r="BL86" i="41"/>
  <c r="BH86" i="41"/>
  <c r="BG86" i="41"/>
  <c r="BL85" i="41"/>
  <c r="BN84" i="41"/>
  <c r="BL84" i="41"/>
  <c r="BH84" i="41"/>
  <c r="BG84" i="41"/>
  <c r="BN83" i="41"/>
  <c r="BL83" i="41"/>
  <c r="BL87" i="41" s="1"/>
  <c r="BG83" i="41"/>
  <c r="BJ52" i="41"/>
  <c r="BJ48" i="41"/>
  <c r="BJ46" i="41"/>
  <c r="BJ45" i="41"/>
  <c r="BH36" i="41"/>
  <c r="BJ36" i="41" s="1"/>
  <c r="BL28" i="41"/>
  <c r="BH28" i="41"/>
  <c r="BH85" i="41" s="1"/>
  <c r="BG28" i="41"/>
  <c r="BG85" i="41" s="1"/>
  <c r="BJ26" i="41"/>
  <c r="BN24" i="41"/>
  <c r="BN28" i="41" s="1"/>
  <c r="BN85" i="41" s="1"/>
  <c r="BJ24" i="41"/>
  <c r="BN22" i="41"/>
  <c r="BG22" i="41"/>
  <c r="BN21" i="41"/>
  <c r="BL21" i="41"/>
  <c r="BL17" i="41" s="1"/>
  <c r="BL22" i="41" s="1"/>
  <c r="BH21" i="41"/>
  <c r="BJ21" i="41" s="1"/>
  <c r="BG21" i="41"/>
  <c r="BJ18" i="41"/>
  <c r="BN17" i="41"/>
  <c r="BH17" i="41"/>
  <c r="BH22" i="41" s="1"/>
  <c r="BJ22" i="41" s="1"/>
  <c r="BG17" i="41"/>
  <c r="BN15" i="41"/>
  <c r="BL15" i="41"/>
  <c r="BH15" i="41"/>
  <c r="BG14" i="41"/>
  <c r="BG15" i="41" s="1"/>
  <c r="BG13" i="41"/>
  <c r="BJ13" i="41" s="1"/>
  <c r="BJ12" i="41"/>
  <c r="W86" i="87"/>
  <c r="U86" i="87"/>
  <c r="Q86" i="87"/>
  <c r="P86" i="87"/>
  <c r="Q84" i="87"/>
  <c r="P84" i="87"/>
  <c r="W83" i="87"/>
  <c r="W54" i="87"/>
  <c r="W44" i="87" s="1"/>
  <c r="W53" i="87"/>
  <c r="W52" i="87"/>
  <c r="Q52" i="87"/>
  <c r="Q35" i="87" s="1"/>
  <c r="P52" i="87"/>
  <c r="P35" i="87" s="1"/>
  <c r="U44" i="87"/>
  <c r="U84" i="87" s="1"/>
  <c r="W36" i="87"/>
  <c r="W90" i="87" s="1"/>
  <c r="U36" i="87"/>
  <c r="U90" i="87" s="1"/>
  <c r="Q36" i="87"/>
  <c r="Q90" i="87" s="1"/>
  <c r="P36" i="87"/>
  <c r="W35" i="87"/>
  <c r="U35" i="87"/>
  <c r="Q28" i="87"/>
  <c r="Q85" i="87" s="1"/>
  <c r="W26" i="87"/>
  <c r="W28" i="87" s="1"/>
  <c r="U26" i="87"/>
  <c r="U28" i="87" s="1"/>
  <c r="U85" i="87" s="1"/>
  <c r="P26" i="87"/>
  <c r="P28" i="87" s="1"/>
  <c r="P85" i="87" s="1"/>
  <c r="W24" i="87"/>
  <c r="Q21" i="87"/>
  <c r="Q17" i="87" s="1"/>
  <c r="Q22" i="87" s="1"/>
  <c r="P21" i="87"/>
  <c r="P17" i="87" s="1"/>
  <c r="P22" i="87" s="1"/>
  <c r="W18" i="87"/>
  <c r="W17" i="87"/>
  <c r="U17" i="87"/>
  <c r="U22" i="87" s="1"/>
  <c r="W15" i="87"/>
  <c r="Q15" i="87"/>
  <c r="P15" i="87"/>
  <c r="W13" i="87"/>
  <c r="W12" i="87"/>
  <c r="U12" i="87"/>
  <c r="U15" i="87" s="1"/>
  <c r="W86" i="86"/>
  <c r="U86" i="86"/>
  <c r="Q86" i="86"/>
  <c r="P86" i="86"/>
  <c r="W53" i="86"/>
  <c r="U53" i="86"/>
  <c r="P53" i="86"/>
  <c r="S53" i="86" s="1"/>
  <c r="W52" i="86"/>
  <c r="U52" i="86"/>
  <c r="Q52" i="86"/>
  <c r="S52" i="86" s="1"/>
  <c r="P52" i="86"/>
  <c r="U45" i="86"/>
  <c r="Q45" i="86"/>
  <c r="Q90" i="86" s="1"/>
  <c r="P45" i="86"/>
  <c r="P90" i="86" s="1"/>
  <c r="W44" i="86"/>
  <c r="W84" i="86" s="1"/>
  <c r="U44" i="86"/>
  <c r="Q44" i="86"/>
  <c r="P44" i="86"/>
  <c r="W36" i="86"/>
  <c r="W90" i="86" s="1"/>
  <c r="U36" i="86"/>
  <c r="S36" i="86"/>
  <c r="W35" i="86"/>
  <c r="U35" i="86"/>
  <c r="Q35" i="86"/>
  <c r="P35" i="86"/>
  <c r="U28" i="86"/>
  <c r="Q28" i="86"/>
  <c r="P28" i="86"/>
  <c r="P85" i="86" s="1"/>
  <c r="W24" i="86"/>
  <c r="W28" i="86" s="1"/>
  <c r="W85" i="86" s="1"/>
  <c r="S24" i="86"/>
  <c r="W21" i="86"/>
  <c r="S21" i="86"/>
  <c r="S18" i="86"/>
  <c r="W17" i="86"/>
  <c r="U17" i="86"/>
  <c r="U22" i="86" s="1"/>
  <c r="Q17" i="86"/>
  <c r="Q22" i="86" s="1"/>
  <c r="S22" i="86" s="1"/>
  <c r="P17" i="86"/>
  <c r="P22" i="86" s="1"/>
  <c r="Q15" i="86"/>
  <c r="W13" i="86"/>
  <c r="S13" i="86"/>
  <c r="U12" i="86"/>
  <c r="U15" i="86" s="1"/>
  <c r="Q12" i="86"/>
  <c r="S12" i="86" s="1"/>
  <c r="P12" i="86"/>
  <c r="P15" i="86" s="1"/>
  <c r="U150" i="85"/>
  <c r="Q150" i="85"/>
  <c r="P150" i="85"/>
  <c r="W146" i="85"/>
  <c r="U146" i="85"/>
  <c r="Q146" i="85"/>
  <c r="P146" i="85"/>
  <c r="U144" i="85"/>
  <c r="Q144" i="85"/>
  <c r="P144" i="85"/>
  <c r="U143" i="85"/>
  <c r="Q143" i="85"/>
  <c r="P143" i="85"/>
  <c r="S119" i="85"/>
  <c r="W119" i="85" s="1"/>
  <c r="S118" i="85"/>
  <c r="W118" i="85" s="1"/>
  <c r="S117" i="85"/>
  <c r="W117" i="85" s="1"/>
  <c r="S115" i="85"/>
  <c r="W115" i="85" s="1"/>
  <c r="S114" i="85"/>
  <c r="W114" i="85" s="1"/>
  <c r="S113" i="85"/>
  <c r="W113" i="85" s="1"/>
  <c r="S112" i="85"/>
  <c r="W112" i="85" s="1"/>
  <c r="S111" i="85"/>
  <c r="W111" i="85" s="1"/>
  <c r="S110" i="85"/>
  <c r="W110" i="85" s="1"/>
  <c r="S109" i="85"/>
  <c r="W109" i="85" s="1"/>
  <c r="S108" i="85"/>
  <c r="W108" i="85" s="1"/>
  <c r="S107" i="85"/>
  <c r="W107" i="85" s="1"/>
  <c r="S106" i="85"/>
  <c r="W106" i="85" s="1"/>
  <c r="S105" i="85"/>
  <c r="W105" i="85" s="1"/>
  <c r="S104" i="85"/>
  <c r="W104" i="85" s="1"/>
  <c r="S103" i="85"/>
  <c r="W103" i="85" s="1"/>
  <c r="S102" i="85"/>
  <c r="W102" i="85" s="1"/>
  <c r="S101" i="85"/>
  <c r="W101" i="85" s="1"/>
  <c r="S100" i="85"/>
  <c r="W100" i="85" s="1"/>
  <c r="S99" i="85"/>
  <c r="W99" i="85" s="1"/>
  <c r="S98" i="85"/>
  <c r="W98" i="85" s="1"/>
  <c r="S97" i="85"/>
  <c r="W97" i="85" s="1"/>
  <c r="S96" i="85"/>
  <c r="W96" i="85" s="1"/>
  <c r="S95" i="85"/>
  <c r="W95" i="85" s="1"/>
  <c r="S94" i="85"/>
  <c r="W94" i="85" s="1"/>
  <c r="S93" i="85"/>
  <c r="W93" i="85" s="1"/>
  <c r="S92" i="85"/>
  <c r="W92" i="85" s="1"/>
  <c r="S91" i="85"/>
  <c r="W91" i="85" s="1"/>
  <c r="S90" i="85"/>
  <c r="W90" i="85" s="1"/>
  <c r="S89" i="85"/>
  <c r="W89" i="85" s="1"/>
  <c r="S85" i="85"/>
  <c r="W85" i="85" s="1"/>
  <c r="S84" i="85"/>
  <c r="W84" i="85" s="1"/>
  <c r="S83" i="85"/>
  <c r="W83" i="85" s="1"/>
  <c r="S81" i="85"/>
  <c r="W81" i="85" s="1"/>
  <c r="S80" i="85"/>
  <c r="W80" i="85" s="1"/>
  <c r="S79" i="85"/>
  <c r="W79" i="85" s="1"/>
  <c r="S71" i="85"/>
  <c r="W71" i="85" s="1"/>
  <c r="S70" i="85"/>
  <c r="W70" i="85" s="1"/>
  <c r="S69" i="85"/>
  <c r="W69" i="85" s="1"/>
  <c r="S68" i="85"/>
  <c r="W68" i="85" s="1"/>
  <c r="S67" i="85"/>
  <c r="W67" i="85" s="1"/>
  <c r="S66" i="85"/>
  <c r="W66" i="85" s="1"/>
  <c r="S65" i="85"/>
  <c r="W65" i="85" s="1"/>
  <c r="S64" i="85"/>
  <c r="W64" i="85" s="1"/>
  <c r="S62" i="85"/>
  <c r="W62" i="85" s="1"/>
  <c r="S61" i="85"/>
  <c r="W61" i="85" s="1"/>
  <c r="S60" i="85"/>
  <c r="W60" i="85" s="1"/>
  <c r="S59" i="85"/>
  <c r="W59" i="85" s="1"/>
  <c r="S58" i="85"/>
  <c r="W58" i="85" s="1"/>
  <c r="S57" i="85"/>
  <c r="W57" i="85" s="1"/>
  <c r="S56" i="85"/>
  <c r="W56" i="85" s="1"/>
  <c r="S55" i="85"/>
  <c r="W55" i="85" s="1"/>
  <c r="S54" i="85"/>
  <c r="W54" i="85" s="1"/>
  <c r="S53" i="85"/>
  <c r="W53" i="85" s="1"/>
  <c r="S52" i="85"/>
  <c r="W52" i="85" s="1"/>
  <c r="S51" i="85"/>
  <c r="W51" i="85" s="1"/>
  <c r="S50" i="85"/>
  <c r="W50" i="85" s="1"/>
  <c r="S49" i="85"/>
  <c r="W49" i="85" s="1"/>
  <c r="S48" i="85"/>
  <c r="W48" i="85" s="1"/>
  <c r="S47" i="85"/>
  <c r="W47" i="85" s="1"/>
  <c r="S46" i="85"/>
  <c r="W46" i="85" s="1"/>
  <c r="S45" i="85"/>
  <c r="W45" i="85" s="1"/>
  <c r="S44" i="85"/>
  <c r="W44" i="85" s="1"/>
  <c r="S43" i="85"/>
  <c r="W43" i="85" s="1"/>
  <c r="S42" i="85"/>
  <c r="W42" i="85" s="1"/>
  <c r="S41" i="85"/>
  <c r="W41" i="85" s="1"/>
  <c r="S40" i="85"/>
  <c r="W40" i="85" s="1"/>
  <c r="S39" i="85"/>
  <c r="W39" i="85" s="1"/>
  <c r="S38" i="85"/>
  <c r="W38" i="85" s="1"/>
  <c r="S37" i="85"/>
  <c r="W37" i="85" s="1"/>
  <c r="S36" i="85"/>
  <c r="W36" i="85" s="1"/>
  <c r="W143" i="85" s="1"/>
  <c r="W147" i="85" s="1"/>
  <c r="U28" i="85"/>
  <c r="U145" i="85" s="1"/>
  <c r="U149" i="85" s="1"/>
  <c r="P28" i="85"/>
  <c r="P145" i="85" s="1"/>
  <c r="P149" i="85" s="1"/>
  <c r="S27" i="85"/>
  <c r="S26" i="85"/>
  <c r="S24" i="85"/>
  <c r="P22" i="85"/>
  <c r="P21" i="85"/>
  <c r="S20" i="85"/>
  <c r="Q18" i="85"/>
  <c r="S18" i="85" s="1"/>
  <c r="P18" i="85"/>
  <c r="U17" i="85"/>
  <c r="U22" i="85" s="1"/>
  <c r="Q17" i="85"/>
  <c r="Q22" i="85" s="1"/>
  <c r="P17" i="85"/>
  <c r="Q12" i="85"/>
  <c r="P12" i="85"/>
  <c r="R86" i="84"/>
  <c r="P86" i="84"/>
  <c r="R83" i="84"/>
  <c r="R53" i="84"/>
  <c r="P53" i="84"/>
  <c r="R52" i="84"/>
  <c r="R85" i="84" s="1"/>
  <c r="P52" i="84"/>
  <c r="R45" i="84"/>
  <c r="P45" i="84"/>
  <c r="P84" i="84" s="1"/>
  <c r="R44" i="84"/>
  <c r="R84" i="84" s="1"/>
  <c r="P44" i="84"/>
  <c r="R36" i="84"/>
  <c r="R90" i="84" s="1"/>
  <c r="P36" i="84"/>
  <c r="P90" i="84" s="1"/>
  <c r="R35" i="84"/>
  <c r="P35" i="84"/>
  <c r="P83" i="84" s="1"/>
  <c r="P87" i="84" s="1"/>
  <c r="R28" i="84"/>
  <c r="P28" i="84"/>
  <c r="P85" i="84" s="1"/>
  <c r="R22" i="84"/>
  <c r="R17" i="84"/>
  <c r="P17" i="84"/>
  <c r="P22" i="84" s="1"/>
  <c r="R13" i="84"/>
  <c r="P13" i="84"/>
  <c r="P12" i="84" s="1"/>
  <c r="P15" i="84" s="1"/>
  <c r="R12" i="84"/>
  <c r="R15" i="84" s="1"/>
  <c r="BG89" i="29"/>
  <c r="BL88" i="29"/>
  <c r="BO87" i="29"/>
  <c r="BL87" i="29"/>
  <c r="BJ87" i="29"/>
  <c r="BL86" i="29"/>
  <c r="BG86" i="29"/>
  <c r="BO65" i="29"/>
  <c r="BO64" i="29"/>
  <c r="BO89" i="29" s="1"/>
  <c r="BL64" i="29"/>
  <c r="BL89" i="29" s="1"/>
  <c r="BL90" i="29" s="1"/>
  <c r="BJ64" i="29"/>
  <c r="BJ89" i="29" s="1"/>
  <c r="BG50" i="29"/>
  <c r="BG48" i="29"/>
  <c r="BG47" i="29"/>
  <c r="BG87" i="29" s="1"/>
  <c r="BO37" i="29"/>
  <c r="BL37" i="29"/>
  <c r="BL92" i="29" s="1"/>
  <c r="BL94" i="29" s="1"/>
  <c r="BJ37" i="29"/>
  <c r="BG37" i="29"/>
  <c r="BO36" i="29"/>
  <c r="BL36" i="29"/>
  <c r="BJ36" i="29"/>
  <c r="BO35" i="29"/>
  <c r="BO92" i="29" s="1"/>
  <c r="BO94" i="29" s="1"/>
  <c r="BL35" i="29"/>
  <c r="BJ35" i="29"/>
  <c r="BJ55" i="29" s="1"/>
  <c r="BL30" i="29"/>
  <c r="BG30" i="29"/>
  <c r="BO28" i="29"/>
  <c r="BO88" i="29" s="1"/>
  <c r="BL28" i="29"/>
  <c r="BJ28" i="29"/>
  <c r="BJ88" i="29" s="1"/>
  <c r="BG28" i="29"/>
  <c r="BG88" i="29" s="1"/>
  <c r="BG92" i="29" s="1"/>
  <c r="BG94" i="29" s="1"/>
  <c r="BG24" i="29"/>
  <c r="BK24" i="29" s="1"/>
  <c r="BO22" i="29"/>
  <c r="BL22" i="29"/>
  <c r="BG22" i="29"/>
  <c r="BO20" i="29"/>
  <c r="BL20" i="29"/>
  <c r="BJ20" i="29"/>
  <c r="BJ17" i="29" s="1"/>
  <c r="BJ18" i="29"/>
  <c r="BK18" i="29" s="1"/>
  <c r="BO17" i="29"/>
  <c r="BG17" i="29"/>
  <c r="BO15" i="29"/>
  <c r="BL15" i="29"/>
  <c r="BJ15" i="29"/>
  <c r="BK15" i="29" s="1"/>
  <c r="BG15" i="29"/>
  <c r="BK13" i="29"/>
  <c r="BG13" i="29"/>
  <c r="BK12" i="29"/>
  <c r="BG7" i="29"/>
  <c r="BL7" i="29" s="1"/>
  <c r="BB83" i="54"/>
  <c r="AZ83" i="54"/>
  <c r="AV83" i="54"/>
  <c r="AU83" i="54"/>
  <c r="BB82" i="54"/>
  <c r="AZ82" i="54"/>
  <c r="AV82" i="54"/>
  <c r="AU82" i="54"/>
  <c r="AZ81" i="54"/>
  <c r="AU81" i="54"/>
  <c r="AX66" i="54"/>
  <c r="AX65" i="54"/>
  <c r="AX64" i="54"/>
  <c r="AX63" i="54"/>
  <c r="AX60" i="54"/>
  <c r="AX58" i="54"/>
  <c r="AX57" i="54"/>
  <c r="AX56" i="54"/>
  <c r="AX55" i="54"/>
  <c r="AX54" i="54"/>
  <c r="AX53" i="54"/>
  <c r="AX52" i="54"/>
  <c r="AX51" i="54"/>
  <c r="BB49" i="54"/>
  <c r="AX49" i="54"/>
  <c r="AV49" i="54"/>
  <c r="AX48" i="54"/>
  <c r="BB48" i="54" s="1"/>
  <c r="AV48" i="54"/>
  <c r="AV81" i="54" s="1"/>
  <c r="AX47" i="54"/>
  <c r="BB47" i="54" s="1"/>
  <c r="AV47" i="54"/>
  <c r="AX46" i="54"/>
  <c r="BB46" i="54" s="1"/>
  <c r="AV46" i="54"/>
  <c r="AX45" i="54"/>
  <c r="BB45" i="54" s="1"/>
  <c r="AV45" i="54"/>
  <c r="AX44" i="54"/>
  <c r="BB44" i="54" s="1"/>
  <c r="AV44" i="54"/>
  <c r="AX43" i="54"/>
  <c r="BB43" i="54" s="1"/>
  <c r="AV43" i="54"/>
  <c r="BB41" i="54"/>
  <c r="AX41" i="54"/>
  <c r="AV41" i="54"/>
  <c r="BB40" i="54"/>
  <c r="AX40" i="54"/>
  <c r="AV40" i="54"/>
  <c r="AX39" i="54"/>
  <c r="BB39" i="54" s="1"/>
  <c r="AV39" i="54"/>
  <c r="AZ37" i="54"/>
  <c r="AU37" i="54"/>
  <c r="AX37" i="54" s="1"/>
  <c r="BB36" i="54"/>
  <c r="AZ36" i="54"/>
  <c r="AV36" i="54"/>
  <c r="AU36" i="54"/>
  <c r="AU86" i="54" s="1"/>
  <c r="AU88" i="54" s="1"/>
  <c r="BB35" i="54"/>
  <c r="AZ35" i="54"/>
  <c r="AV35" i="54"/>
  <c r="AU35" i="54"/>
  <c r="AX35" i="54" s="1"/>
  <c r="BB34" i="54"/>
  <c r="AZ34" i="54"/>
  <c r="AZ86" i="54" s="1"/>
  <c r="AZ88" i="54" s="1"/>
  <c r="AX34" i="54"/>
  <c r="AV34" i="54"/>
  <c r="AU34" i="54"/>
  <c r="BB33" i="54"/>
  <c r="AZ33" i="54"/>
  <c r="AV33" i="54"/>
  <c r="AU33" i="54"/>
  <c r="AU80" i="54" s="1"/>
  <c r="AU84" i="54" s="1"/>
  <c r="BB32" i="54"/>
  <c r="BB86" i="54" s="1"/>
  <c r="BB88" i="54" s="1"/>
  <c r="AZ32" i="54"/>
  <c r="AV32" i="54"/>
  <c r="AV86" i="54" s="1"/>
  <c r="AV88" i="54" s="1"/>
  <c r="AU32" i="54"/>
  <c r="AX32" i="54" s="1"/>
  <c r="AX28" i="54"/>
  <c r="BB28" i="54" s="1"/>
  <c r="AV28" i="54"/>
  <c r="BB26" i="54"/>
  <c r="AX26" i="54"/>
  <c r="AV26" i="54"/>
  <c r="BB25" i="54"/>
  <c r="AX25" i="54"/>
  <c r="AV25" i="54"/>
  <c r="AX24" i="54"/>
  <c r="BB24" i="54" s="1"/>
  <c r="AV24" i="54"/>
  <c r="AX23" i="54"/>
  <c r="AV21" i="54"/>
  <c r="AU21" i="54"/>
  <c r="AX21" i="54" s="1"/>
  <c r="AX20" i="54"/>
  <c r="AX19" i="54"/>
  <c r="BB17" i="54"/>
  <c r="AZ17" i="54"/>
  <c r="AV17" i="54"/>
  <c r="AU17" i="54"/>
  <c r="AX17" i="54" s="1"/>
  <c r="BB16" i="54"/>
  <c r="BB21" i="54" s="1"/>
  <c r="AZ16" i="54"/>
  <c r="AZ21" i="54" s="1"/>
  <c r="AX16" i="54"/>
  <c r="AV16" i="54"/>
  <c r="AU16" i="54"/>
  <c r="BB14" i="54"/>
  <c r="AZ14" i="54"/>
  <c r="AV14" i="54"/>
  <c r="AU14" i="54"/>
  <c r="AX14" i="54" s="1"/>
  <c r="AX13" i="54"/>
  <c r="BB12" i="54"/>
  <c r="AX12" i="54"/>
  <c r="BA101" i="33" l="1"/>
  <c r="BA98" i="33"/>
  <c r="BA96" i="33"/>
  <c r="BA102" i="33"/>
  <c r="BA103" i="33" s="1"/>
  <c r="BA105" i="33"/>
  <c r="BB101" i="33"/>
  <c r="BB98" i="33"/>
  <c r="BB96" i="33"/>
  <c r="BB105" i="33"/>
  <c r="BB102" i="33"/>
  <c r="BB103" i="33" s="1"/>
  <c r="BF97" i="33"/>
  <c r="BF99" i="33" s="1"/>
  <c r="BF91" i="33"/>
  <c r="BF95" i="33" s="1"/>
  <c r="BF106" i="33"/>
  <c r="BD17" i="33"/>
  <c r="BB99" i="33"/>
  <c r="BD13" i="33"/>
  <c r="BD81" i="33"/>
  <c r="BH91" i="33"/>
  <c r="BH95" i="33" s="1"/>
  <c r="BH81" i="33"/>
  <c r="BH106" i="33" s="1"/>
  <c r="BF101" i="3"/>
  <c r="AY109" i="3"/>
  <c r="AY110" i="3" s="1"/>
  <c r="AY108" i="3"/>
  <c r="AY105" i="3"/>
  <c r="AY103" i="3"/>
  <c r="AZ102" i="3"/>
  <c r="BF104" i="3"/>
  <c r="BF106" i="3" s="1"/>
  <c r="BF98" i="3"/>
  <c r="BD108" i="3"/>
  <c r="BD105" i="3"/>
  <c r="BD103" i="3"/>
  <c r="BD109" i="3"/>
  <c r="BD110" i="3" s="1"/>
  <c r="BF13" i="3"/>
  <c r="BF17" i="3" s="1"/>
  <c r="AZ17" i="3"/>
  <c r="BB17" i="3" s="1"/>
  <c r="BF19" i="3"/>
  <c r="BB38" i="3"/>
  <c r="BF38" i="3" s="1"/>
  <c r="BF78" i="3" s="1"/>
  <c r="AZ104" i="3"/>
  <c r="AZ106" i="3" s="1"/>
  <c r="H94" i="55"/>
  <c r="AU100" i="55"/>
  <c r="AU101" i="55"/>
  <c r="AU102" i="55" s="1"/>
  <c r="AU95" i="55"/>
  <c r="AU97" i="55"/>
  <c r="AD66" i="55"/>
  <c r="X66" i="55"/>
  <c r="Z67" i="55"/>
  <c r="AF101" i="55"/>
  <c r="AF102" i="55" s="1"/>
  <c r="AF95" i="55"/>
  <c r="AF100" i="55"/>
  <c r="AF97" i="55"/>
  <c r="AD93" i="55"/>
  <c r="AM75" i="55"/>
  <c r="AM93" i="55" s="1"/>
  <c r="N101" i="55"/>
  <c r="N102" i="55" s="1"/>
  <c r="N100" i="55"/>
  <c r="N97" i="55"/>
  <c r="N95" i="55"/>
  <c r="AI67" i="55"/>
  <c r="AM66" i="55"/>
  <c r="AD91" i="55"/>
  <c r="AM91" i="55"/>
  <c r="BD97" i="55"/>
  <c r="BD95" i="55"/>
  <c r="BD100" i="55"/>
  <c r="AP97" i="55"/>
  <c r="AP101" i="55"/>
  <c r="AP102" i="55" s="1"/>
  <c r="AP100" i="55"/>
  <c r="AP95" i="55"/>
  <c r="U23" i="55"/>
  <c r="U90" i="55"/>
  <c r="AZ95" i="55"/>
  <c r="AZ97" i="55"/>
  <c r="AZ100" i="55"/>
  <c r="S101" i="55"/>
  <c r="S102" i="55" s="1"/>
  <c r="S100" i="55"/>
  <c r="S97" i="55"/>
  <c r="S95" i="55"/>
  <c r="K95" i="55"/>
  <c r="K101" i="55"/>
  <c r="K102" i="55" s="1"/>
  <c r="K100" i="55"/>
  <c r="U16" i="55"/>
  <c r="L92" i="55"/>
  <c r="AM90" i="55"/>
  <c r="U92" i="55"/>
  <c r="AK97" i="55"/>
  <c r="AK100" i="55"/>
  <c r="AK101" i="55"/>
  <c r="AK102" i="55" s="1"/>
  <c r="AK95" i="55"/>
  <c r="BC16" i="55"/>
  <c r="Z23" i="55"/>
  <c r="AW96" i="55"/>
  <c r="AW98" i="55" s="1"/>
  <c r="AW90" i="55"/>
  <c r="AW94" i="55" s="1"/>
  <c r="L91" i="55"/>
  <c r="BF90" i="55"/>
  <c r="BF94" i="55" s="1"/>
  <c r="BF96" i="55"/>
  <c r="BF98" i="55" s="1"/>
  <c r="W97" i="55"/>
  <c r="W100" i="55"/>
  <c r="W101" i="55"/>
  <c r="W102" i="55" s="1"/>
  <c r="W95" i="55"/>
  <c r="BA98" i="55"/>
  <c r="U91" i="55"/>
  <c r="AB100" i="55"/>
  <c r="AB95" i="55"/>
  <c r="AB101" i="55"/>
  <c r="AB102" i="55" s="1"/>
  <c r="AB97" i="55"/>
  <c r="BD16" i="55"/>
  <c r="BG16" i="55" s="1"/>
  <c r="AD25" i="55"/>
  <c r="AG90" i="55"/>
  <c r="AG94" i="55" s="1"/>
  <c r="BA90" i="55"/>
  <c r="BA94" i="55" s="1"/>
  <c r="G92" i="55"/>
  <c r="G94" i="55" s="1"/>
  <c r="BF23" i="55"/>
  <c r="BG23" i="55" s="1"/>
  <c r="AG96" i="55"/>
  <c r="AG98" i="55" s="1"/>
  <c r="Z18" i="55"/>
  <c r="AD18" i="55" s="1"/>
  <c r="AD23" i="55" s="1"/>
  <c r="AO18" i="55"/>
  <c r="I34" i="55"/>
  <c r="L34" i="55" s="1"/>
  <c r="L90" i="55" s="1"/>
  <c r="AQ90" i="55"/>
  <c r="AQ94" i="55" s="1"/>
  <c r="AQ96" i="55"/>
  <c r="AQ98" i="55" s="1"/>
  <c r="BH18" i="55"/>
  <c r="BC100" i="1"/>
  <c r="BE97" i="1"/>
  <c r="BC107" i="1"/>
  <c r="BE91" i="1"/>
  <c r="BE95" i="1" s="1"/>
  <c r="BC92" i="1"/>
  <c r="BC95" i="1" s="1"/>
  <c r="BE123" i="36"/>
  <c r="BC125" i="36"/>
  <c r="BC123" i="36"/>
  <c r="BC119" i="36"/>
  <c r="BC113" i="36"/>
  <c r="BE125" i="36"/>
  <c r="BE113" i="36"/>
  <c r="BE119" i="36"/>
  <c r="AX53" i="48"/>
  <c r="AV98" i="48"/>
  <c r="AV101" i="48" s="1"/>
  <c r="AV103" i="48"/>
  <c r="AV105" i="48" s="1"/>
  <c r="AS112" i="48"/>
  <c r="AS98" i="48"/>
  <c r="AS101" i="48" s="1"/>
  <c r="AU53" i="48"/>
  <c r="BE92" i="7"/>
  <c r="AZ101" i="7"/>
  <c r="AZ92" i="7"/>
  <c r="BA92" i="7"/>
  <c r="AZ83" i="7"/>
  <c r="AZ87" i="7" s="1"/>
  <c r="AZ90" i="7"/>
  <c r="BE94" i="7"/>
  <c r="BE91" i="7"/>
  <c r="BE100" i="7"/>
  <c r="BE95" i="7"/>
  <c r="BE96" i="7" s="1"/>
  <c r="BE88" i="7"/>
  <c r="AZ66" i="7"/>
  <c r="AZ22" i="7"/>
  <c r="BC22" i="7" s="1"/>
  <c r="BE90" i="7"/>
  <c r="BE101" i="7" s="1"/>
  <c r="BC26" i="7"/>
  <c r="BG26" i="7" s="1"/>
  <c r="BG28" i="7" s="1"/>
  <c r="BG85" i="7" s="1"/>
  <c r="BG89" i="7" s="1"/>
  <c r="BA83" i="7"/>
  <c r="BA87" i="7" s="1"/>
  <c r="BG39" i="39"/>
  <c r="BA39" i="39"/>
  <c r="BG36" i="39"/>
  <c r="BC55" i="39"/>
  <c r="BG55" i="39" s="1"/>
  <c r="BH55" i="39" s="1"/>
  <c r="BC56" i="39"/>
  <c r="BG56" i="39" s="1"/>
  <c r="BH56" i="39" s="1"/>
  <c r="BA37" i="39"/>
  <c r="AZ95" i="39"/>
  <c r="AZ92" i="39"/>
  <c r="AZ90" i="39"/>
  <c r="AZ96" i="39"/>
  <c r="AZ97" i="39" s="1"/>
  <c r="BG37" i="39"/>
  <c r="BA56" i="39"/>
  <c r="BA87" i="39" s="1"/>
  <c r="BC38" i="39"/>
  <c r="BH38" i="39"/>
  <c r="BE85" i="39"/>
  <c r="BE89" i="39" s="1"/>
  <c r="BE91" i="39"/>
  <c r="BE93" i="39" s="1"/>
  <c r="BC72" i="34"/>
  <c r="BH72" i="34"/>
  <c r="BJ72" i="34"/>
  <c r="BJ15" i="41"/>
  <c r="BG87" i="41"/>
  <c r="BL94" i="41"/>
  <c r="BL88" i="41"/>
  <c r="BN87" i="41"/>
  <c r="BJ14" i="41"/>
  <c r="BJ17" i="41"/>
  <c r="BH83" i="41"/>
  <c r="BH87" i="41" s="1"/>
  <c r="W22" i="87"/>
  <c r="W85" i="87"/>
  <c r="W89" i="87" s="1"/>
  <c r="P89" i="87"/>
  <c r="P83" i="87"/>
  <c r="P87" i="87" s="1"/>
  <c r="U89" i="87"/>
  <c r="Q89" i="87"/>
  <c r="Q83" i="87"/>
  <c r="Q87" i="87" s="1"/>
  <c r="W84" i="87"/>
  <c r="W87" i="87" s="1"/>
  <c r="U83" i="87"/>
  <c r="U87" i="87" s="1"/>
  <c r="S17" i="86"/>
  <c r="Q85" i="86"/>
  <c r="U90" i="86"/>
  <c r="Q89" i="86"/>
  <c r="W22" i="86"/>
  <c r="U85" i="86"/>
  <c r="U89" i="86" s="1"/>
  <c r="U92" i="86" s="1"/>
  <c r="P84" i="86"/>
  <c r="S15" i="86"/>
  <c r="W89" i="86"/>
  <c r="S44" i="86"/>
  <c r="Q92" i="86"/>
  <c r="W92" i="86"/>
  <c r="P89" i="86"/>
  <c r="W12" i="86"/>
  <c r="W15" i="86" s="1"/>
  <c r="U84" i="86"/>
  <c r="Q84" i="86"/>
  <c r="P83" i="86"/>
  <c r="S35" i="86"/>
  <c r="Q83" i="86"/>
  <c r="U83" i="86"/>
  <c r="U87" i="86" s="1"/>
  <c r="W83" i="86"/>
  <c r="W87" i="86" s="1"/>
  <c r="W154" i="85"/>
  <c r="W148" i="85"/>
  <c r="P147" i="85"/>
  <c r="U147" i="85"/>
  <c r="U161" i="85"/>
  <c r="U152" i="85"/>
  <c r="P152" i="85"/>
  <c r="W150" i="85"/>
  <c r="W144" i="85"/>
  <c r="Q28" i="85"/>
  <c r="Q145" i="85" s="1"/>
  <c r="Q149" i="85" s="1"/>
  <c r="S17" i="85"/>
  <c r="W28" i="85"/>
  <c r="W145" i="85" s="1"/>
  <c r="W149" i="85" s="1"/>
  <c r="P88" i="84"/>
  <c r="P94" i="84"/>
  <c r="R89" i="84"/>
  <c r="R87" i="84"/>
  <c r="P89" i="84"/>
  <c r="BG90" i="29"/>
  <c r="BJ22" i="29"/>
  <c r="BK22" i="29" s="1"/>
  <c r="BK17" i="29"/>
  <c r="BL96" i="29"/>
  <c r="BL93" i="29"/>
  <c r="BL91" i="29"/>
  <c r="BJ86" i="29"/>
  <c r="BJ90" i="29" s="1"/>
  <c r="BJ92" i="29"/>
  <c r="BJ94" i="29" s="1"/>
  <c r="BL67" i="29"/>
  <c r="BO67" i="29" s="1"/>
  <c r="BO86" i="29"/>
  <c r="BO90" i="29" s="1"/>
  <c r="BG67" i="29"/>
  <c r="BJ67" i="29" s="1"/>
  <c r="BK20" i="29"/>
  <c r="AU90" i="54"/>
  <c r="AU87" i="54"/>
  <c r="AU85" i="54"/>
  <c r="BB81" i="54"/>
  <c r="AX36" i="54"/>
  <c r="AX33" i="54"/>
  <c r="AV80" i="54"/>
  <c r="AV84" i="54" s="1"/>
  <c r="AZ80" i="54"/>
  <c r="AZ84" i="54" s="1"/>
  <c r="BB80" i="54"/>
  <c r="BB84" i="54" s="1"/>
  <c r="BF101" i="33" l="1"/>
  <c r="BF98" i="33"/>
  <c r="BF96" i="33"/>
  <c r="BF105" i="33"/>
  <c r="BF102" i="33"/>
  <c r="BF103" i="33" s="1"/>
  <c r="BH101" i="33"/>
  <c r="BH98" i="33"/>
  <c r="BH96" i="33"/>
  <c r="BH105" i="33"/>
  <c r="BH102" i="33"/>
  <c r="BH103" i="33" s="1"/>
  <c r="BF102" i="3"/>
  <c r="AZ108" i="3"/>
  <c r="AZ105" i="3"/>
  <c r="AZ103" i="3"/>
  <c r="AZ109" i="3"/>
  <c r="AZ110" i="3" s="1"/>
  <c r="G95" i="55"/>
  <c r="G101" i="55"/>
  <c r="G102" i="55" s="1"/>
  <c r="G100" i="55"/>
  <c r="AQ97" i="55"/>
  <c r="AQ100" i="55"/>
  <c r="AQ95" i="55"/>
  <c r="AG95" i="55"/>
  <c r="AG100" i="55"/>
  <c r="AG97" i="55"/>
  <c r="AW100" i="55"/>
  <c r="AW95" i="55"/>
  <c r="AW97" i="55"/>
  <c r="X67" i="55"/>
  <c r="X36" i="55" s="1"/>
  <c r="Z36" i="55" s="1"/>
  <c r="AD36" i="55" s="1"/>
  <c r="AD67" i="55"/>
  <c r="Z68" i="55"/>
  <c r="L94" i="55"/>
  <c r="X34" i="55"/>
  <c r="AM67" i="55"/>
  <c r="AM92" i="55" s="1"/>
  <c r="AI68" i="55"/>
  <c r="AM68" i="55" s="1"/>
  <c r="BF97" i="55"/>
  <c r="BF100" i="55"/>
  <c r="BF95" i="55"/>
  <c r="BA95" i="55"/>
  <c r="BA100" i="55"/>
  <c r="BA97" i="55"/>
  <c r="U94" i="55"/>
  <c r="BC102" i="1"/>
  <c r="BC108" i="1"/>
  <c r="BC96" i="1"/>
  <c r="BC106" i="1"/>
  <c r="BC99" i="1"/>
  <c r="BC109" i="1"/>
  <c r="BE102" i="1"/>
  <c r="BE108" i="1"/>
  <c r="BE96" i="1"/>
  <c r="BE99" i="1"/>
  <c r="BE106" i="1"/>
  <c r="BE109" i="1"/>
  <c r="BE100" i="1"/>
  <c r="BE107" i="1"/>
  <c r="AS111" i="48"/>
  <c r="AS107" i="48"/>
  <c r="AS104" i="48"/>
  <c r="AS102" i="48"/>
  <c r="AV112" i="48"/>
  <c r="AV111" i="48"/>
  <c r="AV107" i="48"/>
  <c r="AV104" i="48"/>
  <c r="AV102" i="48"/>
  <c r="AX103" i="48"/>
  <c r="AX105" i="48" s="1"/>
  <c r="AX98" i="48"/>
  <c r="AX101" i="48" s="1"/>
  <c r="AU103" i="48"/>
  <c r="AU105" i="48" s="1"/>
  <c r="AU98" i="48"/>
  <c r="AU101" i="48" s="1"/>
  <c r="BA100" i="7"/>
  <c r="BA88" i="7"/>
  <c r="BA94" i="7"/>
  <c r="BA91" i="7"/>
  <c r="BA95" i="7"/>
  <c r="BA96" i="7" s="1"/>
  <c r="AZ94" i="7"/>
  <c r="AZ91" i="7"/>
  <c r="AZ100" i="7"/>
  <c r="AZ95" i="7"/>
  <c r="AZ96" i="7" s="1"/>
  <c r="AZ88" i="7"/>
  <c r="BG87" i="7"/>
  <c r="BA101" i="7"/>
  <c r="BG101" i="7"/>
  <c r="BG92" i="7"/>
  <c r="BE95" i="39"/>
  <c r="BE92" i="39"/>
  <c r="BE90" i="39"/>
  <c r="BE96" i="39"/>
  <c r="BE97" i="39" s="1"/>
  <c r="BA38" i="39"/>
  <c r="BG38" i="39"/>
  <c r="BG91" i="39" s="1"/>
  <c r="BG93" i="39" s="1"/>
  <c r="BG87" i="39"/>
  <c r="BJ78" i="34"/>
  <c r="BJ73" i="34"/>
  <c r="BH78" i="34"/>
  <c r="BH73" i="34"/>
  <c r="BC78" i="34"/>
  <c r="BC73" i="34"/>
  <c r="BN94" i="41"/>
  <c r="BN88" i="41"/>
  <c r="BH94" i="41"/>
  <c r="BH88" i="41"/>
  <c r="BG94" i="41"/>
  <c r="BG88" i="41"/>
  <c r="W94" i="87"/>
  <c r="W88" i="87"/>
  <c r="W100" i="87"/>
  <c r="W91" i="87"/>
  <c r="Q101" i="87"/>
  <c r="Q92" i="87"/>
  <c r="Q91" i="87"/>
  <c r="Q94" i="87"/>
  <c r="Q88" i="87"/>
  <c r="Q100" i="87"/>
  <c r="U101" i="87"/>
  <c r="U92" i="87"/>
  <c r="P91" i="87"/>
  <c r="P90" i="87"/>
  <c r="P101" i="87" s="1"/>
  <c r="P88" i="87"/>
  <c r="P100" i="87"/>
  <c r="P92" i="87"/>
  <c r="W101" i="87"/>
  <c r="W92" i="87"/>
  <c r="U91" i="87"/>
  <c r="U94" i="87"/>
  <c r="U88" i="87"/>
  <c r="U100" i="87"/>
  <c r="P87" i="86"/>
  <c r="U101" i="86"/>
  <c r="W94" i="86"/>
  <c r="W91" i="86"/>
  <c r="W100" i="86"/>
  <c r="W88" i="86"/>
  <c r="P101" i="86"/>
  <c r="P92" i="86"/>
  <c r="Q87" i="86"/>
  <c r="W101" i="86"/>
  <c r="U88" i="86"/>
  <c r="U94" i="86"/>
  <c r="U91" i="86"/>
  <c r="U100" i="86"/>
  <c r="P94" i="86"/>
  <c r="P91" i="86"/>
  <c r="P100" i="86"/>
  <c r="P88" i="86"/>
  <c r="U160" i="85"/>
  <c r="U148" i="85"/>
  <c r="U154" i="85"/>
  <c r="U151" i="85"/>
  <c r="W161" i="85"/>
  <c r="W152" i="85"/>
  <c r="P154" i="85"/>
  <c r="P151" i="85"/>
  <c r="P160" i="85"/>
  <c r="P148" i="85"/>
  <c r="Q147" i="85"/>
  <c r="Q161" i="85"/>
  <c r="Q152" i="85"/>
  <c r="P161" i="85"/>
  <c r="W151" i="85"/>
  <c r="W160" i="85"/>
  <c r="R91" i="84"/>
  <c r="R100" i="84"/>
  <c r="R94" i="84"/>
  <c r="R88" i="84"/>
  <c r="R101" i="84"/>
  <c r="R92" i="84"/>
  <c r="P101" i="84"/>
  <c r="P92" i="84"/>
  <c r="P100" i="84"/>
  <c r="P91" i="84"/>
  <c r="BJ93" i="29"/>
  <c r="BJ91" i="29"/>
  <c r="BJ96" i="29"/>
  <c r="BO96" i="29"/>
  <c r="BO93" i="29"/>
  <c r="BO91" i="29"/>
  <c r="BG96" i="29"/>
  <c r="BG93" i="29"/>
  <c r="BG91" i="29"/>
  <c r="AZ90" i="54"/>
  <c r="AZ85" i="54"/>
  <c r="AZ87" i="54"/>
  <c r="BB90" i="54"/>
  <c r="BB85" i="54"/>
  <c r="BB87" i="54"/>
  <c r="AV87" i="54"/>
  <c r="AV90" i="54"/>
  <c r="AV85" i="54"/>
  <c r="BF108" i="3" l="1"/>
  <c r="BF105" i="3"/>
  <c r="BF103" i="3"/>
  <c r="BF109" i="3"/>
  <c r="BF110" i="3" s="1"/>
  <c r="AM96" i="55"/>
  <c r="AM98" i="55" s="1"/>
  <c r="AM94" i="55"/>
  <c r="X68" i="55"/>
  <c r="X38" i="55" s="1"/>
  <c r="Z38" i="55" s="1"/>
  <c r="AD38" i="55" s="1"/>
  <c r="AD68" i="55"/>
  <c r="AD92" i="55" s="1"/>
  <c r="X90" i="55"/>
  <c r="Z34" i="55"/>
  <c r="AD34" i="55" s="1"/>
  <c r="AU107" i="48"/>
  <c r="AU104" i="48"/>
  <c r="AU102" i="48"/>
  <c r="AX107" i="48"/>
  <c r="AX104" i="48"/>
  <c r="AX102" i="48"/>
  <c r="BG94" i="7"/>
  <c r="BG91" i="7"/>
  <c r="BG100" i="7"/>
  <c r="BG95" i="7"/>
  <c r="BG96" i="7" s="1"/>
  <c r="BG88" i="7"/>
  <c r="BA85" i="39"/>
  <c r="BA89" i="39" s="1"/>
  <c r="BA91" i="39"/>
  <c r="BA93" i="39" s="1"/>
  <c r="BG85" i="39"/>
  <c r="BG89" i="39" s="1"/>
  <c r="Q94" i="86"/>
  <c r="Q91" i="86"/>
  <c r="Q100" i="86"/>
  <c r="Q88" i="86"/>
  <c r="Q101" i="86"/>
  <c r="Q154" i="85"/>
  <c r="Q151" i="85"/>
  <c r="Q160" i="85"/>
  <c r="Q148" i="85"/>
  <c r="AD96" i="55" l="1"/>
  <c r="AD98" i="55" s="1"/>
  <c r="AD90" i="55"/>
  <c r="AD94" i="55" s="1"/>
  <c r="AM97" i="55"/>
  <c r="AM100" i="55"/>
  <c r="AM95" i="55"/>
  <c r="X92" i="55"/>
  <c r="X96" i="55" s="1"/>
  <c r="X98" i="55" s="1"/>
  <c r="BG95" i="39"/>
  <c r="BG92" i="39"/>
  <c r="BG90" i="39"/>
  <c r="BG96" i="39"/>
  <c r="BG97" i="39" s="1"/>
  <c r="BA95" i="39"/>
  <c r="BA92" i="39"/>
  <c r="BA90" i="39"/>
  <c r="BA96" i="39"/>
  <c r="BA97" i="39" s="1"/>
  <c r="AD100" i="55" l="1"/>
  <c r="AD95" i="55"/>
  <c r="AD97" i="55"/>
  <c r="X94" i="55"/>
  <c r="X97" i="55" l="1"/>
  <c r="X100" i="55"/>
  <c r="X95" i="55"/>
  <c r="AF95" i="51" l="1"/>
  <c r="AD95" i="51"/>
  <c r="AB95" i="51"/>
  <c r="Z95" i="51"/>
  <c r="AF94" i="51"/>
  <c r="AD94" i="51"/>
  <c r="AB94" i="51"/>
  <c r="Z94" i="51"/>
  <c r="AF92" i="51"/>
  <c r="AD92" i="51"/>
  <c r="AB92" i="51"/>
  <c r="Z92" i="51"/>
  <c r="AF83" i="51"/>
  <c r="AD83" i="51"/>
  <c r="AB83" i="51"/>
  <c r="Z83" i="51"/>
  <c r="AF79" i="51"/>
  <c r="AD79" i="51"/>
  <c r="AB79" i="51"/>
  <c r="Z79" i="51"/>
  <c r="AF36" i="51"/>
  <c r="AC36" i="51"/>
  <c r="AF26" i="51"/>
  <c r="AF93" i="51" s="1"/>
  <c r="AD26" i="51"/>
  <c r="AD93" i="51" s="1"/>
  <c r="AB26" i="51"/>
  <c r="AB93" i="51" s="1"/>
  <c r="Z26" i="51"/>
  <c r="Z93" i="51" s="1"/>
  <c r="AF19" i="51"/>
  <c r="AF17" i="51" s="1"/>
  <c r="AC19" i="51"/>
  <c r="AF18" i="51"/>
  <c r="Z18" i="51"/>
  <c r="Z17" i="51" s="1"/>
  <c r="AD17" i="51"/>
  <c r="AD20" i="51" s="1"/>
  <c r="AB17" i="51"/>
  <c r="AB20" i="51" s="1"/>
  <c r="AD15" i="51"/>
  <c r="AF13" i="51"/>
  <c r="AF12" i="51" s="1"/>
  <c r="AF15" i="51" s="1"/>
  <c r="AC13" i="51"/>
  <c r="AD12" i="51"/>
  <c r="AB12" i="51"/>
  <c r="AC12" i="51" s="1"/>
  <c r="Z12" i="51"/>
  <c r="Z15" i="51" s="1"/>
  <c r="B119" i="20"/>
  <c r="B118" i="20"/>
  <c r="B117" i="20"/>
  <c r="B116" i="20"/>
  <c r="B115" i="20"/>
  <c r="B114" i="20"/>
  <c r="B113" i="20"/>
  <c r="B112" i="20"/>
  <c r="B111" i="20"/>
  <c r="B110" i="20"/>
  <c r="B109" i="20"/>
  <c r="B108" i="20"/>
  <c r="O105" i="20"/>
  <c r="H93" i="20"/>
  <c r="AC91" i="20"/>
  <c r="L91" i="20"/>
  <c r="BD90" i="20"/>
  <c r="AY90" i="20"/>
  <c r="AU90" i="20"/>
  <c r="AL90" i="20"/>
  <c r="AH90" i="20"/>
  <c r="AG90" i="20"/>
  <c r="AC90" i="20"/>
  <c r="Y90" i="20"/>
  <c r="O90" i="20"/>
  <c r="L90" i="20"/>
  <c r="I90" i="20"/>
  <c r="H90" i="20"/>
  <c r="F90" i="20"/>
  <c r="BB87" i="20"/>
  <c r="AS87" i="20"/>
  <c r="AN87" i="20"/>
  <c r="AJ87" i="20"/>
  <c r="AA87" i="20"/>
  <c r="AE87" i="20" s="1"/>
  <c r="R87" i="20"/>
  <c r="V87" i="20" s="1"/>
  <c r="BB86" i="20"/>
  <c r="AS86" i="20"/>
  <c r="AN86" i="20"/>
  <c r="AJ86" i="20"/>
  <c r="AA86" i="20"/>
  <c r="AE86" i="20" s="1"/>
  <c r="R86" i="20"/>
  <c r="V86" i="20" s="1"/>
  <c r="BB85" i="20"/>
  <c r="AS85" i="20"/>
  <c r="AN85" i="20"/>
  <c r="AJ85" i="20"/>
  <c r="AA85" i="20"/>
  <c r="AE85" i="20" s="1"/>
  <c r="R85" i="20"/>
  <c r="V85" i="20" s="1"/>
  <c r="BB84" i="20"/>
  <c r="AS84" i="20"/>
  <c r="AN84" i="20"/>
  <c r="AJ84" i="20"/>
  <c r="AA84" i="20"/>
  <c r="AE84" i="20" s="1"/>
  <c r="R84" i="20"/>
  <c r="V84" i="20" s="1"/>
  <c r="BB83" i="20"/>
  <c r="AS83" i="20"/>
  <c r="AN83" i="20"/>
  <c r="AJ83" i="20"/>
  <c r="AA83" i="20"/>
  <c r="AE83" i="20" s="1"/>
  <c r="R83" i="20"/>
  <c r="V83" i="20" s="1"/>
  <c r="BB82" i="20"/>
  <c r="AS82" i="20"/>
  <c r="AN82" i="20"/>
  <c r="AJ82" i="20"/>
  <c r="AA82" i="20"/>
  <c r="AE82" i="20" s="1"/>
  <c r="R82" i="20"/>
  <c r="V82" i="20" s="1"/>
  <c r="BB81" i="20"/>
  <c r="AS81" i="20"/>
  <c r="AN81" i="20"/>
  <c r="AJ81" i="20"/>
  <c r="AA81" i="20"/>
  <c r="AE81" i="20" s="1"/>
  <c r="R81" i="20"/>
  <c r="V81" i="20" s="1"/>
  <c r="BB80" i="20"/>
  <c r="AS80" i="20"/>
  <c r="AN80" i="20"/>
  <c r="AJ80" i="20"/>
  <c r="AA80" i="20"/>
  <c r="AE80" i="20" s="1"/>
  <c r="R80" i="20"/>
  <c r="V80" i="20" s="1"/>
  <c r="BB79" i="20"/>
  <c r="AS79" i="20"/>
  <c r="AN79" i="20"/>
  <c r="AJ79" i="20"/>
  <c r="AH79" i="20"/>
  <c r="X79" i="20"/>
  <c r="AN76" i="20"/>
  <c r="AE76" i="20"/>
  <c r="J76" i="20"/>
  <c r="M76" i="20" s="1"/>
  <c r="AP75" i="20"/>
  <c r="AN75" i="20"/>
  <c r="AE75" i="20"/>
  <c r="X75" i="20"/>
  <c r="T75" i="20"/>
  <c r="P75" i="20"/>
  <c r="M75" i="20"/>
  <c r="J75" i="20"/>
  <c r="AP74" i="20"/>
  <c r="AN74" i="20"/>
  <c r="AE74" i="20"/>
  <c r="X74" i="20"/>
  <c r="T74" i="20"/>
  <c r="P74" i="20"/>
  <c r="J74" i="20"/>
  <c r="M74" i="20" s="1"/>
  <c r="BB73" i="20"/>
  <c r="AS73" i="20"/>
  <c r="AP73" i="20"/>
  <c r="AN73" i="20"/>
  <c r="AJ73" i="20"/>
  <c r="AE73" i="20"/>
  <c r="X73" i="20"/>
  <c r="AA73" i="20" s="1"/>
  <c r="L73" i="20"/>
  <c r="H73" i="20"/>
  <c r="J73" i="20" s="1"/>
  <c r="AN70" i="20"/>
  <c r="AE70" i="20"/>
  <c r="Y70" i="20"/>
  <c r="X70" i="20"/>
  <c r="T70" i="20"/>
  <c r="P70" i="20"/>
  <c r="BD69" i="20"/>
  <c r="AZ69" i="20"/>
  <c r="AN69" i="20"/>
  <c r="BD68" i="20"/>
  <c r="BD93" i="20" s="1"/>
  <c r="AL68" i="20"/>
  <c r="AL93" i="20" s="1"/>
  <c r="AJ68" i="20"/>
  <c r="AH68" i="20"/>
  <c r="AH93" i="20" s="1"/>
  <c r="X68" i="20"/>
  <c r="F68" i="20"/>
  <c r="F93" i="20" s="1"/>
  <c r="BB66" i="20"/>
  <c r="AS66" i="20"/>
  <c r="AN66" i="20"/>
  <c r="AJ66" i="20"/>
  <c r="AA66" i="20"/>
  <c r="AE66" i="20" s="1"/>
  <c r="R66" i="20"/>
  <c r="V66" i="20" s="1"/>
  <c r="J66" i="20"/>
  <c r="M66" i="20" s="1"/>
  <c r="BB65" i="20"/>
  <c r="AS65" i="20"/>
  <c r="AN65" i="20"/>
  <c r="AJ65" i="20"/>
  <c r="AA65" i="20"/>
  <c r="AE65" i="20" s="1"/>
  <c r="R65" i="20"/>
  <c r="V65" i="20" s="1"/>
  <c r="J65" i="20"/>
  <c r="M65" i="20" s="1"/>
  <c r="BB64" i="20"/>
  <c r="AS64" i="20"/>
  <c r="AN64" i="20"/>
  <c r="AJ64" i="20"/>
  <c r="AA64" i="20"/>
  <c r="AE64" i="20" s="1"/>
  <c r="R64" i="20"/>
  <c r="V64" i="20" s="1"/>
  <c r="BB63" i="20"/>
  <c r="AS63" i="20"/>
  <c r="AH63" i="20"/>
  <c r="AJ63" i="20" s="1"/>
  <c r="X63" i="20"/>
  <c r="R63" i="20"/>
  <c r="V63" i="20" s="1"/>
  <c r="O63" i="20"/>
  <c r="M63" i="20"/>
  <c r="J63" i="20"/>
  <c r="BB62" i="20"/>
  <c r="AS62" i="20"/>
  <c r="AJ62" i="20"/>
  <c r="AH62" i="20"/>
  <c r="AE62" i="20"/>
  <c r="Y62" i="20"/>
  <c r="AA62" i="20" s="1"/>
  <c r="X62" i="20"/>
  <c r="O62" i="20"/>
  <c r="R62" i="20" s="1"/>
  <c r="V62" i="20" s="1"/>
  <c r="J62" i="20"/>
  <c r="M62" i="20" s="1"/>
  <c r="F62" i="20"/>
  <c r="BB61" i="20"/>
  <c r="AS61" i="20"/>
  <c r="AN61" i="20"/>
  <c r="AJ61" i="20"/>
  <c r="AH61" i="20"/>
  <c r="AA61" i="20"/>
  <c r="AE61" i="20" s="1"/>
  <c r="X61" i="20"/>
  <c r="Y61" i="20" s="1"/>
  <c r="O61" i="20"/>
  <c r="R61" i="20" s="1"/>
  <c r="V61" i="20" s="1"/>
  <c r="M61" i="20"/>
  <c r="J61" i="20"/>
  <c r="BB60" i="20"/>
  <c r="AS60" i="20"/>
  <c r="AN60" i="20"/>
  <c r="AJ60" i="20"/>
  <c r="AH60" i="20"/>
  <c r="X60" i="20"/>
  <c r="R60" i="20"/>
  <c r="V60" i="20" s="1"/>
  <c r="O60" i="20"/>
  <c r="J60" i="20"/>
  <c r="M60" i="20" s="1"/>
  <c r="AN59" i="20"/>
  <c r="AL59" i="20"/>
  <c r="AP59" i="20" s="1"/>
  <c r="AJ59" i="20"/>
  <c r="AG59" i="20"/>
  <c r="AH59" i="20" s="1"/>
  <c r="AC59" i="20"/>
  <c r="Y59" i="20"/>
  <c r="X59" i="20"/>
  <c r="T59" i="20"/>
  <c r="P59" i="20"/>
  <c r="L59" i="20"/>
  <c r="I59" i="20"/>
  <c r="I92" i="20" s="1"/>
  <c r="H59" i="20"/>
  <c r="F59" i="20"/>
  <c r="BB57" i="20"/>
  <c r="AS57" i="20"/>
  <c r="AJ57" i="20"/>
  <c r="AE57" i="20"/>
  <c r="AA57" i="20"/>
  <c r="V57" i="20"/>
  <c r="R57" i="20"/>
  <c r="J57" i="20"/>
  <c r="M57" i="20" s="1"/>
  <c r="BB56" i="20"/>
  <c r="AS56" i="20"/>
  <c r="AJ56" i="20"/>
  <c r="AA56" i="20"/>
  <c r="AE56" i="20" s="1"/>
  <c r="V56" i="20"/>
  <c r="R56" i="20"/>
  <c r="M56" i="20"/>
  <c r="J56" i="20"/>
  <c r="BD55" i="20"/>
  <c r="BF55" i="20" s="1"/>
  <c r="BB55" i="20"/>
  <c r="AZ55" i="20"/>
  <c r="AN55" i="20"/>
  <c r="AL55" i="20"/>
  <c r="AP55" i="20" s="1"/>
  <c r="AJ55" i="20"/>
  <c r="AH55" i="20"/>
  <c r="AE55" i="20"/>
  <c r="AA55" i="20"/>
  <c r="X55" i="20"/>
  <c r="V55" i="20"/>
  <c r="R55" i="20"/>
  <c r="O55" i="20"/>
  <c r="M55" i="20"/>
  <c r="J55" i="20"/>
  <c r="BD54" i="20"/>
  <c r="BF54" i="20" s="1"/>
  <c r="AY54" i="20"/>
  <c r="AU54" i="20"/>
  <c r="AP54" i="20"/>
  <c r="AN54" i="20"/>
  <c r="AL54" i="20"/>
  <c r="AJ54" i="20"/>
  <c r="AH54" i="20"/>
  <c r="X54" i="20"/>
  <c r="O54" i="20"/>
  <c r="R54" i="20" s="1"/>
  <c r="V54" i="20" s="1"/>
  <c r="J54" i="20"/>
  <c r="M54" i="20" s="1"/>
  <c r="BF53" i="20"/>
  <c r="BD53" i="20"/>
  <c r="BB53" i="20"/>
  <c r="AZ53" i="20"/>
  <c r="AU53" i="20"/>
  <c r="AL53" i="20"/>
  <c r="AP53" i="20" s="1"/>
  <c r="AJ53" i="20"/>
  <c r="AH53" i="20"/>
  <c r="AE53" i="20"/>
  <c r="Y53" i="20"/>
  <c r="X53" i="20"/>
  <c r="AA53" i="20" s="1"/>
  <c r="R53" i="20"/>
  <c r="V53" i="20" s="1"/>
  <c r="O53" i="20"/>
  <c r="BF52" i="20"/>
  <c r="BB52" i="20"/>
  <c r="AZ52" i="20"/>
  <c r="AL52" i="20"/>
  <c r="AH52" i="20"/>
  <c r="AJ52" i="20" s="1"/>
  <c r="Y52" i="20"/>
  <c r="X52" i="20"/>
  <c r="AA52" i="20" s="1"/>
  <c r="AE52" i="20" s="1"/>
  <c r="R52" i="20"/>
  <c r="V52" i="20" s="1"/>
  <c r="O52" i="20"/>
  <c r="M52" i="20"/>
  <c r="J52" i="20"/>
  <c r="BF51" i="20"/>
  <c r="BB51" i="20"/>
  <c r="AZ51" i="20"/>
  <c r="AS51" i="20"/>
  <c r="AW51" i="20" s="1"/>
  <c r="AP51" i="20"/>
  <c r="AN51" i="20"/>
  <c r="AJ51" i="20"/>
  <c r="AH51" i="20"/>
  <c r="X51" i="20"/>
  <c r="R51" i="20"/>
  <c r="V51" i="20" s="1"/>
  <c r="O51" i="20"/>
  <c r="BF50" i="20"/>
  <c r="BB50" i="20"/>
  <c r="AZ50" i="20"/>
  <c r="AS50" i="20"/>
  <c r="AW50" i="20" s="1"/>
  <c r="AQ50" i="20"/>
  <c r="AP50" i="20"/>
  <c r="AN50" i="20"/>
  <c r="AL50" i="20"/>
  <c r="AJ50" i="20"/>
  <c r="AH50" i="20"/>
  <c r="AA50" i="20"/>
  <c r="AE50" i="20" s="1"/>
  <c r="X50" i="20"/>
  <c r="Y50" i="20" s="1"/>
  <c r="O50" i="20"/>
  <c r="R50" i="20" s="1"/>
  <c r="V50" i="20" s="1"/>
  <c r="H50" i="20"/>
  <c r="J50" i="20" s="1"/>
  <c r="M50" i="20" s="1"/>
  <c r="BF49" i="20"/>
  <c r="BB49" i="20"/>
  <c r="AZ49" i="20"/>
  <c r="AS49" i="20"/>
  <c r="AW49" i="20" s="1"/>
  <c r="AQ49" i="20"/>
  <c r="AP49" i="20"/>
  <c r="AN49" i="20"/>
  <c r="AJ49" i="20"/>
  <c r="AH49" i="20"/>
  <c r="X49" i="20"/>
  <c r="AA49" i="20" s="1"/>
  <c r="AE49" i="20" s="1"/>
  <c r="O49" i="20"/>
  <c r="R49" i="20" s="1"/>
  <c r="V49" i="20" s="1"/>
  <c r="BD48" i="20"/>
  <c r="AY48" i="20"/>
  <c r="AU48" i="20"/>
  <c r="AP48" i="20"/>
  <c r="AN48" i="20"/>
  <c r="AL48" i="20"/>
  <c r="AL91" i="20" s="1"/>
  <c r="AJ48" i="20"/>
  <c r="AH48" i="20"/>
  <c r="AH91" i="20" s="1"/>
  <c r="AG48" i="20"/>
  <c r="AG91" i="20" s="1"/>
  <c r="AE48" i="20"/>
  <c r="AC48" i="20"/>
  <c r="AC96" i="20" s="1"/>
  <c r="AC98" i="20" s="1"/>
  <c r="AA48" i="20"/>
  <c r="Y48" i="20"/>
  <c r="X48" i="20"/>
  <c r="V48" i="20"/>
  <c r="T48" i="20"/>
  <c r="T91" i="20" s="1"/>
  <c r="P48" i="20"/>
  <c r="P91" i="20" s="1"/>
  <c r="O48" i="20"/>
  <c r="O91" i="20" s="1"/>
  <c r="L48" i="20"/>
  <c r="I48" i="20"/>
  <c r="I91" i="20" s="1"/>
  <c r="H48" i="20"/>
  <c r="H91" i="20" s="1"/>
  <c r="F48" i="20"/>
  <c r="F91" i="20" s="1"/>
  <c r="F94" i="20" s="1"/>
  <c r="BB46" i="20"/>
  <c r="AS46" i="20"/>
  <c r="AJ46" i="20"/>
  <c r="AE46" i="20"/>
  <c r="AA46" i="20"/>
  <c r="V46" i="20"/>
  <c r="R46" i="20"/>
  <c r="J46" i="20"/>
  <c r="M46" i="20" s="1"/>
  <c r="BB45" i="20"/>
  <c r="AS45" i="20"/>
  <c r="AJ45" i="20"/>
  <c r="AA45" i="20"/>
  <c r="AE45" i="20" s="1"/>
  <c r="V45" i="20"/>
  <c r="R45" i="20"/>
  <c r="M45" i="20"/>
  <c r="J45" i="20"/>
  <c r="AE44" i="20"/>
  <c r="AE90" i="20" s="1"/>
  <c r="V44" i="20"/>
  <c r="J44" i="20"/>
  <c r="M44" i="20" s="1"/>
  <c r="AZ42" i="20"/>
  <c r="BB42" i="20" s="1"/>
  <c r="AS42" i="20"/>
  <c r="AQ42" i="20"/>
  <c r="AP42" i="20"/>
  <c r="AN42" i="20"/>
  <c r="J42" i="20"/>
  <c r="M42" i="20" s="1"/>
  <c r="AZ41" i="20"/>
  <c r="AN41" i="20"/>
  <c r="BB40" i="20"/>
  <c r="BF40" i="20" s="1"/>
  <c r="AP40" i="20"/>
  <c r="AS40" i="20" s="1"/>
  <c r="AW40" i="20" s="1"/>
  <c r="AN40" i="20"/>
  <c r="AJ40" i="20"/>
  <c r="AE40" i="20"/>
  <c r="X40" i="20"/>
  <c r="AA40" i="20" s="1"/>
  <c r="T40" i="20"/>
  <c r="P40" i="20"/>
  <c r="P39" i="20" s="1"/>
  <c r="M40" i="20"/>
  <c r="J40" i="20"/>
  <c r="BF39" i="20"/>
  <c r="BB39" i="20"/>
  <c r="AS39" i="20"/>
  <c r="AW39" i="20" s="1"/>
  <c r="AP39" i="20"/>
  <c r="AN39" i="20"/>
  <c r="AJ39" i="20"/>
  <c r="AE39" i="20"/>
  <c r="T39" i="20"/>
  <c r="M39" i="20"/>
  <c r="J39" i="20"/>
  <c r="AJ38" i="20"/>
  <c r="AA38" i="20"/>
  <c r="J38" i="20"/>
  <c r="M38" i="20" s="1"/>
  <c r="M90" i="20" s="1"/>
  <c r="BD34" i="20"/>
  <c r="AZ34" i="20"/>
  <c r="AY34" i="20"/>
  <c r="AY32" i="20"/>
  <c r="AY68" i="20" s="1"/>
  <c r="AY31" i="20"/>
  <c r="AY69" i="20" s="1"/>
  <c r="AP31" i="20"/>
  <c r="AS31" i="20" s="1"/>
  <c r="AW31" i="20" s="1"/>
  <c r="AN31" i="20"/>
  <c r="AG31" i="20"/>
  <c r="AG69" i="20" s="1"/>
  <c r="AG93" i="20" s="1"/>
  <c r="AE31" i="20"/>
  <c r="AC31" i="20"/>
  <c r="AC69" i="20" s="1"/>
  <c r="Y31" i="20"/>
  <c r="X31" i="20"/>
  <c r="V31" i="20"/>
  <c r="T31" i="20"/>
  <c r="T69" i="20" s="1"/>
  <c r="P31" i="20"/>
  <c r="P69" i="20" s="1"/>
  <c r="L30" i="20"/>
  <c r="I30" i="20"/>
  <c r="J30" i="20" s="1"/>
  <c r="H30" i="20"/>
  <c r="H68" i="20" s="1"/>
  <c r="F30" i="20"/>
  <c r="BD29" i="20"/>
  <c r="AZ29" i="20"/>
  <c r="AY29" i="20"/>
  <c r="AU29" i="20"/>
  <c r="AQ29" i="20"/>
  <c r="AH29" i="20"/>
  <c r="AH92" i="20" s="1"/>
  <c r="AG29" i="20"/>
  <c r="AG92" i="20" s="1"/>
  <c r="AC29" i="20"/>
  <c r="AC92" i="20" s="1"/>
  <c r="Y29" i="20"/>
  <c r="T29" i="20"/>
  <c r="T92" i="20" s="1"/>
  <c r="P29" i="20"/>
  <c r="P92" i="20" s="1"/>
  <c r="O29" i="20"/>
  <c r="L29" i="20"/>
  <c r="I29" i="20"/>
  <c r="H29" i="20"/>
  <c r="H92" i="20" s="1"/>
  <c r="F29" i="20"/>
  <c r="F92" i="20" s="1"/>
  <c r="BB28" i="20"/>
  <c r="AS28" i="20"/>
  <c r="AN28" i="20"/>
  <c r="AJ28" i="20"/>
  <c r="AE28" i="20"/>
  <c r="AA28" i="20"/>
  <c r="R28" i="20"/>
  <c r="V28" i="20" s="1"/>
  <c r="J28" i="20"/>
  <c r="M28" i="20" s="1"/>
  <c r="BF27" i="20"/>
  <c r="BB27" i="20"/>
  <c r="AW27" i="20"/>
  <c r="AS27" i="20"/>
  <c r="AP27" i="20"/>
  <c r="AN27" i="20"/>
  <c r="AJ27" i="20"/>
  <c r="AA27" i="20"/>
  <c r="AE27" i="20" s="1"/>
  <c r="X27" i="20"/>
  <c r="V27" i="20"/>
  <c r="R27" i="20"/>
  <c r="J27" i="20"/>
  <c r="M27" i="20" s="1"/>
  <c r="BB26" i="20"/>
  <c r="BF26" i="20" s="1"/>
  <c r="AW26" i="20"/>
  <c r="AP26" i="20"/>
  <c r="AS26" i="20" s="1"/>
  <c r="AL26" i="20"/>
  <c r="AJ26" i="20"/>
  <c r="AN26" i="20" s="1"/>
  <c r="X26" i="20"/>
  <c r="R26" i="20"/>
  <c r="V26" i="20" s="1"/>
  <c r="V29" i="20" s="1"/>
  <c r="M26" i="20"/>
  <c r="M29" i="20" s="1"/>
  <c r="J26" i="20"/>
  <c r="BF25" i="20"/>
  <c r="BB25" i="20"/>
  <c r="AN25" i="20"/>
  <c r="AN29" i="20" s="1"/>
  <c r="AN92" i="20" s="1"/>
  <c r="AL25" i="20"/>
  <c r="AP25" i="20" s="1"/>
  <c r="AP29" i="20" s="1"/>
  <c r="AP92" i="20" s="1"/>
  <c r="AJ25" i="20"/>
  <c r="X25" i="20"/>
  <c r="AA25" i="20" s="1"/>
  <c r="AE25" i="20" s="1"/>
  <c r="V25" i="20"/>
  <c r="R25" i="20"/>
  <c r="M25" i="20"/>
  <c r="J25" i="20"/>
  <c r="AY23" i="20"/>
  <c r="AU23" i="20"/>
  <c r="AL23" i="20"/>
  <c r="L23" i="20"/>
  <c r="I23" i="20"/>
  <c r="J23" i="20" s="1"/>
  <c r="M23" i="20" s="1"/>
  <c r="BB22" i="20"/>
  <c r="AS22" i="20"/>
  <c r="AN22" i="20"/>
  <c r="AJ22" i="20"/>
  <c r="AE22" i="20"/>
  <c r="AA22" i="20"/>
  <c r="R22" i="20"/>
  <c r="V22" i="20" s="1"/>
  <c r="L22" i="20"/>
  <c r="I22" i="20"/>
  <c r="H22" i="20"/>
  <c r="H23" i="20" s="1"/>
  <c r="F22" i="20"/>
  <c r="F23" i="20" s="1"/>
  <c r="BB21" i="20"/>
  <c r="BF21" i="20" s="1"/>
  <c r="AP21" i="20"/>
  <c r="AS21" i="20" s="1"/>
  <c r="AW21" i="20" s="1"/>
  <c r="AN21" i="20"/>
  <c r="AJ21" i="20"/>
  <c r="X21" i="20"/>
  <c r="AA21" i="20" s="1"/>
  <c r="AE21" i="20" s="1"/>
  <c r="V21" i="20"/>
  <c r="R21" i="20"/>
  <c r="BF20" i="20"/>
  <c r="BB20" i="20"/>
  <c r="AW20" i="20"/>
  <c r="AS20" i="20"/>
  <c r="AP20" i="20"/>
  <c r="AN20" i="20"/>
  <c r="AJ20" i="20"/>
  <c r="X20" i="20"/>
  <c r="AA20" i="20" s="1"/>
  <c r="AE20" i="20" s="1"/>
  <c r="R20" i="20"/>
  <c r="V20" i="20" s="1"/>
  <c r="M20" i="20"/>
  <c r="J20" i="20"/>
  <c r="BB19" i="20"/>
  <c r="AS19" i="20"/>
  <c r="AJ19" i="20"/>
  <c r="AN19" i="20" s="1"/>
  <c r="AA19" i="20"/>
  <c r="AE19" i="20" s="1"/>
  <c r="V19" i="20"/>
  <c r="R19" i="20"/>
  <c r="BD18" i="20"/>
  <c r="BD23" i="20" s="1"/>
  <c r="AZ18" i="20"/>
  <c r="AZ23" i="20" s="1"/>
  <c r="AY18" i="20"/>
  <c r="BB18" i="20" s="1"/>
  <c r="BF18" i="20" s="1"/>
  <c r="AU18" i="20"/>
  <c r="AQ18" i="20"/>
  <c r="AQ23" i="20" s="1"/>
  <c r="AP18" i="20"/>
  <c r="AH18" i="20"/>
  <c r="AH23" i="20" s="1"/>
  <c r="AG18" i="20"/>
  <c r="AG23" i="20" s="1"/>
  <c r="AJ23" i="20" s="1"/>
  <c r="AC18" i="20"/>
  <c r="AC23" i="20" s="1"/>
  <c r="Y18" i="20"/>
  <c r="Y23" i="20" s="1"/>
  <c r="T18" i="20"/>
  <c r="T23" i="20" s="1"/>
  <c r="R18" i="20"/>
  <c r="V18" i="20" s="1"/>
  <c r="V23" i="20" s="1"/>
  <c r="P18" i="20"/>
  <c r="P23" i="20" s="1"/>
  <c r="O18" i="20"/>
  <c r="O23" i="20" s="1"/>
  <c r="R23" i="20" s="1"/>
  <c r="M18" i="20"/>
  <c r="J18" i="20"/>
  <c r="BD16" i="20"/>
  <c r="BF16" i="20" s="1"/>
  <c r="AZ16" i="20"/>
  <c r="BB16" i="20" s="1"/>
  <c r="AY16" i="20"/>
  <c r="AU16" i="20"/>
  <c r="AQ16" i="20"/>
  <c r="AL16" i="20"/>
  <c r="AH16" i="20"/>
  <c r="AG16" i="20"/>
  <c r="AJ16" i="20" s="1"/>
  <c r="AC16" i="20"/>
  <c r="Y16" i="20"/>
  <c r="X16" i="20"/>
  <c r="AA16" i="20" s="1"/>
  <c r="T16" i="20"/>
  <c r="R16" i="20"/>
  <c r="P16" i="20"/>
  <c r="J16" i="20"/>
  <c r="M16" i="20" s="1"/>
  <c r="F16" i="20"/>
  <c r="BB15" i="20"/>
  <c r="AS15" i="20"/>
  <c r="AJ15" i="20"/>
  <c r="AN15" i="20" s="1"/>
  <c r="AA15" i="20"/>
  <c r="AE15" i="20" s="1"/>
  <c r="V15" i="20"/>
  <c r="R15" i="20"/>
  <c r="BF14" i="20"/>
  <c r="BB14" i="20"/>
  <c r="AL14" i="20"/>
  <c r="AP14" i="20" s="1"/>
  <c r="AS14" i="20" s="1"/>
  <c r="AW14" i="20" s="1"/>
  <c r="AJ14" i="20"/>
  <c r="AE14" i="20"/>
  <c r="AA14" i="20"/>
  <c r="X14" i="20"/>
  <c r="V14" i="20"/>
  <c r="R14" i="20"/>
  <c r="J14" i="20"/>
  <c r="M14" i="20" s="1"/>
  <c r="BB13" i="20"/>
  <c r="BF13" i="20" s="1"/>
  <c r="BF12" i="20"/>
  <c r="BB12" i="20"/>
  <c r="AL12" i="20"/>
  <c r="AP12" i="20" s="1"/>
  <c r="AJ12" i="20"/>
  <c r="AN12" i="20" s="1"/>
  <c r="AE12" i="20"/>
  <c r="X12" i="20"/>
  <c r="AA12" i="20" s="1"/>
  <c r="V12" i="20"/>
  <c r="V16" i="20" s="1"/>
  <c r="R12" i="20"/>
  <c r="M12" i="20"/>
  <c r="J12" i="20"/>
  <c r="O7" i="20"/>
  <c r="AG77" i="10"/>
  <c r="AE77" i="10"/>
  <c r="AC77" i="10"/>
  <c r="AA77" i="10"/>
  <c r="AG76" i="10"/>
  <c r="AE76" i="10"/>
  <c r="AC76" i="10"/>
  <c r="AA76" i="10"/>
  <c r="AG75" i="10"/>
  <c r="AE75" i="10"/>
  <c r="AC75" i="10"/>
  <c r="AG74" i="10"/>
  <c r="AG78" i="10" s="1"/>
  <c r="AE74" i="10"/>
  <c r="AC74" i="10"/>
  <c r="AA74" i="10"/>
  <c r="AG73" i="10"/>
  <c r="AE73" i="10"/>
  <c r="AE78" i="10" s="1"/>
  <c r="AC73" i="10"/>
  <c r="AC78" i="10" s="1"/>
  <c r="AA73" i="10"/>
  <c r="AA78" i="10" s="1"/>
  <c r="AG65" i="10"/>
  <c r="AE65" i="10"/>
  <c r="AC65" i="10"/>
  <c r="AA65" i="10"/>
  <c r="AG61" i="10"/>
  <c r="AE61" i="10"/>
  <c r="AC61" i="10"/>
  <c r="AA61" i="10"/>
  <c r="AA40" i="10"/>
  <c r="AA39" i="10"/>
  <c r="AE29" i="10"/>
  <c r="AG25" i="10"/>
  <c r="AD25" i="10"/>
  <c r="AA25" i="10"/>
  <c r="AA29" i="10" s="1"/>
  <c r="AA75" i="10" s="1"/>
  <c r="AE23" i="10"/>
  <c r="AG22" i="10"/>
  <c r="AD22" i="10"/>
  <c r="AA22" i="10"/>
  <c r="AG20" i="10"/>
  <c r="AG23" i="10" s="1"/>
  <c r="AD20" i="10"/>
  <c r="AA20" i="10"/>
  <c r="AG19" i="10"/>
  <c r="AD19" i="10"/>
  <c r="AA19" i="10"/>
  <c r="AG17" i="10"/>
  <c r="AE17" i="10"/>
  <c r="AD17" i="10"/>
  <c r="AC17" i="10"/>
  <c r="AC23" i="10" s="1"/>
  <c r="AA17" i="10"/>
  <c r="AA23" i="10" s="1"/>
  <c r="AG13" i="10"/>
  <c r="AG12" i="10" s="1"/>
  <c r="AG15" i="10" s="1"/>
  <c r="AD13" i="10"/>
  <c r="AA13" i="10"/>
  <c r="AE12" i="10"/>
  <c r="AE15" i="10" s="1"/>
  <c r="AC12" i="10"/>
  <c r="AD12" i="10" s="1"/>
  <c r="AA12" i="10"/>
  <c r="AA15" i="10" s="1"/>
  <c r="AF20" i="51" l="1"/>
  <c r="Z20" i="51"/>
  <c r="AC20" i="51" s="1"/>
  <c r="AC17" i="51"/>
  <c r="AB15" i="51"/>
  <c r="AC15" i="51" s="1"/>
  <c r="AC18" i="51"/>
  <c r="AS12" i="20"/>
  <c r="AW12" i="20" s="1"/>
  <c r="AP16" i="20"/>
  <c r="AS16" i="20" s="1"/>
  <c r="AW16" i="20"/>
  <c r="F101" i="20"/>
  <c r="F102" i="20" s="1"/>
  <c r="F100" i="20"/>
  <c r="F95" i="20"/>
  <c r="AE16" i="20"/>
  <c r="BB41" i="20"/>
  <c r="BF41" i="20" s="1"/>
  <c r="BF42" i="20"/>
  <c r="BF90" i="20" s="1"/>
  <c r="AW23" i="20"/>
  <c r="X29" i="20"/>
  <c r="X92" i="20" s="1"/>
  <c r="AA26" i="20"/>
  <c r="AE26" i="20" s="1"/>
  <c r="AE29" i="20" s="1"/>
  <c r="AZ90" i="20"/>
  <c r="AU59" i="20"/>
  <c r="AQ59" i="20"/>
  <c r="AQ92" i="20" s="1"/>
  <c r="O73" i="20"/>
  <c r="R73" i="20" s="1"/>
  <c r="V74" i="20" s="1"/>
  <c r="M73" i="20"/>
  <c r="T93" i="20"/>
  <c r="X69" i="20"/>
  <c r="X93" i="20" s="1"/>
  <c r="AJ18" i="20"/>
  <c r="AN18" i="20" s="1"/>
  <c r="AN23" i="20" s="1"/>
  <c r="BB23" i="20"/>
  <c r="BB69" i="20"/>
  <c r="BF69" i="20" s="1"/>
  <c r="AN14" i="20"/>
  <c r="AN16" i="20" s="1"/>
  <c r="X18" i="20"/>
  <c r="AS25" i="20"/>
  <c r="AW25" i="20" s="1"/>
  <c r="AW29" i="20" s="1"/>
  <c r="Y69" i="20"/>
  <c r="AA31" i="20"/>
  <c r="AY93" i="20"/>
  <c r="AZ68" i="20"/>
  <c r="AZ93" i="20" s="1"/>
  <c r="BF48" i="20"/>
  <c r="BF91" i="20" s="1"/>
  <c r="BD91" i="20"/>
  <c r="H94" i="20"/>
  <c r="AG94" i="20"/>
  <c r="AC105" i="20"/>
  <c r="AP23" i="20"/>
  <c r="AS23" i="20" s="1"/>
  <c r="BF23" i="20"/>
  <c r="AE69" i="20"/>
  <c r="AE93" i="20" s="1"/>
  <c r="AC93" i="20"/>
  <c r="AC94" i="20" s="1"/>
  <c r="T96" i="20"/>
  <c r="T90" i="20"/>
  <c r="X39" i="20"/>
  <c r="V91" i="20"/>
  <c r="AQ53" i="20"/>
  <c r="AS53" i="20" s="1"/>
  <c r="AW53" i="20" s="1"/>
  <c r="BB54" i="20"/>
  <c r="AZ54" i="20"/>
  <c r="AA59" i="20"/>
  <c r="V75" i="20"/>
  <c r="AH94" i="20"/>
  <c r="AU55" i="20"/>
  <c r="AS55" i="20"/>
  <c r="AQ55" i="20"/>
  <c r="BF29" i="20"/>
  <c r="X91" i="20"/>
  <c r="AL94" i="20"/>
  <c r="O59" i="20"/>
  <c r="R59" i="20" s="1"/>
  <c r="V59" i="20" s="1"/>
  <c r="V92" i="20" s="1"/>
  <c r="AS18" i="20"/>
  <c r="AW18" i="20" s="1"/>
  <c r="J22" i="20"/>
  <c r="M22" i="20" s="1"/>
  <c r="L92" i="20"/>
  <c r="L68" i="20"/>
  <c r="O30" i="20"/>
  <c r="O68" i="20" s="1"/>
  <c r="O93" i="20" s="1"/>
  <c r="M30" i="20"/>
  <c r="P96" i="20"/>
  <c r="P90" i="20"/>
  <c r="R38" i="20"/>
  <c r="J59" i="20"/>
  <c r="M59" i="20" s="1"/>
  <c r="M92" i="20" s="1"/>
  <c r="AE59" i="20"/>
  <c r="AA60" i="20"/>
  <c r="AE60" i="20" s="1"/>
  <c r="Y60" i="20"/>
  <c r="Y92" i="20" s="1"/>
  <c r="Y96" i="20" s="1"/>
  <c r="O92" i="20"/>
  <c r="O94" i="20" s="1"/>
  <c r="P93" i="20"/>
  <c r="AN90" i="20"/>
  <c r="AW42" i="20"/>
  <c r="AS41" i="20"/>
  <c r="AW41" i="20" s="1"/>
  <c r="AW90" i="20" s="1"/>
  <c r="AQ48" i="20"/>
  <c r="AP91" i="20"/>
  <c r="AA51" i="20"/>
  <c r="AE51" i="20" s="1"/>
  <c r="Y51" i="20"/>
  <c r="Y91" i="20" s="1"/>
  <c r="AP52" i="20"/>
  <c r="AP96" i="20" s="1"/>
  <c r="AP98" i="20" s="1"/>
  <c r="AN52" i="20"/>
  <c r="AN96" i="20" s="1"/>
  <c r="AN98" i="20" s="1"/>
  <c r="I68" i="20"/>
  <c r="I93" i="20" s="1"/>
  <c r="I94" i="20" s="1"/>
  <c r="R48" i="20"/>
  <c r="AG96" i="20"/>
  <c r="AL29" i="20"/>
  <c r="AL92" i="20" s="1"/>
  <c r="AL96" i="20" s="1"/>
  <c r="AL98" i="20" s="1"/>
  <c r="BB31" i="20"/>
  <c r="BF31" i="20" s="1"/>
  <c r="AY91" i="20"/>
  <c r="AH96" i="20"/>
  <c r="AH98" i="20" s="1"/>
  <c r="Y63" i="20"/>
  <c r="AA63" i="20" s="1"/>
  <c r="AE63" i="20" s="1"/>
  <c r="AN68" i="20"/>
  <c r="AN93" i="20" s="1"/>
  <c r="J48" i="20"/>
  <c r="M48" i="20" s="1"/>
  <c r="M91" i="20" s="1"/>
  <c r="AZ48" i="20"/>
  <c r="BB48" i="20" s="1"/>
  <c r="AN53" i="20"/>
  <c r="Y54" i="20"/>
  <c r="AA54" i="20" s="1"/>
  <c r="AE54" i="20" s="1"/>
  <c r="AQ54" i="20"/>
  <c r="AS54" i="20" s="1"/>
  <c r="AW54" i="20" s="1"/>
  <c r="AP68" i="20"/>
  <c r="AA79" i="20"/>
  <c r="AE79" i="20" s="1"/>
  <c r="AP90" i="20"/>
  <c r="AQ90" i="20"/>
  <c r="AD23" i="10"/>
  <c r="AG84" i="10"/>
  <c r="AG79" i="10"/>
  <c r="AA84" i="10"/>
  <c r="AA79" i="10"/>
  <c r="AC84" i="10"/>
  <c r="AC79" i="10"/>
  <c r="AE84" i="10"/>
  <c r="AE79" i="10"/>
  <c r="AC15" i="10"/>
  <c r="AD15" i="10" s="1"/>
  <c r="AC101" i="20" l="1"/>
  <c r="AC102" i="20" s="1"/>
  <c r="AC104" i="20"/>
  <c r="AC100" i="20"/>
  <c r="AC95" i="20"/>
  <c r="AC97" i="20"/>
  <c r="I101" i="20"/>
  <c r="I102" i="20" s="1"/>
  <c r="I100" i="20"/>
  <c r="I95" i="20"/>
  <c r="O95" i="20"/>
  <c r="O101" i="20"/>
  <c r="O102" i="20" s="1"/>
  <c r="O104" i="20"/>
  <c r="O100" i="20"/>
  <c r="AE91" i="20"/>
  <c r="Y105" i="20"/>
  <c r="Y98" i="20"/>
  <c r="AS48" i="20"/>
  <c r="AW48" i="20" s="1"/>
  <c r="AN91" i="20"/>
  <c r="L93" i="20"/>
  <c r="L94" i="20" s="1"/>
  <c r="AH105" i="20"/>
  <c r="H101" i="20"/>
  <c r="H102" i="20" s="1"/>
  <c r="H100" i="20"/>
  <c r="H95" i="20"/>
  <c r="BB68" i="20"/>
  <c r="BF68" i="20" s="1"/>
  <c r="AN94" i="20"/>
  <c r="AH95" i="20"/>
  <c r="AH97" i="20"/>
  <c r="AH101" i="20"/>
  <c r="AH102" i="20" s="1"/>
  <c r="AH104" i="20"/>
  <c r="AH100" i="20"/>
  <c r="J68" i="20"/>
  <c r="M68" i="20" s="1"/>
  <c r="M93" i="20" s="1"/>
  <c r="M94" i="20" s="1"/>
  <c r="AP71" i="20"/>
  <c r="AP93" i="20"/>
  <c r="AP94" i="20" s="1"/>
  <c r="AL97" i="20"/>
  <c r="AL101" i="20"/>
  <c r="AL102" i="20" s="1"/>
  <c r="AL100" i="20"/>
  <c r="AL95" i="20"/>
  <c r="T105" i="20"/>
  <c r="T98" i="20"/>
  <c r="AZ91" i="20"/>
  <c r="AU52" i="20"/>
  <c r="AS52" i="20"/>
  <c r="AQ52" i="20"/>
  <c r="AQ91" i="20" s="1"/>
  <c r="R68" i="20"/>
  <c r="R79" i="20"/>
  <c r="V79" i="20" s="1"/>
  <c r="V40" i="20"/>
  <c r="V39" i="20"/>
  <c r="AA68" i="20"/>
  <c r="Y93" i="20"/>
  <c r="Y94" i="20" s="1"/>
  <c r="R31" i="20"/>
  <c r="P94" i="20"/>
  <c r="X96" i="20"/>
  <c r="X90" i="20"/>
  <c r="X94" i="20" s="1"/>
  <c r="AA39" i="20"/>
  <c r="AE92" i="20"/>
  <c r="AE96" i="20" s="1"/>
  <c r="AY59" i="20"/>
  <c r="AW55" i="20"/>
  <c r="AG95" i="20"/>
  <c r="AG97" i="20"/>
  <c r="AG101" i="20"/>
  <c r="AG102" i="20" s="1"/>
  <c r="AG100" i="20"/>
  <c r="AG104" i="20"/>
  <c r="AG98" i="20"/>
  <c r="AG105" i="20"/>
  <c r="AU92" i="20"/>
  <c r="P105" i="20"/>
  <c r="P98" i="20"/>
  <c r="T94" i="20"/>
  <c r="X23" i="20"/>
  <c r="AA23" i="20" s="1"/>
  <c r="AA18" i="20"/>
  <c r="AE18" i="20" s="1"/>
  <c r="AE23" i="20" s="1"/>
  <c r="AS59" i="20"/>
  <c r="AW59" i="20" s="1"/>
  <c r="AW92" i="20" s="1"/>
  <c r="Y101" i="20" l="1"/>
  <c r="Y102" i="20" s="1"/>
  <c r="Y104" i="20"/>
  <c r="Y100" i="20"/>
  <c r="Y95" i="20"/>
  <c r="Y97" i="20"/>
  <c r="AP101" i="20"/>
  <c r="AP102" i="20" s="1"/>
  <c r="AP100" i="20"/>
  <c r="AP95" i="20"/>
  <c r="AP97" i="20"/>
  <c r="AE98" i="20"/>
  <c r="AE105" i="20"/>
  <c r="M100" i="20"/>
  <c r="M95" i="20"/>
  <c r="M101" i="20"/>
  <c r="M102" i="20" s="1"/>
  <c r="V90" i="20"/>
  <c r="V94" i="20" s="1"/>
  <c r="X101" i="20"/>
  <c r="X102" i="20" s="1"/>
  <c r="X104" i="20"/>
  <c r="X100" i="20"/>
  <c r="X95" i="20"/>
  <c r="X97" i="20"/>
  <c r="AW52" i="20"/>
  <c r="AW91" i="20" s="1"/>
  <c r="AU91" i="20"/>
  <c r="T97" i="20"/>
  <c r="T101" i="20"/>
  <c r="T102" i="20" s="1"/>
  <c r="T104" i="20"/>
  <c r="T100" i="20"/>
  <c r="T95" i="20"/>
  <c r="X98" i="20"/>
  <c r="X105" i="20"/>
  <c r="P95" i="20"/>
  <c r="P97" i="20"/>
  <c r="P101" i="20"/>
  <c r="P102" i="20" s="1"/>
  <c r="P104" i="20"/>
  <c r="P100" i="20"/>
  <c r="V70" i="20"/>
  <c r="V69" i="20"/>
  <c r="V93" i="20" s="1"/>
  <c r="AU71" i="20"/>
  <c r="AQ71" i="20"/>
  <c r="AQ68" i="20" s="1"/>
  <c r="L101" i="20"/>
  <c r="L102" i="20" s="1"/>
  <c r="L100" i="20"/>
  <c r="L95" i="20"/>
  <c r="AZ59" i="20"/>
  <c r="AZ92" i="20" s="1"/>
  <c r="AZ96" i="20" s="1"/>
  <c r="AZ98" i="20" s="1"/>
  <c r="BD59" i="20"/>
  <c r="BB59" i="20"/>
  <c r="AY92" i="20"/>
  <c r="AN97" i="20"/>
  <c r="AN101" i="20"/>
  <c r="AN102" i="20" s="1"/>
  <c r="AN100" i="20"/>
  <c r="AN95" i="20"/>
  <c r="BF93" i="20"/>
  <c r="AE94" i="20"/>
  <c r="AY96" i="20" l="1"/>
  <c r="AY98" i="20" s="1"/>
  <c r="AY94" i="20"/>
  <c r="V101" i="20"/>
  <c r="V102" i="20" s="1"/>
  <c r="V104" i="20"/>
  <c r="V100" i="20"/>
  <c r="V95" i="20"/>
  <c r="AE104" i="20"/>
  <c r="AE100" i="20"/>
  <c r="AE95" i="20"/>
  <c r="AE97" i="20"/>
  <c r="AE101" i="20"/>
  <c r="AE102" i="20" s="1"/>
  <c r="V96" i="20"/>
  <c r="BF59" i="20"/>
  <c r="BF92" i="20" s="1"/>
  <c r="BD92" i="20"/>
  <c r="AZ94" i="20"/>
  <c r="AU68" i="20"/>
  <c r="AQ93" i="20"/>
  <c r="AQ94" i="20" s="1"/>
  <c r="AS68" i="20"/>
  <c r="AQ96" i="20"/>
  <c r="AQ98" i="20" s="1"/>
  <c r="V98" i="20" l="1"/>
  <c r="V105" i="20"/>
  <c r="BF94" i="20"/>
  <c r="BF96" i="20"/>
  <c r="BF98" i="20" s="1"/>
  <c r="V97" i="20"/>
  <c r="AZ95" i="20"/>
  <c r="AZ97" i="20"/>
  <c r="AZ100" i="20"/>
  <c r="AY95" i="20"/>
  <c r="AY97" i="20"/>
  <c r="AY100" i="20"/>
  <c r="AQ100" i="20"/>
  <c r="AQ95" i="20"/>
  <c r="AQ97" i="20"/>
  <c r="AU93" i="20"/>
  <c r="AU94" i="20" s="1"/>
  <c r="AW68" i="20"/>
  <c r="AU96" i="20"/>
  <c r="AU98" i="20" s="1"/>
  <c r="BD96" i="20"/>
  <c r="BD98" i="20" s="1"/>
  <c r="BD94" i="20"/>
  <c r="AU100" i="20" l="1"/>
  <c r="AU95" i="20"/>
  <c r="AU97" i="20"/>
  <c r="BF97" i="20"/>
  <c r="BF100" i="20"/>
  <c r="BF95" i="20"/>
  <c r="AW93" i="20"/>
  <c r="AW94" i="20" s="1"/>
  <c r="AW96" i="20"/>
  <c r="AW98" i="20" s="1"/>
  <c r="BD97" i="20"/>
  <c r="BD100" i="20"/>
  <c r="BD95" i="20"/>
  <c r="AW100" i="20" l="1"/>
  <c r="AW95" i="20"/>
  <c r="AW97" i="20"/>
  <c r="B141" i="44" l="1"/>
  <c r="B140" i="44"/>
  <c r="AJ128" i="44"/>
  <c r="AJ130" i="44" s="1"/>
  <c r="AY125" i="44"/>
  <c r="AQ125" i="44"/>
  <c r="AO125" i="44"/>
  <c r="AK125" i="44"/>
  <c r="AJ125" i="44"/>
  <c r="AF125" i="44"/>
  <c r="AD125" i="44"/>
  <c r="Z125" i="44"/>
  <c r="Y125" i="44"/>
  <c r="V125" i="44"/>
  <c r="T125" i="44"/>
  <c r="P125" i="44"/>
  <c r="O125" i="44"/>
  <c r="M125" i="44"/>
  <c r="L125" i="44"/>
  <c r="I125" i="44"/>
  <c r="H125" i="44"/>
  <c r="F125" i="44"/>
  <c r="AO123" i="44"/>
  <c r="AJ123" i="44"/>
  <c r="AD123" i="44"/>
  <c r="Y123" i="44"/>
  <c r="L123" i="44"/>
  <c r="I123" i="44"/>
  <c r="H123" i="44"/>
  <c r="F123" i="44"/>
  <c r="AY122" i="44"/>
  <c r="AT122" i="44"/>
  <c r="AJ122" i="44"/>
  <c r="M122" i="44"/>
  <c r="L122" i="44"/>
  <c r="L126" i="44" s="1"/>
  <c r="I122" i="44"/>
  <c r="H122" i="44"/>
  <c r="H126" i="44" s="1"/>
  <c r="F122" i="44"/>
  <c r="BH119" i="44"/>
  <c r="BB119" i="44"/>
  <c r="AW119" i="44"/>
  <c r="AM119" i="44"/>
  <c r="AB119" i="44"/>
  <c r="R119" i="44"/>
  <c r="M119" i="44"/>
  <c r="J119" i="44"/>
  <c r="BH118" i="44"/>
  <c r="BB118" i="44"/>
  <c r="AW118" i="44"/>
  <c r="AM118" i="44"/>
  <c r="AB118" i="44"/>
  <c r="R118" i="44"/>
  <c r="M118" i="44"/>
  <c r="J118" i="44"/>
  <c r="BH117" i="44"/>
  <c r="BB117" i="44"/>
  <c r="AW117" i="44"/>
  <c r="AM117" i="44"/>
  <c r="AB117" i="44"/>
  <c r="R117" i="44"/>
  <c r="M117" i="44"/>
  <c r="J117" i="44"/>
  <c r="BH116" i="44"/>
  <c r="BB116" i="44"/>
  <c r="AW116" i="44"/>
  <c r="AM116" i="44"/>
  <c r="AB116" i="44"/>
  <c r="R116" i="44"/>
  <c r="M116" i="44"/>
  <c r="J116" i="44"/>
  <c r="BH115" i="44"/>
  <c r="BB115" i="44"/>
  <c r="AW115" i="44"/>
  <c r="AM115" i="44"/>
  <c r="AB115" i="44"/>
  <c r="R115" i="44"/>
  <c r="M115" i="44"/>
  <c r="J115" i="44"/>
  <c r="BH114" i="44"/>
  <c r="BB114" i="44"/>
  <c r="AW114" i="44"/>
  <c r="AM114" i="44"/>
  <c r="AB114" i="44"/>
  <c r="R114" i="44"/>
  <c r="M114" i="44"/>
  <c r="J114" i="44"/>
  <c r="BH113" i="44"/>
  <c r="BB113" i="44"/>
  <c r="AW113" i="44"/>
  <c r="AM113" i="44"/>
  <c r="AB113" i="44"/>
  <c r="R113" i="44"/>
  <c r="M113" i="44"/>
  <c r="J113" i="44"/>
  <c r="BH112" i="44"/>
  <c r="BB112" i="44"/>
  <c r="AW112" i="44"/>
  <c r="AM112" i="44"/>
  <c r="AF112" i="44"/>
  <c r="Y112" i="44"/>
  <c r="AB112" i="44" s="1"/>
  <c r="V112" i="44"/>
  <c r="R112" i="44"/>
  <c r="J112" i="44"/>
  <c r="M112" i="44" s="1"/>
  <c r="BH111" i="44"/>
  <c r="BB111" i="44"/>
  <c r="AW111" i="44"/>
  <c r="AO111" i="44"/>
  <c r="AM111" i="44"/>
  <c r="AD111" i="44"/>
  <c r="AF111" i="44" s="1"/>
  <c r="Z111" i="44"/>
  <c r="T111" i="44"/>
  <c r="R111" i="44"/>
  <c r="P111" i="44"/>
  <c r="J111" i="44"/>
  <c r="M111" i="44" s="1"/>
  <c r="BH108" i="44"/>
  <c r="BB108" i="44"/>
  <c r="AW108" i="44"/>
  <c r="AM108" i="44"/>
  <c r="AB108" i="44"/>
  <c r="R108" i="44"/>
  <c r="J108" i="44"/>
  <c r="BH107" i="44"/>
  <c r="BB107" i="44"/>
  <c r="AW107" i="44"/>
  <c r="AM107" i="44"/>
  <c r="AB107" i="44"/>
  <c r="R107" i="44"/>
  <c r="J106" i="44"/>
  <c r="BH103" i="44"/>
  <c r="BG103" i="44"/>
  <c r="BB103" i="44"/>
  <c r="BA103" i="44"/>
  <c r="AW103" i="44"/>
  <c r="AQ103" i="44"/>
  <c r="AM103" i="44"/>
  <c r="AK103" i="44"/>
  <c r="AF103" i="44"/>
  <c r="AB103" i="44"/>
  <c r="Z103" i="44"/>
  <c r="V103" i="44"/>
  <c r="R103" i="44"/>
  <c r="J103" i="44"/>
  <c r="BH102" i="44"/>
  <c r="BG102" i="44"/>
  <c r="BB102" i="44"/>
  <c r="BA102" i="44"/>
  <c r="AW102" i="44"/>
  <c r="AQ102" i="44"/>
  <c r="AM102" i="44"/>
  <c r="AK102" i="44"/>
  <c r="AF102" i="44"/>
  <c r="AB102" i="44"/>
  <c r="Z102" i="44"/>
  <c r="V102" i="44"/>
  <c r="R102" i="44"/>
  <c r="BH101" i="44"/>
  <c r="BG101" i="44"/>
  <c r="BB101" i="44"/>
  <c r="BA101" i="44"/>
  <c r="AW101" i="44"/>
  <c r="AQ101" i="44"/>
  <c r="AM101" i="44"/>
  <c r="AK101" i="44"/>
  <c r="AF101" i="44"/>
  <c r="Z101" i="44"/>
  <c r="AB101" i="44" s="1"/>
  <c r="V101" i="44"/>
  <c r="R101" i="44"/>
  <c r="J101" i="44"/>
  <c r="M101" i="44" s="1"/>
  <c r="I101" i="44"/>
  <c r="H101" i="44"/>
  <c r="J100" i="44"/>
  <c r="M100" i="44" s="1"/>
  <c r="BB98" i="44"/>
  <c r="AW98" i="44"/>
  <c r="AM98" i="44"/>
  <c r="AB98" i="44"/>
  <c r="R98" i="44"/>
  <c r="BE97" i="44"/>
  <c r="BE125" i="44" s="1"/>
  <c r="AT97" i="44"/>
  <c r="AT125" i="44" s="1"/>
  <c r="AM97" i="44"/>
  <c r="AB97" i="44"/>
  <c r="R97" i="44"/>
  <c r="AM95" i="44"/>
  <c r="AB95" i="44"/>
  <c r="R95" i="44"/>
  <c r="M95" i="44"/>
  <c r="J95" i="44"/>
  <c r="BB93" i="44"/>
  <c r="AW93" i="44"/>
  <c r="AM93" i="44"/>
  <c r="AB93" i="44"/>
  <c r="R93" i="44"/>
  <c r="J93" i="44"/>
  <c r="M93" i="44" s="1"/>
  <c r="BB92" i="44"/>
  <c r="AW92" i="44"/>
  <c r="AM92" i="44"/>
  <c r="AB92" i="44"/>
  <c r="R92" i="44"/>
  <c r="M92" i="44"/>
  <c r="J92" i="44"/>
  <c r="BB91" i="44"/>
  <c r="AW91" i="44"/>
  <c r="AM91" i="44"/>
  <c r="AB91" i="44"/>
  <c r="R91" i="44"/>
  <c r="BB90" i="44"/>
  <c r="AW90" i="44"/>
  <c r="AM90" i="44"/>
  <c r="AB90" i="44"/>
  <c r="R90" i="44"/>
  <c r="J90" i="44"/>
  <c r="M90" i="44" s="1"/>
  <c r="BB89" i="44"/>
  <c r="AW89" i="44"/>
  <c r="AM89" i="44"/>
  <c r="AB89" i="44"/>
  <c r="R89" i="44"/>
  <c r="M89" i="44"/>
  <c r="J89" i="44"/>
  <c r="BG88" i="44"/>
  <c r="BH88" i="44" s="1"/>
  <c r="AQ88" i="44"/>
  <c r="AM88" i="44"/>
  <c r="AB88" i="44"/>
  <c r="AF88" i="44" s="1"/>
  <c r="Y88" i="44"/>
  <c r="R88" i="44"/>
  <c r="V88" i="44" s="1"/>
  <c r="J88" i="44"/>
  <c r="M88" i="44" s="1"/>
  <c r="BB87" i="44"/>
  <c r="AW87" i="44"/>
  <c r="AM87" i="44"/>
  <c r="AQ87" i="44" s="1"/>
  <c r="AB87" i="44"/>
  <c r="AF87" i="44" s="1"/>
  <c r="Y87" i="44"/>
  <c r="R87" i="44"/>
  <c r="V87" i="44" s="1"/>
  <c r="O87" i="44"/>
  <c r="J87" i="44"/>
  <c r="M87" i="44" s="1"/>
  <c r="AW86" i="44"/>
  <c r="AU86" i="44" s="1"/>
  <c r="AM86" i="44"/>
  <c r="AQ86" i="44" s="1"/>
  <c r="AB86" i="44"/>
  <c r="AF86" i="44" s="1"/>
  <c r="Y86" i="44"/>
  <c r="R86" i="44"/>
  <c r="V86" i="44" s="1"/>
  <c r="J86" i="44"/>
  <c r="M86" i="44" s="1"/>
  <c r="BG84" i="44"/>
  <c r="AM84" i="44"/>
  <c r="AK84" i="44"/>
  <c r="AB84" i="44"/>
  <c r="AF84" i="44" s="1"/>
  <c r="Z84" i="44"/>
  <c r="T84" i="44"/>
  <c r="P84" i="44"/>
  <c r="R84" i="44" s="1"/>
  <c r="M84" i="44"/>
  <c r="J84" i="44"/>
  <c r="BE83" i="44"/>
  <c r="BG83" i="44" s="1"/>
  <c r="BG82" i="44"/>
  <c r="BA82" i="44"/>
  <c r="AU82" i="44"/>
  <c r="BE81" i="44"/>
  <c r="BG81" i="44" s="1"/>
  <c r="BA81" i="44"/>
  <c r="AU81" i="44"/>
  <c r="AM81" i="44"/>
  <c r="AK81" i="44"/>
  <c r="Z81" i="44"/>
  <c r="AB81" i="44" s="1"/>
  <c r="AF81" i="44" s="1"/>
  <c r="P81" i="44"/>
  <c r="O81" i="44"/>
  <c r="T81" i="44" s="1"/>
  <c r="BG80" i="44"/>
  <c r="BA80" i="44"/>
  <c r="AU80" i="44"/>
  <c r="AM80" i="44"/>
  <c r="AK80" i="44"/>
  <c r="AB80" i="44"/>
  <c r="AF80" i="44" s="1"/>
  <c r="Z80" i="44"/>
  <c r="T80" i="44"/>
  <c r="V80" i="44" s="1"/>
  <c r="P80" i="44"/>
  <c r="R80" i="44" s="1"/>
  <c r="BG79" i="44"/>
  <c r="BA79" i="44"/>
  <c r="AU79" i="44"/>
  <c r="AM79" i="44"/>
  <c r="AK79" i="44"/>
  <c r="Z79" i="44"/>
  <c r="AB79" i="44" s="1"/>
  <c r="AF79" i="44" s="1"/>
  <c r="BE78" i="44"/>
  <c r="BG78" i="44" s="1"/>
  <c r="BA78" i="44"/>
  <c r="AU78" i="44"/>
  <c r="BG77" i="44"/>
  <c r="BA77" i="44"/>
  <c r="AK77" i="44"/>
  <c r="AM77" i="44" s="1"/>
  <c r="Z77" i="44"/>
  <c r="AB77" i="44" s="1"/>
  <c r="AF77" i="44" s="1"/>
  <c r="BG76" i="44"/>
  <c r="BE76" i="44"/>
  <c r="BA76" i="44"/>
  <c r="AM76" i="44"/>
  <c r="AK76" i="44"/>
  <c r="Z76" i="44"/>
  <c r="AB76" i="44" s="1"/>
  <c r="AF76" i="44" s="1"/>
  <c r="T76" i="44"/>
  <c r="P76" i="44"/>
  <c r="R76" i="44" s="1"/>
  <c r="V76" i="44" s="1"/>
  <c r="BG75" i="44"/>
  <c r="BE75" i="44"/>
  <c r="AF74" i="44"/>
  <c r="BH73" i="44"/>
  <c r="BG73" i="44"/>
  <c r="BE73" i="44"/>
  <c r="BE72" i="44"/>
  <c r="BG72" i="44" s="1"/>
  <c r="BH72" i="44" s="1"/>
  <c r="BA72" i="44"/>
  <c r="AU72" i="44"/>
  <c r="AQ72" i="44"/>
  <c r="AM72" i="44"/>
  <c r="AK72" i="44"/>
  <c r="AB72" i="44"/>
  <c r="AF72" i="44" s="1"/>
  <c r="Z72" i="44"/>
  <c r="T72" i="44"/>
  <c r="V72" i="44" s="1"/>
  <c r="R72" i="44"/>
  <c r="P72" i="44"/>
  <c r="J72" i="44"/>
  <c r="M72" i="44" s="1"/>
  <c r="BG71" i="44"/>
  <c r="BA71" i="44"/>
  <c r="AU71" i="44"/>
  <c r="BG70" i="44"/>
  <c r="BH70" i="44" s="1"/>
  <c r="BA70" i="44"/>
  <c r="AU70" i="44"/>
  <c r="AQ70" i="44"/>
  <c r="AM70" i="44"/>
  <c r="AK70" i="44"/>
  <c r="Z70" i="44"/>
  <c r="Z123" i="44" s="1"/>
  <c r="T70" i="44"/>
  <c r="P70" i="44"/>
  <c r="R70" i="44" s="1"/>
  <c r="V70" i="44" s="1"/>
  <c r="M70" i="44"/>
  <c r="J70" i="44"/>
  <c r="BG69" i="44"/>
  <c r="BH69" i="44" s="1"/>
  <c r="BE69" i="44"/>
  <c r="BA69" i="44"/>
  <c r="AU69" i="44"/>
  <c r="BG68" i="44"/>
  <c r="BH68" i="44" s="1"/>
  <c r="BE68" i="44"/>
  <c r="BA68" i="44"/>
  <c r="AU68" i="44"/>
  <c r="BE67" i="44"/>
  <c r="BG67" i="44" s="1"/>
  <c r="BH67" i="44" s="1"/>
  <c r="AY67" i="44"/>
  <c r="BA67" i="44" s="1"/>
  <c r="AT67" i="44"/>
  <c r="AU67" i="44" s="1"/>
  <c r="AQ67" i="44"/>
  <c r="AM67" i="44"/>
  <c r="AK67" i="44"/>
  <c r="Z67" i="44"/>
  <c r="AB67" i="44" s="1"/>
  <c r="AF67" i="44" s="1"/>
  <c r="T67" i="44"/>
  <c r="V67" i="44" s="1"/>
  <c r="R67" i="44"/>
  <c r="P67" i="44"/>
  <c r="O67" i="44"/>
  <c r="O123" i="44" s="1"/>
  <c r="J67" i="44"/>
  <c r="M67" i="44" s="1"/>
  <c r="BE66" i="44"/>
  <c r="BG66" i="44" s="1"/>
  <c r="BH66" i="44" s="1"/>
  <c r="BA66" i="44"/>
  <c r="AU66" i="44"/>
  <c r="BE65" i="44"/>
  <c r="BG65" i="44" s="1"/>
  <c r="BH65" i="44" s="1"/>
  <c r="BA65" i="44"/>
  <c r="AU65" i="44"/>
  <c r="AQ65" i="44"/>
  <c r="AM65" i="44"/>
  <c r="AK65" i="44"/>
  <c r="Z65" i="44"/>
  <c r="AB65" i="44" s="1"/>
  <c r="AF65" i="44" s="1"/>
  <c r="T65" i="44"/>
  <c r="P65" i="44"/>
  <c r="R65" i="44" s="1"/>
  <c r="V65" i="44" s="1"/>
  <c r="M65" i="44"/>
  <c r="J65" i="44"/>
  <c r="BE64" i="44"/>
  <c r="BG64" i="44" s="1"/>
  <c r="BH64" i="44" s="1"/>
  <c r="AY64" i="44"/>
  <c r="AY128" i="44" s="1"/>
  <c r="AY130" i="44" s="1"/>
  <c r="AU64" i="44"/>
  <c r="AT64" i="44"/>
  <c r="AQ64" i="44"/>
  <c r="AK64" i="44"/>
  <c r="AM64" i="44" s="1"/>
  <c r="Z64" i="44"/>
  <c r="AB64" i="44" s="1"/>
  <c r="AF64" i="44" s="1"/>
  <c r="T64" i="44"/>
  <c r="P64" i="44"/>
  <c r="R64" i="44" s="1"/>
  <c r="V64" i="44" s="1"/>
  <c r="J64" i="44"/>
  <c r="M64" i="44" s="1"/>
  <c r="BE63" i="44"/>
  <c r="BE123" i="44" s="1"/>
  <c r="BA63" i="44"/>
  <c r="AT63" i="44"/>
  <c r="AT123" i="44" s="1"/>
  <c r="AQ63" i="44"/>
  <c r="AQ123" i="44" s="1"/>
  <c r="AM63" i="44"/>
  <c r="AK63" i="44"/>
  <c r="AK123" i="44" s="1"/>
  <c r="AB63" i="44"/>
  <c r="AF63" i="44" s="1"/>
  <c r="Z63" i="44"/>
  <c r="T63" i="44"/>
  <c r="P63" i="44"/>
  <c r="P123" i="44" s="1"/>
  <c r="J63" i="44"/>
  <c r="M63" i="44" s="1"/>
  <c r="AW60" i="44"/>
  <c r="AM60" i="44"/>
  <c r="AB60" i="44"/>
  <c r="R60" i="44"/>
  <c r="J60" i="44"/>
  <c r="AW59" i="44"/>
  <c r="AM59" i="44"/>
  <c r="AB59" i="44"/>
  <c r="R59" i="44"/>
  <c r="J59" i="44"/>
  <c r="AW58" i="44"/>
  <c r="AM58" i="44"/>
  <c r="AB58" i="44"/>
  <c r="R58" i="44"/>
  <c r="J58" i="44"/>
  <c r="BG56" i="44"/>
  <c r="BB56" i="44"/>
  <c r="AW56" i="44"/>
  <c r="AO56" i="44"/>
  <c r="AK56" i="44"/>
  <c r="AM56" i="44" s="1"/>
  <c r="AQ56" i="44" s="1"/>
  <c r="Y56" i="44"/>
  <c r="AB56" i="44" s="1"/>
  <c r="AF56" i="44" s="1"/>
  <c r="V56" i="44"/>
  <c r="R56" i="44"/>
  <c r="J56" i="44"/>
  <c r="BH55" i="44"/>
  <c r="BG55" i="44" s="1"/>
  <c r="BE55" i="44"/>
  <c r="BA55" i="44"/>
  <c r="BA48" i="44" s="1"/>
  <c r="AW55" i="44"/>
  <c r="AU55" i="44"/>
  <c r="AD55" i="44"/>
  <c r="Z55" i="44"/>
  <c r="Y55" i="44"/>
  <c r="AB55" i="44" s="1"/>
  <c r="AF55" i="44" s="1"/>
  <c r="T55" i="44"/>
  <c r="P55" i="44"/>
  <c r="R55" i="44" s="1"/>
  <c r="V55" i="44" s="1"/>
  <c r="J54" i="44"/>
  <c r="BG53" i="44"/>
  <c r="AW53" i="44"/>
  <c r="AM53" i="44"/>
  <c r="Y53" i="44"/>
  <c r="AB53" i="44" s="1"/>
  <c r="AF53" i="44" s="1"/>
  <c r="O53" i="44"/>
  <c r="R53" i="44" s="1"/>
  <c r="V53" i="44" s="1"/>
  <c r="BH52" i="44"/>
  <c r="BG52" i="44" s="1"/>
  <c r="BE52" i="44"/>
  <c r="AW52" i="44"/>
  <c r="AM52" i="44"/>
  <c r="AK52" i="44"/>
  <c r="AM55" i="44" s="1"/>
  <c r="AQ55" i="44" s="1"/>
  <c r="Y52" i="44"/>
  <c r="Y122" i="44" s="1"/>
  <c r="T52" i="44"/>
  <c r="P52" i="44"/>
  <c r="O52" i="44"/>
  <c r="R52" i="44" s="1"/>
  <c r="V52" i="44" s="1"/>
  <c r="J51" i="44"/>
  <c r="BG50" i="44"/>
  <c r="BG49" i="44"/>
  <c r="BB49" i="44"/>
  <c r="AW49" i="44"/>
  <c r="AM49" i="44"/>
  <c r="AQ49" i="44" s="1"/>
  <c r="AK49" i="44"/>
  <c r="AK122" i="44" s="1"/>
  <c r="Y49" i="44"/>
  <c r="AB49" i="44" s="1"/>
  <c r="AF49" i="44" s="1"/>
  <c r="V49" i="44"/>
  <c r="R49" i="44"/>
  <c r="BH48" i="44"/>
  <c r="BG48" i="44"/>
  <c r="BG122" i="44" s="1"/>
  <c r="BE48" i="44"/>
  <c r="BE122" i="44" s="1"/>
  <c r="AU48" i="44"/>
  <c r="AO48" i="44"/>
  <c r="AO122" i="44" s="1"/>
  <c r="AM48" i="44"/>
  <c r="AD48" i="44"/>
  <c r="AD128" i="44" s="1"/>
  <c r="AD130" i="44" s="1"/>
  <c r="Z48" i="44"/>
  <c r="Z128" i="44" s="1"/>
  <c r="Z130" i="44" s="1"/>
  <c r="Y48" i="44"/>
  <c r="Y128" i="44" s="1"/>
  <c r="Y130" i="44" s="1"/>
  <c r="T48" i="44"/>
  <c r="T122" i="44" s="1"/>
  <c r="R48" i="44"/>
  <c r="P48" i="44"/>
  <c r="P122" i="44" s="1"/>
  <c r="J47" i="44"/>
  <c r="J41" i="44"/>
  <c r="F41" i="44"/>
  <c r="BG40" i="44"/>
  <c r="BE40" i="44"/>
  <c r="BE124" i="44" s="1"/>
  <c r="BA40" i="44"/>
  <c r="AY40" i="44"/>
  <c r="AY124" i="44" s="1"/>
  <c r="AU40" i="44"/>
  <c r="AT40" i="44"/>
  <c r="AT124" i="44" s="1"/>
  <c r="AQ40" i="44"/>
  <c r="AQ124" i="44" s="1"/>
  <c r="AO40" i="44"/>
  <c r="AO124" i="44" s="1"/>
  <c r="AK40" i="44"/>
  <c r="AK124" i="44" s="1"/>
  <c r="AJ40" i="44"/>
  <c r="AJ124" i="44" s="1"/>
  <c r="AJ126" i="44" s="1"/>
  <c r="AF40" i="44"/>
  <c r="AF124" i="44" s="1"/>
  <c r="AD40" i="44"/>
  <c r="AD124" i="44" s="1"/>
  <c r="Z40" i="44"/>
  <c r="Z124" i="44" s="1"/>
  <c r="Y40" i="44"/>
  <c r="Y124" i="44" s="1"/>
  <c r="V40" i="44"/>
  <c r="T40" i="44"/>
  <c r="T124" i="44" s="1"/>
  <c r="P40" i="44"/>
  <c r="P124" i="44" s="1"/>
  <c r="O40" i="44"/>
  <c r="O124" i="44" s="1"/>
  <c r="M40" i="44"/>
  <c r="M124" i="44" s="1"/>
  <c r="L40" i="44"/>
  <c r="L124" i="44" s="1"/>
  <c r="I40" i="44"/>
  <c r="I124" i="44" s="1"/>
  <c r="H40" i="44"/>
  <c r="H124" i="44" s="1"/>
  <c r="F40" i="44"/>
  <c r="F124" i="44" s="1"/>
  <c r="BH39" i="44"/>
  <c r="BB39" i="44"/>
  <c r="AW39" i="44"/>
  <c r="AM39" i="44"/>
  <c r="AB39" i="44"/>
  <c r="R39" i="44"/>
  <c r="J39" i="44"/>
  <c r="BH38" i="44"/>
  <c r="BB38" i="44"/>
  <c r="AW38" i="44"/>
  <c r="AM38" i="44"/>
  <c r="AB38" i="44"/>
  <c r="R38" i="44"/>
  <c r="J38" i="44"/>
  <c r="BH37" i="44"/>
  <c r="BB37" i="44"/>
  <c r="AW37" i="44"/>
  <c r="AM37" i="44"/>
  <c r="AB37" i="44"/>
  <c r="R37" i="44"/>
  <c r="J37" i="44"/>
  <c r="BH36" i="44"/>
  <c r="BG86" i="44" s="1"/>
  <c r="BH86" i="44" s="1"/>
  <c r="BG36" i="44"/>
  <c r="BE36" i="44"/>
  <c r="BB36" i="44"/>
  <c r="AW36" i="44"/>
  <c r="AO36" i="44"/>
  <c r="AQ36" i="44" s="1"/>
  <c r="AM36" i="44"/>
  <c r="AK36" i="44"/>
  <c r="AB36" i="44"/>
  <c r="AF36" i="44" s="1"/>
  <c r="R36" i="44"/>
  <c r="V36" i="44" s="1"/>
  <c r="J36" i="44"/>
  <c r="BG34" i="44"/>
  <c r="AD34" i="44"/>
  <c r="Z34" i="44"/>
  <c r="Y34" i="44"/>
  <c r="AB34" i="44" s="1"/>
  <c r="T34" i="44"/>
  <c r="P34" i="44"/>
  <c r="O34" i="44"/>
  <c r="R34" i="44" s="1"/>
  <c r="AW33" i="44"/>
  <c r="AM33" i="44"/>
  <c r="AK33" i="44"/>
  <c r="AK34" i="44" s="1"/>
  <c r="AM34" i="44" s="1"/>
  <c r="AB33" i="44"/>
  <c r="R33" i="44"/>
  <c r="BG32" i="44"/>
  <c r="BE32" i="44"/>
  <c r="BH32" i="44" s="1"/>
  <c r="BB32" i="44"/>
  <c r="AW32" i="44"/>
  <c r="AM32" i="44"/>
  <c r="AQ32" i="44" s="1"/>
  <c r="AF32" i="44"/>
  <c r="AB32" i="44"/>
  <c r="R32" i="44"/>
  <c r="V32" i="44" s="1"/>
  <c r="BH31" i="44"/>
  <c r="BG31" i="44"/>
  <c r="BE31" i="44"/>
  <c r="BB31" i="44"/>
  <c r="AW31" i="44"/>
  <c r="AM31" i="44"/>
  <c r="AB31" i="44"/>
  <c r="J31" i="44"/>
  <c r="BH30" i="44"/>
  <c r="AW30" i="44"/>
  <c r="AW50" i="44" s="1"/>
  <c r="AU50" i="44" s="1"/>
  <c r="AU30" i="44"/>
  <c r="AT30" i="44"/>
  <c r="BH29" i="44"/>
  <c r="BB29" i="44"/>
  <c r="AW29" i="44"/>
  <c r="AM29" i="44"/>
  <c r="AB29" i="44"/>
  <c r="BH28" i="44"/>
  <c r="BB28" i="44"/>
  <c r="AW28" i="44"/>
  <c r="AM28" i="44"/>
  <c r="AB28" i="44"/>
  <c r="BH27" i="44"/>
  <c r="BH33" i="44" s="1"/>
  <c r="BG27" i="44"/>
  <c r="BE27" i="44"/>
  <c r="BB27" i="44"/>
  <c r="BB33" i="44" s="1"/>
  <c r="AW27" i="44"/>
  <c r="AO27" i="44"/>
  <c r="AQ27" i="44" s="1"/>
  <c r="AQ34" i="44" s="1"/>
  <c r="AM27" i="44"/>
  <c r="AF27" i="44"/>
  <c r="AB27" i="44"/>
  <c r="R27" i="44"/>
  <c r="V27" i="44" s="1"/>
  <c r="BH26" i="44"/>
  <c r="BG26" i="44"/>
  <c r="BE26" i="44"/>
  <c r="BB26" i="44"/>
  <c r="AW26" i="44"/>
  <c r="AQ26" i="44"/>
  <c r="AO26" i="44"/>
  <c r="AM26" i="44"/>
  <c r="AF26" i="44"/>
  <c r="AB26" i="44"/>
  <c r="R26" i="44"/>
  <c r="V26" i="44" s="1"/>
  <c r="M26" i="44"/>
  <c r="M34" i="44" s="1"/>
  <c r="L26" i="44"/>
  <c r="L34" i="44" s="1"/>
  <c r="I26" i="44"/>
  <c r="I34" i="44" s="1"/>
  <c r="H26" i="44"/>
  <c r="H34" i="44" s="1"/>
  <c r="F26" i="44"/>
  <c r="BG25" i="44"/>
  <c r="BE25" i="44"/>
  <c r="BE34" i="44" s="1"/>
  <c r="BH34" i="44" s="1"/>
  <c r="BH97" i="44" s="1"/>
  <c r="BA25" i="44"/>
  <c r="BA34" i="44" s="1"/>
  <c r="AY25" i="44"/>
  <c r="AY34" i="44" s="1"/>
  <c r="BB34" i="44" s="1"/>
  <c r="AW25" i="44"/>
  <c r="AU25" i="44"/>
  <c r="AU34" i="44" s="1"/>
  <c r="AT25" i="44"/>
  <c r="AT34" i="44" s="1"/>
  <c r="AQ25" i="44"/>
  <c r="AO25" i="44"/>
  <c r="AO34" i="44" s="1"/>
  <c r="AM25" i="44"/>
  <c r="AB25" i="44"/>
  <c r="AF25" i="44" s="1"/>
  <c r="AF34" i="44" s="1"/>
  <c r="V25" i="44"/>
  <c r="R25" i="44"/>
  <c r="J25" i="44"/>
  <c r="AK23" i="44"/>
  <c r="AM23" i="44" s="1"/>
  <c r="AD23" i="44"/>
  <c r="AB23" i="44"/>
  <c r="R23" i="44"/>
  <c r="L23" i="44"/>
  <c r="BH22" i="44"/>
  <c r="BG21" i="44"/>
  <c r="BE21" i="44"/>
  <c r="BH21" i="44" s="1"/>
  <c r="BB20" i="44"/>
  <c r="AW20" i="44"/>
  <c r="AO20" i="44"/>
  <c r="AF20" i="44"/>
  <c r="AB20" i="44"/>
  <c r="R20" i="44"/>
  <c r="V20" i="44" s="1"/>
  <c r="BH19" i="44"/>
  <c r="BE19" i="44"/>
  <c r="BB19" i="44"/>
  <c r="AU19" i="44"/>
  <c r="AW19" i="44" s="1"/>
  <c r="AO19" i="44"/>
  <c r="AK19" i="44"/>
  <c r="AM19" i="44" s="1"/>
  <c r="AF19" i="44"/>
  <c r="AB19" i="44"/>
  <c r="T19" i="44"/>
  <c r="R19" i="44"/>
  <c r="V19" i="44" s="1"/>
  <c r="BH18" i="44"/>
  <c r="BG18" i="44"/>
  <c r="BE18" i="44"/>
  <c r="AU17" i="44"/>
  <c r="AT17" i="44"/>
  <c r="AW17" i="44" s="1"/>
  <c r="BA17" i="44" s="1"/>
  <c r="BB16" i="44"/>
  <c r="AU16" i="44"/>
  <c r="AW16" i="44" s="1"/>
  <c r="AF16" i="44"/>
  <c r="AB16" i="44"/>
  <c r="T16" i="44"/>
  <c r="R16" i="44"/>
  <c r="V16" i="44" s="1"/>
  <c r="BB15" i="44"/>
  <c r="AW15" i="44"/>
  <c r="AU15" i="44"/>
  <c r="AF15" i="44"/>
  <c r="AB15" i="44"/>
  <c r="T15" i="44"/>
  <c r="R15" i="44"/>
  <c r="V15" i="44" s="1"/>
  <c r="P15" i="44"/>
  <c r="O15" i="44"/>
  <c r="BB14" i="44"/>
  <c r="AW14" i="44"/>
  <c r="AU14" i="44"/>
  <c r="BH13" i="44"/>
  <c r="BB13" i="44"/>
  <c r="AW13" i="44"/>
  <c r="AU13" i="44"/>
  <c r="AO13" i="44"/>
  <c r="AQ13" i="44" s="1"/>
  <c r="AM13" i="44"/>
  <c r="J13" i="44"/>
  <c r="BG12" i="44"/>
  <c r="BG23" i="44" s="1"/>
  <c r="BE12" i="44"/>
  <c r="BH12" i="44" s="1"/>
  <c r="BB12" i="44"/>
  <c r="BA12" i="44"/>
  <c r="AY12" i="44"/>
  <c r="AY23" i="44" s="1"/>
  <c r="AW12" i="44"/>
  <c r="AU12" i="44"/>
  <c r="AU23" i="44" s="1"/>
  <c r="AT12" i="44"/>
  <c r="AT23" i="44" s="1"/>
  <c r="AW23" i="44" s="1"/>
  <c r="AO12" i="44"/>
  <c r="AQ12" i="44" s="1"/>
  <c r="AQ23" i="44" s="1"/>
  <c r="AM12" i="44"/>
  <c r="AK12" i="44"/>
  <c r="AB12" i="44"/>
  <c r="AF12" i="44" s="1"/>
  <c r="AF23" i="44" s="1"/>
  <c r="T12" i="44"/>
  <c r="T23" i="44" s="1"/>
  <c r="P12" i="44"/>
  <c r="O12" i="44"/>
  <c r="R12" i="44" s="1"/>
  <c r="V12" i="44" s="1"/>
  <c r="M12" i="44"/>
  <c r="M23" i="44" s="1"/>
  <c r="L12" i="44"/>
  <c r="J12" i="44"/>
  <c r="I12" i="44"/>
  <c r="I23" i="44" s="1"/>
  <c r="H12" i="44"/>
  <c r="H23" i="44" s="1"/>
  <c r="J23" i="44" s="1"/>
  <c r="F12" i="44"/>
  <c r="F23" i="44" s="1"/>
  <c r="AQ82" i="16"/>
  <c r="BF82" i="16"/>
  <c r="BF84" i="16" s="1"/>
  <c r="AU82" i="16"/>
  <c r="AU84" i="16" s="1"/>
  <c r="AP82" i="16"/>
  <c r="AP84" i="16" s="1"/>
  <c r="BF81" i="16"/>
  <c r="BF80" i="16"/>
  <c r="BF86" i="16" s="1"/>
  <c r="AQ80" i="16"/>
  <c r="AQ81" i="16" s="1"/>
  <c r="BH79" i="16"/>
  <c r="BF79" i="16"/>
  <c r="BB79" i="16"/>
  <c r="BA79" i="16"/>
  <c r="AW79" i="16"/>
  <c r="AU79" i="16"/>
  <c r="AQ79" i="16"/>
  <c r="AP79" i="16"/>
  <c r="AL79" i="16"/>
  <c r="AG79" i="16"/>
  <c r="AC79" i="16"/>
  <c r="X79" i="16"/>
  <c r="T79" i="16"/>
  <c r="O79" i="16"/>
  <c r="L79" i="16"/>
  <c r="I79" i="16"/>
  <c r="H79" i="16"/>
  <c r="F79" i="16"/>
  <c r="BF78" i="16"/>
  <c r="BB78" i="16"/>
  <c r="BA78" i="16"/>
  <c r="AU78" i="16"/>
  <c r="AQ78" i="16"/>
  <c r="AP78" i="16"/>
  <c r="AL78" i="16"/>
  <c r="AC78" i="16"/>
  <c r="X78" i="16"/>
  <c r="T78" i="16"/>
  <c r="BH77" i="16"/>
  <c r="BF77" i="16"/>
  <c r="BB77" i="16"/>
  <c r="BA77" i="16"/>
  <c r="AW77" i="16"/>
  <c r="AU77" i="16"/>
  <c r="AQ77" i="16"/>
  <c r="AP77" i="16"/>
  <c r="AL77" i="16"/>
  <c r="AG77" i="16"/>
  <c r="AC77" i="16"/>
  <c r="X77" i="16"/>
  <c r="T77" i="16"/>
  <c r="O77" i="16"/>
  <c r="L77" i="16"/>
  <c r="I77" i="16"/>
  <c r="I80" i="16" s="1"/>
  <c r="I81" i="16" s="1"/>
  <c r="H77" i="16"/>
  <c r="F77" i="16"/>
  <c r="BF76" i="16"/>
  <c r="BB76" i="16"/>
  <c r="BB80" i="16" s="1"/>
  <c r="AU76" i="16"/>
  <c r="AU80" i="16" s="1"/>
  <c r="AQ76" i="16"/>
  <c r="AP76" i="16"/>
  <c r="AP80" i="16" s="1"/>
  <c r="AC76" i="16"/>
  <c r="AC80" i="16" s="1"/>
  <c r="I76" i="16"/>
  <c r="H76" i="16"/>
  <c r="F76" i="16"/>
  <c r="BD73" i="16"/>
  <c r="AS73" i="16"/>
  <c r="AJ73" i="16"/>
  <c r="AA73" i="16"/>
  <c r="R73" i="16"/>
  <c r="J73" i="16"/>
  <c r="M73" i="16" s="1"/>
  <c r="BD72" i="16"/>
  <c r="AS72" i="16"/>
  <c r="AJ72" i="16"/>
  <c r="AA72" i="16"/>
  <c r="R72" i="16"/>
  <c r="M72" i="16"/>
  <c r="J72" i="16"/>
  <c r="BD71" i="16"/>
  <c r="AS71" i="16"/>
  <c r="AJ71" i="16"/>
  <c r="AA71" i="16"/>
  <c r="R71" i="16"/>
  <c r="J71" i="16"/>
  <c r="M71" i="16" s="1"/>
  <c r="BD70" i="16"/>
  <c r="AS70" i="16"/>
  <c r="AJ70" i="16"/>
  <c r="AA70" i="16"/>
  <c r="R70" i="16"/>
  <c r="M70" i="16"/>
  <c r="J70" i="16"/>
  <c r="BD67" i="16"/>
  <c r="AS67" i="16"/>
  <c r="AJ67" i="16"/>
  <c r="AA67" i="16"/>
  <c r="R67" i="16"/>
  <c r="M67" i="16"/>
  <c r="M79" i="16" s="1"/>
  <c r="J67" i="16"/>
  <c r="BD65" i="16"/>
  <c r="AS65" i="16"/>
  <c r="AJ65" i="16"/>
  <c r="AA65" i="16"/>
  <c r="R65" i="16"/>
  <c r="J65" i="16"/>
  <c r="M65" i="16" s="1"/>
  <c r="BD64" i="16"/>
  <c r="AS64" i="16"/>
  <c r="AJ64" i="16"/>
  <c r="AA64" i="16"/>
  <c r="R64" i="16"/>
  <c r="M64" i="16"/>
  <c r="J64" i="16"/>
  <c r="BD63" i="16"/>
  <c r="AS63" i="16"/>
  <c r="AJ63" i="16"/>
  <c r="AA63" i="16"/>
  <c r="R63" i="16"/>
  <c r="BD62" i="16"/>
  <c r="AS62" i="16"/>
  <c r="AJ62" i="16"/>
  <c r="AA62" i="16"/>
  <c r="R62" i="16"/>
  <c r="J62" i="16"/>
  <c r="M62" i="16" s="1"/>
  <c r="BD61" i="16"/>
  <c r="AS61" i="16"/>
  <c r="AJ61" i="16"/>
  <c r="AA61" i="16"/>
  <c r="R61" i="16"/>
  <c r="M61" i="16"/>
  <c r="J61" i="16"/>
  <c r="BD60" i="16"/>
  <c r="BH60" i="16" s="1"/>
  <c r="AW60" i="16"/>
  <c r="AS60" i="16"/>
  <c r="AG60" i="16"/>
  <c r="AJ60" i="16" s="1"/>
  <c r="AA60" i="16"/>
  <c r="X60" i="16"/>
  <c r="L60" i="16"/>
  <c r="O60" i="16" s="1"/>
  <c r="R60" i="16" s="1"/>
  <c r="J60" i="16"/>
  <c r="BD59" i="16"/>
  <c r="BH59" i="16" s="1"/>
  <c r="AW59" i="16"/>
  <c r="AS59" i="16"/>
  <c r="AJ59" i="16"/>
  <c r="AG59" i="16"/>
  <c r="AA59" i="16"/>
  <c r="X59" i="16"/>
  <c r="J59" i="16"/>
  <c r="BD58" i="16"/>
  <c r="BH58" i="16" s="1"/>
  <c r="BH78" i="16" s="1"/>
  <c r="AW58" i="16"/>
  <c r="AW78" i="16" s="1"/>
  <c r="AS58" i="16"/>
  <c r="AJ58" i="16"/>
  <c r="AG58" i="16"/>
  <c r="AG78" i="16" s="1"/>
  <c r="X58" i="16"/>
  <c r="AA58" i="16" s="1"/>
  <c r="O58" i="16"/>
  <c r="L58" i="16"/>
  <c r="M58" i="16" s="1"/>
  <c r="J58" i="16"/>
  <c r="BD56" i="16"/>
  <c r="AS56" i="16"/>
  <c r="AJ56" i="16"/>
  <c r="AA56" i="16"/>
  <c r="R56" i="16"/>
  <c r="J56" i="16"/>
  <c r="M56" i="16" s="1"/>
  <c r="BD55" i="16"/>
  <c r="AS55" i="16"/>
  <c r="AJ55" i="16"/>
  <c r="AA55" i="16"/>
  <c r="R55" i="16"/>
  <c r="M55" i="16"/>
  <c r="J55" i="16"/>
  <c r="BD54" i="16"/>
  <c r="AS54" i="16"/>
  <c r="AJ54" i="16"/>
  <c r="AA54" i="16"/>
  <c r="R54" i="16"/>
  <c r="J54" i="16"/>
  <c r="M54" i="16" s="1"/>
  <c r="BD53" i="16"/>
  <c r="AS53" i="16"/>
  <c r="AJ53" i="16"/>
  <c r="AA53" i="16"/>
  <c r="R53" i="16"/>
  <c r="J53" i="16"/>
  <c r="M53" i="16" s="1"/>
  <c r="BD52" i="16"/>
  <c r="AS52" i="16"/>
  <c r="AJ52" i="16"/>
  <c r="AA52" i="16"/>
  <c r="R52" i="16"/>
  <c r="J52" i="16"/>
  <c r="M52" i="16" s="1"/>
  <c r="BD51" i="16"/>
  <c r="AS51" i="16"/>
  <c r="AJ51" i="16"/>
  <c r="AA51" i="16"/>
  <c r="R51" i="16"/>
  <c r="J51" i="16"/>
  <c r="M51" i="16" s="1"/>
  <c r="BD50" i="16"/>
  <c r="AS50" i="16"/>
  <c r="AJ50" i="16"/>
  <c r="AA50" i="16"/>
  <c r="R50" i="16"/>
  <c r="M50" i="16"/>
  <c r="J50" i="16"/>
  <c r="AS48" i="16"/>
  <c r="AJ48" i="16"/>
  <c r="AA48" i="16"/>
  <c r="R48" i="16"/>
  <c r="J48" i="16"/>
  <c r="M48" i="16" s="1"/>
  <c r="AS47" i="16"/>
  <c r="AJ47" i="16"/>
  <c r="AA47" i="16"/>
  <c r="R47" i="16"/>
  <c r="J47" i="16"/>
  <c r="M47" i="16" s="1"/>
  <c r="AS46" i="16"/>
  <c r="AJ46" i="16"/>
  <c r="AA46" i="16"/>
  <c r="R46" i="16"/>
  <c r="J46" i="16"/>
  <c r="M46" i="16" s="1"/>
  <c r="BD41" i="16"/>
  <c r="BH41" i="16" s="1"/>
  <c r="AW41" i="16"/>
  <c r="AS41" i="16"/>
  <c r="AJ41" i="16"/>
  <c r="AG41" i="16"/>
  <c r="X41" i="16"/>
  <c r="AA41" i="16" s="1"/>
  <c r="R41" i="16"/>
  <c r="BB40" i="16"/>
  <c r="BA40" i="16"/>
  <c r="BD40" i="16" s="1"/>
  <c r="BH40" i="16" s="1"/>
  <c r="AW40" i="16"/>
  <c r="AS40" i="16"/>
  <c r="AL40" i="16"/>
  <c r="AG40" i="16"/>
  <c r="AJ40" i="16" s="1"/>
  <c r="AC40" i="16"/>
  <c r="X40" i="16"/>
  <c r="AA40" i="16" s="1"/>
  <c r="T40" i="16"/>
  <c r="O40" i="16"/>
  <c r="R40" i="16" s="1"/>
  <c r="J40" i="16"/>
  <c r="M40" i="16" s="1"/>
  <c r="AS39" i="16"/>
  <c r="L39" i="16"/>
  <c r="M39" i="16" s="1"/>
  <c r="J39" i="16"/>
  <c r="BD38" i="16"/>
  <c r="BH38" i="16" s="1"/>
  <c r="AS38" i="16"/>
  <c r="AW38" i="16" s="1"/>
  <c r="AG38" i="16"/>
  <c r="X38" i="16"/>
  <c r="BB37" i="16"/>
  <c r="BA37" i="16"/>
  <c r="BD37" i="16" s="1"/>
  <c r="BH37" i="16" s="1"/>
  <c r="AS37" i="16"/>
  <c r="AW37" i="16" s="1"/>
  <c r="AL37" i="16"/>
  <c r="AG37" i="16"/>
  <c r="AJ37" i="16" s="1"/>
  <c r="AC37" i="16"/>
  <c r="X37" i="16"/>
  <c r="AA37" i="16" s="1"/>
  <c r="T37" i="16"/>
  <c r="R37" i="16"/>
  <c r="O37" i="16"/>
  <c r="AS36" i="16"/>
  <c r="M36" i="16"/>
  <c r="L36" i="16"/>
  <c r="L59" i="16" s="1"/>
  <c r="J36" i="16"/>
  <c r="BH35" i="16"/>
  <c r="BD35" i="16"/>
  <c r="AW35" i="16"/>
  <c r="AS35" i="16"/>
  <c r="AG35" i="16"/>
  <c r="X35" i="16"/>
  <c r="BB34" i="16"/>
  <c r="BB82" i="16" s="1"/>
  <c r="BB84" i="16" s="1"/>
  <c r="BA34" i="16"/>
  <c r="BA76" i="16" s="1"/>
  <c r="BA80" i="16" s="1"/>
  <c r="AW34" i="16"/>
  <c r="AS34" i="16"/>
  <c r="AL34" i="16"/>
  <c r="AL82" i="16" s="1"/>
  <c r="AJ34" i="16"/>
  <c r="AG34" i="16"/>
  <c r="AG82" i="16" s="1"/>
  <c r="AG84" i="16" s="1"/>
  <c r="AC34" i="16"/>
  <c r="AC82" i="16" s="1"/>
  <c r="T34" i="16"/>
  <c r="T76" i="16" s="1"/>
  <c r="T80" i="16" s="1"/>
  <c r="O34" i="16"/>
  <c r="R34" i="16" s="1"/>
  <c r="AS33" i="16"/>
  <c r="M33" i="16"/>
  <c r="M76" i="16" s="1"/>
  <c r="L33" i="16"/>
  <c r="L76" i="16" s="1"/>
  <c r="J33" i="16"/>
  <c r="BD29" i="16"/>
  <c r="AS29" i="16"/>
  <c r="AJ29" i="16"/>
  <c r="AA29" i="16"/>
  <c r="R29" i="16"/>
  <c r="M29" i="16"/>
  <c r="J29" i="16"/>
  <c r="L28" i="16"/>
  <c r="I28" i="16"/>
  <c r="I78" i="16" s="1"/>
  <c r="H28" i="16"/>
  <c r="H78" i="16" s="1"/>
  <c r="H80" i="16" s="1"/>
  <c r="F28" i="16"/>
  <c r="F78" i="16" s="1"/>
  <c r="BD27" i="16"/>
  <c r="AS27" i="16"/>
  <c r="AJ27" i="16"/>
  <c r="AA27" i="16"/>
  <c r="R27" i="16"/>
  <c r="M27" i="16"/>
  <c r="J27" i="16"/>
  <c r="BD26" i="16"/>
  <c r="AS26" i="16"/>
  <c r="AJ26" i="16"/>
  <c r="AA26" i="16"/>
  <c r="R26" i="16"/>
  <c r="J26" i="16"/>
  <c r="M26" i="16" s="1"/>
  <c r="BD25" i="16"/>
  <c r="AS25" i="16"/>
  <c r="AJ25" i="16"/>
  <c r="AA25" i="16"/>
  <c r="R25" i="16"/>
  <c r="M25" i="16"/>
  <c r="M28" i="16" s="1"/>
  <c r="J25" i="16"/>
  <c r="BH24" i="16"/>
  <c r="BD24" i="16"/>
  <c r="AW24" i="16"/>
  <c r="AS24" i="16"/>
  <c r="AJ24" i="16"/>
  <c r="AG24" i="16"/>
  <c r="T24" i="16"/>
  <c r="X24" i="16" s="1"/>
  <c r="AA24" i="16" s="1"/>
  <c r="O24" i="16"/>
  <c r="R24" i="16" s="1"/>
  <c r="M24" i="16"/>
  <c r="J24" i="16"/>
  <c r="BD22" i="16"/>
  <c r="AQ22" i="16"/>
  <c r="AC22" i="16"/>
  <c r="BF21" i="16"/>
  <c r="BB21" i="16"/>
  <c r="BA21" i="16"/>
  <c r="BD21" i="16" s="1"/>
  <c r="AW21" i="16"/>
  <c r="AS21" i="16"/>
  <c r="BD20" i="16"/>
  <c r="BH20" i="16" s="1"/>
  <c r="AW20" i="16"/>
  <c r="AS20" i="16"/>
  <c r="AG20" i="16"/>
  <c r="AJ20" i="16" s="1"/>
  <c r="AC20" i="16"/>
  <c r="T20" i="16"/>
  <c r="X20" i="16" s="1"/>
  <c r="R20" i="16"/>
  <c r="O20" i="16"/>
  <c r="J20" i="16"/>
  <c r="M20" i="16" s="1"/>
  <c r="AW19" i="16"/>
  <c r="AW22" i="16" s="1"/>
  <c r="AS19" i="16"/>
  <c r="BH18" i="16"/>
  <c r="AW18" i="16"/>
  <c r="AS18" i="16"/>
  <c r="BD17" i="16"/>
  <c r="BH19" i="16" s="1"/>
  <c r="AS17" i="16"/>
  <c r="AJ17" i="16"/>
  <c r="AA17" i="16"/>
  <c r="T17" i="16"/>
  <c r="O17" i="16"/>
  <c r="R17" i="16" s="1"/>
  <c r="M17" i="16"/>
  <c r="J17" i="16"/>
  <c r="BF16" i="16"/>
  <c r="BD16" i="16"/>
  <c r="BH16" i="16" s="1"/>
  <c r="BB16" i="16"/>
  <c r="BA16" i="16"/>
  <c r="AW16" i="16"/>
  <c r="AU16" i="16"/>
  <c r="AU22" i="16" s="1"/>
  <c r="AQ16" i="16"/>
  <c r="AP16" i="16"/>
  <c r="AP22" i="16" s="1"/>
  <c r="AS22" i="16" s="1"/>
  <c r="AL16" i="16"/>
  <c r="AJ16" i="16"/>
  <c r="AC16" i="16"/>
  <c r="AA16" i="16"/>
  <c r="X16" i="16"/>
  <c r="T16" i="16"/>
  <c r="L16" i="16"/>
  <c r="L22" i="16" s="1"/>
  <c r="O22" i="16" s="1"/>
  <c r="R22" i="16" s="1"/>
  <c r="I16" i="16"/>
  <c r="J16" i="16" s="1"/>
  <c r="M16" i="16" s="1"/>
  <c r="H16" i="16"/>
  <c r="H22" i="16" s="1"/>
  <c r="J22" i="16" s="1"/>
  <c r="BD14" i="16"/>
  <c r="AW14" i="16"/>
  <c r="AQ14" i="16"/>
  <c r="AP14" i="16"/>
  <c r="AS14" i="16" s="1"/>
  <c r="AL14" i="16"/>
  <c r="AG14" i="16"/>
  <c r="AJ14" i="16" s="1"/>
  <c r="O14" i="16"/>
  <c r="R14" i="16" s="1"/>
  <c r="L14" i="16"/>
  <c r="I14" i="16"/>
  <c r="H14" i="16"/>
  <c r="J14" i="16" s="1"/>
  <c r="M14" i="16" s="1"/>
  <c r="BD13" i="16"/>
  <c r="BH13" i="16" s="1"/>
  <c r="AW13" i="16"/>
  <c r="AS13" i="16"/>
  <c r="AG13" i="16"/>
  <c r="AJ13" i="16" s="1"/>
  <c r="X13" i="16"/>
  <c r="AA13" i="16" s="1"/>
  <c r="O13" i="16"/>
  <c r="R13" i="16" s="1"/>
  <c r="M13" i="16"/>
  <c r="J13" i="16"/>
  <c r="BF12" i="16"/>
  <c r="BH12" i="16" s="1"/>
  <c r="BH14" i="16" s="1"/>
  <c r="BB12" i="16"/>
  <c r="BA12" i="16"/>
  <c r="BD12" i="16" s="1"/>
  <c r="AW12" i="16"/>
  <c r="AU12" i="16"/>
  <c r="AS12" i="16"/>
  <c r="AG12" i="16"/>
  <c r="AJ12" i="16" s="1"/>
  <c r="AC12" i="16"/>
  <c r="T12" i="16"/>
  <c r="T14" i="16" s="1"/>
  <c r="X14" i="16" s="1"/>
  <c r="AA14" i="16" s="1"/>
  <c r="L12" i="16"/>
  <c r="O12" i="16" s="1"/>
  <c r="R12" i="16" s="1"/>
  <c r="J12" i="16"/>
  <c r="N74" i="103"/>
  <c r="N75" i="103"/>
  <c r="N76" i="103"/>
  <c r="N77" i="103"/>
  <c r="N70" i="103"/>
  <c r="N64" i="103"/>
  <c r="B125" i="2"/>
  <c r="B124" i="2"/>
  <c r="B123" i="2"/>
  <c r="B122" i="2"/>
  <c r="B121" i="2"/>
  <c r="B120" i="2"/>
  <c r="AJ108" i="2"/>
  <c r="AS105" i="2"/>
  <c r="AN105" i="2"/>
  <c r="AJ105" i="2"/>
  <c r="AI105" i="2"/>
  <c r="AC105" i="2"/>
  <c r="Y105" i="2"/>
  <c r="X105" i="2"/>
  <c r="T105" i="2"/>
  <c r="P105" i="2"/>
  <c r="O105" i="2"/>
  <c r="L105" i="2"/>
  <c r="I105" i="2"/>
  <c r="H105" i="2"/>
  <c r="F105" i="2"/>
  <c r="AS104" i="2"/>
  <c r="AJ103" i="2"/>
  <c r="Y103" i="2"/>
  <c r="T103" i="2"/>
  <c r="P103" i="2"/>
  <c r="O103" i="2"/>
  <c r="I103" i="2"/>
  <c r="F103" i="2"/>
  <c r="AJ102" i="2"/>
  <c r="Y102" i="2"/>
  <c r="T102" i="2"/>
  <c r="P102" i="2"/>
  <c r="L102" i="2"/>
  <c r="I102" i="2"/>
  <c r="H102" i="2"/>
  <c r="F102" i="2"/>
  <c r="F106" i="2" s="1"/>
  <c r="AN90" i="2"/>
  <c r="AL87" i="2"/>
  <c r="AP87" i="2" s="1"/>
  <c r="AA87" i="2"/>
  <c r="AE87" i="2" s="1"/>
  <c r="R87" i="2"/>
  <c r="V87" i="2" s="1"/>
  <c r="J87" i="2"/>
  <c r="M87" i="2" s="1"/>
  <c r="AL86" i="2"/>
  <c r="AP86" i="2" s="1"/>
  <c r="AA86" i="2"/>
  <c r="AE86" i="2" s="1"/>
  <c r="R86" i="2"/>
  <c r="V86" i="2" s="1"/>
  <c r="J86" i="2"/>
  <c r="M86" i="2" s="1"/>
  <c r="AL85" i="2"/>
  <c r="AP85" i="2" s="1"/>
  <c r="AA85" i="2"/>
  <c r="AE85" i="2" s="1"/>
  <c r="R85" i="2"/>
  <c r="V85" i="2" s="1"/>
  <c r="J85" i="2"/>
  <c r="M85" i="2" s="1"/>
  <c r="AL84" i="2"/>
  <c r="AP84" i="2" s="1"/>
  <c r="AA84" i="2"/>
  <c r="AE84" i="2" s="1"/>
  <c r="T84" i="2"/>
  <c r="V84" i="2" s="1"/>
  <c r="O84" i="2"/>
  <c r="R84" i="2" s="1"/>
  <c r="L84" i="2"/>
  <c r="H84" i="2"/>
  <c r="J84" i="2" s="1"/>
  <c r="AL81" i="2"/>
  <c r="AA81" i="2"/>
  <c r="R81" i="2"/>
  <c r="J81" i="2"/>
  <c r="AL79" i="2"/>
  <c r="AP79" i="2" s="1"/>
  <c r="AA79" i="2"/>
  <c r="AE79" i="2" s="1"/>
  <c r="R79" i="2"/>
  <c r="V79" i="2" s="1"/>
  <c r="J79" i="2"/>
  <c r="M79" i="2" s="1"/>
  <c r="AL78" i="2"/>
  <c r="AP78" i="2" s="1"/>
  <c r="AA78" i="2"/>
  <c r="AE78" i="2" s="1"/>
  <c r="R78" i="2"/>
  <c r="V78" i="2" s="1"/>
  <c r="J78" i="2"/>
  <c r="M78" i="2" s="1"/>
  <c r="AL76" i="2"/>
  <c r="AP76" i="2" s="1"/>
  <c r="AA76" i="2"/>
  <c r="AE76" i="2" s="1"/>
  <c r="R76" i="2"/>
  <c r="V76" i="2" s="1"/>
  <c r="J76" i="2"/>
  <c r="M76" i="2" s="1"/>
  <c r="AL75" i="2"/>
  <c r="AP75" i="2" s="1"/>
  <c r="AA75" i="2"/>
  <c r="AE75" i="2" s="1"/>
  <c r="R75" i="2"/>
  <c r="V75" i="2" s="1"/>
  <c r="J75" i="2"/>
  <c r="M75" i="2" s="1"/>
  <c r="H75" i="2"/>
  <c r="AL74" i="2"/>
  <c r="AP74" i="2" s="1"/>
  <c r="AE74" i="2"/>
  <c r="AA74" i="2"/>
  <c r="V74" i="2"/>
  <c r="R74" i="2"/>
  <c r="M74" i="2"/>
  <c r="J74" i="2"/>
  <c r="AL73" i="2"/>
  <c r="AP73" i="2" s="1"/>
  <c r="AE73" i="2"/>
  <c r="AA73" i="2"/>
  <c r="V73" i="2"/>
  <c r="R73" i="2"/>
  <c r="M73" i="2"/>
  <c r="J73" i="2"/>
  <c r="AP71" i="2"/>
  <c r="AA71" i="2"/>
  <c r="AE71" i="2" s="1"/>
  <c r="R71" i="2"/>
  <c r="V71" i="2" s="1"/>
  <c r="J71" i="2"/>
  <c r="M71" i="2" s="1"/>
  <c r="AL69" i="2"/>
  <c r="AP69" i="2" s="1"/>
  <c r="AA69" i="2"/>
  <c r="AE69" i="2" s="1"/>
  <c r="R69" i="2"/>
  <c r="V69" i="2" s="1"/>
  <c r="J69" i="2"/>
  <c r="M69" i="2" s="1"/>
  <c r="AL66" i="2"/>
  <c r="AP66" i="2" s="1"/>
  <c r="AA66" i="2"/>
  <c r="AE66" i="2" s="1"/>
  <c r="R66" i="2"/>
  <c r="V66" i="2" s="1"/>
  <c r="J66" i="2"/>
  <c r="M66" i="2" s="1"/>
  <c r="AL63" i="2"/>
  <c r="AP63" i="2" s="1"/>
  <c r="AA63" i="2"/>
  <c r="AE63" i="2" s="1"/>
  <c r="R63" i="2"/>
  <c r="V63" i="2" s="1"/>
  <c r="J63" i="2"/>
  <c r="M63" i="2" s="1"/>
  <c r="T62" i="2"/>
  <c r="AL60" i="2"/>
  <c r="AP60" i="2" s="1"/>
  <c r="AE60" i="2"/>
  <c r="AA60" i="2"/>
  <c r="V60" i="2"/>
  <c r="R60" i="2"/>
  <c r="M60" i="2"/>
  <c r="J60" i="2"/>
  <c r="AS58" i="2"/>
  <c r="AS103" i="2" s="1"/>
  <c r="AN58" i="2"/>
  <c r="AN103" i="2" s="1"/>
  <c r="AI58" i="2"/>
  <c r="AI103" i="2" s="1"/>
  <c r="AC58" i="2"/>
  <c r="AC103" i="2" s="1"/>
  <c r="X58" i="2"/>
  <c r="X103" i="2" s="1"/>
  <c r="T58" i="2"/>
  <c r="O58" i="2"/>
  <c r="AL57" i="2"/>
  <c r="AP57" i="2" s="1"/>
  <c r="AA57" i="2"/>
  <c r="AE57" i="2" s="1"/>
  <c r="R57" i="2"/>
  <c r="V57" i="2" s="1"/>
  <c r="L57" i="2"/>
  <c r="L103" i="2" s="1"/>
  <c r="H57" i="2"/>
  <c r="H103" i="2" s="1"/>
  <c r="AL54" i="2"/>
  <c r="AP54" i="2" s="1"/>
  <c r="AA54" i="2"/>
  <c r="AE54" i="2" s="1"/>
  <c r="R54" i="2"/>
  <c r="V54" i="2" s="1"/>
  <c r="J54" i="2"/>
  <c r="M54" i="2" s="1"/>
  <c r="AL51" i="2"/>
  <c r="AP51" i="2" s="1"/>
  <c r="AA51" i="2"/>
  <c r="AE51" i="2" s="1"/>
  <c r="R51" i="2"/>
  <c r="V51" i="2" s="1"/>
  <c r="J51" i="2"/>
  <c r="M51" i="2" s="1"/>
  <c r="AL49" i="2"/>
  <c r="AP49" i="2" s="1"/>
  <c r="AA49" i="2"/>
  <c r="AE49" i="2" s="1"/>
  <c r="R49" i="2"/>
  <c r="V49" i="2" s="1"/>
  <c r="J49" i="2"/>
  <c r="M49" i="2" s="1"/>
  <c r="AL48" i="2"/>
  <c r="AP48" i="2" s="1"/>
  <c r="AA48" i="2"/>
  <c r="AE48" i="2" s="1"/>
  <c r="R48" i="2"/>
  <c r="V48" i="2" s="1"/>
  <c r="J48" i="2"/>
  <c r="M48" i="2" s="1"/>
  <c r="AL47" i="2"/>
  <c r="AP47" i="2" s="1"/>
  <c r="AA47" i="2"/>
  <c r="AE47" i="2" s="1"/>
  <c r="R47" i="2"/>
  <c r="V47" i="2" s="1"/>
  <c r="J47" i="2"/>
  <c r="M47" i="2" s="1"/>
  <c r="AS45" i="2"/>
  <c r="AP44" i="2"/>
  <c r="AL44" i="2"/>
  <c r="AA44" i="2"/>
  <c r="AE44" i="2" s="1"/>
  <c r="V44" i="2"/>
  <c r="R44" i="2"/>
  <c r="J44" i="2"/>
  <c r="M44" i="2" s="1"/>
  <c r="AS43" i="2"/>
  <c r="AN43" i="2"/>
  <c r="AI43" i="2"/>
  <c r="AL43" i="2" s="1"/>
  <c r="AC43" i="2"/>
  <c r="AC108" i="2" s="1"/>
  <c r="X43" i="2"/>
  <c r="X108" i="2" s="1"/>
  <c r="T43" i="2"/>
  <c r="O43" i="2"/>
  <c r="R43" i="2" s="1"/>
  <c r="J43" i="2"/>
  <c r="M43" i="2" s="1"/>
  <c r="AL42" i="2"/>
  <c r="AP42" i="2" s="1"/>
  <c r="AA42" i="2"/>
  <c r="AE42" i="2" s="1"/>
  <c r="R42" i="2"/>
  <c r="V42" i="2" s="1"/>
  <c r="J42" i="2"/>
  <c r="M42" i="2" s="1"/>
  <c r="AS39" i="2"/>
  <c r="AS37" i="2"/>
  <c r="AS102" i="2" s="1"/>
  <c r="AS106" i="2" s="1"/>
  <c r="AS35" i="2"/>
  <c r="AS108" i="2" s="1"/>
  <c r="AS110" i="2" s="1"/>
  <c r="AN35" i="2"/>
  <c r="AI35" i="2"/>
  <c r="AI108" i="2" s="1"/>
  <c r="T35" i="2"/>
  <c r="T108" i="2" s="1"/>
  <c r="O35" i="2"/>
  <c r="O102" i="2" s="1"/>
  <c r="AL34" i="2"/>
  <c r="AP34" i="2" s="1"/>
  <c r="AE34" i="2"/>
  <c r="AA34" i="2"/>
  <c r="V34" i="2"/>
  <c r="R34" i="2"/>
  <c r="M34" i="2"/>
  <c r="J34" i="2"/>
  <c r="AU30" i="2"/>
  <c r="AL30" i="2"/>
  <c r="AP30" i="2" s="1"/>
  <c r="AP81" i="2" s="1"/>
  <c r="AP105" i="2" s="1"/>
  <c r="AA30" i="2"/>
  <c r="AE30" i="2" s="1"/>
  <c r="AE81" i="2" s="1"/>
  <c r="AE105" i="2" s="1"/>
  <c r="R30" i="2"/>
  <c r="V30" i="2" s="1"/>
  <c r="V81" i="2" s="1"/>
  <c r="V105" i="2" s="1"/>
  <c r="J30" i="2"/>
  <c r="M30" i="2" s="1"/>
  <c r="M81" i="2" s="1"/>
  <c r="M105" i="2" s="1"/>
  <c r="AU29" i="2"/>
  <c r="AP29" i="2"/>
  <c r="AJ29" i="2"/>
  <c r="AJ104" i="2" s="1"/>
  <c r="AI29" i="2"/>
  <c r="AN29" i="2" s="1"/>
  <c r="AN104" i="2" s="1"/>
  <c r="Y29" i="2"/>
  <c r="Y104" i="2" s="1"/>
  <c r="X29" i="2"/>
  <c r="X104" i="2" s="1"/>
  <c r="V29" i="2"/>
  <c r="V104" i="2" s="1"/>
  <c r="P29" i="2"/>
  <c r="P104" i="2" s="1"/>
  <c r="I29" i="2"/>
  <c r="I104" i="2" s="1"/>
  <c r="F29" i="2"/>
  <c r="F104" i="2" s="1"/>
  <c r="AL28" i="2"/>
  <c r="AE28" i="2"/>
  <c r="AA28" i="2"/>
  <c r="V28" i="2"/>
  <c r="R28" i="2"/>
  <c r="J28" i="2"/>
  <c r="M28" i="2" s="1"/>
  <c r="AL27" i="2"/>
  <c r="AA27" i="2"/>
  <c r="AE27" i="2" s="1"/>
  <c r="R27" i="2"/>
  <c r="V27" i="2" s="1"/>
  <c r="J27" i="2"/>
  <c r="M27" i="2" s="1"/>
  <c r="AL26" i="2"/>
  <c r="AE26" i="2"/>
  <c r="AE29" i="2" s="1"/>
  <c r="AA26" i="2"/>
  <c r="V26" i="2"/>
  <c r="R26" i="2"/>
  <c r="M26" i="2"/>
  <c r="M29" i="2" s="1"/>
  <c r="J26" i="2"/>
  <c r="AU25" i="2"/>
  <c r="AL25" i="2"/>
  <c r="AE25" i="2"/>
  <c r="AA25" i="2"/>
  <c r="V25" i="2"/>
  <c r="R25" i="2"/>
  <c r="L25" i="2"/>
  <c r="H25" i="2"/>
  <c r="J25" i="2" s="1"/>
  <c r="AU23" i="2"/>
  <c r="AP23" i="2"/>
  <c r="AI23" i="2"/>
  <c r="AC23" i="2"/>
  <c r="Y23" i="2"/>
  <c r="P23" i="2"/>
  <c r="O23" i="2"/>
  <c r="R23" i="2" s="1"/>
  <c r="L23" i="2"/>
  <c r="AU22" i="2"/>
  <c r="AL22" i="2"/>
  <c r="AE22" i="2"/>
  <c r="AA22" i="2"/>
  <c r="V22" i="2"/>
  <c r="R22" i="2"/>
  <c r="L22" i="2"/>
  <c r="M22" i="2" s="1"/>
  <c r="J22" i="2"/>
  <c r="AJ21" i="2"/>
  <c r="AE21" i="2"/>
  <c r="AE20" i="2"/>
  <c r="AU19" i="2"/>
  <c r="AI19" i="2"/>
  <c r="AL19" i="2" s="1"/>
  <c r="AA19" i="2"/>
  <c r="AE19" i="2" s="1"/>
  <c r="AE23" i="2" s="1"/>
  <c r="R19" i="2"/>
  <c r="V19" i="2" s="1"/>
  <c r="J19" i="2"/>
  <c r="M19" i="2" s="1"/>
  <c r="I19" i="2"/>
  <c r="H19" i="2"/>
  <c r="AU18" i="2"/>
  <c r="AS18" i="2"/>
  <c r="AS23" i="2" s="1"/>
  <c r="AP18" i="2"/>
  <c r="AN18" i="2"/>
  <c r="AN23" i="2" s="1"/>
  <c r="AJ18" i="2"/>
  <c r="AJ23" i="2" s="1"/>
  <c r="AI18" i="2"/>
  <c r="AL18" i="2" s="1"/>
  <c r="AE18" i="2"/>
  <c r="AC18" i="2"/>
  <c r="Y18" i="2"/>
  <c r="X18" i="2"/>
  <c r="X23" i="2" s="1"/>
  <c r="AA23" i="2" s="1"/>
  <c r="T18" i="2"/>
  <c r="V18" i="2" s="1"/>
  <c r="O18" i="2"/>
  <c r="R18" i="2" s="1"/>
  <c r="L18" i="2"/>
  <c r="I18" i="2"/>
  <c r="I23" i="2" s="1"/>
  <c r="H18" i="2"/>
  <c r="H23" i="2" s="1"/>
  <c r="J23" i="2" s="1"/>
  <c r="AP16" i="2"/>
  <c r="AN16" i="2"/>
  <c r="AJ16" i="2"/>
  <c r="AI16" i="2"/>
  <c r="AL16" i="2" s="1"/>
  <c r="AE16" i="2"/>
  <c r="P16" i="2"/>
  <c r="O16" i="2"/>
  <c r="R16" i="2" s="1"/>
  <c r="AL15" i="2"/>
  <c r="X15" i="2"/>
  <c r="AA15" i="2" s="1"/>
  <c r="T15" i="2"/>
  <c r="O15" i="2"/>
  <c r="R15" i="2" s="1"/>
  <c r="J15" i="2"/>
  <c r="M15" i="2" s="1"/>
  <c r="AU14" i="2"/>
  <c r="AL14" i="2"/>
  <c r="AL13" i="2"/>
  <c r="AU12" i="2"/>
  <c r="AU16" i="2" s="1"/>
  <c r="AS12" i="2"/>
  <c r="AS16" i="2" s="1"/>
  <c r="AJ12" i="2"/>
  <c r="AI12" i="2"/>
  <c r="AL12" i="2" s="1"/>
  <c r="AC12" i="2"/>
  <c r="AA12" i="2"/>
  <c r="Y12" i="2"/>
  <c r="X12" i="2"/>
  <c r="X16" i="2" s="1"/>
  <c r="AA16" i="2" s="1"/>
  <c r="T12" i="2"/>
  <c r="V12" i="2" s="1"/>
  <c r="O12" i="2"/>
  <c r="R12" i="2" s="1"/>
  <c r="L12" i="2"/>
  <c r="L16" i="2" s="1"/>
  <c r="I12" i="2"/>
  <c r="J12" i="2" s="1"/>
  <c r="H12" i="2"/>
  <c r="H16" i="2" s="1"/>
  <c r="BH31" i="46"/>
  <c r="BH32" i="46"/>
  <c r="BH33" i="46"/>
  <c r="BH34" i="46"/>
  <c r="BH35" i="46"/>
  <c r="BH36" i="46"/>
  <c r="BH37" i="46"/>
  <c r="BH38" i="46"/>
  <c r="BH39" i="46"/>
  <c r="BH30" i="46"/>
  <c r="BF81" i="46"/>
  <c r="BH83" i="46"/>
  <c r="AZ26" i="46"/>
  <c r="AZ27" i="46"/>
  <c r="AZ30" i="46"/>
  <c r="AZ31" i="46"/>
  <c r="AZ32" i="46"/>
  <c r="AZ33" i="46"/>
  <c r="AZ34" i="46"/>
  <c r="AZ35" i="46"/>
  <c r="AZ36" i="46"/>
  <c r="AZ37" i="46"/>
  <c r="AZ38" i="46"/>
  <c r="AZ39" i="46"/>
  <c r="AZ77" i="46"/>
  <c r="AZ78" i="46"/>
  <c r="AZ79" i="46"/>
  <c r="AZ80" i="46"/>
  <c r="AZ81" i="46"/>
  <c r="AZ82" i="46"/>
  <c r="AZ83" i="46"/>
  <c r="AZ84" i="46"/>
  <c r="AZ85" i="46"/>
  <c r="AZ86" i="46"/>
  <c r="AZ87" i="46"/>
  <c r="AZ88" i="46"/>
  <c r="AZ89" i="46"/>
  <c r="AZ90" i="46"/>
  <c r="AZ91" i="46"/>
  <c r="AZ92" i="46"/>
  <c r="AZ13" i="46"/>
  <c r="AZ14" i="46"/>
  <c r="AZ16" i="46"/>
  <c r="AZ17" i="46"/>
  <c r="AZ18" i="46"/>
  <c r="AZ19" i="46"/>
  <c r="AZ21" i="46"/>
  <c r="AZ22" i="46"/>
  <c r="AZ23" i="46"/>
  <c r="AZ24" i="46"/>
  <c r="AZ25" i="46"/>
  <c r="AZ12" i="46"/>
  <c r="BD12" i="46"/>
  <c r="AN87" i="46"/>
  <c r="AJ87" i="46"/>
  <c r="T87" i="46"/>
  <c r="AP83" i="46"/>
  <c r="AN83" i="46"/>
  <c r="AJ83" i="46"/>
  <c r="AI83" i="46"/>
  <c r="AC83" i="46"/>
  <c r="AC85" i="46" s="1"/>
  <c r="X83" i="46"/>
  <c r="X85" i="46" s="1"/>
  <c r="T83" i="46"/>
  <c r="T85" i="46" s="1"/>
  <c r="O83" i="46"/>
  <c r="O85" i="46" s="1"/>
  <c r="T82" i="46"/>
  <c r="P82" i="46"/>
  <c r="AP81" i="46"/>
  <c r="AP88" i="46" s="1"/>
  <c r="AN81" i="46"/>
  <c r="AN82" i="46" s="1"/>
  <c r="AJ81" i="46"/>
  <c r="AJ88" i="46" s="1"/>
  <c r="AJ89" i="46" s="1"/>
  <c r="T81" i="46"/>
  <c r="T88" i="46" s="1"/>
  <c r="T89" i="46" s="1"/>
  <c r="P81" i="46"/>
  <c r="BH80" i="46"/>
  <c r="BF80" i="46"/>
  <c r="BB80" i="46"/>
  <c r="BA80" i="46"/>
  <c r="AY80" i="46"/>
  <c r="AW80" i="46"/>
  <c r="AS80" i="46"/>
  <c r="AR80" i="46"/>
  <c r="AP80" i="46"/>
  <c r="AN80" i="46"/>
  <c r="AJ80" i="46"/>
  <c r="AI80" i="46"/>
  <c r="AE80" i="46"/>
  <c r="AC80" i="46"/>
  <c r="Y80" i="46"/>
  <c r="X80" i="46"/>
  <c r="X81" i="46" s="1"/>
  <c r="V80" i="46"/>
  <c r="T80" i="46"/>
  <c r="P80" i="46"/>
  <c r="O80" i="46"/>
  <c r="L80" i="46"/>
  <c r="I80" i="46"/>
  <c r="H80" i="46"/>
  <c r="F80" i="46"/>
  <c r="AP79" i="46"/>
  <c r="AN79" i="46"/>
  <c r="AJ79" i="46"/>
  <c r="AE79" i="46"/>
  <c r="AC79" i="46"/>
  <c r="Y79" i="46"/>
  <c r="X79" i="46"/>
  <c r="T79" i="46"/>
  <c r="P79" i="46"/>
  <c r="L79" i="46"/>
  <c r="I79" i="46"/>
  <c r="BH78" i="46"/>
  <c r="BF78" i="46"/>
  <c r="BB78" i="46"/>
  <c r="BA78" i="46"/>
  <c r="AY78" i="46"/>
  <c r="AW78" i="46"/>
  <c r="AS78" i="46"/>
  <c r="AR78" i="46"/>
  <c r="AP78" i="46"/>
  <c r="AN78" i="46"/>
  <c r="AJ78" i="46"/>
  <c r="AI78" i="46"/>
  <c r="AE78" i="46"/>
  <c r="AC78" i="46"/>
  <c r="Y78" i="46"/>
  <c r="X78" i="46"/>
  <c r="T78" i="46"/>
  <c r="P78" i="46"/>
  <c r="O78" i="46"/>
  <c r="L78" i="46"/>
  <c r="I78" i="46"/>
  <c r="H78" i="46"/>
  <c r="F78" i="46"/>
  <c r="BF77" i="46"/>
  <c r="BB77" i="46"/>
  <c r="BA77" i="46"/>
  <c r="AW77" i="46"/>
  <c r="AS77" i="46"/>
  <c r="AR77" i="46"/>
  <c r="AP77" i="46"/>
  <c r="AN77" i="46"/>
  <c r="AJ77" i="46"/>
  <c r="AI77" i="46"/>
  <c r="AC77" i="46"/>
  <c r="AC81" i="46" s="1"/>
  <c r="X77" i="46"/>
  <c r="T77" i="46"/>
  <c r="P77" i="46"/>
  <c r="O77" i="46"/>
  <c r="O81" i="46" s="1"/>
  <c r="L77" i="46"/>
  <c r="L81" i="46" s="1"/>
  <c r="I77" i="46"/>
  <c r="I81" i="46" s="1"/>
  <c r="F77" i="46"/>
  <c r="V68" i="46"/>
  <c r="R68" i="46"/>
  <c r="J68" i="46"/>
  <c r="M68" i="46" s="1"/>
  <c r="V67" i="46"/>
  <c r="R67" i="46"/>
  <c r="M67" i="46"/>
  <c r="J67" i="46"/>
  <c r="V66" i="46"/>
  <c r="R66" i="46"/>
  <c r="J66" i="46"/>
  <c r="M66" i="46" s="1"/>
  <c r="V65" i="46"/>
  <c r="R65" i="46"/>
  <c r="M65" i="46"/>
  <c r="J65" i="46"/>
  <c r="V64" i="46"/>
  <c r="V63" i="46"/>
  <c r="R62" i="46"/>
  <c r="J62" i="46"/>
  <c r="V60" i="46"/>
  <c r="R60" i="46"/>
  <c r="M60" i="46"/>
  <c r="J60" i="46"/>
  <c r="R59" i="46"/>
  <c r="V59" i="46" s="1"/>
  <c r="M59" i="46"/>
  <c r="J59" i="46"/>
  <c r="V58" i="46"/>
  <c r="R58" i="46"/>
  <c r="V57" i="46"/>
  <c r="R57" i="46"/>
  <c r="J57" i="46"/>
  <c r="M57" i="46" s="1"/>
  <c r="V56" i="46"/>
  <c r="R56" i="46"/>
  <c r="M56" i="46"/>
  <c r="J56" i="46"/>
  <c r="V55" i="46"/>
  <c r="R55" i="46"/>
  <c r="J55" i="46"/>
  <c r="M55" i="46" s="1"/>
  <c r="V54" i="46"/>
  <c r="R54" i="46"/>
  <c r="M54" i="46"/>
  <c r="J54" i="46"/>
  <c r="V53" i="46"/>
  <c r="R53" i="46"/>
  <c r="J53" i="46"/>
  <c r="M53" i="46" s="1"/>
  <c r="V51" i="46"/>
  <c r="R51" i="46"/>
  <c r="M51" i="46"/>
  <c r="J51" i="46"/>
  <c r="V50" i="46"/>
  <c r="R50" i="46"/>
  <c r="J50" i="46"/>
  <c r="M50" i="46" s="1"/>
  <c r="V49" i="46"/>
  <c r="R49" i="46"/>
  <c r="M49" i="46"/>
  <c r="J49" i="46"/>
  <c r="V48" i="46"/>
  <c r="R48" i="46"/>
  <c r="J48" i="46"/>
  <c r="M48" i="46" s="1"/>
  <c r="V47" i="46"/>
  <c r="R47" i="46"/>
  <c r="M47" i="46"/>
  <c r="J47" i="46"/>
  <c r="V46" i="46"/>
  <c r="R46" i="46"/>
  <c r="J46" i="46"/>
  <c r="M46" i="46" s="1"/>
  <c r="V45" i="46"/>
  <c r="V78" i="46" s="1"/>
  <c r="R45" i="46"/>
  <c r="M45" i="46"/>
  <c r="J45" i="46"/>
  <c r="V43" i="46"/>
  <c r="R43" i="46"/>
  <c r="J43" i="46"/>
  <c r="M43" i="46" s="1"/>
  <c r="V42" i="46"/>
  <c r="R42" i="46"/>
  <c r="M42" i="46"/>
  <c r="J42" i="46"/>
  <c r="R41" i="46"/>
  <c r="V41" i="46" s="1"/>
  <c r="J41" i="46"/>
  <c r="M41" i="46" s="1"/>
  <c r="BD39" i="46"/>
  <c r="AY39" i="46"/>
  <c r="AU39" i="46"/>
  <c r="AL39" i="46"/>
  <c r="Y39" i="46"/>
  <c r="AA39" i="46" s="1"/>
  <c r="V39" i="46"/>
  <c r="R39" i="46"/>
  <c r="AE39" i="46" s="1"/>
  <c r="BD38" i="46"/>
  <c r="AU38" i="46"/>
  <c r="AY38" i="46" s="1"/>
  <c r="AL38" i="46"/>
  <c r="AE38" i="46"/>
  <c r="AA38" i="46"/>
  <c r="Y38" i="46"/>
  <c r="V38" i="46"/>
  <c r="R38" i="46"/>
  <c r="J38" i="46"/>
  <c r="BD37" i="46"/>
  <c r="AU37" i="46"/>
  <c r="AY37" i="46" s="1"/>
  <c r="AL37" i="46"/>
  <c r="AE37" i="46"/>
  <c r="AA37" i="46"/>
  <c r="Y37" i="46"/>
  <c r="V37" i="46"/>
  <c r="R37" i="46"/>
  <c r="BD36" i="46"/>
  <c r="AY36" i="46"/>
  <c r="AU36" i="46"/>
  <c r="AL36" i="46"/>
  <c r="R36" i="46"/>
  <c r="V36" i="46" s="1"/>
  <c r="BD35" i="46"/>
  <c r="AY35" i="46"/>
  <c r="AU35" i="46"/>
  <c r="AL35" i="46"/>
  <c r="Y35" i="46"/>
  <c r="AA35" i="46" s="1"/>
  <c r="V35" i="46"/>
  <c r="R35" i="46"/>
  <c r="AE35" i="46" s="1"/>
  <c r="BD34" i="46"/>
  <c r="AY34" i="46"/>
  <c r="AU34" i="46"/>
  <c r="AL34" i="46"/>
  <c r="AE34" i="46"/>
  <c r="AA34" i="46"/>
  <c r="Y34" i="46"/>
  <c r="V34" i="46"/>
  <c r="R34" i="46"/>
  <c r="L34" i="46"/>
  <c r="H34" i="46"/>
  <c r="H77" i="46" s="1"/>
  <c r="BD33" i="46"/>
  <c r="AY33" i="46"/>
  <c r="AU33" i="46"/>
  <c r="AL33" i="46"/>
  <c r="Y33" i="46"/>
  <c r="AA33" i="46" s="1"/>
  <c r="V33" i="46"/>
  <c r="R33" i="46"/>
  <c r="AE33" i="46" s="1"/>
  <c r="BD32" i="46"/>
  <c r="AU32" i="46"/>
  <c r="AY32" i="46" s="1"/>
  <c r="AY77" i="46" s="1"/>
  <c r="AL32" i="46"/>
  <c r="AE32" i="46"/>
  <c r="AA32" i="46"/>
  <c r="Y32" i="46"/>
  <c r="V32" i="46"/>
  <c r="R32" i="46"/>
  <c r="L32" i="46"/>
  <c r="J32" i="46"/>
  <c r="H32" i="46"/>
  <c r="BD31" i="46"/>
  <c r="AY31" i="46"/>
  <c r="AU31" i="46"/>
  <c r="AL31" i="46"/>
  <c r="R31" i="46"/>
  <c r="V31" i="46" s="1"/>
  <c r="BD30" i="46"/>
  <c r="AY30" i="46"/>
  <c r="AU30" i="46"/>
  <c r="AL30" i="46"/>
  <c r="Y30" i="46"/>
  <c r="V30" i="46"/>
  <c r="R30" i="46"/>
  <c r="AE30" i="46" s="1"/>
  <c r="O30" i="46"/>
  <c r="L30" i="46"/>
  <c r="J30" i="46"/>
  <c r="H30" i="46"/>
  <c r="J26" i="46"/>
  <c r="M26" i="46" s="1"/>
  <c r="M62" i="46" s="1"/>
  <c r="M80" i="46" s="1"/>
  <c r="BB25" i="46"/>
  <c r="BB79" i="46" s="1"/>
  <c r="BA25" i="46"/>
  <c r="BA79" i="46" s="1"/>
  <c r="AS25" i="46"/>
  <c r="AS79" i="46" s="1"/>
  <c r="AS83" i="46" s="1"/>
  <c r="AS85" i="46" s="1"/>
  <c r="AR25" i="46"/>
  <c r="AR79" i="46" s="1"/>
  <c r="AI25" i="46"/>
  <c r="AI79" i="46" s="1"/>
  <c r="X25" i="46"/>
  <c r="O25" i="46"/>
  <c r="O79" i="46" s="1"/>
  <c r="L25" i="46"/>
  <c r="I25" i="46"/>
  <c r="H25" i="46"/>
  <c r="H79" i="46" s="1"/>
  <c r="F25" i="46"/>
  <c r="F79" i="46" s="1"/>
  <c r="F81" i="46" s="1"/>
  <c r="F82" i="46" s="1"/>
  <c r="BD24" i="46"/>
  <c r="AU24" i="46"/>
  <c r="AP24" i="46"/>
  <c r="AL24" i="46"/>
  <c r="AJ24" i="46"/>
  <c r="AE24" i="46"/>
  <c r="Y24" i="46"/>
  <c r="AA24" i="46" s="1"/>
  <c r="V24" i="46"/>
  <c r="R24" i="46"/>
  <c r="M24" i="46"/>
  <c r="J24" i="46"/>
  <c r="BH23" i="46"/>
  <c r="BD23" i="46"/>
  <c r="AU23" i="46"/>
  <c r="AY23" i="46" s="1"/>
  <c r="AP23" i="46"/>
  <c r="AL23" i="46"/>
  <c r="AJ23" i="46"/>
  <c r="AE23" i="46"/>
  <c r="AA23" i="46"/>
  <c r="Y23" i="46"/>
  <c r="R23" i="46"/>
  <c r="V23" i="46" s="1"/>
  <c r="M23" i="46"/>
  <c r="J23" i="46"/>
  <c r="BD22" i="46"/>
  <c r="AU22" i="46"/>
  <c r="AL22" i="46"/>
  <c r="AA22" i="46"/>
  <c r="R22" i="46"/>
  <c r="V22" i="46" s="1"/>
  <c r="M22" i="46"/>
  <c r="M25" i="46" s="1"/>
  <c r="J22" i="46"/>
  <c r="BH21" i="46"/>
  <c r="BD21" i="46"/>
  <c r="AY21" i="46"/>
  <c r="AU21" i="46"/>
  <c r="AI21" i="46"/>
  <c r="AL21" i="46" s="1"/>
  <c r="AA21" i="46"/>
  <c r="X21" i="46"/>
  <c r="V21" i="46"/>
  <c r="R21" i="46"/>
  <c r="M21" i="46"/>
  <c r="J21" i="46"/>
  <c r="BF19" i="46"/>
  <c r="BD19" i="46"/>
  <c r="BB19" i="46"/>
  <c r="BA19" i="46"/>
  <c r="AW19" i="46"/>
  <c r="AS19" i="46"/>
  <c r="AR19" i="46"/>
  <c r="AU19" i="46" s="1"/>
  <c r="AL19" i="46"/>
  <c r="AE19" i="46"/>
  <c r="AC19" i="46"/>
  <c r="Y19" i="46"/>
  <c r="X19" i="46"/>
  <c r="AA19" i="46" s="1"/>
  <c r="T19" i="46"/>
  <c r="BH18" i="46"/>
  <c r="BH19" i="46" s="1"/>
  <c r="BD18" i="46"/>
  <c r="AY18" i="46"/>
  <c r="AU18" i="46"/>
  <c r="AP18" i="46"/>
  <c r="AL18" i="46"/>
  <c r="AA18" i="46"/>
  <c r="O18" i="46"/>
  <c r="O19" i="46" s="1"/>
  <c r="R19" i="46" s="1"/>
  <c r="V19" i="46" s="1"/>
  <c r="M18" i="46"/>
  <c r="M16" i="46" s="1"/>
  <c r="L18" i="46"/>
  <c r="L19" i="46" s="1"/>
  <c r="H18" i="46"/>
  <c r="BH17" i="46"/>
  <c r="BD17" i="46"/>
  <c r="AY17" i="46"/>
  <c r="AU17" i="46"/>
  <c r="AN17" i="46"/>
  <c r="AP17" i="46" s="1"/>
  <c r="AL17" i="46"/>
  <c r="AA17" i="46"/>
  <c r="R17" i="46"/>
  <c r="V17" i="46" s="1"/>
  <c r="J17" i="46"/>
  <c r="BH16" i="46"/>
  <c r="BD16" i="46"/>
  <c r="AY16" i="46"/>
  <c r="AY19" i="46" s="1"/>
  <c r="AW16" i="46"/>
  <c r="AW25" i="46" s="1"/>
  <c r="AU16" i="46"/>
  <c r="AL16" i="46"/>
  <c r="AP16" i="46" s="1"/>
  <c r="AP19" i="46" s="1"/>
  <c r="AA16" i="46"/>
  <c r="V16" i="46"/>
  <c r="R16" i="46"/>
  <c r="BF14" i="46"/>
  <c r="BD14" i="46"/>
  <c r="BB14" i="46"/>
  <c r="BA14" i="46"/>
  <c r="AW14" i="46"/>
  <c r="AS14" i="46"/>
  <c r="AR14" i="46"/>
  <c r="AU14" i="46" s="1"/>
  <c r="AP14" i="46"/>
  <c r="AL14" i="46"/>
  <c r="AJ14" i="46"/>
  <c r="AE14" i="46"/>
  <c r="AC14" i="46"/>
  <c r="Y14" i="46"/>
  <c r="X14" i="46"/>
  <c r="AA14" i="46" s="1"/>
  <c r="T14" i="46"/>
  <c r="O14" i="46"/>
  <c r="R14" i="46" s="1"/>
  <c r="V14" i="46" s="1"/>
  <c r="L14" i="46"/>
  <c r="M14" i="46" s="1"/>
  <c r="H14" i="46"/>
  <c r="J14" i="46" s="1"/>
  <c r="BH13" i="46"/>
  <c r="BF13" i="46"/>
  <c r="BB13" i="46"/>
  <c r="BD13" i="46" s="1"/>
  <c r="BA13" i="46"/>
  <c r="AY13" i="46"/>
  <c r="AU13" i="46"/>
  <c r="AL13" i="46"/>
  <c r="AP13" i="46" s="1"/>
  <c r="AA13" i="46"/>
  <c r="R13" i="46"/>
  <c r="V13" i="46" s="1"/>
  <c r="J13" i="46"/>
  <c r="M13" i="46" s="1"/>
  <c r="BH12" i="46"/>
  <c r="BH14" i="46" s="1"/>
  <c r="AY12" i="46"/>
  <c r="AY14" i="46" s="1"/>
  <c r="AU12" i="46"/>
  <c r="AN12" i="46"/>
  <c r="AI12" i="46"/>
  <c r="AL12" i="46" s="1"/>
  <c r="AP12" i="46" s="1"/>
  <c r="AA12" i="46"/>
  <c r="R12" i="46"/>
  <c r="V12" i="46" s="1"/>
  <c r="M12" i="46"/>
  <c r="J12" i="46"/>
  <c r="B104" i="50"/>
  <c r="B103" i="50"/>
  <c r="B102" i="50"/>
  <c r="BB90" i="50"/>
  <c r="AX90" i="50"/>
  <c r="AW90" i="50"/>
  <c r="AR90" i="50"/>
  <c r="AM90" i="50"/>
  <c r="AJ90" i="50"/>
  <c r="AH90" i="50"/>
  <c r="AE90" i="50"/>
  <c r="AC90" i="50"/>
  <c r="Y90" i="50"/>
  <c r="X90" i="50"/>
  <c r="V90" i="50"/>
  <c r="T90" i="50"/>
  <c r="P90" i="50"/>
  <c r="O90" i="50"/>
  <c r="BB89" i="50"/>
  <c r="BB92" i="50" s="1"/>
  <c r="AX89" i="50"/>
  <c r="AX92" i="50" s="1"/>
  <c r="AW89" i="50"/>
  <c r="AT89" i="50"/>
  <c r="AR89" i="50"/>
  <c r="AN89" i="50"/>
  <c r="AN92" i="50" s="1"/>
  <c r="AM89" i="50"/>
  <c r="AJ89" i="50"/>
  <c r="AJ92" i="50" s="1"/>
  <c r="AH89" i="50"/>
  <c r="AH92" i="50" s="1"/>
  <c r="AE89" i="50"/>
  <c r="AE92" i="50" s="1"/>
  <c r="AC89" i="50"/>
  <c r="AC92" i="50" s="1"/>
  <c r="Y89" i="50"/>
  <c r="X89" i="50"/>
  <c r="X92" i="50" s="1"/>
  <c r="V89" i="50"/>
  <c r="V92" i="50" s="1"/>
  <c r="T89" i="50"/>
  <c r="P89" i="50"/>
  <c r="O89" i="50"/>
  <c r="O92" i="50" s="1"/>
  <c r="BD86" i="50"/>
  <c r="BB86" i="50"/>
  <c r="AX86" i="50"/>
  <c r="AW86" i="50"/>
  <c r="AT86" i="50"/>
  <c r="AR86" i="50"/>
  <c r="AN86" i="50"/>
  <c r="AM86" i="50"/>
  <c r="AJ86" i="50"/>
  <c r="AH86" i="50"/>
  <c r="AE86" i="50"/>
  <c r="AC86" i="50"/>
  <c r="Y86" i="50"/>
  <c r="X86" i="50"/>
  <c r="V86" i="50"/>
  <c r="T86" i="50"/>
  <c r="P86" i="50"/>
  <c r="O86" i="50"/>
  <c r="M86" i="50"/>
  <c r="L86" i="50"/>
  <c r="I86" i="50"/>
  <c r="H86" i="50"/>
  <c r="F86" i="50"/>
  <c r="Y85" i="50"/>
  <c r="P85" i="50"/>
  <c r="O85" i="50"/>
  <c r="L85" i="50"/>
  <c r="F85" i="50"/>
  <c r="BD84" i="50"/>
  <c r="BB84" i="50"/>
  <c r="AX84" i="50"/>
  <c r="AW84" i="50"/>
  <c r="AT84" i="50"/>
  <c r="AR84" i="50"/>
  <c r="AN84" i="50"/>
  <c r="AM84" i="50"/>
  <c r="AJ84" i="50"/>
  <c r="AH84" i="50"/>
  <c r="AE84" i="50"/>
  <c r="AC84" i="50"/>
  <c r="Y84" i="50"/>
  <c r="X84" i="50"/>
  <c r="V84" i="50"/>
  <c r="T84" i="50"/>
  <c r="P84" i="50"/>
  <c r="L84" i="50"/>
  <c r="I84" i="50"/>
  <c r="H84" i="50"/>
  <c r="F84" i="50"/>
  <c r="BB83" i="50"/>
  <c r="AW83" i="50"/>
  <c r="AR83" i="50"/>
  <c r="AM83" i="50"/>
  <c r="AJ83" i="50"/>
  <c r="AH83" i="50"/>
  <c r="AE83" i="50"/>
  <c r="AE87" i="50" s="1"/>
  <c r="AC83" i="50"/>
  <c r="AC87" i="50" s="1"/>
  <c r="Y83" i="50"/>
  <c r="Y87" i="50" s="1"/>
  <c r="X83" i="50"/>
  <c r="V83" i="50"/>
  <c r="T83" i="50"/>
  <c r="P83" i="50"/>
  <c r="O83" i="50"/>
  <c r="L83" i="50"/>
  <c r="I83" i="50"/>
  <c r="I87" i="50" s="1"/>
  <c r="I88" i="50" s="1"/>
  <c r="H83" i="50"/>
  <c r="F83" i="50"/>
  <c r="F87" i="50" s="1"/>
  <c r="F88" i="50" s="1"/>
  <c r="AZ80" i="50"/>
  <c r="AU80" i="50"/>
  <c r="AP80" i="50"/>
  <c r="AK80" i="50"/>
  <c r="AF80" i="50"/>
  <c r="AA80" i="50"/>
  <c r="R80" i="50"/>
  <c r="AZ79" i="50"/>
  <c r="AU79" i="50"/>
  <c r="AP79" i="50"/>
  <c r="AK79" i="50"/>
  <c r="AF79" i="50"/>
  <c r="AA79" i="50"/>
  <c r="R79" i="50"/>
  <c r="AZ78" i="50"/>
  <c r="AU78" i="50"/>
  <c r="AP78" i="50"/>
  <c r="AK78" i="50"/>
  <c r="AF78" i="50"/>
  <c r="AA78" i="50"/>
  <c r="R78" i="50"/>
  <c r="AZ77" i="50"/>
  <c r="AU77" i="50"/>
  <c r="AP77" i="50"/>
  <c r="AK77" i="50"/>
  <c r="AF77" i="50"/>
  <c r="AA77" i="50"/>
  <c r="R77" i="50"/>
  <c r="AZ76" i="50"/>
  <c r="AU76" i="50"/>
  <c r="AP76" i="50"/>
  <c r="AK76" i="50"/>
  <c r="AF76" i="50"/>
  <c r="AA76" i="50"/>
  <c r="R76" i="50"/>
  <c r="AZ75" i="50"/>
  <c r="AU75" i="50"/>
  <c r="AP75" i="50"/>
  <c r="AK75" i="50"/>
  <c r="AF75" i="50"/>
  <c r="AA75" i="50"/>
  <c r="R75" i="50"/>
  <c r="AZ74" i="50"/>
  <c r="AU74" i="50"/>
  <c r="AP74" i="50"/>
  <c r="AK74" i="50"/>
  <c r="AF74" i="50"/>
  <c r="AA74" i="50"/>
  <c r="R74" i="50"/>
  <c r="AZ73" i="50"/>
  <c r="AU73" i="50"/>
  <c r="AP73" i="50"/>
  <c r="AK73" i="50"/>
  <c r="AF73" i="50"/>
  <c r="AA73" i="50"/>
  <c r="R73" i="50"/>
  <c r="AZ72" i="50"/>
  <c r="AU72" i="50"/>
  <c r="AP72" i="50"/>
  <c r="AK72" i="50"/>
  <c r="AF72" i="50"/>
  <c r="AA72" i="50"/>
  <c r="R72" i="50"/>
  <c r="AZ69" i="50"/>
  <c r="AU69" i="50"/>
  <c r="AP69" i="50"/>
  <c r="AK69" i="50"/>
  <c r="AF69" i="50"/>
  <c r="AA69" i="50"/>
  <c r="R69" i="50"/>
  <c r="J69" i="50"/>
  <c r="M69" i="50" s="1"/>
  <c r="AZ68" i="50"/>
  <c r="AU68" i="50"/>
  <c r="AP68" i="50"/>
  <c r="AK68" i="50"/>
  <c r="AF68" i="50"/>
  <c r="AA68" i="50"/>
  <c r="R68" i="50"/>
  <c r="J68" i="50"/>
  <c r="M68" i="50" s="1"/>
  <c r="AZ67" i="50"/>
  <c r="AU67" i="50"/>
  <c r="AP67" i="50"/>
  <c r="AK67" i="50"/>
  <c r="AF67" i="50"/>
  <c r="AA67" i="50"/>
  <c r="R67" i="50"/>
  <c r="J67" i="50"/>
  <c r="M67" i="50" s="1"/>
  <c r="AZ66" i="50"/>
  <c r="AU66" i="50"/>
  <c r="AP66" i="50"/>
  <c r="AK66" i="50"/>
  <c r="AF66" i="50"/>
  <c r="AA66" i="50"/>
  <c r="R66" i="50"/>
  <c r="J66" i="50"/>
  <c r="M66" i="50" s="1"/>
  <c r="AZ64" i="50"/>
  <c r="AU64" i="50"/>
  <c r="AP64" i="50"/>
  <c r="AK64" i="50"/>
  <c r="AF64" i="50"/>
  <c r="AA64" i="50"/>
  <c r="R64" i="50"/>
  <c r="J64" i="50"/>
  <c r="AZ63" i="50"/>
  <c r="AU63" i="50"/>
  <c r="AP63" i="50"/>
  <c r="AK63" i="50"/>
  <c r="AF63" i="50"/>
  <c r="AA63" i="50"/>
  <c r="R63" i="50"/>
  <c r="J63" i="50"/>
  <c r="AZ62" i="50"/>
  <c r="AU62" i="50"/>
  <c r="AP62" i="50"/>
  <c r="AK62" i="50"/>
  <c r="AF62" i="50"/>
  <c r="AA62" i="50"/>
  <c r="R62" i="50"/>
  <c r="J62" i="50"/>
  <c r="AZ60" i="50"/>
  <c r="AU60" i="50"/>
  <c r="AP60" i="50"/>
  <c r="AK60" i="50"/>
  <c r="AF60" i="50"/>
  <c r="AA60" i="50"/>
  <c r="R60" i="50"/>
  <c r="J60" i="50"/>
  <c r="AZ59" i="50"/>
  <c r="AU59" i="50"/>
  <c r="AP59" i="50"/>
  <c r="AK59" i="50"/>
  <c r="AF59" i="50"/>
  <c r="AA59" i="50"/>
  <c r="R59" i="50"/>
  <c r="J59" i="50"/>
  <c r="AZ58" i="50"/>
  <c r="AU58" i="50"/>
  <c r="AP58" i="50"/>
  <c r="AK58" i="50"/>
  <c r="AF58" i="50"/>
  <c r="AA58" i="50"/>
  <c r="R58" i="50"/>
  <c r="AZ57" i="50"/>
  <c r="AU57" i="50"/>
  <c r="AP57" i="50"/>
  <c r="AK57" i="50"/>
  <c r="AF57" i="50"/>
  <c r="AA57" i="50"/>
  <c r="R57" i="50"/>
  <c r="J57" i="50"/>
  <c r="AZ56" i="50"/>
  <c r="AU56" i="50"/>
  <c r="AP56" i="50"/>
  <c r="AK56" i="50"/>
  <c r="AF56" i="50"/>
  <c r="AA56" i="50"/>
  <c r="R56" i="50"/>
  <c r="J56" i="50"/>
  <c r="AZ55" i="50"/>
  <c r="AU55" i="50"/>
  <c r="AP55" i="50"/>
  <c r="AK55" i="50"/>
  <c r="AF55" i="50"/>
  <c r="AA55" i="50"/>
  <c r="R55" i="50"/>
  <c r="J55" i="50"/>
  <c r="AZ54" i="50"/>
  <c r="AU54" i="50"/>
  <c r="AP54" i="50"/>
  <c r="AK54" i="50"/>
  <c r="AF54" i="50"/>
  <c r="AA54" i="50"/>
  <c r="R54" i="50"/>
  <c r="J54" i="50"/>
  <c r="AZ53" i="50"/>
  <c r="AU53" i="50"/>
  <c r="AP53" i="50"/>
  <c r="AK53" i="50"/>
  <c r="AF53" i="50"/>
  <c r="AA53" i="50"/>
  <c r="R53" i="50"/>
  <c r="M53" i="50"/>
  <c r="J53" i="50"/>
  <c r="AZ51" i="50"/>
  <c r="AU51" i="50"/>
  <c r="AP51" i="50"/>
  <c r="AK51" i="50"/>
  <c r="AF51" i="50"/>
  <c r="AA51" i="50"/>
  <c r="R51" i="50"/>
  <c r="J51" i="50"/>
  <c r="M51" i="50" s="1"/>
  <c r="AZ50" i="50"/>
  <c r="AU50" i="50"/>
  <c r="AP50" i="50"/>
  <c r="AK50" i="50"/>
  <c r="AF50" i="50"/>
  <c r="AA50" i="50"/>
  <c r="R50" i="50"/>
  <c r="J50" i="50"/>
  <c r="M50" i="50" s="1"/>
  <c r="AZ49" i="50"/>
  <c r="AU49" i="50"/>
  <c r="AP49" i="50"/>
  <c r="AK49" i="50"/>
  <c r="AF49" i="50"/>
  <c r="AA49" i="50"/>
  <c r="R49" i="50"/>
  <c r="M49" i="50"/>
  <c r="J49" i="50"/>
  <c r="AZ48" i="50"/>
  <c r="AU48" i="50"/>
  <c r="AP48" i="50"/>
  <c r="AK48" i="50"/>
  <c r="AF48" i="50"/>
  <c r="AA48" i="50"/>
  <c r="R48" i="50"/>
  <c r="J48" i="50"/>
  <c r="M48" i="50" s="1"/>
  <c r="AZ47" i="50"/>
  <c r="AU47" i="50"/>
  <c r="AP47" i="50"/>
  <c r="AK47" i="50"/>
  <c r="AF47" i="50"/>
  <c r="AA47" i="50"/>
  <c r="R47" i="50"/>
  <c r="M47" i="50"/>
  <c r="J47" i="50"/>
  <c r="AZ46" i="50"/>
  <c r="AU46" i="50"/>
  <c r="AP46" i="50"/>
  <c r="AK46" i="50"/>
  <c r="AF46" i="50"/>
  <c r="AA46" i="50"/>
  <c r="R46" i="50"/>
  <c r="J46" i="50"/>
  <c r="M46" i="50" s="1"/>
  <c r="AZ45" i="50"/>
  <c r="AU45" i="50"/>
  <c r="AP45" i="50"/>
  <c r="AK45" i="50"/>
  <c r="AF45" i="50"/>
  <c r="AA45" i="50"/>
  <c r="O45" i="50"/>
  <c r="R45" i="50" s="1"/>
  <c r="J45" i="50"/>
  <c r="M45" i="50" s="1"/>
  <c r="M84" i="50" s="1"/>
  <c r="AZ43" i="50"/>
  <c r="AU43" i="50"/>
  <c r="AP43" i="50"/>
  <c r="AK43" i="50"/>
  <c r="AF43" i="50"/>
  <c r="AA43" i="50"/>
  <c r="R43" i="50"/>
  <c r="J43" i="50"/>
  <c r="M43" i="50" s="1"/>
  <c r="AZ42" i="50"/>
  <c r="AU42" i="50"/>
  <c r="AP42" i="50"/>
  <c r="AK42" i="50"/>
  <c r="AF42" i="50"/>
  <c r="AA42" i="50"/>
  <c r="R42" i="50"/>
  <c r="J42" i="50"/>
  <c r="M42" i="50" s="1"/>
  <c r="J41" i="50"/>
  <c r="M41" i="50" s="1"/>
  <c r="AZ39" i="50"/>
  <c r="AU39" i="50"/>
  <c r="AP39" i="50"/>
  <c r="AK39" i="50"/>
  <c r="AF39" i="50"/>
  <c r="AA39" i="50"/>
  <c r="R39" i="50"/>
  <c r="J39" i="50"/>
  <c r="M39" i="50" s="1"/>
  <c r="AZ38" i="50"/>
  <c r="AU38" i="50"/>
  <c r="AP38" i="50"/>
  <c r="AK38" i="50"/>
  <c r="AF38" i="50"/>
  <c r="AA38" i="50"/>
  <c r="R38" i="50"/>
  <c r="J38" i="50"/>
  <c r="M38" i="50" s="1"/>
  <c r="AX37" i="50"/>
  <c r="AZ37" i="50" s="1"/>
  <c r="AT37" i="50"/>
  <c r="AT83" i="50" s="1"/>
  <c r="AN37" i="50"/>
  <c r="AP37" i="50" s="1"/>
  <c r="AK37" i="50"/>
  <c r="AF37" i="50"/>
  <c r="AA37" i="50"/>
  <c r="R37" i="50"/>
  <c r="J37" i="50"/>
  <c r="M37" i="50" s="1"/>
  <c r="BD36" i="50"/>
  <c r="BD89" i="50" s="1"/>
  <c r="BD92" i="50" s="1"/>
  <c r="AZ36" i="50"/>
  <c r="AZ41" i="50" s="1"/>
  <c r="AU36" i="50"/>
  <c r="AU41" i="50" s="1"/>
  <c r="AP36" i="50"/>
  <c r="AP41" i="50" s="1"/>
  <c r="AK36" i="50"/>
  <c r="AK41" i="50" s="1"/>
  <c r="AF36" i="50"/>
  <c r="AF41" i="50" s="1"/>
  <c r="AA36" i="50"/>
  <c r="AA41" i="50" s="1"/>
  <c r="R36" i="50"/>
  <c r="R41" i="50" s="1"/>
  <c r="J36" i="50"/>
  <c r="AZ32" i="50"/>
  <c r="AU32" i="50"/>
  <c r="AP32" i="50"/>
  <c r="AK32" i="50"/>
  <c r="AF32" i="50"/>
  <c r="AA32" i="50"/>
  <c r="R32" i="50"/>
  <c r="J31" i="50"/>
  <c r="M31" i="50" s="1"/>
  <c r="BD29" i="50"/>
  <c r="BD85" i="50" s="1"/>
  <c r="BB29" i="50"/>
  <c r="BB85" i="50" s="1"/>
  <c r="AX29" i="50"/>
  <c r="AX85" i="50" s="1"/>
  <c r="AW29" i="50"/>
  <c r="AW85" i="50" s="1"/>
  <c r="AT29" i="50"/>
  <c r="AT85" i="50" s="1"/>
  <c r="AR29" i="50"/>
  <c r="AR85" i="50" s="1"/>
  <c r="AN29" i="50"/>
  <c r="AN85" i="50" s="1"/>
  <c r="AM29" i="50"/>
  <c r="AM85" i="50" s="1"/>
  <c r="AM87" i="50" s="1"/>
  <c r="AJ29" i="50"/>
  <c r="AJ85" i="50" s="1"/>
  <c r="AH29" i="50"/>
  <c r="AH85" i="50" s="1"/>
  <c r="AE29" i="50"/>
  <c r="AE85" i="50" s="1"/>
  <c r="AC29" i="50"/>
  <c r="AC85" i="50" s="1"/>
  <c r="X29" i="50"/>
  <c r="X85" i="50" s="1"/>
  <c r="V29" i="50"/>
  <c r="V85" i="50" s="1"/>
  <c r="T29" i="50"/>
  <c r="T85" i="50" s="1"/>
  <c r="T87" i="50" s="1"/>
  <c r="O29" i="50"/>
  <c r="L29" i="50"/>
  <c r="I29" i="50"/>
  <c r="I85" i="50" s="1"/>
  <c r="H29" i="50"/>
  <c r="H85" i="50" s="1"/>
  <c r="AZ28" i="50"/>
  <c r="AU28" i="50"/>
  <c r="AP28" i="50"/>
  <c r="AK28" i="50"/>
  <c r="AF28" i="50"/>
  <c r="AA28" i="50"/>
  <c r="R28" i="50"/>
  <c r="J28" i="50"/>
  <c r="M28" i="50" s="1"/>
  <c r="AZ27" i="50"/>
  <c r="AU27" i="50"/>
  <c r="AP27" i="50"/>
  <c r="AK27" i="50"/>
  <c r="AF27" i="50"/>
  <c r="AA27" i="50"/>
  <c r="O27" i="50"/>
  <c r="R27" i="50" s="1"/>
  <c r="M27" i="50"/>
  <c r="J27" i="50"/>
  <c r="AZ26" i="50"/>
  <c r="AU26" i="50"/>
  <c r="AP26" i="50"/>
  <c r="AK26" i="50"/>
  <c r="AF26" i="50"/>
  <c r="AA26" i="50"/>
  <c r="R26" i="50"/>
  <c r="O26" i="50"/>
  <c r="J26" i="50"/>
  <c r="M26" i="50" s="1"/>
  <c r="M29" i="50" s="1"/>
  <c r="M85" i="50" s="1"/>
  <c r="AZ25" i="50"/>
  <c r="AU25" i="50"/>
  <c r="AP25" i="50"/>
  <c r="AK25" i="50"/>
  <c r="AF25" i="50"/>
  <c r="AA25" i="50"/>
  <c r="R25" i="50"/>
  <c r="M25" i="50"/>
  <c r="J25" i="50"/>
  <c r="AK23" i="50"/>
  <c r="AJ23" i="50"/>
  <c r="AH23" i="50"/>
  <c r="AE23" i="50"/>
  <c r="AC23" i="50"/>
  <c r="X23" i="50"/>
  <c r="V23" i="50"/>
  <c r="L23" i="50"/>
  <c r="I23" i="50"/>
  <c r="H23" i="50"/>
  <c r="J23" i="50" s="1"/>
  <c r="AZ22" i="50"/>
  <c r="AP22" i="50"/>
  <c r="R22" i="50"/>
  <c r="J22" i="50"/>
  <c r="BD21" i="50"/>
  <c r="BD17" i="50" s="1"/>
  <c r="AZ21" i="50"/>
  <c r="AU21" i="50"/>
  <c r="AP21" i="50"/>
  <c r="AK21" i="50"/>
  <c r="AF21" i="50"/>
  <c r="AA21" i="50"/>
  <c r="BD20" i="50"/>
  <c r="AK20" i="50"/>
  <c r="AF20" i="50"/>
  <c r="AA20" i="50"/>
  <c r="BD19" i="50"/>
  <c r="AK19" i="50"/>
  <c r="AF19" i="50"/>
  <c r="AA19" i="50"/>
  <c r="AZ18" i="50"/>
  <c r="AU18" i="50"/>
  <c r="AP18" i="50"/>
  <c r="R18" i="50"/>
  <c r="J18" i="50"/>
  <c r="M18" i="50" s="1"/>
  <c r="BB17" i="50"/>
  <c r="BB23" i="50" s="1"/>
  <c r="AX17" i="50"/>
  <c r="AW17" i="50"/>
  <c r="AW23" i="50" s="1"/>
  <c r="AU17" i="50"/>
  <c r="AT17" i="50"/>
  <c r="AT23" i="50" s="1"/>
  <c r="AR17" i="50"/>
  <c r="AR23" i="50" s="1"/>
  <c r="AN17" i="50"/>
  <c r="AN23" i="50" s="1"/>
  <c r="AM17" i="50"/>
  <c r="AM23" i="50" s="1"/>
  <c r="AK17" i="50"/>
  <c r="AF17" i="50"/>
  <c r="AA17" i="50"/>
  <c r="Y17" i="50"/>
  <c r="Y92" i="50" s="1"/>
  <c r="X17" i="50"/>
  <c r="V17" i="50"/>
  <c r="T17" i="50"/>
  <c r="T23" i="50" s="1"/>
  <c r="P17" i="50"/>
  <c r="R17" i="50" s="1"/>
  <c r="O17" i="50"/>
  <c r="O23" i="50" s="1"/>
  <c r="J17" i="50"/>
  <c r="M17" i="50" s="1"/>
  <c r="M23" i="50" s="1"/>
  <c r="AW15" i="50"/>
  <c r="AJ15" i="50"/>
  <c r="V15" i="50"/>
  <c r="L15" i="50"/>
  <c r="I15" i="50"/>
  <c r="J15" i="50" s="1"/>
  <c r="H15" i="50"/>
  <c r="BD14" i="50"/>
  <c r="BB14" i="50"/>
  <c r="AX14" i="50"/>
  <c r="AT14" i="50"/>
  <c r="AR14" i="50"/>
  <c r="AU14" i="50" s="1"/>
  <c r="AN14" i="50"/>
  <c r="AM14" i="50"/>
  <c r="AJ14" i="50"/>
  <c r="AH14" i="50"/>
  <c r="AK14" i="50" s="1"/>
  <c r="AE14" i="50"/>
  <c r="AC14" i="50"/>
  <c r="Y14" i="50"/>
  <c r="Y15" i="50" s="1"/>
  <c r="X14" i="50"/>
  <c r="V14" i="50"/>
  <c r="T14" i="50"/>
  <c r="P14" i="50"/>
  <c r="O14" i="50"/>
  <c r="BD13" i="50"/>
  <c r="BB13" i="50"/>
  <c r="BB15" i="50" s="1"/>
  <c r="AX13" i="50"/>
  <c r="AX15" i="50" s="1"/>
  <c r="AU13" i="50"/>
  <c r="AT13" i="50"/>
  <c r="AT15" i="50" s="1"/>
  <c r="AR13" i="50"/>
  <c r="AN13" i="50"/>
  <c r="AM13" i="50"/>
  <c r="AK13" i="50"/>
  <c r="AE13" i="50"/>
  <c r="AC13" i="50"/>
  <c r="AC15" i="50" s="1"/>
  <c r="Y13" i="50"/>
  <c r="X13" i="50"/>
  <c r="X15" i="50" s="1"/>
  <c r="V13" i="50"/>
  <c r="T13" i="50"/>
  <c r="T15" i="50" s="1"/>
  <c r="P13" i="50"/>
  <c r="R13" i="50" s="1"/>
  <c r="O13" i="50"/>
  <c r="M13" i="50"/>
  <c r="J13" i="50"/>
  <c r="BD12" i="50"/>
  <c r="BD15" i="50" s="1"/>
  <c r="AZ12" i="50"/>
  <c r="AU12" i="50"/>
  <c r="AP12" i="50"/>
  <c r="AK12" i="50"/>
  <c r="AF12" i="50"/>
  <c r="AA12" i="50"/>
  <c r="O12" i="50"/>
  <c r="O15" i="50" s="1"/>
  <c r="M12" i="50"/>
  <c r="J12" i="50"/>
  <c r="Z41" i="49"/>
  <c r="Z38" i="49"/>
  <c r="Z36" i="49"/>
  <c r="Z73" i="49"/>
  <c r="Z56" i="49"/>
  <c r="Z57" i="49"/>
  <c r="Z58" i="49"/>
  <c r="Z59" i="49"/>
  <c r="Z60" i="49"/>
  <c r="Z61" i="49"/>
  <c r="Z55" i="49"/>
  <c r="Z37" i="49"/>
  <c r="Z39" i="49"/>
  <c r="Z40" i="49"/>
  <c r="Z35" i="49"/>
  <c r="Z26" i="49"/>
  <c r="Z18" i="49"/>
  <c r="Z19" i="49"/>
  <c r="Z20" i="49"/>
  <c r="Z21" i="49"/>
  <c r="Z22" i="49"/>
  <c r="Z23" i="49"/>
  <c r="Z17" i="49"/>
  <c r="Z13" i="49"/>
  <c r="Z14" i="49"/>
  <c r="Z15" i="49"/>
  <c r="Z12" i="49"/>
  <c r="AE13" i="49"/>
  <c r="AE14" i="49"/>
  <c r="AE15" i="49"/>
  <c r="AE17" i="49"/>
  <c r="AE18" i="49"/>
  <c r="AE19" i="49"/>
  <c r="AE20" i="49"/>
  <c r="AE21" i="49"/>
  <c r="AE22" i="49"/>
  <c r="AE23" i="49"/>
  <c r="AE24" i="49"/>
  <c r="AE26" i="49"/>
  <c r="AE27" i="49"/>
  <c r="AE28" i="49"/>
  <c r="AE29" i="49"/>
  <c r="AE35" i="49"/>
  <c r="AE36" i="49"/>
  <c r="AE37" i="49"/>
  <c r="AE38" i="49"/>
  <c r="AE39" i="49"/>
  <c r="AE40" i="49"/>
  <c r="AE41" i="49"/>
  <c r="AE43" i="49"/>
  <c r="AE44" i="49"/>
  <c r="AE45" i="49"/>
  <c r="AE47" i="49"/>
  <c r="AE48" i="49"/>
  <c r="AE49" i="49"/>
  <c r="AE50" i="49"/>
  <c r="AE51" i="49"/>
  <c r="AE52" i="49"/>
  <c r="AE53" i="49"/>
  <c r="AE55" i="49"/>
  <c r="AE56" i="49"/>
  <c r="AE57" i="49"/>
  <c r="AE58" i="49"/>
  <c r="AE59" i="49"/>
  <c r="AE60" i="49"/>
  <c r="AE61" i="49"/>
  <c r="AE62" i="49"/>
  <c r="AE64" i="49"/>
  <c r="AE65" i="49"/>
  <c r="AE66" i="49"/>
  <c r="AE67" i="49"/>
  <c r="AE68" i="49"/>
  <c r="AE69" i="49"/>
  <c r="AE70" i="49"/>
  <c r="AE72" i="49"/>
  <c r="AE73" i="49"/>
  <c r="AE74" i="49"/>
  <c r="AE75" i="49"/>
  <c r="AE76" i="49"/>
  <c r="AE77" i="49"/>
  <c r="AE78" i="49"/>
  <c r="AE79" i="49"/>
  <c r="AE80" i="49"/>
  <c r="AE81" i="49"/>
  <c r="AE82" i="49"/>
  <c r="AE83" i="49"/>
  <c r="AE84" i="49"/>
  <c r="AE85" i="49"/>
  <c r="AE86" i="49"/>
  <c r="AE87" i="49"/>
  <c r="AE88" i="49"/>
  <c r="R12" i="49"/>
  <c r="AE12" i="49"/>
  <c r="V124" i="44" l="1"/>
  <c r="V23" i="44"/>
  <c r="BB17" i="44"/>
  <c r="BA23" i="44"/>
  <c r="BB23" i="44" s="1"/>
  <c r="AO126" i="44"/>
  <c r="AK126" i="44"/>
  <c r="M123" i="44"/>
  <c r="M126" i="44" s="1"/>
  <c r="AT126" i="44"/>
  <c r="P126" i="44"/>
  <c r="V34" i="44"/>
  <c r="BE126" i="44"/>
  <c r="Y126" i="44"/>
  <c r="Z137" i="44"/>
  <c r="F126" i="44"/>
  <c r="AW34" i="44"/>
  <c r="AW97" i="44" s="1"/>
  <c r="J34" i="44"/>
  <c r="AJ127" i="44"/>
  <c r="AJ132" i="44"/>
  <c r="AJ136" i="44"/>
  <c r="AJ129" i="44"/>
  <c r="AJ133" i="44"/>
  <c r="AJ134" i="44" s="1"/>
  <c r="AF123" i="44"/>
  <c r="V84" i="44"/>
  <c r="I126" i="44"/>
  <c r="H133" i="44"/>
  <c r="H134" i="44" s="1"/>
  <c r="H132" i="44"/>
  <c r="H127" i="44"/>
  <c r="BG124" i="44"/>
  <c r="BB48" i="44"/>
  <c r="L133" i="44"/>
  <c r="L134" i="44" s="1"/>
  <c r="L127" i="44"/>
  <c r="L132" i="44"/>
  <c r="J26" i="44"/>
  <c r="BA30" i="44"/>
  <c r="BB30" i="44" s="1"/>
  <c r="BB50" i="44" s="1"/>
  <c r="BA50" i="44" s="1"/>
  <c r="BA122" i="44" s="1"/>
  <c r="AB52" i="44"/>
  <c r="AF52" i="44" s="1"/>
  <c r="BB55" i="44"/>
  <c r="BG63" i="44"/>
  <c r="AB70" i="44"/>
  <c r="AF70" i="44" s="1"/>
  <c r="R81" i="44"/>
  <c r="V81" i="44" s="1"/>
  <c r="BG87" i="44"/>
  <c r="BH87" i="44" s="1"/>
  <c r="BG97" i="44"/>
  <c r="BG125" i="44" s="1"/>
  <c r="V111" i="44"/>
  <c r="Z122" i="44"/>
  <c r="Z126" i="44" s="1"/>
  <c r="AU122" i="44"/>
  <c r="AY123" i="44"/>
  <c r="AY126" i="44" s="1"/>
  <c r="O128" i="44"/>
  <c r="O130" i="44" s="1"/>
  <c r="BE128" i="44"/>
  <c r="BE130" i="44" s="1"/>
  <c r="AO23" i="44"/>
  <c r="BE23" i="44"/>
  <c r="BH23" i="44" s="1"/>
  <c r="BB25" i="44"/>
  <c r="V48" i="44"/>
  <c r="AQ48" i="44"/>
  <c r="BA64" i="44"/>
  <c r="BA128" i="44" s="1"/>
  <c r="BA130" i="44" s="1"/>
  <c r="BB86" i="44"/>
  <c r="BA86" i="44" s="1"/>
  <c r="Y111" i="44"/>
  <c r="AD122" i="44"/>
  <c r="AD126" i="44" s="1"/>
  <c r="P128" i="44"/>
  <c r="P130" i="44" s="1"/>
  <c r="AK128" i="44"/>
  <c r="AK130" i="44" s="1"/>
  <c r="BG128" i="44"/>
  <c r="BG130" i="44" s="1"/>
  <c r="AD137" i="44"/>
  <c r="T128" i="44"/>
  <c r="T130" i="44" s="1"/>
  <c r="AO128" i="44"/>
  <c r="AO130" i="44" s="1"/>
  <c r="AW48" i="44"/>
  <c r="R63" i="44"/>
  <c r="V63" i="44" s="1"/>
  <c r="V123" i="44" s="1"/>
  <c r="O122" i="44"/>
  <c r="O126" i="44" s="1"/>
  <c r="AJ137" i="44"/>
  <c r="BH25" i="44"/>
  <c r="AB48" i="44"/>
  <c r="AF48" i="44" s="1"/>
  <c r="AW88" i="44"/>
  <c r="T123" i="44"/>
  <c r="T126" i="44" s="1"/>
  <c r="AT128" i="44"/>
  <c r="AT130" i="44" s="1"/>
  <c r="AU63" i="44"/>
  <c r="AU123" i="44" s="1"/>
  <c r="BA81" i="16"/>
  <c r="BA83" i="16"/>
  <c r="BA86" i="16"/>
  <c r="T81" i="16"/>
  <c r="T86" i="16"/>
  <c r="O59" i="16"/>
  <c r="R59" i="16" s="1"/>
  <c r="M59" i="16"/>
  <c r="M78" i="16" s="1"/>
  <c r="M80" i="16" s="1"/>
  <c r="M81" i="16" s="1"/>
  <c r="AU83" i="16"/>
  <c r="AU81" i="16"/>
  <c r="AU86" i="16"/>
  <c r="AC84" i="16"/>
  <c r="F80" i="16"/>
  <c r="F81" i="16" s="1"/>
  <c r="H81" i="16"/>
  <c r="H86" i="16"/>
  <c r="BB81" i="16"/>
  <c r="BB86" i="16"/>
  <c r="BB83" i="16"/>
  <c r="L78" i="16"/>
  <c r="L80" i="16" s="1"/>
  <c r="O78" i="16"/>
  <c r="M22" i="16"/>
  <c r="X22" i="16"/>
  <c r="AA20" i="16"/>
  <c r="AL84" i="16"/>
  <c r="AC81" i="16"/>
  <c r="AC86" i="16"/>
  <c r="AC83" i="16"/>
  <c r="BH21" i="16"/>
  <c r="BH22" i="16" s="1"/>
  <c r="AW76" i="16"/>
  <c r="AW80" i="16" s="1"/>
  <c r="M77" i="16"/>
  <c r="AP83" i="16"/>
  <c r="AP81" i="16"/>
  <c r="AP86" i="16"/>
  <c r="O16" i="16"/>
  <c r="R16" i="16" s="1"/>
  <c r="AG22" i="16"/>
  <c r="AJ22" i="16" s="1"/>
  <c r="X34" i="16"/>
  <c r="R58" i="16"/>
  <c r="M60" i="16"/>
  <c r="AG76" i="16"/>
  <c r="AG80" i="16" s="1"/>
  <c r="BF14" i="16"/>
  <c r="BF22" i="16"/>
  <c r="AL76" i="16"/>
  <c r="AL80" i="16" s="1"/>
  <c r="O82" i="16"/>
  <c r="AW82" i="16"/>
  <c r="AW84" i="16" s="1"/>
  <c r="BF83" i="16"/>
  <c r="M12" i="16"/>
  <c r="AS16" i="16"/>
  <c r="AL22" i="16"/>
  <c r="BD34" i="16"/>
  <c r="BH34" i="16" s="1"/>
  <c r="T82" i="16"/>
  <c r="T84" i="16" s="1"/>
  <c r="BA82" i="16"/>
  <c r="BA84" i="16" s="1"/>
  <c r="T22" i="16"/>
  <c r="O76" i="16"/>
  <c r="O80" i="16" s="1"/>
  <c r="X12" i="16"/>
  <c r="AA12" i="16" s="1"/>
  <c r="V15" i="2"/>
  <c r="AL23" i="2"/>
  <c r="AE104" i="2"/>
  <c r="X110" i="2"/>
  <c r="X116" i="2"/>
  <c r="M84" i="2"/>
  <c r="Y106" i="2"/>
  <c r="Y107" i="2" s="1"/>
  <c r="AS107" i="2"/>
  <c r="AS109" i="2"/>
  <c r="AS112" i="2"/>
  <c r="V43" i="2"/>
  <c r="V102" i="2" s="1"/>
  <c r="V106" i="2" s="1"/>
  <c r="V107" i="2" s="1"/>
  <c r="AC110" i="2"/>
  <c r="AC116" i="2"/>
  <c r="V103" i="2"/>
  <c r="AJ106" i="2"/>
  <c r="M23" i="2"/>
  <c r="T116" i="2"/>
  <c r="T110" i="2"/>
  <c r="AP43" i="2"/>
  <c r="AP108" i="2" s="1"/>
  <c r="AP103" i="2"/>
  <c r="AE103" i="2"/>
  <c r="F108" i="2"/>
  <c r="F107" i="2"/>
  <c r="M25" i="2"/>
  <c r="M104" i="2"/>
  <c r="AP104" i="2"/>
  <c r="M102" i="2"/>
  <c r="AI110" i="2"/>
  <c r="AI116" i="2"/>
  <c r="I106" i="2"/>
  <c r="P106" i="2"/>
  <c r="P107" i="2" s="1"/>
  <c r="M12" i="2"/>
  <c r="J18" i="2"/>
  <c r="M18" i="2" s="1"/>
  <c r="H29" i="2"/>
  <c r="H104" i="2" s="1"/>
  <c r="H106" i="2" s="1"/>
  <c r="AA43" i="2"/>
  <c r="AE43" i="2" s="1"/>
  <c r="AE102" i="2" s="1"/>
  <c r="AE106" i="2" s="1"/>
  <c r="AE107" i="2" s="1"/>
  <c r="AN117" i="2"/>
  <c r="AA18" i="2"/>
  <c r="X102" i="2"/>
  <c r="X106" i="2" s="1"/>
  <c r="AI104" i="2"/>
  <c r="O108" i="2"/>
  <c r="AN102" i="2"/>
  <c r="AN106" i="2" s="1"/>
  <c r="AN108" i="2"/>
  <c r="AN110" i="2" s="1"/>
  <c r="T16" i="2"/>
  <c r="V16" i="2" s="1"/>
  <c r="T23" i="2"/>
  <c r="V23" i="2" s="1"/>
  <c r="L29" i="2"/>
  <c r="AC29" i="2"/>
  <c r="AC104" i="2" s="1"/>
  <c r="J57" i="2"/>
  <c r="I16" i="2"/>
  <c r="J16" i="2" s="1"/>
  <c r="M16" i="2" s="1"/>
  <c r="AC102" i="2"/>
  <c r="AC106" i="2" s="1"/>
  <c r="M57" i="2"/>
  <c r="M103" i="2" s="1"/>
  <c r="AI102" i="2"/>
  <c r="AI106" i="2" s="1"/>
  <c r="AE83" i="46"/>
  <c r="AE85" i="46" s="1"/>
  <c r="V77" i="46"/>
  <c r="H81" i="46"/>
  <c r="AY25" i="46"/>
  <c r="AW79" i="46"/>
  <c r="AW83" i="46" s="1"/>
  <c r="AW85" i="46" s="1"/>
  <c r="BB83" i="46"/>
  <c r="BB85" i="46" s="1"/>
  <c r="BB81" i="46"/>
  <c r="M78" i="46"/>
  <c r="AC88" i="46"/>
  <c r="AC89" i="46" s="1"/>
  <c r="AC84" i="46"/>
  <c r="AC87" i="46"/>
  <c r="AC82" i="46"/>
  <c r="BA81" i="46"/>
  <c r="J18" i="46"/>
  <c r="BA83" i="46"/>
  <c r="BA85" i="46" s="1"/>
  <c r="BF25" i="46"/>
  <c r="M79" i="46"/>
  <c r="AI81" i="46"/>
  <c r="AP89" i="46"/>
  <c r="AY81" i="46"/>
  <c r="AR81" i="46"/>
  <c r="AR83" i="46"/>
  <c r="AR85" i="46" s="1"/>
  <c r="AS81" i="46"/>
  <c r="M77" i="46"/>
  <c r="M81" i="46" s="1"/>
  <c r="M82" i="46" s="1"/>
  <c r="V79" i="46"/>
  <c r="L87" i="46"/>
  <c r="L82" i="46"/>
  <c r="L88" i="46"/>
  <c r="L89" i="46" s="1"/>
  <c r="O87" i="46"/>
  <c r="O82" i="46"/>
  <c r="O88" i="46"/>
  <c r="O89" i="46" s="1"/>
  <c r="O84" i="46"/>
  <c r="X88" i="46"/>
  <c r="X89" i="46" s="1"/>
  <c r="X84" i="46"/>
  <c r="X87" i="46"/>
  <c r="X82" i="46"/>
  <c r="H19" i="46"/>
  <c r="J19" i="46" s="1"/>
  <c r="Y31" i="46"/>
  <c r="AA31" i="46" s="1"/>
  <c r="J34" i="46"/>
  <c r="Y36" i="46"/>
  <c r="AA36" i="46" s="1"/>
  <c r="AY79" i="46"/>
  <c r="AY83" i="46" s="1"/>
  <c r="AY85" i="46" s="1"/>
  <c r="Y83" i="46"/>
  <c r="Y85" i="46" s="1"/>
  <c r="T84" i="46"/>
  <c r="AA30" i="46"/>
  <c r="I18" i="46"/>
  <c r="I16" i="46" s="1"/>
  <c r="J16" i="46" s="1"/>
  <c r="AE31" i="46"/>
  <c r="AE77" i="46" s="1"/>
  <c r="AE81" i="46" s="1"/>
  <c r="AE36" i="46"/>
  <c r="BH77" i="46"/>
  <c r="AN88" i="46"/>
  <c r="AN89" i="46" s="1"/>
  <c r="R18" i="46"/>
  <c r="V18" i="46" s="1"/>
  <c r="AP87" i="46"/>
  <c r="AF13" i="50"/>
  <c r="V87" i="50"/>
  <c r="L87" i="50"/>
  <c r="L88" i="50" s="1"/>
  <c r="AF14" i="50"/>
  <c r="Y23" i="50"/>
  <c r="AA23" i="50" s="1"/>
  <c r="P92" i="50"/>
  <c r="M83" i="50"/>
  <c r="M87" i="50" s="1"/>
  <c r="M88" i="50" s="1"/>
  <c r="AP13" i="50"/>
  <c r="AH15" i="50"/>
  <c r="AP23" i="50"/>
  <c r="BD37" i="50"/>
  <c r="BD90" i="50" s="1"/>
  <c r="AF23" i="50"/>
  <c r="T92" i="50"/>
  <c r="AM92" i="50"/>
  <c r="AZ17" i="50"/>
  <c r="AN15" i="50"/>
  <c r="AK15" i="50"/>
  <c r="AR15" i="50"/>
  <c r="AU15" i="50" s="1"/>
  <c r="O84" i="50"/>
  <c r="O87" i="50" s="1"/>
  <c r="O94" i="50" s="1"/>
  <c r="AH87" i="50"/>
  <c r="BB87" i="50"/>
  <c r="AA13" i="50"/>
  <c r="AZ15" i="50"/>
  <c r="BD23" i="50"/>
  <c r="P87" i="50"/>
  <c r="AJ87" i="50"/>
  <c r="AJ100" i="50" s="1"/>
  <c r="AZ13" i="50"/>
  <c r="M15" i="50"/>
  <c r="AX83" i="50"/>
  <c r="AW92" i="50"/>
  <c r="AC100" i="50"/>
  <c r="AC94" i="50"/>
  <c r="AC91" i="50"/>
  <c r="AC88" i="50"/>
  <c r="AE94" i="50"/>
  <c r="AE88" i="50"/>
  <c r="AE100" i="50"/>
  <c r="AE91" i="50"/>
  <c r="V101" i="50"/>
  <c r="V91" i="50"/>
  <c r="V88" i="50"/>
  <c r="V100" i="50"/>
  <c r="V94" i="50"/>
  <c r="AC101" i="50"/>
  <c r="AU23" i="50"/>
  <c r="AU22" i="50"/>
  <c r="AR87" i="50"/>
  <c r="O100" i="50"/>
  <c r="AH94" i="50"/>
  <c r="AH88" i="50"/>
  <c r="AH91" i="50"/>
  <c r="AH100" i="50"/>
  <c r="BB94" i="50"/>
  <c r="BB88" i="50"/>
  <c r="BB91" i="50"/>
  <c r="BB100" i="50"/>
  <c r="AA15" i="50"/>
  <c r="AT87" i="50"/>
  <c r="X87" i="50"/>
  <c r="AW87" i="50"/>
  <c r="P88" i="50"/>
  <c r="P94" i="50"/>
  <c r="P91" i="50"/>
  <c r="P100" i="50"/>
  <c r="AJ88" i="50"/>
  <c r="AJ94" i="50"/>
  <c r="AJ91" i="50"/>
  <c r="T88" i="50"/>
  <c r="T91" i="50"/>
  <c r="T100" i="50"/>
  <c r="T94" i="50"/>
  <c r="AM88" i="50"/>
  <c r="AM91" i="50"/>
  <c r="AM100" i="50"/>
  <c r="AM94" i="50"/>
  <c r="BD83" i="50"/>
  <c r="BD87" i="50" s="1"/>
  <c r="H87" i="50"/>
  <c r="H88" i="50" s="1"/>
  <c r="Y101" i="50"/>
  <c r="Y100" i="50"/>
  <c r="Y91" i="50"/>
  <c r="Y94" i="50"/>
  <c r="Y88" i="50"/>
  <c r="AX87" i="50"/>
  <c r="AR92" i="50"/>
  <c r="AW101" i="50"/>
  <c r="AT92" i="50"/>
  <c r="AE101" i="50"/>
  <c r="AX101" i="50"/>
  <c r="AX23" i="50"/>
  <c r="AZ23" i="50" s="1"/>
  <c r="AM15" i="50"/>
  <c r="AP15" i="50" s="1"/>
  <c r="R12" i="50"/>
  <c r="AP17" i="50"/>
  <c r="AH101" i="50"/>
  <c r="BB101" i="50"/>
  <c r="AU37" i="50"/>
  <c r="P23" i="50"/>
  <c r="R23" i="50" s="1"/>
  <c r="AN90" i="50"/>
  <c r="AN101" i="50" s="1"/>
  <c r="P101" i="50"/>
  <c r="AJ101" i="50"/>
  <c r="BD101" i="50"/>
  <c r="P15" i="50"/>
  <c r="R15" i="50" s="1"/>
  <c r="AE15" i="50"/>
  <c r="AF15" i="50" s="1"/>
  <c r="AN83" i="50"/>
  <c r="AN87" i="50" s="1"/>
  <c r="T101" i="50"/>
  <c r="AM101" i="50"/>
  <c r="AT90" i="50"/>
  <c r="M127" i="44" l="1"/>
  <c r="M132" i="44"/>
  <c r="M133" i="44"/>
  <c r="M134" i="44" s="1"/>
  <c r="T132" i="44"/>
  <c r="T136" i="44"/>
  <c r="T129" i="44"/>
  <c r="T133" i="44"/>
  <c r="T134" i="44" s="1"/>
  <c r="T127" i="44"/>
  <c r="AY133" i="44"/>
  <c r="AY127" i="44"/>
  <c r="AY132" i="44"/>
  <c r="AY129" i="44"/>
  <c r="AK132" i="44"/>
  <c r="AK127" i="44"/>
  <c r="AK129" i="44"/>
  <c r="AK133" i="44"/>
  <c r="AK134" i="44" s="1"/>
  <c r="BB88" i="44"/>
  <c r="BA88" i="44" s="1"/>
  <c r="BA124" i="44" s="1"/>
  <c r="AU88" i="44"/>
  <c r="AU124" i="44" s="1"/>
  <c r="BG123" i="44"/>
  <c r="BG126" i="44" s="1"/>
  <c r="BH63" i="44"/>
  <c r="F132" i="44"/>
  <c r="F127" i="44"/>
  <c r="T137" i="44"/>
  <c r="AO132" i="44"/>
  <c r="AO129" i="44"/>
  <c r="AO136" i="44"/>
  <c r="AO133" i="44"/>
  <c r="AO134" i="44" s="1"/>
  <c r="AO127" i="44"/>
  <c r="AF128" i="44"/>
  <c r="AF122" i="44"/>
  <c r="AF126" i="44" s="1"/>
  <c r="AQ122" i="44"/>
  <c r="AQ126" i="44" s="1"/>
  <c r="AQ128" i="44"/>
  <c r="AQ130" i="44" s="1"/>
  <c r="AO137" i="44"/>
  <c r="BA123" i="44"/>
  <c r="BA126" i="44" s="1"/>
  <c r="V122" i="44"/>
  <c r="V126" i="44" s="1"/>
  <c r="V128" i="44"/>
  <c r="V130" i="44" s="1"/>
  <c r="Z133" i="44"/>
  <c r="Z134" i="44" s="1"/>
  <c r="Z127" i="44"/>
  <c r="Z129" i="44"/>
  <c r="Z136" i="44"/>
  <c r="Z132" i="44"/>
  <c r="AU128" i="44"/>
  <c r="AU130" i="44" s="1"/>
  <c r="Y136" i="44"/>
  <c r="Y129" i="44"/>
  <c r="Y133" i="44"/>
  <c r="Y134" i="44" s="1"/>
  <c r="Y132" i="44"/>
  <c r="Y127" i="44"/>
  <c r="P127" i="44"/>
  <c r="P132" i="44"/>
  <c r="P136" i="44"/>
  <c r="P129" i="44"/>
  <c r="P133" i="44"/>
  <c r="P134" i="44" s="1"/>
  <c r="O127" i="44"/>
  <c r="O132" i="44"/>
  <c r="O129" i="44"/>
  <c r="O133" i="44"/>
  <c r="O134" i="44" s="1"/>
  <c r="I133" i="44"/>
  <c r="I134" i="44" s="1"/>
  <c r="I127" i="44"/>
  <c r="I132" i="44"/>
  <c r="BE127" i="44"/>
  <c r="BE132" i="44"/>
  <c r="BE129" i="44"/>
  <c r="BE133" i="44"/>
  <c r="P137" i="44"/>
  <c r="AB111" i="44"/>
  <c r="Y137" i="44"/>
  <c r="AD127" i="44"/>
  <c r="AD133" i="44"/>
  <c r="AD134" i="44" s="1"/>
  <c r="AD132" i="44"/>
  <c r="AD136" i="44"/>
  <c r="AD129" i="44"/>
  <c r="BB97" i="44"/>
  <c r="BA97" i="44" s="1"/>
  <c r="BA125" i="44" s="1"/>
  <c r="AU97" i="44"/>
  <c r="AU125" i="44" s="1"/>
  <c r="AU126" i="44" s="1"/>
  <c r="AT129" i="44"/>
  <c r="AT132" i="44"/>
  <c r="AT133" i="44"/>
  <c r="AT127" i="44"/>
  <c r="L86" i="16"/>
  <c r="L81" i="16"/>
  <c r="AL83" i="16"/>
  <c r="AL81" i="16"/>
  <c r="AL86" i="16"/>
  <c r="AA22" i="16"/>
  <c r="AG86" i="16"/>
  <c r="AG83" i="16"/>
  <c r="AG81" i="16"/>
  <c r="O83" i="16"/>
  <c r="O81" i="16"/>
  <c r="O86" i="16"/>
  <c r="AW83" i="16"/>
  <c r="AW81" i="16"/>
  <c r="AW86" i="16"/>
  <c r="X76" i="16"/>
  <c r="X80" i="16" s="1"/>
  <c r="X82" i="16"/>
  <c r="AA34" i="16"/>
  <c r="BH82" i="16"/>
  <c r="BH84" i="16" s="1"/>
  <c r="BH76" i="16"/>
  <c r="BH80" i="16" s="1"/>
  <c r="O84" i="16"/>
  <c r="T83" i="16"/>
  <c r="H108" i="2"/>
  <c r="H107" i="2"/>
  <c r="AI112" i="2"/>
  <c r="AI109" i="2"/>
  <c r="AI117" i="2"/>
  <c r="AI107" i="2"/>
  <c r="AC117" i="2"/>
  <c r="AC112" i="2"/>
  <c r="AC109" i="2"/>
  <c r="AC107" i="2"/>
  <c r="M106" i="2"/>
  <c r="AN116" i="2"/>
  <c r="AJ109" i="2"/>
  <c r="AJ107" i="2"/>
  <c r="AN112" i="2"/>
  <c r="AN107" i="2"/>
  <c r="AN109" i="2"/>
  <c r="O116" i="2"/>
  <c r="O110" i="2"/>
  <c r="X117" i="2"/>
  <c r="X112" i="2"/>
  <c r="X109" i="2"/>
  <c r="X107" i="2"/>
  <c r="AP102" i="2"/>
  <c r="AP106" i="2" s="1"/>
  <c r="O29" i="2"/>
  <c r="L104" i="2"/>
  <c r="L106" i="2" s="1"/>
  <c r="I108" i="2"/>
  <c r="I107" i="2"/>
  <c r="AE84" i="46"/>
  <c r="AE87" i="46"/>
  <c r="AE82" i="46"/>
  <c r="AE88" i="46"/>
  <c r="AE89" i="46" s="1"/>
  <c r="AY87" i="46"/>
  <c r="AY84" i="46"/>
  <c r="AY82" i="46"/>
  <c r="AI87" i="46"/>
  <c r="AI82" i="46"/>
  <c r="AI88" i="46"/>
  <c r="AI89" i="46" s="1"/>
  <c r="AW81" i="46"/>
  <c r="I82" i="46"/>
  <c r="BH25" i="46"/>
  <c r="BH79" i="46" s="1"/>
  <c r="BH85" i="46" s="1"/>
  <c r="BF79" i="46"/>
  <c r="H87" i="46"/>
  <c r="H88" i="46"/>
  <c r="H89" i="46" s="1"/>
  <c r="H82" i="46"/>
  <c r="AS84" i="46"/>
  <c r="AS82" i="46"/>
  <c r="AS87" i="46"/>
  <c r="Y77" i="46"/>
  <c r="Y81" i="46" s="1"/>
  <c r="V81" i="46"/>
  <c r="V82" i="46" s="1"/>
  <c r="BB87" i="46"/>
  <c r="BB84" i="46"/>
  <c r="BB82" i="46"/>
  <c r="AR84" i="46"/>
  <c r="AR82" i="46"/>
  <c r="AR87" i="46"/>
  <c r="BA87" i="46"/>
  <c r="BA84" i="46"/>
  <c r="BA82" i="46"/>
  <c r="O101" i="50"/>
  <c r="O91" i="50"/>
  <c r="O88" i="50"/>
  <c r="AT101" i="50"/>
  <c r="BD88" i="50"/>
  <c r="BD94" i="50"/>
  <c r="BD91" i="50"/>
  <c r="BD100" i="50"/>
  <c r="AX94" i="50"/>
  <c r="AX100" i="50"/>
  <c r="AX88" i="50"/>
  <c r="AX91" i="50"/>
  <c r="X101" i="50"/>
  <c r="X91" i="50"/>
  <c r="X100" i="50"/>
  <c r="X94" i="50"/>
  <c r="X88" i="50"/>
  <c r="AR101" i="50"/>
  <c r="AR91" i="50"/>
  <c r="AR100" i="50"/>
  <c r="AR94" i="50"/>
  <c r="AR88" i="50"/>
  <c r="AW100" i="50"/>
  <c r="AW94" i="50"/>
  <c r="AW88" i="50"/>
  <c r="AW91" i="50"/>
  <c r="AN91" i="50"/>
  <c r="AN100" i="50"/>
  <c r="AN88" i="50"/>
  <c r="AN94" i="50"/>
  <c r="AT100" i="50"/>
  <c r="AT94" i="50"/>
  <c r="AT88" i="50"/>
  <c r="AT91" i="50"/>
  <c r="BA127" i="44" l="1"/>
  <c r="BA132" i="44"/>
  <c r="BA129" i="44"/>
  <c r="BA133" i="44"/>
  <c r="AU133" i="44"/>
  <c r="AU127" i="44"/>
  <c r="AU132" i="44"/>
  <c r="AU129" i="44"/>
  <c r="AF130" i="44"/>
  <c r="AF137" i="44"/>
  <c r="V137" i="44"/>
  <c r="V132" i="44"/>
  <c r="V136" i="44"/>
  <c r="V129" i="44"/>
  <c r="V133" i="44"/>
  <c r="V134" i="44" s="1"/>
  <c r="V127" i="44"/>
  <c r="BG127" i="44"/>
  <c r="BG132" i="44"/>
  <c r="BG129" i="44"/>
  <c r="BG133" i="44"/>
  <c r="AF127" i="44"/>
  <c r="AF132" i="44"/>
  <c r="AF136" i="44"/>
  <c r="AF129" i="44"/>
  <c r="AF133" i="44"/>
  <c r="AF134" i="44" s="1"/>
  <c r="AQ132" i="44"/>
  <c r="AQ129" i="44"/>
  <c r="AQ133" i="44"/>
  <c r="AQ134" i="44" s="1"/>
  <c r="AQ127" i="44"/>
  <c r="X84" i="16"/>
  <c r="BH86" i="16"/>
  <c r="BH83" i="16"/>
  <c r="BH81" i="16"/>
  <c r="X81" i="16"/>
  <c r="X86" i="16"/>
  <c r="X83" i="16"/>
  <c r="M107" i="2"/>
  <c r="M108" i="2"/>
  <c r="L107" i="2"/>
  <c r="L108" i="2"/>
  <c r="AP107" i="2"/>
  <c r="AP109" i="2"/>
  <c r="T29" i="2"/>
  <c r="T104" i="2" s="1"/>
  <c r="T106" i="2" s="1"/>
  <c r="O104" i="2"/>
  <c r="O106" i="2" s="1"/>
  <c r="BH81" i="46"/>
  <c r="BH84" i="46"/>
  <c r="BF83" i="46"/>
  <c r="BF85" i="46" s="1"/>
  <c r="Y88" i="46"/>
  <c r="Y89" i="46" s="1"/>
  <c r="Y84" i="46"/>
  <c r="Y87" i="46"/>
  <c r="Y82" i="46"/>
  <c r="AW87" i="46"/>
  <c r="AW84" i="46"/>
  <c r="AW82" i="46"/>
  <c r="O117" i="2" l="1"/>
  <c r="O112" i="2"/>
  <c r="O109" i="2"/>
  <c r="O107" i="2"/>
  <c r="O113" i="2"/>
  <c r="O114" i="2" s="1"/>
  <c r="T117" i="2"/>
  <c r="T112" i="2"/>
  <c r="T109" i="2"/>
  <c r="T113" i="2"/>
  <c r="T114" i="2" s="1"/>
  <c r="T107" i="2"/>
  <c r="BH82" i="46"/>
  <c r="BH87" i="46"/>
  <c r="BF87" i="46"/>
  <c r="BF84" i="46"/>
  <c r="BF82" i="46"/>
  <c r="BK22" i="13" l="1"/>
  <c r="AX83" i="13"/>
  <c r="AX85" i="13" s="1"/>
  <c r="AT83" i="13"/>
  <c r="AT85" i="13" s="1"/>
  <c r="AN83" i="13"/>
  <c r="AN85" i="13" s="1"/>
  <c r="AJ83" i="13"/>
  <c r="AJ85" i="13" s="1"/>
  <c r="AD83" i="13"/>
  <c r="AD85" i="13" s="1"/>
  <c r="BK80" i="13"/>
  <c r="BI80" i="13"/>
  <c r="BE80" i="13"/>
  <c r="BD80" i="13"/>
  <c r="AZ80" i="13"/>
  <c r="AX80" i="13"/>
  <c r="AT80" i="13"/>
  <c r="AS80" i="13"/>
  <c r="AP80" i="13"/>
  <c r="AN80" i="13"/>
  <c r="AJ80" i="13"/>
  <c r="AI80" i="13"/>
  <c r="AF80" i="13"/>
  <c r="AD80" i="13"/>
  <c r="Z80" i="13"/>
  <c r="Y80" i="13"/>
  <c r="V80" i="13"/>
  <c r="T80" i="13"/>
  <c r="P80" i="13"/>
  <c r="O80" i="13"/>
  <c r="M80" i="13"/>
  <c r="L80" i="13"/>
  <c r="I80" i="13"/>
  <c r="H80" i="13"/>
  <c r="F80" i="13"/>
  <c r="AT79" i="13"/>
  <c r="AS79" i="13"/>
  <c r="Y79" i="13"/>
  <c r="I79" i="13"/>
  <c r="H79" i="13"/>
  <c r="AT78" i="13"/>
  <c r="AN78" i="13"/>
  <c r="AJ78" i="13"/>
  <c r="AI78" i="13"/>
  <c r="AD78" i="13"/>
  <c r="Y78" i="13"/>
  <c r="O78" i="13"/>
  <c r="L78" i="13"/>
  <c r="I78" i="13"/>
  <c r="H78" i="13"/>
  <c r="F78" i="13"/>
  <c r="AZ77" i="13"/>
  <c r="AX77" i="13"/>
  <c r="AT77" i="13"/>
  <c r="AT81" i="13" s="1"/>
  <c r="AP77" i="13"/>
  <c r="AN77" i="13"/>
  <c r="AJ77" i="13"/>
  <c r="AD77" i="13"/>
  <c r="L77" i="13"/>
  <c r="F77" i="13"/>
  <c r="BG74" i="13"/>
  <c r="AV74" i="13"/>
  <c r="AL74" i="13"/>
  <c r="AB74" i="13"/>
  <c r="AF74" i="13" s="1"/>
  <c r="V74" i="13"/>
  <c r="R74" i="13"/>
  <c r="J74" i="13"/>
  <c r="M74" i="13" s="1"/>
  <c r="BG73" i="13"/>
  <c r="AV73" i="13"/>
  <c r="AL73" i="13"/>
  <c r="AF73" i="13"/>
  <c r="AB73" i="13"/>
  <c r="V73" i="13"/>
  <c r="R73" i="13"/>
  <c r="M73" i="13"/>
  <c r="J73" i="13"/>
  <c r="BG72" i="13"/>
  <c r="AV72" i="13"/>
  <c r="AL72" i="13"/>
  <c r="AF72" i="13"/>
  <c r="AB72" i="13"/>
  <c r="R72" i="13"/>
  <c r="V72" i="13" s="1"/>
  <c r="J72" i="13"/>
  <c r="M72" i="13" s="1"/>
  <c r="BG71" i="13"/>
  <c r="AV71" i="13"/>
  <c r="AL71" i="13"/>
  <c r="AF71" i="13"/>
  <c r="AB71" i="13"/>
  <c r="V71" i="13"/>
  <c r="R71" i="13"/>
  <c r="J71" i="13"/>
  <c r="M71" i="13" s="1"/>
  <c r="BG70" i="13"/>
  <c r="AV70" i="13"/>
  <c r="AL70" i="13"/>
  <c r="AB70" i="13"/>
  <c r="AF70" i="13" s="1"/>
  <c r="R70" i="13"/>
  <c r="V70" i="13" s="1"/>
  <c r="J70" i="13"/>
  <c r="M70" i="13" s="1"/>
  <c r="BG69" i="13"/>
  <c r="AV69" i="13"/>
  <c r="AL69" i="13"/>
  <c r="AF69" i="13"/>
  <c r="AB69" i="13"/>
  <c r="R69" i="13"/>
  <c r="V69" i="13" s="1"/>
  <c r="M69" i="13"/>
  <c r="J69" i="13"/>
  <c r="BG68" i="13"/>
  <c r="AV68" i="13"/>
  <c r="AL68" i="13"/>
  <c r="AB68" i="13"/>
  <c r="AF68" i="13" s="1"/>
  <c r="R68" i="13"/>
  <c r="V68" i="13" s="1"/>
  <c r="M68" i="13"/>
  <c r="J68" i="13"/>
  <c r="BG67" i="13"/>
  <c r="AV67" i="13"/>
  <c r="AL67" i="13"/>
  <c r="AB67" i="13"/>
  <c r="AF67" i="13" s="1"/>
  <c r="V67" i="13"/>
  <c r="R67" i="13"/>
  <c r="M67" i="13"/>
  <c r="J67" i="13"/>
  <c r="BG66" i="13"/>
  <c r="AV66" i="13"/>
  <c r="AL66" i="13"/>
  <c r="AB66" i="13"/>
  <c r="AF66" i="13" s="1"/>
  <c r="V66" i="13"/>
  <c r="R66" i="13"/>
  <c r="J66" i="13"/>
  <c r="M66" i="13" s="1"/>
  <c r="BI62" i="13"/>
  <c r="BG62" i="13"/>
  <c r="BD62" i="13"/>
  <c r="AX62" i="13"/>
  <c r="BA62" i="13" s="1"/>
  <c r="AS62" i="13"/>
  <c r="AQ62" i="13"/>
  <c r="AV62" i="13" s="1"/>
  <c r="AI62" i="13"/>
  <c r="Y62" i="13"/>
  <c r="L62" i="13"/>
  <c r="H62" i="13"/>
  <c r="BL57" i="13"/>
  <c r="BA57" i="13"/>
  <c r="AQ57" i="13"/>
  <c r="AG57" i="13"/>
  <c r="W57" i="13"/>
  <c r="J57" i="13"/>
  <c r="BL54" i="13"/>
  <c r="BA54" i="13"/>
  <c r="AQ54" i="13"/>
  <c r="AG54" i="13"/>
  <c r="W54" i="13"/>
  <c r="J54" i="13"/>
  <c r="BL52" i="13"/>
  <c r="BA52" i="13"/>
  <c r="AQ52" i="13"/>
  <c r="AG52" i="13"/>
  <c r="W52" i="13"/>
  <c r="M52" i="13"/>
  <c r="J52" i="13"/>
  <c r="BL51" i="13"/>
  <c r="BA51" i="13"/>
  <c r="AQ51" i="13"/>
  <c r="AG51" i="13"/>
  <c r="W51" i="13"/>
  <c r="V51" i="13"/>
  <c r="R51" i="13"/>
  <c r="P51" i="13" s="1"/>
  <c r="L51" i="13"/>
  <c r="M51" i="13" s="1"/>
  <c r="J51" i="13"/>
  <c r="F51" i="13"/>
  <c r="BL50" i="13"/>
  <c r="BG50" i="13"/>
  <c r="BA50" i="13"/>
  <c r="AV50" i="13"/>
  <c r="AQ50" i="13"/>
  <c r="AI50" i="13"/>
  <c r="Y50" i="13"/>
  <c r="L50" i="13"/>
  <c r="M50" i="13" s="1"/>
  <c r="J50" i="13"/>
  <c r="R50" i="13" s="1"/>
  <c r="F50" i="13"/>
  <c r="BL48" i="13"/>
  <c r="BA48" i="13"/>
  <c r="AQ48" i="13"/>
  <c r="AG48" i="13"/>
  <c r="W48" i="13"/>
  <c r="M48" i="13"/>
  <c r="J48" i="13"/>
  <c r="BK47" i="13"/>
  <c r="BI47" i="13"/>
  <c r="AX47" i="13"/>
  <c r="BA47" i="13" s="1"/>
  <c r="AS47" i="13"/>
  <c r="AS78" i="13" s="1"/>
  <c r="AQ47" i="13"/>
  <c r="AG47" i="13"/>
  <c r="W47" i="13"/>
  <c r="M47" i="13"/>
  <c r="J47" i="13"/>
  <c r="BI46" i="13"/>
  <c r="BK46" i="13" s="1"/>
  <c r="BK78" i="13" s="1"/>
  <c r="BG46" i="13"/>
  <c r="BE46" i="13"/>
  <c r="BD46" i="13"/>
  <c r="AQ46" i="13"/>
  <c r="AV46" i="13" s="1"/>
  <c r="AZ46" i="13" s="1"/>
  <c r="T46" i="13"/>
  <c r="V46" i="13" s="1"/>
  <c r="V78" i="13" s="1"/>
  <c r="R46" i="13"/>
  <c r="P46" i="13" s="1"/>
  <c r="P78" i="13" s="1"/>
  <c r="J46" i="13"/>
  <c r="M46" i="13" s="1"/>
  <c r="M78" i="13" s="1"/>
  <c r="BL44" i="13"/>
  <c r="BA44" i="13"/>
  <c r="AQ44" i="13"/>
  <c r="AG44" i="13"/>
  <c r="W44" i="13"/>
  <c r="M44" i="13"/>
  <c r="J44" i="13"/>
  <c r="BL43" i="13"/>
  <c r="BA43" i="13"/>
  <c r="AQ43" i="13"/>
  <c r="AG43" i="13"/>
  <c r="W43" i="13"/>
  <c r="M43" i="13"/>
  <c r="J43" i="13"/>
  <c r="BL42" i="13"/>
  <c r="BA42" i="13"/>
  <c r="AQ42" i="13"/>
  <c r="AG42" i="13"/>
  <c r="W42" i="13"/>
  <c r="J42" i="13"/>
  <c r="M42" i="13" s="1"/>
  <c r="BL40" i="13"/>
  <c r="BK40" i="13" s="1"/>
  <c r="BK62" i="13" s="1"/>
  <c r="BL39" i="13"/>
  <c r="BG39" i="13"/>
  <c r="BE39" i="13"/>
  <c r="BA39" i="13"/>
  <c r="AQ39" i="13"/>
  <c r="AG39" i="13"/>
  <c r="W39" i="13"/>
  <c r="J39" i="13"/>
  <c r="R39" i="13" s="1"/>
  <c r="BK38" i="13"/>
  <c r="BL38" i="13" s="1"/>
  <c r="BI38" i="13"/>
  <c r="BD38" i="13"/>
  <c r="BE38" i="13" s="1"/>
  <c r="BG38" i="13" s="1"/>
  <c r="BA38" i="13"/>
  <c r="AQ38" i="13"/>
  <c r="AG38" i="13"/>
  <c r="W38" i="13"/>
  <c r="O38" i="13"/>
  <c r="I38" i="13"/>
  <c r="H38" i="13"/>
  <c r="J38" i="13" s="1"/>
  <c r="J37" i="13"/>
  <c r="M37" i="13" s="1"/>
  <c r="BL36" i="13"/>
  <c r="BE36" i="13" s="1"/>
  <c r="BG36" i="13" s="1"/>
  <c r="BE37" i="13" s="1"/>
  <c r="BA36" i="13"/>
  <c r="AQ36" i="13"/>
  <c r="AV36" i="13" s="1"/>
  <c r="AI36" i="13"/>
  <c r="Y36" i="13"/>
  <c r="Z36" i="13" s="1"/>
  <c r="R36" i="13"/>
  <c r="V36" i="13" s="1"/>
  <c r="W36" i="13" s="1"/>
  <c r="AB36" i="13" s="1"/>
  <c r="AF36" i="13" s="1"/>
  <c r="AG36" i="13" s="1"/>
  <c r="AL36" i="13" s="1"/>
  <c r="O36" i="13"/>
  <c r="P36" i="13" s="1"/>
  <c r="M36" i="13"/>
  <c r="J36" i="13"/>
  <c r="J62" i="13" s="1"/>
  <c r="R62" i="13" s="1"/>
  <c r="BK35" i="13"/>
  <c r="BI35" i="13"/>
  <c r="BL35" i="13" s="1"/>
  <c r="BD35" i="13"/>
  <c r="BD77" i="13" s="1"/>
  <c r="BA35" i="13"/>
  <c r="AS35" i="13"/>
  <c r="AS77" i="13" s="1"/>
  <c r="AQ35" i="13"/>
  <c r="AV35" i="13" s="1"/>
  <c r="AI35" i="13"/>
  <c r="AI77" i="13" s="1"/>
  <c r="T35" i="13"/>
  <c r="Y35" i="13" s="1"/>
  <c r="O35" i="13"/>
  <c r="O77" i="13" s="1"/>
  <c r="L35" i="13"/>
  <c r="L83" i="13" s="1"/>
  <c r="I35" i="13"/>
  <c r="H35" i="13"/>
  <c r="H37" i="13" s="1"/>
  <c r="I37" i="13" s="1"/>
  <c r="BK28" i="13"/>
  <c r="BK79" i="13" s="1"/>
  <c r="BI28" i="13"/>
  <c r="BI79" i="13" s="1"/>
  <c r="BE28" i="13"/>
  <c r="BE79" i="13" s="1"/>
  <c r="BD28" i="13"/>
  <c r="BD79" i="13" s="1"/>
  <c r="AZ28" i="13"/>
  <c r="AZ79" i="13" s="1"/>
  <c r="AX28" i="13"/>
  <c r="AX79" i="13" s="1"/>
  <c r="AT28" i="13"/>
  <c r="AS28" i="13"/>
  <c r="AP28" i="13"/>
  <c r="AP79" i="13" s="1"/>
  <c r="AN28" i="13"/>
  <c r="AN79" i="13" s="1"/>
  <c r="AN81" i="13" s="1"/>
  <c r="AJ28" i="13"/>
  <c r="AJ79" i="13" s="1"/>
  <c r="AI28" i="13"/>
  <c r="AI79" i="13" s="1"/>
  <c r="AF28" i="13"/>
  <c r="AD28" i="13"/>
  <c r="AD79" i="13" s="1"/>
  <c r="Z28" i="13"/>
  <c r="Y28" i="13"/>
  <c r="V28" i="13"/>
  <c r="T28" i="13"/>
  <c r="T79" i="13" s="1"/>
  <c r="P28" i="13"/>
  <c r="O28" i="13"/>
  <c r="O79" i="13" s="1"/>
  <c r="L28" i="13"/>
  <c r="L79" i="13" s="1"/>
  <c r="I28" i="13"/>
  <c r="M28" i="13" s="1"/>
  <c r="H28" i="13"/>
  <c r="F28" i="13"/>
  <c r="F79" i="13" s="1"/>
  <c r="F81" i="13" s="1"/>
  <c r="BL27" i="13"/>
  <c r="BA27" i="13"/>
  <c r="AQ27" i="13"/>
  <c r="AG27" i="13"/>
  <c r="W27" i="13"/>
  <c r="V27" i="13"/>
  <c r="J27" i="13"/>
  <c r="M27" i="13" s="1"/>
  <c r="BL26" i="13"/>
  <c r="BA26" i="13"/>
  <c r="AQ26" i="13"/>
  <c r="AG26" i="13"/>
  <c r="W26" i="13"/>
  <c r="V26" i="13"/>
  <c r="J26" i="13"/>
  <c r="BL25" i="13"/>
  <c r="BA25" i="13"/>
  <c r="AS25" i="13"/>
  <c r="AQ25" i="13"/>
  <c r="AG25" i="13"/>
  <c r="W25" i="13"/>
  <c r="V25" i="13"/>
  <c r="J25" i="13"/>
  <c r="M25" i="13" s="1"/>
  <c r="M26" i="13" s="1"/>
  <c r="BL24" i="13"/>
  <c r="BE24" i="13" s="1"/>
  <c r="BG24" i="13" s="1"/>
  <c r="BA24" i="13"/>
  <c r="AS24" i="13"/>
  <c r="AQ24" i="13"/>
  <c r="W24" i="13"/>
  <c r="R24" i="13"/>
  <c r="V24" i="13" s="1"/>
  <c r="P24" i="13"/>
  <c r="M24" i="13"/>
  <c r="L24" i="13"/>
  <c r="J24" i="13"/>
  <c r="BD22" i="13"/>
  <c r="BA22" i="13"/>
  <c r="AQ22" i="13"/>
  <c r="AV22" i="13" s="1"/>
  <c r="T22" i="13"/>
  <c r="M21" i="13"/>
  <c r="BK20" i="13"/>
  <c r="BL20" i="13" s="1"/>
  <c r="BE20" i="13" s="1"/>
  <c r="BG20" i="13" s="1"/>
  <c r="AX20" i="13"/>
  <c r="BA20" i="13" s="1"/>
  <c r="AS20" i="13"/>
  <c r="AN20" i="13"/>
  <c r="AQ20" i="13" s="1"/>
  <c r="AV20" i="13" s="1"/>
  <c r="AI20" i="13"/>
  <c r="Y20" i="13"/>
  <c r="L20" i="13"/>
  <c r="M20" i="13" s="1"/>
  <c r="J20" i="13"/>
  <c r="R20" i="13" s="1"/>
  <c r="H20" i="13"/>
  <c r="F20" i="13"/>
  <c r="M19" i="13"/>
  <c r="H19" i="13"/>
  <c r="H22" i="13" s="1"/>
  <c r="J22" i="13" s="1"/>
  <c r="R22" i="13" s="1"/>
  <c r="F19" i="13"/>
  <c r="F22" i="13" s="1"/>
  <c r="BL18" i="13"/>
  <c r="BE18" i="13" s="1"/>
  <c r="BG18" i="13" s="1"/>
  <c r="BA18" i="13"/>
  <c r="AS18" i="13"/>
  <c r="AQ18" i="13"/>
  <c r="AV18" i="13" s="1"/>
  <c r="AI18" i="13"/>
  <c r="Y18" i="13"/>
  <c r="O18" i="13"/>
  <c r="O22" i="13" s="1"/>
  <c r="L18" i="13"/>
  <c r="I18" i="13"/>
  <c r="I22" i="13" s="1"/>
  <c r="BL17" i="13"/>
  <c r="BE17" i="13" s="1"/>
  <c r="BK17" i="13"/>
  <c r="BI17" i="13"/>
  <c r="BI22" i="13" s="1"/>
  <c r="BL22" i="13" s="1"/>
  <c r="BD17" i="13"/>
  <c r="BA17" i="13"/>
  <c r="AV17" i="13"/>
  <c r="AS17" i="13"/>
  <c r="AS22" i="13" s="1"/>
  <c r="AQ17" i="13"/>
  <c r="AD17" i="13"/>
  <c r="AD22" i="13" s="1"/>
  <c r="Y17" i="13"/>
  <c r="Y22" i="13" s="1"/>
  <c r="T17" i="13"/>
  <c r="L17" i="13"/>
  <c r="J17" i="13"/>
  <c r="R17" i="13" s="1"/>
  <c r="P17" i="13" s="1"/>
  <c r="H17" i="13"/>
  <c r="F17" i="13"/>
  <c r="BL15" i="13"/>
  <c r="BI15" i="13"/>
  <c r="BA15" i="13"/>
  <c r="AX15" i="13"/>
  <c r="AI15" i="13"/>
  <c r="AD15" i="13"/>
  <c r="T15" i="13"/>
  <c r="R15" i="13"/>
  <c r="M15" i="13"/>
  <c r="J15" i="13"/>
  <c r="BL13" i="13"/>
  <c r="BD13" i="13"/>
  <c r="BA13" i="13"/>
  <c r="AS13" i="13"/>
  <c r="AQ13" i="13"/>
  <c r="AV13" i="13" s="1"/>
  <c r="AI13" i="13"/>
  <c r="Y13" i="13"/>
  <c r="R13" i="13"/>
  <c r="V13" i="13" s="1"/>
  <c r="W13" i="13" s="1"/>
  <c r="AB13" i="13" s="1"/>
  <c r="AF13" i="13" s="1"/>
  <c r="AG13" i="13" s="1"/>
  <c r="AL13" i="13" s="1"/>
  <c r="P13" i="13"/>
  <c r="M13" i="13"/>
  <c r="J13" i="13"/>
  <c r="BL12" i="13"/>
  <c r="BG12" i="13"/>
  <c r="BA12" i="13"/>
  <c r="AX12" i="13"/>
  <c r="AS12" i="13"/>
  <c r="AS15" i="13" s="1"/>
  <c r="AQ12" i="13"/>
  <c r="AV12" i="13" s="1"/>
  <c r="AN12" i="13"/>
  <c r="AN15" i="13" s="1"/>
  <c r="AQ15" i="13" s="1"/>
  <c r="AV15" i="13" s="1"/>
  <c r="AI12" i="13"/>
  <c r="Y12" i="13"/>
  <c r="T12" i="13"/>
  <c r="O12" i="13"/>
  <c r="O15" i="13" s="1"/>
  <c r="L12" i="13"/>
  <c r="M12" i="13" s="1"/>
  <c r="J12" i="13"/>
  <c r="R12" i="13" s="1"/>
  <c r="I12" i="13"/>
  <c r="H12" i="13"/>
  <c r="F12" i="13"/>
  <c r="BA89" i="58"/>
  <c r="AY89" i="58"/>
  <c r="AU89" i="58"/>
  <c r="AS89" i="58"/>
  <c r="AO89" i="58"/>
  <c r="AN89" i="58"/>
  <c r="AL89" i="58"/>
  <c r="AJ89" i="58"/>
  <c r="AH89" i="58"/>
  <c r="AF89" i="58"/>
  <c r="AB89" i="58"/>
  <c r="AA89" i="58"/>
  <c r="Y89" i="58"/>
  <c r="W89" i="58"/>
  <c r="S89" i="58"/>
  <c r="R89" i="58"/>
  <c r="O89" i="58"/>
  <c r="M89" i="58"/>
  <c r="L89" i="58"/>
  <c r="I89" i="58"/>
  <c r="H89" i="58"/>
  <c r="F89" i="58"/>
  <c r="AA88" i="58"/>
  <c r="AO87" i="58"/>
  <c r="AN87" i="58"/>
  <c r="I87" i="58"/>
  <c r="H87" i="58"/>
  <c r="F87" i="58"/>
  <c r="AN86" i="58"/>
  <c r="AL86" i="58"/>
  <c r="AJ86" i="58"/>
  <c r="AF86" i="58"/>
  <c r="I86" i="58"/>
  <c r="H86" i="58"/>
  <c r="F86" i="58"/>
  <c r="AQ77" i="58"/>
  <c r="AD77" i="58"/>
  <c r="U77" i="58"/>
  <c r="M77" i="58"/>
  <c r="J77" i="58"/>
  <c r="P77" i="58" s="1"/>
  <c r="AQ76" i="58"/>
  <c r="AO76" i="58"/>
  <c r="AB76" i="58"/>
  <c r="AD76" i="58" s="1"/>
  <c r="U76" i="58"/>
  <c r="M76" i="58"/>
  <c r="J76" i="58"/>
  <c r="P76" i="58" s="1"/>
  <c r="AQ75" i="58"/>
  <c r="AO75" i="58"/>
  <c r="AN75" i="58"/>
  <c r="AB75" i="58"/>
  <c r="AD75" i="58" s="1"/>
  <c r="AA75" i="58"/>
  <c r="U75" i="58"/>
  <c r="P75" i="58"/>
  <c r="M75" i="58"/>
  <c r="J75" i="58"/>
  <c r="AN74" i="58"/>
  <c r="AO74" i="58" s="1"/>
  <c r="AQ74" i="58" s="1"/>
  <c r="AB74" i="58"/>
  <c r="AD74" i="58" s="1"/>
  <c r="AA74" i="58"/>
  <c r="U74" i="58"/>
  <c r="P74" i="58"/>
  <c r="J74" i="58"/>
  <c r="M74" i="58" s="1"/>
  <c r="BA71" i="58"/>
  <c r="AQ71" i="58"/>
  <c r="AD71" i="58"/>
  <c r="U71" i="58"/>
  <c r="P71" i="58"/>
  <c r="P89" i="58" s="1"/>
  <c r="M71" i="58"/>
  <c r="J71" i="58"/>
  <c r="AQ69" i="58"/>
  <c r="AD69" i="58"/>
  <c r="U69" i="58"/>
  <c r="J69" i="58"/>
  <c r="AQ68" i="58"/>
  <c r="AD68" i="58"/>
  <c r="U68" i="58"/>
  <c r="J68" i="58"/>
  <c r="P68" i="58" s="1"/>
  <c r="P67" i="58"/>
  <c r="M67" i="58"/>
  <c r="AQ66" i="58"/>
  <c r="AD66" i="58"/>
  <c r="U66" i="58"/>
  <c r="J66" i="58"/>
  <c r="P66" i="58" s="1"/>
  <c r="AQ65" i="58"/>
  <c r="AD65" i="58"/>
  <c r="U65" i="58"/>
  <c r="J65" i="58"/>
  <c r="P65" i="58" s="1"/>
  <c r="AV64" i="58"/>
  <c r="BA64" i="58" s="1"/>
  <c r="AU64" i="58"/>
  <c r="AQ64" i="58"/>
  <c r="AH64" i="58"/>
  <c r="AD64" i="58"/>
  <c r="Y64" i="58"/>
  <c r="U64" i="58"/>
  <c r="O64" i="58"/>
  <c r="J64" i="58"/>
  <c r="M64" i="58" s="1"/>
  <c r="BA63" i="58"/>
  <c r="AV63" i="58"/>
  <c r="AU63" i="58"/>
  <c r="AQ63" i="58"/>
  <c r="AD63" i="58"/>
  <c r="AH63" i="58" s="1"/>
  <c r="Y63" i="58"/>
  <c r="U63" i="58"/>
  <c r="S63" i="58"/>
  <c r="J63" i="58"/>
  <c r="P63" i="58" s="1"/>
  <c r="AV62" i="58"/>
  <c r="BA62" i="58" s="1"/>
  <c r="AQ62" i="58"/>
  <c r="AH62" i="58"/>
  <c r="AD62" i="58"/>
  <c r="Y62" i="58"/>
  <c r="S62" i="58"/>
  <c r="U62" i="58" s="1"/>
  <c r="O62" i="58"/>
  <c r="P62" i="58" s="1"/>
  <c r="J62" i="58"/>
  <c r="M62" i="58" s="1"/>
  <c r="AQ57" i="58"/>
  <c r="AF57" i="58"/>
  <c r="AD57" i="58"/>
  <c r="AB57" i="58"/>
  <c r="C57" i="58"/>
  <c r="AQ56" i="58"/>
  <c r="AF56" i="58"/>
  <c r="AA56" i="58"/>
  <c r="AB56" i="58" s="1"/>
  <c r="AD56" i="58" s="1"/>
  <c r="C56" i="58"/>
  <c r="O54" i="58"/>
  <c r="R54" i="58" s="1"/>
  <c r="W54" i="58" s="1"/>
  <c r="L54" i="58"/>
  <c r="J54" i="58"/>
  <c r="M54" i="58" s="1"/>
  <c r="AQ53" i="58"/>
  <c r="AF53" i="58"/>
  <c r="AJ53" i="58" s="1"/>
  <c r="AB53" i="58"/>
  <c r="AD53" i="58" s="1"/>
  <c r="M53" i="58"/>
  <c r="L53" i="58"/>
  <c r="O53" i="58" s="1"/>
  <c r="J53" i="58"/>
  <c r="AQ52" i="58"/>
  <c r="AJ52" i="58"/>
  <c r="AF52" i="58"/>
  <c r="AB52" i="58"/>
  <c r="AD52" i="58" s="1"/>
  <c r="AH52" i="58" s="1"/>
  <c r="AL52" i="58" s="1"/>
  <c r="S52" i="58"/>
  <c r="O52" i="58"/>
  <c r="R52" i="58" s="1"/>
  <c r="W52" i="58" s="1"/>
  <c r="L52" i="58"/>
  <c r="J52" i="58"/>
  <c r="M52" i="58" s="1"/>
  <c r="AY51" i="58"/>
  <c r="AQ51" i="58"/>
  <c r="AF51" i="58"/>
  <c r="AJ51" i="58" s="1"/>
  <c r="AD51" i="58"/>
  <c r="AH51" i="58" s="1"/>
  <c r="AL51" i="58" s="1"/>
  <c r="AB51" i="58"/>
  <c r="AA51" i="58"/>
  <c r="P51" i="58"/>
  <c r="O51" i="58"/>
  <c r="R51" i="58" s="1"/>
  <c r="L51" i="58"/>
  <c r="M51" i="58" s="1"/>
  <c r="J51" i="58"/>
  <c r="AY50" i="58"/>
  <c r="AQ50" i="58"/>
  <c r="AJ50" i="58"/>
  <c r="AF50" i="58"/>
  <c r="AD50" i="58"/>
  <c r="AH50" i="58" s="1"/>
  <c r="AL50" i="58" s="1"/>
  <c r="AB50" i="58"/>
  <c r="L50" i="58"/>
  <c r="J50" i="58"/>
  <c r="AQ49" i="58"/>
  <c r="AF49" i="58"/>
  <c r="AJ49" i="58" s="1"/>
  <c r="AB49" i="58"/>
  <c r="AD49" i="58" s="1"/>
  <c r="AH49" i="58" s="1"/>
  <c r="AL49" i="58" s="1"/>
  <c r="L49" i="58"/>
  <c r="O49" i="58" s="1"/>
  <c r="P49" i="58" s="1"/>
  <c r="J49" i="58"/>
  <c r="AQ48" i="58"/>
  <c r="AJ48" i="58"/>
  <c r="AF48" i="58"/>
  <c r="AD48" i="58"/>
  <c r="AH48" i="58" s="1"/>
  <c r="AL48" i="58" s="1"/>
  <c r="AB48" i="58"/>
  <c r="L48" i="58"/>
  <c r="J48" i="58"/>
  <c r="AQ47" i="58"/>
  <c r="AF47" i="58"/>
  <c r="AJ47" i="58" s="1"/>
  <c r="AB47" i="58"/>
  <c r="AD47" i="58" s="1"/>
  <c r="AH47" i="58" s="1"/>
  <c r="AL47" i="58" s="1"/>
  <c r="L47" i="58"/>
  <c r="O47" i="58" s="1"/>
  <c r="P47" i="58" s="1"/>
  <c r="J47" i="58"/>
  <c r="AQ46" i="58"/>
  <c r="AA46" i="58"/>
  <c r="M46" i="58"/>
  <c r="L46" i="58"/>
  <c r="O46" i="58" s="1"/>
  <c r="J46" i="58"/>
  <c r="AY45" i="58"/>
  <c r="AS45" i="58"/>
  <c r="AQ45" i="58"/>
  <c r="AF45" i="58"/>
  <c r="AJ45" i="58" s="1"/>
  <c r="AB45" i="58"/>
  <c r="AD45" i="58" s="1"/>
  <c r="AA45" i="58"/>
  <c r="L45" i="58"/>
  <c r="J45" i="58"/>
  <c r="AY44" i="58"/>
  <c r="AH44" i="58"/>
  <c r="AL44" i="58" s="1"/>
  <c r="AF44" i="58"/>
  <c r="AJ44" i="58" s="1"/>
  <c r="AA44" i="58"/>
  <c r="AB44" i="58" s="1"/>
  <c r="AY43" i="58"/>
  <c r="AS43" i="58"/>
  <c r="AS87" i="58" s="1"/>
  <c r="AQ43" i="58"/>
  <c r="AA43" i="58"/>
  <c r="M43" i="58"/>
  <c r="L43" i="58"/>
  <c r="O43" i="58" s="1"/>
  <c r="J43" i="58"/>
  <c r="AY42" i="58"/>
  <c r="AQ42" i="58"/>
  <c r="AA42" i="58"/>
  <c r="L42" i="58"/>
  <c r="L87" i="58" s="1"/>
  <c r="J42" i="58"/>
  <c r="M42" i="58" s="1"/>
  <c r="AV40" i="58"/>
  <c r="AQ40" i="58"/>
  <c r="AD40" i="58"/>
  <c r="U40" i="58"/>
  <c r="M40" i="58"/>
  <c r="J40" i="58"/>
  <c r="P40" i="58" s="1"/>
  <c r="AV39" i="58"/>
  <c r="AQ39" i="58"/>
  <c r="AD39" i="58"/>
  <c r="U39" i="58"/>
  <c r="J39" i="58"/>
  <c r="P39" i="58" s="1"/>
  <c r="AV38" i="58"/>
  <c r="AQ38" i="58"/>
  <c r="AD38" i="58"/>
  <c r="U38" i="58"/>
  <c r="M38" i="58"/>
  <c r="J38" i="58"/>
  <c r="P38" i="58" s="1"/>
  <c r="AV37" i="58"/>
  <c r="BA35" i="58"/>
  <c r="AV35" i="58"/>
  <c r="AO35" i="58"/>
  <c r="AQ35" i="58" s="1"/>
  <c r="AN35" i="58"/>
  <c r="AD35" i="58"/>
  <c r="AH35" i="58" s="1"/>
  <c r="Y35" i="58"/>
  <c r="W35" i="58"/>
  <c r="U35" i="58"/>
  <c r="S35" i="58"/>
  <c r="R35" i="58"/>
  <c r="M35" i="58"/>
  <c r="J35" i="58"/>
  <c r="AU34" i="58"/>
  <c r="AS34" i="58"/>
  <c r="AO34" i="58"/>
  <c r="AQ34" i="58" s="1"/>
  <c r="AN34" i="58"/>
  <c r="AB34" i="58"/>
  <c r="AA34" i="58"/>
  <c r="AD34" i="58" s="1"/>
  <c r="AH34" i="58" s="1"/>
  <c r="Y34" i="58"/>
  <c r="W34" i="58"/>
  <c r="S34" i="58"/>
  <c r="U34" i="58" s="1"/>
  <c r="R34" i="58"/>
  <c r="P34" i="58"/>
  <c r="O34" i="58"/>
  <c r="M34" i="58"/>
  <c r="L34" i="58"/>
  <c r="J34" i="58"/>
  <c r="AV33" i="58"/>
  <c r="BA33" i="58" s="1"/>
  <c r="AO33" i="58"/>
  <c r="AQ33" i="58" s="1"/>
  <c r="AN33" i="58"/>
  <c r="AH33" i="58"/>
  <c r="AD33" i="58"/>
  <c r="Y33" i="58"/>
  <c r="S33" i="58"/>
  <c r="AU32" i="58"/>
  <c r="AS32" i="58"/>
  <c r="AV32" i="58" s="1"/>
  <c r="BA32" i="58" s="1"/>
  <c r="AQ32" i="58"/>
  <c r="AO32" i="58"/>
  <c r="AN32" i="58"/>
  <c r="AB32" i="58"/>
  <c r="AA32" i="58"/>
  <c r="AD32" i="58" s="1"/>
  <c r="AH32" i="58" s="1"/>
  <c r="Y32" i="58"/>
  <c r="W32" i="58"/>
  <c r="W86" i="58" s="1"/>
  <c r="U32" i="58"/>
  <c r="S32" i="58"/>
  <c r="R32" i="58"/>
  <c r="J32" i="58"/>
  <c r="P32" i="58" s="1"/>
  <c r="AV31" i="58"/>
  <c r="BA31" i="58" s="1"/>
  <c r="AQ31" i="58"/>
  <c r="AO31" i="58"/>
  <c r="AN31" i="58"/>
  <c r="AH31" i="58"/>
  <c r="AD31" i="58"/>
  <c r="Y31" i="58"/>
  <c r="Y30" i="58" s="1"/>
  <c r="S31" i="58"/>
  <c r="AY30" i="58"/>
  <c r="AY92" i="58" s="1"/>
  <c r="AY94" i="58" s="1"/>
  <c r="AU30" i="58"/>
  <c r="AS30" i="58"/>
  <c r="AV30" i="58" s="1"/>
  <c r="BA30" i="58" s="1"/>
  <c r="AO30" i="58"/>
  <c r="AO86" i="58" s="1"/>
  <c r="AN30" i="58"/>
  <c r="AN92" i="58" s="1"/>
  <c r="AN94" i="58" s="1"/>
  <c r="AH30" i="58"/>
  <c r="AD30" i="58"/>
  <c r="AB30" i="58"/>
  <c r="AA30" i="58"/>
  <c r="AA92" i="58" s="1"/>
  <c r="AA94" i="58" s="1"/>
  <c r="W30" i="58"/>
  <c r="W92" i="58" s="1"/>
  <c r="W94" i="58" s="1"/>
  <c r="S30" i="58"/>
  <c r="S86" i="58" s="1"/>
  <c r="R30" i="58"/>
  <c r="P30" i="58"/>
  <c r="P86" i="58" s="1"/>
  <c r="O30" i="58"/>
  <c r="O86" i="58" s="1"/>
  <c r="L30" i="58"/>
  <c r="M30" i="58" s="1"/>
  <c r="J30" i="58"/>
  <c r="AV26" i="58"/>
  <c r="AQ26" i="58"/>
  <c r="AD26" i="58"/>
  <c r="U26" i="58"/>
  <c r="J26" i="58"/>
  <c r="P26" i="58" s="1"/>
  <c r="AY25" i="58"/>
  <c r="AY88" i="58" s="1"/>
  <c r="AO25" i="58"/>
  <c r="AN25" i="58"/>
  <c r="AS25" i="58" s="1"/>
  <c r="AS88" i="58" s="1"/>
  <c r="AJ25" i="58"/>
  <c r="AJ88" i="58" s="1"/>
  <c r="AB25" i="58"/>
  <c r="AB88" i="58" s="1"/>
  <c r="AA25" i="58"/>
  <c r="AF25" i="58" s="1"/>
  <c r="I25" i="58"/>
  <c r="I88" i="58" s="1"/>
  <c r="H25" i="58"/>
  <c r="L25" i="58" s="1"/>
  <c r="F25" i="58"/>
  <c r="F88" i="58" s="1"/>
  <c r="AV24" i="58"/>
  <c r="AQ24" i="58"/>
  <c r="AD24" i="58"/>
  <c r="U24" i="58"/>
  <c r="M24" i="58"/>
  <c r="J24" i="58"/>
  <c r="P24" i="58" s="1"/>
  <c r="AV23" i="58"/>
  <c r="AQ23" i="58"/>
  <c r="AD23" i="58"/>
  <c r="J23" i="58"/>
  <c r="AV22" i="58"/>
  <c r="AQ22" i="58"/>
  <c r="AD22" i="58"/>
  <c r="U22" i="58"/>
  <c r="P22" i="58"/>
  <c r="M22" i="58"/>
  <c r="J22" i="58"/>
  <c r="AV21" i="58"/>
  <c r="BA21" i="58" s="1"/>
  <c r="AQ21" i="58"/>
  <c r="AD21" i="58"/>
  <c r="Y21" i="58"/>
  <c r="U21" i="58"/>
  <c r="S21" i="58"/>
  <c r="R21" i="58"/>
  <c r="O21" i="58"/>
  <c r="P21" i="58" s="1"/>
  <c r="J21" i="58"/>
  <c r="M21" i="58" s="1"/>
  <c r="AY19" i="58"/>
  <c r="AL19" i="58"/>
  <c r="AJ19" i="58"/>
  <c r="AN19" i="58" s="1"/>
  <c r="AH19" i="58"/>
  <c r="S19" i="58"/>
  <c r="I19" i="58"/>
  <c r="H19" i="58"/>
  <c r="F19" i="58"/>
  <c r="AV18" i="58"/>
  <c r="BA18" i="58" s="1"/>
  <c r="AN18" i="58"/>
  <c r="AQ18" i="58" s="1"/>
  <c r="AD18" i="58"/>
  <c r="U18" i="58"/>
  <c r="R18" i="58"/>
  <c r="O18" i="58"/>
  <c r="P18" i="58" s="1"/>
  <c r="M18" i="58"/>
  <c r="J18" i="58"/>
  <c r="BA17" i="58"/>
  <c r="BA36" i="58" s="1"/>
  <c r="AV17" i="58"/>
  <c r="AQ17" i="58"/>
  <c r="AN17" i="58"/>
  <c r="AD17" i="58"/>
  <c r="Y17" i="58"/>
  <c r="S17" i="58"/>
  <c r="R17" i="58"/>
  <c r="U17" i="58" s="1"/>
  <c r="O17" i="58"/>
  <c r="P17" i="58" s="1"/>
  <c r="M17" i="58"/>
  <c r="J17" i="58"/>
  <c r="AY16" i="58"/>
  <c r="AU16" i="58"/>
  <c r="AU19" i="58" s="1"/>
  <c r="AS16" i="58"/>
  <c r="AS19" i="58" s="1"/>
  <c r="AV19" i="58" s="1"/>
  <c r="AV53" i="58" s="1"/>
  <c r="AQ16" i="58"/>
  <c r="AO16" i="58"/>
  <c r="AO19" i="58" s="1"/>
  <c r="AN16" i="58"/>
  <c r="AH16" i="58"/>
  <c r="AF16" i="58"/>
  <c r="AF19" i="58" s="1"/>
  <c r="AB16" i="58"/>
  <c r="AB19" i="58" s="1"/>
  <c r="AD19" i="58" s="1"/>
  <c r="AA16" i="58"/>
  <c r="AA19" i="58" s="1"/>
  <c r="Y16" i="58"/>
  <c r="Y19" i="58" s="1"/>
  <c r="W16" i="58"/>
  <c r="W19" i="58" s="1"/>
  <c r="S16" i="58"/>
  <c r="R16" i="58"/>
  <c r="R19" i="58" s="1"/>
  <c r="U19" i="58" s="1"/>
  <c r="O16" i="58"/>
  <c r="O19" i="58" s="1"/>
  <c r="L16" i="58"/>
  <c r="J16" i="58"/>
  <c r="AY14" i="58"/>
  <c r="AU14" i="58"/>
  <c r="AS14" i="58"/>
  <c r="AV14" i="58" s="1"/>
  <c r="AO14" i="58"/>
  <c r="AQ14" i="58" s="1"/>
  <c r="AN14" i="58"/>
  <c r="AL14" i="58"/>
  <c r="AJ14" i="58"/>
  <c r="AH14" i="58"/>
  <c r="AF14" i="58"/>
  <c r="AA14" i="58"/>
  <c r="W14" i="58"/>
  <c r="L14" i="58"/>
  <c r="I14" i="58"/>
  <c r="F14" i="58"/>
  <c r="BA13" i="58"/>
  <c r="AV13" i="58"/>
  <c r="AQ13" i="58"/>
  <c r="AO13" i="58"/>
  <c r="AN13" i="58"/>
  <c r="AB13" i="58"/>
  <c r="AB14" i="58" s="1"/>
  <c r="AA13" i="58"/>
  <c r="Y13" i="58"/>
  <c r="Y14" i="58" s="1"/>
  <c r="S13" i="58"/>
  <c r="U13" i="58" s="1"/>
  <c r="R13" i="58"/>
  <c r="O13" i="58"/>
  <c r="H13" i="58"/>
  <c r="H14" i="58" s="1"/>
  <c r="J14" i="58" s="1"/>
  <c r="AV12" i="58"/>
  <c r="BA12" i="58" s="1"/>
  <c r="BA14" i="58" s="1"/>
  <c r="AQ12" i="58"/>
  <c r="AO12" i="58"/>
  <c r="AN12" i="58"/>
  <c r="AD12" i="58"/>
  <c r="Y12" i="58"/>
  <c r="S12" i="58"/>
  <c r="S14" i="58" s="1"/>
  <c r="R12" i="58"/>
  <c r="P12" i="58"/>
  <c r="O12" i="58"/>
  <c r="O14" i="58" s="1"/>
  <c r="J12" i="58"/>
  <c r="M12" i="58" s="1"/>
  <c r="AZ105" i="21"/>
  <c r="AZ106" i="21" s="1"/>
  <c r="AY105" i="21"/>
  <c r="AY106" i="21" s="1"/>
  <c r="AU105" i="21"/>
  <c r="AU106" i="21" s="1"/>
  <c r="AQ105" i="21"/>
  <c r="AQ106" i="21" s="1"/>
  <c r="AP105" i="21"/>
  <c r="AP106" i="21" s="1"/>
  <c r="AH105" i="21"/>
  <c r="AH106" i="21" s="1"/>
  <c r="AC105" i="21"/>
  <c r="Y105" i="21"/>
  <c r="X105" i="21"/>
  <c r="X106" i="21" s="1"/>
  <c r="T105" i="21"/>
  <c r="P105" i="21"/>
  <c r="L105" i="21"/>
  <c r="AZ104" i="21"/>
  <c r="AY104" i="21"/>
  <c r="AU104" i="21"/>
  <c r="AQ104" i="21"/>
  <c r="AP104" i="21"/>
  <c r="AP107" i="21" s="1"/>
  <c r="AH104" i="21"/>
  <c r="AC104" i="21"/>
  <c r="Y104" i="21"/>
  <c r="X104" i="21"/>
  <c r="T104" i="21"/>
  <c r="P104" i="21"/>
  <c r="L104" i="21"/>
  <c r="AZ101" i="21"/>
  <c r="AY101" i="21"/>
  <c r="AW101" i="21"/>
  <c r="AU101" i="21"/>
  <c r="AQ101" i="21"/>
  <c r="AP101" i="21"/>
  <c r="AN101" i="21"/>
  <c r="AL101" i="21"/>
  <c r="AH101" i="21"/>
  <c r="AE101" i="21"/>
  <c r="AC101" i="21"/>
  <c r="V101" i="21"/>
  <c r="T101" i="21"/>
  <c r="L101" i="21"/>
  <c r="AZ99" i="21"/>
  <c r="AY99" i="21"/>
  <c r="AW99" i="21"/>
  <c r="AU99" i="21"/>
  <c r="AQ99" i="21"/>
  <c r="AP99" i="21"/>
  <c r="AL99" i="21"/>
  <c r="AH99" i="21"/>
  <c r="AG99" i="21"/>
  <c r="AC99" i="21"/>
  <c r="Y99" i="21"/>
  <c r="X99" i="21"/>
  <c r="T99" i="21"/>
  <c r="O99" i="21"/>
  <c r="L99" i="21"/>
  <c r="I99" i="21"/>
  <c r="H99" i="21"/>
  <c r="F99" i="21"/>
  <c r="AZ98" i="21"/>
  <c r="AY98" i="21"/>
  <c r="AU98" i="21"/>
  <c r="AQ98" i="21"/>
  <c r="AP98" i="21"/>
  <c r="AL98" i="21"/>
  <c r="AH98" i="21"/>
  <c r="AG98" i="21"/>
  <c r="AC98" i="21"/>
  <c r="Y98" i="21"/>
  <c r="X98" i="21"/>
  <c r="T98" i="21"/>
  <c r="O98" i="21"/>
  <c r="L98" i="21"/>
  <c r="I98" i="21"/>
  <c r="H98" i="21"/>
  <c r="F98" i="21"/>
  <c r="AW84" i="21"/>
  <c r="AN84" i="21"/>
  <c r="AE84" i="21"/>
  <c r="V84" i="21"/>
  <c r="J84" i="21"/>
  <c r="M84" i="21" s="1"/>
  <c r="AW83" i="21"/>
  <c r="AN83" i="21"/>
  <c r="AE83" i="21"/>
  <c r="V83" i="21"/>
  <c r="BB82" i="21"/>
  <c r="AW82" i="21"/>
  <c r="AS82" i="21"/>
  <c r="AN82" i="21" s="1"/>
  <c r="AJ82" i="21"/>
  <c r="AA82" i="21"/>
  <c r="AE82" i="21" s="1"/>
  <c r="R82" i="21"/>
  <c r="V82" i="21" s="1"/>
  <c r="BB81" i="21"/>
  <c r="AW81" i="21"/>
  <c r="AS81" i="21"/>
  <c r="AN81" i="21" s="1"/>
  <c r="AJ81" i="21"/>
  <c r="AA81" i="21"/>
  <c r="AE81" i="21" s="1"/>
  <c r="R81" i="21"/>
  <c r="V81" i="21" s="1"/>
  <c r="J81" i="21"/>
  <c r="M81" i="21" s="1"/>
  <c r="BB80" i="21"/>
  <c r="AW80" i="21"/>
  <c r="AS80" i="21"/>
  <c r="AN80" i="21" s="1"/>
  <c r="AJ80" i="21"/>
  <c r="AA80" i="21"/>
  <c r="AE80" i="21" s="1"/>
  <c r="R80" i="21"/>
  <c r="V80" i="21" s="1"/>
  <c r="J80" i="21"/>
  <c r="M80" i="21" s="1"/>
  <c r="BB79" i="21"/>
  <c r="AW79" i="21"/>
  <c r="AS79" i="21"/>
  <c r="AN79" i="21" s="1"/>
  <c r="AJ79" i="21"/>
  <c r="AA79" i="21"/>
  <c r="AE79" i="21" s="1"/>
  <c r="R79" i="21"/>
  <c r="V79" i="21" s="1"/>
  <c r="J79" i="21"/>
  <c r="M79" i="21" s="1"/>
  <c r="AZ77" i="21"/>
  <c r="AY77" i="21"/>
  <c r="AU77" i="21"/>
  <c r="AQ77" i="21"/>
  <c r="AP77" i="21"/>
  <c r="AH77" i="21"/>
  <c r="AH102" i="21" s="1"/>
  <c r="AH115" i="21" s="1"/>
  <c r="AC77" i="21"/>
  <c r="AC102" i="21" s="1"/>
  <c r="Y77" i="21"/>
  <c r="Y102" i="21" s="1"/>
  <c r="X77" i="21"/>
  <c r="T77" i="21"/>
  <c r="T102" i="21" s="1"/>
  <c r="P77" i="21"/>
  <c r="P102" i="21" s="1"/>
  <c r="L77" i="21"/>
  <c r="L102" i="21" s="1"/>
  <c r="F77" i="21"/>
  <c r="BB76" i="21"/>
  <c r="BF76" i="21" s="1"/>
  <c r="AW76" i="21"/>
  <c r="AW105" i="21" s="1"/>
  <c r="AW106" i="21" s="1"/>
  <c r="AS76" i="21"/>
  <c r="AL76" i="21"/>
  <c r="AL105" i="21" s="1"/>
  <c r="AJ76" i="21"/>
  <c r="AG76" i="21"/>
  <c r="AG105" i="21" s="1"/>
  <c r="AA76" i="21"/>
  <c r="AE76" i="21" s="1"/>
  <c r="AE105" i="21" s="1"/>
  <c r="O76" i="21"/>
  <c r="O72" i="21" s="1"/>
  <c r="J76" i="21"/>
  <c r="M76" i="21" s="1"/>
  <c r="BB75" i="21"/>
  <c r="BF75" i="21" s="1"/>
  <c r="AW75" i="21"/>
  <c r="AW104" i="21" s="1"/>
  <c r="AS75" i="21"/>
  <c r="AL75" i="21"/>
  <c r="AL104" i="21" s="1"/>
  <c r="AG75" i="21"/>
  <c r="AJ75" i="21" s="1"/>
  <c r="AA75" i="21"/>
  <c r="AE75" i="21" s="1"/>
  <c r="O75" i="21"/>
  <c r="O71" i="21" s="1"/>
  <c r="M75" i="21"/>
  <c r="J75" i="21"/>
  <c r="AG74" i="21"/>
  <c r="AZ73" i="21"/>
  <c r="AY73" i="21"/>
  <c r="BB73" i="21" s="1"/>
  <c r="AQ73" i="21"/>
  <c r="AP73" i="21"/>
  <c r="AS73" i="21" s="1"/>
  <c r="AH73" i="21"/>
  <c r="M73" i="21"/>
  <c r="BB72" i="21"/>
  <c r="AS72" i="21"/>
  <c r="AG72" i="21"/>
  <c r="AJ72" i="21" s="1"/>
  <c r="Y72" i="21"/>
  <c r="X72" i="21"/>
  <c r="P72" i="21"/>
  <c r="BB71" i="21"/>
  <c r="AS71" i="21"/>
  <c r="Y71" i="21"/>
  <c r="X71" i="21"/>
  <c r="P71" i="21"/>
  <c r="BB70" i="21"/>
  <c r="AS70" i="21"/>
  <c r="AN70" i="21" s="1"/>
  <c r="AJ70" i="21"/>
  <c r="AA70" i="21"/>
  <c r="AE70" i="21" s="1"/>
  <c r="R70" i="21"/>
  <c r="V70" i="21" s="1"/>
  <c r="I70" i="21"/>
  <c r="I77" i="21" s="1"/>
  <c r="F70" i="21"/>
  <c r="F101" i="21" s="1"/>
  <c r="AN69" i="21"/>
  <c r="AJ69" i="21"/>
  <c r="AA69" i="21"/>
  <c r="AE69" i="21" s="1"/>
  <c r="R69" i="21"/>
  <c r="V69" i="21" s="1"/>
  <c r="BB68" i="21"/>
  <c r="AS68" i="21"/>
  <c r="AN68" i="21" s="1"/>
  <c r="AJ68" i="21"/>
  <c r="AA68" i="21"/>
  <c r="AE68" i="21" s="1"/>
  <c r="R68" i="21"/>
  <c r="V68" i="21" s="1"/>
  <c r="J68" i="21"/>
  <c r="M68" i="21" s="1"/>
  <c r="P68" i="21" s="1"/>
  <c r="BB67" i="21"/>
  <c r="AS67" i="21"/>
  <c r="AN67" i="21" s="1"/>
  <c r="AJ67" i="21"/>
  <c r="AA67" i="21"/>
  <c r="AE67" i="21" s="1"/>
  <c r="R67" i="21"/>
  <c r="V67" i="21" s="1"/>
  <c r="J67" i="21"/>
  <c r="M67" i="21" s="1"/>
  <c r="P67" i="21" s="1"/>
  <c r="BB66" i="21"/>
  <c r="AS66" i="21"/>
  <c r="AN66" i="21" s="1"/>
  <c r="AJ66" i="21"/>
  <c r="AA66" i="21"/>
  <c r="AE66" i="21" s="1"/>
  <c r="R66" i="21"/>
  <c r="V66" i="21" s="1"/>
  <c r="J66" i="21"/>
  <c r="M66" i="21" s="1"/>
  <c r="P66" i="21" s="1"/>
  <c r="BB65" i="21"/>
  <c r="AS65" i="21"/>
  <c r="AN65" i="21" s="1"/>
  <c r="AJ65" i="21"/>
  <c r="AA65" i="21"/>
  <c r="AE65" i="21" s="1"/>
  <c r="R65" i="21"/>
  <c r="V65" i="21" s="1"/>
  <c r="J65" i="21"/>
  <c r="M65" i="21" s="1"/>
  <c r="P65" i="21" s="1"/>
  <c r="BB64" i="21"/>
  <c r="AS64" i="21"/>
  <c r="AN64" i="21" s="1"/>
  <c r="AJ64" i="21"/>
  <c r="AA64" i="21"/>
  <c r="AE64" i="21" s="1"/>
  <c r="R64" i="21"/>
  <c r="V64" i="21" s="1"/>
  <c r="J64" i="21"/>
  <c r="M64" i="21" s="1"/>
  <c r="P64" i="21" s="1"/>
  <c r="BB63" i="21"/>
  <c r="AS63" i="21"/>
  <c r="J63" i="21"/>
  <c r="M63" i="21" s="1"/>
  <c r="P63" i="21" s="1"/>
  <c r="BB62" i="21"/>
  <c r="AS62" i="21"/>
  <c r="AN62" i="21" s="1"/>
  <c r="AJ62" i="21"/>
  <c r="AA62" i="21"/>
  <c r="AE62" i="21" s="1"/>
  <c r="R62" i="21"/>
  <c r="V62" i="21" s="1"/>
  <c r="J62" i="21"/>
  <c r="M62" i="21" s="1"/>
  <c r="P62" i="21" s="1"/>
  <c r="BB61" i="21"/>
  <c r="AS61" i="21"/>
  <c r="AN61" i="21" s="1"/>
  <c r="AJ61" i="21"/>
  <c r="AA61" i="21"/>
  <c r="AE61" i="21" s="1"/>
  <c r="R61" i="21"/>
  <c r="V61" i="21" s="1"/>
  <c r="J61" i="21"/>
  <c r="M61" i="21" s="1"/>
  <c r="P61" i="21" s="1"/>
  <c r="AN60" i="21"/>
  <c r="AJ60" i="21"/>
  <c r="AA60" i="21"/>
  <c r="AE60" i="21" s="1"/>
  <c r="R60" i="21"/>
  <c r="V60" i="21" s="1"/>
  <c r="BB59" i="21"/>
  <c r="AS59" i="21"/>
  <c r="AJ59" i="21"/>
  <c r="AA59" i="21"/>
  <c r="R59" i="21"/>
  <c r="J59" i="21"/>
  <c r="BB58" i="21"/>
  <c r="AS58" i="21"/>
  <c r="AJ58" i="21"/>
  <c r="AA58" i="21"/>
  <c r="AE58" i="21" s="1"/>
  <c r="R58" i="21"/>
  <c r="V58" i="21" s="1"/>
  <c r="J58" i="21"/>
  <c r="BB57" i="21"/>
  <c r="AS57" i="21"/>
  <c r="AN57" i="21" s="1"/>
  <c r="AJ57" i="21"/>
  <c r="AA57" i="21"/>
  <c r="AE57" i="21" s="1"/>
  <c r="R57" i="21"/>
  <c r="V57" i="21" s="1"/>
  <c r="J57" i="21"/>
  <c r="M57" i="21" s="1"/>
  <c r="BB56" i="21"/>
  <c r="AS56" i="21"/>
  <c r="AJ56" i="21"/>
  <c r="AA56" i="21"/>
  <c r="AE56" i="21" s="1"/>
  <c r="R56" i="21"/>
  <c r="V56" i="21" s="1"/>
  <c r="J56" i="21"/>
  <c r="BB55" i="21"/>
  <c r="AS55" i="21"/>
  <c r="AJ55" i="21"/>
  <c r="AA55" i="21"/>
  <c r="AE55" i="21" s="1"/>
  <c r="R55" i="21"/>
  <c r="V55" i="21" s="1"/>
  <c r="J55" i="21"/>
  <c r="BB54" i="21"/>
  <c r="AS54" i="21"/>
  <c r="AN54" i="21" s="1"/>
  <c r="AJ54" i="21"/>
  <c r="AA54" i="21"/>
  <c r="AE54" i="21" s="1"/>
  <c r="R54" i="21"/>
  <c r="V54" i="21" s="1"/>
  <c r="J54" i="21"/>
  <c r="M54" i="21" s="1"/>
  <c r="BB53" i="21"/>
  <c r="AS53" i="21"/>
  <c r="AJ53" i="21"/>
  <c r="AA53" i="21"/>
  <c r="AE53" i="21" s="1"/>
  <c r="R53" i="21"/>
  <c r="V53" i="21" s="1"/>
  <c r="J53" i="21"/>
  <c r="BB52" i="21"/>
  <c r="AS52" i="21"/>
  <c r="AJ52" i="21"/>
  <c r="AA52" i="21"/>
  <c r="AE52" i="21" s="1"/>
  <c r="R52" i="21"/>
  <c r="V52" i="21" s="1"/>
  <c r="J52" i="21"/>
  <c r="BB51" i="21"/>
  <c r="AS51" i="21"/>
  <c r="AJ51" i="21"/>
  <c r="AA51" i="21"/>
  <c r="AE51" i="21" s="1"/>
  <c r="R51" i="21"/>
  <c r="V51" i="21" s="1"/>
  <c r="J51" i="21"/>
  <c r="M51" i="21" s="1"/>
  <c r="BB50" i="21"/>
  <c r="AS50" i="21"/>
  <c r="AN50" i="21" s="1"/>
  <c r="AJ50" i="21"/>
  <c r="AA50" i="21"/>
  <c r="AE50" i="21" s="1"/>
  <c r="R50" i="21"/>
  <c r="V50" i="21" s="1"/>
  <c r="M50" i="21"/>
  <c r="P50" i="21" s="1"/>
  <c r="J50" i="21"/>
  <c r="BB49" i="21"/>
  <c r="AS49" i="21"/>
  <c r="AJ49" i="21"/>
  <c r="AA49" i="21"/>
  <c r="AE49" i="21" s="1"/>
  <c r="R49" i="21"/>
  <c r="V49" i="21" s="1"/>
  <c r="J49" i="21"/>
  <c r="BB48" i="21"/>
  <c r="AS48" i="21"/>
  <c r="AJ48" i="21"/>
  <c r="AA48" i="21"/>
  <c r="AE48" i="21" s="1"/>
  <c r="R48" i="21"/>
  <c r="V48" i="21" s="1"/>
  <c r="J48" i="21"/>
  <c r="BB47" i="21"/>
  <c r="AS47" i="21"/>
  <c r="AJ47" i="21"/>
  <c r="AA47" i="21"/>
  <c r="AE47" i="21" s="1"/>
  <c r="R47" i="21"/>
  <c r="V47" i="21" s="1"/>
  <c r="J47" i="21"/>
  <c r="M47" i="21" s="1"/>
  <c r="BB46" i="21"/>
  <c r="AS46" i="21"/>
  <c r="AJ46" i="21"/>
  <c r="AA46" i="21"/>
  <c r="AE46" i="21" s="1"/>
  <c r="R46" i="21"/>
  <c r="V46" i="21" s="1"/>
  <c r="J46" i="21"/>
  <c r="BB45" i="21"/>
  <c r="AS45" i="21"/>
  <c r="AJ45" i="21"/>
  <c r="AA45" i="21"/>
  <c r="AE45" i="21" s="1"/>
  <c r="R45" i="21"/>
  <c r="V45" i="21" s="1"/>
  <c r="J45" i="21"/>
  <c r="BB44" i="21"/>
  <c r="AS44" i="21"/>
  <c r="AN44" i="21" s="1"/>
  <c r="AJ44" i="21"/>
  <c r="AA44" i="21"/>
  <c r="AE44" i="21" s="1"/>
  <c r="R44" i="21"/>
  <c r="V44" i="21" s="1"/>
  <c r="J44" i="21"/>
  <c r="M44" i="21" s="1"/>
  <c r="BB43" i="21"/>
  <c r="AS43" i="21"/>
  <c r="AN43" i="21" s="1"/>
  <c r="AJ43" i="21"/>
  <c r="AA43" i="21"/>
  <c r="AE43" i="21" s="1"/>
  <c r="R43" i="21"/>
  <c r="V43" i="21" s="1"/>
  <c r="J43" i="21"/>
  <c r="M43" i="21" s="1"/>
  <c r="AE42" i="21"/>
  <c r="V42" i="21"/>
  <c r="J41" i="21"/>
  <c r="M41" i="21" s="1"/>
  <c r="P41" i="21" s="1"/>
  <c r="AN40" i="21"/>
  <c r="AE40" i="21"/>
  <c r="R40" i="21"/>
  <c r="V40" i="21" s="1"/>
  <c r="J40" i="21"/>
  <c r="M40" i="21" s="1"/>
  <c r="P40" i="21" s="1"/>
  <c r="AN39" i="21"/>
  <c r="AE39" i="21"/>
  <c r="R39" i="21"/>
  <c r="V39" i="21" s="1"/>
  <c r="J39" i="21"/>
  <c r="M39" i="21" s="1"/>
  <c r="P39" i="21" s="1"/>
  <c r="BB37" i="21"/>
  <c r="BF37" i="21" s="1"/>
  <c r="AS37" i="21"/>
  <c r="AW37" i="21" s="1"/>
  <c r="AJ37" i="21"/>
  <c r="AA37" i="21"/>
  <c r="R37" i="21"/>
  <c r="J37" i="21"/>
  <c r="M37" i="21" s="1"/>
  <c r="BB36" i="21"/>
  <c r="BF36" i="21" s="1"/>
  <c r="AS36" i="21"/>
  <c r="AW36" i="21" s="1"/>
  <c r="AJ36" i="21"/>
  <c r="AA36" i="21"/>
  <c r="R36" i="21"/>
  <c r="M36" i="21"/>
  <c r="J36" i="21"/>
  <c r="AJ35" i="21"/>
  <c r="AA35" i="21"/>
  <c r="R35" i="21"/>
  <c r="J35" i="21"/>
  <c r="M35" i="21" s="1"/>
  <c r="AJ34" i="21"/>
  <c r="AA34" i="21"/>
  <c r="R34" i="21"/>
  <c r="V34" i="21" s="1"/>
  <c r="L33" i="21"/>
  <c r="J33" i="21"/>
  <c r="BB31" i="21"/>
  <c r="AS31" i="21"/>
  <c r="AJ31" i="21"/>
  <c r="Y31" i="21"/>
  <c r="AA31" i="21" s="1"/>
  <c r="P31" i="21"/>
  <c r="O31" i="21"/>
  <c r="BB30" i="21"/>
  <c r="AS30" i="21"/>
  <c r="AJ30" i="21"/>
  <c r="Y30" i="21"/>
  <c r="X30" i="21"/>
  <c r="P30" i="21"/>
  <c r="O30" i="21"/>
  <c r="T29" i="21"/>
  <c r="P29" i="21"/>
  <c r="O29" i="21"/>
  <c r="I29" i="21"/>
  <c r="H29" i="21"/>
  <c r="F29" i="21"/>
  <c r="AZ28" i="21"/>
  <c r="AY28" i="21"/>
  <c r="AY100" i="21" s="1"/>
  <c r="AQ28" i="21"/>
  <c r="AH28" i="21"/>
  <c r="AH100" i="21" s="1"/>
  <c r="T28" i="21"/>
  <c r="T100" i="21" s="1"/>
  <c r="O28" i="21"/>
  <c r="L28" i="21"/>
  <c r="L100" i="21" s="1"/>
  <c r="H28" i="21"/>
  <c r="H100" i="21" s="1"/>
  <c r="AW27" i="21"/>
  <c r="AS27" i="21"/>
  <c r="AN27" i="21" s="1"/>
  <c r="AJ27" i="21"/>
  <c r="AA27" i="21"/>
  <c r="AE27" i="21" s="1"/>
  <c r="R27" i="21"/>
  <c r="V27" i="21" s="1"/>
  <c r="J27" i="21"/>
  <c r="M27" i="21" s="1"/>
  <c r="F27" i="21"/>
  <c r="BB26" i="21"/>
  <c r="AW26" i="21"/>
  <c r="AS26" i="21"/>
  <c r="AN26" i="21" s="1"/>
  <c r="AJ26" i="21"/>
  <c r="AC26" i="21"/>
  <c r="AA26" i="21"/>
  <c r="Y26" i="21"/>
  <c r="R26" i="21"/>
  <c r="V26" i="21" s="1"/>
  <c r="V29" i="21" s="1"/>
  <c r="P26" i="21"/>
  <c r="P28" i="21" s="1"/>
  <c r="J26" i="21"/>
  <c r="M26" i="21" s="1"/>
  <c r="I26" i="21"/>
  <c r="I28" i="21" s="1"/>
  <c r="I100" i="21" s="1"/>
  <c r="F26" i="21"/>
  <c r="AW25" i="21"/>
  <c r="AS25" i="21"/>
  <c r="AN25" i="21" s="1"/>
  <c r="AN28" i="21" s="1"/>
  <c r="AJ25" i="21"/>
  <c r="AA25" i="21"/>
  <c r="AE25" i="21" s="1"/>
  <c r="AE28" i="21" s="1"/>
  <c r="R25" i="21"/>
  <c r="V25" i="21" s="1"/>
  <c r="V28" i="21" s="1"/>
  <c r="J25" i="21"/>
  <c r="M25" i="21" s="1"/>
  <c r="M28" i="21" s="1"/>
  <c r="BB24" i="21"/>
  <c r="AS24" i="21"/>
  <c r="AL24" i="21"/>
  <c r="AL28" i="21" s="1"/>
  <c r="AL100" i="21" s="1"/>
  <c r="AJ24" i="21"/>
  <c r="AC24" i="21"/>
  <c r="AA24" i="21"/>
  <c r="Y24" i="21"/>
  <c r="Y28" i="21" s="1"/>
  <c r="X28" i="21" s="1"/>
  <c r="R24" i="21"/>
  <c r="M24" i="21"/>
  <c r="J24" i="21"/>
  <c r="AS23" i="21"/>
  <c r="AJ23" i="21"/>
  <c r="AA23" i="21"/>
  <c r="R23" i="21"/>
  <c r="V23" i="21" s="1"/>
  <c r="H22" i="21"/>
  <c r="BB21" i="21"/>
  <c r="AZ21" i="21"/>
  <c r="AQ21" i="21"/>
  <c r="AS21" i="21" s="1"/>
  <c r="AN21" i="21"/>
  <c r="AC21" i="21"/>
  <c r="AE21" i="21" s="1"/>
  <c r="AA21" i="21"/>
  <c r="O21" i="21"/>
  <c r="R21" i="21" s="1"/>
  <c r="V21" i="21" s="1"/>
  <c r="J21" i="21"/>
  <c r="M21" i="21" s="1"/>
  <c r="F21" i="21"/>
  <c r="F22" i="21" s="1"/>
  <c r="AZ20" i="21"/>
  <c r="AZ18" i="21" s="1"/>
  <c r="AW20" i="21"/>
  <c r="AW18" i="21" s="1"/>
  <c r="AW22" i="21" s="1"/>
  <c r="AP20" i="21"/>
  <c r="AP22" i="21" s="1"/>
  <c r="AN20" i="21"/>
  <c r="AC20" i="21"/>
  <c r="AA20" i="21"/>
  <c r="R20" i="21"/>
  <c r="BB19" i="21"/>
  <c r="BF19" i="21" s="1"/>
  <c r="AS19" i="21"/>
  <c r="AN19" i="21"/>
  <c r="AG19" i="21"/>
  <c r="AJ19" i="21" s="1"/>
  <c r="Y19" i="21"/>
  <c r="AA19" i="21" s="1"/>
  <c r="AE19" i="21" s="1"/>
  <c r="T19" i="21"/>
  <c r="P19" i="21"/>
  <c r="L19" i="21"/>
  <c r="O19" i="21" s="1"/>
  <c r="I19" i="21"/>
  <c r="J19" i="21" s="1"/>
  <c r="AY18" i="21"/>
  <c r="AY22" i="21" s="1"/>
  <c r="AU18" i="21"/>
  <c r="AU22" i="21" s="1"/>
  <c r="AQ18" i="21"/>
  <c r="AS18" i="21" s="1"/>
  <c r="AN18" i="21"/>
  <c r="Y18" i="21"/>
  <c r="X18" i="21"/>
  <c r="AA18" i="21" s="1"/>
  <c r="T18" i="21"/>
  <c r="P18" i="21"/>
  <c r="L18" i="21"/>
  <c r="I18" i="21"/>
  <c r="J18" i="21" s="1"/>
  <c r="AP17" i="21"/>
  <c r="AG17" i="21"/>
  <c r="AG16" i="21"/>
  <c r="BB14" i="21"/>
  <c r="AW14" i="21"/>
  <c r="AU14" i="21"/>
  <c r="AQ14" i="21"/>
  <c r="AP14" i="21"/>
  <c r="AG14" i="21"/>
  <c r="AJ14" i="21" s="1"/>
  <c r="Y14" i="21"/>
  <c r="AA14" i="21" s="1"/>
  <c r="AE14" i="21" s="1"/>
  <c r="O14" i="21"/>
  <c r="R14" i="21" s="1"/>
  <c r="V14" i="21" s="1"/>
  <c r="J14" i="21"/>
  <c r="M14" i="21" s="1"/>
  <c r="AZ13" i="21"/>
  <c r="AZ15" i="21" s="1"/>
  <c r="AY13" i="21"/>
  <c r="AY15" i="21" s="1"/>
  <c r="AW13" i="21"/>
  <c r="AU13" i="21"/>
  <c r="AQ13" i="21"/>
  <c r="AP13" i="21"/>
  <c r="AN13" i="21"/>
  <c r="AC13" i="21"/>
  <c r="AE13" i="21" s="1"/>
  <c r="Y13" i="21"/>
  <c r="X13" i="21"/>
  <c r="X15" i="21" s="1"/>
  <c r="T13" i="21"/>
  <c r="T15" i="21" s="1"/>
  <c r="P13" i="21"/>
  <c r="P15" i="21" s="1"/>
  <c r="L13" i="21"/>
  <c r="O13" i="21" s="1"/>
  <c r="I13" i="21"/>
  <c r="I15" i="21" s="1"/>
  <c r="H13" i="21"/>
  <c r="H15" i="21" s="1"/>
  <c r="F13" i="21"/>
  <c r="F15" i="21" s="1"/>
  <c r="AG11" i="21"/>
  <c r="T11" i="21"/>
  <c r="O11" i="21"/>
  <c r="T8" i="21"/>
  <c r="O8" i="21"/>
  <c r="AG79" i="49"/>
  <c r="AG81" i="49" s="1"/>
  <c r="AB79" i="49"/>
  <c r="AB81" i="49" s="1"/>
  <c r="Z79" i="49"/>
  <c r="Z81" i="49" s="1"/>
  <c r="X79" i="49"/>
  <c r="X81" i="49" s="1"/>
  <c r="AX76" i="49"/>
  <c r="AV76" i="49"/>
  <c r="AY76" i="49" s="1"/>
  <c r="AR76" i="49"/>
  <c r="AQ76" i="49"/>
  <c r="AM76" i="49"/>
  <c r="AK76" i="49"/>
  <c r="AN76" i="49" s="1"/>
  <c r="AG76" i="49"/>
  <c r="AF76" i="49"/>
  <c r="AD76" i="49"/>
  <c r="AB76" i="49"/>
  <c r="Z76" i="49"/>
  <c r="X76" i="49"/>
  <c r="V76" i="49"/>
  <c r="T76" i="49"/>
  <c r="P76" i="49"/>
  <c r="O76" i="49"/>
  <c r="L76" i="49"/>
  <c r="I76" i="49"/>
  <c r="H76" i="49"/>
  <c r="F76" i="49"/>
  <c r="AR75" i="49"/>
  <c r="AB75" i="49"/>
  <c r="Z75" i="49"/>
  <c r="X75" i="49"/>
  <c r="V75" i="49"/>
  <c r="T75" i="49"/>
  <c r="P75" i="49"/>
  <c r="O75" i="49"/>
  <c r="L75" i="49"/>
  <c r="AV74" i="49"/>
  <c r="AD74" i="49"/>
  <c r="AB74" i="49"/>
  <c r="Z74" i="49"/>
  <c r="X74" i="49"/>
  <c r="V74" i="49"/>
  <c r="T74" i="49"/>
  <c r="P74" i="49"/>
  <c r="O74" i="49"/>
  <c r="L74" i="49"/>
  <c r="I74" i="49"/>
  <c r="H74" i="49"/>
  <c r="F74" i="49"/>
  <c r="AR73" i="49"/>
  <c r="AB73" i="49"/>
  <c r="AB77" i="49" s="1"/>
  <c r="X73" i="49"/>
  <c r="X77" i="49" s="1"/>
  <c r="L73" i="49"/>
  <c r="L77" i="49" s="1"/>
  <c r="L78" i="49" s="1"/>
  <c r="I73" i="49"/>
  <c r="H73" i="49"/>
  <c r="F73" i="49"/>
  <c r="AM70" i="49"/>
  <c r="AI70" i="49"/>
  <c r="R70" i="49"/>
  <c r="J70" i="49"/>
  <c r="M70" i="49" s="1"/>
  <c r="R69" i="49"/>
  <c r="J69" i="49"/>
  <c r="M69" i="49" s="1"/>
  <c r="AM68" i="49"/>
  <c r="AK68" i="49"/>
  <c r="R68" i="49"/>
  <c r="J68" i="49"/>
  <c r="M68" i="49" s="1"/>
  <c r="R67" i="49"/>
  <c r="J67" i="49"/>
  <c r="M67" i="49" s="1"/>
  <c r="R66" i="49"/>
  <c r="AT64" i="49"/>
  <c r="AI64" i="49"/>
  <c r="R64" i="49"/>
  <c r="J64" i="49"/>
  <c r="AT62" i="49"/>
  <c r="AI62" i="49"/>
  <c r="R62" i="49"/>
  <c r="J62" i="49"/>
  <c r="M62" i="49" s="1"/>
  <c r="AT61" i="49"/>
  <c r="AI61" i="49"/>
  <c r="R61" i="49"/>
  <c r="J61" i="49"/>
  <c r="M61" i="49" s="1"/>
  <c r="AT60" i="49"/>
  <c r="AI60" i="49"/>
  <c r="R60" i="49"/>
  <c r="AT59" i="49"/>
  <c r="AI59" i="49"/>
  <c r="R59" i="49"/>
  <c r="J59" i="49"/>
  <c r="M59" i="49" s="1"/>
  <c r="AT58" i="49"/>
  <c r="AI58" i="49"/>
  <c r="R58" i="49"/>
  <c r="M58" i="49"/>
  <c r="J58" i="49"/>
  <c r="AN57" i="49"/>
  <c r="AK57" i="49"/>
  <c r="AQ57" i="49" s="1"/>
  <c r="AT57" i="49" s="1"/>
  <c r="AY57" i="49" s="1"/>
  <c r="AX57" i="49" s="1"/>
  <c r="AI57" i="49"/>
  <c r="AD57" i="49"/>
  <c r="R57" i="49"/>
  <c r="J57" i="49"/>
  <c r="M57" i="49" s="1"/>
  <c r="AN56" i="49"/>
  <c r="AK56" i="49"/>
  <c r="AM56" i="49" s="1"/>
  <c r="AI56" i="49"/>
  <c r="AD56" i="49"/>
  <c r="R56" i="49"/>
  <c r="M56" i="49"/>
  <c r="J56" i="49"/>
  <c r="AN55" i="49"/>
  <c r="AK55" i="49"/>
  <c r="AQ55" i="49" s="1"/>
  <c r="AT55" i="49" s="1"/>
  <c r="AY55" i="49" s="1"/>
  <c r="AX55" i="49" s="1"/>
  <c r="AI55" i="49"/>
  <c r="AD55" i="49"/>
  <c r="AD75" i="49" s="1"/>
  <c r="R55" i="49"/>
  <c r="J55" i="49"/>
  <c r="M55" i="49" s="1"/>
  <c r="AT53" i="49"/>
  <c r="AI53" i="49"/>
  <c r="R53" i="49"/>
  <c r="J53" i="49"/>
  <c r="M53" i="49" s="1"/>
  <c r="AT52" i="49"/>
  <c r="AI52" i="49"/>
  <c r="R52" i="49"/>
  <c r="J52" i="49"/>
  <c r="M52" i="49" s="1"/>
  <c r="AT51" i="49"/>
  <c r="AI51" i="49"/>
  <c r="R51" i="49"/>
  <c r="J51" i="49"/>
  <c r="M51" i="49" s="1"/>
  <c r="AY50" i="49"/>
  <c r="AT50" i="49"/>
  <c r="AI50" i="49"/>
  <c r="R50" i="49"/>
  <c r="J50" i="49"/>
  <c r="M50" i="49" s="1"/>
  <c r="AX49" i="49"/>
  <c r="AY49" i="49" s="1"/>
  <c r="AQ49" i="49"/>
  <c r="AN49" i="49"/>
  <c r="AM49" i="49"/>
  <c r="AI49" i="49"/>
  <c r="AG49" i="49"/>
  <c r="R49" i="49"/>
  <c r="J49" i="49"/>
  <c r="M49" i="49" s="1"/>
  <c r="AX48" i="49"/>
  <c r="AY48" i="49" s="1"/>
  <c r="AV48" i="49"/>
  <c r="AK48" i="49"/>
  <c r="AQ48" i="49" s="1"/>
  <c r="AI48" i="49"/>
  <c r="AG48" i="49"/>
  <c r="R48" i="49"/>
  <c r="J48" i="49"/>
  <c r="M48" i="49" s="1"/>
  <c r="AV47" i="49"/>
  <c r="AQ47" i="49"/>
  <c r="AQ74" i="49" s="1"/>
  <c r="AK47" i="49"/>
  <c r="AF47" i="49"/>
  <c r="R47" i="49"/>
  <c r="M47" i="49"/>
  <c r="M74" i="49" s="1"/>
  <c r="J47" i="49"/>
  <c r="AT45" i="49"/>
  <c r="AI45" i="49"/>
  <c r="R45" i="49"/>
  <c r="J45" i="49"/>
  <c r="M45" i="49" s="1"/>
  <c r="AT44" i="49"/>
  <c r="AI44" i="49"/>
  <c r="R44" i="49"/>
  <c r="J44" i="49"/>
  <c r="M44" i="49" s="1"/>
  <c r="AT43" i="49"/>
  <c r="AI43" i="49"/>
  <c r="R43" i="49"/>
  <c r="J43" i="49"/>
  <c r="M43" i="49" s="1"/>
  <c r="AT41" i="49"/>
  <c r="AI41" i="49"/>
  <c r="R41" i="49"/>
  <c r="V41" i="49" s="1"/>
  <c r="P41" i="49"/>
  <c r="M41" i="49"/>
  <c r="J41" i="49"/>
  <c r="AV40" i="49"/>
  <c r="AQ40" i="49"/>
  <c r="AT40" i="49" s="1"/>
  <c r="AY40" i="49" s="1"/>
  <c r="AK40" i="49"/>
  <c r="AI40" i="49"/>
  <c r="AN40" i="49" s="1"/>
  <c r="AM40" i="49" s="1"/>
  <c r="AV39" i="49"/>
  <c r="AX39" i="49" s="1"/>
  <c r="AK39" i="49"/>
  <c r="AQ39" i="49" s="1"/>
  <c r="AT39" i="49" s="1"/>
  <c r="AY39" i="49" s="1"/>
  <c r="AG39" i="49"/>
  <c r="AF39" i="49"/>
  <c r="AI39" i="49" s="1"/>
  <c r="AD39" i="49"/>
  <c r="O39" i="49"/>
  <c r="J39" i="49"/>
  <c r="M39" i="49" s="1"/>
  <c r="AV38" i="49"/>
  <c r="AN38" i="49"/>
  <c r="AM38" i="49" s="1"/>
  <c r="AK38" i="49"/>
  <c r="AQ38" i="49" s="1"/>
  <c r="AT38" i="49" s="1"/>
  <c r="AY38" i="49" s="1"/>
  <c r="AI38" i="49"/>
  <c r="R38" i="49"/>
  <c r="V38" i="49" s="1"/>
  <c r="AV37" i="49"/>
  <c r="AK37" i="49"/>
  <c r="AQ37" i="49" s="1"/>
  <c r="AT37" i="49" s="1"/>
  <c r="AY37" i="49" s="1"/>
  <c r="AG37" i="49"/>
  <c r="AF37" i="49"/>
  <c r="AI37" i="49" s="1"/>
  <c r="AD37" i="49"/>
  <c r="T37" i="49"/>
  <c r="P37" i="49"/>
  <c r="O37" i="49"/>
  <c r="R37" i="49" s="1"/>
  <c r="J37" i="49"/>
  <c r="M37" i="49" s="1"/>
  <c r="AV36" i="49"/>
  <c r="AN36" i="49"/>
  <c r="AM36" i="49" s="1"/>
  <c r="AK36" i="49"/>
  <c r="AK35" i="49" s="1"/>
  <c r="AI36" i="49"/>
  <c r="R36" i="49"/>
  <c r="V36" i="49" s="1"/>
  <c r="AV35" i="49"/>
  <c r="AG35" i="49"/>
  <c r="AG73" i="49" s="1"/>
  <c r="AF35" i="49"/>
  <c r="AF79" i="49" s="1"/>
  <c r="AF81" i="49" s="1"/>
  <c r="AD35" i="49"/>
  <c r="T35" i="49"/>
  <c r="T73" i="49" s="1"/>
  <c r="T77" i="49" s="1"/>
  <c r="P35" i="49"/>
  <c r="O35" i="49"/>
  <c r="O79" i="49" s="1"/>
  <c r="O81" i="49" s="1"/>
  <c r="J35" i="49"/>
  <c r="M35" i="49" s="1"/>
  <c r="AQ33" i="49"/>
  <c r="M31" i="49"/>
  <c r="M64" i="49" s="1"/>
  <c r="M76" i="49" s="1"/>
  <c r="J31" i="49"/>
  <c r="AX30" i="49"/>
  <c r="AR30" i="49"/>
  <c r="AM30" i="49"/>
  <c r="AK30" i="49"/>
  <c r="AK75" i="49" s="1"/>
  <c r="AG30" i="49"/>
  <c r="AG75" i="49" s="1"/>
  <c r="L30" i="49"/>
  <c r="I30" i="49"/>
  <c r="I75" i="49" s="1"/>
  <c r="H30" i="49"/>
  <c r="H75" i="49" s="1"/>
  <c r="F30" i="49"/>
  <c r="F75" i="49" s="1"/>
  <c r="F77" i="49" s="1"/>
  <c r="F78" i="49" s="1"/>
  <c r="AY29" i="49"/>
  <c r="AT29" i="49"/>
  <c r="AN29" i="49"/>
  <c r="AI29" i="49"/>
  <c r="R29" i="49"/>
  <c r="J29" i="49"/>
  <c r="M29" i="49" s="1"/>
  <c r="AV28" i="49"/>
  <c r="AV30" i="49" s="1"/>
  <c r="AV75" i="49" s="1"/>
  <c r="AQ28" i="49"/>
  <c r="AQ30" i="49" s="1"/>
  <c r="AN28" i="49"/>
  <c r="AF28" i="49"/>
  <c r="AF30" i="49" s="1"/>
  <c r="AF75" i="49" s="1"/>
  <c r="R28" i="49"/>
  <c r="J28" i="49"/>
  <c r="M28" i="49" s="1"/>
  <c r="AY27" i="49"/>
  <c r="AT27" i="49"/>
  <c r="AR27" i="49"/>
  <c r="AQ27" i="49"/>
  <c r="AN27" i="49"/>
  <c r="AI27" i="49"/>
  <c r="R27" i="49"/>
  <c r="M27" i="49"/>
  <c r="M30" i="49" s="1"/>
  <c r="J27" i="49"/>
  <c r="AY26" i="49"/>
  <c r="AT26" i="49"/>
  <c r="AN26" i="49"/>
  <c r="AI26" i="49"/>
  <c r="AD26" i="49"/>
  <c r="R26" i="49"/>
  <c r="L26" i="49"/>
  <c r="J26" i="49"/>
  <c r="M26" i="49" s="1"/>
  <c r="H26" i="49"/>
  <c r="AR24" i="49"/>
  <c r="AF24" i="49"/>
  <c r="AI24" i="49" s="1"/>
  <c r="AD24" i="49"/>
  <c r="AB24" i="49"/>
  <c r="Z24" i="49"/>
  <c r="X24" i="49"/>
  <c r="P24" i="49"/>
  <c r="O24" i="49"/>
  <c r="R24" i="49" s="1"/>
  <c r="L24" i="49"/>
  <c r="M24" i="49" s="1"/>
  <c r="AY23" i="49"/>
  <c r="AT23" i="49"/>
  <c r="AN23" i="49"/>
  <c r="AI23" i="49"/>
  <c r="AD23" i="49"/>
  <c r="V23" i="49"/>
  <c r="R23" i="49"/>
  <c r="L23" i="49"/>
  <c r="I23" i="49"/>
  <c r="J23" i="49" s="1"/>
  <c r="F23" i="49"/>
  <c r="AY22" i="49"/>
  <c r="AN22" i="49"/>
  <c r="AI22" i="49"/>
  <c r="AY21" i="49"/>
  <c r="AT21" i="49"/>
  <c r="AN21" i="49"/>
  <c r="AI21" i="49"/>
  <c r="AT20" i="49"/>
  <c r="AT19" i="49"/>
  <c r="AY18" i="49"/>
  <c r="AN18" i="49"/>
  <c r="AG18" i="49"/>
  <c r="AF18" i="49"/>
  <c r="AI18" i="49" s="1"/>
  <c r="AD18" i="49"/>
  <c r="V18" i="49"/>
  <c r="R18" i="49"/>
  <c r="J18" i="49"/>
  <c r="AX17" i="49"/>
  <c r="AX24" i="49" s="1"/>
  <c r="AV17" i="49"/>
  <c r="AY17" i="49" s="1"/>
  <c r="AR17" i="49"/>
  <c r="AQ17" i="49"/>
  <c r="AT17" i="49" s="1"/>
  <c r="AM17" i="49"/>
  <c r="AM24" i="49" s="1"/>
  <c r="AK17" i="49"/>
  <c r="AK24" i="49" s="1"/>
  <c r="AN24" i="49" s="1"/>
  <c r="AG17" i="49"/>
  <c r="AG24" i="49" s="1"/>
  <c r="AF17" i="49"/>
  <c r="AI17" i="49" s="1"/>
  <c r="AD17" i="49"/>
  <c r="V17" i="49"/>
  <c r="V24" i="49" s="1"/>
  <c r="T17" i="49"/>
  <c r="T24" i="49" s="1"/>
  <c r="R17" i="49"/>
  <c r="P17" i="49"/>
  <c r="O17" i="49"/>
  <c r="L17" i="49"/>
  <c r="I17" i="49"/>
  <c r="H17" i="49"/>
  <c r="H24" i="49" s="1"/>
  <c r="J24" i="49" s="1"/>
  <c r="F17" i="49"/>
  <c r="AQ15" i="49"/>
  <c r="AM15" i="49"/>
  <c r="AD15" i="49"/>
  <c r="AB15" i="49"/>
  <c r="T15" i="49"/>
  <c r="O15" i="49"/>
  <c r="R15" i="49" s="1"/>
  <c r="I15" i="49"/>
  <c r="F15" i="49"/>
  <c r="AY14" i="49"/>
  <c r="AT14" i="49"/>
  <c r="AM14" i="49"/>
  <c r="AN14" i="49" s="1"/>
  <c r="AK14" i="49"/>
  <c r="AI14" i="49"/>
  <c r="AG14" i="49"/>
  <c r="AF14" i="49"/>
  <c r="P14" i="49"/>
  <c r="R14" i="49" s="1"/>
  <c r="V14" i="49" s="1"/>
  <c r="L14" i="49"/>
  <c r="L12" i="49" s="1"/>
  <c r="J14" i="49"/>
  <c r="M14" i="49" s="1"/>
  <c r="H14" i="49"/>
  <c r="AX12" i="49"/>
  <c r="AX15" i="49" s="1"/>
  <c r="AV12" i="49"/>
  <c r="AV15" i="49" s="1"/>
  <c r="AR12" i="49"/>
  <c r="AR15" i="49" s="1"/>
  <c r="AQ12" i="49"/>
  <c r="AT12" i="49" s="1"/>
  <c r="AN12" i="49"/>
  <c r="AM12" i="49"/>
  <c r="AM85" i="49" s="1"/>
  <c r="AK12" i="49"/>
  <c r="AK15" i="49" s="1"/>
  <c r="AG12" i="49"/>
  <c r="AG15" i="49" s="1"/>
  <c r="AF12" i="49"/>
  <c r="AI12" i="49" s="1"/>
  <c r="P12" i="49"/>
  <c r="P15" i="49" s="1"/>
  <c r="H12" i="49"/>
  <c r="H15" i="49" s="1"/>
  <c r="J15" i="49" s="1"/>
  <c r="B104" i="17"/>
  <c r="B103" i="17"/>
  <c r="B102" i="17"/>
  <c r="B101" i="17"/>
  <c r="V91" i="17"/>
  <c r="BH89" i="17"/>
  <c r="BF89" i="17"/>
  <c r="BF91" i="17" s="1"/>
  <c r="BB89" i="17"/>
  <c r="BB91" i="17" s="1"/>
  <c r="BA89" i="17"/>
  <c r="BA91" i="17" s="1"/>
  <c r="AY89" i="17"/>
  <c r="AY91" i="17" s="1"/>
  <c r="AW89" i="17"/>
  <c r="AW91" i="17" s="1"/>
  <c r="AS89" i="17"/>
  <c r="AS91" i="17" s="1"/>
  <c r="AR89" i="17"/>
  <c r="AR91" i="17" s="1"/>
  <c r="AP89" i="17"/>
  <c r="AP91" i="17" s="1"/>
  <c r="AN89" i="17"/>
  <c r="AN91" i="17" s="1"/>
  <c r="AJ89" i="17"/>
  <c r="AJ91" i="17" s="1"/>
  <c r="AG89" i="17"/>
  <c r="AG91" i="17" s="1"/>
  <c r="AE89" i="17"/>
  <c r="AE91" i="17" s="1"/>
  <c r="AA89" i="17"/>
  <c r="AA91" i="17" s="1"/>
  <c r="Z89" i="17"/>
  <c r="Z91" i="17" s="1"/>
  <c r="V89" i="17"/>
  <c r="T89" i="17"/>
  <c r="T91" i="17" s="1"/>
  <c r="P89" i="17"/>
  <c r="P91" i="17" s="1"/>
  <c r="O89" i="17"/>
  <c r="O91" i="17" s="1"/>
  <c r="BF86" i="17"/>
  <c r="BB86" i="17"/>
  <c r="BA86" i="17"/>
  <c r="AW86" i="17"/>
  <c r="AS86" i="17"/>
  <c r="AR86" i="17"/>
  <c r="AN86" i="17"/>
  <c r="AJ86" i="17"/>
  <c r="AI86" i="17"/>
  <c r="AE86" i="17"/>
  <c r="AA86" i="17"/>
  <c r="Z86" i="17"/>
  <c r="T86" i="17"/>
  <c r="P86" i="17"/>
  <c r="O86" i="17"/>
  <c r="O87" i="17" s="1"/>
  <c r="L86" i="17"/>
  <c r="I86" i="17"/>
  <c r="H86" i="17"/>
  <c r="F86" i="17"/>
  <c r="BF85" i="17"/>
  <c r="BB85" i="17"/>
  <c r="AN85" i="17"/>
  <c r="AJ85" i="17"/>
  <c r="AI85" i="17"/>
  <c r="Z85" i="17"/>
  <c r="T85" i="17"/>
  <c r="O85" i="17"/>
  <c r="BF84" i="17"/>
  <c r="BF87" i="17" s="1"/>
  <c r="BA84" i="17"/>
  <c r="AW84" i="17"/>
  <c r="AR84" i="17"/>
  <c r="AN84" i="17"/>
  <c r="AN87" i="17" s="1"/>
  <c r="AI84" i="17"/>
  <c r="AE84" i="17"/>
  <c r="Z84" i="17"/>
  <c r="T84" i="17"/>
  <c r="T87" i="17" s="1"/>
  <c r="O84" i="17"/>
  <c r="L84" i="17"/>
  <c r="I84" i="17"/>
  <c r="H84" i="17"/>
  <c r="F84" i="17"/>
  <c r="BH83" i="17"/>
  <c r="BF83" i="17"/>
  <c r="BA83" i="17"/>
  <c r="AW83" i="17"/>
  <c r="AR83" i="17"/>
  <c r="AP83" i="17"/>
  <c r="AN83" i="17"/>
  <c r="AE83" i="17"/>
  <c r="Z83" i="17"/>
  <c r="Z87" i="17" s="1"/>
  <c r="T83" i="17"/>
  <c r="O83" i="17"/>
  <c r="L83" i="17"/>
  <c r="F83" i="17"/>
  <c r="BH80" i="17"/>
  <c r="BD80" i="17"/>
  <c r="AY80" i="17"/>
  <c r="AU80" i="17"/>
  <c r="AP80" i="17"/>
  <c r="AL80" i="17"/>
  <c r="AC80" i="17"/>
  <c r="AG80" i="17" s="1"/>
  <c r="W80" i="17"/>
  <c r="R80" i="17"/>
  <c r="V80" i="17" s="1"/>
  <c r="J80" i="17"/>
  <c r="M80" i="17" s="1"/>
  <c r="BH79" i="17"/>
  <c r="BD79" i="17"/>
  <c r="AY79" i="17"/>
  <c r="AU79" i="17"/>
  <c r="AP79" i="17"/>
  <c r="AL79" i="17"/>
  <c r="AC79" i="17"/>
  <c r="AG79" i="17" s="1"/>
  <c r="W79" i="17"/>
  <c r="R79" i="17"/>
  <c r="V79" i="17" s="1"/>
  <c r="M79" i="17"/>
  <c r="J79" i="17"/>
  <c r="BH78" i="17"/>
  <c r="BD78" i="17"/>
  <c r="AY78" i="17"/>
  <c r="AU78" i="17"/>
  <c r="AP78" i="17"/>
  <c r="AL78" i="17"/>
  <c r="AG78" i="17"/>
  <c r="AC78" i="17"/>
  <c r="W78" i="17"/>
  <c r="R78" i="17"/>
  <c r="V78" i="17" s="1"/>
  <c r="J78" i="17"/>
  <c r="M78" i="17" s="1"/>
  <c r="BH77" i="17"/>
  <c r="BD77" i="17"/>
  <c r="AY77" i="17"/>
  <c r="AU77" i="17"/>
  <c r="AP77" i="17"/>
  <c r="AL77" i="17"/>
  <c r="AC77" i="17"/>
  <c r="AG77" i="17" s="1"/>
  <c r="W77" i="17"/>
  <c r="V77" i="17"/>
  <c r="R77" i="17"/>
  <c r="M77" i="17"/>
  <c r="J77" i="17"/>
  <c r="BH76" i="17"/>
  <c r="BD76" i="17"/>
  <c r="AY76" i="17"/>
  <c r="AU76" i="17"/>
  <c r="AP76" i="17"/>
  <c r="AL76" i="17"/>
  <c r="AG76" i="17"/>
  <c r="AC76" i="17"/>
  <c r="W76" i="17"/>
  <c r="R76" i="17"/>
  <c r="V76" i="17" s="1"/>
  <c r="M76" i="17"/>
  <c r="J76" i="17"/>
  <c r="BH75" i="17"/>
  <c r="BD75" i="17"/>
  <c r="AY75" i="17"/>
  <c r="AU75" i="17"/>
  <c r="AP75" i="17"/>
  <c r="AL75" i="17"/>
  <c r="AG75" i="17"/>
  <c r="AC75" i="17"/>
  <c r="W75" i="17"/>
  <c r="V75" i="17"/>
  <c r="R75" i="17"/>
  <c r="J75" i="17"/>
  <c r="M75" i="17" s="1"/>
  <c r="BH74" i="17"/>
  <c r="BD74" i="17"/>
  <c r="AY74" i="17"/>
  <c r="AU74" i="17"/>
  <c r="AP74" i="17"/>
  <c r="AL74" i="17"/>
  <c r="AC74" i="17"/>
  <c r="AG74" i="17" s="1"/>
  <c r="W74" i="17"/>
  <c r="V74" i="17"/>
  <c r="R74" i="17"/>
  <c r="J74" i="17"/>
  <c r="M74" i="17" s="1"/>
  <c r="BH73" i="17"/>
  <c r="BD73" i="17"/>
  <c r="AY73" i="17"/>
  <c r="AU73" i="17"/>
  <c r="AP73" i="17"/>
  <c r="AL73" i="17"/>
  <c r="AC73" i="17"/>
  <c r="AG73" i="17" s="1"/>
  <c r="W73" i="17"/>
  <c r="R73" i="17"/>
  <c r="V73" i="17" s="1"/>
  <c r="J73" i="17"/>
  <c r="M73" i="17" s="1"/>
  <c r="BH72" i="17"/>
  <c r="BD72" i="17"/>
  <c r="AY72" i="17"/>
  <c r="AU72" i="17"/>
  <c r="AP72" i="17"/>
  <c r="AL72" i="17"/>
  <c r="AC72" i="17"/>
  <c r="AG72" i="17" s="1"/>
  <c r="W72" i="17"/>
  <c r="R72" i="17"/>
  <c r="V72" i="17" s="1"/>
  <c r="J72" i="17"/>
  <c r="M72" i="17" s="1"/>
  <c r="W71" i="17"/>
  <c r="W70" i="17"/>
  <c r="BH69" i="17"/>
  <c r="BD69" i="17"/>
  <c r="AY69" i="17"/>
  <c r="AU69" i="17"/>
  <c r="AP69" i="17"/>
  <c r="AL69" i="17"/>
  <c r="AC69" i="17"/>
  <c r="AG69" i="17" s="1"/>
  <c r="W69" i="17"/>
  <c r="V69" i="17"/>
  <c r="R69" i="17"/>
  <c r="M69" i="17"/>
  <c r="J69" i="17"/>
  <c r="BH68" i="17"/>
  <c r="BD68" i="17"/>
  <c r="AY68" i="17"/>
  <c r="AU68" i="17"/>
  <c r="AP68" i="17"/>
  <c r="AL68" i="17"/>
  <c r="AG68" i="17"/>
  <c r="AC68" i="17"/>
  <c r="W68" i="17"/>
  <c r="R68" i="17"/>
  <c r="V68" i="17" s="1"/>
  <c r="M68" i="17"/>
  <c r="J68" i="17"/>
  <c r="BH67" i="17"/>
  <c r="BD67" i="17"/>
  <c r="AY67" i="17"/>
  <c r="AU67" i="17"/>
  <c r="AP67" i="17"/>
  <c r="AL67" i="17"/>
  <c r="AG67" i="17"/>
  <c r="AC67" i="17"/>
  <c r="W67" i="17"/>
  <c r="V67" i="17"/>
  <c r="R67" i="17"/>
  <c r="J67" i="17"/>
  <c r="M67" i="17" s="1"/>
  <c r="BH66" i="17"/>
  <c r="BD66" i="17"/>
  <c r="AY66" i="17"/>
  <c r="AU66" i="17"/>
  <c r="AP66" i="17"/>
  <c r="AL66" i="17"/>
  <c r="AC66" i="17"/>
  <c r="AG66" i="17" s="1"/>
  <c r="W66" i="17"/>
  <c r="V66" i="17"/>
  <c r="R66" i="17"/>
  <c r="J66" i="17"/>
  <c r="M66" i="17" s="1"/>
  <c r="W65" i="17"/>
  <c r="BH64" i="17"/>
  <c r="BD64" i="17"/>
  <c r="AY64" i="17"/>
  <c r="AU64" i="17"/>
  <c r="AP64" i="17"/>
  <c r="AL64" i="17"/>
  <c r="AG64" i="17"/>
  <c r="AC64" i="17"/>
  <c r="W64" i="17"/>
  <c r="R64" i="17"/>
  <c r="V64" i="17" s="1"/>
  <c r="BH63" i="17"/>
  <c r="BD63" i="17"/>
  <c r="AY63" i="17"/>
  <c r="AU63" i="17"/>
  <c r="AP63" i="17"/>
  <c r="AL63" i="17"/>
  <c r="AC63" i="17"/>
  <c r="AG63" i="17" s="1"/>
  <c r="W63" i="17"/>
  <c r="V63" i="17"/>
  <c r="R63" i="17"/>
  <c r="J63" i="17"/>
  <c r="BH62" i="17"/>
  <c r="BH86" i="17" s="1"/>
  <c r="BD62" i="17"/>
  <c r="AY62" i="17"/>
  <c r="AY86" i="17" s="1"/>
  <c r="AU62" i="17"/>
  <c r="AP62" i="17"/>
  <c r="AP86" i="17" s="1"/>
  <c r="AL62" i="17"/>
  <c r="AG62" i="17"/>
  <c r="AC62" i="17"/>
  <c r="W62" i="17"/>
  <c r="R62" i="17"/>
  <c r="V62" i="17" s="1"/>
  <c r="V86" i="17" s="1"/>
  <c r="J62" i="17"/>
  <c r="W61" i="17"/>
  <c r="BH60" i="17"/>
  <c r="BD60" i="17"/>
  <c r="BB60" i="17"/>
  <c r="AY60" i="17"/>
  <c r="AU60" i="17"/>
  <c r="AS60" i="17"/>
  <c r="AP60" i="17"/>
  <c r="AL60" i="17"/>
  <c r="AJ60" i="17"/>
  <c r="AC60" i="17"/>
  <c r="AG60" i="17" s="1"/>
  <c r="AA60" i="17"/>
  <c r="W60" i="17"/>
  <c r="V60" i="17"/>
  <c r="R60" i="17"/>
  <c r="M60" i="17"/>
  <c r="P60" i="17" s="1"/>
  <c r="J60" i="17"/>
  <c r="BH59" i="17"/>
  <c r="BD59" i="17"/>
  <c r="BB59" i="17"/>
  <c r="AY59" i="17"/>
  <c r="AU59" i="17"/>
  <c r="AS59" i="17"/>
  <c r="AP59" i="17"/>
  <c r="AL59" i="17"/>
  <c r="AJ59" i="17"/>
  <c r="AC59" i="17"/>
  <c r="AG59" i="17" s="1"/>
  <c r="AA59" i="17"/>
  <c r="W59" i="17"/>
  <c r="R59" i="17"/>
  <c r="V59" i="17" s="1"/>
  <c r="J59" i="17"/>
  <c r="M59" i="17" s="1"/>
  <c r="P59" i="17" s="1"/>
  <c r="BH58" i="17"/>
  <c r="BD58" i="17"/>
  <c r="BB58" i="17"/>
  <c r="AY58" i="17"/>
  <c r="AU58" i="17"/>
  <c r="AS58" i="17"/>
  <c r="AP58" i="17"/>
  <c r="AL58" i="17"/>
  <c r="AJ58" i="17"/>
  <c r="AG58" i="17"/>
  <c r="AC58" i="17"/>
  <c r="AA58" i="17"/>
  <c r="W58" i="17"/>
  <c r="R58" i="17"/>
  <c r="V58" i="17" s="1"/>
  <c r="P58" i="17"/>
  <c r="BH57" i="17"/>
  <c r="BD57" i="17"/>
  <c r="BB57" i="17"/>
  <c r="AY57" i="17"/>
  <c r="AU57" i="17"/>
  <c r="AS57" i="17"/>
  <c r="AP57" i="17"/>
  <c r="AL57" i="17"/>
  <c r="AJ57" i="17"/>
  <c r="AG57" i="17"/>
  <c r="AC57" i="17"/>
  <c r="AA57" i="17"/>
  <c r="W57" i="17"/>
  <c r="R57" i="17"/>
  <c r="V57" i="17" s="1"/>
  <c r="J57" i="17"/>
  <c r="M57" i="17" s="1"/>
  <c r="P57" i="17" s="1"/>
  <c r="BH56" i="17"/>
  <c r="BD56" i="17"/>
  <c r="BB56" i="17"/>
  <c r="AY56" i="17"/>
  <c r="AU56" i="17"/>
  <c r="AS56" i="17"/>
  <c r="AP56" i="17"/>
  <c r="AP85" i="17" s="1"/>
  <c r="AL56" i="17"/>
  <c r="AJ56" i="17"/>
  <c r="AC56" i="17"/>
  <c r="AG56" i="17" s="1"/>
  <c r="AA56" i="17"/>
  <c r="W56" i="17"/>
  <c r="R56" i="17"/>
  <c r="V56" i="17" s="1"/>
  <c r="P56" i="17"/>
  <c r="M56" i="17"/>
  <c r="J56" i="17"/>
  <c r="BH55" i="17"/>
  <c r="BD55" i="17"/>
  <c r="BB55" i="17"/>
  <c r="AY55" i="17"/>
  <c r="AU55" i="17"/>
  <c r="AS55" i="17"/>
  <c r="AP55" i="17"/>
  <c r="AL55" i="17"/>
  <c r="AJ55" i="17"/>
  <c r="AC55" i="17"/>
  <c r="AG55" i="17" s="1"/>
  <c r="AA55" i="17"/>
  <c r="W55" i="17"/>
  <c r="V55" i="17"/>
  <c r="R55" i="17"/>
  <c r="M55" i="17"/>
  <c r="P55" i="17" s="1"/>
  <c r="J55" i="17"/>
  <c r="BH54" i="17"/>
  <c r="BD54" i="17"/>
  <c r="BB54" i="17"/>
  <c r="AY54" i="17"/>
  <c r="AU54" i="17"/>
  <c r="AS54" i="17"/>
  <c r="AP54" i="17"/>
  <c r="AL54" i="17"/>
  <c r="AJ54" i="17"/>
  <c r="AC54" i="17"/>
  <c r="AG54" i="17" s="1"/>
  <c r="AA54" i="17"/>
  <c r="W54" i="17"/>
  <c r="R54" i="17"/>
  <c r="V54" i="17" s="1"/>
  <c r="J54" i="17"/>
  <c r="M54" i="17" s="1"/>
  <c r="P54" i="17" s="1"/>
  <c r="BH53" i="17"/>
  <c r="BD53" i="17"/>
  <c r="BB53" i="17"/>
  <c r="AY53" i="17"/>
  <c r="AU53" i="17"/>
  <c r="AS53" i="17"/>
  <c r="AP53" i="17"/>
  <c r="AL53" i="17"/>
  <c r="AJ53" i="17"/>
  <c r="AG53" i="17"/>
  <c r="AC53" i="17"/>
  <c r="AA53" i="17"/>
  <c r="AA85" i="17" s="1"/>
  <c r="W53" i="17"/>
  <c r="R53" i="17"/>
  <c r="V53" i="17" s="1"/>
  <c r="J53" i="17"/>
  <c r="M53" i="17" s="1"/>
  <c r="P53" i="17" s="1"/>
  <c r="W52" i="17"/>
  <c r="BH51" i="17"/>
  <c r="BD51" i="17"/>
  <c r="BB51" i="17"/>
  <c r="AY51" i="17"/>
  <c r="AU51" i="17"/>
  <c r="AS51" i="17"/>
  <c r="AP51" i="17"/>
  <c r="AL51" i="17"/>
  <c r="AJ51" i="17"/>
  <c r="AG51" i="17"/>
  <c r="AC51" i="17"/>
  <c r="AA51" i="17"/>
  <c r="W51" i="17"/>
  <c r="R51" i="17"/>
  <c r="V51" i="17" s="1"/>
  <c r="J51" i="17"/>
  <c r="M51" i="17" s="1"/>
  <c r="P51" i="17" s="1"/>
  <c r="BH50" i="17"/>
  <c r="BD50" i="17"/>
  <c r="BB50" i="17"/>
  <c r="AY50" i="17"/>
  <c r="AU50" i="17"/>
  <c r="AS50" i="17"/>
  <c r="AP50" i="17"/>
  <c r="AL50" i="17"/>
  <c r="AJ50" i="17"/>
  <c r="AC50" i="17"/>
  <c r="AG50" i="17" s="1"/>
  <c r="AA50" i="17"/>
  <c r="W50" i="17"/>
  <c r="V50" i="17"/>
  <c r="R50" i="17"/>
  <c r="J50" i="17"/>
  <c r="M50" i="17" s="1"/>
  <c r="P50" i="17" s="1"/>
  <c r="BH49" i="17"/>
  <c r="BD49" i="17"/>
  <c r="BB49" i="17"/>
  <c r="AY49" i="17"/>
  <c r="AU49" i="17"/>
  <c r="AS49" i="17"/>
  <c r="AP49" i="17"/>
  <c r="AL49" i="17"/>
  <c r="AJ49" i="17"/>
  <c r="AC49" i="17"/>
  <c r="AG49" i="17" s="1"/>
  <c r="AA49" i="17"/>
  <c r="W49" i="17"/>
  <c r="V49" i="17"/>
  <c r="R49" i="17"/>
  <c r="J49" i="17"/>
  <c r="M49" i="17" s="1"/>
  <c r="P49" i="17" s="1"/>
  <c r="BH48" i="17"/>
  <c r="BH84" i="17" s="1"/>
  <c r="BD48" i="17"/>
  <c r="BB48" i="17"/>
  <c r="AY48" i="17"/>
  <c r="AU48" i="17"/>
  <c r="AS48" i="17"/>
  <c r="AP48" i="17"/>
  <c r="AL48" i="17"/>
  <c r="AJ48" i="17"/>
  <c r="AG48" i="17"/>
  <c r="AC48" i="17"/>
  <c r="AA48" i="17"/>
  <c r="W48" i="17"/>
  <c r="R48" i="17"/>
  <c r="V48" i="17" s="1"/>
  <c r="M48" i="17"/>
  <c r="P48" i="17" s="1"/>
  <c r="J48" i="17"/>
  <c r="BH47" i="17"/>
  <c r="BD47" i="17"/>
  <c r="BB47" i="17"/>
  <c r="AY47" i="17"/>
  <c r="AU47" i="17"/>
  <c r="AS47" i="17"/>
  <c r="AP47" i="17"/>
  <c r="AP84" i="17" s="1"/>
  <c r="AL47" i="17"/>
  <c r="AJ47" i="17"/>
  <c r="AG47" i="17"/>
  <c r="AC47" i="17"/>
  <c r="AA47" i="17"/>
  <c r="W47" i="17"/>
  <c r="R47" i="17"/>
  <c r="V47" i="17" s="1"/>
  <c r="V84" i="17" s="1"/>
  <c r="J47" i="17"/>
  <c r="M47" i="17" s="1"/>
  <c r="P47" i="17" s="1"/>
  <c r="BH46" i="17"/>
  <c r="BD46" i="17"/>
  <c r="BB46" i="17"/>
  <c r="AY46" i="17"/>
  <c r="AU46" i="17"/>
  <c r="AS46" i="17"/>
  <c r="AP46" i="17"/>
  <c r="AL46" i="17"/>
  <c r="AJ46" i="17"/>
  <c r="AC46" i="17"/>
  <c r="AG46" i="17" s="1"/>
  <c r="AA46" i="17"/>
  <c r="W46" i="17"/>
  <c r="V46" i="17"/>
  <c r="R46" i="17"/>
  <c r="J46" i="17"/>
  <c r="M46" i="17" s="1"/>
  <c r="P46" i="17" s="1"/>
  <c r="BH45" i="17"/>
  <c r="BD45" i="17"/>
  <c r="BB45" i="17"/>
  <c r="BB84" i="17" s="1"/>
  <c r="AY45" i="17"/>
  <c r="AY84" i="17" s="1"/>
  <c r="AU45" i="17"/>
  <c r="AS45" i="17"/>
  <c r="AS84" i="17" s="1"/>
  <c r="AP45" i="17"/>
  <c r="AL45" i="17"/>
  <c r="AJ45" i="17"/>
  <c r="AJ84" i="17" s="1"/>
  <c r="AC45" i="17"/>
  <c r="AG45" i="17" s="1"/>
  <c r="AA45" i="17"/>
  <c r="AA84" i="17" s="1"/>
  <c r="W45" i="17"/>
  <c r="V45" i="17"/>
  <c r="R45" i="17"/>
  <c r="J45" i="17"/>
  <c r="M45" i="17" s="1"/>
  <c r="W44" i="17"/>
  <c r="BH43" i="17"/>
  <c r="BD43" i="17"/>
  <c r="BB43" i="17"/>
  <c r="AY43" i="17"/>
  <c r="AU43" i="17"/>
  <c r="AS43" i="17"/>
  <c r="AP43" i="17"/>
  <c r="AL43" i="17"/>
  <c r="AJ43" i="17"/>
  <c r="AC43" i="17"/>
  <c r="AG43" i="17" s="1"/>
  <c r="AA43" i="17"/>
  <c r="W43" i="17"/>
  <c r="R43" i="17"/>
  <c r="V43" i="17" s="1"/>
  <c r="P43" i="17"/>
  <c r="M43" i="17"/>
  <c r="J43" i="17"/>
  <c r="BH42" i="17"/>
  <c r="BD42" i="17"/>
  <c r="BB42" i="17"/>
  <c r="AY42" i="17"/>
  <c r="AU42" i="17"/>
  <c r="AS42" i="17"/>
  <c r="AS83" i="17" s="1"/>
  <c r="AP42" i="17"/>
  <c r="AL42" i="17"/>
  <c r="AJ42" i="17"/>
  <c r="AC42" i="17"/>
  <c r="AG42" i="17" s="1"/>
  <c r="AA42" i="17"/>
  <c r="W42" i="17"/>
  <c r="V42" i="17"/>
  <c r="R42" i="17"/>
  <c r="M42" i="17"/>
  <c r="P42" i="17" s="1"/>
  <c r="J42" i="17"/>
  <c r="BH41" i="17"/>
  <c r="BD41" i="17"/>
  <c r="BB41" i="17"/>
  <c r="BB83" i="17" s="1"/>
  <c r="BB87" i="17" s="1"/>
  <c r="AY41" i="17"/>
  <c r="AY83" i="17" s="1"/>
  <c r="AY87" i="17" s="1"/>
  <c r="AU41" i="17"/>
  <c r="AS41" i="17"/>
  <c r="AP41" i="17"/>
  <c r="AL41" i="17"/>
  <c r="AJ41" i="17"/>
  <c r="AJ83" i="17" s="1"/>
  <c r="AJ87" i="17" s="1"/>
  <c r="AC41" i="17"/>
  <c r="AG41" i="17" s="1"/>
  <c r="AG83" i="17" s="1"/>
  <c r="AA41" i="17"/>
  <c r="AA83" i="17" s="1"/>
  <c r="AA87" i="17" s="1"/>
  <c r="W41" i="17"/>
  <c r="R41" i="17"/>
  <c r="V41" i="17" s="1"/>
  <c r="V83" i="17" s="1"/>
  <c r="J41" i="17"/>
  <c r="M41" i="17" s="1"/>
  <c r="P41" i="17" s="1"/>
  <c r="W40" i="17"/>
  <c r="BD38" i="17"/>
  <c r="AU38" i="17"/>
  <c r="AI38" i="17"/>
  <c r="AL38" i="17" s="1"/>
  <c r="AC38" i="17"/>
  <c r="W38" i="17"/>
  <c r="R38" i="17"/>
  <c r="J38" i="17"/>
  <c r="M38" i="17" s="1"/>
  <c r="BH37" i="17"/>
  <c r="BD37" i="17"/>
  <c r="AU37" i="17"/>
  <c r="AL37" i="17"/>
  <c r="AC37" i="17"/>
  <c r="W37" i="17"/>
  <c r="R37" i="17"/>
  <c r="M37" i="17"/>
  <c r="J37" i="17"/>
  <c r="BD35" i="17"/>
  <c r="AU35" i="17"/>
  <c r="AI35" i="17"/>
  <c r="AL35" i="17" s="1"/>
  <c r="AC35" i="17"/>
  <c r="W35" i="17"/>
  <c r="R35" i="17"/>
  <c r="I35" i="17"/>
  <c r="H35" i="17"/>
  <c r="J35" i="17" s="1"/>
  <c r="M35" i="17" s="1"/>
  <c r="BH34" i="17"/>
  <c r="BD34" i="17"/>
  <c r="AU34" i="17"/>
  <c r="AL34" i="17"/>
  <c r="AI34" i="17"/>
  <c r="AI83" i="17" s="1"/>
  <c r="AI87" i="17" s="1"/>
  <c r="AC34" i="17"/>
  <c r="W34" i="17"/>
  <c r="R34" i="17"/>
  <c r="I34" i="17"/>
  <c r="I83" i="17" s="1"/>
  <c r="I87" i="17" s="1"/>
  <c r="I88" i="17" s="1"/>
  <c r="H34" i="17"/>
  <c r="H83" i="17" s="1"/>
  <c r="W33" i="17"/>
  <c r="W32" i="17"/>
  <c r="W31" i="17"/>
  <c r="BH30" i="17"/>
  <c r="BD30" i="17"/>
  <c r="AY30" i="17"/>
  <c r="AU30" i="17"/>
  <c r="AP30" i="17"/>
  <c r="AL30" i="17"/>
  <c r="AC30" i="17"/>
  <c r="AG30" i="17" s="1"/>
  <c r="W30" i="17"/>
  <c r="R30" i="17"/>
  <c r="V30" i="17" s="1"/>
  <c r="J30" i="17"/>
  <c r="M30" i="17" s="1"/>
  <c r="BD29" i="17"/>
  <c r="AU29" i="17"/>
  <c r="AL29" i="17"/>
  <c r="AC29" i="17"/>
  <c r="AG29" i="17" s="1"/>
  <c r="W29" i="17"/>
  <c r="R29" i="17"/>
  <c r="V29" i="17" s="1"/>
  <c r="H29" i="17"/>
  <c r="J29" i="17" s="1"/>
  <c r="M29" i="17" s="1"/>
  <c r="M62" i="17" s="1"/>
  <c r="W28" i="17"/>
  <c r="BF27" i="17"/>
  <c r="BB27" i="17"/>
  <c r="BA27" i="17"/>
  <c r="BA85" i="17" s="1"/>
  <c r="BA87" i="17" s="1"/>
  <c r="AY27" i="17"/>
  <c r="AY85" i="17" s="1"/>
  <c r="AW27" i="17"/>
  <c r="AW85" i="17" s="1"/>
  <c r="AS27" i="17"/>
  <c r="AS85" i="17" s="1"/>
  <c r="AR27" i="17"/>
  <c r="AR85" i="17" s="1"/>
  <c r="AP27" i="17"/>
  <c r="AN27" i="17"/>
  <c r="AE27" i="17"/>
  <c r="AE85" i="17" s="1"/>
  <c r="T27" i="17"/>
  <c r="W27" i="17" s="1"/>
  <c r="L27" i="17"/>
  <c r="L85" i="17" s="1"/>
  <c r="I27" i="17"/>
  <c r="I85" i="17" s="1"/>
  <c r="H27" i="17"/>
  <c r="H85" i="17" s="1"/>
  <c r="F27" i="17"/>
  <c r="F85" i="17" s="1"/>
  <c r="BD26" i="17"/>
  <c r="AU26" i="17"/>
  <c r="AL26" i="17"/>
  <c r="AC26" i="17"/>
  <c r="AG26" i="17" s="1"/>
  <c r="W26" i="17"/>
  <c r="R26" i="17"/>
  <c r="V26" i="17" s="1"/>
  <c r="M26" i="17"/>
  <c r="J26" i="17"/>
  <c r="BH25" i="17"/>
  <c r="BD25" i="17"/>
  <c r="AU25" i="17"/>
  <c r="AI25" i="17"/>
  <c r="AL25" i="17" s="1"/>
  <c r="AC25" i="17"/>
  <c r="W25" i="17"/>
  <c r="R25" i="17"/>
  <c r="V25" i="17" s="1"/>
  <c r="J25" i="17"/>
  <c r="M25" i="17" s="1"/>
  <c r="BH24" i="17"/>
  <c r="BH27" i="17" s="1"/>
  <c r="BH85" i="17" s="1"/>
  <c r="BD24" i="17"/>
  <c r="AU24" i="17"/>
  <c r="AL24" i="17"/>
  <c r="AC24" i="17"/>
  <c r="AG24" i="17" s="1"/>
  <c r="AG27" i="17" s="1"/>
  <c r="AG85" i="17" s="1"/>
  <c r="W24" i="17"/>
  <c r="R24" i="17"/>
  <c r="V24" i="17" s="1"/>
  <c r="V27" i="17" s="1"/>
  <c r="J24" i="17"/>
  <c r="M24" i="17" s="1"/>
  <c r="M27" i="17" s="1"/>
  <c r="BD23" i="17"/>
  <c r="AU23" i="17"/>
  <c r="AL23" i="17"/>
  <c r="AI23" i="17"/>
  <c r="AC23" i="17"/>
  <c r="W23" i="17"/>
  <c r="R23" i="17"/>
  <c r="V23" i="17" s="1"/>
  <c r="L23" i="17"/>
  <c r="M23" i="17" s="1"/>
  <c r="J23" i="17"/>
  <c r="W22" i="17"/>
  <c r="BF21" i="17"/>
  <c r="BB21" i="17"/>
  <c r="AP21" i="17"/>
  <c r="AN21" i="17"/>
  <c r="AC21" i="17"/>
  <c r="W21" i="17"/>
  <c r="R21" i="17"/>
  <c r="BD20" i="17"/>
  <c r="AR20" i="17"/>
  <c r="AR21" i="17" s="1"/>
  <c r="AU21" i="17" s="1"/>
  <c r="AI20" i="17"/>
  <c r="AL20" i="17" s="1"/>
  <c r="AC20" i="17"/>
  <c r="W20" i="17"/>
  <c r="R20" i="17"/>
  <c r="BH19" i="17"/>
  <c r="BH17" i="17" s="1"/>
  <c r="BH21" i="17" s="1"/>
  <c r="BD19" i="17"/>
  <c r="AU19" i="17"/>
  <c r="AI19" i="17"/>
  <c r="AL19" i="17" s="1"/>
  <c r="AC19" i="17"/>
  <c r="W19" i="17"/>
  <c r="R19" i="17"/>
  <c r="J19" i="17"/>
  <c r="M19" i="17" s="1"/>
  <c r="BH18" i="17"/>
  <c r="BD18" i="17"/>
  <c r="AU18" i="17"/>
  <c r="AL18" i="17"/>
  <c r="AI18" i="17"/>
  <c r="AC18" i="17"/>
  <c r="W18" i="17"/>
  <c r="R18" i="17"/>
  <c r="I18" i="17"/>
  <c r="H18" i="17"/>
  <c r="J18" i="17" s="1"/>
  <c r="M18" i="17" s="1"/>
  <c r="BF17" i="17"/>
  <c r="BB17" i="17"/>
  <c r="BA17" i="17"/>
  <c r="BD17" i="17" s="1"/>
  <c r="AY17" i="17"/>
  <c r="AY21" i="17" s="1"/>
  <c r="AW17" i="17"/>
  <c r="AW21" i="17" s="1"/>
  <c r="AU17" i="17"/>
  <c r="AS17" i="17"/>
  <c r="AS21" i="17" s="1"/>
  <c r="AR17" i="17"/>
  <c r="AP17" i="17"/>
  <c r="AN17" i="17"/>
  <c r="AL17" i="17"/>
  <c r="AJ17" i="17"/>
  <c r="AJ21" i="17" s="1"/>
  <c r="AI17" i="17"/>
  <c r="AI21" i="17" s="1"/>
  <c r="AL21" i="17" s="1"/>
  <c r="AG17" i="17"/>
  <c r="AG21" i="17" s="1"/>
  <c r="AE17" i="17"/>
  <c r="AE21" i="17" s="1"/>
  <c r="AA17" i="17"/>
  <c r="Z17" i="17"/>
  <c r="AC17" i="17" s="1"/>
  <c r="W17" i="17"/>
  <c r="P17" i="17"/>
  <c r="O17" i="17"/>
  <c r="R17" i="17" s="1"/>
  <c r="L17" i="17"/>
  <c r="M17" i="17" s="1"/>
  <c r="I17" i="17"/>
  <c r="I21" i="17" s="1"/>
  <c r="H17" i="17"/>
  <c r="J17" i="17" s="1"/>
  <c r="W16" i="17"/>
  <c r="AU15" i="17"/>
  <c r="AP15" i="17"/>
  <c r="AN15" i="17"/>
  <c r="AJ15" i="17"/>
  <c r="AG15" i="17"/>
  <c r="AE15" i="17"/>
  <c r="AA15" i="17"/>
  <c r="AC15" i="17" s="1"/>
  <c r="W15" i="17"/>
  <c r="R15" i="17"/>
  <c r="L15" i="17"/>
  <c r="I15" i="17"/>
  <c r="H15" i="17"/>
  <c r="J15" i="17" s="1"/>
  <c r="M15" i="17" s="1"/>
  <c r="W14" i="17"/>
  <c r="BH13" i="17"/>
  <c r="BD13" i="17"/>
  <c r="AU13" i="17"/>
  <c r="AI13" i="17"/>
  <c r="AL13" i="17" s="1"/>
  <c r="AC13" i="17"/>
  <c r="W13" i="17"/>
  <c r="R13" i="17"/>
  <c r="J13" i="17"/>
  <c r="M13" i="17" s="1"/>
  <c r="BH12" i="17"/>
  <c r="BH15" i="17" s="1"/>
  <c r="BF12" i="17"/>
  <c r="BF15" i="17" s="1"/>
  <c r="BB12" i="17"/>
  <c r="BB15" i="17" s="1"/>
  <c r="BA12" i="17"/>
  <c r="BD12" i="17" s="1"/>
  <c r="AU12" i="17"/>
  <c r="AS12" i="17"/>
  <c r="AR12" i="17"/>
  <c r="AL12" i="17"/>
  <c r="AI12" i="17"/>
  <c r="AI15" i="17" s="1"/>
  <c r="AL15" i="17" s="1"/>
  <c r="AC12" i="17"/>
  <c r="W12" i="17"/>
  <c r="R12" i="17"/>
  <c r="M12" i="17"/>
  <c r="J12" i="17"/>
  <c r="T7" i="17"/>
  <c r="Z7" i="17" s="1"/>
  <c r="AE7" i="17" s="1"/>
  <c r="O7" i="17"/>
  <c r="B108" i="38"/>
  <c r="B107" i="38"/>
  <c r="B106" i="38"/>
  <c r="AW96" i="38"/>
  <c r="I96" i="38"/>
  <c r="H96" i="38"/>
  <c r="BF94" i="38"/>
  <c r="BF103" i="38" s="1"/>
  <c r="BA94" i="38"/>
  <c r="BA96" i="38" s="1"/>
  <c r="AW94" i="38"/>
  <c r="AW103" i="38" s="1"/>
  <c r="AR94" i="38"/>
  <c r="AR103" i="38" s="1"/>
  <c r="AJ94" i="38"/>
  <c r="AJ96" i="38" s="1"/>
  <c r="AI94" i="38"/>
  <c r="AI96" i="38" s="1"/>
  <c r="AD94" i="38"/>
  <c r="AD103" i="38" s="1"/>
  <c r="Y94" i="38"/>
  <c r="T94" i="38"/>
  <c r="O94" i="38"/>
  <c r="O96" i="38" s="1"/>
  <c r="L94" i="38"/>
  <c r="L96" i="38" s="1"/>
  <c r="I94" i="38"/>
  <c r="H94" i="38"/>
  <c r="BA92" i="38"/>
  <c r="BA95" i="38" s="1"/>
  <c r="AI92" i="38"/>
  <c r="AI95" i="38" s="1"/>
  <c r="BF91" i="38"/>
  <c r="BB91" i="38"/>
  <c r="BA91" i="38"/>
  <c r="AW91" i="38"/>
  <c r="AS91" i="38"/>
  <c r="AR91" i="38"/>
  <c r="AJ91" i="38"/>
  <c r="AI91" i="38"/>
  <c r="AD91" i="38"/>
  <c r="Z91" i="38"/>
  <c r="Y91" i="38"/>
  <c r="T91" i="38"/>
  <c r="P91" i="38"/>
  <c r="O91" i="38"/>
  <c r="L91" i="38"/>
  <c r="I91" i="38"/>
  <c r="H91" i="38"/>
  <c r="F91" i="38"/>
  <c r="BH90" i="38"/>
  <c r="BF90" i="38"/>
  <c r="BB90" i="38"/>
  <c r="BA90" i="38"/>
  <c r="AY90" i="38"/>
  <c r="AW90" i="38"/>
  <c r="AS90" i="38"/>
  <c r="AR90" i="38"/>
  <c r="AP90" i="38"/>
  <c r="AN90" i="38"/>
  <c r="AJ90" i="38"/>
  <c r="AI90" i="38"/>
  <c r="T90" i="38"/>
  <c r="P90" i="38"/>
  <c r="BF89" i="38"/>
  <c r="BB89" i="38"/>
  <c r="BA89" i="38"/>
  <c r="AW89" i="38"/>
  <c r="AR89" i="38"/>
  <c r="AN89" i="38"/>
  <c r="AJ89" i="38"/>
  <c r="AI89" i="38"/>
  <c r="Y89" i="38"/>
  <c r="T89" i="38"/>
  <c r="L89" i="38"/>
  <c r="I89" i="38"/>
  <c r="H89" i="38"/>
  <c r="F89" i="38"/>
  <c r="BF88" i="38"/>
  <c r="BF92" i="38" s="1"/>
  <c r="BA88" i="38"/>
  <c r="AW88" i="38"/>
  <c r="AW92" i="38" s="1"/>
  <c r="AR88" i="38"/>
  <c r="AR92" i="38" s="1"/>
  <c r="AP88" i="38"/>
  <c r="AN88" i="38"/>
  <c r="AJ88" i="38"/>
  <c r="AJ92" i="38" s="1"/>
  <c r="AI88" i="38"/>
  <c r="AF88" i="38"/>
  <c r="Y88" i="38"/>
  <c r="T88" i="38"/>
  <c r="T92" i="38" s="1"/>
  <c r="O88" i="38"/>
  <c r="L88" i="38"/>
  <c r="L92" i="38" s="1"/>
  <c r="I88" i="38"/>
  <c r="H88" i="38"/>
  <c r="F88" i="38"/>
  <c r="BD85" i="38"/>
  <c r="AU85" i="38"/>
  <c r="AL85" i="38"/>
  <c r="AB85" i="38"/>
  <c r="R85" i="38"/>
  <c r="V85" i="38" s="1"/>
  <c r="Z85" i="38" s="1"/>
  <c r="J85" i="38"/>
  <c r="M85" i="38" s="1"/>
  <c r="BD84" i="38"/>
  <c r="AU84" i="38"/>
  <c r="AL84" i="38"/>
  <c r="AB84" i="38"/>
  <c r="AD84" i="38" s="1"/>
  <c r="AF84" i="38" s="1"/>
  <c r="R84" i="38"/>
  <c r="V84" i="38" s="1"/>
  <c r="Z84" i="38" s="1"/>
  <c r="J84" i="38"/>
  <c r="M84" i="38" s="1"/>
  <c r="BD83" i="38"/>
  <c r="AU83" i="38"/>
  <c r="AL83" i="38"/>
  <c r="AB83" i="38"/>
  <c r="R83" i="38"/>
  <c r="V83" i="38" s="1"/>
  <c r="Z83" i="38" s="1"/>
  <c r="J83" i="38"/>
  <c r="M83" i="38" s="1"/>
  <c r="BD82" i="38"/>
  <c r="AU82" i="38"/>
  <c r="AL82" i="38"/>
  <c r="AB82" i="38"/>
  <c r="V82" i="38"/>
  <c r="Z82" i="38" s="1"/>
  <c r="R82" i="38"/>
  <c r="J82" i="38"/>
  <c r="M82" i="38" s="1"/>
  <c r="BD81" i="38"/>
  <c r="AU81" i="38"/>
  <c r="AL81" i="38"/>
  <c r="AB81" i="38"/>
  <c r="V81" i="38"/>
  <c r="Z81" i="38" s="1"/>
  <c r="AD81" i="38" s="1"/>
  <c r="AF81" i="38" s="1"/>
  <c r="R81" i="38"/>
  <c r="J81" i="38"/>
  <c r="M81" i="38" s="1"/>
  <c r="BD80" i="38"/>
  <c r="AU80" i="38"/>
  <c r="AL80" i="38"/>
  <c r="AB80" i="38"/>
  <c r="V80" i="38"/>
  <c r="Z80" i="38" s="1"/>
  <c r="AD80" i="38" s="1"/>
  <c r="AF80" i="38" s="1"/>
  <c r="R80" i="38"/>
  <c r="M80" i="38"/>
  <c r="J80" i="38"/>
  <c r="BD79" i="38"/>
  <c r="AU79" i="38"/>
  <c r="AL79" i="38"/>
  <c r="Z79" i="38"/>
  <c r="Y79" i="38"/>
  <c r="Y103" i="38" s="1"/>
  <c r="V79" i="38"/>
  <c r="T79" i="38"/>
  <c r="T103" i="38" s="1"/>
  <c r="O79" i="38"/>
  <c r="R79" i="38" s="1"/>
  <c r="J79" i="38"/>
  <c r="M79" i="38" s="1"/>
  <c r="BH78" i="38"/>
  <c r="BD78" i="38"/>
  <c r="AY78" i="38"/>
  <c r="AU78" i="38"/>
  <c r="AL78" i="38"/>
  <c r="AB78" i="38"/>
  <c r="J78" i="38"/>
  <c r="M78" i="38" s="1"/>
  <c r="BD77" i="38"/>
  <c r="BH77" i="38" s="1"/>
  <c r="AU77" i="38"/>
  <c r="AL77" i="38"/>
  <c r="AB77" i="38"/>
  <c r="J77" i="38"/>
  <c r="M77" i="38" s="1"/>
  <c r="BD74" i="38"/>
  <c r="AU74" i="38"/>
  <c r="AL74" i="38"/>
  <c r="AB74" i="38"/>
  <c r="V74" i="38"/>
  <c r="Z74" i="38" s="1"/>
  <c r="AD74" i="38" s="1"/>
  <c r="AF74" i="38" s="1"/>
  <c r="R74" i="38"/>
  <c r="J74" i="38"/>
  <c r="M74" i="38" s="1"/>
  <c r="BH73" i="38"/>
  <c r="BD73" i="38"/>
  <c r="BB73" i="38"/>
  <c r="AY73" i="38"/>
  <c r="AU73" i="38"/>
  <c r="AS73" i="38"/>
  <c r="AP73" i="38"/>
  <c r="AL73" i="38"/>
  <c r="AJ73" i="38"/>
  <c r="AF73" i="38"/>
  <c r="Z73" i="38"/>
  <c r="AB73" i="38" s="1"/>
  <c r="V73" i="38"/>
  <c r="P73" i="38"/>
  <c r="R73" i="38" s="1"/>
  <c r="M73" i="38"/>
  <c r="J73" i="38"/>
  <c r="BH72" i="38"/>
  <c r="BF72" i="38"/>
  <c r="BB72" i="38"/>
  <c r="BD72" i="38" s="1"/>
  <c r="AY72" i="38"/>
  <c r="AS72" i="38"/>
  <c r="AU72" i="38" s="1"/>
  <c r="AP72" i="38"/>
  <c r="AL72" i="38"/>
  <c r="AJ72" i="38"/>
  <c r="AF72" i="38"/>
  <c r="AB72" i="38"/>
  <c r="Z72" i="38"/>
  <c r="V72" i="38"/>
  <c r="R72" i="38"/>
  <c r="P72" i="38"/>
  <c r="M72" i="38"/>
  <c r="J72" i="38"/>
  <c r="BH71" i="38"/>
  <c r="BD71" i="38"/>
  <c r="BB71" i="38"/>
  <c r="AY71" i="38"/>
  <c r="AU71" i="38"/>
  <c r="AS71" i="38"/>
  <c r="AP71" i="38"/>
  <c r="AJ71" i="38"/>
  <c r="AL71" i="38" s="1"/>
  <c r="AF71" i="38"/>
  <c r="Z71" i="38"/>
  <c r="AB71" i="38" s="1"/>
  <c r="V71" i="38"/>
  <c r="P71" i="38"/>
  <c r="R71" i="38" s="1"/>
  <c r="J71" i="38"/>
  <c r="M71" i="38" s="1"/>
  <c r="Y69" i="38"/>
  <c r="T69" i="38"/>
  <c r="BH68" i="38"/>
  <c r="BH67" i="38"/>
  <c r="BD67" i="38"/>
  <c r="AY67" i="38"/>
  <c r="AU67" i="38"/>
  <c r="AN67" i="38"/>
  <c r="AP67" i="38" s="1"/>
  <c r="AL67" i="38"/>
  <c r="AB67" i="38"/>
  <c r="AF67" i="38" s="1"/>
  <c r="R67" i="38"/>
  <c r="V67" i="38" s="1"/>
  <c r="J67" i="38"/>
  <c r="M67" i="38" s="1"/>
  <c r="BH66" i="38"/>
  <c r="BD66" i="38"/>
  <c r="AU66" i="38"/>
  <c r="AY66" i="38" s="1"/>
  <c r="AN66" i="38"/>
  <c r="AP66" i="38" s="1"/>
  <c r="AL66" i="38"/>
  <c r="AB66" i="38"/>
  <c r="AF66" i="38" s="1"/>
  <c r="R66" i="38"/>
  <c r="V66" i="38" s="1"/>
  <c r="M66" i="38"/>
  <c r="J66" i="38"/>
  <c r="BH65" i="38"/>
  <c r="BH91" i="38" s="1"/>
  <c r="BD65" i="38"/>
  <c r="AU65" i="38"/>
  <c r="AY65" i="38" s="1"/>
  <c r="AN65" i="38"/>
  <c r="AP65" i="38" s="1"/>
  <c r="AP91" i="38" s="1"/>
  <c r="AL65" i="38"/>
  <c r="AB65" i="38"/>
  <c r="AF65" i="38" s="1"/>
  <c r="V65" i="38"/>
  <c r="R65" i="38"/>
  <c r="M65" i="38"/>
  <c r="J65" i="38"/>
  <c r="BD63" i="38"/>
  <c r="AU63" i="38"/>
  <c r="AL63" i="38"/>
  <c r="AB63" i="38"/>
  <c r="R63" i="38"/>
  <c r="V63" i="38" s="1"/>
  <c r="Z63" i="38" s="1"/>
  <c r="AD63" i="38" s="1"/>
  <c r="AF63" i="38" s="1"/>
  <c r="M63" i="38"/>
  <c r="J63" i="38"/>
  <c r="BD62" i="38"/>
  <c r="AU62" i="38"/>
  <c r="AL62" i="38"/>
  <c r="AB62" i="38"/>
  <c r="AD62" i="38" s="1"/>
  <c r="AF62" i="38" s="1"/>
  <c r="R62" i="38"/>
  <c r="V62" i="38" s="1"/>
  <c r="Z62" i="38" s="1"/>
  <c r="M62" i="38"/>
  <c r="J62" i="38"/>
  <c r="BD61" i="38"/>
  <c r="AU61" i="38"/>
  <c r="AL61" i="38"/>
  <c r="AB61" i="38"/>
  <c r="R61" i="38"/>
  <c r="V61" i="38" s="1"/>
  <c r="Z61" i="38" s="1"/>
  <c r="J61" i="38"/>
  <c r="M61" i="38" s="1"/>
  <c r="BD60" i="38"/>
  <c r="AU60" i="38"/>
  <c r="AL60" i="38"/>
  <c r="AB60" i="38"/>
  <c r="AD60" i="38" s="1"/>
  <c r="AF60" i="38" s="1"/>
  <c r="R60" i="38"/>
  <c r="V60" i="38" s="1"/>
  <c r="Z60" i="38" s="1"/>
  <c r="J60" i="38"/>
  <c r="M60" i="38" s="1"/>
  <c r="BD59" i="38"/>
  <c r="AU59" i="38"/>
  <c r="AL59" i="38"/>
  <c r="AB59" i="38"/>
  <c r="AD59" i="38" s="1"/>
  <c r="AF59" i="38" s="1"/>
  <c r="V59" i="38"/>
  <c r="Z59" i="38" s="1"/>
  <c r="R59" i="38"/>
  <c r="J59" i="38"/>
  <c r="M59" i="38" s="1"/>
  <c r="BD58" i="38"/>
  <c r="AU58" i="38"/>
  <c r="AL58" i="38"/>
  <c r="AB58" i="38"/>
  <c r="V58" i="38"/>
  <c r="Z58" i="38" s="1"/>
  <c r="AD58" i="38" s="1"/>
  <c r="AF58" i="38" s="1"/>
  <c r="R58" i="38"/>
  <c r="J58" i="38"/>
  <c r="M58" i="38" s="1"/>
  <c r="BD57" i="38"/>
  <c r="AU57" i="38"/>
  <c r="AL57" i="38"/>
  <c r="AB57" i="38"/>
  <c r="V57" i="38"/>
  <c r="Z57" i="38" s="1"/>
  <c r="AD57" i="38" s="1"/>
  <c r="AF57" i="38" s="1"/>
  <c r="R57" i="38"/>
  <c r="M57" i="38"/>
  <c r="J57" i="38"/>
  <c r="BD56" i="38"/>
  <c r="AU56" i="38"/>
  <c r="AL56" i="38"/>
  <c r="AB56" i="38"/>
  <c r="V56" i="38"/>
  <c r="R56" i="38"/>
  <c r="M56" i="38"/>
  <c r="L56" i="38"/>
  <c r="J56" i="38"/>
  <c r="R54" i="38"/>
  <c r="V54" i="38" s="1"/>
  <c r="Z54" i="38" s="1"/>
  <c r="AD54" i="38" s="1"/>
  <c r="AD89" i="38" s="1"/>
  <c r="J54" i="38"/>
  <c r="M54" i="38" s="1"/>
  <c r="BH53" i="38"/>
  <c r="BD53" i="38"/>
  <c r="AP53" i="38"/>
  <c r="AF53" i="38"/>
  <c r="Z53" i="38"/>
  <c r="BD52" i="38"/>
  <c r="BH52" i="38" s="1"/>
  <c r="AP52" i="38"/>
  <c r="AF52" i="38"/>
  <c r="Z52" i="38"/>
  <c r="Z94" i="38" s="1"/>
  <c r="Z96" i="38" s="1"/>
  <c r="O52" i="38"/>
  <c r="O89" i="38" s="1"/>
  <c r="BD51" i="38"/>
  <c r="BH51" i="38" s="1"/>
  <c r="AS51" i="38"/>
  <c r="AU51" i="38" s="1"/>
  <c r="AL51" i="38"/>
  <c r="AP51" i="38" s="1"/>
  <c r="AF51" i="38"/>
  <c r="AB51" i="38"/>
  <c r="V51" i="38"/>
  <c r="R51" i="38"/>
  <c r="BH50" i="38"/>
  <c r="BD50" i="38"/>
  <c r="AL50" i="38"/>
  <c r="AP50" i="38" s="1"/>
  <c r="AB50" i="38"/>
  <c r="AF50" i="38" s="1"/>
  <c r="P50" i="38"/>
  <c r="R50" i="38" s="1"/>
  <c r="V50" i="38" s="1"/>
  <c r="J50" i="38"/>
  <c r="J51" i="38" s="1"/>
  <c r="BH49" i="38"/>
  <c r="BD49" i="38"/>
  <c r="AY49" i="38"/>
  <c r="AP49" i="38"/>
  <c r="AL49" i="38"/>
  <c r="AB49" i="38"/>
  <c r="AF49" i="38" s="1"/>
  <c r="J49" i="38"/>
  <c r="P49" i="38" s="1"/>
  <c r="R49" i="38" s="1"/>
  <c r="V49" i="38" s="1"/>
  <c r="BD48" i="38"/>
  <c r="BH48" i="38" s="1"/>
  <c r="BH89" i="38" s="1"/>
  <c r="AP48" i="38"/>
  <c r="AL48" i="38"/>
  <c r="AF48" i="38"/>
  <c r="AF94" i="38" s="1"/>
  <c r="AB48" i="38"/>
  <c r="R48" i="38"/>
  <c r="V48" i="38" s="1"/>
  <c r="M48" i="38"/>
  <c r="J48" i="38"/>
  <c r="P48" i="38" s="1"/>
  <c r="AF47" i="38"/>
  <c r="AD46" i="38"/>
  <c r="AD88" i="38" s="1"/>
  <c r="Z46" i="38"/>
  <c r="R46" i="38"/>
  <c r="V46" i="38" s="1"/>
  <c r="J46" i="38"/>
  <c r="M46" i="38" s="1"/>
  <c r="AL45" i="38"/>
  <c r="AB45" i="38"/>
  <c r="AU44" i="38"/>
  <c r="AL44" i="38"/>
  <c r="AB44" i="38"/>
  <c r="P44" i="38"/>
  <c r="R44" i="38" s="1"/>
  <c r="V44" i="38" s="1"/>
  <c r="J44" i="38"/>
  <c r="J45" i="38" s="1"/>
  <c r="P45" i="38" s="1"/>
  <c r="R45" i="38" s="1"/>
  <c r="V45" i="38" s="1"/>
  <c r="BH43" i="38"/>
  <c r="AY43" i="38"/>
  <c r="AL43" i="38"/>
  <c r="AB43" i="38"/>
  <c r="V43" i="38"/>
  <c r="R43" i="38"/>
  <c r="J43" i="38"/>
  <c r="P43" i="38" s="1"/>
  <c r="AU42" i="38"/>
  <c r="AL42" i="38"/>
  <c r="AB42" i="38"/>
  <c r="P42" i="38"/>
  <c r="R42" i="38" s="1"/>
  <c r="V42" i="38" s="1"/>
  <c r="M42" i="38"/>
  <c r="J42" i="38"/>
  <c r="V40" i="38"/>
  <c r="R40" i="38"/>
  <c r="J40" i="38"/>
  <c r="M40" i="38" s="1"/>
  <c r="Z39" i="38"/>
  <c r="Z88" i="38" s="1"/>
  <c r="V39" i="38"/>
  <c r="R39" i="38"/>
  <c r="J39" i="38"/>
  <c r="M39" i="38" s="1"/>
  <c r="BD38" i="38"/>
  <c r="BB43" i="38" s="1"/>
  <c r="AY38" i="38"/>
  <c r="AU38" i="38"/>
  <c r="AS49" i="38" s="1"/>
  <c r="AU49" i="38" s="1"/>
  <c r="AL38" i="38"/>
  <c r="AB38" i="38"/>
  <c r="J38" i="38"/>
  <c r="M38" i="38" s="1"/>
  <c r="BD37" i="38"/>
  <c r="AS37" i="38"/>
  <c r="AN37" i="38"/>
  <c r="AN94" i="38" s="1"/>
  <c r="AL37" i="38"/>
  <c r="AB37" i="38"/>
  <c r="J37" i="38"/>
  <c r="P37" i="38" s="1"/>
  <c r="BD33" i="38"/>
  <c r="AU33" i="38"/>
  <c r="AL33" i="38"/>
  <c r="AB33" i="38"/>
  <c r="V33" i="38"/>
  <c r="Z33" i="38" s="1"/>
  <c r="AD33" i="38" s="1"/>
  <c r="AF33" i="38" s="1"/>
  <c r="R33" i="38"/>
  <c r="J33" i="38"/>
  <c r="M33" i="38" s="1"/>
  <c r="AF32" i="38"/>
  <c r="AD32" i="38"/>
  <c r="M32" i="38"/>
  <c r="J32" i="38"/>
  <c r="M31" i="38"/>
  <c r="AF30" i="38"/>
  <c r="AD30" i="38"/>
  <c r="Z30" i="38"/>
  <c r="Y30" i="38"/>
  <c r="Y90" i="38" s="1"/>
  <c r="V30" i="38"/>
  <c r="V90" i="38" s="1"/>
  <c r="T30" i="38"/>
  <c r="O30" i="38"/>
  <c r="O90" i="38" s="1"/>
  <c r="L30" i="38"/>
  <c r="L90" i="38" s="1"/>
  <c r="I30" i="38"/>
  <c r="I90" i="38" s="1"/>
  <c r="H30" i="38"/>
  <c r="H90" i="38" s="1"/>
  <c r="F30" i="38"/>
  <c r="F90" i="38" s="1"/>
  <c r="BD29" i="38"/>
  <c r="AU29" i="38"/>
  <c r="AL29" i="38"/>
  <c r="AB29" i="38"/>
  <c r="R29" i="38"/>
  <c r="J29" i="38"/>
  <c r="M29" i="38" s="1"/>
  <c r="BD28" i="38"/>
  <c r="AU28" i="38"/>
  <c r="AL28" i="38"/>
  <c r="AB28" i="38"/>
  <c r="R28" i="38"/>
  <c r="J28" i="38"/>
  <c r="M28" i="38" s="1"/>
  <c r="BD27" i="38"/>
  <c r="AU27" i="38"/>
  <c r="AL27" i="38"/>
  <c r="AB27" i="38"/>
  <c r="R27" i="38"/>
  <c r="M27" i="38"/>
  <c r="M30" i="38" s="1"/>
  <c r="M90" i="38" s="1"/>
  <c r="J27" i="38"/>
  <c r="BD26" i="38"/>
  <c r="AU26" i="38"/>
  <c r="AL26" i="38"/>
  <c r="AB26" i="38"/>
  <c r="R26" i="38"/>
  <c r="J26" i="38"/>
  <c r="M26" i="38" s="1"/>
  <c r="BD24" i="38"/>
  <c r="AY24" i="38"/>
  <c r="AW24" i="38"/>
  <c r="AU24" i="38"/>
  <c r="AP24" i="38"/>
  <c r="AL24" i="38"/>
  <c r="V24" i="38"/>
  <c r="P24" i="38"/>
  <c r="L24" i="38"/>
  <c r="I24" i="38"/>
  <c r="J24" i="38" s="1"/>
  <c r="BD23" i="38"/>
  <c r="AU23" i="38"/>
  <c r="AL23" i="38"/>
  <c r="AF23" i="38"/>
  <c r="AD23" i="38"/>
  <c r="Z23" i="38"/>
  <c r="Y23" i="38"/>
  <c r="AB23" i="38" s="1"/>
  <c r="V23" i="38"/>
  <c r="T23" i="38"/>
  <c r="R23" i="38"/>
  <c r="P23" i="38"/>
  <c r="O23" i="38"/>
  <c r="M23" i="38"/>
  <c r="J23" i="38"/>
  <c r="AF22" i="38"/>
  <c r="AD22" i="38"/>
  <c r="P22" i="38"/>
  <c r="O22" i="38"/>
  <c r="J22" i="38"/>
  <c r="M22" i="38" s="1"/>
  <c r="AF21" i="38"/>
  <c r="AD21" i="38"/>
  <c r="AF20" i="38"/>
  <c r="AF24" i="38" s="1"/>
  <c r="AD20" i="38"/>
  <c r="Z20" i="38"/>
  <c r="V20" i="38"/>
  <c r="O20" i="38"/>
  <c r="BH19" i="38"/>
  <c r="BF19" i="38"/>
  <c r="BF18" i="38" s="1"/>
  <c r="BF96" i="38" s="1"/>
  <c r="BB19" i="38"/>
  <c r="BA19" i="38"/>
  <c r="BA18" i="38" s="1"/>
  <c r="AU19" i="38"/>
  <c r="AP19" i="38"/>
  <c r="AL19" i="38"/>
  <c r="AF19" i="38"/>
  <c r="AD19" i="38"/>
  <c r="Z19" i="38"/>
  <c r="AB19" i="38" s="1"/>
  <c r="Y19" i="38"/>
  <c r="V19" i="38"/>
  <c r="T19" i="38"/>
  <c r="P19" i="38"/>
  <c r="O19" i="38"/>
  <c r="R19" i="38" s="1"/>
  <c r="J19" i="38"/>
  <c r="M19" i="38" s="1"/>
  <c r="BH18" i="38"/>
  <c r="AU18" i="38"/>
  <c r="AP18" i="38"/>
  <c r="AN18" i="38"/>
  <c r="AN24" i="38" s="1"/>
  <c r="AL18" i="38"/>
  <c r="AF18" i="38"/>
  <c r="AD18" i="38"/>
  <c r="AD96" i="38" s="1"/>
  <c r="Z18" i="38"/>
  <c r="Y18" i="38"/>
  <c r="V18" i="38"/>
  <c r="T18" i="38"/>
  <c r="P18" i="38"/>
  <c r="O18" i="38"/>
  <c r="R18" i="38" s="1"/>
  <c r="J18" i="38"/>
  <c r="M18" i="38" s="1"/>
  <c r="M24" i="38" s="1"/>
  <c r="BD16" i="38"/>
  <c r="AU16" i="38"/>
  <c r="AL16" i="38"/>
  <c r="V16" i="38"/>
  <c r="I16" i="38"/>
  <c r="J16" i="38" s="1"/>
  <c r="BD15" i="38"/>
  <c r="AU15" i="38"/>
  <c r="AL15" i="38"/>
  <c r="AD15" i="38"/>
  <c r="Y15" i="38"/>
  <c r="AB15" i="38" s="1"/>
  <c r="T15" i="38"/>
  <c r="O15" i="38"/>
  <c r="R15" i="38" s="1"/>
  <c r="BD14" i="38"/>
  <c r="AU14" i="38"/>
  <c r="AL14" i="38"/>
  <c r="AB14" i="38"/>
  <c r="O14" i="38"/>
  <c r="R14" i="38" s="1"/>
  <c r="BD13" i="38"/>
  <c r="AU13" i="38"/>
  <c r="AL13" i="38"/>
  <c r="AF13" i="38"/>
  <c r="AD13" i="38"/>
  <c r="AB13" i="38"/>
  <c r="O13" i="38"/>
  <c r="R13" i="38" s="1"/>
  <c r="J13" i="38"/>
  <c r="M13" i="38" s="1"/>
  <c r="BH12" i="38"/>
  <c r="BF12" i="38"/>
  <c r="BD12" i="38"/>
  <c r="BB12" i="38"/>
  <c r="BA12" i="38"/>
  <c r="AU12" i="38"/>
  <c r="AP12" i="38"/>
  <c r="AN12" i="38"/>
  <c r="AN16" i="38" s="1"/>
  <c r="AL12" i="38"/>
  <c r="AF12" i="38"/>
  <c r="AD12" i="38"/>
  <c r="AD16" i="38" s="1"/>
  <c r="Z12" i="38"/>
  <c r="Z16" i="38" s="1"/>
  <c r="Y12" i="38"/>
  <c r="V12" i="38"/>
  <c r="T12" i="38"/>
  <c r="P12" i="38"/>
  <c r="P16" i="38" s="1"/>
  <c r="O12" i="38"/>
  <c r="R12" i="38" s="1"/>
  <c r="L12" i="38"/>
  <c r="L16" i="38" s="1"/>
  <c r="J12" i="38"/>
  <c r="M12" i="38" s="1"/>
  <c r="I12" i="38"/>
  <c r="F12" i="38"/>
  <c r="F16" i="38" s="1"/>
  <c r="R29" i="21" l="1"/>
  <c r="AG13" i="21"/>
  <c r="AJ13" i="21" s="1"/>
  <c r="J29" i="21"/>
  <c r="M29" i="21" s="1"/>
  <c r="AE20" i="21"/>
  <c r="AC28" i="21"/>
  <c r="AC100" i="21" s="1"/>
  <c r="R13" i="21"/>
  <c r="V13" i="21" s="1"/>
  <c r="V15" i="21" s="1"/>
  <c r="AS14" i="21"/>
  <c r="AW15" i="21"/>
  <c r="R31" i="21"/>
  <c r="R30" i="21"/>
  <c r="AG20" i="21"/>
  <c r="AJ20" i="21" s="1"/>
  <c r="M70" i="21"/>
  <c r="M101" i="21" s="1"/>
  <c r="T22" i="21"/>
  <c r="AN100" i="21"/>
  <c r="S29" i="21"/>
  <c r="AP15" i="21"/>
  <c r="AC18" i="21"/>
  <c r="AC103" i="21" s="1"/>
  <c r="V100" i="21"/>
  <c r="P106" i="21"/>
  <c r="AS20" i="21"/>
  <c r="AZ100" i="21"/>
  <c r="BD28" i="21"/>
  <c r="BF98" i="21"/>
  <c r="Y101" i="21"/>
  <c r="AQ107" i="21"/>
  <c r="Y106" i="21"/>
  <c r="BF77" i="21"/>
  <c r="BF104" i="21"/>
  <c r="AU107" i="21"/>
  <c r="Y15" i="21"/>
  <c r="AA15" i="21" s="1"/>
  <c r="AE26" i="21"/>
  <c r="BF105" i="21"/>
  <c r="BF106" i="21" s="1"/>
  <c r="AY107" i="21"/>
  <c r="R75" i="21"/>
  <c r="V75" i="21" s="1"/>
  <c r="V104" i="21" s="1"/>
  <c r="R72" i="21"/>
  <c r="P22" i="21"/>
  <c r="AA72" i="21"/>
  <c r="AG106" i="21"/>
  <c r="O77" i="21"/>
  <c r="O102" i="21" s="1"/>
  <c r="BB18" i="21"/>
  <c r="BF18" i="21" s="1"/>
  <c r="AZ22" i="21"/>
  <c r="AQ22" i="21"/>
  <c r="AS22" i="21" s="1"/>
  <c r="AN22" i="21" s="1"/>
  <c r="R19" i="21"/>
  <c r="V19" i="21" s="1"/>
  <c r="AG28" i="21"/>
  <c r="AG100" i="21" s="1"/>
  <c r="AA30" i="21"/>
  <c r="P116" i="21"/>
  <c r="AX14" i="21"/>
  <c r="M99" i="21"/>
  <c r="P101" i="21"/>
  <c r="AS77" i="21"/>
  <c r="AS13" i="21"/>
  <c r="AG21" i="21"/>
  <c r="AJ21" i="21" s="1"/>
  <c r="X22" i="21"/>
  <c r="S30" i="21"/>
  <c r="X101" i="21"/>
  <c r="X107" i="21"/>
  <c r="AU15" i="21"/>
  <c r="BB20" i="21"/>
  <c r="BF20" i="21" s="1"/>
  <c r="M100" i="21"/>
  <c r="AZ102" i="21"/>
  <c r="AZ103" i="21" s="1"/>
  <c r="AN76" i="21"/>
  <c r="AN105" i="21" s="1"/>
  <c r="BB77" i="21"/>
  <c r="AX13" i="21"/>
  <c r="Y22" i="21"/>
  <c r="F28" i="21"/>
  <c r="F100" i="21" s="1"/>
  <c r="F102" i="21" s="1"/>
  <c r="F103" i="21" s="1"/>
  <c r="BB28" i="21"/>
  <c r="V98" i="21"/>
  <c r="AA77" i="21"/>
  <c r="AH116" i="21"/>
  <c r="BB15" i="21"/>
  <c r="AE98" i="21"/>
  <c r="Y100" i="21"/>
  <c r="Z77" i="49"/>
  <c r="Z13" i="13"/>
  <c r="M79" i="13"/>
  <c r="L85" i="13"/>
  <c r="L81" i="13"/>
  <c r="AJ81" i="13"/>
  <c r="BG13" i="13"/>
  <c r="BD15" i="13"/>
  <c r="BG15" i="13" s="1"/>
  <c r="I77" i="13"/>
  <c r="I81" i="13" s="1"/>
  <c r="O81" i="13"/>
  <c r="BK83" i="13"/>
  <c r="BK85" i="13" s="1"/>
  <c r="AD81" i="13"/>
  <c r="V12" i="13"/>
  <c r="BE22" i="13"/>
  <c r="BG22" i="13" s="1"/>
  <c r="BG17" i="13"/>
  <c r="Y77" i="13"/>
  <c r="Y81" i="13" s="1"/>
  <c r="Y83" i="13"/>
  <c r="Y85" i="13" s="1"/>
  <c r="P62" i="13"/>
  <c r="V62" i="13"/>
  <c r="W62" i="13" s="1"/>
  <c r="AB62" i="13" s="1"/>
  <c r="AF62" i="13" s="1"/>
  <c r="AG62" i="13" s="1"/>
  <c r="AL62" i="13" s="1"/>
  <c r="BE62" i="13"/>
  <c r="BG37" i="13"/>
  <c r="I62" i="13"/>
  <c r="AZ81" i="13"/>
  <c r="Y15" i="13"/>
  <c r="P20" i="13"/>
  <c r="V20" i="13"/>
  <c r="W20" i="13" s="1"/>
  <c r="AB20" i="13" s="1"/>
  <c r="AI81" i="13"/>
  <c r="M62" i="13"/>
  <c r="BL62" i="13"/>
  <c r="M17" i="13"/>
  <c r="L22" i="13"/>
  <c r="AN87" i="13"/>
  <c r="AN82" i="13"/>
  <c r="AN88" i="13"/>
  <c r="AN89" i="13" s="1"/>
  <c r="AN84" i="13"/>
  <c r="R38" i="13"/>
  <c r="V38" i="13" s="1"/>
  <c r="M38" i="13"/>
  <c r="P50" i="13"/>
  <c r="P79" i="13" s="1"/>
  <c r="V50" i="13"/>
  <c r="W50" i="13" s="1"/>
  <c r="AB50" i="13" s="1"/>
  <c r="Z62" i="13"/>
  <c r="F82" i="13"/>
  <c r="V39" i="13"/>
  <c r="P39" i="13"/>
  <c r="AZ78" i="13"/>
  <c r="AZ83" i="13"/>
  <c r="AZ85" i="13" s="1"/>
  <c r="BA46" i="13"/>
  <c r="V79" i="13"/>
  <c r="AS81" i="13"/>
  <c r="AT88" i="13"/>
  <c r="AT89" i="13" s="1"/>
  <c r="AT87" i="13"/>
  <c r="AT84" i="13"/>
  <c r="AT82" i="13"/>
  <c r="P12" i="13"/>
  <c r="P15" i="13" s="1"/>
  <c r="M39" i="13"/>
  <c r="W46" i="13"/>
  <c r="AB46" i="13" s="1"/>
  <c r="BD47" i="13"/>
  <c r="BE47" i="13" s="1"/>
  <c r="BE78" i="13" s="1"/>
  <c r="H83" i="13"/>
  <c r="H85" i="13" s="1"/>
  <c r="AS83" i="13"/>
  <c r="AS85" i="13" s="1"/>
  <c r="AX78" i="13"/>
  <c r="AX81" i="13" s="1"/>
  <c r="BL19" i="13"/>
  <c r="BK19" i="13" s="1"/>
  <c r="Z24" i="13"/>
  <c r="J35" i="13"/>
  <c r="T77" i="13"/>
  <c r="BI77" i="13"/>
  <c r="BI81" i="13" s="1"/>
  <c r="I83" i="13"/>
  <c r="I85" i="13" s="1"/>
  <c r="V17" i="13"/>
  <c r="AI17" i="13"/>
  <c r="AI22" i="13" s="1"/>
  <c r="AB24" i="13"/>
  <c r="BK77" i="13"/>
  <c r="BK81" i="13" s="1"/>
  <c r="T78" i="13"/>
  <c r="BI78" i="13"/>
  <c r="H77" i="13"/>
  <c r="H81" i="13" s="1"/>
  <c r="T83" i="13"/>
  <c r="T85" i="13" s="1"/>
  <c r="O83" i="13"/>
  <c r="O85" i="13" s="1"/>
  <c r="AI83" i="13"/>
  <c r="BD83" i="13"/>
  <c r="BD85" i="13" s="1"/>
  <c r="BE35" i="13"/>
  <c r="BI83" i="13"/>
  <c r="BI85" i="13" s="1"/>
  <c r="J18" i="13"/>
  <c r="BA53" i="58"/>
  <c r="AU53" i="58"/>
  <c r="M50" i="58"/>
  <c r="O50" i="58"/>
  <c r="AO88" i="58"/>
  <c r="AU25" i="58"/>
  <c r="U52" i="58"/>
  <c r="Y52" i="58"/>
  <c r="I90" i="58"/>
  <c r="AH56" i="58"/>
  <c r="AL56" i="58" s="1"/>
  <c r="AJ56" i="58"/>
  <c r="M16" i="58"/>
  <c r="M19" i="58" s="1"/>
  <c r="L19" i="58"/>
  <c r="L23" i="58"/>
  <c r="M23" i="58" s="1"/>
  <c r="M25" i="58" s="1"/>
  <c r="O25" i="58"/>
  <c r="AH86" i="58"/>
  <c r="Y86" i="58"/>
  <c r="Y92" i="58"/>
  <c r="Y94" i="58" s="1"/>
  <c r="AV34" i="58"/>
  <c r="BA34" i="58" s="1"/>
  <c r="BA86" i="58" s="1"/>
  <c r="R43" i="58"/>
  <c r="P43" i="58"/>
  <c r="M69" i="58"/>
  <c r="P69" i="58"/>
  <c r="P14" i="58"/>
  <c r="AD14" i="58"/>
  <c r="R92" i="58"/>
  <c r="R94" i="58" s="1"/>
  <c r="R86" i="58"/>
  <c r="U30" i="58"/>
  <c r="AO90" i="58"/>
  <c r="AB43" i="58"/>
  <c r="AD43" i="58" s="1"/>
  <c r="AF43" i="58"/>
  <c r="P64" i="58"/>
  <c r="BA44" i="58"/>
  <c r="AQ19" i="58"/>
  <c r="AL25" i="58"/>
  <c r="AL88" i="58" s="1"/>
  <c r="AF88" i="58"/>
  <c r="AA87" i="58"/>
  <c r="M45" i="58"/>
  <c r="M87" i="58" s="1"/>
  <c r="O45" i="58"/>
  <c r="R47" i="58"/>
  <c r="R49" i="58"/>
  <c r="BA51" i="58"/>
  <c r="L88" i="58"/>
  <c r="R14" i="58"/>
  <c r="U12" i="58"/>
  <c r="J19" i="58"/>
  <c r="P19" i="58" s="1"/>
  <c r="R46" i="58"/>
  <c r="P46" i="58"/>
  <c r="W51" i="58"/>
  <c r="S51" i="58"/>
  <c r="M48" i="58"/>
  <c r="O48" i="58"/>
  <c r="U14" i="58"/>
  <c r="AV50" i="58"/>
  <c r="AU50" i="58" s="1"/>
  <c r="AV48" i="58"/>
  <c r="AV46" i="58"/>
  <c r="AV51" i="58"/>
  <c r="AU51" i="58" s="1"/>
  <c r="AV49" i="58"/>
  <c r="AV47" i="58"/>
  <c r="AV52" i="58"/>
  <c r="AV44" i="58"/>
  <c r="AU44" i="58" s="1"/>
  <c r="AV45" i="58"/>
  <c r="AU45" i="58" s="1"/>
  <c r="AV42" i="58"/>
  <c r="AU42" i="58" s="1"/>
  <c r="AV43" i="58"/>
  <c r="R53" i="58"/>
  <c r="P53" i="58"/>
  <c r="F90" i="58"/>
  <c r="AB92" i="58"/>
  <c r="AB94" i="58" s="1"/>
  <c r="BA60" i="58"/>
  <c r="BA59" i="58"/>
  <c r="BA58" i="58"/>
  <c r="BA42" i="58"/>
  <c r="AB46" i="58"/>
  <c r="AD46" i="58" s="1"/>
  <c r="AF46" i="58"/>
  <c r="S54" i="58"/>
  <c r="AH57" i="58"/>
  <c r="AL57" i="58" s="1"/>
  <c r="AJ57" i="58"/>
  <c r="L86" i="58"/>
  <c r="L90" i="58" s="1"/>
  <c r="AA86" i="58"/>
  <c r="AA90" i="58" s="1"/>
  <c r="AS86" i="58"/>
  <c r="AS90" i="58" s="1"/>
  <c r="S92" i="58"/>
  <c r="S94" i="58" s="1"/>
  <c r="J13" i="58"/>
  <c r="M13" i="58" s="1"/>
  <c r="M14" i="58" s="1"/>
  <c r="P16" i="58"/>
  <c r="AD16" i="58"/>
  <c r="AV16" i="58"/>
  <c r="BA16" i="58" s="1"/>
  <c r="BA19" i="58" s="1"/>
  <c r="AQ30" i="58"/>
  <c r="M32" i="58"/>
  <c r="M86" i="58" s="1"/>
  <c r="M39" i="58"/>
  <c r="O42" i="58"/>
  <c r="AB42" i="58"/>
  <c r="AH53" i="58"/>
  <c r="AL53" i="58" s="1"/>
  <c r="M66" i="58"/>
  <c r="M68" i="58"/>
  <c r="AB86" i="58"/>
  <c r="AU86" i="58"/>
  <c r="AY87" i="58"/>
  <c r="AH25" i="58"/>
  <c r="AH88" i="58" s="1"/>
  <c r="AY86" i="58"/>
  <c r="AY90" i="58" s="1"/>
  <c r="AO92" i="58"/>
  <c r="AO94" i="58" s="1"/>
  <c r="AD13" i="58"/>
  <c r="AF42" i="58"/>
  <c r="AH45" i="58"/>
  <c r="AL45" i="58" s="1"/>
  <c r="M47" i="58"/>
  <c r="M49" i="58"/>
  <c r="M63" i="58"/>
  <c r="M65" i="58"/>
  <c r="AS92" i="58"/>
  <c r="AS94" i="58" s="1"/>
  <c r="U16" i="58"/>
  <c r="P52" i="58"/>
  <c r="P54" i="58"/>
  <c r="H88" i="58"/>
  <c r="H90" i="58" s="1"/>
  <c r="AN88" i="58"/>
  <c r="AN90" i="58" s="1"/>
  <c r="T106" i="21"/>
  <c r="T103" i="21"/>
  <c r="T115" i="21"/>
  <c r="AP28" i="21"/>
  <c r="AQ100" i="21"/>
  <c r="AQ102" i="21" s="1"/>
  <c r="AQ116" i="21" s="1"/>
  <c r="AW28" i="21"/>
  <c r="AW100" i="21" s="1"/>
  <c r="AN98" i="21"/>
  <c r="AN99" i="21"/>
  <c r="T116" i="21"/>
  <c r="R28" i="21"/>
  <c r="O100" i="21"/>
  <c r="M98" i="21"/>
  <c r="AC115" i="21"/>
  <c r="AC116" i="21"/>
  <c r="AC106" i="21"/>
  <c r="Y107" i="21"/>
  <c r="O18" i="21"/>
  <c r="R18" i="21" s="1"/>
  <c r="V18" i="21" s="1"/>
  <c r="L22" i="21"/>
  <c r="O22" i="21" s="1"/>
  <c r="R22" i="21" s="1"/>
  <c r="V22" i="21" s="1"/>
  <c r="M18" i="21"/>
  <c r="AX15" i="21"/>
  <c r="AE100" i="21"/>
  <c r="AW98" i="21"/>
  <c r="AW102" i="21" s="1"/>
  <c r="AW116" i="21" s="1"/>
  <c r="P43" i="21"/>
  <c r="P99" i="21" s="1"/>
  <c r="AE104" i="21"/>
  <c r="AE77" i="21"/>
  <c r="AE102" i="21" s="1"/>
  <c r="R71" i="21"/>
  <c r="O101" i="21"/>
  <c r="O73" i="21"/>
  <c r="Y103" i="21"/>
  <c r="Y115" i="21"/>
  <c r="P100" i="21"/>
  <c r="AA28" i="21"/>
  <c r="X100" i="21"/>
  <c r="L115" i="21"/>
  <c r="L103" i="21"/>
  <c r="L106" i="21"/>
  <c r="AY102" i="21"/>
  <c r="P98" i="21"/>
  <c r="V99" i="21"/>
  <c r="AL107" i="21"/>
  <c r="O103" i="21"/>
  <c r="J15" i="21"/>
  <c r="AE15" i="21"/>
  <c r="BB13" i="21"/>
  <c r="BF13" i="21" s="1"/>
  <c r="AE99" i="21"/>
  <c r="L116" i="21"/>
  <c r="AL77" i="21"/>
  <c r="AL102" i="21" s="1"/>
  <c r="AL116" i="21" s="1"/>
  <c r="O105" i="21"/>
  <c r="AC107" i="21"/>
  <c r="P115" i="21"/>
  <c r="J13" i="21"/>
  <c r="M13" i="21" s="1"/>
  <c r="AQ15" i="21"/>
  <c r="AS15" i="21" s="1"/>
  <c r="I22" i="21"/>
  <c r="J22" i="21" s="1"/>
  <c r="F73" i="21"/>
  <c r="AN75" i="21"/>
  <c r="R76" i="21"/>
  <c r="V76" i="21" s="1"/>
  <c r="V105" i="21" s="1"/>
  <c r="P103" i="21"/>
  <c r="L107" i="21"/>
  <c r="AW107" i="21"/>
  <c r="Y116" i="21"/>
  <c r="X73" i="21"/>
  <c r="AA13" i="21"/>
  <c r="M19" i="21"/>
  <c r="AG71" i="21"/>
  <c r="I73" i="21"/>
  <c r="Y73" i="21"/>
  <c r="I101" i="21"/>
  <c r="I102" i="21" s="1"/>
  <c r="I103" i="21" s="1"/>
  <c r="X102" i="21"/>
  <c r="O104" i="21"/>
  <c r="O115" i="21" s="1"/>
  <c r="AG104" i="21"/>
  <c r="P107" i="21"/>
  <c r="AH107" i="21"/>
  <c r="AZ107" i="21"/>
  <c r="L15" i="21"/>
  <c r="AC15" i="21"/>
  <c r="AG15" i="21" s="1"/>
  <c r="AJ15" i="21" s="1"/>
  <c r="AJ28" i="21"/>
  <c r="T107" i="21"/>
  <c r="AA71" i="21"/>
  <c r="R77" i="21"/>
  <c r="AG77" i="21"/>
  <c r="AW77" i="21"/>
  <c r="P73" i="21"/>
  <c r="T73" i="21" s="1"/>
  <c r="AQ75" i="49"/>
  <c r="M23" i="49"/>
  <c r="AX37" i="49"/>
  <c r="L15" i="49"/>
  <c r="M15" i="49" s="1"/>
  <c r="AN15" i="49"/>
  <c r="AG77" i="49"/>
  <c r="AI69" i="49"/>
  <c r="AN39" i="49"/>
  <c r="AM39" i="49" s="1"/>
  <c r="AT15" i="49"/>
  <c r="M75" i="49"/>
  <c r="M73" i="49"/>
  <c r="M77" i="49" s="1"/>
  <c r="M78" i="49" s="1"/>
  <c r="V37" i="49"/>
  <c r="H77" i="49"/>
  <c r="H78" i="49" s="1"/>
  <c r="AM75" i="49"/>
  <c r="AN75" i="49" s="1"/>
  <c r="AK73" i="49"/>
  <c r="AQ35" i="49"/>
  <c r="AK79" i="49"/>
  <c r="AK81" i="49" s="1"/>
  <c r="AN37" i="49"/>
  <c r="AM37" i="49" s="1"/>
  <c r="AI68" i="49"/>
  <c r="AX38" i="49"/>
  <c r="AX36" i="49"/>
  <c r="AT49" i="49"/>
  <c r="Z88" i="49"/>
  <c r="Z83" i="49"/>
  <c r="Z80" i="49"/>
  <c r="Z78" i="49"/>
  <c r="AX40" i="49"/>
  <c r="AB88" i="49"/>
  <c r="AB83" i="49"/>
  <c r="AB80" i="49"/>
  <c r="AB78" i="49"/>
  <c r="AB84" i="49"/>
  <c r="AB85" i="49" s="1"/>
  <c r="I77" i="49"/>
  <c r="I78" i="49" s="1"/>
  <c r="AY15" i="49"/>
  <c r="T84" i="49"/>
  <c r="T85" i="49" s="1"/>
  <c r="T88" i="49"/>
  <c r="T83" i="49"/>
  <c r="T80" i="49"/>
  <c r="T78" i="49"/>
  <c r="AR48" i="49"/>
  <c r="AT48" i="49" s="1"/>
  <c r="AX75" i="49"/>
  <c r="AY75" i="49" s="1"/>
  <c r="X88" i="49"/>
  <c r="X84" i="49"/>
  <c r="X85" i="49" s="1"/>
  <c r="X83" i="49"/>
  <c r="X80" i="49"/>
  <c r="X78" i="49"/>
  <c r="V12" i="49"/>
  <c r="V15" i="49" s="1"/>
  <c r="AN17" i="49"/>
  <c r="AQ24" i="49"/>
  <c r="AT24" i="49" s="1"/>
  <c r="AT28" i="49"/>
  <c r="AR47" i="49"/>
  <c r="AT47" i="49" s="1"/>
  <c r="AQ56" i="49"/>
  <c r="AT56" i="49" s="1"/>
  <c r="AY56" i="49" s="1"/>
  <c r="AX56" i="49" s="1"/>
  <c r="T79" i="49"/>
  <c r="T81" i="49" s="1"/>
  <c r="R39" i="49"/>
  <c r="V39" i="49" s="1"/>
  <c r="J17" i="49"/>
  <c r="M17" i="49" s="1"/>
  <c r="AQ36" i="49"/>
  <c r="AT36" i="49" s="1"/>
  <c r="AY36" i="49" s="1"/>
  <c r="AG47" i="49"/>
  <c r="AG74" i="49" s="1"/>
  <c r="AM55" i="49"/>
  <c r="AM57" i="49"/>
  <c r="AD73" i="49"/>
  <c r="AD77" i="49" s="1"/>
  <c r="AD88" i="49" s="1"/>
  <c r="AV73" i="49"/>
  <c r="AF74" i="49"/>
  <c r="AF15" i="49"/>
  <c r="AI15" i="49" s="1"/>
  <c r="AV24" i="49"/>
  <c r="AY24" i="49" s="1"/>
  <c r="AI35" i="49"/>
  <c r="AX47" i="49"/>
  <c r="AX74" i="49" s="1"/>
  <c r="AY74" i="49" s="1"/>
  <c r="AM48" i="49"/>
  <c r="AR49" i="49"/>
  <c r="O73" i="49"/>
  <c r="O77" i="49" s="1"/>
  <c r="AF73" i="49"/>
  <c r="AF77" i="49" s="1"/>
  <c r="J12" i="49"/>
  <c r="M12" i="49" s="1"/>
  <c r="AN48" i="49"/>
  <c r="AK74" i="49"/>
  <c r="AV79" i="49"/>
  <c r="AV81" i="49" s="1"/>
  <c r="AY12" i="49"/>
  <c r="AI28" i="49"/>
  <c r="R35" i="49"/>
  <c r="V35" i="49" s="1"/>
  <c r="AM47" i="49"/>
  <c r="AM74" i="49" s="1"/>
  <c r="AD79" i="49"/>
  <c r="AD81" i="49" s="1"/>
  <c r="M84" i="17"/>
  <c r="P45" i="17"/>
  <c r="P84" i="17" s="1"/>
  <c r="AN90" i="17"/>
  <c r="AN88" i="17"/>
  <c r="P83" i="17"/>
  <c r="AS87" i="17"/>
  <c r="AG86" i="17"/>
  <c r="AP87" i="17"/>
  <c r="O90" i="17"/>
  <c r="O88" i="17"/>
  <c r="M85" i="17"/>
  <c r="M63" i="17"/>
  <c r="M86" i="17"/>
  <c r="V87" i="17"/>
  <c r="F87" i="17"/>
  <c r="F88" i="17" s="1"/>
  <c r="AR87" i="17"/>
  <c r="BH91" i="17"/>
  <c r="V85" i="17"/>
  <c r="AI88" i="17"/>
  <c r="AY90" i="17"/>
  <c r="AY88" i="17"/>
  <c r="P85" i="17"/>
  <c r="L87" i="17"/>
  <c r="L88" i="17" s="1"/>
  <c r="AW87" i="17"/>
  <c r="AA90" i="17"/>
  <c r="AA88" i="17"/>
  <c r="BB90" i="17"/>
  <c r="BB88" i="17"/>
  <c r="T90" i="17"/>
  <c r="T88" i="17"/>
  <c r="BF90" i="17"/>
  <c r="BF88" i="17"/>
  <c r="AN7" i="17"/>
  <c r="AI7" i="17"/>
  <c r="AG84" i="17"/>
  <c r="AG87" i="17" s="1"/>
  <c r="BA90" i="17"/>
  <c r="BA88" i="17"/>
  <c r="H87" i="17"/>
  <c r="H88" i="17" s="1"/>
  <c r="AJ90" i="17"/>
  <c r="AJ88" i="17"/>
  <c r="Z90" i="17"/>
  <c r="Z88" i="17"/>
  <c r="BH87" i="17"/>
  <c r="AE87" i="17"/>
  <c r="L21" i="17"/>
  <c r="M21" i="17" s="1"/>
  <c r="AI89" i="17"/>
  <c r="AI91" i="17" s="1"/>
  <c r="AU20" i="17"/>
  <c r="BA21" i="17"/>
  <c r="BD21" i="17" s="1"/>
  <c r="BA15" i="17"/>
  <c r="BD15" i="17" s="1"/>
  <c r="J34" i="17"/>
  <c r="M34" i="17" s="1"/>
  <c r="M83" i="17" s="1"/>
  <c r="H21" i="17"/>
  <c r="J21" i="17" s="1"/>
  <c r="AB12" i="38"/>
  <c r="Y16" i="38"/>
  <c r="AB16" i="38" s="1"/>
  <c r="J52" i="38"/>
  <c r="P51" i="38"/>
  <c r="M51" i="38"/>
  <c r="V91" i="38"/>
  <c r="Z103" i="38"/>
  <c r="AD85" i="38"/>
  <c r="AF85" i="38" s="1"/>
  <c r="AR99" i="38"/>
  <c r="AR100" i="38" s="1"/>
  <c r="AR93" i="38"/>
  <c r="AR95" i="38"/>
  <c r="AR102" i="38"/>
  <c r="AR98" i="38"/>
  <c r="AF90" i="38"/>
  <c r="L93" i="38"/>
  <c r="L95" i="38"/>
  <c r="L98" i="38"/>
  <c r="L99" i="38"/>
  <c r="L100" i="38" s="1"/>
  <c r="AN103" i="38"/>
  <c r="AN96" i="38"/>
  <c r="AF91" i="38"/>
  <c r="T102" i="38"/>
  <c r="T98" i="38"/>
  <c r="T99" i="38"/>
  <c r="T100" i="38" s="1"/>
  <c r="T93" i="38"/>
  <c r="T95" i="38"/>
  <c r="AW93" i="38"/>
  <c r="AW95" i="38"/>
  <c r="AW102" i="38"/>
  <c r="AW98" i="38"/>
  <c r="AW99" i="38"/>
  <c r="AW100" i="38" s="1"/>
  <c r="Y96" i="38"/>
  <c r="AF96" i="38"/>
  <c r="AF103" i="38"/>
  <c r="Y92" i="38"/>
  <c r="M16" i="38"/>
  <c r="O16" i="38"/>
  <c r="R16" i="38" s="1"/>
  <c r="T24" i="38"/>
  <c r="T96" i="38"/>
  <c r="BH42" i="38"/>
  <c r="BH37" i="38"/>
  <c r="BH45" i="38"/>
  <c r="BB42" i="38"/>
  <c r="BH44" i="38"/>
  <c r="BB44" i="38"/>
  <c r="BD44" i="38" s="1"/>
  <c r="AP89" i="38"/>
  <c r="AP92" i="38" s="1"/>
  <c r="AD61" i="38"/>
  <c r="AF61" i="38" s="1"/>
  <c r="BF102" i="38"/>
  <c r="BF98" i="38"/>
  <c r="BF99" i="38"/>
  <c r="BF100" i="38" s="1"/>
  <c r="BF93" i="38"/>
  <c r="BF95" i="38"/>
  <c r="BD19" i="38"/>
  <c r="BB18" i="38"/>
  <c r="AP94" i="38"/>
  <c r="AY91" i="38"/>
  <c r="AD83" i="38"/>
  <c r="AF83" i="38" s="1"/>
  <c r="F92" i="38"/>
  <c r="F93" i="38" s="1"/>
  <c r="Y24" i="38"/>
  <c r="AB24" i="38" s="1"/>
  <c r="AB18" i="38"/>
  <c r="Z24" i="38"/>
  <c r="Z90" i="38"/>
  <c r="P88" i="38"/>
  <c r="Z92" i="38"/>
  <c r="H92" i="38"/>
  <c r="AJ102" i="38"/>
  <c r="AJ98" i="38"/>
  <c r="AJ99" i="38"/>
  <c r="AJ100" i="38" s="1"/>
  <c r="AJ95" i="38"/>
  <c r="AJ93" i="38"/>
  <c r="BD18" i="38"/>
  <c r="T16" i="38"/>
  <c r="AD90" i="38"/>
  <c r="AD92" i="38" s="1"/>
  <c r="R37" i="38"/>
  <c r="O92" i="38"/>
  <c r="M91" i="38"/>
  <c r="AD82" i="38"/>
  <c r="AF82" i="38" s="1"/>
  <c r="I92" i="38"/>
  <c r="AN92" i="38"/>
  <c r="AB79" i="38"/>
  <c r="AS88" i="38"/>
  <c r="AN91" i="38"/>
  <c r="AI93" i="38"/>
  <c r="BA93" i="38"/>
  <c r="O103" i="38"/>
  <c r="AI103" i="38"/>
  <c r="BA103" i="38"/>
  <c r="O24" i="38"/>
  <c r="R24" i="38" s="1"/>
  <c r="AD24" i="38"/>
  <c r="P38" i="38"/>
  <c r="R38" i="38" s="1"/>
  <c r="BH38" i="38"/>
  <c r="M44" i="38"/>
  <c r="M50" i="38"/>
  <c r="AY51" i="38"/>
  <c r="AS53" i="38"/>
  <c r="Z89" i="38"/>
  <c r="AR96" i="38"/>
  <c r="AJ103" i="38"/>
  <c r="AY53" i="38"/>
  <c r="AI99" i="38"/>
  <c r="AI100" i="38" s="1"/>
  <c r="BA99" i="38"/>
  <c r="BA100" i="38" s="1"/>
  <c r="M37" i="38"/>
  <c r="M88" i="38" s="1"/>
  <c r="AU37" i="38"/>
  <c r="BB45" i="38"/>
  <c r="M49" i="38"/>
  <c r="AF89" i="38"/>
  <c r="AF92" i="38" s="1"/>
  <c r="AI98" i="38"/>
  <c r="BA98" i="38"/>
  <c r="AI102" i="38"/>
  <c r="BA102" i="38"/>
  <c r="AA22" i="21" l="1"/>
  <c r="AC22" i="21"/>
  <c r="AG22" i="21" s="1"/>
  <c r="AJ22" i="21" s="1"/>
  <c r="AE18" i="21"/>
  <c r="AE22" i="21" s="1"/>
  <c r="AZ116" i="21"/>
  <c r="AZ115" i="21"/>
  <c r="AG18" i="21"/>
  <c r="AJ18" i="21" s="1"/>
  <c r="BF107" i="21"/>
  <c r="BF22" i="21"/>
  <c r="BF28" i="21"/>
  <c r="BD100" i="21"/>
  <c r="BD102" i="21" s="1"/>
  <c r="AA73" i="21"/>
  <c r="BB22" i="21"/>
  <c r="BF15" i="21"/>
  <c r="R73" i="21"/>
  <c r="AX88" i="13"/>
  <c r="AX89" i="13" s="1"/>
  <c r="AX87" i="13"/>
  <c r="AX84" i="13"/>
  <c r="AX82" i="13"/>
  <c r="AJ84" i="13"/>
  <c r="AJ82" i="13"/>
  <c r="AJ87" i="13"/>
  <c r="AJ88" i="13"/>
  <c r="AJ89" i="13" s="1"/>
  <c r="BK88" i="13"/>
  <c r="BK89" i="13" s="1"/>
  <c r="BK87" i="13"/>
  <c r="BK84" i="13"/>
  <c r="BK82" i="13"/>
  <c r="M35" i="13"/>
  <c r="R35" i="13"/>
  <c r="AF46" i="13"/>
  <c r="Z46" i="13"/>
  <c r="Z78" i="13" s="1"/>
  <c r="AI88" i="13"/>
  <c r="AI89" i="13" s="1"/>
  <c r="AI87" i="13"/>
  <c r="AI84" i="13"/>
  <c r="AI82" i="13"/>
  <c r="O88" i="13"/>
  <c r="O89" i="13" s="1"/>
  <c r="O87" i="13"/>
  <c r="O84" i="13"/>
  <c r="O82" i="13"/>
  <c r="L88" i="13"/>
  <c r="L89" i="13" s="1"/>
  <c r="L87" i="13"/>
  <c r="L84" i="13"/>
  <c r="L82" i="13"/>
  <c r="AI85" i="13"/>
  <c r="AF24" i="13"/>
  <c r="AG24" i="13" s="1"/>
  <c r="AL24" i="13"/>
  <c r="AV24" i="13" s="1"/>
  <c r="AS88" i="13"/>
  <c r="AS89" i="13" s="1"/>
  <c r="AS87" i="13"/>
  <c r="AS84" i="13"/>
  <c r="AS82" i="13"/>
  <c r="Y88" i="13"/>
  <c r="Y89" i="13" s="1"/>
  <c r="Y87" i="13"/>
  <c r="Y84" i="13"/>
  <c r="Y82" i="13"/>
  <c r="AF20" i="13"/>
  <c r="AG20" i="13" s="1"/>
  <c r="AL20" i="13" s="1"/>
  <c r="Z20" i="13"/>
  <c r="I88" i="13"/>
  <c r="I89" i="13" s="1"/>
  <c r="I87" i="13"/>
  <c r="I84" i="13"/>
  <c r="I82" i="13"/>
  <c r="AZ88" i="13"/>
  <c r="AZ89" i="13" s="1"/>
  <c r="AZ87" i="13"/>
  <c r="AZ84" i="13"/>
  <c r="AZ82" i="13"/>
  <c r="V15" i="13"/>
  <c r="W15" i="13" s="1"/>
  <c r="AB15" i="13" s="1"/>
  <c r="W12" i="13"/>
  <c r="AB12" i="13" s="1"/>
  <c r="H88" i="13"/>
  <c r="H89" i="13" s="1"/>
  <c r="H87" i="13"/>
  <c r="H84" i="13"/>
  <c r="H82" i="13"/>
  <c r="Z50" i="13"/>
  <c r="Z79" i="13" s="1"/>
  <c r="AF50" i="13"/>
  <c r="BD78" i="13"/>
  <c r="BD81" i="13" s="1"/>
  <c r="P38" i="13"/>
  <c r="BG35" i="13"/>
  <c r="BE83" i="13"/>
  <c r="BE85" i="13" s="1"/>
  <c r="BE77" i="13"/>
  <c r="BE81" i="13" s="1"/>
  <c r="R18" i="13"/>
  <c r="M18" i="13"/>
  <c r="BI84" i="13"/>
  <c r="BI87" i="13"/>
  <c r="BI88" i="13"/>
  <c r="BI89" i="13" s="1"/>
  <c r="BI82" i="13"/>
  <c r="M22" i="13"/>
  <c r="T81" i="13"/>
  <c r="AD88" i="13"/>
  <c r="AD89" i="13" s="1"/>
  <c r="AD87" i="13"/>
  <c r="AD84" i="13"/>
  <c r="AD82" i="13"/>
  <c r="W17" i="13"/>
  <c r="AB17" i="13" s="1"/>
  <c r="AN96" i="58"/>
  <c r="AN97" i="58"/>
  <c r="AN98" i="58" s="1"/>
  <c r="AN93" i="58"/>
  <c r="AN91" i="58"/>
  <c r="H97" i="58"/>
  <c r="H98" i="58" s="1"/>
  <c r="H91" i="58"/>
  <c r="H96" i="58"/>
  <c r="AF92" i="58"/>
  <c r="AF94" i="58" s="1"/>
  <c r="AJ42" i="58"/>
  <c r="AF87" i="58"/>
  <c r="AF90" i="58" s="1"/>
  <c r="W43" i="58"/>
  <c r="S43" i="58"/>
  <c r="M88" i="58"/>
  <c r="M90" i="58" s="1"/>
  <c r="I97" i="58"/>
  <c r="I98" i="58" s="1"/>
  <c r="I91" i="58"/>
  <c r="I96" i="58"/>
  <c r="P13" i="58"/>
  <c r="W46" i="58"/>
  <c r="S46" i="58"/>
  <c r="S49" i="58"/>
  <c r="W49" i="58"/>
  <c r="AY93" i="58"/>
  <c r="AY91" i="58"/>
  <c r="AY96" i="58"/>
  <c r="AD42" i="58"/>
  <c r="AH42" i="58" s="1"/>
  <c r="AB87" i="58"/>
  <c r="U54" i="58"/>
  <c r="Y54" i="58"/>
  <c r="F96" i="58"/>
  <c r="F97" i="58"/>
  <c r="F98" i="58" s="1"/>
  <c r="F91" i="58"/>
  <c r="BA47" i="58"/>
  <c r="AU47" i="58"/>
  <c r="R48" i="58"/>
  <c r="P48" i="58"/>
  <c r="R45" i="58"/>
  <c r="P45" i="58"/>
  <c r="R42" i="58"/>
  <c r="P42" i="58"/>
  <c r="O87" i="58"/>
  <c r="AJ46" i="58"/>
  <c r="AH46" i="58"/>
  <c r="AL46" i="58" s="1"/>
  <c r="BA49" i="58"/>
  <c r="AU49" i="58"/>
  <c r="AU87" i="58" s="1"/>
  <c r="AU90" i="58" s="1"/>
  <c r="BA45" i="58"/>
  <c r="AU88" i="58"/>
  <c r="BA25" i="58"/>
  <c r="BA88" i="58" s="1"/>
  <c r="AS93" i="58"/>
  <c r="AS91" i="58"/>
  <c r="AS96" i="58"/>
  <c r="W53" i="58"/>
  <c r="S53" i="58"/>
  <c r="AJ43" i="58"/>
  <c r="AH43" i="58"/>
  <c r="AL43" i="58" s="1"/>
  <c r="BA50" i="58"/>
  <c r="S47" i="58"/>
  <c r="W47" i="58"/>
  <c r="AA93" i="58"/>
  <c r="AA91" i="58"/>
  <c r="AA97" i="58"/>
  <c r="AA98" i="58" s="1"/>
  <c r="AA96" i="58"/>
  <c r="AU43" i="58"/>
  <c r="BA43" i="58"/>
  <c r="BA46" i="58"/>
  <c r="BA92" i="58" s="1"/>
  <c r="BA94" i="58" s="1"/>
  <c r="AU46" i="58"/>
  <c r="Y51" i="58"/>
  <c r="U51" i="58"/>
  <c r="BA52" i="58"/>
  <c r="AU52" i="58"/>
  <c r="AB90" i="58"/>
  <c r="L97" i="58"/>
  <c r="L98" i="58" s="1"/>
  <c r="L91" i="58"/>
  <c r="L96" i="58"/>
  <c r="BA48" i="58"/>
  <c r="AU48" i="58"/>
  <c r="AO96" i="58"/>
  <c r="AO97" i="58"/>
  <c r="AO98" i="58" s="1"/>
  <c r="AO93" i="58"/>
  <c r="AO91" i="58"/>
  <c r="R25" i="58"/>
  <c r="O88" i="58"/>
  <c r="O23" i="58"/>
  <c r="P23" i="58" s="1"/>
  <c r="P25" i="58" s="1"/>
  <c r="P88" i="58" s="1"/>
  <c r="R50" i="58"/>
  <c r="P50" i="58"/>
  <c r="X103" i="21"/>
  <c r="X115" i="21"/>
  <c r="X116" i="21"/>
  <c r="AN104" i="21"/>
  <c r="AN77" i="21"/>
  <c r="AN102" i="21" s="1"/>
  <c r="AW115" i="21"/>
  <c r="AW103" i="21"/>
  <c r="V77" i="21"/>
  <c r="V102" i="21" s="1"/>
  <c r="AG102" i="21"/>
  <c r="AG116" i="21" s="1"/>
  <c r="AJ77" i="21"/>
  <c r="O15" i="21"/>
  <c r="R15" i="21" s="1"/>
  <c r="M15" i="21"/>
  <c r="AL106" i="21"/>
  <c r="AL115" i="21"/>
  <c r="AL103" i="21"/>
  <c r="AU28" i="21"/>
  <c r="AU100" i="21" s="1"/>
  <c r="AU102" i="21" s="1"/>
  <c r="AP100" i="21"/>
  <c r="AP102" i="21" s="1"/>
  <c r="AS28" i="21"/>
  <c r="H73" i="21"/>
  <c r="H70" i="21" s="1"/>
  <c r="L73" i="21"/>
  <c r="AY115" i="21"/>
  <c r="AY103" i="21"/>
  <c r="AG101" i="21"/>
  <c r="AG73" i="21"/>
  <c r="AJ73" i="21" s="1"/>
  <c r="AJ71" i="21"/>
  <c r="O106" i="21"/>
  <c r="AY116" i="21"/>
  <c r="AE103" i="21"/>
  <c r="AE115" i="21"/>
  <c r="AE106" i="21"/>
  <c r="M22" i="21"/>
  <c r="V107" i="21"/>
  <c r="AE116" i="21"/>
  <c r="AE107" i="21"/>
  <c r="O107" i="21"/>
  <c r="O116" i="21"/>
  <c r="AQ115" i="21"/>
  <c r="AQ103" i="21"/>
  <c r="AG107" i="21"/>
  <c r="AF83" i="49"/>
  <c r="AF80" i="49"/>
  <c r="AF78" i="49"/>
  <c r="AF88" i="49"/>
  <c r="AF84" i="49"/>
  <c r="AF85" i="49" s="1"/>
  <c r="AK77" i="49"/>
  <c r="AG80" i="49"/>
  <c r="AG83" i="49"/>
  <c r="AG78" i="49"/>
  <c r="V73" i="49"/>
  <c r="V77" i="49" s="1"/>
  <c r="V88" i="49"/>
  <c r="V79" i="49"/>
  <c r="V81" i="49" s="1"/>
  <c r="O83" i="49"/>
  <c r="O80" i="49"/>
  <c r="O78" i="49"/>
  <c r="O88" i="49"/>
  <c r="AV77" i="49"/>
  <c r="AG88" i="49"/>
  <c r="AG68" i="49"/>
  <c r="AN68" i="49"/>
  <c r="P39" i="49"/>
  <c r="AN74" i="49"/>
  <c r="AN35" i="49"/>
  <c r="AM35" i="49" s="1"/>
  <c r="AI67" i="49"/>
  <c r="AI47" i="49"/>
  <c r="AY47" i="49"/>
  <c r="AD83" i="49"/>
  <c r="AD80" i="49"/>
  <c r="AD78" i="49"/>
  <c r="AV87" i="49"/>
  <c r="AN47" i="49"/>
  <c r="AR79" i="49"/>
  <c r="AR74" i="49"/>
  <c r="AR77" i="49" s="1"/>
  <c r="AQ79" i="49"/>
  <c r="AQ81" i="49" s="1"/>
  <c r="AQ73" i="49"/>
  <c r="AQ77" i="49" s="1"/>
  <c r="AT35" i="49"/>
  <c r="AG69" i="49"/>
  <c r="AN69" i="49"/>
  <c r="AG90" i="17"/>
  <c r="AG88" i="17"/>
  <c r="AR90" i="17"/>
  <c r="AR88" i="17"/>
  <c r="AE90" i="17"/>
  <c r="AE88" i="17"/>
  <c r="V90" i="17"/>
  <c r="V88" i="17"/>
  <c r="AS90" i="17"/>
  <c r="AS88" i="17"/>
  <c r="M87" i="17"/>
  <c r="M88" i="17" s="1"/>
  <c r="AI90" i="17"/>
  <c r="AP90" i="17"/>
  <c r="AP88" i="17"/>
  <c r="BH90" i="17"/>
  <c r="BH88" i="17"/>
  <c r="P87" i="17"/>
  <c r="AW7" i="17"/>
  <c r="AR7" i="17"/>
  <c r="AW88" i="17"/>
  <c r="AW90" i="17"/>
  <c r="AP98" i="38"/>
  <c r="AP99" i="38"/>
  <c r="AP100" i="38" s="1"/>
  <c r="AP102" i="38"/>
  <c r="AP93" i="38"/>
  <c r="AP95" i="38"/>
  <c r="AF95" i="38"/>
  <c r="AF102" i="38"/>
  <c r="AF98" i="38"/>
  <c r="AF99" i="38"/>
  <c r="AF100" i="38" s="1"/>
  <c r="AF93" i="38"/>
  <c r="AD93" i="38"/>
  <c r="AD95" i="38"/>
  <c r="AD102" i="38"/>
  <c r="AD98" i="38"/>
  <c r="AD99" i="38"/>
  <c r="AD100" i="38" s="1"/>
  <c r="Z93" i="38"/>
  <c r="Z95" i="38"/>
  <c r="Z102" i="38"/>
  <c r="Z98" i="38"/>
  <c r="Z99" i="38"/>
  <c r="Z100" i="38" s="1"/>
  <c r="I93" i="38"/>
  <c r="I95" i="38"/>
  <c r="I98" i="38"/>
  <c r="I99" i="38"/>
  <c r="I100" i="38" s="1"/>
  <c r="BB88" i="38"/>
  <c r="BB92" i="38" s="1"/>
  <c r="BB94" i="38"/>
  <c r="BD42" i="38"/>
  <c r="Y99" i="38"/>
  <c r="Y100" i="38" s="1"/>
  <c r="Y93" i="38"/>
  <c r="Y95" i="38"/>
  <c r="Y102" i="38"/>
  <c r="Y98" i="38"/>
  <c r="AY52" i="38"/>
  <c r="AY37" i="38"/>
  <c r="AY50" i="38"/>
  <c r="AY42" i="38"/>
  <c r="AY77" i="38"/>
  <c r="AY45" i="38"/>
  <c r="AS50" i="38"/>
  <c r="AU50" i="38" s="1"/>
  <c r="AY44" i="38"/>
  <c r="AY48" i="38"/>
  <c r="AS48" i="38"/>
  <c r="AS52" i="38"/>
  <c r="AP103" i="38"/>
  <c r="AP96" i="38"/>
  <c r="BH88" i="38"/>
  <c r="BH92" i="38" s="1"/>
  <c r="BH94" i="38"/>
  <c r="P52" i="38"/>
  <c r="J53" i="38"/>
  <c r="M52" i="38"/>
  <c r="AN102" i="38"/>
  <c r="AN98" i="38"/>
  <c r="AN99" i="38"/>
  <c r="AN100" i="38" s="1"/>
  <c r="AN93" i="38"/>
  <c r="AN95" i="38"/>
  <c r="O95" i="38"/>
  <c r="O102" i="38"/>
  <c r="O98" i="38"/>
  <c r="O99" i="38"/>
  <c r="O100" i="38" s="1"/>
  <c r="O93" i="38"/>
  <c r="V38" i="38"/>
  <c r="P78" i="38"/>
  <c r="R78" i="38" s="1"/>
  <c r="V78" i="38" s="1"/>
  <c r="V37" i="38"/>
  <c r="P77" i="38"/>
  <c r="H93" i="38"/>
  <c r="H95" i="38"/>
  <c r="H99" i="38"/>
  <c r="BD116" i="21" l="1"/>
  <c r="BD103" i="21"/>
  <c r="BD115" i="21"/>
  <c r="BF100" i="21"/>
  <c r="BF102" i="21" s="1"/>
  <c r="BE88" i="13"/>
  <c r="BE89" i="13" s="1"/>
  <c r="BE84" i="13"/>
  <c r="BE87" i="13"/>
  <c r="BE82" i="13"/>
  <c r="P35" i="13"/>
  <c r="V35" i="13"/>
  <c r="V18" i="13"/>
  <c r="P18" i="13"/>
  <c r="P22" i="13" s="1"/>
  <c r="T87" i="13"/>
  <c r="T88" i="13"/>
  <c r="T89" i="13" s="1"/>
  <c r="T84" i="13"/>
  <c r="T82" i="13"/>
  <c r="AF78" i="13"/>
  <c r="AG46" i="13"/>
  <c r="AL46" i="13" s="1"/>
  <c r="AP46" i="13" s="1"/>
  <c r="M83" i="13"/>
  <c r="M85" i="13" s="1"/>
  <c r="M77" i="13"/>
  <c r="M81" i="13" s="1"/>
  <c r="Z17" i="13"/>
  <c r="AF17" i="13"/>
  <c r="AF12" i="13"/>
  <c r="Z12" i="13"/>
  <c r="Z15" i="13" s="1"/>
  <c r="BD88" i="13"/>
  <c r="BD89" i="13" s="1"/>
  <c r="BD87" i="13"/>
  <c r="BD84" i="13"/>
  <c r="BD82" i="13"/>
  <c r="AG50" i="13"/>
  <c r="AL50" i="13" s="1"/>
  <c r="AF79" i="13"/>
  <c r="M91" i="58"/>
  <c r="M96" i="58"/>
  <c r="M97" i="58"/>
  <c r="M98" i="58" s="1"/>
  <c r="AU96" i="58"/>
  <c r="AU91" i="58"/>
  <c r="AH87" i="58"/>
  <c r="AH90" i="58" s="1"/>
  <c r="AL42" i="58"/>
  <c r="AH92" i="58"/>
  <c r="AH94" i="58" s="1"/>
  <c r="W45" i="58"/>
  <c r="S45" i="58"/>
  <c r="AB96" i="58"/>
  <c r="AB93" i="58"/>
  <c r="AB91" i="58"/>
  <c r="AB97" i="58"/>
  <c r="AB98" i="58" s="1"/>
  <c r="Y49" i="58"/>
  <c r="U49" i="58"/>
  <c r="Y43" i="58"/>
  <c r="U43" i="58"/>
  <c r="AU92" i="58"/>
  <c r="AU94" i="58" s="1"/>
  <c r="Y47" i="58"/>
  <c r="U47" i="58"/>
  <c r="W48" i="58"/>
  <c r="S48" i="58"/>
  <c r="Y46" i="58"/>
  <c r="U46" i="58"/>
  <c r="W50" i="58"/>
  <c r="S50" i="58"/>
  <c r="BA87" i="58"/>
  <c r="BA90" i="58" s="1"/>
  <c r="AF93" i="58"/>
  <c r="AF91" i="58"/>
  <c r="AF96" i="58"/>
  <c r="O90" i="58"/>
  <c r="P87" i="58"/>
  <c r="P90" i="58" s="1"/>
  <c r="AJ92" i="58"/>
  <c r="AJ94" i="58" s="1"/>
  <c r="AJ87" i="58"/>
  <c r="AJ90" i="58" s="1"/>
  <c r="W25" i="58"/>
  <c r="W88" i="58" s="1"/>
  <c r="S25" i="58"/>
  <c r="R88" i="58"/>
  <c r="R23" i="58"/>
  <c r="U23" i="58" s="1"/>
  <c r="S42" i="58"/>
  <c r="R87" i="58"/>
  <c r="W42" i="58"/>
  <c r="W87" i="58" s="1"/>
  <c r="W90" i="58" s="1"/>
  <c r="Y53" i="58"/>
  <c r="U53" i="58"/>
  <c r="V115" i="21"/>
  <c r="V103" i="21"/>
  <c r="V106" i="21"/>
  <c r="H77" i="21"/>
  <c r="J77" i="21" s="1"/>
  <c r="M77" i="21" s="1"/>
  <c r="M102" i="21" s="1"/>
  <c r="M103" i="21" s="1"/>
  <c r="H101" i="21"/>
  <c r="H102" i="21" s="1"/>
  <c r="H103" i="21" s="1"/>
  <c r="J70" i="21"/>
  <c r="AN115" i="21"/>
  <c r="AN106" i="21"/>
  <c r="V116" i="21"/>
  <c r="AN116" i="21"/>
  <c r="AN107" i="21"/>
  <c r="AP103" i="21"/>
  <c r="AP115" i="21"/>
  <c r="AP116" i="21"/>
  <c r="AU115" i="21"/>
  <c r="AU103" i="21"/>
  <c r="AU116" i="21"/>
  <c r="AG115" i="21"/>
  <c r="AG103" i="21"/>
  <c r="AN67" i="49"/>
  <c r="AG67" i="49"/>
  <c r="AG84" i="49" s="1"/>
  <c r="AG85" i="49" s="1"/>
  <c r="P79" i="49"/>
  <c r="P81" i="49" s="1"/>
  <c r="P73" i="49"/>
  <c r="P77" i="49" s="1"/>
  <c r="AK84" i="49"/>
  <c r="AK85" i="49" s="1"/>
  <c r="AK83" i="49"/>
  <c r="AK80" i="49"/>
  <c r="AK78" i="49"/>
  <c r="AK88" i="49"/>
  <c r="AV83" i="49"/>
  <c r="AV80" i="49"/>
  <c r="AV78" i="49"/>
  <c r="AV88" i="49"/>
  <c r="AQ83" i="49"/>
  <c r="AQ80" i="49"/>
  <c r="AQ78" i="49"/>
  <c r="AQ87" i="49"/>
  <c r="AR87" i="49"/>
  <c r="AR81" i="49"/>
  <c r="AQ88" i="49"/>
  <c r="AR88" i="49"/>
  <c r="AR83" i="49"/>
  <c r="AR80" i="49"/>
  <c r="AR78" i="49"/>
  <c r="V83" i="49"/>
  <c r="V80" i="49"/>
  <c r="V78" i="49"/>
  <c r="AM73" i="49"/>
  <c r="AM79" i="49"/>
  <c r="AM81" i="49" s="1"/>
  <c r="AY35" i="49"/>
  <c r="AX35" i="49"/>
  <c r="BA7" i="17"/>
  <c r="BF7" i="17"/>
  <c r="P90" i="17"/>
  <c r="P88" i="17"/>
  <c r="R77" i="38"/>
  <c r="V77" i="38" s="1"/>
  <c r="P53" i="38"/>
  <c r="R53" i="38" s="1"/>
  <c r="V53" i="38" s="1"/>
  <c r="M53" i="38"/>
  <c r="M89" i="38" s="1"/>
  <c r="M92" i="38" s="1"/>
  <c r="M93" i="38" s="1"/>
  <c r="AU48" i="38"/>
  <c r="AS89" i="38"/>
  <c r="AS92" i="38" s="1"/>
  <c r="AS94" i="38"/>
  <c r="AY94" i="38"/>
  <c r="AY96" i="38" s="1"/>
  <c r="AY88" i="38"/>
  <c r="BB96" i="38"/>
  <c r="BB103" i="38"/>
  <c r="V88" i="38"/>
  <c r="R52" i="38"/>
  <c r="V52" i="38" s="1"/>
  <c r="V89" i="38" s="1"/>
  <c r="P89" i="38"/>
  <c r="P92" i="38" s="1"/>
  <c r="P94" i="38"/>
  <c r="P96" i="38" s="1"/>
  <c r="AY89" i="38"/>
  <c r="BB102" i="38"/>
  <c r="BB98" i="38"/>
  <c r="BB99" i="38"/>
  <c r="BB100" i="38" s="1"/>
  <c r="BB93" i="38"/>
  <c r="BB95" i="38"/>
  <c r="BH96" i="38"/>
  <c r="BH103" i="38"/>
  <c r="BH98" i="38"/>
  <c r="BH99" i="38"/>
  <c r="BH100" i="38" s="1"/>
  <c r="BH93" i="38"/>
  <c r="BH102" i="38"/>
  <c r="BH95" i="38"/>
  <c r="BF103" i="21" l="1"/>
  <c r="BF115" i="21"/>
  <c r="BF116" i="21"/>
  <c r="W18" i="13"/>
  <c r="AB18" i="13" s="1"/>
  <c r="V22" i="13"/>
  <c r="W22" i="13" s="1"/>
  <c r="AB22" i="13" s="1"/>
  <c r="AP83" i="13"/>
  <c r="AP85" i="13" s="1"/>
  <c r="AP78" i="13"/>
  <c r="AP81" i="13" s="1"/>
  <c r="V83" i="13"/>
  <c r="V85" i="13" s="1"/>
  <c r="V77" i="13"/>
  <c r="V81" i="13" s="1"/>
  <c r="W35" i="13"/>
  <c r="AB35" i="13" s="1"/>
  <c r="P83" i="13"/>
  <c r="P85" i="13" s="1"/>
  <c r="P77" i="13"/>
  <c r="P81" i="13" s="1"/>
  <c r="AF15" i="13"/>
  <c r="AG15" i="13" s="1"/>
  <c r="AL15" i="13" s="1"/>
  <c r="AG12" i="13"/>
  <c r="AL12" i="13" s="1"/>
  <c r="M88" i="13"/>
  <c r="M89" i="13" s="1"/>
  <c r="M87" i="13"/>
  <c r="M84" i="13"/>
  <c r="M82" i="13"/>
  <c r="AG17" i="13"/>
  <c r="AL17" i="13" s="1"/>
  <c r="U48" i="58"/>
  <c r="Y48" i="58"/>
  <c r="AL87" i="58"/>
  <c r="AL90" i="58" s="1"/>
  <c r="AL92" i="58"/>
  <c r="AL94" i="58" s="1"/>
  <c r="AH96" i="58"/>
  <c r="AH93" i="58"/>
  <c r="AH91" i="58"/>
  <c r="BA96" i="58"/>
  <c r="BA93" i="58"/>
  <c r="BA91" i="58"/>
  <c r="AU93" i="58"/>
  <c r="AJ93" i="58"/>
  <c r="AJ91" i="58"/>
  <c r="AJ96" i="58"/>
  <c r="U50" i="58"/>
  <c r="Y50" i="58"/>
  <c r="S88" i="58"/>
  <c r="Y25" i="58"/>
  <c r="Y88" i="58" s="1"/>
  <c r="U45" i="58"/>
  <c r="Y45" i="58"/>
  <c r="W93" i="58"/>
  <c r="W91" i="58"/>
  <c r="R90" i="58"/>
  <c r="P96" i="58"/>
  <c r="P97" i="58"/>
  <c r="P98" i="58" s="1"/>
  <c r="P91" i="58"/>
  <c r="Y42" i="58"/>
  <c r="U42" i="58"/>
  <c r="S87" i="58"/>
  <c r="S90" i="58" s="1"/>
  <c r="O97" i="58"/>
  <c r="O98" i="58" s="1"/>
  <c r="O91" i="58"/>
  <c r="O96" i="58"/>
  <c r="AM77" i="49"/>
  <c r="AN73" i="49"/>
  <c r="P80" i="49"/>
  <c r="P78" i="49"/>
  <c r="P83" i="49"/>
  <c r="P88" i="49"/>
  <c r="AX87" i="49"/>
  <c r="AX79" i="49"/>
  <c r="AX81" i="49" s="1"/>
  <c r="AX73" i="49"/>
  <c r="AS103" i="38"/>
  <c r="AS96" i="38"/>
  <c r="V94" i="38"/>
  <c r="V96" i="38" s="1"/>
  <c r="P102" i="38"/>
  <c r="P98" i="38"/>
  <c r="P99" i="38"/>
  <c r="P100" i="38" s="1"/>
  <c r="P93" i="38"/>
  <c r="P95" i="38"/>
  <c r="V92" i="38"/>
  <c r="P103" i="38"/>
  <c r="AS93" i="38"/>
  <c r="AS95" i="38"/>
  <c r="AS102" i="38"/>
  <c r="AS98" i="38"/>
  <c r="AS99" i="38"/>
  <c r="AS100" i="38" s="1"/>
  <c r="AY92" i="38"/>
  <c r="AY103" i="38"/>
  <c r="AF35" i="13" l="1"/>
  <c r="Z35" i="13"/>
  <c r="V88" i="13"/>
  <c r="V89" i="13" s="1"/>
  <c r="V87" i="13"/>
  <c r="V84" i="13"/>
  <c r="V82" i="13"/>
  <c r="AP88" i="13"/>
  <c r="AP89" i="13" s="1"/>
  <c r="AP87" i="13"/>
  <c r="AP84" i="13"/>
  <c r="AP82" i="13"/>
  <c r="P88" i="13"/>
  <c r="P89" i="13" s="1"/>
  <c r="P87" i="13"/>
  <c r="P84" i="13"/>
  <c r="P82" i="13"/>
  <c r="AF18" i="13"/>
  <c r="Z18" i="13"/>
  <c r="Z22" i="13" s="1"/>
  <c r="R93" i="58"/>
  <c r="R91" i="58"/>
  <c r="Y87" i="58"/>
  <c r="Y90" i="58" s="1"/>
  <c r="AL96" i="58"/>
  <c r="AL93" i="58"/>
  <c r="AL91" i="58"/>
  <c r="S93" i="58"/>
  <c r="S91" i="58"/>
  <c r="AX77" i="49"/>
  <c r="AY73" i="49"/>
  <c r="AM83" i="49"/>
  <c r="AM80" i="49"/>
  <c r="AM78" i="49"/>
  <c r="AM88" i="49"/>
  <c r="AN77" i="49"/>
  <c r="AY95" i="38"/>
  <c r="AY93" i="38"/>
  <c r="AY102" i="38"/>
  <c r="AY98" i="38"/>
  <c r="AY99" i="38"/>
  <c r="AY100" i="38" s="1"/>
  <c r="V103" i="38"/>
  <c r="V98" i="38"/>
  <c r="V99" i="38"/>
  <c r="V100" i="38" s="1"/>
  <c r="V93" i="38"/>
  <c r="V102" i="38"/>
  <c r="V95" i="38"/>
  <c r="AG18" i="13" l="1"/>
  <c r="AL18" i="13" s="1"/>
  <c r="AF22" i="13"/>
  <c r="AG22" i="13" s="1"/>
  <c r="AL22" i="13" s="1"/>
  <c r="Z77" i="13"/>
  <c r="Z81" i="13" s="1"/>
  <c r="Z83" i="13"/>
  <c r="Z85" i="13" s="1"/>
  <c r="AF83" i="13"/>
  <c r="AF85" i="13" s="1"/>
  <c r="AF77" i="13"/>
  <c r="AF81" i="13" s="1"/>
  <c r="AG35" i="13"/>
  <c r="AL35" i="13" s="1"/>
  <c r="Y93" i="58"/>
  <c r="Y91" i="58"/>
  <c r="AX83" i="49"/>
  <c r="AX80" i="49"/>
  <c r="AX78" i="49"/>
  <c r="AY77" i="49"/>
  <c r="AX88" i="49"/>
  <c r="AF88" i="13" l="1"/>
  <c r="AF89" i="13" s="1"/>
  <c r="AF87" i="13"/>
  <c r="AF84" i="13"/>
  <c r="AF82" i="13"/>
  <c r="Z88" i="13"/>
  <c r="Z89" i="13" s="1"/>
  <c r="Z87" i="13"/>
  <c r="Z84" i="13"/>
  <c r="Z82" i="13"/>
  <c r="B102" i="104" l="1"/>
  <c r="AY92" i="104"/>
  <c r="AY90" i="104"/>
  <c r="AX90" i="104"/>
  <c r="AS90" i="104"/>
  <c r="AN90" i="104"/>
  <c r="AJ90" i="104"/>
  <c r="AE90" i="104"/>
  <c r="AA90" i="104"/>
  <c r="Z90" i="104"/>
  <c r="T90" i="104"/>
  <c r="O90" i="104"/>
  <c r="M90" i="104"/>
  <c r="L90" i="104"/>
  <c r="H90" i="104"/>
  <c r="AY89" i="104"/>
  <c r="AY101" i="104" s="1"/>
  <c r="BC87" i="104"/>
  <c r="BC98" i="104" s="1"/>
  <c r="BD86" i="104"/>
  <c r="BC86" i="104"/>
  <c r="AY86" i="104"/>
  <c r="AX86" i="104"/>
  <c r="AT86" i="104"/>
  <c r="AS86" i="104"/>
  <c r="AO86" i="104"/>
  <c r="AN86" i="104"/>
  <c r="AJ86" i="104"/>
  <c r="AI86" i="104"/>
  <c r="AE86" i="104"/>
  <c r="AA86" i="104"/>
  <c r="Z86" i="104"/>
  <c r="T86" i="104"/>
  <c r="P86" i="104"/>
  <c r="O86" i="104"/>
  <c r="L86" i="104"/>
  <c r="I86" i="104"/>
  <c r="H86" i="104"/>
  <c r="F86" i="104"/>
  <c r="BD85" i="104"/>
  <c r="BC85" i="104"/>
  <c r="AY85" i="104"/>
  <c r="AX85" i="104"/>
  <c r="AX87" i="104" s="1"/>
  <c r="AS85" i="104"/>
  <c r="AS89" i="104" s="1"/>
  <c r="AN85" i="104"/>
  <c r="AN89" i="104" s="1"/>
  <c r="AE85" i="104"/>
  <c r="AE87" i="104" s="1"/>
  <c r="Z85" i="104"/>
  <c r="Z89" i="104" s="1"/>
  <c r="T85" i="104"/>
  <c r="T89" i="104" s="1"/>
  <c r="L85" i="104"/>
  <c r="L87" i="104" s="1"/>
  <c r="H85" i="104"/>
  <c r="H89" i="104" s="1"/>
  <c r="BD84" i="104"/>
  <c r="BC84" i="104"/>
  <c r="AY84" i="104"/>
  <c r="AX84" i="104"/>
  <c r="AT84" i="104"/>
  <c r="AS84" i="104"/>
  <c r="AO84" i="104"/>
  <c r="AN84" i="104"/>
  <c r="AJ84" i="104"/>
  <c r="AI84" i="104"/>
  <c r="AE84" i="104"/>
  <c r="AA84" i="104"/>
  <c r="Z84" i="104"/>
  <c r="T84" i="104"/>
  <c r="O84" i="104"/>
  <c r="L84" i="104"/>
  <c r="I84" i="104"/>
  <c r="H84" i="104"/>
  <c r="F84" i="104"/>
  <c r="BD83" i="104"/>
  <c r="BD87" i="104" s="1"/>
  <c r="BC83" i="104"/>
  <c r="AY83" i="104"/>
  <c r="AY87" i="104" s="1"/>
  <c r="AX83" i="104"/>
  <c r="AS83" i="104"/>
  <c r="AS87" i="104" s="1"/>
  <c r="AN83" i="104"/>
  <c r="AN87" i="104" s="1"/>
  <c r="AJ83" i="104"/>
  <c r="AE83" i="104"/>
  <c r="Z83" i="104"/>
  <c r="Z87" i="104" s="1"/>
  <c r="T83" i="104"/>
  <c r="T87" i="104" s="1"/>
  <c r="O83" i="104"/>
  <c r="L83" i="104"/>
  <c r="H83" i="104"/>
  <c r="H87" i="104" s="1"/>
  <c r="F83" i="104"/>
  <c r="BF80" i="104"/>
  <c r="BA80" i="104"/>
  <c r="AV80" i="104"/>
  <c r="AQ80" i="104"/>
  <c r="AL80" i="104"/>
  <c r="AC80" i="104"/>
  <c r="AG80" i="104" s="1"/>
  <c r="R80" i="104"/>
  <c r="V80" i="104" s="1"/>
  <c r="J80" i="104"/>
  <c r="M80" i="104" s="1"/>
  <c r="BF79" i="104"/>
  <c r="BA79" i="104"/>
  <c r="AV79" i="104"/>
  <c r="AQ79" i="104"/>
  <c r="AL79" i="104"/>
  <c r="AG79" i="104"/>
  <c r="AC79" i="104"/>
  <c r="V79" i="104"/>
  <c r="R79" i="104"/>
  <c r="M79" i="104"/>
  <c r="J79" i="104"/>
  <c r="BF78" i="104"/>
  <c r="BA78" i="104"/>
  <c r="AV78" i="104"/>
  <c r="AQ78" i="104"/>
  <c r="AL78" i="104"/>
  <c r="AG78" i="104"/>
  <c r="AC78" i="104"/>
  <c r="R78" i="104"/>
  <c r="V78" i="104" s="1"/>
  <c r="J78" i="104"/>
  <c r="M78" i="104" s="1"/>
  <c r="BF77" i="104"/>
  <c r="BA77" i="104"/>
  <c r="AV77" i="104"/>
  <c r="AQ77" i="104"/>
  <c r="AL77" i="104"/>
  <c r="AG77" i="104"/>
  <c r="AC77" i="104"/>
  <c r="V77" i="104"/>
  <c r="R77" i="104"/>
  <c r="M77" i="104"/>
  <c r="J77" i="104"/>
  <c r="BF76" i="104"/>
  <c r="BA76" i="104"/>
  <c r="AV76" i="104"/>
  <c r="AQ76" i="104"/>
  <c r="AL76" i="104"/>
  <c r="AC76" i="104"/>
  <c r="AG76" i="104" s="1"/>
  <c r="V76" i="104"/>
  <c r="R76" i="104"/>
  <c r="J76" i="104"/>
  <c r="M76" i="104" s="1"/>
  <c r="BF75" i="104"/>
  <c r="BA75" i="104"/>
  <c r="AV75" i="104"/>
  <c r="AQ75" i="104"/>
  <c r="AL75" i="104"/>
  <c r="AG75" i="104"/>
  <c r="AC75" i="104"/>
  <c r="V75" i="104"/>
  <c r="R75" i="104"/>
  <c r="M75" i="104"/>
  <c r="J75" i="104"/>
  <c r="BF74" i="104"/>
  <c r="BA74" i="104"/>
  <c r="AV74" i="104"/>
  <c r="AQ74" i="104"/>
  <c r="AL74" i="104"/>
  <c r="AC74" i="104"/>
  <c r="AG74" i="104" s="1"/>
  <c r="R74" i="104"/>
  <c r="V74" i="104" s="1"/>
  <c r="M74" i="104"/>
  <c r="J74" i="104"/>
  <c r="BF73" i="104"/>
  <c r="BA73" i="104"/>
  <c r="AV73" i="104"/>
  <c r="AQ73" i="104"/>
  <c r="AL73" i="104"/>
  <c r="AG73" i="104"/>
  <c r="AC73" i="104"/>
  <c r="V73" i="104"/>
  <c r="R73" i="104"/>
  <c r="M73" i="104"/>
  <c r="J73" i="104"/>
  <c r="BF72" i="104"/>
  <c r="BA72" i="104"/>
  <c r="AQ72" i="104"/>
  <c r="AO72" i="104"/>
  <c r="AL72" i="104"/>
  <c r="AC72" i="104"/>
  <c r="AG72" i="104" s="1"/>
  <c r="R72" i="104"/>
  <c r="V72" i="104" s="1"/>
  <c r="J72" i="104"/>
  <c r="M72" i="104" s="1"/>
  <c r="BF69" i="104"/>
  <c r="BA69" i="104"/>
  <c r="AV69" i="104"/>
  <c r="AQ69" i="104"/>
  <c r="AL69" i="104"/>
  <c r="AC69" i="104"/>
  <c r="AG69" i="104" s="1"/>
  <c r="V69" i="104"/>
  <c r="R69" i="104"/>
  <c r="M69" i="104"/>
  <c r="J69" i="104"/>
  <c r="BF68" i="104"/>
  <c r="BA68" i="104"/>
  <c r="AV68" i="104"/>
  <c r="AQ68" i="104"/>
  <c r="AL68" i="104"/>
  <c r="AG68" i="104"/>
  <c r="AC68" i="104"/>
  <c r="R68" i="104"/>
  <c r="V68" i="104" s="1"/>
  <c r="J68" i="104"/>
  <c r="M68" i="104" s="1"/>
  <c r="BF67" i="104"/>
  <c r="BA67" i="104"/>
  <c r="AV67" i="104"/>
  <c r="AQ67" i="104"/>
  <c r="AL67" i="104"/>
  <c r="AG67" i="104"/>
  <c r="AC67" i="104"/>
  <c r="R67" i="104"/>
  <c r="V67" i="104" s="1"/>
  <c r="M67" i="104"/>
  <c r="J67" i="104"/>
  <c r="BF66" i="104"/>
  <c r="BA66" i="104"/>
  <c r="AV66" i="104"/>
  <c r="AQ66" i="104"/>
  <c r="AL66" i="104"/>
  <c r="AC66" i="104"/>
  <c r="AG66" i="104" s="1"/>
  <c r="V66" i="104"/>
  <c r="R66" i="104"/>
  <c r="J66" i="104"/>
  <c r="M66" i="104" s="1"/>
  <c r="BF64" i="104"/>
  <c r="BA64" i="104"/>
  <c r="AV64" i="104"/>
  <c r="AQ64" i="104"/>
  <c r="AL64" i="104"/>
  <c r="AG64" i="104"/>
  <c r="AC64" i="104"/>
  <c r="V64" i="104"/>
  <c r="R64" i="104"/>
  <c r="BF63" i="104"/>
  <c r="BA63" i="104"/>
  <c r="AV63" i="104"/>
  <c r="AQ63" i="104"/>
  <c r="AL63" i="104"/>
  <c r="AC63" i="104"/>
  <c r="AG63" i="104" s="1"/>
  <c r="R63" i="104"/>
  <c r="V63" i="104" s="1"/>
  <c r="V86" i="104" s="1"/>
  <c r="BF62" i="104"/>
  <c r="BA62" i="104"/>
  <c r="AV62" i="104"/>
  <c r="AQ62" i="104"/>
  <c r="AL62" i="104"/>
  <c r="AG62" i="104"/>
  <c r="AG86" i="104" s="1"/>
  <c r="AC62" i="104"/>
  <c r="V62" i="104"/>
  <c r="R62" i="104"/>
  <c r="J62" i="104"/>
  <c r="BF60" i="104"/>
  <c r="BA60" i="104"/>
  <c r="AV60" i="104"/>
  <c r="AQ60" i="104"/>
  <c r="AL60" i="104"/>
  <c r="AC60" i="104"/>
  <c r="AG60" i="104" s="1"/>
  <c r="AA60" i="104"/>
  <c r="V60" i="104"/>
  <c r="R60" i="104"/>
  <c r="J60" i="104"/>
  <c r="M60" i="104" s="1"/>
  <c r="P60" i="104" s="1"/>
  <c r="BF59" i="104"/>
  <c r="BA59" i="104"/>
  <c r="AV59" i="104"/>
  <c r="AQ59" i="104"/>
  <c r="AL59" i="104"/>
  <c r="AG59" i="104"/>
  <c r="AC59" i="104"/>
  <c r="AA59" i="104"/>
  <c r="R59" i="104"/>
  <c r="V59" i="104" s="1"/>
  <c r="P59" i="104"/>
  <c r="M59" i="104"/>
  <c r="J59" i="104"/>
  <c r="BF58" i="104"/>
  <c r="BA58" i="104"/>
  <c r="AV58" i="104"/>
  <c r="AQ58" i="104"/>
  <c r="AL58" i="104"/>
  <c r="AG58" i="104"/>
  <c r="AC58" i="104"/>
  <c r="AA58" i="104"/>
  <c r="V58" i="104"/>
  <c r="R58" i="104"/>
  <c r="P58" i="104"/>
  <c r="BF57" i="104"/>
  <c r="BA57" i="104"/>
  <c r="AV57" i="104"/>
  <c r="AQ57" i="104"/>
  <c r="AL57" i="104"/>
  <c r="AG57" i="104"/>
  <c r="AC57" i="104"/>
  <c r="AA57" i="104"/>
  <c r="R57" i="104"/>
  <c r="V57" i="104" s="1"/>
  <c r="P57" i="104"/>
  <c r="M57" i="104"/>
  <c r="J57" i="104"/>
  <c r="BF56" i="104"/>
  <c r="BA56" i="104"/>
  <c r="AV56" i="104"/>
  <c r="AQ56" i="104"/>
  <c r="AL56" i="104"/>
  <c r="AG56" i="104"/>
  <c r="AC56" i="104"/>
  <c r="AA56" i="104"/>
  <c r="V56" i="104"/>
  <c r="R56" i="104"/>
  <c r="J56" i="104"/>
  <c r="M56" i="104" s="1"/>
  <c r="P56" i="104" s="1"/>
  <c r="BF55" i="104"/>
  <c r="BA55" i="104"/>
  <c r="AV55" i="104"/>
  <c r="AQ55" i="104"/>
  <c r="AL55" i="104"/>
  <c r="AG55" i="104"/>
  <c r="AC55" i="104"/>
  <c r="AA55" i="104"/>
  <c r="V55" i="104"/>
  <c r="R55" i="104"/>
  <c r="M55" i="104"/>
  <c r="P55" i="104" s="1"/>
  <c r="J55" i="104"/>
  <c r="BF54" i="104"/>
  <c r="BA54" i="104"/>
  <c r="AI54" i="104"/>
  <c r="AJ54" i="104" s="1"/>
  <c r="AL54" i="104" s="1"/>
  <c r="AO54" i="104" s="1"/>
  <c r="AQ54" i="104" s="1"/>
  <c r="AC54" i="104"/>
  <c r="AG54" i="104" s="1"/>
  <c r="AA54" i="104"/>
  <c r="P54" i="104"/>
  <c r="R54" i="104" s="1"/>
  <c r="V54" i="104" s="1"/>
  <c r="J54" i="104"/>
  <c r="M54" i="104" s="1"/>
  <c r="BF53" i="104"/>
  <c r="BA53" i="104"/>
  <c r="AI53" i="104"/>
  <c r="AG53" i="104"/>
  <c r="AC53" i="104"/>
  <c r="AA53" i="104"/>
  <c r="P53" i="104"/>
  <c r="R53" i="104" s="1"/>
  <c r="V53" i="104" s="1"/>
  <c r="J53" i="104"/>
  <c r="M53" i="104" s="1"/>
  <c r="BF51" i="104"/>
  <c r="BA51" i="104"/>
  <c r="AV51" i="104"/>
  <c r="AQ51" i="104"/>
  <c r="AL51" i="104"/>
  <c r="AC51" i="104"/>
  <c r="AG51" i="104" s="1"/>
  <c r="AA51" i="104"/>
  <c r="V51" i="104"/>
  <c r="R51" i="104"/>
  <c r="J51" i="104"/>
  <c r="M51" i="104" s="1"/>
  <c r="P51" i="104" s="1"/>
  <c r="BF50" i="104"/>
  <c r="BA50" i="104"/>
  <c r="AV50" i="104"/>
  <c r="AQ50" i="104"/>
  <c r="AL50" i="104"/>
  <c r="AG50" i="104"/>
  <c r="AC50" i="104"/>
  <c r="AA50" i="104"/>
  <c r="R50" i="104"/>
  <c r="V50" i="104" s="1"/>
  <c r="P50" i="104"/>
  <c r="M50" i="104"/>
  <c r="J50" i="104"/>
  <c r="BF49" i="104"/>
  <c r="BA49" i="104"/>
  <c r="AV49" i="104"/>
  <c r="AQ49" i="104"/>
  <c r="AL49" i="104"/>
  <c r="AG49" i="104"/>
  <c r="AC49" i="104"/>
  <c r="AA49" i="104"/>
  <c r="V49" i="104"/>
  <c r="R49" i="104"/>
  <c r="J49" i="104"/>
  <c r="M49" i="104" s="1"/>
  <c r="P49" i="104" s="1"/>
  <c r="BF48" i="104"/>
  <c r="BA48" i="104"/>
  <c r="AV48" i="104"/>
  <c r="AQ48" i="104"/>
  <c r="AL48" i="104"/>
  <c r="AG48" i="104"/>
  <c r="AC48" i="104"/>
  <c r="AA48" i="104"/>
  <c r="V48" i="104"/>
  <c r="R48" i="104"/>
  <c r="M48" i="104"/>
  <c r="P48" i="104" s="1"/>
  <c r="J48" i="104"/>
  <c r="BF47" i="104"/>
  <c r="BA47" i="104"/>
  <c r="AV47" i="104"/>
  <c r="AQ47" i="104"/>
  <c r="AL47" i="104"/>
  <c r="AC47" i="104"/>
  <c r="AG47" i="104" s="1"/>
  <c r="AA47" i="104"/>
  <c r="V47" i="104"/>
  <c r="R47" i="104"/>
  <c r="P47" i="104"/>
  <c r="M47" i="104"/>
  <c r="J47" i="104"/>
  <c r="BF46" i="104"/>
  <c r="BA46" i="104"/>
  <c r="AV46" i="104"/>
  <c r="AQ46" i="104"/>
  <c r="AL46" i="104"/>
  <c r="AG46" i="104"/>
  <c r="AC46" i="104"/>
  <c r="AA46" i="104"/>
  <c r="R46" i="104"/>
  <c r="V46" i="104" s="1"/>
  <c r="M46" i="104"/>
  <c r="P46" i="104" s="1"/>
  <c r="J46" i="104"/>
  <c r="BF45" i="104"/>
  <c r="BA45" i="104"/>
  <c r="AV45" i="104"/>
  <c r="AQ45" i="104"/>
  <c r="AL45" i="104"/>
  <c r="AC45" i="104"/>
  <c r="AG45" i="104" s="1"/>
  <c r="AA45" i="104"/>
  <c r="V45" i="104"/>
  <c r="V84" i="104" s="1"/>
  <c r="R45" i="104"/>
  <c r="J45" i="104"/>
  <c r="M45" i="104" s="1"/>
  <c r="BF43" i="104"/>
  <c r="BA43" i="104"/>
  <c r="AV43" i="104"/>
  <c r="AQ43" i="104"/>
  <c r="AL43" i="104"/>
  <c r="AG43" i="104"/>
  <c r="AC43" i="104"/>
  <c r="AA43" i="104"/>
  <c r="R43" i="104"/>
  <c r="V43" i="104" s="1"/>
  <c r="M43" i="104"/>
  <c r="P43" i="104" s="1"/>
  <c r="J43" i="104"/>
  <c r="BF42" i="104"/>
  <c r="BA42" i="104"/>
  <c r="AV42" i="104"/>
  <c r="AQ42" i="104"/>
  <c r="AL42" i="104"/>
  <c r="AC42" i="104"/>
  <c r="AG42" i="104" s="1"/>
  <c r="AA42" i="104"/>
  <c r="V42" i="104"/>
  <c r="R42" i="104"/>
  <c r="J42" i="104"/>
  <c r="M42" i="104" s="1"/>
  <c r="P42" i="104" s="1"/>
  <c r="BF41" i="104"/>
  <c r="BA41" i="104"/>
  <c r="AV41" i="104"/>
  <c r="AQ41" i="104"/>
  <c r="AL41" i="104"/>
  <c r="AG41" i="104"/>
  <c r="AC41" i="104"/>
  <c r="AA41" i="104"/>
  <c r="AA83" i="104" s="1"/>
  <c r="AA87" i="104" s="1"/>
  <c r="R41" i="104"/>
  <c r="V41" i="104" s="1"/>
  <c r="P41" i="104"/>
  <c r="M41" i="104"/>
  <c r="J41" i="104"/>
  <c r="BF39" i="104"/>
  <c r="BA39" i="104"/>
  <c r="AV39" i="104"/>
  <c r="AT39" i="104"/>
  <c r="AQ39" i="104"/>
  <c r="AO39" i="104"/>
  <c r="AL39" i="104"/>
  <c r="AI39" i="104"/>
  <c r="AG39" i="104"/>
  <c r="AG90" i="104" s="1"/>
  <c r="AC39" i="104"/>
  <c r="P39" i="104"/>
  <c r="M39" i="104"/>
  <c r="I39" i="104"/>
  <c r="BF38" i="104"/>
  <c r="BA38" i="104"/>
  <c r="AT38" i="104"/>
  <c r="AV38" i="104" s="1"/>
  <c r="AO38" i="104"/>
  <c r="AQ38" i="104" s="1"/>
  <c r="AL38" i="104"/>
  <c r="AI38" i="104"/>
  <c r="AC38" i="104"/>
  <c r="AG38" i="104" s="1"/>
  <c r="R38" i="104"/>
  <c r="V38" i="104" s="1"/>
  <c r="M38" i="104"/>
  <c r="I38" i="104"/>
  <c r="BF35" i="104"/>
  <c r="BA35" i="104"/>
  <c r="AT35" i="104"/>
  <c r="AT90" i="104" s="1"/>
  <c r="AI35" i="104"/>
  <c r="AL35" i="104" s="1"/>
  <c r="AO35" i="104" s="1"/>
  <c r="AG35" i="104"/>
  <c r="AC35" i="104"/>
  <c r="R35" i="104"/>
  <c r="V35" i="104" s="1"/>
  <c r="P35" i="104"/>
  <c r="P90" i="104" s="1"/>
  <c r="M35" i="104"/>
  <c r="I35" i="104"/>
  <c r="I90" i="104" s="1"/>
  <c r="BF34" i="104"/>
  <c r="BA34" i="104"/>
  <c r="AV34" i="104"/>
  <c r="AT34" i="104"/>
  <c r="AL34" i="104"/>
  <c r="AO34" i="104" s="1"/>
  <c r="AI34" i="104"/>
  <c r="AG34" i="104"/>
  <c r="AC34" i="104"/>
  <c r="V34" i="104"/>
  <c r="R34" i="104"/>
  <c r="M34" i="104"/>
  <c r="I34" i="104"/>
  <c r="BF30" i="104"/>
  <c r="BA30" i="104"/>
  <c r="AV30" i="104"/>
  <c r="AQ30" i="104"/>
  <c r="AL30" i="104"/>
  <c r="AC30" i="104"/>
  <c r="AG30" i="104" s="1"/>
  <c r="R30" i="104"/>
  <c r="V30" i="104" s="1"/>
  <c r="BF29" i="104"/>
  <c r="BA29" i="104"/>
  <c r="AV29" i="104"/>
  <c r="AQ29" i="104"/>
  <c r="AL29" i="104"/>
  <c r="AG29" i="104"/>
  <c r="AC29" i="104"/>
  <c r="V29" i="104"/>
  <c r="R29" i="104"/>
  <c r="M28" i="104"/>
  <c r="M62" i="104" s="1"/>
  <c r="M86" i="104" s="1"/>
  <c r="J28" i="104"/>
  <c r="AT27" i="104"/>
  <c r="AS27" i="104"/>
  <c r="AO27" i="104"/>
  <c r="AN27" i="104"/>
  <c r="AJ27" i="104"/>
  <c r="AI27" i="104"/>
  <c r="AI85" i="104" s="1"/>
  <c r="AG27" i="104"/>
  <c r="AG25" i="104" s="1"/>
  <c r="AJ25" i="104" s="1"/>
  <c r="AL25" i="104" s="1"/>
  <c r="AO25" i="104" s="1"/>
  <c r="AQ25" i="104" s="1"/>
  <c r="AE27" i="104"/>
  <c r="AA27" i="104"/>
  <c r="AA85" i="104" s="1"/>
  <c r="AA89" i="104" s="1"/>
  <c r="Z27" i="104"/>
  <c r="V27" i="104"/>
  <c r="V85" i="104" s="1"/>
  <c r="T27" i="104"/>
  <c r="P27" i="104"/>
  <c r="O27" i="104"/>
  <c r="O85" i="104" s="1"/>
  <c r="M27" i="104"/>
  <c r="M85" i="104" s="1"/>
  <c r="L27" i="104"/>
  <c r="I27" i="104"/>
  <c r="H27" i="104"/>
  <c r="F27" i="104"/>
  <c r="F25" i="104" s="1"/>
  <c r="BF26" i="104"/>
  <c r="BA26" i="104"/>
  <c r="AV26" i="104"/>
  <c r="AQ26" i="104"/>
  <c r="AO26" i="104"/>
  <c r="AL26" i="104"/>
  <c r="AC26" i="104"/>
  <c r="R26" i="104"/>
  <c r="J26" i="104"/>
  <c r="BF25" i="104"/>
  <c r="BA25" i="104"/>
  <c r="AV25" i="104"/>
  <c r="AC25" i="104"/>
  <c r="AA25" i="104"/>
  <c r="J25" i="104"/>
  <c r="I25" i="104"/>
  <c r="BF24" i="104"/>
  <c r="BA24" i="104"/>
  <c r="AV24" i="104"/>
  <c r="AQ24" i="104"/>
  <c r="AL24" i="104"/>
  <c r="AO24" i="104" s="1"/>
  <c r="AC24" i="104"/>
  <c r="R24" i="104"/>
  <c r="J24" i="104"/>
  <c r="BF23" i="104"/>
  <c r="BA23" i="104"/>
  <c r="AV23" i="104"/>
  <c r="AJ23" i="104"/>
  <c r="AL23" i="104" s="1"/>
  <c r="AO23" i="104" s="1"/>
  <c r="AQ23" i="104" s="1"/>
  <c r="AC23" i="104"/>
  <c r="AG23" i="104" s="1"/>
  <c r="R23" i="104"/>
  <c r="J23" i="104"/>
  <c r="BD21" i="104"/>
  <c r="AX21" i="104"/>
  <c r="AN21" i="104"/>
  <c r="AJ21" i="104"/>
  <c r="AL21" i="104" s="1"/>
  <c r="AI21" i="104"/>
  <c r="AC21" i="104"/>
  <c r="R21" i="104"/>
  <c r="J21" i="104"/>
  <c r="I21" i="104"/>
  <c r="F21" i="104"/>
  <c r="BF20" i="104"/>
  <c r="BD20" i="104"/>
  <c r="BA20" i="104"/>
  <c r="AY20" i="104"/>
  <c r="AV20" i="104"/>
  <c r="AQ20" i="104"/>
  <c r="AL20" i="104"/>
  <c r="AO20" i="104" s="1"/>
  <c r="AC20" i="104"/>
  <c r="R20" i="104"/>
  <c r="BF19" i="104"/>
  <c r="BA19" i="104"/>
  <c r="AT19" i="104"/>
  <c r="AV19" i="104" s="1"/>
  <c r="AO19" i="104"/>
  <c r="AQ19" i="104" s="1"/>
  <c r="AL19" i="104"/>
  <c r="AC19" i="104"/>
  <c r="R19" i="104"/>
  <c r="J19" i="104"/>
  <c r="BF18" i="104"/>
  <c r="BA18" i="104"/>
  <c r="AT18" i="104"/>
  <c r="AV18" i="104" s="1"/>
  <c r="AQ18" i="104"/>
  <c r="AO18" i="104"/>
  <c r="AL18" i="104"/>
  <c r="AG18" i="104"/>
  <c r="AC18" i="104"/>
  <c r="R18" i="104"/>
  <c r="M18" i="104"/>
  <c r="L18" i="104"/>
  <c r="BD17" i="104"/>
  <c r="BC17" i="104"/>
  <c r="BC21" i="104" s="1"/>
  <c r="BF21" i="104" s="1"/>
  <c r="AY17" i="104"/>
  <c r="AY21" i="104" s="1"/>
  <c r="AX17" i="104"/>
  <c r="BA17" i="104" s="1"/>
  <c r="AS17" i="104"/>
  <c r="AS21" i="104" s="1"/>
  <c r="AO17" i="104"/>
  <c r="AN17" i="104"/>
  <c r="AQ17" i="104" s="1"/>
  <c r="AL17" i="104"/>
  <c r="AE17" i="104"/>
  <c r="AG17" i="104" s="1"/>
  <c r="AG21" i="104" s="1"/>
  <c r="AC17" i="104"/>
  <c r="AA17" i="104"/>
  <c r="R17" i="104"/>
  <c r="V17" i="104" s="1"/>
  <c r="V18" i="104" s="1"/>
  <c r="J17" i="104"/>
  <c r="BD15" i="104"/>
  <c r="BC15" i="104"/>
  <c r="BF15" i="104" s="1"/>
  <c r="BA15" i="104"/>
  <c r="AY15" i="104"/>
  <c r="AX15" i="104"/>
  <c r="AV15" i="104"/>
  <c r="AS15" i="104"/>
  <c r="AN15" i="104"/>
  <c r="AL15" i="104"/>
  <c r="AG15" i="104"/>
  <c r="AC15" i="104"/>
  <c r="R15" i="104"/>
  <c r="J15" i="104"/>
  <c r="AT14" i="104"/>
  <c r="AT12" i="104" s="1"/>
  <c r="AV12" i="104" s="1"/>
  <c r="AO14" i="104"/>
  <c r="AJ14" i="104"/>
  <c r="R14" i="104"/>
  <c r="BF13" i="104"/>
  <c r="BA13" i="104"/>
  <c r="AV13" i="104"/>
  <c r="AJ13" i="104"/>
  <c r="AL13" i="104" s="1"/>
  <c r="AO13" i="104" s="1"/>
  <c r="AQ13" i="104" s="1"/>
  <c r="AG13" i="104"/>
  <c r="AC13" i="104"/>
  <c r="O13" i="104"/>
  <c r="R13" i="104" s="1"/>
  <c r="M13" i="104"/>
  <c r="J13" i="104"/>
  <c r="I13" i="104"/>
  <c r="BF12" i="104"/>
  <c r="BA12" i="104"/>
  <c r="AI12" i="104"/>
  <c r="AG12" i="104"/>
  <c r="AC12" i="104"/>
  <c r="AA12" i="104"/>
  <c r="V12" i="104"/>
  <c r="R12" i="104"/>
  <c r="L12" i="104"/>
  <c r="J12" i="104"/>
  <c r="B94" i="103"/>
  <c r="B93" i="103"/>
  <c r="B92" i="103"/>
  <c r="B91" i="103"/>
  <c r="B90" i="103"/>
  <c r="B89" i="103"/>
  <c r="P78" i="103"/>
  <c r="P77" i="103"/>
  <c r="K77" i="103"/>
  <c r="K78" i="103" s="1"/>
  <c r="G77" i="103"/>
  <c r="G78" i="103" s="1"/>
  <c r="F77" i="103"/>
  <c r="F78" i="103" s="1"/>
  <c r="Q73" i="103"/>
  <c r="P73" i="103"/>
  <c r="L73" i="103"/>
  <c r="K73" i="103"/>
  <c r="G73" i="103"/>
  <c r="F73" i="103"/>
  <c r="Q72" i="103"/>
  <c r="P72" i="103"/>
  <c r="Q71" i="103"/>
  <c r="P71" i="103"/>
  <c r="L71" i="103"/>
  <c r="K71" i="103"/>
  <c r="G71" i="103"/>
  <c r="F71" i="103"/>
  <c r="K70" i="103"/>
  <c r="G70" i="103"/>
  <c r="F70" i="103"/>
  <c r="S67" i="103"/>
  <c r="N67" i="103"/>
  <c r="I67" i="103"/>
  <c r="S66" i="103"/>
  <c r="N66" i="103"/>
  <c r="I66" i="103"/>
  <c r="S65" i="103"/>
  <c r="N65" i="103"/>
  <c r="I65" i="103"/>
  <c r="S64" i="103"/>
  <c r="I64" i="103"/>
  <c r="S61" i="103"/>
  <c r="N61" i="103"/>
  <c r="I61" i="103"/>
  <c r="S59" i="103"/>
  <c r="N59" i="103"/>
  <c r="I59" i="103"/>
  <c r="S58" i="103"/>
  <c r="N58" i="103"/>
  <c r="I58" i="103"/>
  <c r="S56" i="103"/>
  <c r="N56" i="103"/>
  <c r="I56" i="103"/>
  <c r="S55" i="103"/>
  <c r="N55" i="103"/>
  <c r="I55" i="103"/>
  <c r="S54" i="103"/>
  <c r="N54" i="103"/>
  <c r="I54" i="103"/>
  <c r="S53" i="103"/>
  <c r="N53" i="103"/>
  <c r="I53" i="103"/>
  <c r="S52" i="103"/>
  <c r="N52" i="103"/>
  <c r="I52" i="103"/>
  <c r="S50" i="103"/>
  <c r="N50" i="103"/>
  <c r="I50" i="103"/>
  <c r="S49" i="103"/>
  <c r="N49" i="103"/>
  <c r="I49" i="103"/>
  <c r="S48" i="103"/>
  <c r="N48" i="103"/>
  <c r="I48" i="103"/>
  <c r="S47" i="103"/>
  <c r="N47" i="103"/>
  <c r="I47" i="103"/>
  <c r="S46" i="103"/>
  <c r="N46" i="103"/>
  <c r="I46" i="103"/>
  <c r="S45" i="103"/>
  <c r="N45" i="103"/>
  <c r="I45" i="103"/>
  <c r="S44" i="103"/>
  <c r="N44" i="103"/>
  <c r="I44" i="103"/>
  <c r="S42" i="103"/>
  <c r="N42" i="103"/>
  <c r="I42" i="103"/>
  <c r="S41" i="103"/>
  <c r="N41" i="103"/>
  <c r="I41" i="103"/>
  <c r="S40" i="103"/>
  <c r="N40" i="103"/>
  <c r="I40" i="103"/>
  <c r="S38" i="103"/>
  <c r="N38" i="103"/>
  <c r="I38" i="103"/>
  <c r="S37" i="103"/>
  <c r="N37" i="103"/>
  <c r="I37" i="103"/>
  <c r="N36" i="103"/>
  <c r="I36" i="103"/>
  <c r="I35" i="103"/>
  <c r="N34" i="103"/>
  <c r="Q34" i="103" s="1"/>
  <c r="I34" i="103"/>
  <c r="Q33" i="103"/>
  <c r="P33" i="103"/>
  <c r="P76" i="103" s="1"/>
  <c r="P79" i="103" s="1"/>
  <c r="N33" i="103"/>
  <c r="Q36" i="103" s="1"/>
  <c r="S36" i="103" s="1"/>
  <c r="L33" i="103"/>
  <c r="K33" i="103"/>
  <c r="I33" i="103"/>
  <c r="S32" i="103"/>
  <c r="N32" i="103"/>
  <c r="S28" i="103"/>
  <c r="N28" i="103"/>
  <c r="I28" i="103"/>
  <c r="Q27" i="103"/>
  <c r="K27" i="103"/>
  <c r="K72" i="103" s="1"/>
  <c r="F27" i="103"/>
  <c r="F72" i="103" s="1"/>
  <c r="F76" i="103" s="1"/>
  <c r="F79" i="103" s="1"/>
  <c r="S26" i="103"/>
  <c r="N26" i="103"/>
  <c r="I26" i="103"/>
  <c r="S25" i="103"/>
  <c r="N25" i="103"/>
  <c r="I25" i="103"/>
  <c r="S24" i="103"/>
  <c r="N24" i="103"/>
  <c r="I24" i="103"/>
  <c r="S23" i="103"/>
  <c r="N23" i="103"/>
  <c r="I23" i="103"/>
  <c r="P21" i="103"/>
  <c r="L21" i="103"/>
  <c r="N20" i="103"/>
  <c r="Q20" i="103" s="1"/>
  <c r="S20" i="103" s="1"/>
  <c r="I20" i="103"/>
  <c r="N19" i="103"/>
  <c r="Q19" i="103" s="1"/>
  <c r="K19" i="103"/>
  <c r="L35" i="103" s="1"/>
  <c r="K18" i="103"/>
  <c r="N18" i="103" s="1"/>
  <c r="Q18" i="103" s="1"/>
  <c r="G18" i="103"/>
  <c r="S17" i="103"/>
  <c r="N17" i="103"/>
  <c r="Q17" i="103" s="1"/>
  <c r="I17" i="103"/>
  <c r="K16" i="103"/>
  <c r="K21" i="103" s="1"/>
  <c r="N21" i="103" s="1"/>
  <c r="I16" i="103"/>
  <c r="G16" i="103"/>
  <c r="G21" i="103" s="1"/>
  <c r="F16" i="103"/>
  <c r="F21" i="103" s="1"/>
  <c r="P14" i="103"/>
  <c r="L14" i="103"/>
  <c r="K14" i="103"/>
  <c r="N14" i="103" s="1"/>
  <c r="G14" i="103"/>
  <c r="F14" i="103"/>
  <c r="I14" i="103" s="1"/>
  <c r="N13" i="103"/>
  <c r="Q13" i="103" s="1"/>
  <c r="S13" i="103" s="1"/>
  <c r="I13" i="103"/>
  <c r="N12" i="103"/>
  <c r="Q12" i="103" s="1"/>
  <c r="L12" i="103"/>
  <c r="I12" i="103"/>
  <c r="BM57" i="13"/>
  <c r="BM54" i="13"/>
  <c r="BM52" i="13"/>
  <c r="BM51" i="13"/>
  <c r="BM50" i="13"/>
  <c r="BM48" i="13"/>
  <c r="BM44" i="13"/>
  <c r="BM43" i="13"/>
  <c r="BM42" i="13"/>
  <c r="BM39" i="13"/>
  <c r="BM40" i="13" s="1"/>
  <c r="BM62" i="13" s="1"/>
  <c r="BM38" i="13"/>
  <c r="BM36" i="13"/>
  <c r="BM35" i="13"/>
  <c r="BM27" i="13"/>
  <c r="BM26" i="13"/>
  <c r="BM25" i="13"/>
  <c r="BM24" i="13"/>
  <c r="BM22" i="13"/>
  <c r="BM20" i="13"/>
  <c r="BM19" i="13"/>
  <c r="BM18" i="13"/>
  <c r="BM17" i="13"/>
  <c r="BM15" i="13"/>
  <c r="BM13" i="13"/>
  <c r="BM12" i="13"/>
  <c r="H88" i="104" l="1"/>
  <c r="H100" i="104"/>
  <c r="H94" i="104"/>
  <c r="H91" i="104"/>
  <c r="AS98" i="104"/>
  <c r="AS88" i="104"/>
  <c r="AS100" i="104"/>
  <c r="AS94" i="104"/>
  <c r="AS91" i="104"/>
  <c r="AO21" i="104"/>
  <c r="AQ21" i="104" s="1"/>
  <c r="O89" i="104"/>
  <c r="O87" i="104"/>
  <c r="V89" i="104"/>
  <c r="L88" i="104"/>
  <c r="L94" i="104"/>
  <c r="P85" i="104"/>
  <c r="P89" i="104" s="1"/>
  <c r="AJ85" i="104"/>
  <c r="AJ89" i="104" s="1"/>
  <c r="M89" i="104"/>
  <c r="AA88" i="104"/>
  <c r="AA100" i="104"/>
  <c r="AA94" i="104"/>
  <c r="AA91" i="104"/>
  <c r="AY98" i="104"/>
  <c r="AY88" i="104"/>
  <c r="AY100" i="104"/>
  <c r="AY94" i="104"/>
  <c r="AY91" i="104"/>
  <c r="T101" i="104"/>
  <c r="T92" i="104"/>
  <c r="BA21" i="104"/>
  <c r="AQ35" i="104"/>
  <c r="AO90" i="104"/>
  <c r="P83" i="104"/>
  <c r="AG84" i="104"/>
  <c r="T94" i="104"/>
  <c r="T91" i="104"/>
  <c r="T100" i="104"/>
  <c r="T88" i="104"/>
  <c r="Z92" i="104"/>
  <c r="Z101" i="104"/>
  <c r="Z88" i="104"/>
  <c r="Z100" i="104"/>
  <c r="Z94" i="104"/>
  <c r="Z91" i="104"/>
  <c r="BD100" i="104"/>
  <c r="BD101" i="104"/>
  <c r="BD94" i="104"/>
  <c r="BD98" i="104"/>
  <c r="BD88" i="104"/>
  <c r="AE88" i="104"/>
  <c r="AE94" i="104"/>
  <c r="AO83" i="104"/>
  <c r="AQ34" i="104"/>
  <c r="AN101" i="104"/>
  <c r="AN92" i="104"/>
  <c r="I85" i="104"/>
  <c r="I89" i="104" s="1"/>
  <c r="AA92" i="104"/>
  <c r="AA101" i="104"/>
  <c r="AG89" i="104"/>
  <c r="AS92" i="104"/>
  <c r="AS101" i="104"/>
  <c r="H92" i="104"/>
  <c r="H101" i="104"/>
  <c r="AI89" i="104"/>
  <c r="M84" i="104"/>
  <c r="P45" i="104"/>
  <c r="P84" i="104" s="1"/>
  <c r="AN94" i="104"/>
  <c r="AN91" i="104"/>
  <c r="AN100" i="104"/>
  <c r="AN98" i="104"/>
  <c r="AN88" i="104"/>
  <c r="AX98" i="104"/>
  <c r="AX88" i="104"/>
  <c r="AX94" i="104"/>
  <c r="AE21" i="104"/>
  <c r="M25" i="104"/>
  <c r="AV35" i="104"/>
  <c r="AT53" i="104"/>
  <c r="AV53" i="104" s="1"/>
  <c r="I83" i="104"/>
  <c r="AT83" i="104"/>
  <c r="AG85" i="104"/>
  <c r="AI90" i="104"/>
  <c r="BF17" i="104"/>
  <c r="P25" i="104"/>
  <c r="R25" i="104" s="1"/>
  <c r="AT17" i="104"/>
  <c r="I53" i="104"/>
  <c r="AT54" i="104"/>
  <c r="AV54" i="104" s="1"/>
  <c r="M83" i="104"/>
  <c r="M87" i="104" s="1"/>
  <c r="AG83" i="104"/>
  <c r="AG87" i="104" s="1"/>
  <c r="L89" i="104"/>
  <c r="AE89" i="104"/>
  <c r="AX89" i="104"/>
  <c r="V25" i="104"/>
  <c r="AI83" i="104"/>
  <c r="AI87" i="104" s="1"/>
  <c r="AJ12" i="104"/>
  <c r="AL12" i="104" s="1"/>
  <c r="AO12" i="104" s="1"/>
  <c r="R39" i="104"/>
  <c r="V39" i="104" s="1"/>
  <c r="V90" i="104" s="1"/>
  <c r="AJ53" i="104"/>
  <c r="AL53" i="104" s="1"/>
  <c r="AO53" i="104" s="1"/>
  <c r="I54" i="104"/>
  <c r="F85" i="104"/>
  <c r="F87" i="104" s="1"/>
  <c r="BC94" i="104"/>
  <c r="BC101" i="104"/>
  <c r="BC100" i="104"/>
  <c r="BC88" i="104"/>
  <c r="K76" i="103"/>
  <c r="K79" i="103" s="1"/>
  <c r="S34" i="103"/>
  <c r="F74" i="103"/>
  <c r="N35" i="103"/>
  <c r="Q35" i="103" s="1"/>
  <c r="S35" i="103" s="1"/>
  <c r="L77" i="103"/>
  <c r="L78" i="103" s="1"/>
  <c r="L70" i="103"/>
  <c r="S12" i="103"/>
  <c r="Q14" i="103"/>
  <c r="S14" i="103" s="1"/>
  <c r="I21" i="103"/>
  <c r="Q76" i="103"/>
  <c r="Q79" i="103" s="1"/>
  <c r="K74" i="103"/>
  <c r="S33" i="103"/>
  <c r="N16" i="103"/>
  <c r="Q16" i="103" s="1"/>
  <c r="G27" i="103"/>
  <c r="G72" i="103" s="1"/>
  <c r="G76" i="103" s="1"/>
  <c r="P70" i="103"/>
  <c r="P74" i="103" s="1"/>
  <c r="L27" i="103"/>
  <c r="L72" i="103" s="1"/>
  <c r="L76" i="103" s="1"/>
  <c r="L79" i="103" s="1"/>
  <c r="Q70" i="103"/>
  <c r="Q74" i="103" s="1"/>
  <c r="G79" i="103" l="1"/>
  <c r="I92" i="104"/>
  <c r="AO15" i="104"/>
  <c r="AQ15" i="104" s="1"/>
  <c r="AQ12" i="104"/>
  <c r="F88" i="104"/>
  <c r="F100" i="104"/>
  <c r="F101" i="104"/>
  <c r="AQ53" i="104"/>
  <c r="AO85" i="104"/>
  <c r="AO89" i="104" s="1"/>
  <c r="AX92" i="104"/>
  <c r="AX101" i="104"/>
  <c r="AJ92" i="104"/>
  <c r="V92" i="104"/>
  <c r="AE92" i="104"/>
  <c r="AE101" i="104"/>
  <c r="AE100" i="104"/>
  <c r="P92" i="104"/>
  <c r="L92" i="104"/>
  <c r="L101" i="104"/>
  <c r="AX91" i="104"/>
  <c r="AG88" i="104"/>
  <c r="AG100" i="104"/>
  <c r="AG94" i="104"/>
  <c r="AG91" i="104"/>
  <c r="AJ87" i="104"/>
  <c r="O88" i="104"/>
  <c r="O100" i="104"/>
  <c r="O94" i="104"/>
  <c r="O91" i="104"/>
  <c r="M88" i="104"/>
  <c r="M100" i="104"/>
  <c r="M94" i="104"/>
  <c r="M91" i="104"/>
  <c r="AX100" i="104"/>
  <c r="AG101" i="104"/>
  <c r="AG92" i="104"/>
  <c r="L91" i="104"/>
  <c r="O101" i="104"/>
  <c r="O92" i="104"/>
  <c r="I87" i="104"/>
  <c r="AT85" i="104"/>
  <c r="AT89" i="104" s="1"/>
  <c r="V83" i="104"/>
  <c r="V87" i="104" s="1"/>
  <c r="V101" i="104" s="1"/>
  <c r="AI98" i="104"/>
  <c r="AI88" i="104"/>
  <c r="AI100" i="104"/>
  <c r="AI94" i="104"/>
  <c r="AI91" i="104"/>
  <c r="AI101" i="104"/>
  <c r="AI92" i="104"/>
  <c r="AO87" i="104"/>
  <c r="L100" i="104"/>
  <c r="AV17" i="104"/>
  <c r="AT21" i="104"/>
  <c r="AV21" i="104" s="1"/>
  <c r="AE91" i="104"/>
  <c r="P87" i="104"/>
  <c r="M92" i="104"/>
  <c r="M101" i="104"/>
  <c r="K75" i="103"/>
  <c r="K81" i="103"/>
  <c r="K82" i="103"/>
  <c r="K83" i="103" s="1"/>
  <c r="G74" i="103"/>
  <c r="F82" i="103"/>
  <c r="F83" i="103" s="1"/>
  <c r="F81" i="103"/>
  <c r="P75" i="103"/>
  <c r="P81" i="103"/>
  <c r="P82" i="103"/>
  <c r="P83" i="103" s="1"/>
  <c r="Q77" i="103"/>
  <c r="Q78" i="103" s="1"/>
  <c r="L74" i="103"/>
  <c r="Q75" i="103"/>
  <c r="Q81" i="103"/>
  <c r="Q82" i="103"/>
  <c r="Q83" i="103" s="1"/>
  <c r="S16" i="103"/>
  <c r="Q21" i="103"/>
  <c r="S21" i="103" s="1"/>
  <c r="AO94" i="104" l="1"/>
  <c r="AO91" i="104"/>
  <c r="AO88" i="104"/>
  <c r="AO100" i="104"/>
  <c r="AO98" i="104"/>
  <c r="V94" i="104"/>
  <c r="V91" i="104"/>
  <c r="V88" i="104"/>
  <c r="V100" i="104"/>
  <c r="AT92" i="104"/>
  <c r="AT87" i="104"/>
  <c r="I88" i="104"/>
  <c r="I100" i="104"/>
  <c r="I94" i="104"/>
  <c r="I91" i="104"/>
  <c r="AJ100" i="104"/>
  <c r="AJ94" i="104"/>
  <c r="AJ91" i="104"/>
  <c r="AJ98" i="104"/>
  <c r="AJ88" i="104"/>
  <c r="AJ101" i="104"/>
  <c r="P100" i="104"/>
  <c r="P94" i="104"/>
  <c r="P91" i="104"/>
  <c r="P88" i="104"/>
  <c r="P101" i="104"/>
  <c r="I101" i="104"/>
  <c r="AO92" i="104"/>
  <c r="AO101" i="104"/>
  <c r="G82" i="103"/>
  <c r="G83" i="103" s="1"/>
  <c r="G81" i="103"/>
  <c r="L75" i="103"/>
  <c r="L81" i="103"/>
  <c r="L82" i="103"/>
  <c r="L83" i="103" s="1"/>
  <c r="AT98" i="104" l="1"/>
  <c r="AT88" i="104"/>
  <c r="AT100" i="104"/>
  <c r="AT94" i="104"/>
  <c r="AT91" i="104"/>
  <c r="AT101" i="104"/>
  <c r="Z17" i="39" l="1"/>
  <c r="AD12" i="82" l="1"/>
  <c r="AG86" i="82" l="1"/>
  <c r="AB86" i="82"/>
  <c r="W86" i="82"/>
  <c r="R86" i="82"/>
  <c r="R79" i="82"/>
  <c r="AL16" i="43" l="1"/>
  <c r="AL17" i="43"/>
  <c r="AL18" i="43"/>
  <c r="AL19" i="43"/>
  <c r="AL20" i="43"/>
  <c r="AL21" i="43"/>
  <c r="AL22" i="43"/>
  <c r="AL23" i="43"/>
  <c r="AL24" i="43"/>
  <c r="AL25" i="43"/>
  <c r="AL26" i="43"/>
  <c r="AL27" i="43"/>
  <c r="AL28" i="43"/>
  <c r="AL29" i="43"/>
  <c r="AL30" i="43"/>
  <c r="AL31" i="43"/>
  <c r="AL32" i="43"/>
  <c r="AL33" i="43"/>
  <c r="AL34" i="43"/>
  <c r="AL35" i="43"/>
  <c r="AL36" i="43"/>
  <c r="AL37" i="43"/>
  <c r="AL38" i="43"/>
  <c r="AL39" i="43"/>
  <c r="AL40" i="43"/>
  <c r="AL41" i="43"/>
  <c r="AL42" i="43"/>
  <c r="AL43" i="43"/>
  <c r="AL44" i="43"/>
  <c r="AL45" i="43"/>
  <c r="AL46" i="43"/>
  <c r="AL47" i="43"/>
  <c r="AL48" i="43"/>
  <c r="AL49" i="43"/>
  <c r="AL50" i="43"/>
  <c r="AL51" i="43"/>
  <c r="AL52" i="43"/>
  <c r="AL53" i="43"/>
  <c r="AL54" i="43"/>
  <c r="AL55" i="43"/>
  <c r="AL56" i="43"/>
  <c r="AL57" i="43"/>
  <c r="AL58" i="43"/>
  <c r="AL59" i="43"/>
  <c r="AL60" i="43"/>
  <c r="AL61" i="43"/>
  <c r="AL62" i="43"/>
  <c r="AL63" i="43"/>
  <c r="AL64" i="43"/>
  <c r="AL65" i="43"/>
  <c r="AL66" i="43"/>
  <c r="AL67" i="43"/>
  <c r="AL68" i="43"/>
  <c r="AL69" i="43"/>
  <c r="AL70" i="43"/>
  <c r="AL71" i="43"/>
  <c r="AL72" i="43"/>
  <c r="AL73" i="43"/>
  <c r="AL74" i="43"/>
  <c r="AL75" i="43"/>
  <c r="AL76" i="43"/>
  <c r="AL77" i="43"/>
  <c r="AL78" i="43"/>
  <c r="AL79" i="43"/>
  <c r="AL80" i="43"/>
  <c r="AL81" i="43"/>
  <c r="AL82" i="43"/>
  <c r="AL83" i="43"/>
  <c r="AL84" i="43"/>
  <c r="AL85" i="43"/>
  <c r="AL86" i="43"/>
  <c r="AL87" i="43"/>
  <c r="AL88" i="43"/>
  <c r="AL89" i="43"/>
  <c r="AL90" i="43"/>
  <c r="AL91" i="43"/>
  <c r="AL92" i="43"/>
  <c r="AL93" i="43"/>
  <c r="AL94" i="43"/>
  <c r="AL95" i="43"/>
  <c r="AL96" i="43"/>
  <c r="AL97" i="43"/>
  <c r="AL98" i="43"/>
  <c r="AL99" i="43"/>
  <c r="AL100" i="43"/>
  <c r="AL101" i="43"/>
  <c r="AL102" i="43"/>
  <c r="AL103" i="43"/>
  <c r="AL104" i="43"/>
  <c r="AL105" i="43"/>
  <c r="AL106" i="43"/>
  <c r="AL107" i="43"/>
  <c r="AL108" i="43"/>
  <c r="AL109" i="43"/>
  <c r="AL110" i="43"/>
  <c r="AL111" i="43"/>
  <c r="AL112" i="43"/>
  <c r="AL113" i="43"/>
  <c r="AL114" i="43"/>
  <c r="AL115" i="43"/>
  <c r="AL116" i="43"/>
  <c r="AL117" i="43"/>
  <c r="AL118" i="43"/>
  <c r="AL119" i="43"/>
  <c r="AL120" i="43"/>
  <c r="AL121" i="43"/>
  <c r="AL122" i="43"/>
  <c r="AL123" i="43"/>
  <c r="AL15" i="43"/>
  <c r="AL14" i="43"/>
  <c r="AL13" i="43"/>
  <c r="AL12" i="43"/>
  <c r="AG22" i="43"/>
  <c r="AG23" i="43"/>
  <c r="AG24" i="43"/>
  <c r="AG25" i="43"/>
  <c r="AG26" i="43"/>
  <c r="AG27" i="43"/>
  <c r="AG28" i="43"/>
  <c r="AG29" i="43"/>
  <c r="AG30" i="43"/>
  <c r="AG31" i="43"/>
  <c r="AG32" i="43"/>
  <c r="AG33" i="43"/>
  <c r="AG34" i="43"/>
  <c r="AG35" i="43"/>
  <c r="AG36" i="43"/>
  <c r="AG37" i="43"/>
  <c r="AG38" i="43"/>
  <c r="AG39" i="43"/>
  <c r="AG40" i="43"/>
  <c r="AG41" i="43"/>
  <c r="AG42" i="43"/>
  <c r="AG43" i="43"/>
  <c r="AG44" i="43"/>
  <c r="AG45" i="43"/>
  <c r="AG46" i="43"/>
  <c r="AG47" i="43"/>
  <c r="AG48" i="43"/>
  <c r="AG49" i="43"/>
  <c r="AG50" i="43"/>
  <c r="AG51" i="43"/>
  <c r="AG52" i="43"/>
  <c r="AG53" i="43"/>
  <c r="AG54" i="43"/>
  <c r="AG55" i="43"/>
  <c r="AG56" i="43"/>
  <c r="AG57" i="43"/>
  <c r="AG58" i="43"/>
  <c r="AG59" i="43"/>
  <c r="AG60" i="43"/>
  <c r="AG61" i="43"/>
  <c r="AG62" i="43"/>
  <c r="AG63" i="43"/>
  <c r="AG64" i="43"/>
  <c r="AG65" i="43"/>
  <c r="AG66" i="43"/>
  <c r="AG67" i="43"/>
  <c r="AG68" i="43"/>
  <c r="AG69" i="43"/>
  <c r="AG70" i="43"/>
  <c r="AG71" i="43"/>
  <c r="AG72" i="43"/>
  <c r="AG73" i="43"/>
  <c r="AG74" i="43"/>
  <c r="AG75" i="43"/>
  <c r="AG76" i="43"/>
  <c r="AG77" i="43"/>
  <c r="AG78" i="43"/>
  <c r="AG79" i="43"/>
  <c r="AG80" i="43"/>
  <c r="AG81" i="43"/>
  <c r="AG82" i="43"/>
  <c r="AG83" i="43"/>
  <c r="AG84" i="43"/>
  <c r="AG85" i="43"/>
  <c r="AG86" i="43"/>
  <c r="AG87" i="43"/>
  <c r="AG88" i="43"/>
  <c r="AG89" i="43"/>
  <c r="AG90" i="43"/>
  <c r="AG91" i="43"/>
  <c r="AG92" i="43"/>
  <c r="AG93" i="43"/>
  <c r="AG94" i="43"/>
  <c r="AG95" i="43"/>
  <c r="AG96" i="43"/>
  <c r="AG97" i="43"/>
  <c r="AG98" i="43"/>
  <c r="AG99" i="43"/>
  <c r="AG100" i="43"/>
  <c r="AG101" i="43"/>
  <c r="AG102" i="43"/>
  <c r="AG103" i="43"/>
  <c r="AG104" i="43"/>
  <c r="AG105" i="43"/>
  <c r="AG106" i="43"/>
  <c r="AG107" i="43"/>
  <c r="AG108" i="43"/>
  <c r="AG109" i="43"/>
  <c r="AG110" i="43"/>
  <c r="AG111" i="43"/>
  <c r="AG112" i="43"/>
  <c r="AG113" i="43"/>
  <c r="AG114" i="43"/>
  <c r="AG115" i="43"/>
  <c r="AG116" i="43"/>
  <c r="AG117" i="43"/>
  <c r="AG118" i="43"/>
  <c r="AG119" i="43"/>
  <c r="AG120" i="43"/>
  <c r="AG121" i="43"/>
  <c r="AG122" i="43"/>
  <c r="AG123" i="43"/>
  <c r="AG18" i="43"/>
  <c r="AG19" i="43"/>
  <c r="AG20" i="43"/>
  <c r="AG21" i="43"/>
  <c r="AG13" i="43"/>
  <c r="AG14" i="43"/>
  <c r="AG15" i="43"/>
  <c r="AG16" i="43"/>
  <c r="AG17" i="43"/>
  <c r="AG12" i="43"/>
  <c r="H17" i="85" l="1"/>
  <c r="X95" i="51" l="1"/>
  <c r="V95" i="51"/>
  <c r="S95" i="51"/>
  <c r="Q95" i="51"/>
  <c r="X94" i="51"/>
  <c r="V94" i="51"/>
  <c r="S94" i="51"/>
  <c r="Q94" i="51"/>
  <c r="X92" i="51"/>
  <c r="V92" i="51"/>
  <c r="S92" i="51"/>
  <c r="Q92" i="51"/>
  <c r="X83" i="51"/>
  <c r="V83" i="51"/>
  <c r="S83" i="51"/>
  <c r="Q83" i="51"/>
  <c r="X79" i="51"/>
  <c r="V79" i="51"/>
  <c r="S79" i="51"/>
  <c r="Q79" i="51"/>
  <c r="AM67" i="51"/>
  <c r="AL67" i="51"/>
  <c r="AO66" i="51"/>
  <c r="AK66" i="51"/>
  <c r="AN66" i="51" s="1"/>
  <c r="AO65" i="51"/>
  <c r="AK65" i="51"/>
  <c r="AN65" i="51" s="1"/>
  <c r="AO64" i="51"/>
  <c r="AK64" i="51"/>
  <c r="AN64" i="51" s="1"/>
  <c r="AO63" i="51"/>
  <c r="AK63" i="51"/>
  <c r="AN63" i="51" s="1"/>
  <c r="AO62" i="51"/>
  <c r="AK62" i="51"/>
  <c r="T36" i="51"/>
  <c r="X26" i="51"/>
  <c r="X93" i="51" s="1"/>
  <c r="V26" i="51"/>
  <c r="V93" i="51" s="1"/>
  <c r="S26" i="51"/>
  <c r="S93" i="51" s="1"/>
  <c r="Q26" i="51"/>
  <c r="Q93" i="51" s="1"/>
  <c r="T19" i="51"/>
  <c r="V18" i="51"/>
  <c r="T18" i="51"/>
  <c r="X17" i="51"/>
  <c r="V17" i="51"/>
  <c r="S17" i="51"/>
  <c r="Q17" i="51"/>
  <c r="Q20" i="51" s="1"/>
  <c r="T20" i="51" s="1"/>
  <c r="Q13" i="51"/>
  <c r="T13" i="51" s="1"/>
  <c r="X12" i="51"/>
  <c r="X15" i="51" s="1"/>
  <c r="V12" i="51"/>
  <c r="V15" i="51" s="1"/>
  <c r="S12" i="51"/>
  <c r="S15" i="51" s="1"/>
  <c r="Q12" i="51"/>
  <c r="Q15" i="51" s="1"/>
  <c r="F12" i="51"/>
  <c r="H12" i="51"/>
  <c r="J12" i="51"/>
  <c r="L12" i="51"/>
  <c r="L15" i="51" s="1"/>
  <c r="M12" i="51"/>
  <c r="M15" i="51" s="1"/>
  <c r="O12" i="51"/>
  <c r="J13" i="51"/>
  <c r="F15" i="51"/>
  <c r="H15" i="51"/>
  <c r="O15" i="51"/>
  <c r="J17" i="51"/>
  <c r="J18" i="51"/>
  <c r="J19" i="51"/>
  <c r="F20" i="51"/>
  <c r="H20" i="51"/>
  <c r="L20" i="51"/>
  <c r="M20" i="51"/>
  <c r="O20" i="51"/>
  <c r="F26" i="51"/>
  <c r="F93" i="51" s="1"/>
  <c r="H26" i="51"/>
  <c r="H93" i="51" s="1"/>
  <c r="J26" i="51"/>
  <c r="L26" i="51"/>
  <c r="L93" i="51" s="1"/>
  <c r="M26" i="51"/>
  <c r="M93" i="51" s="1"/>
  <c r="O26" i="51"/>
  <c r="O93" i="51" s="1"/>
  <c r="J36" i="51"/>
  <c r="F79" i="51"/>
  <c r="H79" i="51"/>
  <c r="J79" i="51"/>
  <c r="L79" i="51"/>
  <c r="M79" i="51"/>
  <c r="O79" i="51"/>
  <c r="F83" i="51"/>
  <c r="H83" i="51"/>
  <c r="J83" i="51"/>
  <c r="L83" i="51"/>
  <c r="M83" i="51"/>
  <c r="O83" i="51"/>
  <c r="F91" i="51"/>
  <c r="H91" i="51"/>
  <c r="J91" i="51"/>
  <c r="L91" i="51"/>
  <c r="M91" i="51"/>
  <c r="O91" i="51"/>
  <c r="F92" i="51"/>
  <c r="H92" i="51"/>
  <c r="J92" i="51"/>
  <c r="L92" i="51"/>
  <c r="M92" i="51"/>
  <c r="O92" i="51"/>
  <c r="J93" i="51"/>
  <c r="F94" i="51"/>
  <c r="H94" i="51"/>
  <c r="J94" i="51"/>
  <c r="L94" i="51"/>
  <c r="M94" i="51"/>
  <c r="O94" i="51"/>
  <c r="F95" i="51"/>
  <c r="H95" i="51"/>
  <c r="J95" i="51"/>
  <c r="L95" i="51"/>
  <c r="M95" i="51"/>
  <c r="O95" i="51"/>
  <c r="J96" i="51" l="1"/>
  <c r="J102" i="51" s="1"/>
  <c r="X20" i="51"/>
  <c r="J97" i="51"/>
  <c r="F96" i="51"/>
  <c r="T15" i="51"/>
  <c r="AK67" i="51"/>
  <c r="AN67" i="51" s="1"/>
  <c r="L96" i="51"/>
  <c r="T12" i="51"/>
  <c r="T17" i="51"/>
  <c r="V20" i="51"/>
  <c r="M96" i="51"/>
  <c r="J15" i="51"/>
  <c r="O96" i="51"/>
  <c r="O102" i="51" s="1"/>
  <c r="H96" i="51"/>
  <c r="H97" i="51" s="1"/>
  <c r="J20" i="51"/>
  <c r="AO67" i="51"/>
  <c r="X37" i="51"/>
  <c r="X91" i="51" s="1"/>
  <c r="X96" i="51" s="1"/>
  <c r="Q37" i="51"/>
  <c r="Q91" i="51" s="1"/>
  <c r="Q96" i="51" s="1"/>
  <c r="S37" i="51"/>
  <c r="V37" i="51"/>
  <c r="V91" i="51" s="1"/>
  <c r="V96" i="51" s="1"/>
  <c r="AN62" i="51"/>
  <c r="F97" i="51"/>
  <c r="F102" i="51"/>
  <c r="L102" i="51"/>
  <c r="L97" i="51"/>
  <c r="M102" i="51"/>
  <c r="M97" i="51"/>
  <c r="O97" i="51"/>
  <c r="AB37" i="51" l="1"/>
  <c r="Z37" i="51"/>
  <c r="Z91" i="51" s="1"/>
  <c r="Z96" i="51" s="1"/>
  <c r="AD37" i="51"/>
  <c r="AD91" i="51" s="1"/>
  <c r="AD96" i="51" s="1"/>
  <c r="AF37" i="51"/>
  <c r="AF91" i="51" s="1"/>
  <c r="AF96" i="51" s="1"/>
  <c r="H102" i="51"/>
  <c r="Q97" i="51"/>
  <c r="Q102" i="51"/>
  <c r="V102" i="51"/>
  <c r="V97" i="51"/>
  <c r="S91" i="51"/>
  <c r="S96" i="51" s="1"/>
  <c r="T37" i="51"/>
  <c r="X102" i="51"/>
  <c r="X97" i="51"/>
  <c r="AF102" i="51" l="1"/>
  <c r="AF97" i="51"/>
  <c r="AD97" i="51"/>
  <c r="AD102" i="51"/>
  <c r="Z102" i="51"/>
  <c r="Z97" i="51"/>
  <c r="AC37" i="51"/>
  <c r="AB91" i="51"/>
  <c r="AB96" i="51" s="1"/>
  <c r="S102" i="51"/>
  <c r="S97" i="51"/>
  <c r="AB102" i="51" l="1"/>
  <c r="AB97" i="51"/>
  <c r="AX36" i="1" l="1"/>
  <c r="AX40" i="1"/>
  <c r="AX39" i="1"/>
  <c r="AX52" i="1"/>
  <c r="AX51" i="1"/>
  <c r="AX56" i="1"/>
  <c r="AX55" i="1"/>
  <c r="AX60" i="1"/>
  <c r="AX61" i="1"/>
  <c r="AX63" i="1"/>
  <c r="AX65" i="1"/>
  <c r="AX26" i="1"/>
  <c r="AX24" i="1"/>
  <c r="AX28" i="1" s="1"/>
  <c r="AX93" i="1" s="1"/>
  <c r="AX37" i="1"/>
  <c r="AX98" i="1" s="1"/>
  <c r="AX94" i="1"/>
  <c r="AV39" i="1"/>
  <c r="AV51" i="1"/>
  <c r="AV55" i="1"/>
  <c r="AV27" i="1"/>
  <c r="AV28" i="1" s="1"/>
  <c r="AV93" i="1" s="1"/>
  <c r="AV98" i="1"/>
  <c r="AV91" i="1"/>
  <c r="AV94" i="1"/>
  <c r="AR53" i="1"/>
  <c r="AR62" i="1"/>
  <c r="AR64" i="1"/>
  <c r="AQ28" i="1"/>
  <c r="AR28" i="1"/>
  <c r="AR50" i="1"/>
  <c r="AR54" i="1"/>
  <c r="AR38" i="1"/>
  <c r="AR94" i="1"/>
  <c r="AQ36" i="1"/>
  <c r="AQ91" i="1" s="1"/>
  <c r="AQ39" i="1"/>
  <c r="AQ51" i="1"/>
  <c r="AQ53" i="1"/>
  <c r="AQ55" i="1"/>
  <c r="AQ60" i="1"/>
  <c r="AQ61" i="1"/>
  <c r="AQ93" i="1" s="1"/>
  <c r="AQ62" i="1"/>
  <c r="AQ63" i="1"/>
  <c r="AQ64" i="1"/>
  <c r="AQ65" i="1"/>
  <c r="AQ37" i="1"/>
  <c r="AQ40" i="1"/>
  <c r="AQ98" i="1" s="1"/>
  <c r="AQ50" i="1"/>
  <c r="AQ52" i="1"/>
  <c r="AQ54" i="1"/>
  <c r="AQ56" i="1"/>
  <c r="AQ38" i="1"/>
  <c r="AQ94" i="1"/>
  <c r="AX81" i="1"/>
  <c r="AX80" i="1" s="1"/>
  <c r="AX84" i="1"/>
  <c r="AX83" i="1" s="1"/>
  <c r="AV81" i="1"/>
  <c r="AV80" i="1"/>
  <c r="AV84" i="1"/>
  <c r="AV83" i="1"/>
  <c r="AQ80" i="1"/>
  <c r="AQ83" i="1"/>
  <c r="AQ81" i="1"/>
  <c r="AQ82" i="1"/>
  <c r="AQ84" i="1"/>
  <c r="AV20" i="1"/>
  <c r="AV17" i="1"/>
  <c r="AQ20" i="1"/>
  <c r="AQ17" i="1" s="1"/>
  <c r="AQ22" i="1" s="1"/>
  <c r="AR18" i="1"/>
  <c r="AX18" i="1" s="1"/>
  <c r="AS84" i="1"/>
  <c r="AS83" i="1"/>
  <c r="AS82" i="1"/>
  <c r="AR82" i="1"/>
  <c r="AS81" i="1"/>
  <c r="AS80" i="1"/>
  <c r="AS65" i="1"/>
  <c r="AS64" i="1"/>
  <c r="AS63" i="1"/>
  <c r="AS62" i="1"/>
  <c r="AS61" i="1"/>
  <c r="AS60" i="1"/>
  <c r="AS56" i="1"/>
  <c r="AS55" i="1"/>
  <c r="AT54" i="1"/>
  <c r="AS54" i="1"/>
  <c r="AT53" i="1"/>
  <c r="AS53" i="1"/>
  <c r="AS52" i="1"/>
  <c r="AS51" i="1"/>
  <c r="AS50" i="1"/>
  <c r="AS49" i="1"/>
  <c r="AS40" i="1"/>
  <c r="AS39" i="1"/>
  <c r="AS38" i="1"/>
  <c r="AS37" i="1"/>
  <c r="AS36" i="1"/>
  <c r="AS31" i="1"/>
  <c r="AS30" i="1"/>
  <c r="AS29" i="1"/>
  <c r="AR29" i="1"/>
  <c r="AQ29" i="1"/>
  <c r="AR27" i="1"/>
  <c r="AR26" i="1"/>
  <c r="AT26" i="1"/>
  <c r="AR25" i="1"/>
  <c r="AQ25" i="1"/>
  <c r="AR24" i="1"/>
  <c r="AT24" i="1"/>
  <c r="AX21" i="1"/>
  <c r="AV22" i="1"/>
  <c r="AT21" i="1"/>
  <c r="AT19" i="1"/>
  <c r="AQ16" i="1"/>
  <c r="AX15" i="1"/>
  <c r="AV15" i="1"/>
  <c r="AR15" i="1"/>
  <c r="AQ15" i="1"/>
  <c r="AS10" i="1"/>
  <c r="BM37" i="32"/>
  <c r="BM40" i="32"/>
  <c r="BM152" i="32" s="1"/>
  <c r="BM43" i="32"/>
  <c r="BM153" i="32"/>
  <c r="BM30" i="32"/>
  <c r="BM154" i="32" s="1"/>
  <c r="BM155" i="32"/>
  <c r="BK130" i="32"/>
  <c r="BK152" i="32" s="1"/>
  <c r="BK30" i="32"/>
  <c r="BK154" i="32" s="1"/>
  <c r="BK155" i="32"/>
  <c r="BG152" i="32"/>
  <c r="BG153" i="32"/>
  <c r="BG154" i="32"/>
  <c r="BG155" i="32"/>
  <c r="BF130" i="32"/>
  <c r="BF153" i="32" s="1"/>
  <c r="BF30" i="32"/>
  <c r="BF154" i="32" s="1"/>
  <c r="BF155" i="32"/>
  <c r="BK18" i="32"/>
  <c r="BK19" i="32"/>
  <c r="BF18" i="32"/>
  <c r="BF19" i="32"/>
  <c r="BK16" i="32"/>
  <c r="BG16" i="32"/>
  <c r="BF16" i="32"/>
  <c r="AX88" i="12"/>
  <c r="AX89" i="12"/>
  <c r="AX90" i="12"/>
  <c r="AX91" i="12"/>
  <c r="AX92" i="12"/>
  <c r="AV12" i="12"/>
  <c r="AR12" i="12"/>
  <c r="AQ12" i="12"/>
  <c r="AT12" i="12"/>
  <c r="AX12" i="12" s="1"/>
  <c r="AV35" i="12"/>
  <c r="AV34" i="12"/>
  <c r="AV37" i="12"/>
  <c r="AV36" i="12" s="1"/>
  <c r="AV39" i="12"/>
  <c r="AV38" i="12"/>
  <c r="AV45" i="12"/>
  <c r="AV46" i="12"/>
  <c r="AV49" i="12"/>
  <c r="AV50" i="12"/>
  <c r="AV90" i="12"/>
  <c r="AV91" i="12"/>
  <c r="AR88" i="12"/>
  <c r="AR89" i="12"/>
  <c r="AR92" i="12" s="1"/>
  <c r="AR90" i="12"/>
  <c r="AR91" i="12"/>
  <c r="AR98" i="12"/>
  <c r="AQ34" i="12"/>
  <c r="AQ94" i="12" s="1"/>
  <c r="AQ96" i="12" s="1"/>
  <c r="AQ36" i="12"/>
  <c r="AQ38" i="12"/>
  <c r="AQ88" i="12"/>
  <c r="AQ90" i="12"/>
  <c r="AQ91" i="12"/>
  <c r="AX94" i="12"/>
  <c r="AV17" i="12"/>
  <c r="AR17" i="12"/>
  <c r="AQ17" i="12"/>
  <c r="AT17" i="12"/>
  <c r="AX17" i="12"/>
  <c r="AR94" i="12"/>
  <c r="AR96" i="12" s="1"/>
  <c r="AT18" i="12"/>
  <c r="AX18" i="12" s="1"/>
  <c r="AR95" i="12"/>
  <c r="AR93" i="12"/>
  <c r="AW59" i="12"/>
  <c r="AT39" i="12"/>
  <c r="AT38" i="12"/>
  <c r="AT37" i="12"/>
  <c r="AT36" i="12"/>
  <c r="AT35" i="12"/>
  <c r="AT34" i="12"/>
  <c r="AT23" i="12"/>
  <c r="AX23" i="12" s="1"/>
  <c r="AT21" i="12"/>
  <c r="AX21" i="12"/>
  <c r="AT20" i="12"/>
  <c r="AX20" i="12" s="1"/>
  <c r="AT19" i="12"/>
  <c r="AX19" i="12"/>
  <c r="AV15" i="12"/>
  <c r="AR15" i="12"/>
  <c r="AQ15" i="12"/>
  <c r="AT15" i="12"/>
  <c r="AX15" i="12" s="1"/>
  <c r="AT14" i="12"/>
  <c r="AX14" i="12"/>
  <c r="AT13" i="12"/>
  <c r="AX13" i="12" s="1"/>
  <c r="AW70" i="33"/>
  <c r="AW81" i="33" s="1"/>
  <c r="AU36" i="33"/>
  <c r="AQ37" i="33"/>
  <c r="AQ38" i="33"/>
  <c r="AP36" i="33"/>
  <c r="AU81" i="33"/>
  <c r="AQ81" i="33"/>
  <c r="AP82" i="33"/>
  <c r="AP81" i="33"/>
  <c r="AP106" i="33" s="1"/>
  <c r="AP97" i="33"/>
  <c r="AP99" i="33" s="1"/>
  <c r="AQ82" i="33"/>
  <c r="AS82" i="33"/>
  <c r="AW82" i="33"/>
  <c r="AS38" i="33"/>
  <c r="AW38" i="33"/>
  <c r="AW76" i="33" s="1"/>
  <c r="AW92" i="33"/>
  <c r="AW93" i="33"/>
  <c r="AW94" i="33"/>
  <c r="AU91" i="33"/>
  <c r="AU92" i="33"/>
  <c r="AU95" i="33" s="1"/>
  <c r="AU93" i="33"/>
  <c r="AU94" i="33"/>
  <c r="AQ92" i="33"/>
  <c r="AQ93" i="33"/>
  <c r="AQ94" i="33"/>
  <c r="AP91" i="33"/>
  <c r="AP92" i="33"/>
  <c r="AP95" i="33" s="1"/>
  <c r="AP93" i="33"/>
  <c r="AP94" i="33"/>
  <c r="AU76" i="33"/>
  <c r="AQ76" i="33"/>
  <c r="AQ12" i="33"/>
  <c r="AQ15" i="33" s="1"/>
  <c r="AS15" i="33" s="1"/>
  <c r="AP76" i="33"/>
  <c r="AU101" i="33"/>
  <c r="AQ17" i="33"/>
  <c r="AQ18" i="33"/>
  <c r="AQ19" i="33"/>
  <c r="AP98" i="33"/>
  <c r="AP25" i="33"/>
  <c r="AQ25" i="33"/>
  <c r="AW24" i="33"/>
  <c r="AU24" i="33"/>
  <c r="AP24" i="33"/>
  <c r="AQ24" i="33"/>
  <c r="AS24" i="33" s="1"/>
  <c r="AW22" i="33"/>
  <c r="AU22" i="33"/>
  <c r="AQ22" i="33"/>
  <c r="AP22" i="33"/>
  <c r="AS19" i="33"/>
  <c r="AS18" i="33"/>
  <c r="AS17" i="33"/>
  <c r="AW13" i="33"/>
  <c r="AW15" i="33" s="1"/>
  <c r="AU13" i="33"/>
  <c r="AU15" i="33"/>
  <c r="AQ13" i="33"/>
  <c r="AP15" i="33"/>
  <c r="AS13" i="33"/>
  <c r="AW98" i="3"/>
  <c r="AW58" i="3"/>
  <c r="AW59" i="3"/>
  <c r="AW60" i="3"/>
  <c r="AW61" i="3"/>
  <c r="AW104" i="3" s="1"/>
  <c r="AW62" i="3"/>
  <c r="AW100" i="3"/>
  <c r="AW77" i="3"/>
  <c r="AW38" i="3"/>
  <c r="AW78" i="3" s="1"/>
  <c r="AU38" i="3"/>
  <c r="AW81" i="3"/>
  <c r="AU98" i="3"/>
  <c r="AU99" i="3"/>
  <c r="AU100" i="3"/>
  <c r="AU101" i="3"/>
  <c r="AU102" i="3"/>
  <c r="AU81" i="3"/>
  <c r="AQ98" i="3"/>
  <c r="AQ58" i="3"/>
  <c r="AQ59" i="3"/>
  <c r="AQ60" i="3"/>
  <c r="AQ61" i="3"/>
  <c r="AQ62" i="3"/>
  <c r="AQ100" i="3"/>
  <c r="AQ77" i="3"/>
  <c r="AQ78" i="3"/>
  <c r="AQ81" i="3"/>
  <c r="AP98" i="3"/>
  <c r="AP99" i="3"/>
  <c r="AP100" i="3"/>
  <c r="AP101" i="3"/>
  <c r="AP102" i="3"/>
  <c r="AP81" i="3"/>
  <c r="AU108" i="3"/>
  <c r="AW19" i="3"/>
  <c r="AU104" i="3"/>
  <c r="AU19" i="3"/>
  <c r="AU106" i="3"/>
  <c r="AQ19" i="3"/>
  <c r="AP104" i="3"/>
  <c r="AP106" i="3" s="1"/>
  <c r="AP19" i="3"/>
  <c r="AS19" i="3" s="1"/>
  <c r="AU105" i="3"/>
  <c r="AU103" i="3"/>
  <c r="AW29" i="3"/>
  <c r="AQ29" i="3"/>
  <c r="AP29" i="3"/>
  <c r="AS29" i="3" s="1"/>
  <c r="AS28" i="3"/>
  <c r="AS27" i="3"/>
  <c r="AS26" i="3"/>
  <c r="AS25" i="3"/>
  <c r="AS20" i="3"/>
  <c r="AW16" i="3"/>
  <c r="AW17" i="3"/>
  <c r="AU16" i="3"/>
  <c r="AU17" i="3" s="1"/>
  <c r="AQ16" i="3"/>
  <c r="AQ17" i="3"/>
  <c r="AS17" i="3" s="1"/>
  <c r="AP16" i="3"/>
  <c r="AP17" i="3" s="1"/>
  <c r="AS16" i="3"/>
  <c r="AS15" i="3"/>
  <c r="AS14" i="3"/>
  <c r="AS13" i="3"/>
  <c r="BA18" i="32"/>
  <c r="BA23" i="32" s="1"/>
  <c r="AN19" i="3"/>
  <c r="AE19" i="3"/>
  <c r="AE98" i="3"/>
  <c r="AE99" i="3"/>
  <c r="AE100" i="3"/>
  <c r="AE102" i="3"/>
  <c r="AZ35" i="29"/>
  <c r="BD35" i="29"/>
  <c r="BA37" i="29"/>
  <c r="BA86" i="29" s="1"/>
  <c r="AY37" i="29"/>
  <c r="AV37" i="29"/>
  <c r="AZ37" i="29"/>
  <c r="BD37" i="29"/>
  <c r="AZ38" i="29"/>
  <c r="BD38" i="29" s="1"/>
  <c r="AV41" i="29"/>
  <c r="AZ41" i="29"/>
  <c r="BD41" i="29" s="1"/>
  <c r="BA47" i="29"/>
  <c r="AY47" i="29"/>
  <c r="AZ47" i="29" s="1"/>
  <c r="BD47" i="29" s="1"/>
  <c r="AV47" i="29"/>
  <c r="BA48" i="29"/>
  <c r="BD48" i="29" s="1"/>
  <c r="BA49" i="29"/>
  <c r="BD49" i="29"/>
  <c r="BD87" i="29"/>
  <c r="AY55" i="29"/>
  <c r="AV55" i="29"/>
  <c r="BD55" i="29"/>
  <c r="AZ26" i="29"/>
  <c r="BD26" i="29" s="1"/>
  <c r="BA24" i="29"/>
  <c r="AZ24" i="29"/>
  <c r="BD64" i="29"/>
  <c r="AZ12" i="29"/>
  <c r="BD12" i="29" s="1"/>
  <c r="BA89" i="29"/>
  <c r="AY86" i="29"/>
  <c r="AY28" i="29"/>
  <c r="AY88" i="29" s="1"/>
  <c r="AY64" i="29"/>
  <c r="AV86" i="29"/>
  <c r="AV87" i="29"/>
  <c r="AV28" i="29"/>
  <c r="AV88" i="29"/>
  <c r="AV89" i="29"/>
  <c r="BA17" i="29"/>
  <c r="AY17" i="29"/>
  <c r="AV17" i="29"/>
  <c r="AZ17" i="29"/>
  <c r="BD17" i="29" s="1"/>
  <c r="AV92" i="29"/>
  <c r="AV94" i="29"/>
  <c r="AZ18" i="29"/>
  <c r="BD18" i="29" s="1"/>
  <c r="BA30" i="29"/>
  <c r="BA67" i="29" s="1"/>
  <c r="BD67" i="29" s="1"/>
  <c r="AV30" i="29"/>
  <c r="AV67" i="29"/>
  <c r="AY67" i="29" s="1"/>
  <c r="AZ50" i="29"/>
  <c r="AZ31" i="29"/>
  <c r="BD31" i="29"/>
  <c r="AZ30" i="29"/>
  <c r="BA22" i="29"/>
  <c r="AY22" i="29"/>
  <c r="AV22" i="29"/>
  <c r="AZ20" i="29"/>
  <c r="BD20" i="29" s="1"/>
  <c r="AY15" i="29"/>
  <c r="AV15" i="29"/>
  <c r="AZ15" i="29"/>
  <c r="BD15" i="29" s="1"/>
  <c r="BA13" i="29"/>
  <c r="BA15" i="29" s="1"/>
  <c r="AZ13" i="29"/>
  <c r="BD13" i="29"/>
  <c r="AZ36" i="36"/>
  <c r="AZ108" i="36" s="1"/>
  <c r="AZ109" i="36"/>
  <c r="AZ29" i="36"/>
  <c r="AZ110" i="36" s="1"/>
  <c r="AZ111" i="36"/>
  <c r="AX36" i="36"/>
  <c r="AX108" i="36"/>
  <c r="AX109" i="36"/>
  <c r="AX29" i="36"/>
  <c r="AX110" i="36" s="1"/>
  <c r="AX111" i="36"/>
  <c r="AT108" i="36"/>
  <c r="AT112" i="36" s="1"/>
  <c r="AT109" i="36"/>
  <c r="AT29" i="36"/>
  <c r="AT110" i="36" s="1"/>
  <c r="AT111" i="36"/>
  <c r="AS36" i="36"/>
  <c r="AS108" i="36" s="1"/>
  <c r="AS109" i="36"/>
  <c r="AS29" i="36"/>
  <c r="AS110" i="36" s="1"/>
  <c r="AS111" i="36"/>
  <c r="AZ97" i="36"/>
  <c r="AT94" i="36"/>
  <c r="AT93" i="36"/>
  <c r="AT92" i="36"/>
  <c r="AT32" i="36"/>
  <c r="AV26" i="36"/>
  <c r="AV23" i="36"/>
  <c r="AV21" i="36"/>
  <c r="AV20" i="36"/>
  <c r="AV19" i="36"/>
  <c r="AZ17" i="36"/>
  <c r="AX17" i="36"/>
  <c r="AT17" i="36"/>
  <c r="AV17" i="36" s="1"/>
  <c r="AS17" i="36"/>
  <c r="AV15" i="36"/>
  <c r="AV13" i="36"/>
  <c r="AV12" i="36"/>
  <c r="AY72" i="6"/>
  <c r="AU72" i="6"/>
  <c r="AS72" i="6"/>
  <c r="BA35" i="6"/>
  <c r="BA52" i="6"/>
  <c r="BA28" i="6"/>
  <c r="BA85" i="6" s="1"/>
  <c r="AY52" i="6"/>
  <c r="AY28" i="6"/>
  <c r="AY85" i="6"/>
  <c r="AY89" i="6" s="1"/>
  <c r="AU52" i="6"/>
  <c r="AW52" i="6" s="1"/>
  <c r="AU28" i="6"/>
  <c r="AS52" i="6"/>
  <c r="AS28" i="6"/>
  <c r="BA36" i="6"/>
  <c r="BA84" i="6"/>
  <c r="BA86" i="6"/>
  <c r="AY83" i="6"/>
  <c r="AY84" i="6"/>
  <c r="AY86" i="6"/>
  <c r="AU83" i="6"/>
  <c r="AU84" i="6"/>
  <c r="AU86" i="6"/>
  <c r="AS83" i="6"/>
  <c r="AS84" i="6"/>
  <c r="AS86" i="6"/>
  <c r="BA12" i="6"/>
  <c r="AY12" i="6"/>
  <c r="AU12" i="6"/>
  <c r="AS12" i="6"/>
  <c r="BA17" i="6"/>
  <c r="AY17" i="6"/>
  <c r="AU17" i="6"/>
  <c r="AS17" i="6"/>
  <c r="AW17" i="6" s="1"/>
  <c r="BA18" i="6"/>
  <c r="BA22" i="6" s="1"/>
  <c r="AY18" i="6"/>
  <c r="AU18" i="6"/>
  <c r="AU22" i="6" s="1"/>
  <c r="AS18" i="6"/>
  <c r="AW73" i="6"/>
  <c r="AW53" i="6"/>
  <c r="AW45" i="6"/>
  <c r="AW44" i="6"/>
  <c r="AW36" i="6"/>
  <c r="AW35" i="6"/>
  <c r="AW26" i="6"/>
  <c r="AW24" i="6"/>
  <c r="AW20" i="6"/>
  <c r="AW19" i="6"/>
  <c r="AW15" i="6"/>
  <c r="AW13" i="6"/>
  <c r="AY7" i="6"/>
  <c r="AS74" i="9"/>
  <c r="AW74" i="9" s="1"/>
  <c r="AS35" i="9"/>
  <c r="AW35" i="9"/>
  <c r="AP45" i="9"/>
  <c r="AP28" i="9"/>
  <c r="AP87" i="9" s="1"/>
  <c r="AQ87" i="9"/>
  <c r="AS77" i="9"/>
  <c r="AW77" i="9" s="1"/>
  <c r="AS36" i="9"/>
  <c r="AW36" i="9"/>
  <c r="AW88" i="9"/>
  <c r="AU85" i="9"/>
  <c r="AU86" i="9"/>
  <c r="AU88" i="9"/>
  <c r="AQ85" i="9"/>
  <c r="AQ88" i="9"/>
  <c r="AP85" i="9"/>
  <c r="AP88" i="9"/>
  <c r="AU12" i="9"/>
  <c r="AW12" i="9" s="1"/>
  <c r="AW15" i="9" s="1"/>
  <c r="AP12" i="9"/>
  <c r="AP15" i="9" s="1"/>
  <c r="AS15" i="9" s="1"/>
  <c r="AS12" i="9"/>
  <c r="AU17" i="9"/>
  <c r="AP17" i="9"/>
  <c r="AU18" i="9"/>
  <c r="AP18" i="9"/>
  <c r="AS18" i="9"/>
  <c r="AW18" i="9"/>
  <c r="AS19" i="9"/>
  <c r="AW19" i="9" s="1"/>
  <c r="AS82" i="9"/>
  <c r="AS81" i="9"/>
  <c r="AS80" i="9"/>
  <c r="AS79" i="9"/>
  <c r="AS78" i="9"/>
  <c r="AS76" i="9"/>
  <c r="AS75" i="9"/>
  <c r="AS71" i="9"/>
  <c r="AS70" i="9"/>
  <c r="AS69" i="9"/>
  <c r="AS68" i="9"/>
  <c r="AS66" i="9"/>
  <c r="AS65" i="9"/>
  <c r="AS64" i="9"/>
  <c r="AS62" i="9"/>
  <c r="AS61" i="9"/>
  <c r="AS60" i="9"/>
  <c r="AS59" i="9"/>
  <c r="AQ56" i="9"/>
  <c r="AS56" i="9" s="1"/>
  <c r="AW56" i="9" s="1"/>
  <c r="AQ55" i="9"/>
  <c r="AS55" i="9" s="1"/>
  <c r="AW55" i="9" s="1"/>
  <c r="AS53" i="9"/>
  <c r="AS52" i="9"/>
  <c r="AS50" i="9"/>
  <c r="AS49" i="9"/>
  <c r="AS48" i="9"/>
  <c r="AS42" i="9"/>
  <c r="AS41" i="9"/>
  <c r="AS40" i="9"/>
  <c r="AS38" i="9"/>
  <c r="AS37" i="9"/>
  <c r="AS31" i="9"/>
  <c r="AU28" i="9"/>
  <c r="AS27" i="9"/>
  <c r="AS26" i="9"/>
  <c r="AS25" i="9"/>
  <c r="AS24" i="9"/>
  <c r="AS20" i="9"/>
  <c r="AW20" i="9"/>
  <c r="AS21" i="9"/>
  <c r="AW21" i="9" s="1"/>
  <c r="AU22" i="9"/>
  <c r="AP22" i="9"/>
  <c r="AQ22" i="9"/>
  <c r="AS22" i="9"/>
  <c r="AS13" i="9"/>
  <c r="AW13" i="9" s="1"/>
  <c r="AS14" i="9"/>
  <c r="AW14" i="9"/>
  <c r="AU15" i="9"/>
  <c r="AQ15" i="9"/>
  <c r="B103" i="87"/>
  <c r="B102" i="87"/>
  <c r="N35" i="87"/>
  <c r="N52" i="87"/>
  <c r="N26" i="87"/>
  <c r="N28" i="87" s="1"/>
  <c r="N85" i="87" s="1"/>
  <c r="N24" i="87"/>
  <c r="N36" i="87"/>
  <c r="N90" i="87"/>
  <c r="N83" i="87"/>
  <c r="N87" i="87" s="1"/>
  <c r="N84" i="87"/>
  <c r="N86" i="87"/>
  <c r="L35" i="87"/>
  <c r="L52" i="87"/>
  <c r="L28" i="87"/>
  <c r="L90" i="87"/>
  <c r="L83" i="87"/>
  <c r="L84" i="87"/>
  <c r="L86" i="87"/>
  <c r="H35" i="87"/>
  <c r="H83" i="87" s="1"/>
  <c r="H28" i="87"/>
  <c r="H85" i="87" s="1"/>
  <c r="H90" i="87"/>
  <c r="H84" i="87"/>
  <c r="H86" i="87"/>
  <c r="G35" i="87"/>
  <c r="G28" i="87"/>
  <c r="G85" i="87" s="1"/>
  <c r="G89" i="87" s="1"/>
  <c r="G92" i="87" s="1"/>
  <c r="G83" i="87"/>
  <c r="G84" i="87"/>
  <c r="G86" i="87"/>
  <c r="N13" i="87"/>
  <c r="N12" i="87" s="1"/>
  <c r="N15" i="87" s="1"/>
  <c r="L12" i="87"/>
  <c r="L15" i="87" s="1"/>
  <c r="N17" i="87"/>
  <c r="G17" i="87"/>
  <c r="N18" i="87"/>
  <c r="N22" i="87" s="1"/>
  <c r="L22" i="87"/>
  <c r="H22" i="87"/>
  <c r="G22" i="87"/>
  <c r="H15" i="87"/>
  <c r="G15" i="87"/>
  <c r="B103" i="86"/>
  <c r="B102" i="86"/>
  <c r="L35" i="86"/>
  <c r="H35" i="86"/>
  <c r="G35" i="86"/>
  <c r="L44" i="86"/>
  <c r="N44" i="86" s="1"/>
  <c r="N84" i="86" s="1"/>
  <c r="H44" i="86"/>
  <c r="G44" i="86"/>
  <c r="J44" i="86"/>
  <c r="L52" i="86"/>
  <c r="H52" i="86"/>
  <c r="G52" i="86"/>
  <c r="J52" i="86"/>
  <c r="N52" i="86" s="1"/>
  <c r="L53" i="86"/>
  <c r="H53" i="86"/>
  <c r="G53" i="86"/>
  <c r="J24" i="86"/>
  <c r="N24" i="86" s="1"/>
  <c r="N28" i="86" s="1"/>
  <c r="L36" i="86"/>
  <c r="L90" i="86" s="1"/>
  <c r="H36" i="86"/>
  <c r="J36" i="86" s="1"/>
  <c r="G36" i="86"/>
  <c r="G83" i="86" s="1"/>
  <c r="N86" i="86"/>
  <c r="L28" i="86"/>
  <c r="L85" i="86"/>
  <c r="L83" i="86"/>
  <c r="L86" i="86"/>
  <c r="H28" i="86"/>
  <c r="H85" i="86" s="1"/>
  <c r="H90" i="86"/>
  <c r="H84" i="86"/>
  <c r="H86" i="86"/>
  <c r="G28" i="86"/>
  <c r="G85" i="86" s="1"/>
  <c r="G89" i="86" s="1"/>
  <c r="G45" i="86"/>
  <c r="G84" i="86" s="1"/>
  <c r="G86" i="86"/>
  <c r="L12" i="86"/>
  <c r="J12" i="86"/>
  <c r="H17" i="86"/>
  <c r="H22" i="86" s="1"/>
  <c r="G17" i="86"/>
  <c r="J18" i="86"/>
  <c r="N18" i="86"/>
  <c r="J45" i="86"/>
  <c r="L22" i="86"/>
  <c r="J21" i="86"/>
  <c r="L15" i="86"/>
  <c r="H15" i="86"/>
  <c r="J15" i="86" s="1"/>
  <c r="G15" i="86"/>
  <c r="B163" i="85"/>
  <c r="B162" i="85"/>
  <c r="J36" i="85"/>
  <c r="N36" i="85"/>
  <c r="J37" i="85"/>
  <c r="N37" i="85" s="1"/>
  <c r="J38" i="85"/>
  <c r="N38" i="85"/>
  <c r="J39" i="85"/>
  <c r="N39" i="85" s="1"/>
  <c r="J40" i="85"/>
  <c r="N40" i="85"/>
  <c r="J41" i="85"/>
  <c r="N41" i="85" s="1"/>
  <c r="J42" i="85"/>
  <c r="N42" i="85"/>
  <c r="J43" i="85"/>
  <c r="N43" i="85" s="1"/>
  <c r="J44" i="85"/>
  <c r="N44" i="85"/>
  <c r="J45" i="85"/>
  <c r="N45" i="85" s="1"/>
  <c r="J46" i="85"/>
  <c r="N46" i="85"/>
  <c r="J47" i="85"/>
  <c r="N47" i="85" s="1"/>
  <c r="J48" i="85"/>
  <c r="N48" i="85"/>
  <c r="J49" i="85"/>
  <c r="N49" i="85" s="1"/>
  <c r="J50" i="85"/>
  <c r="N50" i="85"/>
  <c r="J51" i="85"/>
  <c r="N51" i="85" s="1"/>
  <c r="J52" i="85"/>
  <c r="N52" i="85"/>
  <c r="G53" i="85"/>
  <c r="J54" i="85"/>
  <c r="N54" i="85" s="1"/>
  <c r="J55" i="85"/>
  <c r="N55" i="85"/>
  <c r="J56" i="85"/>
  <c r="N56" i="85" s="1"/>
  <c r="J57" i="85"/>
  <c r="N57" i="85"/>
  <c r="J58" i="85"/>
  <c r="N58" i="85" s="1"/>
  <c r="J59" i="85"/>
  <c r="N59" i="85" s="1"/>
  <c r="J60" i="85"/>
  <c r="N60" i="85" s="1"/>
  <c r="J61" i="85"/>
  <c r="N61" i="85" s="1"/>
  <c r="J62" i="85"/>
  <c r="N62" i="85"/>
  <c r="J79" i="85"/>
  <c r="N79" i="85" s="1"/>
  <c r="J80" i="85"/>
  <c r="N80" i="85"/>
  <c r="J81" i="85"/>
  <c r="N81" i="85"/>
  <c r="J89" i="85"/>
  <c r="N89" i="85"/>
  <c r="J90" i="85"/>
  <c r="N90" i="85"/>
  <c r="J91" i="85"/>
  <c r="N91" i="85"/>
  <c r="J92" i="85"/>
  <c r="N92" i="85" s="1"/>
  <c r="J93" i="85"/>
  <c r="N93" i="85"/>
  <c r="J94" i="85"/>
  <c r="N94" i="85" s="1"/>
  <c r="J95" i="85"/>
  <c r="N95" i="85" s="1"/>
  <c r="J96" i="85"/>
  <c r="N96" i="85" s="1"/>
  <c r="J97" i="85"/>
  <c r="N97" i="85"/>
  <c r="J98" i="85"/>
  <c r="N98" i="85"/>
  <c r="J99" i="85"/>
  <c r="N99" i="85"/>
  <c r="J100" i="85"/>
  <c r="N100" i="85"/>
  <c r="J101" i="85"/>
  <c r="N101" i="85"/>
  <c r="J102" i="85"/>
  <c r="N102" i="85"/>
  <c r="J103" i="85"/>
  <c r="N103" i="85"/>
  <c r="J104" i="85"/>
  <c r="N104" i="85"/>
  <c r="J105" i="85"/>
  <c r="N105" i="85"/>
  <c r="J106" i="85"/>
  <c r="N106" i="85" s="1"/>
  <c r="J107" i="85"/>
  <c r="N107" i="85"/>
  <c r="J108" i="85"/>
  <c r="N108" i="85" s="1"/>
  <c r="J109" i="85"/>
  <c r="N109" i="85"/>
  <c r="J110" i="85"/>
  <c r="N110" i="85"/>
  <c r="J111" i="85"/>
  <c r="N111" i="85"/>
  <c r="J112" i="85"/>
  <c r="N112" i="85"/>
  <c r="J113" i="85"/>
  <c r="N113" i="85"/>
  <c r="J114" i="85"/>
  <c r="N114" i="85" s="1"/>
  <c r="J115" i="85"/>
  <c r="N115" i="85" s="1"/>
  <c r="J117" i="85"/>
  <c r="N117" i="85" s="1"/>
  <c r="J118" i="85"/>
  <c r="N118" i="85"/>
  <c r="J119" i="85"/>
  <c r="N119" i="85" s="1"/>
  <c r="L28" i="85"/>
  <c r="N28" i="85"/>
  <c r="J64" i="85"/>
  <c r="N64" i="85" s="1"/>
  <c r="J65" i="85"/>
  <c r="N65" i="85"/>
  <c r="J66" i="85"/>
  <c r="N66" i="85" s="1"/>
  <c r="J67" i="85"/>
  <c r="N67" i="85"/>
  <c r="J68" i="85"/>
  <c r="N68" i="85" s="1"/>
  <c r="J69" i="85"/>
  <c r="N69" i="85"/>
  <c r="J70" i="85"/>
  <c r="N70" i="85" s="1"/>
  <c r="J71" i="85"/>
  <c r="N71" i="85"/>
  <c r="J83" i="85"/>
  <c r="N83" i="85" s="1"/>
  <c r="J84" i="85"/>
  <c r="N84" i="85"/>
  <c r="J85" i="85"/>
  <c r="N85" i="85" s="1"/>
  <c r="N146" i="85"/>
  <c r="L145" i="85"/>
  <c r="L149" i="85" s="1"/>
  <c r="L152" i="85" s="1"/>
  <c r="L150" i="85"/>
  <c r="L143" i="85"/>
  <c r="L144" i="85"/>
  <c r="L147" i="85" s="1"/>
  <c r="L146" i="85"/>
  <c r="H28" i="85"/>
  <c r="H145" i="85"/>
  <c r="H149" i="85" s="1"/>
  <c r="H150" i="85"/>
  <c r="H143" i="85"/>
  <c r="H144" i="85"/>
  <c r="H146" i="85"/>
  <c r="G28" i="85"/>
  <c r="G145" i="85" s="1"/>
  <c r="G150" i="85"/>
  <c r="G144" i="85"/>
  <c r="G146" i="85"/>
  <c r="H12" i="85"/>
  <c r="G12" i="85"/>
  <c r="N17" i="85"/>
  <c r="L21" i="85"/>
  <c r="L17" i="85" s="1"/>
  <c r="L22" i="85" s="1"/>
  <c r="G17" i="85"/>
  <c r="N18" i="85"/>
  <c r="N22" i="85" s="1"/>
  <c r="L18" i="85"/>
  <c r="J27" i="85"/>
  <c r="J26" i="85"/>
  <c r="J24" i="85"/>
  <c r="H22" i="85"/>
  <c r="G22" i="85"/>
  <c r="J20" i="85"/>
  <c r="J18" i="85"/>
  <c r="J17" i="85"/>
  <c r="B103" i="84"/>
  <c r="B102" i="84"/>
  <c r="N35" i="84"/>
  <c r="N44" i="84"/>
  <c r="N52" i="84"/>
  <c r="N53" i="84"/>
  <c r="N28" i="84"/>
  <c r="N90" i="84"/>
  <c r="N83" i="84"/>
  <c r="N84" i="84"/>
  <c r="N86" i="84"/>
  <c r="L35" i="84"/>
  <c r="L44" i="84"/>
  <c r="L52" i="84"/>
  <c r="L53" i="84"/>
  <c r="L28" i="84"/>
  <c r="L90" i="84"/>
  <c r="L83" i="84"/>
  <c r="L84" i="84"/>
  <c r="L86" i="84"/>
  <c r="H35" i="84"/>
  <c r="H44" i="84"/>
  <c r="H52" i="84"/>
  <c r="H53" i="84"/>
  <c r="H28" i="84"/>
  <c r="H85" i="84" s="1"/>
  <c r="H89" i="84" s="1"/>
  <c r="H90" i="84"/>
  <c r="H83" i="84"/>
  <c r="H84" i="84"/>
  <c r="H86" i="84"/>
  <c r="G35" i="84"/>
  <c r="G44" i="84"/>
  <c r="G52" i="84"/>
  <c r="G53" i="84"/>
  <c r="G28" i="84"/>
  <c r="G85" i="84" s="1"/>
  <c r="G90" i="84"/>
  <c r="G83" i="84"/>
  <c r="G84" i="84"/>
  <c r="G86" i="84"/>
  <c r="N13" i="84"/>
  <c r="N12" i="84"/>
  <c r="N15" i="84" s="1"/>
  <c r="L13" i="84"/>
  <c r="L12" i="84" s="1"/>
  <c r="L15" i="84" s="1"/>
  <c r="H13" i="84"/>
  <c r="H12" i="84" s="1"/>
  <c r="G13" i="84"/>
  <c r="G12" i="84"/>
  <c r="G15" i="84" s="1"/>
  <c r="N17" i="84"/>
  <c r="L17" i="84"/>
  <c r="L22" i="84" s="1"/>
  <c r="H17" i="84"/>
  <c r="G17" i="84"/>
  <c r="G22" i="84" s="1"/>
  <c r="N22" i="84"/>
  <c r="H22" i="84"/>
  <c r="H15" i="84"/>
  <c r="AK114" i="43"/>
  <c r="AK123" i="43"/>
  <c r="AK108" i="43"/>
  <c r="AK109" i="43"/>
  <c r="AK110" i="43"/>
  <c r="AK111" i="43"/>
  <c r="AK112" i="43"/>
  <c r="AK115" i="43" s="1"/>
  <c r="AI97" i="43"/>
  <c r="AI35" i="43"/>
  <c r="AI108" i="43"/>
  <c r="AI109" i="43"/>
  <c r="AI110" i="43"/>
  <c r="AI111" i="43"/>
  <c r="AI112" i="43"/>
  <c r="AI12" i="43"/>
  <c r="AK116" i="43"/>
  <c r="AI114" i="43"/>
  <c r="AI116" i="43"/>
  <c r="AK22" i="43"/>
  <c r="AK15" i="43"/>
  <c r="AI15" i="43"/>
  <c r="AW37" i="26"/>
  <c r="AU46" i="26"/>
  <c r="AY46" i="26" s="1"/>
  <c r="AU47" i="26"/>
  <c r="AY47" i="26"/>
  <c r="AU48" i="26"/>
  <c r="AY48" i="26" s="1"/>
  <c r="AU49" i="26"/>
  <c r="AY49" i="26"/>
  <c r="AU50" i="26"/>
  <c r="AY50" i="26" s="1"/>
  <c r="AU51" i="26"/>
  <c r="AY51" i="26"/>
  <c r="AU52" i="26"/>
  <c r="AY52" i="26" s="1"/>
  <c r="AU54" i="26"/>
  <c r="AY54" i="26" s="1"/>
  <c r="AU55" i="26"/>
  <c r="AY55" i="26"/>
  <c r="AU56" i="26"/>
  <c r="AY56" i="26" s="1"/>
  <c r="AU57" i="26"/>
  <c r="AY57" i="26" s="1"/>
  <c r="AU58" i="26"/>
  <c r="AY58" i="26" s="1"/>
  <c r="AU59" i="26"/>
  <c r="AY59" i="26" s="1"/>
  <c r="AU60" i="26"/>
  <c r="AY60" i="26" s="1"/>
  <c r="AU61" i="26"/>
  <c r="AY61" i="26" s="1"/>
  <c r="AU64" i="26"/>
  <c r="AY64" i="26"/>
  <c r="AY87" i="26" s="1"/>
  <c r="AW84" i="26"/>
  <c r="AW85" i="26"/>
  <c r="AW87" i="26"/>
  <c r="AR37" i="26"/>
  <c r="AS85" i="26"/>
  <c r="AS87" i="26"/>
  <c r="AR84" i="26"/>
  <c r="AR85" i="26"/>
  <c r="AR87" i="26"/>
  <c r="AU22" i="26"/>
  <c r="AY22" i="26"/>
  <c r="AY19" i="26" s="1"/>
  <c r="AW19" i="26"/>
  <c r="AW24" i="26" s="1"/>
  <c r="AS19" i="26"/>
  <c r="AR19" i="26"/>
  <c r="AU81" i="26"/>
  <c r="AY81" i="26" s="1"/>
  <c r="AU80" i="26"/>
  <c r="AY80" i="26"/>
  <c r="AU79" i="26"/>
  <c r="AY79" i="26" s="1"/>
  <c r="AU78" i="26"/>
  <c r="AY78" i="26"/>
  <c r="AU77" i="26"/>
  <c r="AY77" i="26" s="1"/>
  <c r="AU76" i="26"/>
  <c r="AY76" i="26"/>
  <c r="AU75" i="26"/>
  <c r="AY75" i="26" s="1"/>
  <c r="AU74" i="26"/>
  <c r="AY74" i="26"/>
  <c r="AU73" i="26"/>
  <c r="AY73" i="26" s="1"/>
  <c r="AU70" i="26"/>
  <c r="AY70" i="26"/>
  <c r="AU69" i="26"/>
  <c r="AY69" i="26" s="1"/>
  <c r="AY68" i="26"/>
  <c r="AU68" i="26"/>
  <c r="AU63" i="26"/>
  <c r="AU44" i="26"/>
  <c r="AU43" i="26"/>
  <c r="AU40" i="26"/>
  <c r="AU33" i="26"/>
  <c r="AY33" i="26"/>
  <c r="AY32" i="26"/>
  <c r="AY29" i="26"/>
  <c r="AU26" i="26"/>
  <c r="AY26" i="26"/>
  <c r="AY24" i="26"/>
  <c r="AS24" i="26"/>
  <c r="AR24" i="26"/>
  <c r="AU24" i="26" s="1"/>
  <c r="AU23" i="26"/>
  <c r="AU21" i="26"/>
  <c r="AU20" i="26"/>
  <c r="AU19" i="26"/>
  <c r="AY17" i="26"/>
  <c r="AW17" i="26"/>
  <c r="AS17" i="26"/>
  <c r="AU17" i="26" s="1"/>
  <c r="AR17" i="26"/>
  <c r="AU16" i="26"/>
  <c r="AU15" i="26"/>
  <c r="AU14" i="26"/>
  <c r="AU12" i="26"/>
  <c r="AH39" i="26"/>
  <c r="AJ39" i="26"/>
  <c r="AS39" i="26" s="1"/>
  <c r="AU39" i="26" s="1"/>
  <c r="AY39" i="26" s="1"/>
  <c r="AJ40" i="26"/>
  <c r="AJ68" i="26"/>
  <c r="AG38" i="26"/>
  <c r="AH38" i="26"/>
  <c r="AJ38" i="26" s="1"/>
  <c r="AS38" i="26" s="1"/>
  <c r="AT120" i="19"/>
  <c r="AT119" i="19"/>
  <c r="BC43" i="19"/>
  <c r="BA43" i="19"/>
  <c r="BA36" i="19"/>
  <c r="BA38" i="19" s="1"/>
  <c r="BC38" i="19" s="1"/>
  <c r="BA56" i="19"/>
  <c r="BA60" i="19"/>
  <c r="BA102" i="19" s="1"/>
  <c r="AY70" i="19"/>
  <c r="BC70" i="19" s="1"/>
  <c r="AY71" i="19"/>
  <c r="BC71" i="19" s="1"/>
  <c r="AY72" i="19"/>
  <c r="BC72" i="19" s="1"/>
  <c r="AY73" i="19"/>
  <c r="BC73" i="19" s="1"/>
  <c r="AY74" i="19"/>
  <c r="BC74" i="19" s="1"/>
  <c r="AY75" i="19"/>
  <c r="BC75" i="19" s="1"/>
  <c r="AY76" i="19"/>
  <c r="BC76" i="19" s="1"/>
  <c r="AY77" i="19"/>
  <c r="BC77" i="19" s="1"/>
  <c r="BC28" i="19"/>
  <c r="BC104" i="19"/>
  <c r="BC12" i="19"/>
  <c r="BA101" i="19"/>
  <c r="BA28" i="19"/>
  <c r="BA103" i="19"/>
  <c r="BA104" i="19"/>
  <c r="BA12" i="19"/>
  <c r="AW43" i="19"/>
  <c r="AW51" i="19" s="1"/>
  <c r="AV43" i="19"/>
  <c r="AW37" i="19"/>
  <c r="AV38" i="19"/>
  <c r="AW38" i="19" s="1"/>
  <c r="AW49" i="19"/>
  <c r="AW50" i="19"/>
  <c r="AY50" i="19" s="1"/>
  <c r="AV52" i="19"/>
  <c r="AV56" i="19"/>
  <c r="AW56" i="19"/>
  <c r="AW57" i="19"/>
  <c r="AW58" i="19"/>
  <c r="AY58" i="19" s="1"/>
  <c r="AW60" i="19"/>
  <c r="AY60" i="19" s="1"/>
  <c r="AW61" i="19"/>
  <c r="AY61" i="19" s="1"/>
  <c r="AW28" i="19"/>
  <c r="AW103" i="19" s="1"/>
  <c r="AW104" i="19"/>
  <c r="AW12" i="19"/>
  <c r="AV101" i="19"/>
  <c r="AV28" i="19"/>
  <c r="AV103" i="19"/>
  <c r="AV107" i="19" s="1"/>
  <c r="AV104" i="19"/>
  <c r="AV12" i="19"/>
  <c r="BC17" i="19"/>
  <c r="BA17" i="19"/>
  <c r="AW17" i="19"/>
  <c r="AV17" i="19"/>
  <c r="BP105" i="19"/>
  <c r="AY98" i="19"/>
  <c r="BC98" i="19" s="1"/>
  <c r="AY97" i="19"/>
  <c r="BC97" i="19" s="1"/>
  <c r="AY96" i="19"/>
  <c r="BC96" i="19" s="1"/>
  <c r="AY95" i="19"/>
  <c r="BC95" i="19" s="1"/>
  <c r="AY94" i="19"/>
  <c r="BC94" i="19" s="1"/>
  <c r="AY93" i="19"/>
  <c r="BC93" i="19" s="1"/>
  <c r="AY92" i="19"/>
  <c r="BC92" i="19" s="1"/>
  <c r="AY91" i="19"/>
  <c r="BC91" i="19" s="1"/>
  <c r="AY90" i="19"/>
  <c r="BC90" i="19" s="1"/>
  <c r="AY87" i="19"/>
  <c r="AY86" i="19"/>
  <c r="AY85" i="19"/>
  <c r="AY84" i="19"/>
  <c r="AY81" i="19"/>
  <c r="AY80" i="19"/>
  <c r="AY79" i="19"/>
  <c r="AY68" i="19"/>
  <c r="AY67" i="19"/>
  <c r="AY66" i="19"/>
  <c r="AY65" i="19"/>
  <c r="AY64" i="19"/>
  <c r="AY63" i="19"/>
  <c r="AY62" i="19"/>
  <c r="AY59" i="19"/>
  <c r="AY57" i="19"/>
  <c r="AY55" i="19"/>
  <c r="AY53" i="19"/>
  <c r="AY49" i="19"/>
  <c r="AY47" i="19"/>
  <c r="AY46" i="19"/>
  <c r="AY43" i="19"/>
  <c r="AY40" i="19"/>
  <c r="BC40" i="19" s="1"/>
  <c r="AY38" i="19"/>
  <c r="AY35" i="19"/>
  <c r="AY31" i="19"/>
  <c r="BC31" i="19" s="1"/>
  <c r="BA22" i="19"/>
  <c r="AV22" i="19"/>
  <c r="AY20" i="19"/>
  <c r="AY19" i="19"/>
  <c r="AY18" i="19"/>
  <c r="AY15" i="19"/>
  <c r="AY14" i="19"/>
  <c r="AY13" i="19"/>
  <c r="AY12" i="19"/>
  <c r="BA7" i="19"/>
  <c r="BD97" i="45"/>
  <c r="BD113" i="45" s="1"/>
  <c r="BB97" i="45"/>
  <c r="BB113" i="45"/>
  <c r="AX97" i="45"/>
  <c r="AX113" i="45" s="1"/>
  <c r="AW97" i="45"/>
  <c r="AW113" i="45"/>
  <c r="BD98" i="45"/>
  <c r="BD73" i="45"/>
  <c r="AX29" i="45"/>
  <c r="BD29" i="45"/>
  <c r="BD99" i="45" s="1"/>
  <c r="BD100" i="45"/>
  <c r="BD12" i="45"/>
  <c r="BD16" i="45" s="1"/>
  <c r="BB98" i="45"/>
  <c r="BB73" i="45"/>
  <c r="AW29" i="45"/>
  <c r="BB100" i="45"/>
  <c r="BB12" i="45"/>
  <c r="BB16" i="45" s="1"/>
  <c r="AX98" i="45"/>
  <c r="AX99" i="45"/>
  <c r="AX100" i="45"/>
  <c r="AX12" i="45"/>
  <c r="AW98" i="45"/>
  <c r="AW100" i="45"/>
  <c r="AW12" i="45"/>
  <c r="AW16" i="45" s="1"/>
  <c r="BD18" i="45"/>
  <c r="BB18" i="45"/>
  <c r="AX18" i="45"/>
  <c r="AX19" i="45"/>
  <c r="AW18" i="45"/>
  <c r="AW19" i="45"/>
  <c r="AZ73" i="45"/>
  <c r="AZ38" i="45"/>
  <c r="AZ37" i="45"/>
  <c r="AZ34" i="45"/>
  <c r="AZ27" i="45"/>
  <c r="AZ25" i="45"/>
  <c r="BD23" i="45"/>
  <c r="BB23" i="45"/>
  <c r="AW23" i="45"/>
  <c r="AZ21" i="45"/>
  <c r="AZ18" i="45"/>
  <c r="BD15" i="45"/>
  <c r="BB14" i="45"/>
  <c r="BB15" i="45"/>
  <c r="AX15" i="45"/>
  <c r="AW15" i="45"/>
  <c r="AZ14" i="45"/>
  <c r="AK81" i="83"/>
  <c r="AK82" i="83"/>
  <c r="AK27" i="83"/>
  <c r="AK83" i="83" s="1"/>
  <c r="AK84" i="83"/>
  <c r="AK12" i="83"/>
  <c r="AI81" i="83"/>
  <c r="AI85" i="83" s="1"/>
  <c r="AI82" i="83"/>
  <c r="AI27" i="83"/>
  <c r="AI83" i="83" s="1"/>
  <c r="AI84" i="83"/>
  <c r="AE81" i="83"/>
  <c r="AE82" i="83"/>
  <c r="AE27" i="83"/>
  <c r="AE83" i="83" s="1"/>
  <c r="AE84" i="83"/>
  <c r="AE85" i="83"/>
  <c r="AE12" i="83"/>
  <c r="AD81" i="83"/>
  <c r="AD82" i="83"/>
  <c r="AD27" i="83"/>
  <c r="AD83" i="83" s="1"/>
  <c r="AD85" i="83" s="1"/>
  <c r="AD84" i="83"/>
  <c r="AD12" i="83"/>
  <c r="AG12" i="83" s="1"/>
  <c r="AB81" i="83"/>
  <c r="AB82" i="83"/>
  <c r="AB85" i="83" s="1"/>
  <c r="AB83" i="83"/>
  <c r="AB84" i="83"/>
  <c r="AB12" i="83"/>
  <c r="Z81" i="83"/>
  <c r="Z82" i="83"/>
  <c r="Z85" i="83" s="1"/>
  <c r="Z91" i="83" s="1"/>
  <c r="Z83" i="83"/>
  <c r="Z84" i="83"/>
  <c r="R35" i="83"/>
  <c r="V35" i="83" s="1"/>
  <c r="V81" i="83" s="1"/>
  <c r="R36" i="83"/>
  <c r="V36" i="83"/>
  <c r="R37" i="83"/>
  <c r="V37" i="83" s="1"/>
  <c r="R39" i="83"/>
  <c r="V39" i="83"/>
  <c r="R40" i="83"/>
  <c r="V40" i="83" s="1"/>
  <c r="R41" i="83"/>
  <c r="V41" i="83"/>
  <c r="R43" i="83"/>
  <c r="V43" i="83" s="1"/>
  <c r="R44" i="83"/>
  <c r="V44" i="83"/>
  <c r="R45" i="83"/>
  <c r="V45" i="83" s="1"/>
  <c r="R46" i="83"/>
  <c r="V46" i="83"/>
  <c r="R47" i="83"/>
  <c r="V47" i="83" s="1"/>
  <c r="R48" i="83"/>
  <c r="V48" i="83"/>
  <c r="R49" i="83"/>
  <c r="V49" i="83" s="1"/>
  <c r="R51" i="83"/>
  <c r="V51" i="83" s="1"/>
  <c r="R52" i="83"/>
  <c r="V52" i="83" s="1"/>
  <c r="R53" i="83"/>
  <c r="V53" i="83" s="1"/>
  <c r="R54" i="83"/>
  <c r="V54" i="83" s="1"/>
  <c r="R55" i="83"/>
  <c r="V55" i="83" s="1"/>
  <c r="R56" i="83"/>
  <c r="V56" i="83" s="1"/>
  <c r="R57" i="83"/>
  <c r="V57" i="83" s="1"/>
  <c r="R58" i="83"/>
  <c r="V58" i="83" s="1"/>
  <c r="R24" i="83"/>
  <c r="V24" i="83" s="1"/>
  <c r="V27" i="83" s="1"/>
  <c r="R60" i="83"/>
  <c r="V60" i="83" s="1"/>
  <c r="R61" i="83"/>
  <c r="V61" i="83" s="1"/>
  <c r="V84" i="83"/>
  <c r="P81" i="83"/>
  <c r="P82" i="83"/>
  <c r="P85" i="83" s="1"/>
  <c r="P86" i="83" s="1"/>
  <c r="P83" i="83"/>
  <c r="P84" i="83"/>
  <c r="P91" i="83"/>
  <c r="M81" i="83"/>
  <c r="M82" i="83"/>
  <c r="M27" i="83"/>
  <c r="M83" i="83"/>
  <c r="M84" i="83"/>
  <c r="I81" i="83"/>
  <c r="I82" i="83"/>
  <c r="I27" i="83"/>
  <c r="I83" i="83" s="1"/>
  <c r="I84" i="83"/>
  <c r="Z86" i="83"/>
  <c r="T81" i="83"/>
  <c r="T85" i="83" s="1"/>
  <c r="T82" i="83"/>
  <c r="T27" i="83"/>
  <c r="T83" i="83" s="1"/>
  <c r="T84" i="83"/>
  <c r="T86" i="83"/>
  <c r="O81" i="83"/>
  <c r="O82" i="83"/>
  <c r="O83" i="83"/>
  <c r="O85" i="83" s="1"/>
  <c r="O86" i="83" s="1"/>
  <c r="O84" i="83"/>
  <c r="L81" i="83"/>
  <c r="L82" i="83"/>
  <c r="L27" i="83"/>
  <c r="L83" i="83"/>
  <c r="L84" i="83"/>
  <c r="H81" i="83"/>
  <c r="H82" i="83"/>
  <c r="H27" i="83"/>
  <c r="H83" i="83"/>
  <c r="H84" i="83"/>
  <c r="F81" i="83"/>
  <c r="F82" i="83"/>
  <c r="F27" i="83"/>
  <c r="F83" i="83" s="1"/>
  <c r="F84" i="83"/>
  <c r="AG78" i="83"/>
  <c r="AB78" i="83"/>
  <c r="R78" i="83"/>
  <c r="V78" i="83" s="1"/>
  <c r="J78" i="83"/>
  <c r="M78" i="83"/>
  <c r="AG77" i="83"/>
  <c r="AB77" i="83"/>
  <c r="R77" i="83"/>
  <c r="V77" i="83"/>
  <c r="J77" i="83"/>
  <c r="M77" i="83" s="1"/>
  <c r="AG76" i="83"/>
  <c r="AB76" i="83"/>
  <c r="R76" i="83"/>
  <c r="V76" i="83" s="1"/>
  <c r="J76" i="83"/>
  <c r="M76" i="83"/>
  <c r="AG75" i="83"/>
  <c r="AB75" i="83"/>
  <c r="R75" i="83"/>
  <c r="V75" i="83"/>
  <c r="J75" i="83"/>
  <c r="M75" i="83" s="1"/>
  <c r="AG74" i="83"/>
  <c r="AB74" i="83"/>
  <c r="R74" i="83"/>
  <c r="V74" i="83" s="1"/>
  <c r="J74" i="83"/>
  <c r="M74" i="83"/>
  <c r="AG73" i="83"/>
  <c r="AB73" i="83"/>
  <c r="R73" i="83"/>
  <c r="V73" i="83"/>
  <c r="J73" i="83"/>
  <c r="M73" i="83" s="1"/>
  <c r="AG72" i="83"/>
  <c r="AB72" i="83"/>
  <c r="R72" i="83"/>
  <c r="V72" i="83" s="1"/>
  <c r="J72" i="83"/>
  <c r="M72" i="83"/>
  <c r="AG71" i="83"/>
  <c r="AB71" i="83"/>
  <c r="R71" i="83"/>
  <c r="V71" i="83"/>
  <c r="J71" i="83"/>
  <c r="M71" i="83" s="1"/>
  <c r="AG70" i="83"/>
  <c r="AB70" i="83"/>
  <c r="R70" i="83"/>
  <c r="V70" i="83" s="1"/>
  <c r="J70" i="83"/>
  <c r="M70" i="83"/>
  <c r="AG67" i="83"/>
  <c r="R67" i="83"/>
  <c r="V67" i="83"/>
  <c r="J67" i="83"/>
  <c r="M67" i="83" s="1"/>
  <c r="AG66" i="83"/>
  <c r="R66" i="83"/>
  <c r="V66" i="83"/>
  <c r="J66" i="83"/>
  <c r="M66" i="83" s="1"/>
  <c r="AG65" i="83"/>
  <c r="R65" i="83"/>
  <c r="V65" i="83" s="1"/>
  <c r="J65" i="83"/>
  <c r="M65" i="83"/>
  <c r="AG64" i="83"/>
  <c r="R64" i="83"/>
  <c r="V64" i="83" s="1"/>
  <c r="AG62" i="83"/>
  <c r="R62" i="83"/>
  <c r="V62" i="83" s="1"/>
  <c r="J62" i="83"/>
  <c r="AG61" i="83"/>
  <c r="J61" i="83"/>
  <c r="AG60" i="83"/>
  <c r="J60" i="83"/>
  <c r="AG58" i="83"/>
  <c r="J58" i="83"/>
  <c r="AG57" i="83"/>
  <c r="J57" i="83"/>
  <c r="AG56" i="83"/>
  <c r="J56" i="83"/>
  <c r="AG55" i="83"/>
  <c r="J55" i="83"/>
  <c r="AG54" i="83"/>
  <c r="J54" i="83"/>
  <c r="AG53" i="83"/>
  <c r="J53" i="83"/>
  <c r="AG52" i="83"/>
  <c r="J52" i="83"/>
  <c r="AG51" i="83"/>
  <c r="J51" i="83"/>
  <c r="AG49" i="83"/>
  <c r="J49" i="83"/>
  <c r="AG48" i="83"/>
  <c r="J48" i="83"/>
  <c r="AG47" i="83"/>
  <c r="J47" i="83"/>
  <c r="AG46" i="83"/>
  <c r="J46" i="83"/>
  <c r="AG45" i="83"/>
  <c r="J45" i="83"/>
  <c r="AG44" i="83"/>
  <c r="J44" i="83"/>
  <c r="AG43" i="83"/>
  <c r="J43" i="83"/>
  <c r="AG41" i="83"/>
  <c r="J41" i="83"/>
  <c r="AG40" i="83"/>
  <c r="J40" i="83"/>
  <c r="AG39" i="83"/>
  <c r="J39" i="83"/>
  <c r="AG37" i="83"/>
  <c r="J37" i="83"/>
  <c r="AG36" i="83"/>
  <c r="AG35" i="83"/>
  <c r="J35" i="83"/>
  <c r="AG34" i="83"/>
  <c r="R34" i="83"/>
  <c r="AG30" i="83"/>
  <c r="R30" i="83"/>
  <c r="V30" i="83"/>
  <c r="J30" i="83"/>
  <c r="M30" i="83" s="1"/>
  <c r="AG29" i="83"/>
  <c r="J29" i="83"/>
  <c r="M29" i="83" s="1"/>
  <c r="AG26" i="83"/>
  <c r="R26" i="83"/>
  <c r="V26" i="83"/>
  <c r="J26" i="83"/>
  <c r="M26" i="83" s="1"/>
  <c r="AG25" i="83"/>
  <c r="R25" i="83"/>
  <c r="V25" i="83" s="1"/>
  <c r="J25" i="83"/>
  <c r="AG24" i="83"/>
  <c r="J24" i="83"/>
  <c r="AG23" i="83"/>
  <c r="R23" i="83"/>
  <c r="V23" i="83"/>
  <c r="J23" i="83"/>
  <c r="AG21" i="83"/>
  <c r="R21" i="83"/>
  <c r="AG20" i="83"/>
  <c r="R20" i="83"/>
  <c r="J20" i="83"/>
  <c r="AG19" i="83"/>
  <c r="J19" i="83"/>
  <c r="AG18" i="83"/>
  <c r="R18" i="83"/>
  <c r="AK17" i="83"/>
  <c r="AD17" i="83"/>
  <c r="AE17" i="83"/>
  <c r="AB17" i="83"/>
  <c r="V17" i="83"/>
  <c r="R17" i="83"/>
  <c r="P17" i="83"/>
  <c r="J17" i="83"/>
  <c r="AG15" i="83"/>
  <c r="AB15" i="83"/>
  <c r="R15" i="83"/>
  <c r="AG14" i="83"/>
  <c r="AG13" i="83"/>
  <c r="R13" i="83"/>
  <c r="J13" i="83"/>
  <c r="R12" i="83"/>
  <c r="O10" i="83"/>
  <c r="AF82" i="82"/>
  <c r="AF86" i="82" s="1"/>
  <c r="AF83" i="82"/>
  <c r="AF28" i="82"/>
  <c r="AF84" i="82"/>
  <c r="AF85" i="82"/>
  <c r="AF12" i="82"/>
  <c r="AD82" i="82"/>
  <c r="AD83" i="82"/>
  <c r="AD28" i="82"/>
  <c r="AD84" i="82"/>
  <c r="AD85" i="82"/>
  <c r="Z82" i="82"/>
  <c r="Z83" i="82"/>
  <c r="Z28" i="82"/>
  <c r="Z84" i="82"/>
  <c r="Z85" i="82"/>
  <c r="Z13" i="82"/>
  <c r="Z12" i="82"/>
  <c r="Y82" i="82"/>
  <c r="Y83" i="82"/>
  <c r="Y28" i="82"/>
  <c r="Y84" i="82" s="1"/>
  <c r="Y86" i="82" s="1"/>
  <c r="Y85" i="82"/>
  <c r="Y13" i="82"/>
  <c r="V35" i="82"/>
  <c r="V36" i="82"/>
  <c r="R37" i="82"/>
  <c r="V37" i="82" s="1"/>
  <c r="R38" i="82"/>
  <c r="V38" i="82"/>
  <c r="R40" i="82"/>
  <c r="V40" i="82" s="1"/>
  <c r="R41" i="82"/>
  <c r="V41" i="82"/>
  <c r="R42" i="82"/>
  <c r="V42" i="82" s="1"/>
  <c r="V44" i="82"/>
  <c r="V45" i="82"/>
  <c r="R46" i="82"/>
  <c r="V46" i="82"/>
  <c r="R47" i="82"/>
  <c r="V47" i="82" s="1"/>
  <c r="R48" i="82"/>
  <c r="V48" i="82"/>
  <c r="R49" i="82"/>
  <c r="V49" i="82" s="1"/>
  <c r="R50" i="82"/>
  <c r="V50" i="82"/>
  <c r="V83" i="82"/>
  <c r="R52" i="82"/>
  <c r="V52" i="82" s="1"/>
  <c r="R53" i="82"/>
  <c r="V53" i="82"/>
  <c r="R54" i="82"/>
  <c r="V54" i="82" s="1"/>
  <c r="R55" i="82"/>
  <c r="V55" i="82"/>
  <c r="R56" i="82"/>
  <c r="V56" i="82" s="1"/>
  <c r="R57" i="82"/>
  <c r="V57" i="82"/>
  <c r="R58" i="82"/>
  <c r="V58" i="82" s="1"/>
  <c r="R59" i="82"/>
  <c r="V59" i="82"/>
  <c r="R25" i="82"/>
  <c r="V25" i="82" s="1"/>
  <c r="V28" i="82" s="1"/>
  <c r="V84" i="82" s="1"/>
  <c r="R61" i="82"/>
  <c r="V61" i="82" s="1"/>
  <c r="V85" i="82" s="1"/>
  <c r="R62" i="82"/>
  <c r="V62" i="82"/>
  <c r="T35" i="82"/>
  <c r="T36" i="82"/>
  <c r="T83" i="82"/>
  <c r="T28" i="82"/>
  <c r="T84" i="82" s="1"/>
  <c r="T85" i="82"/>
  <c r="P82" i="82"/>
  <c r="P83" i="82"/>
  <c r="P28" i="82"/>
  <c r="P84" i="82"/>
  <c r="P85" i="82"/>
  <c r="O82" i="82"/>
  <c r="O83" i="82"/>
  <c r="O84" i="82"/>
  <c r="O85" i="82"/>
  <c r="O86" i="82"/>
  <c r="J37" i="82"/>
  <c r="M37" i="82"/>
  <c r="J38" i="82"/>
  <c r="M38" i="82" s="1"/>
  <c r="M82" i="82" s="1"/>
  <c r="J40" i="82"/>
  <c r="M40" i="82"/>
  <c r="J41" i="82"/>
  <c r="M41" i="82" s="1"/>
  <c r="J42" i="82"/>
  <c r="M42" i="82"/>
  <c r="J46" i="82"/>
  <c r="M46" i="82" s="1"/>
  <c r="M83" i="82" s="1"/>
  <c r="J47" i="82"/>
  <c r="M47" i="82"/>
  <c r="J48" i="82"/>
  <c r="M48" i="82" s="1"/>
  <c r="J49" i="82"/>
  <c r="M49" i="82"/>
  <c r="J50" i="82"/>
  <c r="M50" i="82" s="1"/>
  <c r="J52" i="82"/>
  <c r="M52" i="82" s="1"/>
  <c r="J53" i="82"/>
  <c r="M53" i="82"/>
  <c r="J54" i="82"/>
  <c r="M54" i="82" s="1"/>
  <c r="J55" i="82"/>
  <c r="M55" i="82"/>
  <c r="J56" i="82"/>
  <c r="M56" i="82" s="1"/>
  <c r="J58" i="82"/>
  <c r="M58" i="82"/>
  <c r="J59" i="82"/>
  <c r="M59" i="82" s="1"/>
  <c r="M28" i="82"/>
  <c r="J61" i="82"/>
  <c r="M61" i="82" s="1"/>
  <c r="M62" i="82" s="1"/>
  <c r="M63" i="82"/>
  <c r="M85" i="82"/>
  <c r="I82" i="82"/>
  <c r="I83" i="82"/>
  <c r="I28" i="82"/>
  <c r="I84" i="82" s="1"/>
  <c r="I85" i="82"/>
  <c r="I86" i="82"/>
  <c r="I12" i="82"/>
  <c r="V88" i="82"/>
  <c r="V90" i="82"/>
  <c r="P88" i="82"/>
  <c r="P90" i="82"/>
  <c r="O88" i="82"/>
  <c r="O90" i="82" s="1"/>
  <c r="L82" i="82"/>
  <c r="L86" i="82" s="1"/>
  <c r="L87" i="82" s="1"/>
  <c r="L83" i="82"/>
  <c r="L28" i="82"/>
  <c r="L84" i="82"/>
  <c r="L85" i="82"/>
  <c r="H82" i="82"/>
  <c r="H86" i="82" s="1"/>
  <c r="H87" i="82" s="1"/>
  <c r="H83" i="82"/>
  <c r="H28" i="82"/>
  <c r="H84" i="82"/>
  <c r="H85" i="82"/>
  <c r="F82" i="82"/>
  <c r="F83" i="82"/>
  <c r="F28" i="82"/>
  <c r="F84" i="82" s="1"/>
  <c r="F86" i="82" s="1"/>
  <c r="F87" i="82" s="1"/>
  <c r="F85" i="82"/>
  <c r="AB79" i="82"/>
  <c r="V79" i="82"/>
  <c r="J79" i="82"/>
  <c r="M79" i="82" s="1"/>
  <c r="P79" i="82" s="1"/>
  <c r="AB78" i="82"/>
  <c r="R78" i="82"/>
  <c r="V78" i="82" s="1"/>
  <c r="J78" i="82"/>
  <c r="M78" i="82"/>
  <c r="P78" i="82"/>
  <c r="AB77" i="82"/>
  <c r="R77" i="82"/>
  <c r="V77" i="82" s="1"/>
  <c r="J77" i="82"/>
  <c r="M77" i="82" s="1"/>
  <c r="P77" i="82" s="1"/>
  <c r="AB76" i="82"/>
  <c r="R76" i="82"/>
  <c r="V76" i="82" s="1"/>
  <c r="J76" i="82"/>
  <c r="M76" i="82"/>
  <c r="P76" i="82" s="1"/>
  <c r="AB75" i="82"/>
  <c r="R75" i="82"/>
  <c r="V75" i="82" s="1"/>
  <c r="J75" i="82"/>
  <c r="M75" i="82" s="1"/>
  <c r="P75" i="82" s="1"/>
  <c r="AB74" i="82"/>
  <c r="R74" i="82"/>
  <c r="V74" i="82" s="1"/>
  <c r="J74" i="82"/>
  <c r="M74" i="82"/>
  <c r="P74" i="82" s="1"/>
  <c r="AB73" i="82"/>
  <c r="R73" i="82"/>
  <c r="V73" i="82" s="1"/>
  <c r="J73" i="82"/>
  <c r="M73" i="82" s="1"/>
  <c r="P73" i="82" s="1"/>
  <c r="AB72" i="82"/>
  <c r="R72" i="82"/>
  <c r="V72" i="82" s="1"/>
  <c r="J72" i="82"/>
  <c r="M72" i="82"/>
  <c r="P72" i="82" s="1"/>
  <c r="AB71" i="82"/>
  <c r="R71" i="82"/>
  <c r="V71" i="82" s="1"/>
  <c r="J71" i="82"/>
  <c r="M71" i="82" s="1"/>
  <c r="P71" i="82" s="1"/>
  <c r="AB68" i="82"/>
  <c r="R68" i="82"/>
  <c r="V68" i="82" s="1"/>
  <c r="AB67" i="82"/>
  <c r="R67" i="82"/>
  <c r="V67" i="82"/>
  <c r="J67" i="82"/>
  <c r="M67" i="82"/>
  <c r="P67" i="82"/>
  <c r="AB66" i="82"/>
  <c r="R66" i="82"/>
  <c r="V66" i="82"/>
  <c r="J66" i="82"/>
  <c r="M66" i="82"/>
  <c r="P66" i="82" s="1"/>
  <c r="AB65" i="82"/>
  <c r="R65" i="82"/>
  <c r="V65" i="82" s="1"/>
  <c r="J65" i="82"/>
  <c r="M65" i="82"/>
  <c r="P65" i="82"/>
  <c r="AB63" i="82"/>
  <c r="R63" i="82"/>
  <c r="V63" i="82"/>
  <c r="P63" i="82"/>
  <c r="J63" i="82"/>
  <c r="AB62" i="82"/>
  <c r="J62" i="82"/>
  <c r="AB61" i="82"/>
  <c r="AB59" i="82"/>
  <c r="AB58" i="82"/>
  <c r="AB57" i="82"/>
  <c r="AB56" i="82"/>
  <c r="AB55" i="82"/>
  <c r="AB54" i="82"/>
  <c r="AB53" i="82"/>
  <c r="AB52" i="82"/>
  <c r="AB50" i="82"/>
  <c r="AB49" i="82"/>
  <c r="AB48" i="82"/>
  <c r="AB47" i="82"/>
  <c r="AB46" i="82"/>
  <c r="AB45" i="82"/>
  <c r="R45" i="82"/>
  <c r="J45" i="82"/>
  <c r="AB44" i="82"/>
  <c r="R44" i="82"/>
  <c r="J44" i="82"/>
  <c r="AB42" i="82"/>
  <c r="AB41" i="82"/>
  <c r="AB40" i="82"/>
  <c r="AB38" i="82"/>
  <c r="AB37" i="82"/>
  <c r="AB36" i="82"/>
  <c r="R36" i="82"/>
  <c r="AB35" i="82"/>
  <c r="R35" i="82"/>
  <c r="J35" i="82"/>
  <c r="AB31" i="82"/>
  <c r="R31" i="82"/>
  <c r="V31" i="82"/>
  <c r="AB30" i="82"/>
  <c r="R30" i="82"/>
  <c r="V30" i="82"/>
  <c r="AB27" i="82"/>
  <c r="R27" i="82"/>
  <c r="V27" i="82" s="1"/>
  <c r="J27" i="82"/>
  <c r="M27" i="82"/>
  <c r="AB26" i="82"/>
  <c r="R26" i="82"/>
  <c r="V26" i="82"/>
  <c r="J26" i="82"/>
  <c r="AB25" i="82"/>
  <c r="J25" i="82"/>
  <c r="AB24" i="82"/>
  <c r="R24" i="82"/>
  <c r="V24" i="82" s="1"/>
  <c r="J24" i="82"/>
  <c r="AB22" i="82"/>
  <c r="R22" i="82"/>
  <c r="J22" i="82"/>
  <c r="AB21" i="82"/>
  <c r="R21" i="82"/>
  <c r="AB20" i="82"/>
  <c r="R20" i="82"/>
  <c r="J20" i="82"/>
  <c r="AB19" i="82"/>
  <c r="R19" i="82"/>
  <c r="AF18" i="82"/>
  <c r="AD18" i="82"/>
  <c r="Y18" i="82"/>
  <c r="Z18" i="82"/>
  <c r="AB18" i="82" s="1"/>
  <c r="R18" i="82"/>
  <c r="J18" i="82"/>
  <c r="M18" i="82"/>
  <c r="AB16" i="82"/>
  <c r="R16" i="82"/>
  <c r="J16" i="82"/>
  <c r="AB15" i="82"/>
  <c r="AB14" i="82"/>
  <c r="R13" i="82"/>
  <c r="J13" i="82"/>
  <c r="R12" i="82"/>
  <c r="J12" i="82"/>
  <c r="B88" i="81"/>
  <c r="B87" i="81"/>
  <c r="B86" i="81"/>
  <c r="B85" i="81"/>
  <c r="B84" i="81"/>
  <c r="B83" i="81"/>
  <c r="R37" i="81"/>
  <c r="V37" i="81"/>
  <c r="R38" i="81"/>
  <c r="V38" i="81"/>
  <c r="V71" i="81" s="1"/>
  <c r="R39" i="81"/>
  <c r="V39" i="81"/>
  <c r="R41" i="81"/>
  <c r="V41" i="81" s="1"/>
  <c r="R42" i="81"/>
  <c r="V42" i="81"/>
  <c r="R43" i="81"/>
  <c r="V43" i="81" s="1"/>
  <c r="R44" i="81"/>
  <c r="V44" i="81"/>
  <c r="R45" i="81"/>
  <c r="V45" i="81" s="1"/>
  <c r="R46" i="81"/>
  <c r="V46" i="81"/>
  <c r="R47" i="81"/>
  <c r="V47" i="81" s="1"/>
  <c r="R48" i="81"/>
  <c r="V48" i="81"/>
  <c r="R49" i="81"/>
  <c r="V49" i="81" s="1"/>
  <c r="R50" i="81"/>
  <c r="V50" i="81"/>
  <c r="R51" i="81"/>
  <c r="V51" i="81" s="1"/>
  <c r="R53" i="81"/>
  <c r="V53" i="81" s="1"/>
  <c r="R54" i="81"/>
  <c r="V54" i="81"/>
  <c r="R55" i="81"/>
  <c r="V55" i="81" s="1"/>
  <c r="R56" i="81"/>
  <c r="V56" i="81"/>
  <c r="R57" i="81"/>
  <c r="V57" i="81" s="1"/>
  <c r="V58" i="81"/>
  <c r="R59" i="81"/>
  <c r="V59" i="81"/>
  <c r="R60" i="81"/>
  <c r="V60" i="81" s="1"/>
  <c r="R22" i="81"/>
  <c r="V22" i="81"/>
  <c r="V26" i="81"/>
  <c r="V73" i="81" s="1"/>
  <c r="R62" i="81"/>
  <c r="V62" i="81"/>
  <c r="V74" i="81"/>
  <c r="T71" i="81"/>
  <c r="T72" i="81"/>
  <c r="T26" i="81"/>
  <c r="T73" i="81"/>
  <c r="T74" i="81"/>
  <c r="Q71" i="81"/>
  <c r="Q72" i="81"/>
  <c r="Q26" i="81"/>
  <c r="Q73" i="81"/>
  <c r="Q74" i="81"/>
  <c r="Q12" i="81"/>
  <c r="O71" i="81"/>
  <c r="O72" i="81"/>
  <c r="O26" i="81"/>
  <c r="O73" i="81" s="1"/>
  <c r="O75" i="81" s="1"/>
  <c r="O74" i="81"/>
  <c r="O79" i="81"/>
  <c r="O80" i="81" s="1"/>
  <c r="M35" i="81"/>
  <c r="J37" i="81"/>
  <c r="M37" i="81"/>
  <c r="J38" i="81"/>
  <c r="M38" i="81" s="1"/>
  <c r="J39" i="81"/>
  <c r="M39" i="81"/>
  <c r="M71" i="81"/>
  <c r="J41" i="81"/>
  <c r="M41" i="81"/>
  <c r="J42" i="81"/>
  <c r="M42" i="81"/>
  <c r="J43" i="81"/>
  <c r="M43" i="81"/>
  <c r="J44" i="81"/>
  <c r="M44" i="81"/>
  <c r="J45" i="81"/>
  <c r="M45" i="81"/>
  <c r="J46" i="81"/>
  <c r="M46" i="81"/>
  <c r="J47" i="81"/>
  <c r="M47" i="81"/>
  <c r="J48" i="81"/>
  <c r="M48" i="81"/>
  <c r="J49" i="81"/>
  <c r="M49" i="81"/>
  <c r="J50" i="81"/>
  <c r="M50" i="81"/>
  <c r="J51" i="81"/>
  <c r="M51" i="81"/>
  <c r="J53" i="81"/>
  <c r="M53" i="81" s="1"/>
  <c r="J54" i="81"/>
  <c r="M54" i="81"/>
  <c r="J55" i="81"/>
  <c r="M55" i="81" s="1"/>
  <c r="J56" i="81"/>
  <c r="M56" i="81"/>
  <c r="J57" i="81"/>
  <c r="M57" i="81" s="1"/>
  <c r="M58" i="81"/>
  <c r="J59" i="81"/>
  <c r="M59" i="81"/>
  <c r="J60" i="81"/>
  <c r="M60" i="81"/>
  <c r="J22" i="81"/>
  <c r="M22" i="81"/>
  <c r="M26" i="81" s="1"/>
  <c r="M73" i="81" s="1"/>
  <c r="J62" i="81"/>
  <c r="M62" i="81" s="1"/>
  <c r="M74" i="81" s="1"/>
  <c r="L35" i="81"/>
  <c r="L71" i="81"/>
  <c r="L72" i="81"/>
  <c r="L26" i="81"/>
  <c r="L73" i="81" s="1"/>
  <c r="L74" i="81"/>
  <c r="I35" i="81"/>
  <c r="I71" i="81"/>
  <c r="I75" i="81" s="1"/>
  <c r="I72" i="81"/>
  <c r="I26" i="81"/>
  <c r="I73" i="81"/>
  <c r="I74" i="81"/>
  <c r="H35" i="81"/>
  <c r="H72" i="81"/>
  <c r="H26" i="81"/>
  <c r="H73" i="81"/>
  <c r="H74" i="81"/>
  <c r="F35" i="81"/>
  <c r="F71" i="81" s="1"/>
  <c r="F72" i="81"/>
  <c r="F26" i="81"/>
  <c r="F73" i="81" s="1"/>
  <c r="F74" i="81"/>
  <c r="T18" i="81"/>
  <c r="T20" i="81" s="1"/>
  <c r="Q16" i="81"/>
  <c r="Q18" i="81"/>
  <c r="M16" i="81"/>
  <c r="L16" i="81"/>
  <c r="I16" i="81"/>
  <c r="H16" i="81"/>
  <c r="J16" i="81" s="1"/>
  <c r="F16" i="81"/>
  <c r="D72" i="81"/>
  <c r="R68" i="81"/>
  <c r="J68" i="81"/>
  <c r="R67" i="81"/>
  <c r="J67" i="81"/>
  <c r="R66" i="81"/>
  <c r="J66" i="81"/>
  <c r="R65" i="81"/>
  <c r="J65" i="81"/>
  <c r="R35" i="81"/>
  <c r="R34" i="81"/>
  <c r="J34" i="81"/>
  <c r="R33" i="81"/>
  <c r="J33" i="81"/>
  <c r="R32" i="81"/>
  <c r="J32" i="81"/>
  <c r="R31" i="81"/>
  <c r="J31" i="81"/>
  <c r="R27" i="81"/>
  <c r="V27" i="81"/>
  <c r="J27" i="81"/>
  <c r="M27" i="81" s="1"/>
  <c r="R25" i="81"/>
  <c r="V25" i="81"/>
  <c r="J25" i="81"/>
  <c r="M25" i="81" s="1"/>
  <c r="R24" i="81"/>
  <c r="V24" i="81"/>
  <c r="J24" i="81"/>
  <c r="M24" i="81" s="1"/>
  <c r="R23" i="81"/>
  <c r="V23" i="81"/>
  <c r="J23" i="81"/>
  <c r="M23" i="81" s="1"/>
  <c r="O20" i="81"/>
  <c r="Q17" i="81"/>
  <c r="Q20" i="81" s="1"/>
  <c r="J20" i="81"/>
  <c r="R19" i="81"/>
  <c r="J19" i="81"/>
  <c r="R18" i="81"/>
  <c r="J18" i="81"/>
  <c r="R16" i="81"/>
  <c r="V14" i="81"/>
  <c r="T14" i="81"/>
  <c r="O14" i="81"/>
  <c r="Q13" i="81"/>
  <c r="M14" i="81"/>
  <c r="L14" i="81"/>
  <c r="H14" i="81"/>
  <c r="I14" i="81"/>
  <c r="J14" i="81" s="1"/>
  <c r="F14" i="81"/>
  <c r="R13" i="81"/>
  <c r="J13" i="81"/>
  <c r="J12" i="81"/>
  <c r="AY59" i="42"/>
  <c r="AY29" i="42"/>
  <c r="AY91" i="42" s="1"/>
  <c r="AY95" i="42" s="1"/>
  <c r="AY96" i="42"/>
  <c r="AY89" i="42"/>
  <c r="AY90" i="42"/>
  <c r="AY92" i="42"/>
  <c r="AW59" i="42"/>
  <c r="AW29" i="42"/>
  <c r="AW96" i="42"/>
  <c r="AW97" i="42" s="1"/>
  <c r="AW89" i="42"/>
  <c r="AW90" i="42"/>
  <c r="AW92" i="42"/>
  <c r="AT37" i="42"/>
  <c r="AT46" i="42"/>
  <c r="AT68" i="42"/>
  <c r="AT69" i="42"/>
  <c r="AS59" i="42"/>
  <c r="AT29" i="42"/>
  <c r="AT39" i="42"/>
  <c r="AT40" i="42"/>
  <c r="AT90" i="42"/>
  <c r="AT92" i="42"/>
  <c r="AS29" i="42"/>
  <c r="AS91" i="42" s="1"/>
  <c r="AS95" i="42" s="1"/>
  <c r="AS96" i="42"/>
  <c r="AS89" i="42"/>
  <c r="AS90" i="42"/>
  <c r="AS92" i="42"/>
  <c r="AY17" i="42"/>
  <c r="AW17" i="42"/>
  <c r="AW23" i="42" s="1"/>
  <c r="AT17" i="42"/>
  <c r="AS17" i="42"/>
  <c r="AS23" i="42" s="1"/>
  <c r="AY97" i="42"/>
  <c r="AS97" i="42"/>
  <c r="AU26" i="42"/>
  <c r="AY15" i="42"/>
  <c r="AW15" i="42"/>
  <c r="AT15" i="42"/>
  <c r="AS15" i="42"/>
  <c r="BC83" i="41"/>
  <c r="BC84" i="41"/>
  <c r="BC28" i="41"/>
  <c r="BC85" i="41"/>
  <c r="BC87" i="41" s="1"/>
  <c r="BC86" i="41"/>
  <c r="BC90" i="41"/>
  <c r="BA83" i="41"/>
  <c r="BA84" i="41"/>
  <c r="BA28" i="41"/>
  <c r="BA85" i="41" s="1"/>
  <c r="BA86" i="41"/>
  <c r="BA87" i="41"/>
  <c r="BA90" i="41"/>
  <c r="AV83" i="41"/>
  <c r="AV84" i="41"/>
  <c r="AV28" i="41"/>
  <c r="AV85" i="41"/>
  <c r="AV86" i="41"/>
  <c r="AV87" i="41"/>
  <c r="AV90" i="41"/>
  <c r="AW83" i="41"/>
  <c r="AW84" i="41"/>
  <c r="AW28" i="41"/>
  <c r="AW85" i="41" s="1"/>
  <c r="AW87" i="41" s="1"/>
  <c r="AW86" i="41"/>
  <c r="AV12" i="41"/>
  <c r="BC21" i="41"/>
  <c r="BC17" i="41"/>
  <c r="BA21" i="41"/>
  <c r="BA17" i="41"/>
  <c r="AW21" i="41"/>
  <c r="AW17" i="41"/>
  <c r="AV21" i="41"/>
  <c r="AV17" i="41" s="1"/>
  <c r="AV22" i="41" s="1"/>
  <c r="AW90" i="41"/>
  <c r="BC88" i="41"/>
  <c r="AY52" i="41"/>
  <c r="AY48" i="41"/>
  <c r="AY46" i="41"/>
  <c r="AY45" i="41"/>
  <c r="AY36" i="41"/>
  <c r="AY26" i="41"/>
  <c r="AY24" i="41"/>
  <c r="BA22" i="41"/>
  <c r="AW22" i="41"/>
  <c r="AY20" i="41"/>
  <c r="AY18" i="41"/>
  <c r="BC15" i="41"/>
  <c r="BA13" i="41"/>
  <c r="BA15" i="41" s="1"/>
  <c r="BA14" i="41"/>
  <c r="AW15" i="41"/>
  <c r="AV13" i="41"/>
  <c r="AY13" i="41" s="1"/>
  <c r="AY14" i="41"/>
  <c r="AT35" i="7"/>
  <c r="AX35" i="7"/>
  <c r="AT52" i="7"/>
  <c r="AX52" i="7"/>
  <c r="AQ26" i="7"/>
  <c r="AR26" i="7"/>
  <c r="AT26" i="7"/>
  <c r="AV26" i="7"/>
  <c r="AV28" i="7" s="1"/>
  <c r="AV85" i="7" s="1"/>
  <c r="AV89" i="7" s="1"/>
  <c r="AT37" i="7"/>
  <c r="AX37" i="7"/>
  <c r="AV38" i="7"/>
  <c r="AV36" i="7" s="1"/>
  <c r="AR38" i="7"/>
  <c r="AT38" i="7" s="1"/>
  <c r="AQ38" i="7"/>
  <c r="AX84" i="7"/>
  <c r="AX86" i="7"/>
  <c r="AV84" i="7"/>
  <c r="AV86" i="7"/>
  <c r="AR28" i="7"/>
  <c r="AR85" i="7" s="1"/>
  <c r="AR89" i="7" s="1"/>
  <c r="AR36" i="7"/>
  <c r="AR90" i="7"/>
  <c r="AR84" i="7"/>
  <c r="AR86" i="7"/>
  <c r="AQ28" i="7"/>
  <c r="AQ85" i="7"/>
  <c r="AQ89" i="7"/>
  <c r="AQ36" i="7"/>
  <c r="AQ90" i="7"/>
  <c r="AQ83" i="7"/>
  <c r="AQ84" i="7"/>
  <c r="AQ86" i="7"/>
  <c r="AX12" i="7"/>
  <c r="AV66" i="7"/>
  <c r="AV12" i="7"/>
  <c r="AR66" i="7"/>
  <c r="AQ66" i="7"/>
  <c r="AX17" i="7"/>
  <c r="AV17" i="7"/>
  <c r="AX19" i="7"/>
  <c r="AV19" i="7"/>
  <c r="AR18" i="7"/>
  <c r="AQ18" i="7"/>
  <c r="AT18" i="7" s="1"/>
  <c r="AT76" i="7"/>
  <c r="AX76" i="7"/>
  <c r="AT75" i="7"/>
  <c r="AX75" i="7"/>
  <c r="AT72" i="7"/>
  <c r="AX72" i="7"/>
  <c r="AT71" i="7"/>
  <c r="AX71" i="7"/>
  <c r="AT27" i="7"/>
  <c r="AV25" i="7"/>
  <c r="AR25" i="7"/>
  <c r="AT25" i="7" s="1"/>
  <c r="AT24" i="7"/>
  <c r="AV22" i="7"/>
  <c r="AQ20" i="7"/>
  <c r="AR20" i="7"/>
  <c r="AT21" i="7"/>
  <c r="AT20" i="7"/>
  <c r="AQ15" i="7"/>
  <c r="AR15" i="7"/>
  <c r="AT14" i="7"/>
  <c r="AQ13" i="7"/>
  <c r="AR13" i="7"/>
  <c r="W73" i="10"/>
  <c r="W74" i="10"/>
  <c r="W75" i="10"/>
  <c r="W76" i="10"/>
  <c r="W78" i="10" s="1"/>
  <c r="W77" i="10"/>
  <c r="U39" i="10"/>
  <c r="U73" i="10" s="1"/>
  <c r="U74" i="10"/>
  <c r="U29" i="10"/>
  <c r="U75" i="10"/>
  <c r="U76" i="10"/>
  <c r="U77" i="10"/>
  <c r="U12" i="10"/>
  <c r="U14" i="10" s="1"/>
  <c r="T73" i="10"/>
  <c r="T74" i="10"/>
  <c r="T75" i="10"/>
  <c r="T76" i="10"/>
  <c r="T77" i="10"/>
  <c r="R39" i="10"/>
  <c r="R73" i="10"/>
  <c r="R74" i="10"/>
  <c r="R29" i="10"/>
  <c r="R75" i="10"/>
  <c r="R76" i="10"/>
  <c r="R77" i="10"/>
  <c r="R12" i="10"/>
  <c r="U17" i="10"/>
  <c r="R21" i="10"/>
  <c r="R17" i="10"/>
  <c r="R23" i="10" s="1"/>
  <c r="R20" i="10"/>
  <c r="R19" i="10"/>
  <c r="W65" i="10"/>
  <c r="U65" i="10"/>
  <c r="T65" i="10"/>
  <c r="R65" i="10"/>
  <c r="W61" i="10"/>
  <c r="U61" i="10"/>
  <c r="T61" i="10"/>
  <c r="R61" i="10"/>
  <c r="U22" i="10"/>
  <c r="R14" i="10"/>
  <c r="AO87" i="48"/>
  <c r="AO45" i="48"/>
  <c r="AO97" i="48" s="1"/>
  <c r="AL53" i="48"/>
  <c r="AO53" i="48"/>
  <c r="AO57" i="48"/>
  <c r="AQ57" i="48" s="1"/>
  <c r="AO103" i="48"/>
  <c r="AL87" i="48"/>
  <c r="AL39" i="48"/>
  <c r="AL42" i="48"/>
  <c r="AL55" i="48"/>
  <c r="AL57" i="48"/>
  <c r="AO86" i="48"/>
  <c r="AO38" i="48"/>
  <c r="AL54" i="48"/>
  <c r="AN54" i="48" s="1"/>
  <c r="AO54" i="48"/>
  <c r="AO66" i="48"/>
  <c r="AO29" i="48"/>
  <c r="AO99" i="48" s="1"/>
  <c r="AO100" i="48"/>
  <c r="AL86" i="48"/>
  <c r="AL38" i="48"/>
  <c r="AL56" i="48"/>
  <c r="AL98" i="48" s="1"/>
  <c r="AL66" i="48"/>
  <c r="AL29" i="48"/>
  <c r="AL99" i="48"/>
  <c r="AL100" i="48"/>
  <c r="AQ38" i="48"/>
  <c r="AQ97" i="48" s="1"/>
  <c r="AQ45" i="48"/>
  <c r="AQ53" i="48"/>
  <c r="AQ54" i="48"/>
  <c r="AQ55" i="48"/>
  <c r="AQ103" i="48" s="1"/>
  <c r="AQ105" i="48" s="1"/>
  <c r="AQ56" i="48"/>
  <c r="AQ58" i="48"/>
  <c r="AQ59" i="48"/>
  <c r="AQ66" i="48"/>
  <c r="AQ29" i="48"/>
  <c r="AQ99" i="48"/>
  <c r="AQ100" i="48"/>
  <c r="AN38" i="48"/>
  <c r="AN39" i="48"/>
  <c r="AN45" i="48"/>
  <c r="AN53" i="48"/>
  <c r="AN55" i="48"/>
  <c r="AN56" i="48"/>
  <c r="AN57" i="48"/>
  <c r="AN59" i="48"/>
  <c r="AN98" i="48"/>
  <c r="AN66" i="48"/>
  <c r="AN99" i="48" s="1"/>
  <c r="AN29" i="48"/>
  <c r="AN100" i="48"/>
  <c r="AQ21" i="48"/>
  <c r="AQ18" i="48" s="1"/>
  <c r="AO21" i="48"/>
  <c r="AO18" i="48"/>
  <c r="AN21" i="48"/>
  <c r="AN18" i="48" s="1"/>
  <c r="AL21" i="48"/>
  <c r="AL18" i="48"/>
  <c r="AO88" i="48"/>
  <c r="AL88" i="48"/>
  <c r="AO82" i="48"/>
  <c r="AL82" i="48"/>
  <c r="AQ16" i="48"/>
  <c r="AO16" i="48"/>
  <c r="AN16" i="48"/>
  <c r="AL16" i="48"/>
  <c r="AY86" i="18"/>
  <c r="AY49" i="18"/>
  <c r="AY87" i="18"/>
  <c r="AY33" i="18"/>
  <c r="AY88" i="18" s="1"/>
  <c r="AY90" i="18" s="1"/>
  <c r="AY97" i="18" s="1"/>
  <c r="AY89" i="18"/>
  <c r="AY69" i="18"/>
  <c r="AW86" i="18"/>
  <c r="AW49" i="18"/>
  <c r="AW87" i="18" s="1"/>
  <c r="AW33" i="18"/>
  <c r="AW88" i="18"/>
  <c r="AW89" i="18"/>
  <c r="AS86" i="18"/>
  <c r="AS49" i="18"/>
  <c r="AS87" i="18"/>
  <c r="AS33" i="18"/>
  <c r="AS88" i="18"/>
  <c r="AS89" i="18"/>
  <c r="AS69" i="18"/>
  <c r="AR86" i="18"/>
  <c r="AR49" i="18"/>
  <c r="AR33" i="18"/>
  <c r="AR88" i="18"/>
  <c r="AR89" i="18"/>
  <c r="AR69" i="18"/>
  <c r="AY20" i="18"/>
  <c r="AY26" i="18"/>
  <c r="AW20" i="18"/>
  <c r="AW24" i="18" s="1"/>
  <c r="AW26" i="18"/>
  <c r="AZ26" i="18" s="1"/>
  <c r="AW27" i="18"/>
  <c r="AS20" i="18"/>
  <c r="AS27" i="18"/>
  <c r="AU27" i="18" s="1"/>
  <c r="AR20" i="18"/>
  <c r="AR27" i="18"/>
  <c r="AU52" i="18"/>
  <c r="AU51" i="18"/>
  <c r="AU50" i="18"/>
  <c r="AU40" i="18"/>
  <c r="AZ29" i="18"/>
  <c r="AU29" i="18"/>
  <c r="AZ27" i="18"/>
  <c r="AU26" i="18"/>
  <c r="AZ25" i="18"/>
  <c r="AU25" i="18"/>
  <c r="AR24" i="18"/>
  <c r="AZ23" i="18"/>
  <c r="AU23" i="18"/>
  <c r="AZ22" i="18"/>
  <c r="AU22" i="18"/>
  <c r="AZ21" i="18"/>
  <c r="AU21" i="18"/>
  <c r="AY18" i="18"/>
  <c r="AZ18" i="18" s="1"/>
  <c r="AW18" i="18"/>
  <c r="AS18" i="18"/>
  <c r="AR18" i="18"/>
  <c r="AZ17" i="18"/>
  <c r="AU17" i="18"/>
  <c r="AZ14" i="18"/>
  <c r="AU14" i="18"/>
  <c r="AZ12" i="18"/>
  <c r="AU12" i="18"/>
  <c r="B105" i="18"/>
  <c r="J71" i="18"/>
  <c r="AT36" i="39"/>
  <c r="AR37" i="39"/>
  <c r="AV37" i="39"/>
  <c r="AP38" i="39"/>
  <c r="AR38" i="39" s="1"/>
  <c r="AV38" i="39" s="1"/>
  <c r="AP39" i="39"/>
  <c r="AR39" i="39"/>
  <c r="AV39" i="39" s="1"/>
  <c r="AV86" i="39"/>
  <c r="AV55" i="39"/>
  <c r="AV87" i="39" s="1"/>
  <c r="AV56" i="39"/>
  <c r="AV29" i="39"/>
  <c r="AV88" i="39"/>
  <c r="AV12" i="39"/>
  <c r="AT86" i="39"/>
  <c r="AT29" i="39"/>
  <c r="AT87" i="39" s="1"/>
  <c r="AT88" i="39"/>
  <c r="AT68" i="39"/>
  <c r="AT12" i="39"/>
  <c r="AP36" i="39"/>
  <c r="AP86" i="39"/>
  <c r="AP56" i="39"/>
  <c r="AR56" i="39" s="1"/>
  <c r="AP29" i="39"/>
  <c r="AP87" i="39" s="1"/>
  <c r="AP88" i="39"/>
  <c r="AO36" i="39"/>
  <c r="AO85" i="39"/>
  <c r="AO86" i="39"/>
  <c r="AO89" i="39" s="1"/>
  <c r="AO90" i="39" s="1"/>
  <c r="AO29" i="39"/>
  <c r="AO87" i="39" s="1"/>
  <c r="AO88" i="39"/>
  <c r="AO68" i="39"/>
  <c r="AV17" i="39"/>
  <c r="AT17" i="39"/>
  <c r="AP22" i="39"/>
  <c r="AP17" i="39"/>
  <c r="AO91" i="39"/>
  <c r="AO17" i="39"/>
  <c r="AO93" i="39"/>
  <c r="AO76" i="39"/>
  <c r="AR55" i="39"/>
  <c r="AR40" i="39"/>
  <c r="AR36" i="39"/>
  <c r="AR31" i="39"/>
  <c r="AR27" i="39"/>
  <c r="AR26" i="39"/>
  <c r="AR25" i="39"/>
  <c r="AR23" i="39"/>
  <c r="AR21" i="39"/>
  <c r="AR20" i="39"/>
  <c r="AR19" i="39"/>
  <c r="AO15" i="39"/>
  <c r="AR15" i="39"/>
  <c r="AR13" i="39"/>
  <c r="AR12" i="39"/>
  <c r="BA68" i="34"/>
  <c r="BA69" i="34"/>
  <c r="BA28" i="34"/>
  <c r="BA70" i="34" s="1"/>
  <c r="BA71" i="34"/>
  <c r="BA72" i="34"/>
  <c r="AY68" i="34"/>
  <c r="AY69" i="34"/>
  <c r="AY28" i="34"/>
  <c r="AY70" i="34" s="1"/>
  <c r="AY72" i="34" s="1"/>
  <c r="AY78" i="34" s="1"/>
  <c r="AY71" i="34"/>
  <c r="AT40" i="34"/>
  <c r="AT68" i="34" s="1"/>
  <c r="AT69" i="34"/>
  <c r="BB24" i="34"/>
  <c r="AT28" i="34"/>
  <c r="AT71" i="34"/>
  <c r="AT12" i="34"/>
  <c r="BA17" i="34"/>
  <c r="AY17" i="34"/>
  <c r="AY73" i="34"/>
  <c r="AU68" i="34"/>
  <c r="AU69" i="34"/>
  <c r="AU28" i="34"/>
  <c r="AU70" i="34"/>
  <c r="AU71" i="34"/>
  <c r="AU17" i="34"/>
  <c r="AT17" i="34"/>
  <c r="AW17" i="34" s="1"/>
  <c r="BA65" i="34"/>
  <c r="BA64" i="34"/>
  <c r="AW37" i="34"/>
  <c r="AW35" i="34"/>
  <c r="BB25" i="34"/>
  <c r="AW25" i="34"/>
  <c r="AW24" i="34"/>
  <c r="BB23" i="34"/>
  <c r="AW23" i="34"/>
  <c r="AW21" i="34"/>
  <c r="AW20" i="34"/>
  <c r="AW18" i="34"/>
  <c r="AY15" i="34"/>
  <c r="AT15" i="34"/>
  <c r="AR32" i="54"/>
  <c r="AR33" i="54"/>
  <c r="AR34" i="54"/>
  <c r="AR35" i="54"/>
  <c r="AR36" i="54"/>
  <c r="AR37" i="54"/>
  <c r="AN39" i="54"/>
  <c r="AR39" i="54" s="1"/>
  <c r="AN40" i="54"/>
  <c r="AR40" i="54" s="1"/>
  <c r="AN41" i="54"/>
  <c r="AR41" i="54" s="1"/>
  <c r="AN43" i="54"/>
  <c r="AR43" i="54" s="1"/>
  <c r="AN44" i="54"/>
  <c r="AR44" i="54" s="1"/>
  <c r="AN45" i="54"/>
  <c r="AR45" i="54" s="1"/>
  <c r="AN46" i="54"/>
  <c r="AR46" i="54" s="1"/>
  <c r="AN47" i="54"/>
  <c r="AR47" i="54"/>
  <c r="AN48" i="54"/>
  <c r="AR48" i="54" s="1"/>
  <c r="AN49" i="54"/>
  <c r="AR49" i="54" s="1"/>
  <c r="AR51" i="54"/>
  <c r="AR52" i="54"/>
  <c r="AR53" i="54"/>
  <c r="AR83" i="54"/>
  <c r="AL14" i="54"/>
  <c r="AL12" i="54" s="1"/>
  <c r="AK14" i="54"/>
  <c r="AP32" i="54"/>
  <c r="AP33" i="54"/>
  <c r="AP34" i="54"/>
  <c r="AP86" i="54" s="1"/>
  <c r="AP35" i="54"/>
  <c r="AP36" i="54"/>
  <c r="AP37" i="54"/>
  <c r="AP81" i="54"/>
  <c r="AP82" i="54"/>
  <c r="AP83" i="54"/>
  <c r="AL33" i="54"/>
  <c r="AL32" i="54" s="1"/>
  <c r="AL34" i="54"/>
  <c r="AN34" i="54" s="1"/>
  <c r="AL36" i="54"/>
  <c r="AN36" i="54" s="1"/>
  <c r="AL39" i="54"/>
  <c r="AL40" i="54"/>
  <c r="AL41" i="54"/>
  <c r="AL43" i="54"/>
  <c r="AL44" i="54"/>
  <c r="AL45" i="54"/>
  <c r="AL46" i="54"/>
  <c r="AL47" i="54"/>
  <c r="AL48" i="54"/>
  <c r="AL49" i="54"/>
  <c r="AL82" i="54"/>
  <c r="AL83" i="54"/>
  <c r="AK80" i="54"/>
  <c r="AK81" i="54"/>
  <c r="AK82" i="54"/>
  <c r="AK83" i="54"/>
  <c r="AR86" i="54"/>
  <c r="AR16" i="54"/>
  <c r="AP16" i="54"/>
  <c r="AL16" i="54"/>
  <c r="AK86" i="54"/>
  <c r="AK88" i="54" s="1"/>
  <c r="AR17" i="54"/>
  <c r="AP17" i="54"/>
  <c r="AL17" i="54"/>
  <c r="AN66" i="54"/>
  <c r="AN65" i="54"/>
  <c r="AN64" i="54"/>
  <c r="AN63" i="54"/>
  <c r="AN60" i="54"/>
  <c r="AN58" i="54"/>
  <c r="AN57" i="54"/>
  <c r="AN56" i="54"/>
  <c r="AN55" i="54"/>
  <c r="AN54" i="54"/>
  <c r="AN53" i="54"/>
  <c r="AN52" i="54"/>
  <c r="AN51" i="54"/>
  <c r="AN37" i="54"/>
  <c r="AN35" i="54"/>
  <c r="AN28" i="54"/>
  <c r="AR28" i="54" s="1"/>
  <c r="AL28" i="54"/>
  <c r="AN26" i="54"/>
  <c r="AR26" i="54"/>
  <c r="AL26" i="54"/>
  <c r="AN25" i="54"/>
  <c r="AR25" i="54" s="1"/>
  <c r="AL25" i="54"/>
  <c r="AN24" i="54"/>
  <c r="AR24" i="54" s="1"/>
  <c r="AL24" i="54"/>
  <c r="AR23" i="54"/>
  <c r="AL23" i="54"/>
  <c r="AN23" i="54" s="1"/>
  <c r="AK21" i="54"/>
  <c r="AL21" i="54"/>
  <c r="AN20" i="54"/>
  <c r="AN19" i="54"/>
  <c r="AN17" i="54"/>
  <c r="AN16" i="54"/>
  <c r="AP14" i="54"/>
  <c r="L39" i="80"/>
  <c r="G39" i="80"/>
  <c r="H34" i="80"/>
  <c r="G34" i="80"/>
  <c r="L40" i="80"/>
  <c r="G40" i="80"/>
  <c r="H40" i="80"/>
  <c r="L43" i="80"/>
  <c r="N43" i="80" s="1"/>
  <c r="J43" i="80"/>
  <c r="J44" i="80"/>
  <c r="N44" i="80"/>
  <c r="L47" i="80"/>
  <c r="N47" i="80" s="1"/>
  <c r="G47" i="80"/>
  <c r="H47" i="80" s="1"/>
  <c r="J47" i="80" s="1"/>
  <c r="L48" i="80"/>
  <c r="H48" i="80"/>
  <c r="J48" i="80"/>
  <c r="N48" i="80"/>
  <c r="L55" i="80"/>
  <c r="G55" i="80"/>
  <c r="H55" i="80" s="1"/>
  <c r="H17" i="80"/>
  <c r="G17" i="80"/>
  <c r="H57" i="80"/>
  <c r="J57" i="80" s="1"/>
  <c r="N57" i="80" s="1"/>
  <c r="H61" i="80"/>
  <c r="J61" i="80" s="1"/>
  <c r="N61" i="80" s="1"/>
  <c r="L65" i="80"/>
  <c r="G65" i="80"/>
  <c r="H65" i="80"/>
  <c r="J66" i="80"/>
  <c r="N66" i="80"/>
  <c r="J67" i="80"/>
  <c r="N67" i="80" s="1"/>
  <c r="J68" i="80"/>
  <c r="N68" i="80"/>
  <c r="J69" i="80"/>
  <c r="N69" i="80" s="1"/>
  <c r="H70" i="80"/>
  <c r="J70" i="80"/>
  <c r="N70" i="80" s="1"/>
  <c r="J71" i="80"/>
  <c r="N71" i="80"/>
  <c r="H72" i="80"/>
  <c r="J72" i="80" s="1"/>
  <c r="N72" i="80" s="1"/>
  <c r="H75" i="80"/>
  <c r="J75" i="80" s="1"/>
  <c r="N75" i="80" s="1"/>
  <c r="J76" i="80"/>
  <c r="N76" i="80"/>
  <c r="H77" i="80"/>
  <c r="J77" i="80" s="1"/>
  <c r="N77" i="80" s="1"/>
  <c r="L27" i="80"/>
  <c r="G27" i="80"/>
  <c r="G29" i="80" s="1"/>
  <c r="J25" i="80"/>
  <c r="N25" i="80"/>
  <c r="N96" i="80"/>
  <c r="J87" i="80"/>
  <c r="N87" i="80" s="1"/>
  <c r="L17" i="80"/>
  <c r="J19" i="80"/>
  <c r="N19" i="80"/>
  <c r="L94" i="80"/>
  <c r="L29" i="80"/>
  <c r="L95" i="80" s="1"/>
  <c r="L96" i="80"/>
  <c r="G38" i="80"/>
  <c r="H38" i="80"/>
  <c r="H46" i="80"/>
  <c r="J46" i="80" s="1"/>
  <c r="H66" i="80"/>
  <c r="H67" i="80"/>
  <c r="H68" i="80"/>
  <c r="H69" i="80"/>
  <c r="H71" i="80"/>
  <c r="H76" i="80"/>
  <c r="H96" i="80"/>
  <c r="G94" i="80"/>
  <c r="G96" i="80"/>
  <c r="J12" i="80"/>
  <c r="N12" i="80" s="1"/>
  <c r="J20" i="80"/>
  <c r="N20" i="80"/>
  <c r="J84" i="80"/>
  <c r="J82" i="80"/>
  <c r="J81" i="80"/>
  <c r="J80" i="80"/>
  <c r="J79" i="80"/>
  <c r="J78" i="80"/>
  <c r="J73" i="80"/>
  <c r="J54" i="80"/>
  <c r="J52" i="80"/>
  <c r="J51" i="80"/>
  <c r="J50" i="80"/>
  <c r="J45" i="80"/>
  <c r="J42" i="80"/>
  <c r="J41" i="80"/>
  <c r="J38" i="80"/>
  <c r="J37" i="80"/>
  <c r="J35" i="80"/>
  <c r="J34" i="80"/>
  <c r="J28" i="80"/>
  <c r="J26" i="80"/>
  <c r="J21" i="80"/>
  <c r="N21" i="80"/>
  <c r="J22" i="80"/>
  <c r="N22" i="80" s="1"/>
  <c r="G23" i="80"/>
  <c r="J18" i="80"/>
  <c r="L13" i="80"/>
  <c r="L15" i="80" s="1"/>
  <c r="G13" i="80"/>
  <c r="H13" i="80"/>
  <c r="J13" i="80"/>
  <c r="N13" i="80"/>
  <c r="J14" i="80"/>
  <c r="N14" i="80" s="1"/>
  <c r="G15" i="80"/>
  <c r="H15" i="80"/>
  <c r="J15" i="80"/>
  <c r="AL19" i="3"/>
  <c r="AL98" i="3"/>
  <c r="AL99" i="3"/>
  <c r="AL100" i="3"/>
  <c r="AL101" i="3"/>
  <c r="AL102" i="3" s="1"/>
  <c r="X19" i="3"/>
  <c r="AG19" i="3"/>
  <c r="Q13" i="71"/>
  <c r="H13" i="71"/>
  <c r="AL21" i="32"/>
  <c r="AL152" i="32"/>
  <c r="AL153" i="32"/>
  <c r="W120" i="32"/>
  <c r="AG120" i="32" s="1"/>
  <c r="W37" i="32"/>
  <c r="AG37" i="32" s="1"/>
  <c r="W40" i="32"/>
  <c r="AG40" i="32" s="1"/>
  <c r="W25" i="32"/>
  <c r="AG25" i="32" s="1"/>
  <c r="AL25" i="32" s="1"/>
  <c r="AL30" i="32" s="1"/>
  <c r="AL155" i="32"/>
  <c r="AV39" i="32"/>
  <c r="AV38" i="32" s="1"/>
  <c r="AQ39" i="32"/>
  <c r="AQ38" i="32" s="1"/>
  <c r="AV30" i="32"/>
  <c r="AV155" i="32"/>
  <c r="BA152" i="32"/>
  <c r="BA120" i="32"/>
  <c r="BA121" i="32"/>
  <c r="BA30" i="32"/>
  <c r="BA155" i="32"/>
  <c r="Y19" i="3"/>
  <c r="X29" i="3"/>
  <c r="X98" i="3"/>
  <c r="X99" i="3"/>
  <c r="X100" i="3"/>
  <c r="X102" i="3" s="1"/>
  <c r="AG98" i="3"/>
  <c r="AG102" i="3" s="1"/>
  <c r="AG99" i="3"/>
  <c r="AG100" i="3"/>
  <c r="Y17" i="36"/>
  <c r="R37" i="36"/>
  <c r="V37" i="36" s="1"/>
  <c r="Y37" i="36" s="1"/>
  <c r="R38" i="36"/>
  <c r="V38" i="36" s="1"/>
  <c r="R39" i="36"/>
  <c r="V39" i="36" s="1"/>
  <c r="Y39" i="36" s="1"/>
  <c r="R41" i="36"/>
  <c r="V41" i="36" s="1"/>
  <c r="Y41" i="36" s="1"/>
  <c r="R42" i="36"/>
  <c r="V42" i="36" s="1"/>
  <c r="Y42" i="36" s="1"/>
  <c r="R43" i="36"/>
  <c r="V43" i="36" s="1"/>
  <c r="Y43" i="36" s="1"/>
  <c r="R45" i="36"/>
  <c r="V45" i="36" s="1"/>
  <c r="Y45" i="36" s="1"/>
  <c r="R46" i="36"/>
  <c r="V46" i="36" s="1"/>
  <c r="R47" i="36"/>
  <c r="V47" i="36" s="1"/>
  <c r="Y47" i="36"/>
  <c r="R49" i="36"/>
  <c r="V49" i="36" s="1"/>
  <c r="Y49" i="36" s="1"/>
  <c r="R50" i="36"/>
  <c r="V50" i="36" s="1"/>
  <c r="Y50" i="36" s="1"/>
  <c r="R51" i="36"/>
  <c r="V51" i="36"/>
  <c r="Y51" i="36" s="1"/>
  <c r="R52" i="36"/>
  <c r="V52" i="36" s="1"/>
  <c r="R53" i="36"/>
  <c r="V53" i="36" s="1"/>
  <c r="Y53" i="36" s="1"/>
  <c r="R54" i="36"/>
  <c r="V54" i="36" s="1"/>
  <c r="Y54" i="36" s="1"/>
  <c r="R55" i="36"/>
  <c r="V55" i="36" s="1"/>
  <c r="Y55" i="36" s="1"/>
  <c r="R56" i="36"/>
  <c r="V56" i="36" s="1"/>
  <c r="Y56" i="36" s="1"/>
  <c r="Y111" i="36"/>
  <c r="AJ17" i="36"/>
  <c r="AJ37" i="36"/>
  <c r="AJ38" i="36"/>
  <c r="AJ39" i="36"/>
  <c r="AJ41" i="36"/>
  <c r="AJ42" i="36"/>
  <c r="AJ43" i="36"/>
  <c r="AJ45" i="36"/>
  <c r="AJ46" i="36"/>
  <c r="AJ47" i="36"/>
  <c r="AJ49" i="36"/>
  <c r="AJ50" i="36"/>
  <c r="AJ51" i="36"/>
  <c r="AJ52" i="36"/>
  <c r="AJ53" i="36"/>
  <c r="AJ54" i="36"/>
  <c r="AJ55" i="36"/>
  <c r="AJ56" i="36"/>
  <c r="AJ27" i="36"/>
  <c r="AJ29" i="36" s="1"/>
  <c r="AJ111" i="36"/>
  <c r="AO21" i="36"/>
  <c r="AO108" i="36"/>
  <c r="AO109" i="36"/>
  <c r="AO29" i="36"/>
  <c r="AO110" i="36" s="1"/>
  <c r="AO111" i="36"/>
  <c r="V17" i="43"/>
  <c r="V20" i="43"/>
  <c r="V21" i="43"/>
  <c r="V19" i="43"/>
  <c r="V45" i="43"/>
  <c r="V46" i="43"/>
  <c r="V54" i="43"/>
  <c r="V70" i="43"/>
  <c r="V55" i="43" s="1"/>
  <c r="V56" i="43"/>
  <c r="V57" i="43"/>
  <c r="V73" i="43"/>
  <c r="V58" i="43" s="1"/>
  <c r="V59" i="43"/>
  <c r="V109" i="43"/>
  <c r="V110" i="43"/>
  <c r="V111" i="43"/>
  <c r="AB17" i="43"/>
  <c r="AB21" i="43"/>
  <c r="AB22" i="43"/>
  <c r="AB45" i="43"/>
  <c r="AB108" i="43" s="1"/>
  <c r="AB46" i="43"/>
  <c r="AB54" i="43"/>
  <c r="AB114" i="43" s="1"/>
  <c r="AB55" i="43"/>
  <c r="AB56" i="43"/>
  <c r="AB57" i="43"/>
  <c r="AB58" i="43"/>
  <c r="AB59" i="43"/>
  <c r="AB70" i="43"/>
  <c r="AB73" i="43"/>
  <c r="AB110" i="43"/>
  <c r="AB111" i="43"/>
  <c r="AF17" i="43"/>
  <c r="AF22" i="43"/>
  <c r="AF45" i="43"/>
  <c r="AF108" i="43" s="1"/>
  <c r="AF46" i="43"/>
  <c r="AF58" i="43"/>
  <c r="AF109" i="43"/>
  <c r="AF110" i="43"/>
  <c r="AF111" i="43"/>
  <c r="Y19" i="26"/>
  <c r="Y24" i="26"/>
  <c r="Y84" i="26"/>
  <c r="Y85" i="26"/>
  <c r="Y30" i="26"/>
  <c r="Y86" i="26" s="1"/>
  <c r="Y90" i="26" s="1"/>
  <c r="Y87" i="26"/>
  <c r="Y88" i="26"/>
  <c r="AH19" i="26"/>
  <c r="AH22" i="26"/>
  <c r="AH20" i="26"/>
  <c r="AJ20" i="26" s="1"/>
  <c r="AN20" i="26" s="1"/>
  <c r="AH21" i="26"/>
  <c r="AH84" i="26"/>
  <c r="AH85" i="26"/>
  <c r="AH26" i="26"/>
  <c r="AH28" i="26"/>
  <c r="AH30" i="26"/>
  <c r="AH87" i="26"/>
  <c r="AL19" i="26"/>
  <c r="AG19" i="26"/>
  <c r="AJ22" i="26"/>
  <c r="AN22" i="26" s="1"/>
  <c r="AJ23" i="26"/>
  <c r="AN23" i="26"/>
  <c r="AJ21" i="26"/>
  <c r="AN21" i="26"/>
  <c r="AJ37" i="26"/>
  <c r="AN38" i="26"/>
  <c r="AN39" i="26"/>
  <c r="AN40" i="26"/>
  <c r="AJ43" i="26"/>
  <c r="AN43" i="26"/>
  <c r="AJ44" i="26"/>
  <c r="AN44" i="26" s="1"/>
  <c r="AJ46" i="26"/>
  <c r="AN46" i="26" s="1"/>
  <c r="AJ47" i="26"/>
  <c r="AN47" i="26" s="1"/>
  <c r="AJ48" i="26"/>
  <c r="AN48" i="26" s="1"/>
  <c r="AJ49" i="26"/>
  <c r="AN49" i="26" s="1"/>
  <c r="AJ50" i="26"/>
  <c r="AN50" i="26"/>
  <c r="AJ51" i="26"/>
  <c r="AN51" i="26" s="1"/>
  <c r="AJ52" i="26"/>
  <c r="AN52" i="26"/>
  <c r="AJ54" i="26"/>
  <c r="AN54" i="26"/>
  <c r="AJ55" i="26"/>
  <c r="AN55" i="26" s="1"/>
  <c r="AJ56" i="26"/>
  <c r="AN56" i="26"/>
  <c r="AJ57" i="26"/>
  <c r="AN57" i="26" s="1"/>
  <c r="AJ58" i="26"/>
  <c r="AN58" i="26"/>
  <c r="AJ59" i="26"/>
  <c r="AN59" i="26" s="1"/>
  <c r="AJ60" i="26"/>
  <c r="AN60" i="26"/>
  <c r="AJ61" i="26"/>
  <c r="AN61" i="26" s="1"/>
  <c r="AJ64" i="26"/>
  <c r="AN64" i="26" s="1"/>
  <c r="AN87" i="26" s="1"/>
  <c r="Y17" i="42"/>
  <c r="Y19" i="42"/>
  <c r="Y23" i="42" s="1"/>
  <c r="Y37" i="42"/>
  <c r="Y89" i="42"/>
  <c r="Y90" i="42"/>
  <c r="Y29" i="42"/>
  <c r="Y91" i="42" s="1"/>
  <c r="Y95" i="42" s="1"/>
  <c r="Y92" i="42"/>
  <c r="AJ89" i="42"/>
  <c r="AJ90" i="42"/>
  <c r="AJ29" i="42"/>
  <c r="AJ91" i="42" s="1"/>
  <c r="AJ95" i="42" s="1"/>
  <c r="AJ92" i="42"/>
  <c r="AM17" i="42"/>
  <c r="AM37" i="42"/>
  <c r="AM89" i="42" s="1"/>
  <c r="AM90" i="42"/>
  <c r="AM29" i="42"/>
  <c r="AM91" i="42" s="1"/>
  <c r="AM95" i="42" s="1"/>
  <c r="AM92" i="42"/>
  <c r="F23" i="10"/>
  <c r="H73" i="10"/>
  <c r="H74" i="10"/>
  <c r="H29" i="10"/>
  <c r="H75" i="10" s="1"/>
  <c r="H76" i="10"/>
  <c r="H77" i="10"/>
  <c r="H78" i="10"/>
  <c r="O73" i="10"/>
  <c r="O74" i="10"/>
  <c r="O75" i="10"/>
  <c r="O76" i="10"/>
  <c r="O77" i="10"/>
  <c r="Y20" i="18"/>
  <c r="Y24" i="18" s="1"/>
  <c r="Y86" i="18"/>
  <c r="Y90" i="18" s="1"/>
  <c r="Y49" i="18"/>
  <c r="Y87" i="18" s="1"/>
  <c r="Y88" i="18"/>
  <c r="Y89" i="18"/>
  <c r="AE20" i="18"/>
  <c r="AJ20" i="18" s="1"/>
  <c r="AJ22" i="18"/>
  <c r="AJ23" i="18"/>
  <c r="AJ21" i="18"/>
  <c r="AJ40" i="18"/>
  <c r="AJ86" i="18" s="1"/>
  <c r="AE49" i="18"/>
  <c r="AJ49" i="18"/>
  <c r="AJ50" i="18"/>
  <c r="AJ51" i="18"/>
  <c r="AJ52" i="18"/>
  <c r="AJ87" i="18"/>
  <c r="AJ88" i="18"/>
  <c r="AJ89" i="18"/>
  <c r="AP20" i="18"/>
  <c r="AP24" i="18" s="1"/>
  <c r="AP86" i="18"/>
  <c r="AP49" i="18"/>
  <c r="AP87" i="18"/>
  <c r="AP90" i="18" s="1"/>
  <c r="AP88" i="18"/>
  <c r="AP89" i="18"/>
  <c r="X17" i="34"/>
  <c r="R17" i="34"/>
  <c r="R19" i="34"/>
  <c r="Z19" i="34" s="1"/>
  <c r="AC19" i="34" s="1"/>
  <c r="R18" i="34"/>
  <c r="T18" i="34" s="1"/>
  <c r="V18" i="34" s="1"/>
  <c r="Z18" i="34" s="1"/>
  <c r="AC18" i="34" s="1"/>
  <c r="R35" i="34"/>
  <c r="T35" i="34" s="1"/>
  <c r="V35" i="34" s="1"/>
  <c r="Z35" i="34"/>
  <c r="AC35" i="34" s="1"/>
  <c r="V36" i="34"/>
  <c r="Z36" i="34" s="1"/>
  <c r="AC36" i="34"/>
  <c r="T37" i="34"/>
  <c r="V37" i="34" s="1"/>
  <c r="Z37" i="34" s="1"/>
  <c r="AC37" i="34" s="1"/>
  <c r="V38" i="34"/>
  <c r="Z38" i="34" s="1"/>
  <c r="AC38" i="34" s="1"/>
  <c r="AC68" i="34"/>
  <c r="AC69" i="34"/>
  <c r="Z49" i="34"/>
  <c r="AC49" i="34" s="1"/>
  <c r="Z50" i="34"/>
  <c r="AC50" i="34"/>
  <c r="S28" i="34"/>
  <c r="X28" i="34" s="1"/>
  <c r="AB28" i="34" s="1"/>
  <c r="AC28" i="34" s="1"/>
  <c r="AC71" i="34"/>
  <c r="AR17" i="34"/>
  <c r="AR68" i="34"/>
  <c r="AR69" i="34"/>
  <c r="AR28" i="34"/>
  <c r="AR70" i="34"/>
  <c r="AR74" i="34" s="1"/>
  <c r="AR71" i="34"/>
  <c r="AN98" i="3"/>
  <c r="AN58" i="3"/>
  <c r="AN59" i="3"/>
  <c r="AN60" i="3"/>
  <c r="AN99" i="3" s="1"/>
  <c r="AN102" i="3" s="1"/>
  <c r="AN108" i="3" s="1"/>
  <c r="AN61" i="3"/>
  <c r="AN62" i="3"/>
  <c r="AN100" i="3"/>
  <c r="AN77" i="3"/>
  <c r="AN78" i="3"/>
  <c r="AN101" i="3"/>
  <c r="AD59" i="71"/>
  <c r="AB59" i="71"/>
  <c r="AA59" i="71"/>
  <c r="Y59" i="71"/>
  <c r="X59" i="71"/>
  <c r="T59" i="71"/>
  <c r="R59" i="71"/>
  <c r="Q59" i="71"/>
  <c r="O59" i="71"/>
  <c r="N59" i="71"/>
  <c r="J59" i="71"/>
  <c r="H59" i="71"/>
  <c r="G59" i="71"/>
  <c r="E59" i="71"/>
  <c r="D59" i="71"/>
  <c r="AB58" i="71"/>
  <c r="AA58" i="71"/>
  <c r="X58" i="71"/>
  <c r="R58" i="71"/>
  <c r="Q58" i="71"/>
  <c r="N58" i="71"/>
  <c r="H58" i="71"/>
  <c r="G58" i="71"/>
  <c r="D58" i="71"/>
  <c r="AD57" i="71"/>
  <c r="AB57" i="71"/>
  <c r="AA57" i="71"/>
  <c r="X57" i="71"/>
  <c r="T57" i="71"/>
  <c r="R57" i="71"/>
  <c r="Q57" i="71"/>
  <c r="N57" i="71"/>
  <c r="J57" i="71"/>
  <c r="H57" i="71"/>
  <c r="G57" i="71"/>
  <c r="D57" i="71"/>
  <c r="AD56" i="71"/>
  <c r="AA56" i="71"/>
  <c r="AB56" i="71"/>
  <c r="Y56" i="71"/>
  <c r="X56" i="71"/>
  <c r="T56" i="71"/>
  <c r="R56" i="71"/>
  <c r="Q56" i="71"/>
  <c r="O56" i="71"/>
  <c r="N56" i="71"/>
  <c r="J56" i="71"/>
  <c r="H56" i="71"/>
  <c r="G56" i="71"/>
  <c r="D56" i="71"/>
  <c r="E56" i="71"/>
  <c r="AE55" i="71"/>
  <c r="AA55" i="71"/>
  <c r="AB55" i="71"/>
  <c r="X55" i="71"/>
  <c r="Y55" i="71"/>
  <c r="U55" i="71"/>
  <c r="Q55" i="71"/>
  <c r="R55" i="71"/>
  <c r="N55" i="71"/>
  <c r="O55" i="71"/>
  <c r="K55" i="71"/>
  <c r="H55" i="71"/>
  <c r="G55" i="71"/>
  <c r="D55" i="71"/>
  <c r="E55" i="71"/>
  <c r="AD54" i="71"/>
  <c r="AA54" i="71"/>
  <c r="AB54" i="71"/>
  <c r="X54" i="71"/>
  <c r="Y54" i="71"/>
  <c r="T54" i="71"/>
  <c r="Q54" i="71"/>
  <c r="R54" i="71"/>
  <c r="O54" i="71"/>
  <c r="N54" i="71"/>
  <c r="J54" i="71"/>
  <c r="H54" i="71"/>
  <c r="G54" i="71"/>
  <c r="E54" i="71"/>
  <c r="D54" i="71"/>
  <c r="AD53" i="71"/>
  <c r="AB53" i="71"/>
  <c r="AA53" i="71"/>
  <c r="X53" i="71"/>
  <c r="Y53" i="71"/>
  <c r="T53" i="71"/>
  <c r="R53" i="71"/>
  <c r="Q53" i="71"/>
  <c r="N53" i="71"/>
  <c r="O53" i="71"/>
  <c r="J53" i="71"/>
  <c r="H53" i="71"/>
  <c r="G53" i="71"/>
  <c r="E53" i="71"/>
  <c r="D53" i="71"/>
  <c r="AB52" i="71"/>
  <c r="AA52" i="71"/>
  <c r="X52" i="71"/>
  <c r="R52" i="71"/>
  <c r="Q52" i="71"/>
  <c r="N52" i="71"/>
  <c r="H52" i="71"/>
  <c r="G52" i="71"/>
  <c r="D52" i="71"/>
  <c r="AD51" i="71"/>
  <c r="AA51" i="71"/>
  <c r="AB51" i="71"/>
  <c r="Y51" i="71"/>
  <c r="X51" i="71"/>
  <c r="T51" i="71"/>
  <c r="R51" i="71"/>
  <c r="Q51" i="71"/>
  <c r="O51" i="71"/>
  <c r="N51" i="71"/>
  <c r="J51" i="71"/>
  <c r="H51" i="71"/>
  <c r="G51" i="71"/>
  <c r="D51" i="71"/>
  <c r="E51" i="71"/>
  <c r="AD50" i="71"/>
  <c r="AA50" i="71"/>
  <c r="AB50" i="71"/>
  <c r="Y50" i="71"/>
  <c r="X50" i="71"/>
  <c r="T50" i="71"/>
  <c r="R50" i="71"/>
  <c r="Q50" i="71"/>
  <c r="O50" i="71"/>
  <c r="N50" i="71"/>
  <c r="J50" i="71"/>
  <c r="H50" i="71"/>
  <c r="G50" i="71"/>
  <c r="E50" i="71"/>
  <c r="D50" i="71"/>
  <c r="AD49" i="71"/>
  <c r="AB49" i="71"/>
  <c r="AA49" i="71"/>
  <c r="X49" i="71"/>
  <c r="Y49" i="71"/>
  <c r="T49" i="71"/>
  <c r="Q49" i="71"/>
  <c r="R49" i="71"/>
  <c r="O49" i="71"/>
  <c r="N49" i="71"/>
  <c r="J49" i="71"/>
  <c r="H49" i="71"/>
  <c r="G49" i="71"/>
  <c r="E49" i="71"/>
  <c r="D49" i="71"/>
  <c r="AD48" i="71"/>
  <c r="AB48" i="71"/>
  <c r="AA48" i="71"/>
  <c r="Y48" i="71"/>
  <c r="X48" i="71"/>
  <c r="T48" i="71"/>
  <c r="R48" i="71"/>
  <c r="Q48" i="71"/>
  <c r="N48" i="71"/>
  <c r="O48" i="71"/>
  <c r="J48" i="71"/>
  <c r="G48" i="71"/>
  <c r="H48" i="71"/>
  <c r="D48" i="71"/>
  <c r="AD47" i="71"/>
  <c r="AB47" i="71"/>
  <c r="AA47" i="71"/>
  <c r="X47" i="71"/>
  <c r="T47" i="71"/>
  <c r="Q47" i="71"/>
  <c r="R47" i="71"/>
  <c r="N47" i="71"/>
  <c r="J47" i="71"/>
  <c r="H47" i="71"/>
  <c r="G47" i="71"/>
  <c r="D47" i="71"/>
  <c r="AE46" i="71"/>
  <c r="AA46" i="71"/>
  <c r="AB46" i="71"/>
  <c r="Y46" i="71"/>
  <c r="X46" i="71"/>
  <c r="U46" i="71"/>
  <c r="Q46" i="71"/>
  <c r="R46" i="71"/>
  <c r="O46" i="71"/>
  <c r="N46" i="71"/>
  <c r="K46" i="71"/>
  <c r="G46" i="71"/>
  <c r="H46" i="71"/>
  <c r="E46" i="71"/>
  <c r="D46" i="71"/>
  <c r="AE45" i="71"/>
  <c r="AA45" i="71"/>
  <c r="AB45" i="71"/>
  <c r="Y45" i="71"/>
  <c r="X45" i="71"/>
  <c r="U45" i="71"/>
  <c r="Q45" i="71"/>
  <c r="R45" i="71"/>
  <c r="O45" i="71"/>
  <c r="N45" i="71"/>
  <c r="K45" i="71"/>
  <c r="G45" i="71"/>
  <c r="H45" i="71"/>
  <c r="E45" i="71"/>
  <c r="D45" i="71"/>
  <c r="AE44" i="71"/>
  <c r="AA44" i="71"/>
  <c r="AB44" i="71"/>
  <c r="Y44" i="71"/>
  <c r="X44" i="71"/>
  <c r="U44" i="71"/>
  <c r="Q44" i="71"/>
  <c r="R44" i="71"/>
  <c r="O44" i="71"/>
  <c r="N44" i="71"/>
  <c r="K44" i="71"/>
  <c r="G44" i="71"/>
  <c r="H44" i="71"/>
  <c r="E44" i="71"/>
  <c r="D44" i="71"/>
  <c r="AE43" i="71"/>
  <c r="AA43" i="71"/>
  <c r="AB43" i="71"/>
  <c r="Y43" i="71"/>
  <c r="X43" i="71"/>
  <c r="U43" i="71"/>
  <c r="Q43" i="71"/>
  <c r="R43" i="71"/>
  <c r="O43" i="71"/>
  <c r="N43" i="71"/>
  <c r="K43" i="71"/>
  <c r="G43" i="71"/>
  <c r="H43" i="71"/>
  <c r="D43" i="71"/>
  <c r="AE42" i="71"/>
  <c r="AA42" i="71"/>
  <c r="AB42" i="71"/>
  <c r="Y42" i="71"/>
  <c r="X42" i="71"/>
  <c r="U42" i="71"/>
  <c r="Q42" i="71"/>
  <c r="R42" i="71"/>
  <c r="O42" i="71"/>
  <c r="N42" i="71"/>
  <c r="K42" i="71"/>
  <c r="H42" i="71"/>
  <c r="G42" i="71"/>
  <c r="E42" i="71"/>
  <c r="D42" i="71"/>
  <c r="AE41" i="71"/>
  <c r="AB41" i="71"/>
  <c r="AA41" i="71"/>
  <c r="Y41" i="71"/>
  <c r="X41" i="71"/>
  <c r="U41" i="71"/>
  <c r="Q41" i="71"/>
  <c r="R41" i="71"/>
  <c r="O41" i="71"/>
  <c r="N41" i="71"/>
  <c r="K41" i="71"/>
  <c r="G41" i="71"/>
  <c r="H41" i="71"/>
  <c r="E41" i="71"/>
  <c r="D41" i="71"/>
  <c r="AE40" i="71"/>
  <c r="AB40" i="71"/>
  <c r="AA40" i="71"/>
  <c r="Y40" i="71"/>
  <c r="X40" i="71"/>
  <c r="U40" i="71"/>
  <c r="R40" i="71"/>
  <c r="Q40" i="71"/>
  <c r="O40" i="71"/>
  <c r="N40" i="71"/>
  <c r="K40" i="71"/>
  <c r="G40" i="71"/>
  <c r="H40" i="71"/>
  <c r="D40" i="71"/>
  <c r="AE39" i="71"/>
  <c r="AA39" i="71"/>
  <c r="AB39" i="71"/>
  <c r="X39" i="71"/>
  <c r="Y39" i="71"/>
  <c r="U39" i="71"/>
  <c r="Q39" i="71"/>
  <c r="R39" i="71"/>
  <c r="N39" i="71"/>
  <c r="O39" i="71"/>
  <c r="K39" i="71"/>
  <c r="G39" i="71"/>
  <c r="H39" i="71"/>
  <c r="D39" i="71"/>
  <c r="E39" i="71"/>
  <c r="AE38" i="71"/>
  <c r="AA38" i="71"/>
  <c r="AB38" i="71"/>
  <c r="X38" i="71"/>
  <c r="Y38" i="71"/>
  <c r="U38" i="71"/>
  <c r="Q38" i="71"/>
  <c r="R38" i="71"/>
  <c r="N38" i="71"/>
  <c r="O38" i="71"/>
  <c r="K38" i="71"/>
  <c r="G38" i="71"/>
  <c r="H38" i="71"/>
  <c r="D38" i="71"/>
  <c r="E38" i="71"/>
  <c r="AE37" i="71"/>
  <c r="AA37" i="71"/>
  <c r="AB37" i="71"/>
  <c r="X37" i="71"/>
  <c r="Y37" i="71"/>
  <c r="U37" i="71"/>
  <c r="Q37" i="71"/>
  <c r="R37" i="71"/>
  <c r="N37" i="71"/>
  <c r="K37" i="71"/>
  <c r="H37" i="71"/>
  <c r="G37" i="71"/>
  <c r="D37" i="71"/>
  <c r="AE36" i="71"/>
  <c r="AA36" i="71"/>
  <c r="AB36" i="71"/>
  <c r="Y36" i="71"/>
  <c r="X36" i="71"/>
  <c r="U36" i="71"/>
  <c r="Q36" i="71"/>
  <c r="R36" i="71"/>
  <c r="O36" i="71"/>
  <c r="N36" i="71"/>
  <c r="K36" i="71"/>
  <c r="H36" i="71"/>
  <c r="G36" i="71"/>
  <c r="E36" i="71"/>
  <c r="D36" i="71"/>
  <c r="AE35" i="71"/>
  <c r="AA35" i="71"/>
  <c r="AB35" i="71"/>
  <c r="Y35" i="71"/>
  <c r="X35" i="71"/>
  <c r="U35" i="71"/>
  <c r="R35" i="71"/>
  <c r="Q35" i="71"/>
  <c r="O35" i="71"/>
  <c r="N35" i="71"/>
  <c r="K35" i="71"/>
  <c r="G35" i="71"/>
  <c r="H35" i="71"/>
  <c r="E35" i="71"/>
  <c r="D35" i="71"/>
  <c r="AE34" i="71"/>
  <c r="AB34" i="71"/>
  <c r="AA34" i="71"/>
  <c r="Y34" i="71"/>
  <c r="X34" i="71"/>
  <c r="U34" i="71"/>
  <c r="Q34" i="71"/>
  <c r="R34" i="71"/>
  <c r="O34" i="71"/>
  <c r="N34" i="71"/>
  <c r="K34" i="71"/>
  <c r="H34" i="71"/>
  <c r="G34" i="71"/>
  <c r="E34" i="71"/>
  <c r="D34" i="71"/>
  <c r="AE33" i="71"/>
  <c r="AA33" i="71"/>
  <c r="AB33" i="71"/>
  <c r="Y33" i="71"/>
  <c r="X33" i="71"/>
  <c r="U33" i="71"/>
  <c r="R33" i="71"/>
  <c r="Q33" i="71"/>
  <c r="O33" i="71"/>
  <c r="N33" i="71"/>
  <c r="K33" i="71"/>
  <c r="G33" i="71"/>
  <c r="H33" i="71"/>
  <c r="E33" i="71"/>
  <c r="D33" i="71"/>
  <c r="AE32" i="71"/>
  <c r="AB32" i="71"/>
  <c r="AA32" i="71"/>
  <c r="U32" i="71"/>
  <c r="R32" i="71"/>
  <c r="Q32" i="71"/>
  <c r="N32" i="71"/>
  <c r="O32" i="71"/>
  <c r="K32" i="71"/>
  <c r="H32" i="71"/>
  <c r="G32" i="71"/>
  <c r="D32" i="71"/>
  <c r="AE31" i="71"/>
  <c r="AA31" i="71"/>
  <c r="AB31" i="71"/>
  <c r="X31" i="71"/>
  <c r="U31" i="71"/>
  <c r="Q31" i="71"/>
  <c r="R31" i="71"/>
  <c r="N31" i="71"/>
  <c r="K31" i="71"/>
  <c r="G31" i="71"/>
  <c r="H31" i="71"/>
  <c r="D31" i="71"/>
  <c r="AE30" i="71"/>
  <c r="AB30" i="71"/>
  <c r="AA30" i="71"/>
  <c r="X30" i="71"/>
  <c r="Y30" i="71"/>
  <c r="U30" i="71"/>
  <c r="R30" i="71"/>
  <c r="Q30" i="71"/>
  <c r="O30" i="71"/>
  <c r="N30" i="71"/>
  <c r="K30" i="71"/>
  <c r="H30" i="71"/>
  <c r="G30" i="71"/>
  <c r="D30" i="71"/>
  <c r="E30" i="71"/>
  <c r="AE29" i="71"/>
  <c r="AB29" i="71"/>
  <c r="AA29" i="71"/>
  <c r="Y29" i="71"/>
  <c r="X29" i="71"/>
  <c r="U29" i="71"/>
  <c r="R29" i="71"/>
  <c r="Q29" i="71"/>
  <c r="N29" i="71"/>
  <c r="O29" i="71"/>
  <c r="K29" i="71"/>
  <c r="H29" i="71"/>
  <c r="G29" i="71"/>
  <c r="E29" i="71"/>
  <c r="D29" i="71"/>
  <c r="AE28" i="71"/>
  <c r="AB28" i="71"/>
  <c r="AA28" i="71"/>
  <c r="X28" i="71"/>
  <c r="Y28" i="71"/>
  <c r="U28" i="71"/>
  <c r="R28" i="71"/>
  <c r="Q28" i="71"/>
  <c r="O28" i="71"/>
  <c r="N28" i="71"/>
  <c r="K28" i="71"/>
  <c r="H28" i="71"/>
  <c r="G28" i="71"/>
  <c r="D28" i="71"/>
  <c r="E28" i="71"/>
  <c r="AE27" i="71"/>
  <c r="AB27" i="71"/>
  <c r="AA27" i="71"/>
  <c r="X27" i="71"/>
  <c r="R27" i="71"/>
  <c r="Q27" i="71"/>
  <c r="N27" i="71"/>
  <c r="K27" i="71"/>
  <c r="H27" i="71"/>
  <c r="G27" i="71"/>
  <c r="D27" i="71"/>
  <c r="AE26" i="71"/>
  <c r="AB26" i="71"/>
  <c r="AA26" i="71"/>
  <c r="Y26" i="71"/>
  <c r="X26" i="71"/>
  <c r="K26" i="71"/>
  <c r="G26" i="71"/>
  <c r="H26" i="71"/>
  <c r="E26" i="71"/>
  <c r="D26" i="71"/>
  <c r="AE25" i="71"/>
  <c r="AB25" i="71"/>
  <c r="AA25" i="71"/>
  <c r="Y25" i="71"/>
  <c r="X25" i="71"/>
  <c r="U25" i="71"/>
  <c r="R25" i="71"/>
  <c r="Q25" i="71"/>
  <c r="O25" i="71"/>
  <c r="N25" i="71"/>
  <c r="K25" i="71"/>
  <c r="H25" i="71"/>
  <c r="G25" i="71"/>
  <c r="E25" i="71"/>
  <c r="D25" i="71"/>
  <c r="AE24" i="71"/>
  <c r="AA24" i="71"/>
  <c r="AB24" i="71"/>
  <c r="X24" i="71"/>
  <c r="U24" i="71"/>
  <c r="Q24" i="71"/>
  <c r="R24" i="71"/>
  <c r="N24" i="71"/>
  <c r="K24" i="71"/>
  <c r="H24" i="71"/>
  <c r="G24" i="71"/>
  <c r="D24" i="71"/>
  <c r="AE23" i="71"/>
  <c r="AB23" i="71"/>
  <c r="AA23" i="71"/>
  <c r="Y23" i="71"/>
  <c r="X23" i="71"/>
  <c r="U23" i="71"/>
  <c r="Q23" i="71"/>
  <c r="R23" i="71"/>
  <c r="O23" i="71"/>
  <c r="N23" i="71"/>
  <c r="K23" i="71"/>
  <c r="H23" i="71"/>
  <c r="G23" i="71"/>
  <c r="E23" i="71"/>
  <c r="D23" i="71"/>
  <c r="AE22" i="71"/>
  <c r="AA22" i="71"/>
  <c r="AB22" i="71"/>
  <c r="Y22" i="71"/>
  <c r="X22" i="71"/>
  <c r="U22" i="71"/>
  <c r="R22" i="71"/>
  <c r="Q22" i="71"/>
  <c r="O22" i="71"/>
  <c r="N22" i="71"/>
  <c r="K22" i="71"/>
  <c r="G22" i="71"/>
  <c r="H22" i="71"/>
  <c r="E22" i="71"/>
  <c r="D22" i="71"/>
  <c r="AE21" i="71"/>
  <c r="AB21" i="71"/>
  <c r="AA21" i="71"/>
  <c r="Y21" i="71"/>
  <c r="X21" i="71"/>
  <c r="U21" i="71"/>
  <c r="Q21" i="71"/>
  <c r="R21" i="71"/>
  <c r="O21" i="71"/>
  <c r="N21" i="71"/>
  <c r="K21" i="71"/>
  <c r="H21" i="71"/>
  <c r="G21" i="71"/>
  <c r="E21" i="71"/>
  <c r="D21" i="71"/>
  <c r="AE20" i="71"/>
  <c r="AA20" i="71"/>
  <c r="AB20" i="71"/>
  <c r="Y20" i="71"/>
  <c r="X20" i="71"/>
  <c r="U20" i="71"/>
  <c r="R20" i="71"/>
  <c r="Q20" i="71"/>
  <c r="O20" i="71"/>
  <c r="N20" i="71"/>
  <c r="K20" i="71"/>
  <c r="H20" i="71"/>
  <c r="G20" i="71"/>
  <c r="E20" i="71"/>
  <c r="D20" i="71"/>
  <c r="AE19" i="71"/>
  <c r="AB19" i="71"/>
  <c r="AA19" i="71"/>
  <c r="Y19" i="71"/>
  <c r="X19" i="71"/>
  <c r="U19" i="71"/>
  <c r="Q19" i="71"/>
  <c r="R19" i="71"/>
  <c r="O19" i="71"/>
  <c r="N19" i="71"/>
  <c r="K19" i="71"/>
  <c r="H19" i="71"/>
  <c r="G19" i="71"/>
  <c r="E19" i="71"/>
  <c r="D19" i="71"/>
  <c r="AE18" i="71"/>
  <c r="AA18" i="71"/>
  <c r="AB18" i="71"/>
  <c r="Y18" i="71"/>
  <c r="X18" i="71"/>
  <c r="U18" i="71"/>
  <c r="R18" i="71"/>
  <c r="Q18" i="71"/>
  <c r="O18" i="71"/>
  <c r="N18" i="71"/>
  <c r="K18" i="71"/>
  <c r="G18" i="71"/>
  <c r="H18" i="71"/>
  <c r="E18" i="71"/>
  <c r="D18" i="71"/>
  <c r="AE17" i="71"/>
  <c r="AB17" i="71"/>
  <c r="AA17" i="71"/>
  <c r="Y17" i="71"/>
  <c r="X17" i="71"/>
  <c r="U17" i="71"/>
  <c r="R17" i="71"/>
  <c r="Q17" i="71"/>
  <c r="O17" i="71"/>
  <c r="N17" i="71"/>
  <c r="K17" i="71"/>
  <c r="G17" i="71"/>
  <c r="H17" i="71"/>
  <c r="E17" i="71"/>
  <c r="D17" i="71"/>
  <c r="AE16" i="71"/>
  <c r="AA16" i="71"/>
  <c r="AB16" i="71"/>
  <c r="Y16" i="71"/>
  <c r="X16" i="71"/>
  <c r="U16" i="71"/>
  <c r="Q16" i="71"/>
  <c r="R16" i="71"/>
  <c r="O16" i="71"/>
  <c r="N16" i="71"/>
  <c r="K16" i="71"/>
  <c r="G16" i="71"/>
  <c r="H16" i="71"/>
  <c r="E16" i="71"/>
  <c r="D16" i="71"/>
  <c r="AE15" i="71"/>
  <c r="AA15" i="71"/>
  <c r="AB15" i="71"/>
  <c r="Y15" i="71"/>
  <c r="X15" i="71"/>
  <c r="U15" i="71"/>
  <c r="Q15" i="71"/>
  <c r="R15" i="71"/>
  <c r="O15" i="71"/>
  <c r="N15" i="71"/>
  <c r="K15" i="71"/>
  <c r="G15" i="71"/>
  <c r="H15" i="71"/>
  <c r="E15" i="71"/>
  <c r="D15" i="71"/>
  <c r="AE14" i="71"/>
  <c r="AA14" i="71"/>
  <c r="AB14" i="71"/>
  <c r="Y14" i="71"/>
  <c r="X14" i="71"/>
  <c r="U14" i="71"/>
  <c r="Q14" i="71"/>
  <c r="R14" i="71"/>
  <c r="O14" i="71"/>
  <c r="N14" i="71"/>
  <c r="K14" i="71"/>
  <c r="G14" i="71"/>
  <c r="H14" i="71"/>
  <c r="E14" i="71"/>
  <c r="D14" i="71"/>
  <c r="AE13" i="71"/>
  <c r="AA13" i="71"/>
  <c r="AB13" i="71"/>
  <c r="Y13" i="71"/>
  <c r="X13" i="71"/>
  <c r="U13" i="71"/>
  <c r="R13" i="71"/>
  <c r="O13" i="71"/>
  <c r="N13" i="71"/>
  <c r="K13" i="71"/>
  <c r="G13" i="71"/>
  <c r="E13" i="71"/>
  <c r="D13" i="71"/>
  <c r="AE12" i="71"/>
  <c r="AA12" i="71"/>
  <c r="AB12" i="71"/>
  <c r="Z12" i="71"/>
  <c r="Y12" i="71"/>
  <c r="X12" i="71"/>
  <c r="U12" i="71"/>
  <c r="Q12" i="71"/>
  <c r="R12" i="71"/>
  <c r="P12" i="71"/>
  <c r="O12" i="71"/>
  <c r="N12" i="71"/>
  <c r="K12" i="71"/>
  <c r="G12" i="71"/>
  <c r="H12" i="71"/>
  <c r="F12" i="71"/>
  <c r="E12" i="71"/>
  <c r="D12" i="71"/>
  <c r="AN29" i="3"/>
  <c r="M73" i="10"/>
  <c r="L73" i="10"/>
  <c r="J73" i="10"/>
  <c r="AM91" i="1"/>
  <c r="AN127" i="40"/>
  <c r="AP68" i="34"/>
  <c r="B119" i="57"/>
  <c r="B118" i="57"/>
  <c r="B117" i="57"/>
  <c r="B116" i="57"/>
  <c r="B115" i="57"/>
  <c r="AQ29" i="45"/>
  <c r="AG86" i="54"/>
  <c r="AG88" i="54" s="1"/>
  <c r="F86" i="54"/>
  <c r="F88" i="54" s="1"/>
  <c r="AI83" i="54"/>
  <c r="AG83" i="54"/>
  <c r="AE83" i="54"/>
  <c r="AC83" i="54"/>
  <c r="Y83" i="54"/>
  <c r="X83" i="54"/>
  <c r="V83" i="54"/>
  <c r="T83" i="54"/>
  <c r="P83" i="54"/>
  <c r="O83" i="54"/>
  <c r="L83" i="54"/>
  <c r="I83" i="54"/>
  <c r="H83" i="54"/>
  <c r="F83" i="54"/>
  <c r="AI82" i="54"/>
  <c r="AG82" i="54"/>
  <c r="AE82" i="54"/>
  <c r="AC82" i="54"/>
  <c r="Y82" i="54"/>
  <c r="X82" i="54"/>
  <c r="V82" i="54"/>
  <c r="T82" i="54"/>
  <c r="AG81" i="54"/>
  <c r="AC81" i="54"/>
  <c r="X81" i="54"/>
  <c r="T81" i="54"/>
  <c r="P81" i="54"/>
  <c r="O81" i="54"/>
  <c r="L81" i="54"/>
  <c r="I81" i="54"/>
  <c r="H81" i="54"/>
  <c r="F81" i="54"/>
  <c r="AG80" i="54"/>
  <c r="F80" i="54"/>
  <c r="J77" i="54"/>
  <c r="M77" i="54" s="1"/>
  <c r="J76" i="54"/>
  <c r="M76" i="54" s="1"/>
  <c r="J75" i="54"/>
  <c r="M75" i="54" s="1"/>
  <c r="J74" i="54"/>
  <c r="M74" i="54" s="1"/>
  <c r="J73" i="54"/>
  <c r="M73" i="54"/>
  <c r="J72" i="54"/>
  <c r="M72" i="54" s="1"/>
  <c r="J71" i="54"/>
  <c r="M71" i="54" s="1"/>
  <c r="J70" i="54"/>
  <c r="M70" i="54" s="1"/>
  <c r="J69" i="54"/>
  <c r="M69" i="54"/>
  <c r="AA66" i="54"/>
  <c r="R66" i="54"/>
  <c r="J66" i="54"/>
  <c r="M66" i="54" s="1"/>
  <c r="AA65" i="54"/>
  <c r="R65" i="54"/>
  <c r="J65" i="54"/>
  <c r="M65" i="54" s="1"/>
  <c r="AA64" i="54"/>
  <c r="R64" i="54"/>
  <c r="J64" i="54"/>
  <c r="M64" i="54" s="1"/>
  <c r="AA63" i="54"/>
  <c r="R63" i="54"/>
  <c r="J63" i="54"/>
  <c r="M63" i="54" s="1"/>
  <c r="AA60" i="54"/>
  <c r="R60" i="54"/>
  <c r="J60" i="54"/>
  <c r="AA58" i="54"/>
  <c r="R58" i="54"/>
  <c r="J58" i="54"/>
  <c r="M58" i="54" s="1"/>
  <c r="AA57" i="54"/>
  <c r="R57" i="54"/>
  <c r="J57" i="54"/>
  <c r="M57" i="54" s="1"/>
  <c r="AA56" i="54"/>
  <c r="R56" i="54"/>
  <c r="AA55" i="54"/>
  <c r="R55" i="54"/>
  <c r="J55" i="54"/>
  <c r="M55" i="54" s="1"/>
  <c r="AA54" i="54"/>
  <c r="R54" i="54"/>
  <c r="J54" i="54"/>
  <c r="M54" i="54" s="1"/>
  <c r="AA53" i="54"/>
  <c r="R53" i="54"/>
  <c r="J53" i="54"/>
  <c r="M53" i="54" s="1"/>
  <c r="AA52" i="54"/>
  <c r="R52" i="54"/>
  <c r="J52" i="54"/>
  <c r="M52" i="54" s="1"/>
  <c r="AA51" i="54"/>
  <c r="P51" i="54"/>
  <c r="R51" i="54"/>
  <c r="J51" i="54"/>
  <c r="M51" i="54" s="1"/>
  <c r="AI49" i="54"/>
  <c r="AA49" i="54"/>
  <c r="AE49" i="54"/>
  <c r="Y49" i="54"/>
  <c r="R49" i="54"/>
  <c r="V49" i="54" s="1"/>
  <c r="J49" i="54"/>
  <c r="M49" i="54" s="1"/>
  <c r="AI48" i="54"/>
  <c r="AA48" i="54"/>
  <c r="AE48" i="54" s="1"/>
  <c r="Y48" i="54"/>
  <c r="R48" i="54"/>
  <c r="V48" i="54"/>
  <c r="J48" i="54"/>
  <c r="M48" i="54" s="1"/>
  <c r="AI47" i="54"/>
  <c r="AA47" i="54"/>
  <c r="AE47" i="54"/>
  <c r="Y47" i="54"/>
  <c r="R47" i="54"/>
  <c r="V47" i="54" s="1"/>
  <c r="J47" i="54"/>
  <c r="M47" i="54" s="1"/>
  <c r="AI46" i="54"/>
  <c r="AA46" i="54"/>
  <c r="AE46" i="54" s="1"/>
  <c r="Y46" i="54"/>
  <c r="R46" i="54"/>
  <c r="V46" i="54" s="1"/>
  <c r="J46" i="54"/>
  <c r="M46" i="54" s="1"/>
  <c r="AI45" i="54"/>
  <c r="AA45" i="54"/>
  <c r="AE45" i="54" s="1"/>
  <c r="Y45" i="54"/>
  <c r="R45" i="54"/>
  <c r="V45" i="54" s="1"/>
  <c r="J45" i="54"/>
  <c r="M45" i="54" s="1"/>
  <c r="AI44" i="54"/>
  <c r="AA44" i="54"/>
  <c r="AE44" i="54" s="1"/>
  <c r="Y44" i="54"/>
  <c r="R44" i="54"/>
  <c r="V44" i="54" s="1"/>
  <c r="J44" i="54"/>
  <c r="M44" i="54" s="1"/>
  <c r="AI43" i="54"/>
  <c r="AA43" i="54"/>
  <c r="AE43" i="54" s="1"/>
  <c r="Y43" i="54"/>
  <c r="R43" i="54"/>
  <c r="V43" i="54" s="1"/>
  <c r="J43" i="54"/>
  <c r="M43" i="54" s="1"/>
  <c r="AI41" i="54"/>
  <c r="AA41" i="54"/>
  <c r="AE41" i="54" s="1"/>
  <c r="Y41" i="54"/>
  <c r="R41" i="54"/>
  <c r="V41" i="54" s="1"/>
  <c r="J41" i="54"/>
  <c r="M41" i="54" s="1"/>
  <c r="AI40" i="54"/>
  <c r="AA40" i="54"/>
  <c r="AE40" i="54" s="1"/>
  <c r="Y40" i="54"/>
  <c r="R40" i="54"/>
  <c r="V40" i="54" s="1"/>
  <c r="J40" i="54"/>
  <c r="M40" i="54" s="1"/>
  <c r="AI39" i="54"/>
  <c r="AA39" i="54"/>
  <c r="AE39" i="54" s="1"/>
  <c r="Y39" i="54"/>
  <c r="R39" i="54"/>
  <c r="V39" i="54" s="1"/>
  <c r="J39" i="54"/>
  <c r="M39" i="54" s="1"/>
  <c r="AE37" i="54"/>
  <c r="AE36" i="54" s="1"/>
  <c r="Y37" i="54"/>
  <c r="Y36" i="54" s="1"/>
  <c r="X37" i="54"/>
  <c r="V37" i="54"/>
  <c r="V36" i="54" s="1"/>
  <c r="T37" i="54"/>
  <c r="T36" i="54" s="1"/>
  <c r="O37" i="54"/>
  <c r="L37" i="54"/>
  <c r="I37" i="54"/>
  <c r="AI36" i="54"/>
  <c r="AC36" i="54"/>
  <c r="X36" i="54"/>
  <c r="O36" i="54"/>
  <c r="L36" i="54"/>
  <c r="I36" i="54"/>
  <c r="AE35" i="54"/>
  <c r="AE34" i="54" s="1"/>
  <c r="AC35" i="54"/>
  <c r="AC34" i="54" s="1"/>
  <c r="Y35" i="54"/>
  <c r="Y34" i="54" s="1"/>
  <c r="X35" i="54"/>
  <c r="X34" i="54" s="1"/>
  <c r="V35" i="54"/>
  <c r="V34" i="54" s="1"/>
  <c r="V86" i="54" s="1"/>
  <c r="V88" i="54" s="1"/>
  <c r="T35" i="54"/>
  <c r="T34" i="54" s="1"/>
  <c r="AI34" i="54"/>
  <c r="AI33" i="54"/>
  <c r="AI32" i="54" s="1"/>
  <c r="AE33" i="54"/>
  <c r="AE32" i="54" s="1"/>
  <c r="AC33" i="54"/>
  <c r="AC32" i="54" s="1"/>
  <c r="Y33" i="54"/>
  <c r="Y32" i="54" s="1"/>
  <c r="X33" i="54"/>
  <c r="X32" i="54" s="1"/>
  <c r="V33" i="54"/>
  <c r="T33" i="54"/>
  <c r="T32" i="54" s="1"/>
  <c r="P33" i="54"/>
  <c r="O33" i="54"/>
  <c r="L33" i="54"/>
  <c r="I33" i="54"/>
  <c r="J33" i="54" s="1"/>
  <c r="J37" i="54" s="1"/>
  <c r="M37" i="54" s="1"/>
  <c r="P37" i="54" s="1"/>
  <c r="H33" i="54"/>
  <c r="V32" i="54"/>
  <c r="P32" i="54"/>
  <c r="O32" i="54"/>
  <c r="L32" i="54"/>
  <c r="I32" i="54"/>
  <c r="H32" i="54"/>
  <c r="AI28" i="54"/>
  <c r="AA28" i="54"/>
  <c r="AE28" i="54" s="1"/>
  <c r="Y28" i="54"/>
  <c r="R28" i="54"/>
  <c r="V28" i="54" s="1"/>
  <c r="J28" i="54"/>
  <c r="M28" i="54" s="1"/>
  <c r="M60" i="54" s="1"/>
  <c r="M83" i="54" s="1"/>
  <c r="P27" i="54"/>
  <c r="P82" i="54" s="1"/>
  <c r="O27" i="54"/>
  <c r="O82" i="54"/>
  <c r="L27" i="54"/>
  <c r="L82" i="54" s="1"/>
  <c r="I27" i="54"/>
  <c r="I82" i="54" s="1"/>
  <c r="H27" i="54"/>
  <c r="H82" i="54" s="1"/>
  <c r="F27" i="54"/>
  <c r="F82" i="54" s="1"/>
  <c r="AI26" i="54"/>
  <c r="AA26" i="54"/>
  <c r="AE26" i="54" s="1"/>
  <c r="Y26" i="54"/>
  <c r="R26" i="54"/>
  <c r="V26" i="54" s="1"/>
  <c r="J26" i="54"/>
  <c r="M26" i="54" s="1"/>
  <c r="AI25" i="54"/>
  <c r="AA25" i="54"/>
  <c r="AE25" i="54"/>
  <c r="Y25" i="54"/>
  <c r="R25" i="54"/>
  <c r="V25" i="54" s="1"/>
  <c r="J25" i="54"/>
  <c r="M25" i="54"/>
  <c r="AI24" i="54"/>
  <c r="AA24" i="54"/>
  <c r="AE24" i="54" s="1"/>
  <c r="Y24" i="54"/>
  <c r="R24" i="54"/>
  <c r="V24" i="54" s="1"/>
  <c r="J24" i="54"/>
  <c r="M24" i="54" s="1"/>
  <c r="M27" i="54" s="1"/>
  <c r="AA23" i="54"/>
  <c r="R23" i="54"/>
  <c r="J23" i="54"/>
  <c r="M23" i="54" s="1"/>
  <c r="AG21" i="54"/>
  <c r="AA21" i="54"/>
  <c r="L21" i="54"/>
  <c r="I21" i="54"/>
  <c r="H21" i="54"/>
  <c r="J21" i="54"/>
  <c r="F21" i="54"/>
  <c r="AA20" i="54"/>
  <c r="R20" i="54"/>
  <c r="J20" i="54"/>
  <c r="M20" i="54" s="1"/>
  <c r="AI17" i="54"/>
  <c r="AE17" i="54"/>
  <c r="AE16" i="54" s="1"/>
  <c r="AC17" i="54"/>
  <c r="AC16" i="54" s="1"/>
  <c r="AC21" i="54" s="1"/>
  <c r="Y17" i="54"/>
  <c r="Y16" i="54" s="1"/>
  <c r="X17" i="54"/>
  <c r="V17" i="54"/>
  <c r="V16" i="54" s="1"/>
  <c r="V21" i="54" s="1"/>
  <c r="T17" i="54"/>
  <c r="T16" i="54" s="1"/>
  <c r="T21" i="54" s="1"/>
  <c r="R17" i="54"/>
  <c r="J17" i="54"/>
  <c r="M17" i="54" s="1"/>
  <c r="AI16" i="54"/>
  <c r="X16" i="54"/>
  <c r="P16" i="54"/>
  <c r="O16" i="54"/>
  <c r="R16" i="54" s="1"/>
  <c r="J16" i="54"/>
  <c r="M16" i="54" s="1"/>
  <c r="AI14" i="54"/>
  <c r="AG14" i="54"/>
  <c r="AC14" i="54"/>
  <c r="Y14" i="54"/>
  <c r="X14" i="54"/>
  <c r="T14" i="54"/>
  <c r="P14" i="54"/>
  <c r="O14" i="54"/>
  <c r="R14" i="54" s="1"/>
  <c r="L14" i="54"/>
  <c r="I14" i="54"/>
  <c r="J14" i="54" s="1"/>
  <c r="H14" i="54"/>
  <c r="AA13" i="54"/>
  <c r="AE13" i="54" s="1"/>
  <c r="R13" i="54"/>
  <c r="V13" i="54" s="1"/>
  <c r="J13" i="54"/>
  <c r="M13" i="54" s="1"/>
  <c r="AA12" i="54"/>
  <c r="AE12" i="54" s="1"/>
  <c r="R12" i="54"/>
  <c r="V12" i="54" s="1"/>
  <c r="V14" i="54" s="1"/>
  <c r="J12" i="54"/>
  <c r="M12" i="54" s="1"/>
  <c r="AG84" i="54"/>
  <c r="AG90" i="54" s="1"/>
  <c r="AI21" i="54"/>
  <c r="AI81" i="54"/>
  <c r="AA33" i="54"/>
  <c r="P21" i="54"/>
  <c r="B125" i="48"/>
  <c r="B124" i="48"/>
  <c r="B123" i="48"/>
  <c r="B122" i="48"/>
  <c r="B121" i="48"/>
  <c r="B120" i="48"/>
  <c r="B119" i="48"/>
  <c r="B118" i="48"/>
  <c r="B117" i="48"/>
  <c r="B116" i="48"/>
  <c r="B115" i="48"/>
  <c r="AE103" i="48"/>
  <c r="AC103" i="48"/>
  <c r="AI100" i="48"/>
  <c r="AG100" i="48"/>
  <c r="AE100" i="48"/>
  <c r="AC100" i="48"/>
  <c r="AC101" i="48" s="1"/>
  <c r="Y100" i="48"/>
  <c r="X100" i="48"/>
  <c r="V100" i="48"/>
  <c r="T100" i="48"/>
  <c r="P100" i="48"/>
  <c r="O100" i="48"/>
  <c r="L100" i="48"/>
  <c r="I100" i="48"/>
  <c r="H100" i="48"/>
  <c r="F100" i="48"/>
  <c r="AI98" i="48"/>
  <c r="AG98" i="48"/>
  <c r="AE98" i="48"/>
  <c r="AC98" i="48"/>
  <c r="I98" i="48"/>
  <c r="H98" i="48"/>
  <c r="H101" i="48" s="1"/>
  <c r="F98" i="48"/>
  <c r="AE97" i="48"/>
  <c r="AC97" i="48"/>
  <c r="Y97" i="48"/>
  <c r="X97" i="48"/>
  <c r="V97" i="48"/>
  <c r="T97" i="48"/>
  <c r="O97" i="48"/>
  <c r="F97" i="48"/>
  <c r="AA94" i="48"/>
  <c r="R94" i="48"/>
  <c r="J94" i="48"/>
  <c r="M94" i="48" s="1"/>
  <c r="AA93" i="48"/>
  <c r="R93" i="48"/>
  <c r="J93" i="48"/>
  <c r="M93" i="48" s="1"/>
  <c r="AA92" i="48"/>
  <c r="R92" i="48"/>
  <c r="J92" i="48"/>
  <c r="M92" i="48" s="1"/>
  <c r="AA91" i="48"/>
  <c r="R91" i="48"/>
  <c r="J91" i="48"/>
  <c r="M91" i="48" s="1"/>
  <c r="AA90" i="48"/>
  <c r="R90" i="48"/>
  <c r="J90" i="48"/>
  <c r="M90" i="48" s="1"/>
  <c r="AA89" i="48"/>
  <c r="R89" i="48"/>
  <c r="J89" i="48"/>
  <c r="M89" i="48" s="1"/>
  <c r="AG88" i="48"/>
  <c r="AA88" i="48"/>
  <c r="R88" i="48"/>
  <c r="J88" i="48"/>
  <c r="M88" i="48" s="1"/>
  <c r="AG87" i="48"/>
  <c r="AG112" i="48" s="1"/>
  <c r="AA87" i="48"/>
  <c r="R87" i="48"/>
  <c r="J87" i="48"/>
  <c r="M87" i="48"/>
  <c r="AG86" i="48"/>
  <c r="AA86" i="48"/>
  <c r="R86" i="48"/>
  <c r="J86" i="48"/>
  <c r="M86" i="48"/>
  <c r="AA83" i="48"/>
  <c r="R83" i="48"/>
  <c r="J83" i="48"/>
  <c r="AG82" i="48"/>
  <c r="AC82" i="48"/>
  <c r="Y82" i="48"/>
  <c r="X82" i="48"/>
  <c r="AA82" i="48"/>
  <c r="T82" i="48"/>
  <c r="L82" i="48"/>
  <c r="O82" i="48"/>
  <c r="R82" i="48"/>
  <c r="J82" i="48"/>
  <c r="AC81" i="48"/>
  <c r="Y81" i="48"/>
  <c r="X81" i="48"/>
  <c r="AA81" i="48"/>
  <c r="T81" i="48"/>
  <c r="L81" i="48"/>
  <c r="O81" i="48"/>
  <c r="R81" i="48"/>
  <c r="J81" i="48"/>
  <c r="AC80" i="48"/>
  <c r="Y80" i="48"/>
  <c r="X80" i="48"/>
  <c r="AA80" i="48" s="1"/>
  <c r="T80" i="48"/>
  <c r="L80" i="48"/>
  <c r="O80" i="48"/>
  <c r="R80" i="48"/>
  <c r="J80" i="48"/>
  <c r="M75" i="48"/>
  <c r="M100" i="48"/>
  <c r="J75" i="48"/>
  <c r="AA73" i="48"/>
  <c r="R73" i="48"/>
  <c r="J73" i="48"/>
  <c r="AA72" i="48"/>
  <c r="R72" i="48"/>
  <c r="J72" i="48"/>
  <c r="AA71" i="48"/>
  <c r="R71" i="48"/>
  <c r="J71" i="48"/>
  <c r="AA70" i="48"/>
  <c r="R70" i="48"/>
  <c r="J70" i="48"/>
  <c r="AA69" i="48"/>
  <c r="R69" i="48"/>
  <c r="J69" i="48"/>
  <c r="R68" i="48"/>
  <c r="V68" i="48" s="1"/>
  <c r="Y68" i="48" s="1"/>
  <c r="AA68" i="48" s="1"/>
  <c r="J68" i="48"/>
  <c r="R67" i="48"/>
  <c r="V67" i="48"/>
  <c r="Y67" i="48"/>
  <c r="AA67" i="48"/>
  <c r="J67" i="48"/>
  <c r="AI66" i="48"/>
  <c r="AG66" i="48"/>
  <c r="R66" i="48"/>
  <c r="V66" i="48" s="1"/>
  <c r="Y66" i="48"/>
  <c r="J66" i="48"/>
  <c r="Y64" i="48"/>
  <c r="R64" i="48"/>
  <c r="Y63" i="48"/>
  <c r="X63" i="48"/>
  <c r="AA63" i="48" s="1"/>
  <c r="P63" i="48"/>
  <c r="O63" i="48"/>
  <c r="R63" i="48" s="1"/>
  <c r="J63" i="48"/>
  <c r="V62" i="48"/>
  <c r="Y62" i="48"/>
  <c r="AA62" i="48"/>
  <c r="O62" i="48"/>
  <c r="R62" i="48"/>
  <c r="J62" i="48"/>
  <c r="AA61" i="48"/>
  <c r="V61" i="48"/>
  <c r="Y61" i="48"/>
  <c r="R61" i="48"/>
  <c r="P61" i="48"/>
  <c r="L61" i="48"/>
  <c r="J61" i="48"/>
  <c r="AA60" i="48"/>
  <c r="V60" i="48"/>
  <c r="Y60" i="48" s="1"/>
  <c r="R60" i="48"/>
  <c r="P60" i="48"/>
  <c r="V59" i="48"/>
  <c r="Y59" i="48" s="1"/>
  <c r="AA59" i="48" s="1"/>
  <c r="O59" i="48"/>
  <c r="R59" i="48"/>
  <c r="L59" i="48"/>
  <c r="J59" i="48"/>
  <c r="X58" i="48"/>
  <c r="X98" i="48" s="1"/>
  <c r="T58" i="48"/>
  <c r="P58" i="48"/>
  <c r="O58" i="48"/>
  <c r="X57" i="48"/>
  <c r="T57" i="48"/>
  <c r="V57" i="48" s="1"/>
  <c r="T103" i="48"/>
  <c r="P57" i="48"/>
  <c r="O57" i="48"/>
  <c r="L57" i="48"/>
  <c r="J57" i="48"/>
  <c r="V56" i="48"/>
  <c r="Y56" i="48"/>
  <c r="AA56" i="48"/>
  <c r="R56" i="48"/>
  <c r="V55" i="48"/>
  <c r="Y55" i="48"/>
  <c r="AA55" i="48"/>
  <c r="P55" i="48"/>
  <c r="R55" i="48" s="1"/>
  <c r="O55" i="48"/>
  <c r="L55" i="48"/>
  <c r="J55" i="48"/>
  <c r="V54" i="48"/>
  <c r="Y54" i="48" s="1"/>
  <c r="O54" i="48"/>
  <c r="P54" i="48" s="1"/>
  <c r="V53" i="48"/>
  <c r="Y53" i="48"/>
  <c r="P53" i="48"/>
  <c r="O53" i="48"/>
  <c r="R53" i="48" s="1"/>
  <c r="L53" i="48"/>
  <c r="L98" i="48" s="1"/>
  <c r="AA51" i="48"/>
  <c r="R51" i="48"/>
  <c r="J51" i="48"/>
  <c r="M51" i="48"/>
  <c r="AA50" i="48"/>
  <c r="R50" i="48"/>
  <c r="J50" i="48"/>
  <c r="M50" i="48"/>
  <c r="AA49" i="48"/>
  <c r="R49" i="48"/>
  <c r="J49" i="48"/>
  <c r="M49" i="48"/>
  <c r="Q48" i="48"/>
  <c r="Q49" i="48"/>
  <c r="P48" i="48"/>
  <c r="AA46" i="48"/>
  <c r="R46" i="48"/>
  <c r="J46" i="48"/>
  <c r="M46" i="48"/>
  <c r="AA45" i="48"/>
  <c r="R45" i="48"/>
  <c r="L45" i="48"/>
  <c r="J45" i="48"/>
  <c r="AI43" i="48"/>
  <c r="AG43" i="48"/>
  <c r="AA43" i="48"/>
  <c r="R43" i="48"/>
  <c r="AI42" i="48"/>
  <c r="AG42" i="48"/>
  <c r="AG103" i="48"/>
  <c r="AG105" i="48"/>
  <c r="AA42" i="48"/>
  <c r="R42" i="48"/>
  <c r="L42" i="48"/>
  <c r="I42" i="48"/>
  <c r="H42" i="48"/>
  <c r="AA39" i="48"/>
  <c r="R39" i="48"/>
  <c r="L39" i="48"/>
  <c r="J39" i="48"/>
  <c r="AA32" i="48"/>
  <c r="R32" i="48"/>
  <c r="J32" i="48"/>
  <c r="M32" i="48"/>
  <c r="J31" i="48"/>
  <c r="M31" i="48" s="1"/>
  <c r="I30" i="48"/>
  <c r="H30" i="48"/>
  <c r="J30" i="48"/>
  <c r="AI29" i="48"/>
  <c r="AG29" i="48"/>
  <c r="AE29" i="48"/>
  <c r="AE99" i="48"/>
  <c r="AC29" i="48"/>
  <c r="AC99" i="48"/>
  <c r="Y29" i="48"/>
  <c r="V29" i="48"/>
  <c r="V99" i="48" s="1"/>
  <c r="T29" i="48"/>
  <c r="T99" i="48"/>
  <c r="P29" i="48"/>
  <c r="P99" i="48" s="1"/>
  <c r="M29" i="48"/>
  <c r="L29" i="48"/>
  <c r="L99" i="48"/>
  <c r="L101" i="48" s="1"/>
  <c r="I29" i="48"/>
  <c r="H29" i="48"/>
  <c r="H99" i="48"/>
  <c r="F29" i="48"/>
  <c r="F99" i="48" s="1"/>
  <c r="F101" i="48" s="1"/>
  <c r="F102" i="48" s="1"/>
  <c r="AA28" i="48"/>
  <c r="R28" i="48"/>
  <c r="J28" i="48"/>
  <c r="X27" i="48"/>
  <c r="O27" i="48"/>
  <c r="R27" i="48"/>
  <c r="J27" i="48"/>
  <c r="AA26" i="48"/>
  <c r="R26" i="48"/>
  <c r="J26" i="48"/>
  <c r="X25" i="48"/>
  <c r="O25" i="48"/>
  <c r="R25" i="48"/>
  <c r="J25" i="48"/>
  <c r="X23" i="48"/>
  <c r="O23" i="48"/>
  <c r="O48" i="48"/>
  <c r="P49" i="48"/>
  <c r="P97" i="48" s="1"/>
  <c r="H23" i="48"/>
  <c r="J23" i="48"/>
  <c r="X22" i="48"/>
  <c r="O22" i="48"/>
  <c r="AE21" i="48"/>
  <c r="AC21" i="48"/>
  <c r="AC18" i="48" s="1"/>
  <c r="AC102" i="48" s="1"/>
  <c r="Y21" i="48"/>
  <c r="V21" i="48"/>
  <c r="T21" i="48"/>
  <c r="X21" i="48"/>
  <c r="P21" i="48"/>
  <c r="O21" i="48"/>
  <c r="J21" i="48"/>
  <c r="X20" i="48"/>
  <c r="O20" i="48"/>
  <c r="AE19" i="48"/>
  <c r="AE18" i="48" s="1"/>
  <c r="AC19" i="48"/>
  <c r="Y19" i="48"/>
  <c r="Y18" i="48"/>
  <c r="V19" i="48"/>
  <c r="V18" i="48" s="1"/>
  <c r="T19" i="48"/>
  <c r="T18" i="48" s="1"/>
  <c r="X18" i="48" s="1"/>
  <c r="P19" i="48"/>
  <c r="P18" i="48" s="1"/>
  <c r="O19" i="48"/>
  <c r="J19" i="48"/>
  <c r="M18" i="48"/>
  <c r="L18" i="48"/>
  <c r="O18" i="48" s="1"/>
  <c r="J18" i="48"/>
  <c r="I18" i="48"/>
  <c r="AE16" i="48"/>
  <c r="AC16" i="48"/>
  <c r="Y16" i="48"/>
  <c r="M16" i="48"/>
  <c r="L16" i="48"/>
  <c r="O16" i="48" s="1"/>
  <c r="J16" i="48"/>
  <c r="I16" i="48"/>
  <c r="X15" i="48"/>
  <c r="O15" i="48"/>
  <c r="X14" i="48"/>
  <c r="O14" i="48"/>
  <c r="J14" i="48"/>
  <c r="V13" i="48"/>
  <c r="T13" i="48"/>
  <c r="X13" i="48"/>
  <c r="P13" i="48"/>
  <c r="O13" i="48"/>
  <c r="V12" i="48"/>
  <c r="V16" i="48"/>
  <c r="T12" i="48"/>
  <c r="P12" i="48"/>
  <c r="P16" i="48"/>
  <c r="O12" i="48"/>
  <c r="J12" i="48"/>
  <c r="O7" i="48"/>
  <c r="T7" i="48" s="1"/>
  <c r="X7" i="48" s="1"/>
  <c r="O35" i="48"/>
  <c r="X5" i="48"/>
  <c r="O5" i="48"/>
  <c r="R57" i="48"/>
  <c r="R58" i="48"/>
  <c r="AG97" i="48"/>
  <c r="AG101" i="48" s="1"/>
  <c r="AA27" i="48"/>
  <c r="AG99" i="48"/>
  <c r="AC104" i="48"/>
  <c r="AI99" i="48"/>
  <c r="X103" i="48"/>
  <c r="AE101" i="48"/>
  <c r="O29" i="48"/>
  <c r="O99" i="48" s="1"/>
  <c r="M39" i="48"/>
  <c r="I97" i="48"/>
  <c r="H97" i="48"/>
  <c r="H102" i="48"/>
  <c r="X19" i="48"/>
  <c r="I66" i="48"/>
  <c r="I99" i="48" s="1"/>
  <c r="L97" i="48"/>
  <c r="AI86" i="39"/>
  <c r="AF91" i="39"/>
  <c r="AF93" i="39" s="1"/>
  <c r="AK88" i="39"/>
  <c r="AK86" i="39"/>
  <c r="AK85" i="39"/>
  <c r="AK56" i="39"/>
  <c r="AK55" i="39"/>
  <c r="T35" i="48"/>
  <c r="B117" i="45"/>
  <c r="B116" i="45"/>
  <c r="AS100" i="45"/>
  <c r="AQ100" i="45"/>
  <c r="AM100" i="45"/>
  <c r="AH100" i="45"/>
  <c r="AF100" i="45"/>
  <c r="AB100" i="45"/>
  <c r="AA100" i="45"/>
  <c r="Y100" i="45"/>
  <c r="W100" i="45"/>
  <c r="S100" i="45"/>
  <c r="R100" i="45"/>
  <c r="O100" i="45"/>
  <c r="L100" i="45"/>
  <c r="I100" i="45"/>
  <c r="H100" i="45"/>
  <c r="F100" i="45"/>
  <c r="AS98" i="45"/>
  <c r="AQ98" i="45"/>
  <c r="AM98" i="45"/>
  <c r="AH98" i="45"/>
  <c r="AF98" i="45"/>
  <c r="AB98" i="45"/>
  <c r="AA98" i="45"/>
  <c r="Y98" i="45"/>
  <c r="W98" i="45"/>
  <c r="S98" i="45"/>
  <c r="R98" i="45"/>
  <c r="O98" i="45"/>
  <c r="L98" i="45"/>
  <c r="I98" i="45"/>
  <c r="I101" i="45" s="1"/>
  <c r="H98" i="45"/>
  <c r="F98" i="45"/>
  <c r="AH97" i="45"/>
  <c r="AF97" i="45"/>
  <c r="AB97" i="45"/>
  <c r="AA97" i="45"/>
  <c r="O97" i="45"/>
  <c r="L97" i="45"/>
  <c r="I97" i="45"/>
  <c r="H97" i="45"/>
  <c r="F97" i="45"/>
  <c r="J88" i="45"/>
  <c r="P88" i="45" s="1"/>
  <c r="J85" i="45"/>
  <c r="J82" i="45"/>
  <c r="P82" i="45" s="1"/>
  <c r="J80" i="45"/>
  <c r="P80" i="45"/>
  <c r="J79" i="45"/>
  <c r="M78" i="45"/>
  <c r="J77" i="45"/>
  <c r="M77" i="45" s="1"/>
  <c r="P77" i="45"/>
  <c r="J76" i="45"/>
  <c r="J75" i="45"/>
  <c r="M75" i="45"/>
  <c r="J74" i="45"/>
  <c r="M74" i="45" s="1"/>
  <c r="J73" i="45"/>
  <c r="P73" i="45"/>
  <c r="J71" i="45"/>
  <c r="P71" i="45" s="1"/>
  <c r="J68" i="45"/>
  <c r="J64" i="45"/>
  <c r="J63" i="45"/>
  <c r="M63" i="45" s="1"/>
  <c r="J62" i="45"/>
  <c r="P62" i="45"/>
  <c r="J61" i="45"/>
  <c r="M61" i="45" s="1"/>
  <c r="J60" i="45"/>
  <c r="P60" i="45" s="1"/>
  <c r="J59" i="45"/>
  <c r="J58" i="45"/>
  <c r="P58" i="45"/>
  <c r="J57" i="45"/>
  <c r="J56" i="45"/>
  <c r="P56" i="45"/>
  <c r="J55" i="45"/>
  <c r="J54" i="45"/>
  <c r="J53" i="45"/>
  <c r="J52" i="45"/>
  <c r="P52" i="45" s="1"/>
  <c r="M52" i="45"/>
  <c r="J51" i="45"/>
  <c r="M51" i="45"/>
  <c r="J50" i="45"/>
  <c r="M50" i="45" s="1"/>
  <c r="P50" i="45"/>
  <c r="J49" i="45"/>
  <c r="M49" i="45"/>
  <c r="J48" i="45"/>
  <c r="M48" i="45" s="1"/>
  <c r="P48" i="45"/>
  <c r="J47" i="45"/>
  <c r="M47" i="45"/>
  <c r="J46" i="45"/>
  <c r="M46" i="45" s="1"/>
  <c r="P46" i="45"/>
  <c r="J45" i="45"/>
  <c r="M45" i="45"/>
  <c r="J44" i="45"/>
  <c r="M44" i="45"/>
  <c r="J42" i="45"/>
  <c r="P42" i="45"/>
  <c r="J41" i="45"/>
  <c r="P41" i="45"/>
  <c r="J40" i="45"/>
  <c r="P40" i="45"/>
  <c r="J38" i="45"/>
  <c r="P38" i="45"/>
  <c r="AS37" i="45"/>
  <c r="AQ37" i="45"/>
  <c r="AM37" i="45"/>
  <c r="J37" i="45"/>
  <c r="P37" i="45" s="1"/>
  <c r="J36" i="45"/>
  <c r="M36" i="45"/>
  <c r="Y35" i="45"/>
  <c r="Y104" i="45" s="1"/>
  <c r="W35" i="45"/>
  <c r="W104" i="45" s="1"/>
  <c r="S35" i="45"/>
  <c r="S34" i="45" s="1"/>
  <c r="S97" i="45" s="1"/>
  <c r="R35" i="45"/>
  <c r="AS34" i="45"/>
  <c r="AQ34" i="45"/>
  <c r="AQ97" i="45" s="1"/>
  <c r="AM34" i="45"/>
  <c r="J34" i="45"/>
  <c r="P34" i="45" s="1"/>
  <c r="J30" i="45"/>
  <c r="P30" i="45"/>
  <c r="O29" i="45"/>
  <c r="O99" i="45" s="1"/>
  <c r="S99" i="45" s="1"/>
  <c r="L29" i="45"/>
  <c r="L99" i="45"/>
  <c r="I29" i="45"/>
  <c r="I99" i="45" s="1"/>
  <c r="H29" i="45"/>
  <c r="H99" i="45"/>
  <c r="H101" i="45" s="1"/>
  <c r="H102" i="45" s="1"/>
  <c r="F29" i="45"/>
  <c r="F99" i="45" s="1"/>
  <c r="J28" i="45"/>
  <c r="P28" i="45"/>
  <c r="J27" i="45"/>
  <c r="J26" i="45"/>
  <c r="AS25" i="45"/>
  <c r="AM25" i="45"/>
  <c r="AM29" i="45" s="1"/>
  <c r="AS29" i="45" s="1"/>
  <c r="AH25" i="45"/>
  <c r="AH29" i="45"/>
  <c r="AF25" i="45"/>
  <c r="AF29" i="45"/>
  <c r="AB25" i="45"/>
  <c r="AB29" i="45"/>
  <c r="AA25" i="45"/>
  <c r="AA29" i="45"/>
  <c r="Y25" i="45"/>
  <c r="W25" i="45"/>
  <c r="S25" i="45"/>
  <c r="R25" i="45"/>
  <c r="J25" i="45"/>
  <c r="P25" i="45" s="1"/>
  <c r="AS23" i="45"/>
  <c r="J23" i="45"/>
  <c r="P23" i="45"/>
  <c r="AF22" i="45"/>
  <c r="J22" i="45"/>
  <c r="AS20" i="45"/>
  <c r="R20" i="45"/>
  <c r="R23" i="45" s="1"/>
  <c r="AS19" i="45"/>
  <c r="AQ19" i="45"/>
  <c r="AM19" i="45"/>
  <c r="AM18" i="45" s="1"/>
  <c r="AH19" i="45"/>
  <c r="AH18" i="45"/>
  <c r="AH23" i="45"/>
  <c r="AF19" i="45"/>
  <c r="AF18" i="45" s="1"/>
  <c r="AF23" i="45" s="1"/>
  <c r="AB19" i="45"/>
  <c r="AB18" i="45"/>
  <c r="AB23" i="45"/>
  <c r="AA19" i="45"/>
  <c r="AA18" i="45" s="1"/>
  <c r="AA23" i="45" s="1"/>
  <c r="Y19" i="45"/>
  <c r="Y18" i="45" s="1"/>
  <c r="W19" i="45"/>
  <c r="W18" i="45"/>
  <c r="S19" i="45"/>
  <c r="S18" i="45" s="1"/>
  <c r="R19" i="45"/>
  <c r="J19" i="45"/>
  <c r="M19" i="45"/>
  <c r="AS18" i="45"/>
  <c r="R18" i="45"/>
  <c r="O18" i="45"/>
  <c r="L18" i="45"/>
  <c r="M18" i="45" s="1"/>
  <c r="I18" i="45"/>
  <c r="H18" i="45"/>
  <c r="F18" i="45"/>
  <c r="R16" i="45"/>
  <c r="I16" i="45"/>
  <c r="AS15" i="45"/>
  <c r="AM15" i="45"/>
  <c r="AH15" i="45"/>
  <c r="AH16" i="45" s="1"/>
  <c r="AA15" i="45"/>
  <c r="AA16" i="45"/>
  <c r="W15" i="45"/>
  <c r="W16" i="45" s="1"/>
  <c r="S15" i="45"/>
  <c r="S16" i="45" s="1"/>
  <c r="AS14" i="45"/>
  <c r="AM14" i="45"/>
  <c r="AM16" i="45" s="1"/>
  <c r="AH14" i="45"/>
  <c r="AF14" i="45"/>
  <c r="AF16" i="45" s="1"/>
  <c r="O13" i="45"/>
  <c r="O16" i="45" s="1"/>
  <c r="P16" i="45" s="1"/>
  <c r="L13" i="45"/>
  <c r="H13" i="45"/>
  <c r="J13" i="45" s="1"/>
  <c r="M13" i="45" s="1"/>
  <c r="AS12" i="45"/>
  <c r="AS16" i="45" s="1"/>
  <c r="AQ12" i="45"/>
  <c r="AF12" i="45"/>
  <c r="J12" i="45"/>
  <c r="H16" i="45"/>
  <c r="J16" i="45"/>
  <c r="Y15" i="45"/>
  <c r="Y16" i="45" s="1"/>
  <c r="M25" i="45"/>
  <c r="P26" i="45"/>
  <c r="M26" i="45"/>
  <c r="M60" i="45"/>
  <c r="AB15" i="45"/>
  <c r="AB16" i="45" s="1"/>
  <c r="M56" i="45"/>
  <c r="M58" i="45"/>
  <c r="Y34" i="45"/>
  <c r="Y97" i="45"/>
  <c r="P75" i="45"/>
  <c r="AM97" i="45"/>
  <c r="P85" i="45"/>
  <c r="J86" i="45"/>
  <c r="P86" i="45" s="1"/>
  <c r="M85" i="45"/>
  <c r="P68" i="45"/>
  <c r="M68" i="45"/>
  <c r="J87" i="45"/>
  <c r="P87" i="45" s="1"/>
  <c r="J18" i="45"/>
  <c r="P18" i="45"/>
  <c r="M53" i="45"/>
  <c r="P53" i="45"/>
  <c r="P64" i="45"/>
  <c r="S104" i="45"/>
  <c r="P13" i="45"/>
  <c r="AS97" i="45"/>
  <c r="M62" i="45"/>
  <c r="H109" i="45"/>
  <c r="H110" i="45" s="1"/>
  <c r="P74" i="45"/>
  <c r="P36" i="45"/>
  <c r="P45" i="45"/>
  <c r="P47" i="45"/>
  <c r="P61" i="45"/>
  <c r="P63" i="45"/>
  <c r="P100" i="45"/>
  <c r="H108" i="45"/>
  <c r="P19" i="45"/>
  <c r="W34" i="45"/>
  <c r="W97" i="45" s="1"/>
  <c r="W99" i="45" s="1"/>
  <c r="AA99" i="45" s="1"/>
  <c r="P49" i="45"/>
  <c r="P51" i="45"/>
  <c r="W101" i="45"/>
  <c r="W103" i="45"/>
  <c r="B126" i="43"/>
  <c r="AD114" i="43"/>
  <c r="P114" i="43"/>
  <c r="P123" i="43" s="1"/>
  <c r="AD111" i="43"/>
  <c r="Z111" i="43"/>
  <c r="T111" i="43"/>
  <c r="P111" i="43"/>
  <c r="O111" i="43"/>
  <c r="M111" i="43"/>
  <c r="L111" i="43"/>
  <c r="I111" i="43"/>
  <c r="H111" i="43"/>
  <c r="F111" i="43"/>
  <c r="AD110" i="43"/>
  <c r="Z110" i="43"/>
  <c r="T110" i="43"/>
  <c r="P110" i="43"/>
  <c r="O110" i="43"/>
  <c r="AD109" i="43"/>
  <c r="T109" i="43"/>
  <c r="P109" i="43"/>
  <c r="O109" i="43"/>
  <c r="M109" i="43"/>
  <c r="L109" i="43"/>
  <c r="I109" i="43"/>
  <c r="H109" i="43"/>
  <c r="H112" i="43" s="1"/>
  <c r="F109" i="43"/>
  <c r="D109" i="43"/>
  <c r="AD108" i="43"/>
  <c r="AD112" i="43" s="1"/>
  <c r="P108" i="43"/>
  <c r="M108" i="43"/>
  <c r="L108" i="43"/>
  <c r="F108" i="43"/>
  <c r="R105" i="43"/>
  <c r="R104" i="43"/>
  <c r="R103" i="43"/>
  <c r="R102" i="43"/>
  <c r="R101" i="43"/>
  <c r="R100" i="43"/>
  <c r="R99" i="43"/>
  <c r="AD98" i="43"/>
  <c r="AB98" i="43"/>
  <c r="AA98" i="43"/>
  <c r="V98" i="43"/>
  <c r="R98" i="43"/>
  <c r="AD97" i="43"/>
  <c r="AB97" i="43"/>
  <c r="AA97" i="43"/>
  <c r="V97" i="43"/>
  <c r="R97" i="43"/>
  <c r="Z96" i="43"/>
  <c r="J94" i="43"/>
  <c r="J93" i="43"/>
  <c r="AF92" i="43"/>
  <c r="AB92" i="43"/>
  <c r="AA92" i="43"/>
  <c r="V92" i="43"/>
  <c r="J92" i="43"/>
  <c r="AD91" i="43"/>
  <c r="AB91" i="43"/>
  <c r="AA91" i="43"/>
  <c r="V91" i="43"/>
  <c r="R91" i="43"/>
  <c r="J91" i="43"/>
  <c r="R86" i="43"/>
  <c r="J86" i="43"/>
  <c r="R84" i="43"/>
  <c r="J84" i="43"/>
  <c r="R83" i="43"/>
  <c r="J83" i="43"/>
  <c r="R82" i="43"/>
  <c r="R81" i="43"/>
  <c r="J81" i="43"/>
  <c r="R80" i="43"/>
  <c r="J80" i="43"/>
  <c r="R79" i="43"/>
  <c r="J79" i="43"/>
  <c r="R78" i="43"/>
  <c r="J78" i="43"/>
  <c r="R77" i="43"/>
  <c r="J77" i="43"/>
  <c r="J75" i="43"/>
  <c r="J74" i="43"/>
  <c r="AA73" i="43"/>
  <c r="AA70" i="43"/>
  <c r="J70" i="43"/>
  <c r="J69" i="43"/>
  <c r="J68" i="43"/>
  <c r="AA59" i="43"/>
  <c r="Z59" i="43"/>
  <c r="R59" i="43"/>
  <c r="J59" i="43"/>
  <c r="AA58" i="43"/>
  <c r="Z58" i="43"/>
  <c r="R58" i="43"/>
  <c r="J58" i="43"/>
  <c r="AA57" i="43"/>
  <c r="Z57" i="43"/>
  <c r="R57" i="43"/>
  <c r="J57" i="43"/>
  <c r="AA56" i="43"/>
  <c r="Z56" i="43"/>
  <c r="R56" i="43"/>
  <c r="J56" i="43"/>
  <c r="AA55" i="43"/>
  <c r="Z55" i="43"/>
  <c r="R55" i="43"/>
  <c r="J55" i="43"/>
  <c r="AA54" i="43"/>
  <c r="Z54" i="43"/>
  <c r="Z109" i="43" s="1"/>
  <c r="R54" i="43"/>
  <c r="J54" i="43"/>
  <c r="R51" i="43"/>
  <c r="J51" i="43"/>
  <c r="R50" i="43"/>
  <c r="J50" i="43"/>
  <c r="J49" i="43"/>
  <c r="J47" i="43"/>
  <c r="Z46" i="43"/>
  <c r="R46" i="43"/>
  <c r="J46" i="43"/>
  <c r="Z45" i="43"/>
  <c r="Z108" i="43" s="1"/>
  <c r="T45" i="43"/>
  <c r="T108" i="43"/>
  <c r="O45" i="43"/>
  <c r="J45" i="43"/>
  <c r="I35" i="43"/>
  <c r="I108" i="43" s="1"/>
  <c r="H35" i="43"/>
  <c r="H108" i="43"/>
  <c r="M28" i="43"/>
  <c r="M110" i="43" s="1"/>
  <c r="M112" i="43" s="1"/>
  <c r="L28" i="43"/>
  <c r="L110" i="43"/>
  <c r="I28" i="43"/>
  <c r="I110" i="43" s="1"/>
  <c r="H28" i="43"/>
  <c r="H110" i="43"/>
  <c r="F28" i="43"/>
  <c r="F110" i="43" s="1"/>
  <c r="F112" i="43" s="1"/>
  <c r="R27" i="43"/>
  <c r="J27" i="43"/>
  <c r="R26" i="43"/>
  <c r="J26" i="43"/>
  <c r="R25" i="43"/>
  <c r="J25" i="43"/>
  <c r="V24" i="43"/>
  <c r="R24" i="43"/>
  <c r="P24" i="43"/>
  <c r="J24" i="43"/>
  <c r="Z22" i="43"/>
  <c r="AA21" i="43"/>
  <c r="Z21" i="43"/>
  <c r="R21" i="43"/>
  <c r="Z20" i="43"/>
  <c r="R20" i="43"/>
  <c r="J20" i="43"/>
  <c r="AB19" i="43"/>
  <c r="AA19" i="43"/>
  <c r="Z19" i="43"/>
  <c r="R19" i="43"/>
  <c r="J19" i="43"/>
  <c r="R18" i="43"/>
  <c r="AD17" i="43"/>
  <c r="AD22" i="43" s="1"/>
  <c r="AA17" i="43"/>
  <c r="Z17" i="43"/>
  <c r="T17" i="43"/>
  <c r="T22" i="43" s="1"/>
  <c r="P17" i="43"/>
  <c r="P22" i="43"/>
  <c r="O17" i="43"/>
  <c r="M17" i="43"/>
  <c r="M22" i="43"/>
  <c r="L17" i="43"/>
  <c r="L22" i="43" s="1"/>
  <c r="I17" i="43"/>
  <c r="I22" i="43"/>
  <c r="H17" i="43"/>
  <c r="H22" i="43" s="1"/>
  <c r="J22" i="43" s="1"/>
  <c r="F17" i="43"/>
  <c r="F22" i="43"/>
  <c r="AF15" i="43"/>
  <c r="AD15" i="43"/>
  <c r="AB15" i="43"/>
  <c r="AA15" i="43"/>
  <c r="T15" i="43"/>
  <c r="I15" i="43"/>
  <c r="H15" i="43"/>
  <c r="F15" i="43"/>
  <c r="R14" i="43"/>
  <c r="V13" i="43"/>
  <c r="P13" i="43"/>
  <c r="O13" i="43"/>
  <c r="R13" i="43"/>
  <c r="M13" i="43"/>
  <c r="M15" i="43" s="1"/>
  <c r="L13" i="43"/>
  <c r="L15" i="43"/>
  <c r="J13" i="43"/>
  <c r="AA12" i="43"/>
  <c r="Z12" i="43"/>
  <c r="Z15" i="43"/>
  <c r="V12" i="43"/>
  <c r="V15" i="43" s="1"/>
  <c r="P12" i="43"/>
  <c r="P15" i="43"/>
  <c r="O12" i="43"/>
  <c r="R12" i="43"/>
  <c r="J12" i="43"/>
  <c r="O7" i="43"/>
  <c r="T7" i="43"/>
  <c r="B113" i="42"/>
  <c r="B112" i="42"/>
  <c r="B111" i="42"/>
  <c r="B110" i="42"/>
  <c r="B109" i="42"/>
  <c r="B108" i="42"/>
  <c r="AO96" i="42"/>
  <c r="AM96" i="42"/>
  <c r="AJ96" i="42"/>
  <c r="AI96" i="42"/>
  <c r="AC96" i="42"/>
  <c r="Y96" i="42"/>
  <c r="X96" i="42"/>
  <c r="V96" i="42"/>
  <c r="T96" i="42"/>
  <c r="P96" i="42"/>
  <c r="O96" i="42"/>
  <c r="AO92" i="42"/>
  <c r="AI92" i="42"/>
  <c r="AC92" i="42"/>
  <c r="X92" i="42"/>
  <c r="V92" i="42"/>
  <c r="T92" i="42"/>
  <c r="P92" i="42"/>
  <c r="O92" i="42"/>
  <c r="L92" i="42"/>
  <c r="I92" i="42"/>
  <c r="H92" i="42"/>
  <c r="F92" i="42"/>
  <c r="AO90" i="42"/>
  <c r="AI90" i="42"/>
  <c r="AE90" i="42"/>
  <c r="AC90" i="42"/>
  <c r="X90" i="42"/>
  <c r="V90" i="42"/>
  <c r="T90" i="42"/>
  <c r="P90" i="42"/>
  <c r="O90" i="42"/>
  <c r="L90" i="42"/>
  <c r="I90" i="42"/>
  <c r="H90" i="42"/>
  <c r="F90" i="42"/>
  <c r="D90" i="42"/>
  <c r="AO89" i="42"/>
  <c r="AC89" i="42"/>
  <c r="L89" i="42"/>
  <c r="I89" i="42"/>
  <c r="H89" i="42"/>
  <c r="F89" i="42"/>
  <c r="J86" i="42"/>
  <c r="M86" i="42" s="1"/>
  <c r="J85" i="42"/>
  <c r="M85" i="42" s="1"/>
  <c r="J84" i="42"/>
  <c r="M84" i="42" s="1"/>
  <c r="J83" i="42"/>
  <c r="M83" i="42"/>
  <c r="J82" i="42"/>
  <c r="M82" i="42" s="1"/>
  <c r="J81" i="42"/>
  <c r="M81" i="42" s="1"/>
  <c r="J80" i="42"/>
  <c r="M80" i="42" s="1"/>
  <c r="J79" i="42"/>
  <c r="M79" i="42"/>
  <c r="J78" i="42"/>
  <c r="M78" i="42" s="1"/>
  <c r="J75" i="42"/>
  <c r="M75" i="42" s="1"/>
  <c r="J74" i="42"/>
  <c r="M74" i="42" s="1"/>
  <c r="J73" i="42"/>
  <c r="M73" i="42" s="1"/>
  <c r="AI72" i="42"/>
  <c r="AC72" i="42"/>
  <c r="Y72" i="42"/>
  <c r="X72" i="42"/>
  <c r="V72" i="42"/>
  <c r="T72" i="42"/>
  <c r="P72" i="42"/>
  <c r="O72" i="42"/>
  <c r="J72" i="42"/>
  <c r="M72" i="42" s="1"/>
  <c r="AA68" i="42"/>
  <c r="AE68" i="42" s="1"/>
  <c r="R68" i="42"/>
  <c r="J68" i="42"/>
  <c r="M68" i="42" s="1"/>
  <c r="M92" i="42" s="1"/>
  <c r="J66" i="42"/>
  <c r="M66" i="42"/>
  <c r="J65" i="42"/>
  <c r="M65" i="42" s="1"/>
  <c r="M64" i="42"/>
  <c r="J63" i="42"/>
  <c r="M63" i="42" s="1"/>
  <c r="J62" i="42"/>
  <c r="M62" i="42" s="1"/>
  <c r="J61" i="42"/>
  <c r="M61" i="42" s="1"/>
  <c r="J60" i="42"/>
  <c r="M60" i="42" s="1"/>
  <c r="AA59" i="42"/>
  <c r="R59" i="42"/>
  <c r="J59" i="42"/>
  <c r="M59" i="42" s="1"/>
  <c r="AA57" i="42"/>
  <c r="R57" i="42"/>
  <c r="J57" i="42"/>
  <c r="M57" i="42" s="1"/>
  <c r="AA56" i="42"/>
  <c r="R56" i="42"/>
  <c r="J56" i="42"/>
  <c r="M56" i="42" s="1"/>
  <c r="AA55" i="42"/>
  <c r="R55" i="42"/>
  <c r="J55" i="42"/>
  <c r="M55" i="42" s="1"/>
  <c r="AA54" i="42"/>
  <c r="R54" i="42"/>
  <c r="J54" i="42"/>
  <c r="M54" i="42" s="1"/>
  <c r="AA53" i="42"/>
  <c r="R53" i="42"/>
  <c r="J53" i="42"/>
  <c r="M53" i="42"/>
  <c r="AA52" i="42"/>
  <c r="R52" i="42"/>
  <c r="J52" i="42"/>
  <c r="M52" i="42" s="1"/>
  <c r="AA51" i="42"/>
  <c r="R51" i="42"/>
  <c r="J51" i="42"/>
  <c r="M51" i="42"/>
  <c r="AA50" i="42"/>
  <c r="R50" i="42"/>
  <c r="J50" i="42"/>
  <c r="M50" i="42" s="1"/>
  <c r="AA49" i="42"/>
  <c r="R49" i="42"/>
  <c r="J49" i="42"/>
  <c r="M49" i="42" s="1"/>
  <c r="AA48" i="42"/>
  <c r="R48" i="42"/>
  <c r="J48" i="42"/>
  <c r="M48" i="42" s="1"/>
  <c r="AA47" i="42"/>
  <c r="R47" i="42"/>
  <c r="J47" i="42"/>
  <c r="M47" i="42" s="1"/>
  <c r="J44" i="42"/>
  <c r="M44" i="42" s="1"/>
  <c r="P44" i="42" s="1"/>
  <c r="J43" i="42"/>
  <c r="M43" i="42"/>
  <c r="P43" i="42" s="1"/>
  <c r="J42" i="42"/>
  <c r="M42" i="42" s="1"/>
  <c r="P42" i="42" s="1"/>
  <c r="AE40" i="42"/>
  <c r="J40" i="42"/>
  <c r="M40" i="42" s="1"/>
  <c r="AE39" i="42"/>
  <c r="AA39" i="42"/>
  <c r="R39" i="42"/>
  <c r="J39" i="42"/>
  <c r="M39" i="42" s="1"/>
  <c r="AI37" i="42"/>
  <c r="AE37" i="42"/>
  <c r="X37" i="42"/>
  <c r="V37" i="42"/>
  <c r="V89" i="42" s="1"/>
  <c r="T37" i="42"/>
  <c r="T89" i="42"/>
  <c r="P37" i="42"/>
  <c r="O37" i="42"/>
  <c r="O89" i="42" s="1"/>
  <c r="J37" i="42"/>
  <c r="M37" i="42" s="1"/>
  <c r="J36" i="42"/>
  <c r="M36" i="42" s="1"/>
  <c r="AA31" i="42"/>
  <c r="R31" i="42"/>
  <c r="J30" i="42"/>
  <c r="M30" i="42" s="1"/>
  <c r="AO29" i="42"/>
  <c r="AO91" i="42" s="1"/>
  <c r="AO95" i="42" s="1"/>
  <c r="AI29" i="42"/>
  <c r="AI91" i="42" s="1"/>
  <c r="AC29" i="42"/>
  <c r="AC91" i="42" s="1"/>
  <c r="X29" i="42"/>
  <c r="X91" i="42" s="1"/>
  <c r="X95" i="42" s="1"/>
  <c r="V29" i="42"/>
  <c r="V91" i="42" s="1"/>
  <c r="T29" i="42"/>
  <c r="T91" i="42" s="1"/>
  <c r="T95" i="42" s="1"/>
  <c r="P29" i="42"/>
  <c r="P91" i="42" s="1"/>
  <c r="P95" i="42" s="1"/>
  <c r="O29" i="42"/>
  <c r="O91" i="42" s="1"/>
  <c r="I29" i="42"/>
  <c r="I91" i="42" s="1"/>
  <c r="I93" i="42" s="1"/>
  <c r="I100" i="42" s="1"/>
  <c r="H29" i="42"/>
  <c r="H91" i="42" s="1"/>
  <c r="H93" i="42" s="1"/>
  <c r="F29" i="42"/>
  <c r="F91" i="42" s="1"/>
  <c r="J28" i="42"/>
  <c r="M28" i="42" s="1"/>
  <c r="AA27" i="42"/>
  <c r="R27" i="42"/>
  <c r="L27" i="42"/>
  <c r="J27" i="42"/>
  <c r="J26" i="42"/>
  <c r="M26" i="42" s="1"/>
  <c r="AA25" i="42"/>
  <c r="AE25" i="42" s="1"/>
  <c r="AE29" i="42" s="1"/>
  <c r="R25" i="42"/>
  <c r="J25" i="42"/>
  <c r="M25" i="42"/>
  <c r="AA22" i="42"/>
  <c r="R22" i="42"/>
  <c r="AA21" i="42"/>
  <c r="R21" i="42"/>
  <c r="J21" i="42"/>
  <c r="M21" i="42" s="1"/>
  <c r="AA20" i="42"/>
  <c r="AE20" i="42" s="1"/>
  <c r="R20" i="42"/>
  <c r="AI19" i="42"/>
  <c r="AC19" i="42"/>
  <c r="X19" i="42"/>
  <c r="AA19" i="42" s="1"/>
  <c r="R19" i="42"/>
  <c r="J18" i="42"/>
  <c r="M18" i="42" s="1"/>
  <c r="AO17" i="42"/>
  <c r="AO23" i="42"/>
  <c r="AI17" i="42"/>
  <c r="AC17" i="42"/>
  <c r="AE17" i="42" s="1"/>
  <c r="X17" i="42"/>
  <c r="V17" i="42"/>
  <c r="V23" i="42" s="1"/>
  <c r="T17" i="42"/>
  <c r="T23" i="42"/>
  <c r="P17" i="42"/>
  <c r="O17" i="42"/>
  <c r="O23" i="42"/>
  <c r="L17" i="42"/>
  <c r="I17" i="42"/>
  <c r="I23" i="42" s="1"/>
  <c r="H17" i="42"/>
  <c r="H23" i="42" s="1"/>
  <c r="AI15" i="42"/>
  <c r="AC15" i="42"/>
  <c r="Y15" i="42"/>
  <c r="X15" i="42"/>
  <c r="V15" i="42"/>
  <c r="T15" i="42"/>
  <c r="O15" i="42"/>
  <c r="R15" i="42" s="1"/>
  <c r="L15" i="42"/>
  <c r="I15" i="42"/>
  <c r="H15" i="42"/>
  <c r="AA13" i="42"/>
  <c r="AE13" i="42" s="1"/>
  <c r="R13" i="42"/>
  <c r="J13" i="42"/>
  <c r="M13" i="42"/>
  <c r="AA12" i="42"/>
  <c r="AE12" i="42" s="1"/>
  <c r="R12" i="42"/>
  <c r="J12" i="42"/>
  <c r="M12" i="42" s="1"/>
  <c r="B110" i="41"/>
  <c r="B109" i="41"/>
  <c r="B108" i="41"/>
  <c r="B107" i="41"/>
  <c r="B106" i="41"/>
  <c r="B105" i="41"/>
  <c r="B104" i="41"/>
  <c r="B103" i="41"/>
  <c r="B102" i="41"/>
  <c r="AR90" i="41"/>
  <c r="AP90" i="41"/>
  <c r="AK90" i="41"/>
  <c r="AG90" i="41"/>
  <c r="AE90" i="41"/>
  <c r="AA90" i="41"/>
  <c r="Z90" i="41"/>
  <c r="V90" i="41"/>
  <c r="T90" i="41"/>
  <c r="AR86" i="41"/>
  <c r="AP86" i="41"/>
  <c r="AK86" i="41"/>
  <c r="AG86" i="41"/>
  <c r="AE86" i="41"/>
  <c r="AA86" i="41"/>
  <c r="Z86" i="41"/>
  <c r="V86" i="41"/>
  <c r="T86" i="41"/>
  <c r="P86" i="41"/>
  <c r="O86" i="41"/>
  <c r="L86" i="41"/>
  <c r="I86" i="41"/>
  <c r="H86" i="41"/>
  <c r="F86" i="41"/>
  <c r="AA85" i="41"/>
  <c r="Z85" i="41"/>
  <c r="V85" i="41"/>
  <c r="T85" i="41"/>
  <c r="P85" i="41"/>
  <c r="O85" i="41"/>
  <c r="AR84" i="41"/>
  <c r="AP84" i="41"/>
  <c r="AK84" i="41"/>
  <c r="AE84" i="41"/>
  <c r="AE87" i="41" s="1"/>
  <c r="AA84" i="41"/>
  <c r="Z84" i="41"/>
  <c r="V84" i="41"/>
  <c r="T84" i="41"/>
  <c r="P84" i="41"/>
  <c r="O84" i="41"/>
  <c r="F84" i="41"/>
  <c r="AR83" i="41"/>
  <c r="AR87" i="41" s="1"/>
  <c r="AP83" i="41"/>
  <c r="AK83" i="41"/>
  <c r="AE83" i="41"/>
  <c r="AA83" i="41"/>
  <c r="AA87" i="41" s="1"/>
  <c r="V83" i="41"/>
  <c r="V87" i="41" s="1"/>
  <c r="P83" i="41"/>
  <c r="P87" i="41"/>
  <c r="O83" i="41"/>
  <c r="O87" i="41" s="1"/>
  <c r="L83" i="41"/>
  <c r="I83" i="41"/>
  <c r="H83" i="41"/>
  <c r="F83" i="41"/>
  <c r="F87" i="41" s="1"/>
  <c r="J80" i="41"/>
  <c r="M80" i="41"/>
  <c r="J79" i="41"/>
  <c r="M79" i="41"/>
  <c r="J78" i="41"/>
  <c r="M78" i="41"/>
  <c r="J77" i="41"/>
  <c r="M77" i="41"/>
  <c r="J76" i="41"/>
  <c r="M76" i="41"/>
  <c r="J75" i="41"/>
  <c r="M75" i="41"/>
  <c r="J74" i="41"/>
  <c r="M74" i="41"/>
  <c r="J73" i="41"/>
  <c r="M73" i="41"/>
  <c r="J72" i="41"/>
  <c r="M72" i="41"/>
  <c r="J69" i="41"/>
  <c r="M69" i="41"/>
  <c r="J68" i="41"/>
  <c r="M68" i="41"/>
  <c r="J67" i="41"/>
  <c r="M67" i="41"/>
  <c r="J66" i="41"/>
  <c r="M66" i="41"/>
  <c r="J61" i="41"/>
  <c r="J59" i="41"/>
  <c r="M59" i="41" s="1"/>
  <c r="J58" i="41"/>
  <c r="M58" i="41"/>
  <c r="AG57" i="41"/>
  <c r="J56" i="41"/>
  <c r="M56" i="41"/>
  <c r="J55" i="41"/>
  <c r="M55" i="41" s="1"/>
  <c r="AG54" i="41"/>
  <c r="J54" i="41"/>
  <c r="M54" i="41"/>
  <c r="AG53" i="41"/>
  <c r="J53" i="41"/>
  <c r="M53" i="41"/>
  <c r="AG52" i="41"/>
  <c r="J52" i="41"/>
  <c r="J50" i="41"/>
  <c r="M50" i="41"/>
  <c r="J49" i="41"/>
  <c r="M49" i="41" s="1"/>
  <c r="M84" i="41" s="1"/>
  <c r="AN48" i="41"/>
  <c r="AC48" i="41"/>
  <c r="AG48" i="41"/>
  <c r="J48" i="41"/>
  <c r="J47" i="41"/>
  <c r="AN46" i="41"/>
  <c r="AC46" i="41"/>
  <c r="AG46" i="41" s="1"/>
  <c r="M46" i="41"/>
  <c r="L46" i="41"/>
  <c r="L84" i="41"/>
  <c r="I46" i="41"/>
  <c r="I84" i="41"/>
  <c r="H46" i="41"/>
  <c r="J46" i="41"/>
  <c r="AN45" i="41"/>
  <c r="AC45" i="41"/>
  <c r="AG45" i="41"/>
  <c r="J45" i="41"/>
  <c r="J44" i="41"/>
  <c r="J42" i="41"/>
  <c r="M42" i="41"/>
  <c r="J41" i="41"/>
  <c r="M41" i="41" s="1"/>
  <c r="J40" i="41"/>
  <c r="M40" i="41"/>
  <c r="J38" i="41"/>
  <c r="M38" i="41" s="1"/>
  <c r="AC37" i="41"/>
  <c r="J37" i="41"/>
  <c r="M37" i="41"/>
  <c r="M83" i="41" s="1"/>
  <c r="AN36" i="41"/>
  <c r="Z36" i="41"/>
  <c r="Z83" i="41"/>
  <c r="T36" i="41"/>
  <c r="T83" i="41" s="1"/>
  <c r="T87" i="41" s="1"/>
  <c r="J36" i="41"/>
  <c r="M36" i="41"/>
  <c r="J35" i="41"/>
  <c r="J31" i="41"/>
  <c r="M31" i="41"/>
  <c r="J30" i="41"/>
  <c r="M30" i="41" s="1"/>
  <c r="M29" i="41"/>
  <c r="M61" i="41"/>
  <c r="M86" i="41" s="1"/>
  <c r="AR28" i="41"/>
  <c r="AR85" i="41"/>
  <c r="AP28" i="41"/>
  <c r="AP85" i="41" s="1"/>
  <c r="AP87" i="41" s="1"/>
  <c r="AL28" i="41"/>
  <c r="AK28" i="41"/>
  <c r="AK85" i="41"/>
  <c r="AE28" i="41"/>
  <c r="AE85" i="41" s="1"/>
  <c r="M28" i="41"/>
  <c r="L28" i="41"/>
  <c r="L85" i="41"/>
  <c r="I28" i="41"/>
  <c r="I85" i="41"/>
  <c r="H28" i="41"/>
  <c r="H85" i="41"/>
  <c r="F28" i="41"/>
  <c r="F85" i="41"/>
  <c r="J27" i="41"/>
  <c r="M27" i="41"/>
  <c r="AN26" i="41"/>
  <c r="AC26" i="41"/>
  <c r="AG26" i="41"/>
  <c r="J26" i="41"/>
  <c r="J25" i="41"/>
  <c r="AN24" i="41"/>
  <c r="AC24" i="41"/>
  <c r="AG24" i="41"/>
  <c r="J24" i="41"/>
  <c r="L22" i="41"/>
  <c r="J22" i="41"/>
  <c r="AR21" i="41"/>
  <c r="AP21" i="41"/>
  <c r="AL21" i="41"/>
  <c r="AN20" i="41"/>
  <c r="AC20" i="41"/>
  <c r="AG20" i="41" s="1"/>
  <c r="J20" i="41"/>
  <c r="M20" i="41"/>
  <c r="M22" i="41" s="1"/>
  <c r="AN18" i="41"/>
  <c r="AC18" i="41"/>
  <c r="AG18" i="41"/>
  <c r="AP17" i="41"/>
  <c r="AP22" i="41" s="1"/>
  <c r="AL17" i="41"/>
  <c r="AA17" i="41"/>
  <c r="Z17" i="41"/>
  <c r="Z22" i="41" s="1"/>
  <c r="V17" i="41"/>
  <c r="V22" i="41"/>
  <c r="T17" i="41"/>
  <c r="T22" i="41" s="1"/>
  <c r="P17" i="41"/>
  <c r="O17" i="41"/>
  <c r="O22" i="41"/>
  <c r="I17" i="41"/>
  <c r="H17" i="41"/>
  <c r="J17" i="41" s="1"/>
  <c r="AR15" i="41"/>
  <c r="AL15" i="41"/>
  <c r="AN15" i="41" s="1"/>
  <c r="AK15" i="41"/>
  <c r="AA15" i="41"/>
  <c r="AC15" i="41" s="1"/>
  <c r="AG15" i="41" s="1"/>
  <c r="Z15" i="41"/>
  <c r="V15" i="41"/>
  <c r="T15" i="41"/>
  <c r="P15" i="41"/>
  <c r="O15" i="41"/>
  <c r="AN14" i="41"/>
  <c r="AC14" i="41"/>
  <c r="AG14" i="41"/>
  <c r="AP13" i="41"/>
  <c r="AN13" i="41"/>
  <c r="AC13" i="41"/>
  <c r="AG13" i="41"/>
  <c r="M13" i="41"/>
  <c r="L13" i="41"/>
  <c r="J13" i="41"/>
  <c r="AP12" i="41"/>
  <c r="AP15" i="41"/>
  <c r="AN12" i="41"/>
  <c r="AC12" i="41"/>
  <c r="AG12" i="41"/>
  <c r="M12" i="41"/>
  <c r="L12" i="41"/>
  <c r="L15" i="41" s="1"/>
  <c r="I12" i="41"/>
  <c r="I15" i="41"/>
  <c r="H12" i="41"/>
  <c r="F12" i="41"/>
  <c r="F15" i="41"/>
  <c r="B150" i="40"/>
  <c r="B149" i="40"/>
  <c r="B148" i="40"/>
  <c r="B147" i="40"/>
  <c r="B146" i="40"/>
  <c r="B145" i="40"/>
  <c r="B144" i="40"/>
  <c r="B143" i="40"/>
  <c r="B142" i="40"/>
  <c r="AG127" i="40"/>
  <c r="AE127" i="40"/>
  <c r="AA127" i="40"/>
  <c r="Z127" i="40"/>
  <c r="V127" i="40"/>
  <c r="T127" i="40"/>
  <c r="P127" i="40"/>
  <c r="O127" i="40"/>
  <c r="AN125" i="40"/>
  <c r="AG125" i="40"/>
  <c r="AE125" i="40"/>
  <c r="V125" i="40"/>
  <c r="T125" i="40"/>
  <c r="AN124" i="40"/>
  <c r="AG124" i="40"/>
  <c r="AE124" i="40"/>
  <c r="V124" i="40"/>
  <c r="AL121" i="40"/>
  <c r="AC121" i="40"/>
  <c r="AG121" i="40" s="1"/>
  <c r="R121" i="40"/>
  <c r="V121" i="40" s="1"/>
  <c r="J121" i="40"/>
  <c r="M121" i="40" s="1"/>
  <c r="AL120" i="40"/>
  <c r="AP120" i="40" s="1"/>
  <c r="AC120" i="40"/>
  <c r="R120" i="40"/>
  <c r="J120" i="40"/>
  <c r="M120" i="40" s="1"/>
  <c r="AL119" i="40"/>
  <c r="AP119" i="40"/>
  <c r="AC119" i="40"/>
  <c r="R119" i="40"/>
  <c r="J119" i="40"/>
  <c r="M119" i="40" s="1"/>
  <c r="AL118" i="40"/>
  <c r="AP118" i="40" s="1"/>
  <c r="AC118" i="40"/>
  <c r="R118" i="40"/>
  <c r="J118" i="40"/>
  <c r="M118" i="40" s="1"/>
  <c r="AL117" i="40"/>
  <c r="AP117" i="40" s="1"/>
  <c r="AC117" i="40"/>
  <c r="R117" i="40"/>
  <c r="J117" i="40"/>
  <c r="M117" i="40"/>
  <c r="AL114" i="40"/>
  <c r="AC114" i="40"/>
  <c r="AG114" i="40"/>
  <c r="R114" i="40"/>
  <c r="V114" i="40" s="1"/>
  <c r="J114" i="40"/>
  <c r="M114" i="40" s="1"/>
  <c r="AL113" i="40"/>
  <c r="AC113" i="40"/>
  <c r="AG113" i="40" s="1"/>
  <c r="R113" i="40"/>
  <c r="V113" i="40"/>
  <c r="J113" i="40"/>
  <c r="M113" i="40" s="1"/>
  <c r="AL112" i="40"/>
  <c r="AC112" i="40"/>
  <c r="AG112" i="40" s="1"/>
  <c r="R112" i="40"/>
  <c r="V112" i="40" s="1"/>
  <c r="J112" i="40"/>
  <c r="M112" i="40"/>
  <c r="AL111" i="40"/>
  <c r="AC111" i="40"/>
  <c r="AG111" i="40"/>
  <c r="R111" i="40"/>
  <c r="V111" i="40" s="1"/>
  <c r="J111" i="40"/>
  <c r="M111" i="40" s="1"/>
  <c r="AL109" i="40"/>
  <c r="AC109" i="40"/>
  <c r="AG109" i="40" s="1"/>
  <c r="R109" i="40"/>
  <c r="V109" i="40" s="1"/>
  <c r="AL108" i="40"/>
  <c r="AP108" i="40" s="1"/>
  <c r="AC108" i="40"/>
  <c r="R108" i="40"/>
  <c r="AL107" i="40"/>
  <c r="AP107" i="40"/>
  <c r="AC107" i="40"/>
  <c r="R107" i="40"/>
  <c r="AL106" i="40"/>
  <c r="AP106" i="40" s="1"/>
  <c r="AC106" i="40"/>
  <c r="R106" i="40"/>
  <c r="AL105" i="40"/>
  <c r="AP105" i="40"/>
  <c r="AC105" i="40"/>
  <c r="R105" i="40"/>
  <c r="AL104" i="40"/>
  <c r="AP104" i="40" s="1"/>
  <c r="AC104" i="40"/>
  <c r="R104" i="40"/>
  <c r="AL103" i="40"/>
  <c r="AP103" i="40"/>
  <c r="AC103" i="40"/>
  <c r="R103" i="40"/>
  <c r="AL102" i="40"/>
  <c r="AP102" i="40" s="1"/>
  <c r="AC102" i="40"/>
  <c r="R102" i="40"/>
  <c r="AL101" i="40"/>
  <c r="AP101" i="40"/>
  <c r="AC101" i="40"/>
  <c r="R101" i="40"/>
  <c r="AL100" i="40"/>
  <c r="AP100" i="40" s="1"/>
  <c r="AC100" i="40"/>
  <c r="R100" i="40"/>
  <c r="AL99" i="40"/>
  <c r="AP99" i="40"/>
  <c r="AC99" i="40"/>
  <c r="R99" i="40"/>
  <c r="AL98" i="40"/>
  <c r="AP98" i="40" s="1"/>
  <c r="AC98" i="40"/>
  <c r="R98" i="40"/>
  <c r="AL97" i="40"/>
  <c r="AP97" i="40"/>
  <c r="AC97" i="40"/>
  <c r="R97" i="40"/>
  <c r="AL96" i="40"/>
  <c r="AP96" i="40" s="1"/>
  <c r="AC96" i="40"/>
  <c r="R96" i="40"/>
  <c r="AL95" i="40"/>
  <c r="AP95" i="40"/>
  <c r="AC95" i="40"/>
  <c r="R95" i="40"/>
  <c r="AL94" i="40"/>
  <c r="AP94" i="40" s="1"/>
  <c r="AC94" i="40"/>
  <c r="R94" i="40"/>
  <c r="AL93" i="40"/>
  <c r="AP93" i="40"/>
  <c r="AC93" i="40"/>
  <c r="R93" i="40"/>
  <c r="AL92" i="40"/>
  <c r="AP92" i="40" s="1"/>
  <c r="AC92" i="40"/>
  <c r="R92" i="40"/>
  <c r="AL91" i="40"/>
  <c r="AP91" i="40"/>
  <c r="AC91" i="40"/>
  <c r="R91" i="40"/>
  <c r="AL90" i="40"/>
  <c r="AP90" i="40" s="1"/>
  <c r="AC90" i="40"/>
  <c r="R90" i="40"/>
  <c r="AL89" i="40"/>
  <c r="AP89" i="40"/>
  <c r="AC89" i="40"/>
  <c r="R89" i="40"/>
  <c r="L89" i="40"/>
  <c r="I89" i="40"/>
  <c r="H89" i="40"/>
  <c r="H127" i="40" s="1"/>
  <c r="F89" i="40"/>
  <c r="AL87" i="40"/>
  <c r="AP87" i="40"/>
  <c r="AC87" i="40"/>
  <c r="R87" i="40"/>
  <c r="J87" i="40"/>
  <c r="M87" i="40" s="1"/>
  <c r="AL86" i="40"/>
  <c r="AP86" i="40" s="1"/>
  <c r="AC86" i="40"/>
  <c r="R86" i="40"/>
  <c r="J86" i="40"/>
  <c r="M86" i="40" s="1"/>
  <c r="AL85" i="40"/>
  <c r="AP85" i="40" s="1"/>
  <c r="AC85" i="40"/>
  <c r="R85" i="40"/>
  <c r="AL84" i="40"/>
  <c r="AP84" i="40" s="1"/>
  <c r="AC84" i="40"/>
  <c r="R84" i="40"/>
  <c r="AL83" i="40"/>
  <c r="AP83" i="40" s="1"/>
  <c r="AC83" i="40"/>
  <c r="R83" i="40"/>
  <c r="AL82" i="40"/>
  <c r="AP82" i="40" s="1"/>
  <c r="AC82" i="40"/>
  <c r="R82" i="40"/>
  <c r="AL81" i="40"/>
  <c r="AP81" i="40" s="1"/>
  <c r="AC81" i="40"/>
  <c r="R81" i="40"/>
  <c r="AL80" i="40"/>
  <c r="AP80" i="40" s="1"/>
  <c r="AC80" i="40"/>
  <c r="R80" i="40"/>
  <c r="AL79" i="40"/>
  <c r="AP79" i="40" s="1"/>
  <c r="AC79" i="40"/>
  <c r="R79" i="40"/>
  <c r="AL78" i="40"/>
  <c r="AP78" i="40" s="1"/>
  <c r="AC78" i="40"/>
  <c r="R78" i="40"/>
  <c r="AL77" i="40"/>
  <c r="AP77" i="40" s="1"/>
  <c r="AC77" i="40"/>
  <c r="R77" i="40"/>
  <c r="AL76" i="40"/>
  <c r="AP76" i="40" s="1"/>
  <c r="AC76" i="40"/>
  <c r="R76" i="40"/>
  <c r="L76" i="40"/>
  <c r="I76" i="40"/>
  <c r="H76" i="40"/>
  <c r="F76" i="40"/>
  <c r="AL75" i="40"/>
  <c r="AP75" i="40" s="1"/>
  <c r="AC75" i="40"/>
  <c r="R75" i="40"/>
  <c r="AL74" i="40"/>
  <c r="AP74" i="40" s="1"/>
  <c r="AC74" i="40"/>
  <c r="R74" i="40"/>
  <c r="L74" i="40"/>
  <c r="J74" i="40"/>
  <c r="AL73" i="40"/>
  <c r="AP73" i="40" s="1"/>
  <c r="AC73" i="40"/>
  <c r="R73" i="40"/>
  <c r="AL72" i="40"/>
  <c r="AP72" i="40" s="1"/>
  <c r="AC72" i="40"/>
  <c r="R72" i="40"/>
  <c r="AL71" i="40"/>
  <c r="AP71" i="40" s="1"/>
  <c r="AC71" i="40"/>
  <c r="R71" i="40"/>
  <c r="AL70" i="40"/>
  <c r="AP70" i="40" s="1"/>
  <c r="AC70" i="40"/>
  <c r="R70" i="40"/>
  <c r="AL69" i="40"/>
  <c r="AP69" i="40" s="1"/>
  <c r="AC69" i="40"/>
  <c r="R69" i="40"/>
  <c r="AL68" i="40"/>
  <c r="AP68" i="40" s="1"/>
  <c r="AC68" i="40"/>
  <c r="R68" i="40"/>
  <c r="AL67" i="40"/>
  <c r="AP67" i="40" s="1"/>
  <c r="AC67" i="40"/>
  <c r="R67" i="40"/>
  <c r="AL66" i="40"/>
  <c r="AP66" i="40" s="1"/>
  <c r="AC66" i="40"/>
  <c r="R66" i="40"/>
  <c r="AL65" i="40"/>
  <c r="AP65" i="40" s="1"/>
  <c r="AC65" i="40"/>
  <c r="R65" i="40"/>
  <c r="AL64" i="40"/>
  <c r="AP64" i="40" s="1"/>
  <c r="AC64" i="40"/>
  <c r="R64" i="40"/>
  <c r="AL63" i="40"/>
  <c r="AP63" i="40" s="1"/>
  <c r="AC63" i="40"/>
  <c r="R63" i="40"/>
  <c r="L63" i="40"/>
  <c r="I63" i="40"/>
  <c r="H63" i="40"/>
  <c r="F63" i="40"/>
  <c r="AL61" i="40"/>
  <c r="AC61" i="40"/>
  <c r="AA61" i="40"/>
  <c r="R61" i="40"/>
  <c r="J61" i="40"/>
  <c r="M61" i="40" s="1"/>
  <c r="P61" i="40" s="1"/>
  <c r="AL57" i="40"/>
  <c r="AP57" i="40" s="1"/>
  <c r="Z57" i="40"/>
  <c r="AC57" i="40" s="1"/>
  <c r="O57" i="40"/>
  <c r="R57" i="40"/>
  <c r="AL56" i="40"/>
  <c r="AP56" i="40" s="1"/>
  <c r="Z56" i="40"/>
  <c r="AC56" i="40" s="1"/>
  <c r="O56" i="40"/>
  <c r="R56" i="40"/>
  <c r="AP55" i="40"/>
  <c r="AL54" i="40"/>
  <c r="AP54" i="40" s="1"/>
  <c r="Z54" i="40"/>
  <c r="O54" i="40"/>
  <c r="R54" i="40" s="1"/>
  <c r="AL53" i="40"/>
  <c r="AP53" i="40" s="1"/>
  <c r="AL52" i="40"/>
  <c r="AP52" i="40" s="1"/>
  <c r="AL51" i="40"/>
  <c r="AP51" i="40"/>
  <c r="AC51" i="40"/>
  <c r="R51" i="40"/>
  <c r="AL50" i="40"/>
  <c r="AP50" i="40"/>
  <c r="AA50" i="40"/>
  <c r="Z50" i="40"/>
  <c r="P50" i="40"/>
  <c r="O50" i="40"/>
  <c r="R50" i="40"/>
  <c r="AL49" i="40"/>
  <c r="AP49" i="40" s="1"/>
  <c r="AA49" i="40"/>
  <c r="AC49" i="40"/>
  <c r="P49" i="40"/>
  <c r="AL48" i="40"/>
  <c r="AP48" i="40" s="1"/>
  <c r="AA48" i="40"/>
  <c r="Z48" i="40"/>
  <c r="P48" i="40"/>
  <c r="O48" i="40"/>
  <c r="J48" i="40"/>
  <c r="AL47" i="40"/>
  <c r="AP47" i="40"/>
  <c r="AA47" i="40"/>
  <c r="Z47" i="40"/>
  <c r="P47" i="40"/>
  <c r="O47" i="40"/>
  <c r="O125" i="40" s="1"/>
  <c r="L47" i="40"/>
  <c r="I47" i="40"/>
  <c r="I125" i="40" s="1"/>
  <c r="H47" i="40"/>
  <c r="H125" i="40" s="1"/>
  <c r="F47" i="40"/>
  <c r="F125" i="40"/>
  <c r="AL45" i="40"/>
  <c r="AC45" i="40"/>
  <c r="AA45" i="40"/>
  <c r="R45" i="40"/>
  <c r="J45" i="40"/>
  <c r="M45" i="40" s="1"/>
  <c r="P45" i="40" s="1"/>
  <c r="AL44" i="40"/>
  <c r="AC44" i="40"/>
  <c r="R44" i="40"/>
  <c r="AL43" i="40"/>
  <c r="AC43" i="40"/>
  <c r="R43" i="40"/>
  <c r="AL42" i="40"/>
  <c r="AC42" i="40"/>
  <c r="R42" i="40"/>
  <c r="AL41" i="40"/>
  <c r="AC41" i="40"/>
  <c r="R41" i="40"/>
  <c r="AL40" i="40"/>
  <c r="AC40" i="40"/>
  <c r="R40" i="40"/>
  <c r="J40" i="40"/>
  <c r="M40" i="40" s="1"/>
  <c r="AL39" i="40"/>
  <c r="AC39" i="40"/>
  <c r="R39" i="40"/>
  <c r="L39" i="40"/>
  <c r="AL37" i="40"/>
  <c r="AC37" i="40"/>
  <c r="AA37" i="40"/>
  <c r="R37" i="40"/>
  <c r="J37" i="40"/>
  <c r="M37" i="40" s="1"/>
  <c r="P37" i="40" s="1"/>
  <c r="AL36" i="40"/>
  <c r="AP36" i="40" s="1"/>
  <c r="AC36" i="40"/>
  <c r="R36" i="40"/>
  <c r="I36" i="40"/>
  <c r="J36" i="40" s="1"/>
  <c r="M36" i="40" s="1"/>
  <c r="H36" i="40"/>
  <c r="AL35" i="40"/>
  <c r="AP35" i="40" s="1"/>
  <c r="AA35" i="40"/>
  <c r="Z35" i="40"/>
  <c r="T35" i="40"/>
  <c r="T124" i="40"/>
  <c r="P35" i="40"/>
  <c r="O35" i="40"/>
  <c r="R35" i="40"/>
  <c r="AL34" i="40"/>
  <c r="AP34" i="40" s="1"/>
  <c r="AA34" i="40"/>
  <c r="Z34" i="40"/>
  <c r="P34" i="40"/>
  <c r="O34" i="40"/>
  <c r="L34" i="40"/>
  <c r="I34" i="40"/>
  <c r="H34" i="40"/>
  <c r="J34" i="40" s="1"/>
  <c r="F34" i="40"/>
  <c r="F124" i="40" s="1"/>
  <c r="AL30" i="40"/>
  <c r="AC30" i="40"/>
  <c r="AG30" i="40" s="1"/>
  <c r="R30" i="40"/>
  <c r="V30" i="40"/>
  <c r="AL29" i="40"/>
  <c r="AC29" i="40"/>
  <c r="AG29" i="40"/>
  <c r="R29" i="40"/>
  <c r="V29" i="40" s="1"/>
  <c r="J28" i="40"/>
  <c r="M28" i="40" s="1"/>
  <c r="AN27" i="40"/>
  <c r="AN126" i="40" s="1"/>
  <c r="AN130" i="40" s="1"/>
  <c r="AN139" i="40" s="1"/>
  <c r="AA27" i="40"/>
  <c r="AA126" i="40"/>
  <c r="AA130" i="40" s="1"/>
  <c r="Z27" i="40"/>
  <c r="Z126" i="40" s="1"/>
  <c r="V27" i="40"/>
  <c r="V126" i="40"/>
  <c r="V130" i="40" s="1"/>
  <c r="T27" i="40"/>
  <c r="T126" i="40" s="1"/>
  <c r="P27" i="40"/>
  <c r="P126" i="40" s="1"/>
  <c r="O27" i="40"/>
  <c r="O126" i="40" s="1"/>
  <c r="O130" i="40" s="1"/>
  <c r="AL26" i="40"/>
  <c r="AC26" i="40"/>
  <c r="R26" i="40"/>
  <c r="J26" i="40"/>
  <c r="M26" i="40" s="1"/>
  <c r="AL25" i="40"/>
  <c r="AP25" i="40"/>
  <c r="AC25" i="40"/>
  <c r="R25" i="40"/>
  <c r="L25" i="40"/>
  <c r="I25" i="40"/>
  <c r="H25" i="40"/>
  <c r="J25" i="40" s="1"/>
  <c r="F25" i="40"/>
  <c r="AL24" i="40"/>
  <c r="AP24" i="40"/>
  <c r="AP27" i="40" s="1"/>
  <c r="AG24" i="40"/>
  <c r="AG27" i="40" s="1"/>
  <c r="AG126" i="40" s="1"/>
  <c r="AE24" i="40"/>
  <c r="AE27" i="40" s="1"/>
  <c r="AE126" i="40" s="1"/>
  <c r="AE130" i="40" s="1"/>
  <c r="AC24" i="40"/>
  <c r="R24" i="40"/>
  <c r="L24" i="40"/>
  <c r="I24" i="40"/>
  <c r="I27" i="40" s="1"/>
  <c r="H24" i="40"/>
  <c r="F24" i="40"/>
  <c r="AL23" i="40"/>
  <c r="AC23" i="40"/>
  <c r="R23" i="40"/>
  <c r="J23" i="40"/>
  <c r="M23" i="40"/>
  <c r="AJ21" i="40"/>
  <c r="AC21" i="40"/>
  <c r="R21" i="40"/>
  <c r="AL20" i="40"/>
  <c r="AC20" i="40"/>
  <c r="R20" i="40"/>
  <c r="AL19" i="40"/>
  <c r="AC19" i="40"/>
  <c r="R19" i="40"/>
  <c r="J19" i="40"/>
  <c r="M19" i="40" s="1"/>
  <c r="AL18" i="40"/>
  <c r="AP18" i="40" s="1"/>
  <c r="AC18" i="40"/>
  <c r="R18" i="40"/>
  <c r="J18" i="40"/>
  <c r="M18" i="40"/>
  <c r="AL17" i="40"/>
  <c r="AP17" i="40" s="1"/>
  <c r="AC17" i="40"/>
  <c r="R17" i="40"/>
  <c r="L17" i="40"/>
  <c r="I17" i="40"/>
  <c r="I21" i="40"/>
  <c r="H17" i="40"/>
  <c r="F17" i="40"/>
  <c r="F21" i="40" s="1"/>
  <c r="AL15" i="40"/>
  <c r="AG15" i="40"/>
  <c r="AE15" i="40"/>
  <c r="AC15" i="40"/>
  <c r="R15" i="40"/>
  <c r="AL14" i="40"/>
  <c r="AP14" i="40" s="1"/>
  <c r="AC14" i="40"/>
  <c r="R14" i="40"/>
  <c r="AL13" i="40"/>
  <c r="AP13" i="40"/>
  <c r="AC13" i="40"/>
  <c r="R13" i="40"/>
  <c r="J13" i="40"/>
  <c r="M13" i="40" s="1"/>
  <c r="F13" i="40"/>
  <c r="AJ12" i="40"/>
  <c r="AL12" i="40" s="1"/>
  <c r="AP12" i="40" s="1"/>
  <c r="AA12" i="40"/>
  <c r="Z12" i="40"/>
  <c r="V12" i="40"/>
  <c r="T12" i="40"/>
  <c r="P12" i="40"/>
  <c r="O12" i="40"/>
  <c r="L12" i="40"/>
  <c r="L15" i="40"/>
  <c r="I12" i="40"/>
  <c r="I15" i="40" s="1"/>
  <c r="H12" i="40"/>
  <c r="F12" i="40"/>
  <c r="Z10" i="40"/>
  <c r="O10" i="40"/>
  <c r="AI88" i="39"/>
  <c r="Z88" i="39"/>
  <c r="T88" i="39"/>
  <c r="P88" i="39"/>
  <c r="O88" i="39"/>
  <c r="L88" i="39"/>
  <c r="H88" i="39"/>
  <c r="F88" i="39"/>
  <c r="O87" i="39"/>
  <c r="Z86" i="39"/>
  <c r="T86" i="39"/>
  <c r="O86" i="39"/>
  <c r="L86" i="39"/>
  <c r="I86" i="39"/>
  <c r="H86" i="39"/>
  <c r="F86" i="39"/>
  <c r="L85" i="39"/>
  <c r="I85" i="39"/>
  <c r="I89" i="39" s="1"/>
  <c r="H85" i="39"/>
  <c r="F85" i="39"/>
  <c r="AB82" i="39"/>
  <c r="AF82" i="39"/>
  <c r="R82" i="39"/>
  <c r="V82" i="39"/>
  <c r="J82" i="39"/>
  <c r="M82" i="39"/>
  <c r="AB81" i="39"/>
  <c r="AF81" i="39"/>
  <c r="R81" i="39"/>
  <c r="V81" i="39"/>
  <c r="J81" i="39"/>
  <c r="M81" i="39"/>
  <c r="AB80" i="39"/>
  <c r="AF80" i="39"/>
  <c r="R80" i="39"/>
  <c r="V80" i="39"/>
  <c r="J80" i="39"/>
  <c r="M80" i="39"/>
  <c r="AB79" i="39"/>
  <c r="AF79" i="39"/>
  <c r="R79" i="39"/>
  <c r="V79" i="39"/>
  <c r="J79" i="39"/>
  <c r="M79" i="39"/>
  <c r="AB78" i="39"/>
  <c r="AF78" i="39"/>
  <c r="R78" i="39"/>
  <c r="V78" i="39"/>
  <c r="J78" i="39"/>
  <c r="M78" i="39"/>
  <c r="AB77" i="39"/>
  <c r="AF77" i="39"/>
  <c r="R77" i="39"/>
  <c r="V77" i="39"/>
  <c r="J77" i="39"/>
  <c r="M77" i="39"/>
  <c r="AI76" i="39"/>
  <c r="Z76" i="39"/>
  <c r="AB76" i="39" s="1"/>
  <c r="AF76" i="39" s="1"/>
  <c r="R76" i="39"/>
  <c r="V76" i="39"/>
  <c r="J76" i="39"/>
  <c r="M76" i="39"/>
  <c r="Z75" i="39"/>
  <c r="AB75" i="39"/>
  <c r="AF75" i="39" s="1"/>
  <c r="R75" i="39"/>
  <c r="V75" i="39"/>
  <c r="J75" i="39"/>
  <c r="M75" i="39" s="1"/>
  <c r="AB74" i="39"/>
  <c r="AF74" i="39"/>
  <c r="R74" i="39"/>
  <c r="V74" i="39" s="1"/>
  <c r="J74" i="39"/>
  <c r="M74" i="39"/>
  <c r="AB71" i="39"/>
  <c r="AF71" i="39" s="1"/>
  <c r="R71" i="39"/>
  <c r="V71" i="39"/>
  <c r="J71" i="39"/>
  <c r="M71" i="39" s="1"/>
  <c r="AB70" i="39"/>
  <c r="AF70" i="39"/>
  <c r="R70" i="39"/>
  <c r="V70" i="39" s="1"/>
  <c r="J70" i="39"/>
  <c r="M70" i="39"/>
  <c r="R69" i="39"/>
  <c r="V69" i="39" s="1"/>
  <c r="J69" i="39"/>
  <c r="M69" i="39"/>
  <c r="R68" i="39"/>
  <c r="V68" i="39" s="1"/>
  <c r="J68" i="39"/>
  <c r="M68" i="39"/>
  <c r="AB66" i="39"/>
  <c r="AF66" i="39" s="1"/>
  <c r="P66" i="39"/>
  <c r="O66" i="39"/>
  <c r="R66" i="39" s="1"/>
  <c r="V66" i="39" s="1"/>
  <c r="L66" i="39"/>
  <c r="H66" i="39"/>
  <c r="F66" i="39"/>
  <c r="AB65" i="39"/>
  <c r="AF65" i="39"/>
  <c r="R65" i="39"/>
  <c r="V65" i="39"/>
  <c r="AB64" i="39"/>
  <c r="AF64" i="39"/>
  <c r="R64" i="39"/>
  <c r="V64" i="39"/>
  <c r="M64" i="39"/>
  <c r="M88" i="39"/>
  <c r="I64" i="39"/>
  <c r="I66" i="39" s="1"/>
  <c r="AB62" i="39"/>
  <c r="AF62" i="39" s="1"/>
  <c r="R62" i="39"/>
  <c r="V62" i="39"/>
  <c r="J62" i="39"/>
  <c r="M62" i="39" s="1"/>
  <c r="P62" i="39" s="1"/>
  <c r="AB61" i="39"/>
  <c r="AF61" i="39" s="1"/>
  <c r="R61" i="39"/>
  <c r="V61" i="39"/>
  <c r="J61" i="39"/>
  <c r="M61" i="39" s="1"/>
  <c r="P61" i="39" s="1"/>
  <c r="AB60" i="39"/>
  <c r="AF60" i="39"/>
  <c r="R60" i="39"/>
  <c r="V60" i="39" s="1"/>
  <c r="P60" i="39"/>
  <c r="AB59" i="39"/>
  <c r="AF59" i="39" s="1"/>
  <c r="R59" i="39"/>
  <c r="V59" i="39"/>
  <c r="J59" i="39"/>
  <c r="M59" i="39" s="1"/>
  <c r="P59" i="39" s="1"/>
  <c r="AB58" i="39"/>
  <c r="AF58" i="39"/>
  <c r="R58" i="39"/>
  <c r="V58" i="39" s="1"/>
  <c r="J58" i="39"/>
  <c r="M58" i="39"/>
  <c r="P58" i="39" s="1"/>
  <c r="AB57" i="39"/>
  <c r="R57" i="39"/>
  <c r="V57" i="39"/>
  <c r="J57" i="39"/>
  <c r="M57" i="39" s="1"/>
  <c r="P57" i="39" s="1"/>
  <c r="R56" i="39"/>
  <c r="V56" i="39" s="1"/>
  <c r="J56" i="39"/>
  <c r="M56" i="39"/>
  <c r="P56" i="39"/>
  <c r="P87" i="39" s="1"/>
  <c r="AB55" i="39"/>
  <c r="R55" i="39"/>
  <c r="V55" i="39"/>
  <c r="J55" i="39"/>
  <c r="M55" i="39" s="1"/>
  <c r="F55" i="39"/>
  <c r="AB53" i="39"/>
  <c r="AF53" i="39"/>
  <c r="R53" i="39"/>
  <c r="V53" i="39" s="1"/>
  <c r="J53" i="39"/>
  <c r="M53" i="39"/>
  <c r="P53" i="39"/>
  <c r="AB52" i="39"/>
  <c r="AF52" i="39"/>
  <c r="R52" i="39"/>
  <c r="V52" i="39"/>
  <c r="J52" i="39"/>
  <c r="M52" i="39"/>
  <c r="P52" i="39"/>
  <c r="AB51" i="39"/>
  <c r="AF51" i="39" s="1"/>
  <c r="R51" i="39"/>
  <c r="V51" i="39"/>
  <c r="J51" i="39"/>
  <c r="M51" i="39" s="1"/>
  <c r="P51" i="39" s="1"/>
  <c r="AB50" i="39"/>
  <c r="AF50" i="39" s="1"/>
  <c r="R50" i="39"/>
  <c r="V50" i="39"/>
  <c r="J50" i="39"/>
  <c r="M50" i="39" s="1"/>
  <c r="P50" i="39" s="1"/>
  <c r="AB49" i="39"/>
  <c r="AF49" i="39"/>
  <c r="R49" i="39"/>
  <c r="V49" i="39" s="1"/>
  <c r="J49" i="39"/>
  <c r="M49" i="39"/>
  <c r="P49" i="39" s="1"/>
  <c r="AB48" i="39"/>
  <c r="AF48" i="39"/>
  <c r="R48" i="39"/>
  <c r="V48" i="39" s="1"/>
  <c r="J48" i="39"/>
  <c r="M48" i="39"/>
  <c r="P48" i="39"/>
  <c r="AB47" i="39"/>
  <c r="R47" i="39"/>
  <c r="V47" i="39"/>
  <c r="J47" i="39"/>
  <c r="M47" i="39" s="1"/>
  <c r="P47" i="39" s="1"/>
  <c r="AB45" i="39"/>
  <c r="AF45" i="39"/>
  <c r="R45" i="39"/>
  <c r="V45" i="39" s="1"/>
  <c r="J45" i="39"/>
  <c r="M45" i="39"/>
  <c r="P45" i="39" s="1"/>
  <c r="AB44" i="39"/>
  <c r="AF44" i="39"/>
  <c r="R44" i="39"/>
  <c r="V44" i="39" s="1"/>
  <c r="J44" i="39"/>
  <c r="M44" i="39"/>
  <c r="P44" i="39"/>
  <c r="AB43" i="39"/>
  <c r="AF43" i="39" s="1"/>
  <c r="AF85" i="39" s="1"/>
  <c r="R43" i="39"/>
  <c r="V43" i="39"/>
  <c r="J43" i="39"/>
  <c r="M43" i="39" s="1"/>
  <c r="P43" i="39" s="1"/>
  <c r="AB41" i="39"/>
  <c r="AB91" i="39"/>
  <c r="Z41" i="39"/>
  <c r="R41" i="39"/>
  <c r="V41" i="39"/>
  <c r="J41" i="39"/>
  <c r="M41" i="39" s="1"/>
  <c r="R40" i="39"/>
  <c r="V40" i="39"/>
  <c r="J40" i="39"/>
  <c r="M40" i="39" s="1"/>
  <c r="AI37" i="39"/>
  <c r="AI36" i="39"/>
  <c r="AI85" i="39"/>
  <c r="AI89" i="39" s="1"/>
  <c r="AB37" i="39"/>
  <c r="Z37" i="39"/>
  <c r="T37" i="39"/>
  <c r="P37" i="39"/>
  <c r="J37" i="39"/>
  <c r="M37" i="39"/>
  <c r="Z36" i="39"/>
  <c r="Z85" i="39" s="1"/>
  <c r="Z89" i="39" s="1"/>
  <c r="T36" i="39"/>
  <c r="O36" i="39"/>
  <c r="O85" i="39"/>
  <c r="O89" i="39" s="1"/>
  <c r="M36" i="39"/>
  <c r="J36" i="39"/>
  <c r="AB32" i="39"/>
  <c r="AF32" i="39"/>
  <c r="R32" i="39"/>
  <c r="V32" i="39" s="1"/>
  <c r="T31" i="39"/>
  <c r="R31" i="39"/>
  <c r="J30" i="39"/>
  <c r="M30" i="39" s="1"/>
  <c r="AK29" i="39"/>
  <c r="AK87" i="39"/>
  <c r="AK89" i="39" s="1"/>
  <c r="AI29" i="39"/>
  <c r="AI87" i="39"/>
  <c r="AF29" i="39"/>
  <c r="AB29" i="39"/>
  <c r="Z29" i="39"/>
  <c r="Z87" i="39"/>
  <c r="V29" i="39"/>
  <c r="V87" i="39" s="1"/>
  <c r="T29" i="39"/>
  <c r="T87" i="39" s="1"/>
  <c r="F29" i="39"/>
  <c r="F87" i="39"/>
  <c r="AB28" i="39"/>
  <c r="AF28" i="39" s="1"/>
  <c r="R28" i="39"/>
  <c r="V28" i="39"/>
  <c r="J28" i="39"/>
  <c r="R27" i="39"/>
  <c r="M27" i="39"/>
  <c r="L27" i="39"/>
  <c r="L29" i="39" s="1"/>
  <c r="L87" i="39" s="1"/>
  <c r="I27" i="39"/>
  <c r="I29" i="39"/>
  <c r="I87" i="39"/>
  <c r="H27" i="39"/>
  <c r="H29" i="39"/>
  <c r="H87" i="39"/>
  <c r="H89" i="39" s="1"/>
  <c r="H95" i="39" s="1"/>
  <c r="R26" i="39"/>
  <c r="M26" i="39"/>
  <c r="J26" i="39"/>
  <c r="P25" i="39"/>
  <c r="O25" i="39"/>
  <c r="R25" i="39" s="1"/>
  <c r="M25" i="39"/>
  <c r="J25" i="39"/>
  <c r="P23" i="39"/>
  <c r="O23" i="39"/>
  <c r="R23" i="39" s="1"/>
  <c r="M23" i="39"/>
  <c r="I23" i="39"/>
  <c r="AB22" i="39"/>
  <c r="AF22" i="39"/>
  <c r="R22" i="39"/>
  <c r="V22" i="39"/>
  <c r="P21" i="39"/>
  <c r="O21" i="39"/>
  <c r="R21" i="39" s="1"/>
  <c r="M21" i="39"/>
  <c r="I21" i="39"/>
  <c r="AK18" i="39"/>
  <c r="AK17" i="39"/>
  <c r="AI18" i="39"/>
  <c r="Z18" i="39"/>
  <c r="AB17" i="39"/>
  <c r="AF17" i="39" s="1"/>
  <c r="P18" i="39"/>
  <c r="O18" i="39"/>
  <c r="M18" i="39"/>
  <c r="M17" i="39" s="1"/>
  <c r="I18" i="39"/>
  <c r="V17" i="39"/>
  <c r="T17" i="39"/>
  <c r="R17" i="39"/>
  <c r="L17" i="39"/>
  <c r="H17" i="39"/>
  <c r="F17" i="39"/>
  <c r="AK15" i="39"/>
  <c r="AI15" i="39"/>
  <c r="P15" i="39"/>
  <c r="O15" i="39"/>
  <c r="M15" i="39"/>
  <c r="I15" i="39"/>
  <c r="J15" i="39" s="1"/>
  <c r="H15" i="39"/>
  <c r="AB14" i="39"/>
  <c r="AF14" i="39"/>
  <c r="R14" i="39"/>
  <c r="V14" i="39"/>
  <c r="P13" i="39"/>
  <c r="O13" i="39"/>
  <c r="R13" i="39" s="1"/>
  <c r="M13" i="39"/>
  <c r="I13" i="39"/>
  <c r="J13" i="39"/>
  <c r="AF12" i="39"/>
  <c r="AB12" i="39"/>
  <c r="Z12" i="39"/>
  <c r="P12" i="39"/>
  <c r="O12" i="39"/>
  <c r="R12" i="39" s="1"/>
  <c r="M12" i="39"/>
  <c r="I12" i="39"/>
  <c r="J12" i="39"/>
  <c r="B129" i="36"/>
  <c r="B128" i="36"/>
  <c r="B127" i="36"/>
  <c r="AM111" i="36"/>
  <c r="AI111" i="36"/>
  <c r="AE111" i="36"/>
  <c r="AC111" i="36"/>
  <c r="X111" i="36"/>
  <c r="T111" i="36"/>
  <c r="P111" i="36"/>
  <c r="O111" i="36"/>
  <c r="L111" i="36"/>
  <c r="I111" i="36"/>
  <c r="H111" i="36"/>
  <c r="F111" i="36"/>
  <c r="X110" i="36"/>
  <c r="O110" i="36"/>
  <c r="AM109" i="36"/>
  <c r="AI109" i="36"/>
  <c r="AC109" i="36"/>
  <c r="X109" i="36"/>
  <c r="X112" i="36" s="1"/>
  <c r="T109" i="36"/>
  <c r="O109" i="36"/>
  <c r="L109" i="36"/>
  <c r="I109" i="36"/>
  <c r="H109" i="36"/>
  <c r="F109" i="36"/>
  <c r="AM108" i="36"/>
  <c r="AI108" i="36"/>
  <c r="AC108" i="36"/>
  <c r="X108" i="36"/>
  <c r="T108" i="36"/>
  <c r="O108" i="36"/>
  <c r="I108" i="36"/>
  <c r="H108" i="36"/>
  <c r="F108" i="36"/>
  <c r="AJ105" i="36"/>
  <c r="AA105" i="36"/>
  <c r="AE105" i="36" s="1"/>
  <c r="R105" i="36"/>
  <c r="V105" i="36"/>
  <c r="J105" i="36"/>
  <c r="M105" i="36" s="1"/>
  <c r="AJ104" i="36"/>
  <c r="AA104" i="36"/>
  <c r="AE104" i="36" s="1"/>
  <c r="R104" i="36"/>
  <c r="V104" i="36" s="1"/>
  <c r="J104" i="36"/>
  <c r="M104" i="36"/>
  <c r="AJ103" i="36"/>
  <c r="AA103" i="36"/>
  <c r="AE103" i="36" s="1"/>
  <c r="R103" i="36"/>
  <c r="V103" i="36" s="1"/>
  <c r="J103" i="36"/>
  <c r="M103" i="36" s="1"/>
  <c r="AJ102" i="36"/>
  <c r="AA102" i="36"/>
  <c r="AE102" i="36"/>
  <c r="R102" i="36"/>
  <c r="V102" i="36" s="1"/>
  <c r="J102" i="36"/>
  <c r="M102" i="36" s="1"/>
  <c r="AJ101" i="36"/>
  <c r="AA101" i="36"/>
  <c r="AE101" i="36" s="1"/>
  <c r="R101" i="36"/>
  <c r="V101" i="36" s="1"/>
  <c r="J101" i="36"/>
  <c r="M101" i="36" s="1"/>
  <c r="AJ100" i="36"/>
  <c r="AA100" i="36"/>
  <c r="AE100" i="36" s="1"/>
  <c r="R100" i="36"/>
  <c r="V100" i="36"/>
  <c r="J100" i="36"/>
  <c r="M100" i="36" s="1"/>
  <c r="AJ99" i="36"/>
  <c r="AA99" i="36"/>
  <c r="AE99" i="36"/>
  <c r="R99" i="36"/>
  <c r="V99" i="36" s="1"/>
  <c r="J99" i="36"/>
  <c r="M99" i="36" s="1"/>
  <c r="AJ98" i="36"/>
  <c r="AA98" i="36"/>
  <c r="AE98" i="36" s="1"/>
  <c r="R98" i="36"/>
  <c r="V98" i="36"/>
  <c r="J98" i="36"/>
  <c r="M98" i="36" s="1"/>
  <c r="AO97" i="36"/>
  <c r="AA97" i="36"/>
  <c r="R97" i="36"/>
  <c r="J97" i="36"/>
  <c r="M97" i="36" s="1"/>
  <c r="AJ94" i="36"/>
  <c r="AA94" i="36"/>
  <c r="AE94" i="36" s="1"/>
  <c r="R94" i="36"/>
  <c r="V94" i="36"/>
  <c r="J94" i="36"/>
  <c r="M94" i="36" s="1"/>
  <c r="AJ93" i="36"/>
  <c r="AA93" i="36"/>
  <c r="AE93" i="36" s="1"/>
  <c r="R93" i="36"/>
  <c r="V93" i="36" s="1"/>
  <c r="J93" i="36"/>
  <c r="M93" i="36" s="1"/>
  <c r="AJ92" i="36"/>
  <c r="AA92" i="36"/>
  <c r="AE92" i="36" s="1"/>
  <c r="R92" i="36"/>
  <c r="V92" i="36"/>
  <c r="J92" i="36"/>
  <c r="M92" i="36" s="1"/>
  <c r="AA91" i="36"/>
  <c r="R91" i="36"/>
  <c r="J91" i="36"/>
  <c r="M91" i="36" s="1"/>
  <c r="AA89" i="36"/>
  <c r="R89" i="36"/>
  <c r="V89" i="36"/>
  <c r="AA87" i="36"/>
  <c r="R87" i="36"/>
  <c r="V87" i="36"/>
  <c r="AA58" i="36"/>
  <c r="R58" i="36"/>
  <c r="V58" i="36" s="1"/>
  <c r="J58" i="36"/>
  <c r="AA56" i="36"/>
  <c r="AE56" i="36" s="1"/>
  <c r="J56" i="36"/>
  <c r="M56" i="36" s="1"/>
  <c r="P56" i="36" s="1"/>
  <c r="AA55" i="36"/>
  <c r="AE55" i="36"/>
  <c r="J55" i="36"/>
  <c r="M55" i="36" s="1"/>
  <c r="P55" i="36" s="1"/>
  <c r="AA54" i="36"/>
  <c r="AE54" i="36" s="1"/>
  <c r="P54" i="36"/>
  <c r="AA53" i="36"/>
  <c r="AE53" i="36" s="1"/>
  <c r="J53" i="36"/>
  <c r="M53" i="36"/>
  <c r="P53" i="36" s="1"/>
  <c r="AA52" i="36"/>
  <c r="AE52" i="36" s="1"/>
  <c r="J52" i="36"/>
  <c r="M52" i="36" s="1"/>
  <c r="P52" i="36" s="1"/>
  <c r="AA51" i="36"/>
  <c r="AE51" i="36" s="1"/>
  <c r="J51" i="36"/>
  <c r="M51" i="36" s="1"/>
  <c r="P51" i="36" s="1"/>
  <c r="AA50" i="36"/>
  <c r="AE50" i="36" s="1"/>
  <c r="J50" i="36"/>
  <c r="M50" i="36" s="1"/>
  <c r="P50" i="36" s="1"/>
  <c r="AA49" i="36"/>
  <c r="AE49" i="36"/>
  <c r="J49" i="36"/>
  <c r="M49" i="36" s="1"/>
  <c r="AA47" i="36"/>
  <c r="AE47" i="36" s="1"/>
  <c r="J47" i="36"/>
  <c r="M47" i="36" s="1"/>
  <c r="P47" i="36" s="1"/>
  <c r="AA46" i="36"/>
  <c r="AE46" i="36" s="1"/>
  <c r="J46" i="36"/>
  <c r="M46" i="36"/>
  <c r="P46" i="36" s="1"/>
  <c r="AA45" i="36"/>
  <c r="AE45" i="36" s="1"/>
  <c r="J45" i="36"/>
  <c r="M45" i="36" s="1"/>
  <c r="AA43" i="36"/>
  <c r="AE43" i="36" s="1"/>
  <c r="J43" i="36"/>
  <c r="M43" i="36"/>
  <c r="P43" i="36" s="1"/>
  <c r="AA42" i="36"/>
  <c r="AE42" i="36" s="1"/>
  <c r="J42" i="36"/>
  <c r="M42" i="36" s="1"/>
  <c r="P42" i="36" s="1"/>
  <c r="AA41" i="36"/>
  <c r="AE41" i="36" s="1"/>
  <c r="J41" i="36"/>
  <c r="M41" i="36" s="1"/>
  <c r="P41" i="36" s="1"/>
  <c r="AA39" i="36"/>
  <c r="AE39" i="36"/>
  <c r="J39" i="36"/>
  <c r="M39" i="36" s="1"/>
  <c r="P39" i="36" s="1"/>
  <c r="AA38" i="36"/>
  <c r="AE38" i="36" s="1"/>
  <c r="J38" i="36"/>
  <c r="M38" i="36"/>
  <c r="P38" i="36" s="1"/>
  <c r="AA37" i="36"/>
  <c r="AE37" i="36"/>
  <c r="J37" i="36"/>
  <c r="M37" i="36" s="1"/>
  <c r="P37" i="36" s="1"/>
  <c r="AA36" i="36"/>
  <c r="R36" i="36"/>
  <c r="L36" i="36"/>
  <c r="J36" i="36"/>
  <c r="AJ32" i="36"/>
  <c r="AA32" i="36"/>
  <c r="AE32" i="36" s="1"/>
  <c r="R32" i="36"/>
  <c r="V32" i="36"/>
  <c r="AO31" i="36"/>
  <c r="AA31" i="36"/>
  <c r="R31" i="36"/>
  <c r="J30" i="36"/>
  <c r="M30" i="36"/>
  <c r="M58" i="36" s="1"/>
  <c r="M111" i="36" s="1"/>
  <c r="AM29" i="36"/>
  <c r="AM110" i="36"/>
  <c r="AI29" i="36"/>
  <c r="AI110" i="36" s="1"/>
  <c r="AI112" i="36" s="1"/>
  <c r="AC29" i="36"/>
  <c r="AC110" i="36"/>
  <c r="T29" i="36"/>
  <c r="T110" i="36"/>
  <c r="L29" i="36"/>
  <c r="L110" i="36"/>
  <c r="I29" i="36"/>
  <c r="I110" i="36" s="1"/>
  <c r="H29" i="36"/>
  <c r="H110" i="36"/>
  <c r="F29" i="36"/>
  <c r="F110" i="36"/>
  <c r="AJ28" i="36"/>
  <c r="AA28" i="36"/>
  <c r="AE28" i="36" s="1"/>
  <c r="R28" i="36"/>
  <c r="V28" i="36" s="1"/>
  <c r="J28" i="36"/>
  <c r="M28" i="36" s="1"/>
  <c r="AA27" i="36"/>
  <c r="AE27" i="36" s="1"/>
  <c r="AE29" i="36" s="1"/>
  <c r="R27" i="36"/>
  <c r="V27" i="36"/>
  <c r="V29" i="36"/>
  <c r="J27" i="36"/>
  <c r="M27" i="36" s="1"/>
  <c r="AA26" i="36"/>
  <c r="R26" i="36"/>
  <c r="J26" i="36"/>
  <c r="M26" i="36" s="1"/>
  <c r="M29" i="36" s="1"/>
  <c r="AJ25" i="36"/>
  <c r="AA25" i="36"/>
  <c r="AE25" i="36" s="1"/>
  <c r="R25" i="36"/>
  <c r="V25" i="36"/>
  <c r="J25" i="36"/>
  <c r="F25" i="36"/>
  <c r="V23" i="36"/>
  <c r="T23" i="36"/>
  <c r="P23" i="36"/>
  <c r="R23" i="36" s="1"/>
  <c r="O23" i="36"/>
  <c r="L23" i="36"/>
  <c r="I23" i="36"/>
  <c r="J23" i="36" s="1"/>
  <c r="H23" i="36"/>
  <c r="AA22" i="36"/>
  <c r="R22" i="36"/>
  <c r="AM21" i="36"/>
  <c r="AM17" i="36" s="1"/>
  <c r="AM23" i="36" s="1"/>
  <c r="AA21" i="36"/>
  <c r="R21" i="36"/>
  <c r="J21" i="36"/>
  <c r="M21" i="36"/>
  <c r="M23" i="36" s="1"/>
  <c r="AA18" i="36"/>
  <c r="R18" i="36"/>
  <c r="J18" i="36"/>
  <c r="F18" i="36"/>
  <c r="F23" i="36" s="1"/>
  <c r="AI17" i="36"/>
  <c r="AI23" i="36" s="1"/>
  <c r="AE17" i="36"/>
  <c r="AE23" i="36"/>
  <c r="AC17" i="36"/>
  <c r="AC23" i="36" s="1"/>
  <c r="X17" i="36"/>
  <c r="X23" i="36"/>
  <c r="V17" i="36"/>
  <c r="T17" i="36"/>
  <c r="P17" i="36"/>
  <c r="O17" i="36"/>
  <c r="R17" i="36" s="1"/>
  <c r="J17" i="36"/>
  <c r="F17" i="36"/>
  <c r="AJ15" i="36"/>
  <c r="AI15" i="36"/>
  <c r="AE15" i="36"/>
  <c r="AC15" i="36"/>
  <c r="P15" i="36"/>
  <c r="O15" i="36"/>
  <c r="R15" i="36" s="1"/>
  <c r="M15" i="36"/>
  <c r="L15" i="36"/>
  <c r="I15" i="36"/>
  <c r="H15" i="36"/>
  <c r="AA14" i="36"/>
  <c r="R14" i="36"/>
  <c r="AA13" i="36"/>
  <c r="R13" i="36"/>
  <c r="J13" i="36"/>
  <c r="F13" i="36"/>
  <c r="Y12" i="36"/>
  <c r="X12" i="36"/>
  <c r="X15" i="36" s="1"/>
  <c r="V12" i="36"/>
  <c r="V15" i="36" s="1"/>
  <c r="T12" i="36"/>
  <c r="T15" i="36" s="1"/>
  <c r="R12" i="36"/>
  <c r="J12" i="36"/>
  <c r="F12" i="36"/>
  <c r="I88" i="39"/>
  <c r="J64" i="39"/>
  <c r="M74" i="40"/>
  <c r="J89" i="40"/>
  <c r="AL22" i="41"/>
  <c r="J15" i="43"/>
  <c r="F15" i="40"/>
  <c r="I87" i="41"/>
  <c r="I94" i="41" s="1"/>
  <c r="R15" i="39"/>
  <c r="R12" i="40"/>
  <c r="T114" i="43"/>
  <c r="T123" i="43"/>
  <c r="AD116" i="43"/>
  <c r="W106" i="45"/>
  <c r="AF88" i="39"/>
  <c r="R37" i="42"/>
  <c r="AA17" i="36"/>
  <c r="T91" i="39"/>
  <c r="T93" i="39"/>
  <c r="V88" i="39"/>
  <c r="AI23" i="42"/>
  <c r="L112" i="43"/>
  <c r="L113" i="43" s="1"/>
  <c r="J23" i="39"/>
  <c r="F15" i="36"/>
  <c r="R18" i="39"/>
  <c r="AB88" i="39"/>
  <c r="AC53" i="40"/>
  <c r="AA15" i="42"/>
  <c r="J17" i="42"/>
  <c r="R17" i="42"/>
  <c r="AB85" i="39"/>
  <c r="AB86" i="39"/>
  <c r="M15" i="41"/>
  <c r="T112" i="43"/>
  <c r="AD123" i="43"/>
  <c r="M29" i="39"/>
  <c r="AB93" i="39"/>
  <c r="J17" i="40"/>
  <c r="AG85" i="41"/>
  <c r="AC23" i="42"/>
  <c r="AE89" i="42"/>
  <c r="P116" i="43"/>
  <c r="L114" i="43"/>
  <c r="L118" i="43"/>
  <c r="AD119" i="43"/>
  <c r="AD120" i="43" s="1"/>
  <c r="T113" i="43"/>
  <c r="O15" i="43"/>
  <c r="R15" i="43" s="1"/>
  <c r="J17" i="43"/>
  <c r="R45" i="43"/>
  <c r="J35" i="43"/>
  <c r="AA96" i="43"/>
  <c r="Z114" i="43"/>
  <c r="Z116" i="43" s="1"/>
  <c r="AJ98" i="42"/>
  <c r="AM98" i="42"/>
  <c r="AA37" i="42"/>
  <c r="AE72" i="42"/>
  <c r="AE19" i="42"/>
  <c r="P23" i="42"/>
  <c r="O95" i="42"/>
  <c r="O98" i="42" s="1"/>
  <c r="AE59" i="42"/>
  <c r="X89" i="42"/>
  <c r="T88" i="41"/>
  <c r="I88" i="41"/>
  <c r="V88" i="41"/>
  <c r="V89" i="41"/>
  <c r="V101" i="41" s="1"/>
  <c r="AK87" i="41"/>
  <c r="AC36" i="41"/>
  <c r="AG36" i="41" s="1"/>
  <c r="AG83" i="41" s="1"/>
  <c r="H84" i="41"/>
  <c r="AN17" i="41"/>
  <c r="L124" i="40"/>
  <c r="L21" i="40"/>
  <c r="M21" i="40" s="1"/>
  <c r="L27" i="40"/>
  <c r="L126" i="40" s="1"/>
  <c r="H21" i="40"/>
  <c r="J21" i="40" s="1"/>
  <c r="AA124" i="40"/>
  <c r="J47" i="40"/>
  <c r="J51" i="40" s="1"/>
  <c r="M51" i="40" s="1"/>
  <c r="R53" i="40"/>
  <c r="L127" i="40"/>
  <c r="M89" i="40"/>
  <c r="M127" i="40" s="1"/>
  <c r="O124" i="40"/>
  <c r="V128" i="40"/>
  <c r="F127" i="40"/>
  <c r="I127" i="40"/>
  <c r="AI91" i="39"/>
  <c r="F89" i="39"/>
  <c r="F95" i="39" s="1"/>
  <c r="J27" i="39"/>
  <c r="AF47" i="39"/>
  <c r="AF86" i="39"/>
  <c r="M66" i="39"/>
  <c r="O91" i="39"/>
  <c r="O93" i="39"/>
  <c r="Z91" i="39"/>
  <c r="Z93" i="39" s="1"/>
  <c r="F112" i="36"/>
  <c r="O112" i="36"/>
  <c r="O125" i="36" s="1"/>
  <c r="AE88" i="41"/>
  <c r="H118" i="43"/>
  <c r="H114" i="43"/>
  <c r="Z98" i="43"/>
  <c r="AP89" i="41"/>
  <c r="V92" i="41"/>
  <c r="V91" i="41"/>
  <c r="V134" i="40"/>
  <c r="H90" i="39"/>
  <c r="O92" i="39"/>
  <c r="F125" i="36"/>
  <c r="O113" i="36"/>
  <c r="N73" i="34"/>
  <c r="AP71" i="34"/>
  <c r="AL71" i="34"/>
  <c r="AK71" i="34"/>
  <c r="AI71" i="34"/>
  <c r="AG71" i="34"/>
  <c r="AB71" i="34"/>
  <c r="X71" i="34"/>
  <c r="X72" i="34" s="1"/>
  <c r="T71" i="34"/>
  <c r="S71" i="34"/>
  <c r="P71" i="34"/>
  <c r="O71" i="34"/>
  <c r="L71" i="34"/>
  <c r="I71" i="34"/>
  <c r="H71" i="34"/>
  <c r="F71" i="34"/>
  <c r="AP70" i="34"/>
  <c r="AP74" i="34"/>
  <c r="AG70" i="34"/>
  <c r="AG74" i="34"/>
  <c r="AG76" i="34" s="1"/>
  <c r="AP69" i="34"/>
  <c r="AL69" i="34"/>
  <c r="AI69" i="34"/>
  <c r="AG69" i="34"/>
  <c r="X69" i="34"/>
  <c r="T69" i="34"/>
  <c r="P69" i="34"/>
  <c r="O69" i="34"/>
  <c r="L69" i="34"/>
  <c r="I69" i="34"/>
  <c r="H69" i="34"/>
  <c r="F69" i="34"/>
  <c r="AI68" i="34"/>
  <c r="AG68" i="34"/>
  <c r="X68" i="34"/>
  <c r="P68" i="34"/>
  <c r="O68" i="34"/>
  <c r="L68" i="34"/>
  <c r="I68" i="34"/>
  <c r="H68" i="34"/>
  <c r="F68" i="34"/>
  <c r="AR65" i="34"/>
  <c r="AE65" i="34"/>
  <c r="V65" i="34"/>
  <c r="Z65" i="34"/>
  <c r="J65" i="34"/>
  <c r="M65" i="34"/>
  <c r="AR64" i="34"/>
  <c r="AE64" i="34"/>
  <c r="V64" i="34"/>
  <c r="Z64" i="34"/>
  <c r="J64" i="34"/>
  <c r="M64" i="34"/>
  <c r="AE63" i="34"/>
  <c r="V63" i="34"/>
  <c r="Z63" i="34" s="1"/>
  <c r="J63" i="34"/>
  <c r="M63" i="34"/>
  <c r="AE62" i="34"/>
  <c r="V62" i="34"/>
  <c r="Z62" i="34"/>
  <c r="J62" i="34"/>
  <c r="M62" i="34"/>
  <c r="AE61" i="34"/>
  <c r="V61" i="34"/>
  <c r="Z61" i="34"/>
  <c r="AE60" i="34"/>
  <c r="V60" i="34"/>
  <c r="Z60" i="34"/>
  <c r="L60" i="34"/>
  <c r="I60" i="34"/>
  <c r="H60" i="34"/>
  <c r="AE58" i="34"/>
  <c r="V58" i="34"/>
  <c r="Z58" i="34"/>
  <c r="Z71" i="34" s="1"/>
  <c r="AE57" i="34"/>
  <c r="V57" i="34"/>
  <c r="Z57" i="34" s="1"/>
  <c r="AE56" i="34"/>
  <c r="V56" i="34"/>
  <c r="Z56" i="34"/>
  <c r="Z70" i="34" s="1"/>
  <c r="J56" i="34"/>
  <c r="M56" i="34" s="1"/>
  <c r="J55" i="34"/>
  <c r="M55" i="34"/>
  <c r="J54" i="34"/>
  <c r="AE53" i="34"/>
  <c r="V53" i="34"/>
  <c r="Z53" i="34"/>
  <c r="J53" i="34"/>
  <c r="M53" i="34" s="1"/>
  <c r="AE52" i="34"/>
  <c r="V52" i="34"/>
  <c r="Z52" i="34"/>
  <c r="J52" i="34"/>
  <c r="M52" i="34"/>
  <c r="AE51" i="34"/>
  <c r="V51" i="34"/>
  <c r="Z51" i="34" s="1"/>
  <c r="J51" i="34"/>
  <c r="M51" i="34"/>
  <c r="AB50" i="34"/>
  <c r="AE50" i="34" s="1"/>
  <c r="T50" i="34"/>
  <c r="V50" i="34"/>
  <c r="P50" i="34"/>
  <c r="H50" i="34"/>
  <c r="AB49" i="34"/>
  <c r="T49" i="34"/>
  <c r="P49" i="34"/>
  <c r="H49" i="34"/>
  <c r="J47" i="34"/>
  <c r="M47" i="34"/>
  <c r="AK69" i="34"/>
  <c r="AB69" i="34"/>
  <c r="J46" i="34"/>
  <c r="M46" i="34"/>
  <c r="AE45" i="34"/>
  <c r="V45" i="34"/>
  <c r="Z45" i="34" s="1"/>
  <c r="J45" i="34"/>
  <c r="M45" i="34"/>
  <c r="AE44" i="34"/>
  <c r="V44" i="34"/>
  <c r="Z44" i="34"/>
  <c r="J44" i="34"/>
  <c r="M44" i="34" s="1"/>
  <c r="M69" i="34" s="1"/>
  <c r="AE41" i="34"/>
  <c r="V41" i="34"/>
  <c r="Z41" i="34"/>
  <c r="AK40" i="34"/>
  <c r="AB40" i="34"/>
  <c r="AE40" i="34"/>
  <c r="S40" i="34"/>
  <c r="AL38" i="34"/>
  <c r="AK38" i="34"/>
  <c r="AB38" i="34"/>
  <c r="AE38" i="34" s="1"/>
  <c r="AE43" i="34" s="1"/>
  <c r="R38" i="34"/>
  <c r="J38" i="34"/>
  <c r="M38" i="34"/>
  <c r="AL37" i="34"/>
  <c r="AK37" i="34"/>
  <c r="AB37" i="34"/>
  <c r="AE37" i="34"/>
  <c r="R37" i="34"/>
  <c r="J37" i="34"/>
  <c r="AL36" i="34"/>
  <c r="AK36" i="34"/>
  <c r="AK68" i="34" s="1"/>
  <c r="AB36" i="34"/>
  <c r="R36" i="34"/>
  <c r="J36" i="34"/>
  <c r="M36" i="34"/>
  <c r="AL35" i="34"/>
  <c r="AK35" i="34"/>
  <c r="AB35" i="34"/>
  <c r="J35" i="34"/>
  <c r="M35" i="34" s="1"/>
  <c r="M68" i="34" s="1"/>
  <c r="J49" i="34"/>
  <c r="M29" i="34"/>
  <c r="M58" i="34"/>
  <c r="M71" i="34"/>
  <c r="AK28" i="34"/>
  <c r="P28" i="34"/>
  <c r="O28" i="34"/>
  <c r="O70" i="34"/>
  <c r="M28" i="34"/>
  <c r="I28" i="34"/>
  <c r="H28" i="34"/>
  <c r="H70" i="34"/>
  <c r="H74" i="34" s="1"/>
  <c r="H76" i="34" s="1"/>
  <c r="F28" i="34"/>
  <c r="F70" i="34"/>
  <c r="AE27" i="34"/>
  <c r="V27" i="34"/>
  <c r="R27" i="34"/>
  <c r="J27" i="34"/>
  <c r="AE26" i="34"/>
  <c r="V26" i="34"/>
  <c r="R26" i="34"/>
  <c r="J26" i="34"/>
  <c r="AI25" i="34"/>
  <c r="AB25" i="34"/>
  <c r="AE25" i="34" s="1"/>
  <c r="V25" i="34"/>
  <c r="R25" i="34"/>
  <c r="Z25" i="34"/>
  <c r="J25" i="34"/>
  <c r="L25" i="34"/>
  <c r="AI24" i="34"/>
  <c r="AB24" i="34"/>
  <c r="V24" i="34"/>
  <c r="R24" i="34"/>
  <c r="Z24" i="34"/>
  <c r="AC24" i="34"/>
  <c r="J24" i="34"/>
  <c r="L24" i="34"/>
  <c r="AI23" i="34"/>
  <c r="AI28" i="34"/>
  <c r="AI70" i="34" s="1"/>
  <c r="AI74" i="34" s="1"/>
  <c r="AB23" i="34"/>
  <c r="V23" i="34"/>
  <c r="R23" i="34"/>
  <c r="Z23" i="34"/>
  <c r="AC23" i="34"/>
  <c r="J23" i="34"/>
  <c r="L23" i="34" s="1"/>
  <c r="AE22" i="34"/>
  <c r="V22" i="34"/>
  <c r="R22" i="34"/>
  <c r="S21" i="34"/>
  <c r="P21" i="34"/>
  <c r="O21" i="34"/>
  <c r="R21" i="34" s="1"/>
  <c r="I21" i="34"/>
  <c r="H21" i="34"/>
  <c r="AI20" i="34"/>
  <c r="AI21" i="34" s="1"/>
  <c r="AB20" i="34"/>
  <c r="AB19" i="34"/>
  <c r="L19" i="34"/>
  <c r="J19" i="34"/>
  <c r="AB18" i="34"/>
  <c r="AE18" i="34" s="1"/>
  <c r="J18" i="34"/>
  <c r="AP17" i="34"/>
  <c r="AP73" i="34" s="1"/>
  <c r="AL17" i="34"/>
  <c r="AI17" i="34"/>
  <c r="AD17" i="34"/>
  <c r="T17" i="34"/>
  <c r="J17" i="34"/>
  <c r="R16" i="34"/>
  <c r="AR15" i="34"/>
  <c r="AI15" i="34"/>
  <c r="X15" i="34"/>
  <c r="S15" i="34"/>
  <c r="P15" i="34"/>
  <c r="R15" i="34" s="1"/>
  <c r="I15" i="34"/>
  <c r="J15" i="34" s="1"/>
  <c r="H15" i="34"/>
  <c r="AB13" i="34"/>
  <c r="AB15" i="34" s="1"/>
  <c r="T13" i="34"/>
  <c r="O13" i="34"/>
  <c r="J13" i="34"/>
  <c r="AP12" i="34"/>
  <c r="AP78" i="34" s="1"/>
  <c r="AR12" i="34"/>
  <c r="AB12" i="34"/>
  <c r="Y12" i="34"/>
  <c r="AD12" i="34"/>
  <c r="V12" i="34"/>
  <c r="Z12" i="34"/>
  <c r="AC12" i="34"/>
  <c r="R12" i="34"/>
  <c r="J12" i="34"/>
  <c r="O15" i="34"/>
  <c r="R13" i="34"/>
  <c r="Z13" i="34" s="1"/>
  <c r="AC13" i="34" s="1"/>
  <c r="AE13" i="34"/>
  <c r="T19" i="34"/>
  <c r="F74" i="34"/>
  <c r="F76" i="34"/>
  <c r="V43" i="34"/>
  <c r="Z43" i="34"/>
  <c r="AI76" i="34"/>
  <c r="AB17" i="34"/>
  <c r="AP72" i="34"/>
  <c r="AP75" i="34" s="1"/>
  <c r="AR76" i="34"/>
  <c r="S69" i="34"/>
  <c r="J21" i="34"/>
  <c r="AI72" i="34"/>
  <c r="J50" i="34"/>
  <c r="I50" i="34"/>
  <c r="M37" i="34"/>
  <c r="Z28" i="34"/>
  <c r="S70" i="34"/>
  <c r="S74" i="34" s="1"/>
  <c r="S76" i="34" s="1"/>
  <c r="T28" i="34"/>
  <c r="T70" i="34"/>
  <c r="T74" i="34"/>
  <c r="Z74" i="34"/>
  <c r="T68" i="34"/>
  <c r="AE12" i="34"/>
  <c r="T21" i="34"/>
  <c r="V21" i="34" s="1"/>
  <c r="P70" i="34"/>
  <c r="P72" i="34"/>
  <c r="F60" i="34"/>
  <c r="P74" i="34"/>
  <c r="P76" i="34"/>
  <c r="Z69" i="34"/>
  <c r="T72" i="34"/>
  <c r="T75" i="34"/>
  <c r="X70" i="34"/>
  <c r="X74" i="34"/>
  <c r="AI78" i="34"/>
  <c r="H7" i="33"/>
  <c r="L7" i="33"/>
  <c r="O7" i="33"/>
  <c r="H12" i="33"/>
  <c r="M12" i="33"/>
  <c r="O12" i="33"/>
  <c r="P12" i="33"/>
  <c r="T12" i="33"/>
  <c r="X12" i="33"/>
  <c r="AJ12" i="33"/>
  <c r="AN12" i="33"/>
  <c r="H13" i="33"/>
  <c r="M13" i="33"/>
  <c r="O13" i="33"/>
  <c r="P13" i="33"/>
  <c r="T13" i="33"/>
  <c r="X13" i="33"/>
  <c r="X15" i="33"/>
  <c r="AJ13" i="33"/>
  <c r="AN13" i="33"/>
  <c r="M15" i="33"/>
  <c r="O15" i="33"/>
  <c r="T15" i="33"/>
  <c r="AC15" i="33"/>
  <c r="AG15" i="33"/>
  <c r="AJ15" i="33"/>
  <c r="AL15" i="33"/>
  <c r="H17" i="33"/>
  <c r="H22" i="33"/>
  <c r="M17" i="33"/>
  <c r="R17" i="33"/>
  <c r="V17" i="33" s="1"/>
  <c r="X17" i="33"/>
  <c r="AJ17" i="33"/>
  <c r="AN17" i="33"/>
  <c r="R18" i="33"/>
  <c r="V18" i="33"/>
  <c r="Y18" i="33"/>
  <c r="X18" i="33"/>
  <c r="AA18" i="33" s="1"/>
  <c r="AJ18" i="33"/>
  <c r="AN18" i="33"/>
  <c r="R19" i="33"/>
  <c r="V19" i="33"/>
  <c r="Y19" i="33" s="1"/>
  <c r="X19" i="33"/>
  <c r="AJ19" i="33"/>
  <c r="AN19" i="33"/>
  <c r="M20" i="33"/>
  <c r="M22" i="33"/>
  <c r="O22" i="33"/>
  <c r="P22" i="33"/>
  <c r="R22" i="33" s="1"/>
  <c r="T22" i="33"/>
  <c r="AC22" i="33"/>
  <c r="AG22" i="33"/>
  <c r="AH22" i="33"/>
  <c r="AL22" i="33"/>
  <c r="M24" i="33"/>
  <c r="R24" i="33"/>
  <c r="V24" i="33" s="1"/>
  <c r="Y24" i="33" s="1"/>
  <c r="X24" i="33"/>
  <c r="AC24" i="33"/>
  <c r="AE24" i="33" s="1"/>
  <c r="AG24" i="33"/>
  <c r="AH24" i="33"/>
  <c r="AL24" i="33"/>
  <c r="AN24" i="33" s="1"/>
  <c r="M25" i="33"/>
  <c r="M26" i="33"/>
  <c r="M27" i="33"/>
  <c r="M28" i="33"/>
  <c r="M93" i="33" s="1"/>
  <c r="M29" i="33"/>
  <c r="M69" i="33" s="1"/>
  <c r="M94" i="33" s="1"/>
  <c r="M35" i="33"/>
  <c r="I36" i="33"/>
  <c r="T36" i="33"/>
  <c r="V36" i="33"/>
  <c r="AL36" i="33"/>
  <c r="I37" i="33"/>
  <c r="I91" i="33"/>
  <c r="V37" i="33"/>
  <c r="Y37" i="33"/>
  <c r="AA37" i="33" s="1"/>
  <c r="AE37" i="33" s="1"/>
  <c r="X37" i="33"/>
  <c r="AN37" i="33"/>
  <c r="AN36" i="33" s="1"/>
  <c r="M38" i="33"/>
  <c r="T38" i="33"/>
  <c r="X38" i="33" s="1"/>
  <c r="X76" i="33" s="1"/>
  <c r="V38" i="33"/>
  <c r="V76" i="33" s="1"/>
  <c r="Y38" i="33"/>
  <c r="AC38" i="33"/>
  <c r="AC76" i="33"/>
  <c r="AG38" i="33"/>
  <c r="AN38" i="33"/>
  <c r="AN76" i="33"/>
  <c r="M39" i="33"/>
  <c r="M40" i="33"/>
  <c r="M91" i="33" s="1"/>
  <c r="M42" i="33"/>
  <c r="M45" i="33"/>
  <c r="M47" i="33"/>
  <c r="M49" i="33"/>
  <c r="M51" i="33"/>
  <c r="M53" i="33"/>
  <c r="M55" i="33"/>
  <c r="M56" i="33"/>
  <c r="M57" i="33"/>
  <c r="M58" i="33"/>
  <c r="M60" i="33"/>
  <c r="M61" i="33"/>
  <c r="M62" i="33"/>
  <c r="M63" i="33"/>
  <c r="M64" i="33"/>
  <c r="M65" i="33"/>
  <c r="M66" i="33"/>
  <c r="M67" i="33"/>
  <c r="J74" i="33"/>
  <c r="M74" i="33" s="1"/>
  <c r="J75" i="33"/>
  <c r="M75" i="33"/>
  <c r="J76" i="33"/>
  <c r="M76" i="33" s="1"/>
  <c r="AL76" i="33"/>
  <c r="J77" i="33"/>
  <c r="M77" i="33" s="1"/>
  <c r="V80" i="33"/>
  <c r="Y81" i="33"/>
  <c r="AA81" i="33"/>
  <c r="AE81" i="33" s="1"/>
  <c r="AL81" i="33"/>
  <c r="AN81" i="33"/>
  <c r="Y82" i="33"/>
  <c r="AA82" i="33" s="1"/>
  <c r="AE82" i="33" s="1"/>
  <c r="AH82" i="33"/>
  <c r="AJ82" i="33"/>
  <c r="AL82" i="33"/>
  <c r="AN82" i="33"/>
  <c r="F91" i="33"/>
  <c r="F95" i="33" s="1"/>
  <c r="F98" i="33" s="1"/>
  <c r="H91" i="33"/>
  <c r="H95" i="33" s="1"/>
  <c r="L91" i="33"/>
  <c r="O91" i="33"/>
  <c r="P91" i="33"/>
  <c r="P95" i="33" s="1"/>
  <c r="F92" i="33"/>
  <c r="H92" i="33"/>
  <c r="I92" i="33"/>
  <c r="L92" i="33"/>
  <c r="L95" i="33" s="1"/>
  <c r="L96" i="33" s="1"/>
  <c r="O92" i="33"/>
  <c r="P92" i="33"/>
  <c r="T92" i="33"/>
  <c r="V92" i="33"/>
  <c r="X92" i="33"/>
  <c r="Y92" i="33"/>
  <c r="AC92" i="33"/>
  <c r="AE92" i="33"/>
  <c r="AG92" i="33"/>
  <c r="AH92" i="33"/>
  <c r="AL92" i="33"/>
  <c r="AN92" i="33"/>
  <c r="F93" i="33"/>
  <c r="H93" i="33"/>
  <c r="I93" i="33"/>
  <c r="L93" i="33"/>
  <c r="O93" i="33"/>
  <c r="P93" i="33"/>
  <c r="T93" i="33"/>
  <c r="V93" i="33"/>
  <c r="X93" i="33"/>
  <c r="Y93" i="33"/>
  <c r="AC93" i="33"/>
  <c r="AE93" i="33"/>
  <c r="AG93" i="33"/>
  <c r="AH93" i="33"/>
  <c r="AL93" i="33"/>
  <c r="AN93" i="33"/>
  <c r="F94" i="33"/>
  <c r="H94" i="33"/>
  <c r="I94" i="33"/>
  <c r="L94" i="33"/>
  <c r="O94" i="33"/>
  <c r="P94" i="33"/>
  <c r="P96" i="33"/>
  <c r="T94" i="33"/>
  <c r="V94" i="33"/>
  <c r="X94" i="33"/>
  <c r="Y94" i="33"/>
  <c r="AC94" i="33"/>
  <c r="AE94" i="33"/>
  <c r="AG94" i="33"/>
  <c r="AH94" i="33"/>
  <c r="AL94" i="33"/>
  <c r="AN94" i="33"/>
  <c r="F97" i="33"/>
  <c r="F99" i="33" s="1"/>
  <c r="H97" i="33"/>
  <c r="I97" i="33"/>
  <c r="O97" i="33"/>
  <c r="O99" i="33" s="1"/>
  <c r="AC97" i="33"/>
  <c r="AC99" i="33" s="1"/>
  <c r="AC106" i="33"/>
  <c r="AG97" i="33"/>
  <c r="I99" i="33"/>
  <c r="AG99" i="33"/>
  <c r="AG106" i="33"/>
  <c r="AA24" i="33"/>
  <c r="AE18" i="33"/>
  <c r="AJ24" i="33"/>
  <c r="AJ22" i="33"/>
  <c r="H15" i="33"/>
  <c r="AN15" i="33"/>
  <c r="H99" i="33"/>
  <c r="T76" i="33"/>
  <c r="I95" i="33"/>
  <c r="AN22" i="33"/>
  <c r="AC91" i="33"/>
  <c r="AC95" i="33"/>
  <c r="AE35" i="34"/>
  <c r="F96" i="33"/>
  <c r="Y17" i="33"/>
  <c r="AH37" i="33"/>
  <c r="AJ37" i="33" s="1"/>
  <c r="B187" i="32"/>
  <c r="B186" i="32"/>
  <c r="B185" i="32"/>
  <c r="B184" i="32"/>
  <c r="B183" i="32"/>
  <c r="B182" i="32"/>
  <c r="B181" i="32"/>
  <c r="B180" i="32"/>
  <c r="B179" i="32"/>
  <c r="B178" i="32"/>
  <c r="B177" i="32"/>
  <c r="B176" i="32"/>
  <c r="B175" i="32"/>
  <c r="B174" i="32"/>
  <c r="B173" i="32"/>
  <c r="B172" i="32"/>
  <c r="B171" i="32"/>
  <c r="B170" i="32"/>
  <c r="BC155" i="32"/>
  <c r="AW155" i="32"/>
  <c r="AS155" i="32"/>
  <c r="AQ155" i="32"/>
  <c r="AM155" i="32"/>
  <c r="AH155" i="32"/>
  <c r="AG155" i="32"/>
  <c r="AD155" i="32"/>
  <c r="AB155" i="32"/>
  <c r="X155" i="32"/>
  <c r="W155" i="32"/>
  <c r="S155" i="32"/>
  <c r="R155" i="32"/>
  <c r="O155" i="32"/>
  <c r="L155" i="32"/>
  <c r="I155" i="32"/>
  <c r="H155" i="32"/>
  <c r="F155" i="32"/>
  <c r="AW154" i="32"/>
  <c r="AW153" i="32"/>
  <c r="AM153" i="32"/>
  <c r="AH153" i="32"/>
  <c r="AB153" i="32"/>
  <c r="S153" i="32"/>
  <c r="R153" i="32"/>
  <c r="O153" i="32"/>
  <c r="L153" i="32"/>
  <c r="AW152" i="32"/>
  <c r="AS152" i="32"/>
  <c r="AM152" i="32"/>
  <c r="AH152" i="32"/>
  <c r="AB152" i="32"/>
  <c r="X152" i="32"/>
  <c r="S152" i="32"/>
  <c r="R152" i="32"/>
  <c r="O152" i="32"/>
  <c r="L152" i="32"/>
  <c r="I152" i="32"/>
  <c r="H152" i="32"/>
  <c r="F152" i="32"/>
  <c r="AG144" i="32"/>
  <c r="W144" i="32"/>
  <c r="AG141" i="32"/>
  <c r="W141" i="32"/>
  <c r="AM138" i="32"/>
  <c r="X138" i="32"/>
  <c r="M138" i="32"/>
  <c r="J138" i="32"/>
  <c r="P138" i="32" s="1"/>
  <c r="AM137" i="32"/>
  <c r="X137" i="32"/>
  <c r="M137" i="32"/>
  <c r="J137" i="32"/>
  <c r="P137" i="32" s="1"/>
  <c r="AM136" i="32"/>
  <c r="X136" i="32"/>
  <c r="M136" i="32"/>
  <c r="J136" i="32"/>
  <c r="P136" i="32" s="1"/>
  <c r="AM135" i="32"/>
  <c r="X135" i="32"/>
  <c r="M135" i="32"/>
  <c r="J135" i="32"/>
  <c r="P135" i="32" s="1"/>
  <c r="BA131" i="32"/>
  <c r="AJ131" i="32"/>
  <c r="U131" i="32"/>
  <c r="I129" i="32"/>
  <c r="H129" i="32"/>
  <c r="F129" i="32"/>
  <c r="J126" i="32"/>
  <c r="M124" i="32"/>
  <c r="J124" i="32"/>
  <c r="P124" i="32" s="1"/>
  <c r="M123" i="32"/>
  <c r="J123" i="32"/>
  <c r="P123" i="32" s="1"/>
  <c r="J122" i="32"/>
  <c r="M121" i="32"/>
  <c r="J121" i="32"/>
  <c r="P121" i="32" s="1"/>
  <c r="AM120" i="32"/>
  <c r="O119" i="32"/>
  <c r="BA113" i="32"/>
  <c r="AY113" i="32"/>
  <c r="AO113" i="32"/>
  <c r="AG113" i="32"/>
  <c r="AD113" i="32"/>
  <c r="BA112" i="32"/>
  <c r="AY112" i="32"/>
  <c r="AO112" i="32"/>
  <c r="W112" i="32"/>
  <c r="AG112" i="32" s="1"/>
  <c r="AJ112" i="32" s="1"/>
  <c r="U112" i="32"/>
  <c r="BA111" i="32"/>
  <c r="AY111" i="32"/>
  <c r="AO111" i="32"/>
  <c r="W111" i="32"/>
  <c r="U111" i="32"/>
  <c r="BA110" i="32"/>
  <c r="AY110" i="32"/>
  <c r="AO110" i="32"/>
  <c r="W110" i="32"/>
  <c r="AG110" i="32" s="1"/>
  <c r="AJ110" i="32" s="1"/>
  <c r="U110" i="32"/>
  <c r="BA109" i="32"/>
  <c r="AY109" i="32"/>
  <c r="AO109" i="32"/>
  <c r="W109" i="32"/>
  <c r="AG109" i="32" s="1"/>
  <c r="AJ109" i="32" s="1"/>
  <c r="U109" i="32"/>
  <c r="BA108" i="32"/>
  <c r="AY108" i="32"/>
  <c r="AO108" i="32"/>
  <c r="W108" i="32"/>
  <c r="AG108" i="32" s="1"/>
  <c r="AJ108" i="32" s="1"/>
  <c r="U108" i="32"/>
  <c r="BA107" i="32"/>
  <c r="AY107" i="32"/>
  <c r="AO107" i="32"/>
  <c r="W107" i="32"/>
  <c r="AG107" i="32" s="1"/>
  <c r="AJ107" i="32" s="1"/>
  <c r="U107" i="32"/>
  <c r="BA106" i="32"/>
  <c r="AY106" i="32"/>
  <c r="AO106" i="32"/>
  <c r="W106" i="32"/>
  <c r="AG106" i="32" s="1"/>
  <c r="AJ106" i="32" s="1"/>
  <c r="U106" i="32"/>
  <c r="BA105" i="32"/>
  <c r="AY105" i="32"/>
  <c r="AO105" i="32"/>
  <c r="W105" i="32"/>
  <c r="AG105" i="32"/>
  <c r="AJ105" i="32" s="1"/>
  <c r="U105" i="32"/>
  <c r="BA104" i="32"/>
  <c r="AY104" i="32"/>
  <c r="AO104" i="32"/>
  <c r="W104" i="32"/>
  <c r="U104" i="32"/>
  <c r="BA103" i="32"/>
  <c r="AY103" i="32"/>
  <c r="AO103" i="32"/>
  <c r="W103" i="32"/>
  <c r="U103" i="32"/>
  <c r="BA102" i="32"/>
  <c r="AY102" i="32"/>
  <c r="AO102" i="32"/>
  <c r="W102" i="32"/>
  <c r="AG102" i="32"/>
  <c r="AJ102" i="32" s="1"/>
  <c r="U102" i="32"/>
  <c r="X102" i="32" s="1"/>
  <c r="Z102" i="32" s="1"/>
  <c r="AD102" i="32" s="1"/>
  <c r="BA101" i="32"/>
  <c r="AY101" i="32"/>
  <c r="AO101" i="32"/>
  <c r="W101" i="32"/>
  <c r="U101" i="32"/>
  <c r="I101" i="32"/>
  <c r="J101" i="32" s="1"/>
  <c r="BA100" i="32"/>
  <c r="AY100" i="32"/>
  <c r="AO100" i="32"/>
  <c r="W100" i="32"/>
  <c r="X100" i="32" s="1"/>
  <c r="Z100" i="32" s="1"/>
  <c r="AD100" i="32" s="1"/>
  <c r="H100" i="32"/>
  <c r="AY99" i="32"/>
  <c r="AO99" i="32"/>
  <c r="AG99" i="32"/>
  <c r="Z99" i="32"/>
  <c r="AD99" i="32" s="1"/>
  <c r="BA98" i="32"/>
  <c r="AY98" i="32"/>
  <c r="AO98" i="32"/>
  <c r="AG98" i="32"/>
  <c r="AJ98" i="32" s="1"/>
  <c r="Z98" i="32"/>
  <c r="AD98" i="32" s="1"/>
  <c r="U98" i="32"/>
  <c r="BA97" i="32"/>
  <c r="AY97" i="32"/>
  <c r="AO97" i="32"/>
  <c r="W97" i="32"/>
  <c r="U97" i="32"/>
  <c r="H97" i="32"/>
  <c r="I97" i="32" s="1"/>
  <c r="BA96" i="32"/>
  <c r="AY96" i="32"/>
  <c r="AO96" i="32"/>
  <c r="W96" i="32"/>
  <c r="U96" i="32"/>
  <c r="BA94" i="32"/>
  <c r="AY94" i="32"/>
  <c r="AO94" i="32"/>
  <c r="W94" i="32"/>
  <c r="AG94" i="32" s="1"/>
  <c r="AJ94" i="32" s="1"/>
  <c r="U94" i="32"/>
  <c r="BA92" i="32"/>
  <c r="AY92" i="32"/>
  <c r="AO92" i="32"/>
  <c r="W92" i="32"/>
  <c r="AG92" i="32" s="1"/>
  <c r="AJ92" i="32" s="1"/>
  <c r="U92" i="32"/>
  <c r="BA91" i="32"/>
  <c r="AY91" i="32"/>
  <c r="AO91" i="32"/>
  <c r="W91" i="32"/>
  <c r="U91" i="32"/>
  <c r="BA90" i="32"/>
  <c r="AY90" i="32"/>
  <c r="AO90" i="32"/>
  <c r="W90" i="32"/>
  <c r="U90" i="32"/>
  <c r="BA89" i="32"/>
  <c r="AY89" i="32"/>
  <c r="AO89" i="32"/>
  <c r="W89" i="32"/>
  <c r="AG89" i="32" s="1"/>
  <c r="AJ89" i="32" s="1"/>
  <c r="U89" i="32"/>
  <c r="BA87" i="32"/>
  <c r="AY87" i="32"/>
  <c r="AO87" i="32"/>
  <c r="W87" i="32"/>
  <c r="BA86" i="32"/>
  <c r="AY86" i="32"/>
  <c r="AO86" i="32"/>
  <c r="W86" i="32"/>
  <c r="U86" i="32"/>
  <c r="BA85" i="32"/>
  <c r="AY85" i="32"/>
  <c r="AO85" i="32"/>
  <c r="W85" i="32"/>
  <c r="U85" i="32"/>
  <c r="BA84" i="32"/>
  <c r="AY84" i="32"/>
  <c r="AO84" i="32"/>
  <c r="W84" i="32"/>
  <c r="AG84" i="32" s="1"/>
  <c r="AJ84" i="32" s="1"/>
  <c r="U84" i="32"/>
  <c r="BA79" i="32"/>
  <c r="AY79" i="32"/>
  <c r="AO79" i="32"/>
  <c r="W79" i="32"/>
  <c r="U79" i="32"/>
  <c r="BA78" i="32"/>
  <c r="AY78" i="32"/>
  <c r="AO78" i="32"/>
  <c r="W78" i="32"/>
  <c r="AG78" i="32" s="1"/>
  <c r="AJ78" i="32" s="1"/>
  <c r="U78" i="32"/>
  <c r="BA77" i="32"/>
  <c r="AY77" i="32"/>
  <c r="AO77" i="32"/>
  <c r="W77" i="32"/>
  <c r="U77" i="32"/>
  <c r="BA76" i="32"/>
  <c r="AY76" i="32"/>
  <c r="AO76" i="32"/>
  <c r="W76" i="32"/>
  <c r="AG76" i="32" s="1"/>
  <c r="AJ76" i="32" s="1"/>
  <c r="U76" i="32"/>
  <c r="H76" i="32"/>
  <c r="BA75" i="32"/>
  <c r="AY75" i="32"/>
  <c r="AO75" i="32"/>
  <c r="W75" i="32"/>
  <c r="AG75" i="32" s="1"/>
  <c r="AJ75" i="32" s="1"/>
  <c r="U75" i="32"/>
  <c r="BA74" i="32"/>
  <c r="AY74" i="32"/>
  <c r="AO74" i="32"/>
  <c r="W74" i="32"/>
  <c r="AG74" i="32" s="1"/>
  <c r="AJ74" i="32" s="1"/>
  <c r="U74" i="32"/>
  <c r="H74" i="32"/>
  <c r="I74" i="32" s="1"/>
  <c r="F74" i="32" s="1"/>
  <c r="BA73" i="32"/>
  <c r="AY73" i="32"/>
  <c r="AO73" i="32"/>
  <c r="W73" i="32"/>
  <c r="U73" i="32"/>
  <c r="H73" i="32"/>
  <c r="I73" i="32" s="1"/>
  <c r="BA71" i="32"/>
  <c r="AY71" i="32"/>
  <c r="AO71" i="32"/>
  <c r="W71" i="32"/>
  <c r="AG71" i="32" s="1"/>
  <c r="AJ71" i="32" s="1"/>
  <c r="U71" i="32"/>
  <c r="H71" i="32"/>
  <c r="I71" i="32" s="1"/>
  <c r="J71" i="32" s="1"/>
  <c r="P71" i="32" s="1"/>
  <c r="BA70" i="32"/>
  <c r="AY70" i="32"/>
  <c r="AO70" i="32"/>
  <c r="W70" i="32"/>
  <c r="U70" i="32"/>
  <c r="H70" i="32"/>
  <c r="I70" i="32" s="1"/>
  <c r="J70" i="32" s="1"/>
  <c r="BA69" i="32"/>
  <c r="AY69" i="32"/>
  <c r="AO69" i="32"/>
  <c r="W69" i="32"/>
  <c r="U69" i="32"/>
  <c r="H69" i="32"/>
  <c r="BA68" i="32"/>
  <c r="AY68" i="32"/>
  <c r="AO68" i="32"/>
  <c r="W68" i="32"/>
  <c r="AG68" i="32" s="1"/>
  <c r="AJ68" i="32" s="1"/>
  <c r="U68" i="32"/>
  <c r="H68" i="32"/>
  <c r="I68" i="32" s="1"/>
  <c r="BA67" i="32"/>
  <c r="AY67" i="32"/>
  <c r="AO67" i="32"/>
  <c r="W67" i="32"/>
  <c r="AG67" i="32" s="1"/>
  <c r="AJ67" i="32" s="1"/>
  <c r="U67" i="32"/>
  <c r="I67" i="32"/>
  <c r="BA66" i="32"/>
  <c r="AY66" i="32"/>
  <c r="AO66" i="32"/>
  <c r="W66" i="32"/>
  <c r="AG66" i="32" s="1"/>
  <c r="AJ66" i="32" s="1"/>
  <c r="U66" i="32"/>
  <c r="I66" i="32"/>
  <c r="BA65" i="32"/>
  <c r="AY65" i="32"/>
  <c r="AO65" i="32"/>
  <c r="W65" i="32"/>
  <c r="AG65" i="32" s="1"/>
  <c r="AJ65" i="32" s="1"/>
  <c r="U65" i="32"/>
  <c r="H65" i="32"/>
  <c r="I65" i="32" s="1"/>
  <c r="J65" i="32" s="1"/>
  <c r="M65" i="32" s="1"/>
  <c r="BA64" i="32"/>
  <c r="AY64" i="32"/>
  <c r="AO64" i="32"/>
  <c r="W64" i="32"/>
  <c r="AG64" i="32" s="1"/>
  <c r="AJ64" i="32" s="1"/>
  <c r="U64" i="32"/>
  <c r="I64" i="32"/>
  <c r="J64" i="32" s="1"/>
  <c r="BA63" i="32"/>
  <c r="AY63" i="32"/>
  <c r="AO63" i="32"/>
  <c r="AG63" i="32"/>
  <c r="Z63" i="32"/>
  <c r="AD63" i="32" s="1"/>
  <c r="I63" i="32"/>
  <c r="F63" i="32" s="1"/>
  <c r="BA62" i="32"/>
  <c r="AY62" i="32"/>
  <c r="AO62" i="32"/>
  <c r="W62" i="32"/>
  <c r="U62" i="32"/>
  <c r="I62" i="32"/>
  <c r="F62" i="32" s="1"/>
  <c r="BA61" i="32"/>
  <c r="AY61" i="32"/>
  <c r="AO61" i="32"/>
  <c r="W61" i="32"/>
  <c r="AG61" i="32" s="1"/>
  <c r="AJ61" i="32" s="1"/>
  <c r="U61" i="32"/>
  <c r="I61" i="32"/>
  <c r="J61" i="32" s="1"/>
  <c r="P61" i="32" s="1"/>
  <c r="BA60" i="32"/>
  <c r="AY60" i="32"/>
  <c r="AO60" i="32"/>
  <c r="W60" i="32"/>
  <c r="AG60" i="32" s="1"/>
  <c r="AJ60" i="32" s="1"/>
  <c r="U60" i="32"/>
  <c r="J60" i="32"/>
  <c r="BA59" i="32"/>
  <c r="AY59" i="32"/>
  <c r="AO59" i="32"/>
  <c r="AG59" i="32"/>
  <c r="Z59" i="32"/>
  <c r="AD59" i="32" s="1"/>
  <c r="J59" i="32"/>
  <c r="M59" i="32" s="1"/>
  <c r="BA58" i="32"/>
  <c r="AY58" i="32"/>
  <c r="AO58" i="32"/>
  <c r="AG58" i="32"/>
  <c r="AJ58" i="32" s="1"/>
  <c r="U58" i="32"/>
  <c r="X58" i="32" s="1"/>
  <c r="Z58" i="32" s="1"/>
  <c r="AD58" i="32" s="1"/>
  <c r="J58" i="32"/>
  <c r="M58" i="32" s="1"/>
  <c r="BA57" i="32"/>
  <c r="AY57" i="32"/>
  <c r="AO57" i="32"/>
  <c r="W57" i="32"/>
  <c r="AG57" i="32" s="1"/>
  <c r="AJ57" i="32" s="1"/>
  <c r="U57" i="32"/>
  <c r="BA56" i="32"/>
  <c r="AY56" i="32"/>
  <c r="AO56" i="32"/>
  <c r="W56" i="32"/>
  <c r="AG56" i="32" s="1"/>
  <c r="AJ56" i="32" s="1"/>
  <c r="U56" i="32"/>
  <c r="BA55" i="32"/>
  <c r="AY55" i="32"/>
  <c r="AO55" i="32"/>
  <c r="W55" i="32"/>
  <c r="AG55" i="32" s="1"/>
  <c r="AJ55" i="32" s="1"/>
  <c r="U55" i="32"/>
  <c r="J55" i="32"/>
  <c r="BA54" i="32"/>
  <c r="AY54" i="32"/>
  <c r="AO54" i="32"/>
  <c r="W54" i="32"/>
  <c r="U54" i="32"/>
  <c r="I54" i="32"/>
  <c r="J54" i="32" s="1"/>
  <c r="J48" i="32"/>
  <c r="P48" i="32" s="1"/>
  <c r="J46" i="32"/>
  <c r="P46" i="32" s="1"/>
  <c r="AY40" i="32"/>
  <c r="BC40" i="32" s="1"/>
  <c r="AO40" i="32"/>
  <c r="U40" i="32"/>
  <c r="J40" i="32"/>
  <c r="M40" i="32" s="1"/>
  <c r="AQ152" i="32"/>
  <c r="AY37" i="32"/>
  <c r="AY43" i="32" s="1"/>
  <c r="BC43" i="32" s="1"/>
  <c r="AO37" i="32"/>
  <c r="AO43" i="32" s="1"/>
  <c r="U37" i="32"/>
  <c r="P37" i="32"/>
  <c r="J37" i="32"/>
  <c r="AM31" i="32"/>
  <c r="X31" i="32"/>
  <c r="M31" i="32"/>
  <c r="M126" i="32" s="1"/>
  <c r="M155" i="32" s="1"/>
  <c r="J31" i="32"/>
  <c r="P31" i="32" s="1"/>
  <c r="P126" i="32" s="1"/>
  <c r="P155" i="32" s="1"/>
  <c r="AS30" i="32"/>
  <c r="AS154" i="32" s="1"/>
  <c r="AS156" i="32" s="1"/>
  <c r="AS162" i="32" s="1"/>
  <c r="AQ30" i="32"/>
  <c r="AH30" i="32"/>
  <c r="AH154" i="32"/>
  <c r="S30" i="32"/>
  <c r="R30" i="32"/>
  <c r="O30" i="32"/>
  <c r="O154" i="32" s="1"/>
  <c r="L30" i="32"/>
  <c r="I30" i="32"/>
  <c r="H30" i="32"/>
  <c r="F30" i="32"/>
  <c r="J29" i="32"/>
  <c r="AY28" i="32"/>
  <c r="BC28" i="32" s="1"/>
  <c r="W28" i="32"/>
  <c r="AG28" i="32" s="1"/>
  <c r="AJ28" i="32" s="1"/>
  <c r="AM28" i="32" s="1"/>
  <c r="AO28" i="32" s="1"/>
  <c r="U28" i="32"/>
  <c r="J28" i="32"/>
  <c r="J27" i="32" s="1"/>
  <c r="AY27" i="32"/>
  <c r="BC27" i="32" s="1"/>
  <c r="W27" i="32"/>
  <c r="W30" i="32" s="1"/>
  <c r="W154" i="32" s="1"/>
  <c r="U27" i="32"/>
  <c r="AY26" i="32"/>
  <c r="BC26" i="32" s="1"/>
  <c r="AO26" i="32"/>
  <c r="Z26" i="32"/>
  <c r="AD26" i="32" s="1"/>
  <c r="J26" i="32"/>
  <c r="AY25" i="32"/>
  <c r="BC25" i="32" s="1"/>
  <c r="AB25" i="32"/>
  <c r="AB30" i="32" s="1"/>
  <c r="U25" i="32"/>
  <c r="X25" i="32" s="1"/>
  <c r="Z25" i="32" s="1"/>
  <c r="J25" i="32"/>
  <c r="M25" i="32" s="1"/>
  <c r="AY23" i="32"/>
  <c r="AH23" i="32"/>
  <c r="J23" i="32"/>
  <c r="P23" i="32" s="1"/>
  <c r="AY22" i="32"/>
  <c r="AO22" i="32"/>
  <c r="Z22" i="32"/>
  <c r="O22" i="32"/>
  <c r="O18" i="32" s="1"/>
  <c r="L22" i="32"/>
  <c r="I22" i="32"/>
  <c r="I18" i="32"/>
  <c r="H22" i="32"/>
  <c r="H18" i="32" s="1"/>
  <c r="AY21" i="32"/>
  <c r="BC21" i="32" s="1"/>
  <c r="AB21" i="32"/>
  <c r="U21" i="32"/>
  <c r="AY20" i="32"/>
  <c r="AO20" i="32"/>
  <c r="Z20" i="32"/>
  <c r="AY19" i="32"/>
  <c r="AV19" i="32"/>
  <c r="AV18" i="32" s="1"/>
  <c r="AQ19" i="32"/>
  <c r="AQ18" i="32" s="1"/>
  <c r="AO19" i="32"/>
  <c r="Z19" i="32"/>
  <c r="J19" i="32"/>
  <c r="M19" i="32" s="1"/>
  <c r="AY18" i="32"/>
  <c r="AL18" i="32"/>
  <c r="S18" i="32"/>
  <c r="S23" i="32" s="1"/>
  <c r="R18" i="32"/>
  <c r="R23" i="32" s="1"/>
  <c r="F18" i="32"/>
  <c r="AW16" i="32"/>
  <c r="AV16" i="32"/>
  <c r="AQ16" i="32"/>
  <c r="AL16" i="32"/>
  <c r="AH16" i="32"/>
  <c r="AB16" i="32"/>
  <c r="O16" i="32"/>
  <c r="L16" i="32"/>
  <c r="H16" i="32"/>
  <c r="AY15" i="32"/>
  <c r="BC15" i="32" s="1"/>
  <c r="AO15" i="32"/>
  <c r="Z15" i="32"/>
  <c r="AD15" i="32" s="1"/>
  <c r="BA14" i="32"/>
  <c r="AY14" i="32"/>
  <c r="AO14" i="32"/>
  <c r="Z14" i="32"/>
  <c r="AD14" i="32" s="1"/>
  <c r="AY13" i="32"/>
  <c r="BC13" i="32" s="1"/>
  <c r="W13" i="32"/>
  <c r="AG13" i="32" s="1"/>
  <c r="AJ13" i="32" s="1"/>
  <c r="AM13" i="32" s="1"/>
  <c r="AO13" i="32" s="1"/>
  <c r="R13" i="32"/>
  <c r="H13" i="32"/>
  <c r="H12" i="32" s="1"/>
  <c r="AY12" i="32"/>
  <c r="BC12" i="32" s="1"/>
  <c r="W12" i="32"/>
  <c r="AG12" i="32" s="1"/>
  <c r="AJ12" i="32" s="1"/>
  <c r="AM12" i="32" s="1"/>
  <c r="AO12" i="32" s="1"/>
  <c r="S12" i="32"/>
  <c r="S16" i="32" s="1"/>
  <c r="R12" i="32"/>
  <c r="I12" i="32"/>
  <c r="I16" i="32"/>
  <c r="J16" i="32" s="1"/>
  <c r="F12" i="32"/>
  <c r="F16" i="32" s="1"/>
  <c r="R7" i="32"/>
  <c r="AB7" i="32" s="1"/>
  <c r="P40" i="32"/>
  <c r="AJ40" i="32"/>
  <c r="M46" i="32"/>
  <c r="M152" i="32" s="1"/>
  <c r="X106" i="32"/>
  <c r="Z106" i="32" s="1"/>
  <c r="AD106" i="32" s="1"/>
  <c r="J63" i="32"/>
  <c r="X60" i="32"/>
  <c r="Z60" i="32" s="1"/>
  <c r="AD60" i="32" s="1"/>
  <c r="Z37" i="32"/>
  <c r="AD37" i="32" s="1"/>
  <c r="X66" i="32"/>
  <c r="Z66" i="32" s="1"/>
  <c r="AD66" i="32" s="1"/>
  <c r="I119" i="32"/>
  <c r="I120" i="32" s="1"/>
  <c r="X75" i="34"/>
  <c r="AA17" i="33"/>
  <c r="AE17" i="33" s="1"/>
  <c r="AG70" i="32"/>
  <c r="AJ70" i="32" s="1"/>
  <c r="AG73" i="32"/>
  <c r="AJ73" i="32"/>
  <c r="AG104" i="32"/>
  <c r="AJ104" i="32" s="1"/>
  <c r="I76" i="32"/>
  <c r="F76" i="32" s="1"/>
  <c r="I100" i="32"/>
  <c r="AG100" i="32"/>
  <c r="F119" i="32"/>
  <c r="F120" i="32" s="1"/>
  <c r="Z43" i="32"/>
  <c r="AD43" i="32" s="1"/>
  <c r="AJ25" i="32"/>
  <c r="AM25" i="32" s="1"/>
  <c r="J76" i="32"/>
  <c r="P76" i="32" s="1"/>
  <c r="B108" i="29"/>
  <c r="B107" i="29"/>
  <c r="B106" i="29"/>
  <c r="B105" i="29"/>
  <c r="B104" i="29"/>
  <c r="AQ89" i="29"/>
  <c r="AK89" i="29"/>
  <c r="AK90" i="29" s="1"/>
  <c r="AF89" i="29"/>
  <c r="Z89" i="29"/>
  <c r="U89" i="29"/>
  <c r="O89" i="29"/>
  <c r="L89" i="29"/>
  <c r="F89" i="29"/>
  <c r="AT87" i="29"/>
  <c r="AQ87" i="29"/>
  <c r="AQ90" i="29" s="1"/>
  <c r="AM87" i="29"/>
  <c r="AK87" i="29"/>
  <c r="AI87" i="29"/>
  <c r="AF87" i="29"/>
  <c r="AB87" i="29"/>
  <c r="Z87" i="29"/>
  <c r="X87" i="29"/>
  <c r="U87" i="29"/>
  <c r="P87" i="29"/>
  <c r="O87" i="29"/>
  <c r="L87" i="29"/>
  <c r="I87" i="29"/>
  <c r="H87" i="29"/>
  <c r="F87" i="29"/>
  <c r="AK86" i="29"/>
  <c r="AF86" i="29"/>
  <c r="Z86" i="29"/>
  <c r="U86" i="29"/>
  <c r="O86" i="29"/>
  <c r="F86" i="29"/>
  <c r="J72" i="29"/>
  <c r="M72" i="29"/>
  <c r="J71" i="29"/>
  <c r="M71" i="29"/>
  <c r="J70" i="29"/>
  <c r="M70" i="29"/>
  <c r="Z69" i="29"/>
  <c r="U69" i="29"/>
  <c r="O69" i="29"/>
  <c r="J69" i="29"/>
  <c r="M69" i="29"/>
  <c r="AK67" i="29"/>
  <c r="AF67" i="29"/>
  <c r="AI67" i="29"/>
  <c r="AM67" i="29"/>
  <c r="Z67" i="29"/>
  <c r="U67" i="29"/>
  <c r="X67" i="29"/>
  <c r="AB67" i="29"/>
  <c r="AB64" i="29"/>
  <c r="O67" i="29"/>
  <c r="P67" i="29"/>
  <c r="P64" i="29"/>
  <c r="P89" i="29"/>
  <c r="L67" i="29"/>
  <c r="I67" i="29"/>
  <c r="I64" i="29"/>
  <c r="I89" i="29"/>
  <c r="AT64" i="29"/>
  <c r="AT89" i="29"/>
  <c r="AI64" i="29"/>
  <c r="AM64" i="29" s="1"/>
  <c r="AM89" i="29" s="1"/>
  <c r="AI89" i="29"/>
  <c r="J62" i="29"/>
  <c r="M62" i="29"/>
  <c r="J61" i="29"/>
  <c r="M61" i="29"/>
  <c r="J59" i="29"/>
  <c r="M59" i="29"/>
  <c r="J58" i="29"/>
  <c r="M58" i="29"/>
  <c r="J57" i="29"/>
  <c r="M57" i="29"/>
  <c r="J56" i="29"/>
  <c r="M56" i="29"/>
  <c r="AT55" i="29"/>
  <c r="AQ55" i="29"/>
  <c r="AM55" i="29"/>
  <c r="AI55" i="29"/>
  <c r="AB55" i="29"/>
  <c r="Z55" i="29"/>
  <c r="X55" i="29"/>
  <c r="U55" i="29"/>
  <c r="P55" i="29"/>
  <c r="O55" i="29"/>
  <c r="I55" i="29"/>
  <c r="J55" i="29" s="1"/>
  <c r="H55" i="29"/>
  <c r="J53" i="29"/>
  <c r="M53" i="29"/>
  <c r="J52" i="29"/>
  <c r="M52" i="29" s="1"/>
  <c r="J51" i="29"/>
  <c r="M51" i="29"/>
  <c r="J50" i="29"/>
  <c r="M50" i="29" s="1"/>
  <c r="J49" i="29"/>
  <c r="M49" i="29"/>
  <c r="J48" i="29"/>
  <c r="M48" i="29" s="1"/>
  <c r="J47" i="29"/>
  <c r="M47" i="29"/>
  <c r="J45" i="29"/>
  <c r="M45" i="29" s="1"/>
  <c r="J44" i="29"/>
  <c r="M44" i="29"/>
  <c r="J43" i="29"/>
  <c r="M43" i="29" s="1"/>
  <c r="AQ41" i="29"/>
  <c r="AI41" i="29"/>
  <c r="X41" i="29"/>
  <c r="P41" i="29"/>
  <c r="P86" i="29"/>
  <c r="L41" i="29"/>
  <c r="AM39" i="29"/>
  <c r="AI39" i="29"/>
  <c r="L39" i="29"/>
  <c r="AM38" i="29"/>
  <c r="AI38" i="29"/>
  <c r="J38" i="29"/>
  <c r="M38" i="29"/>
  <c r="AT37" i="29"/>
  <c r="AT86" i="29"/>
  <c r="AQ37" i="29"/>
  <c r="AM37" i="29"/>
  <c r="AI37" i="29"/>
  <c r="AI35" i="29" s="1"/>
  <c r="J37" i="29"/>
  <c r="M37" i="29" s="1"/>
  <c r="L35" i="29"/>
  <c r="J35" i="29"/>
  <c r="M35" i="29" s="1"/>
  <c r="AM31" i="29"/>
  <c r="AI31" i="29"/>
  <c r="X31" i="29"/>
  <c r="AB31" i="29"/>
  <c r="AQ30" i="29"/>
  <c r="AQ67" i="29"/>
  <c r="AT67" i="29"/>
  <c r="AM30" i="29"/>
  <c r="AI30" i="29"/>
  <c r="AD30" i="29"/>
  <c r="S30" i="29"/>
  <c r="J30" i="29"/>
  <c r="AT28" i="29"/>
  <c r="AT88" i="29"/>
  <c r="AQ28" i="29"/>
  <c r="AQ88" i="29" s="1"/>
  <c r="AK28" i="29"/>
  <c r="AK88" i="29"/>
  <c r="AK92" i="29"/>
  <c r="AF28" i="29"/>
  <c r="AF88" i="29" s="1"/>
  <c r="AF92" i="29" s="1"/>
  <c r="AB28" i="29"/>
  <c r="Z28" i="29"/>
  <c r="Z88" i="29" s="1"/>
  <c r="F28" i="29"/>
  <c r="F88" i="29" s="1"/>
  <c r="F92" i="29" s="1"/>
  <c r="F94" i="29" s="1"/>
  <c r="L27" i="29"/>
  <c r="J27" i="29"/>
  <c r="AO26" i="29"/>
  <c r="AD26" i="29"/>
  <c r="U26" i="29"/>
  <c r="P26" i="29"/>
  <c r="O26" i="29"/>
  <c r="O25" i="29"/>
  <c r="S25" i="29" s="1"/>
  <c r="O28" i="29"/>
  <c r="O88" i="29" s="1"/>
  <c r="O92" i="29" s="1"/>
  <c r="M26" i="29"/>
  <c r="M25" i="29" s="1"/>
  <c r="M28" i="29" s="1"/>
  <c r="L26" i="29"/>
  <c r="L25" i="29" s="1"/>
  <c r="L28" i="29" s="1"/>
  <c r="L88" i="29" s="1"/>
  <c r="L92" i="29" s="1"/>
  <c r="L94" i="29" s="1"/>
  <c r="I26" i="29"/>
  <c r="I25" i="29"/>
  <c r="I28" i="29" s="1"/>
  <c r="I88" i="29" s="1"/>
  <c r="H26" i="29"/>
  <c r="J26" i="29"/>
  <c r="AO25" i="29"/>
  <c r="AD25" i="29"/>
  <c r="U25" i="29"/>
  <c r="X25" i="29" s="1"/>
  <c r="U28" i="29"/>
  <c r="AM24" i="29"/>
  <c r="AO24" i="29"/>
  <c r="AI24" i="29"/>
  <c r="AD24" i="29"/>
  <c r="X24" i="29"/>
  <c r="S24" i="29"/>
  <c r="H24" i="29"/>
  <c r="J22" i="29"/>
  <c r="AO21" i="29"/>
  <c r="AD21" i="29"/>
  <c r="S21" i="29"/>
  <c r="AM20" i="29"/>
  <c r="AI20" i="29"/>
  <c r="AB20" i="29"/>
  <c r="Z20" i="29"/>
  <c r="X20" i="29"/>
  <c r="S20" i="29"/>
  <c r="AO19" i="29"/>
  <c r="Z19" i="29"/>
  <c r="S19" i="29"/>
  <c r="X19" i="29" s="1"/>
  <c r="X22" i="29" s="1"/>
  <c r="J19" i="29"/>
  <c r="AM18" i="29"/>
  <c r="AO18" i="29" s="1"/>
  <c r="AI18" i="29"/>
  <c r="AD18" i="29"/>
  <c r="S18" i="29"/>
  <c r="AT17" i="29"/>
  <c r="AQ17" i="29"/>
  <c r="AQ22" i="29"/>
  <c r="AM17" i="29"/>
  <c r="AK17" i="29"/>
  <c r="AK22" i="29" s="1"/>
  <c r="AI17" i="29"/>
  <c r="AF17" i="29"/>
  <c r="AF22" i="29"/>
  <c r="Z17" i="29"/>
  <c r="AD17" i="29" s="1"/>
  <c r="U17" i="29"/>
  <c r="U22" i="29"/>
  <c r="P17" i="29"/>
  <c r="O17" i="29"/>
  <c r="L17" i="29"/>
  <c r="L22" i="29"/>
  <c r="I17" i="29"/>
  <c r="I20" i="29"/>
  <c r="H17" i="29"/>
  <c r="J17" i="29" s="1"/>
  <c r="AT15" i="29"/>
  <c r="AQ15" i="29"/>
  <c r="AK15" i="29"/>
  <c r="AF15" i="29"/>
  <c r="X15" i="29"/>
  <c r="U15" i="29"/>
  <c r="P15" i="29"/>
  <c r="O15" i="29"/>
  <c r="S15" i="29" s="1"/>
  <c r="L15" i="29"/>
  <c r="J15" i="29"/>
  <c r="AM13" i="29"/>
  <c r="AO13" i="29"/>
  <c r="AI13" i="29"/>
  <c r="AD13" i="29"/>
  <c r="S13" i="29"/>
  <c r="H13" i="29"/>
  <c r="J13" i="29"/>
  <c r="M13" i="29" s="1"/>
  <c r="AM12" i="29"/>
  <c r="AO12" i="29"/>
  <c r="AI12" i="29"/>
  <c r="AB12" i="29"/>
  <c r="Z12" i="29"/>
  <c r="Z15" i="29" s="1"/>
  <c r="S12" i="29"/>
  <c r="J12" i="29"/>
  <c r="M12" i="29"/>
  <c r="M15" i="29" s="1"/>
  <c r="AQ7" i="29"/>
  <c r="AV7" i="29" s="1"/>
  <c r="BA7" i="29" s="1"/>
  <c r="AF7" i="29"/>
  <c r="O7" i="29"/>
  <c r="U7" i="29"/>
  <c r="AT22" i="29"/>
  <c r="S55" i="29"/>
  <c r="AD55" i="29"/>
  <c r="AI22" i="29"/>
  <c r="AM35" i="29"/>
  <c r="L55" i="29"/>
  <c r="P69" i="29"/>
  <c r="AF94" i="29"/>
  <c r="O94" i="29"/>
  <c r="AI28" i="29"/>
  <c r="AI88" i="29" s="1"/>
  <c r="AK94" i="29"/>
  <c r="AO17" i="29"/>
  <c r="S26" i="29"/>
  <c r="AB88" i="29"/>
  <c r="AM28" i="29"/>
  <c r="AM88" i="29" s="1"/>
  <c r="AQ92" i="29"/>
  <c r="AQ94" i="29"/>
  <c r="M67" i="29"/>
  <c r="AM22" i="29"/>
  <c r="X64" i="29"/>
  <c r="H67" i="29"/>
  <c r="H64" i="29"/>
  <c r="H89" i="29" s="1"/>
  <c r="J64" i="29"/>
  <c r="M64" i="29" s="1"/>
  <c r="M89" i="29" s="1"/>
  <c r="AI92" i="29"/>
  <c r="AI94" i="29" s="1"/>
  <c r="P25" i="29"/>
  <c r="M19" i="29"/>
  <c r="J18" i="29"/>
  <c r="M18" i="29" s="1"/>
  <c r="AM15" i="29"/>
  <c r="AO15" i="29"/>
  <c r="O22" i="29"/>
  <c r="AB19" i="29"/>
  <c r="X86" i="29"/>
  <c r="X69" i="29"/>
  <c r="Z22" i="29"/>
  <c r="AB41" i="29"/>
  <c r="AB15" i="29"/>
  <c r="AD15" i="29"/>
  <c r="AD12" i="29"/>
  <c r="AQ86" i="29"/>
  <c r="H41" i="29"/>
  <c r="I92" i="29"/>
  <c r="I94" i="29" s="1"/>
  <c r="AF90" i="29"/>
  <c r="AB89" i="29"/>
  <c r="AK93" i="29"/>
  <c r="P28" i="29"/>
  <c r="P88" i="29"/>
  <c r="AQ96" i="29"/>
  <c r="AQ93" i="29"/>
  <c r="P92" i="29"/>
  <c r="P94" i="29" s="1"/>
  <c r="B104" i="28"/>
  <c r="B103" i="28"/>
  <c r="B102" i="28"/>
  <c r="B101" i="28"/>
  <c r="B100" i="28"/>
  <c r="B107" i="26"/>
  <c r="B106" i="26"/>
  <c r="B105" i="26"/>
  <c r="B104" i="26"/>
  <c r="B103" i="26"/>
  <c r="B102" i="26"/>
  <c r="T90" i="26"/>
  <c r="P90" i="26"/>
  <c r="P99" i="26"/>
  <c r="O90" i="26"/>
  <c r="AL87" i="26"/>
  <c r="AG87" i="26"/>
  <c r="AC87" i="26"/>
  <c r="X87" i="26"/>
  <c r="T87" i="26"/>
  <c r="P87" i="26"/>
  <c r="O87" i="26"/>
  <c r="L87" i="26"/>
  <c r="I87" i="26"/>
  <c r="H87" i="26"/>
  <c r="F87" i="26"/>
  <c r="AL85" i="26"/>
  <c r="AG85" i="26"/>
  <c r="AC85" i="26"/>
  <c r="X85" i="26"/>
  <c r="T85" i="26"/>
  <c r="T88" i="26" s="1"/>
  <c r="P85" i="26"/>
  <c r="O85" i="26"/>
  <c r="L85" i="26"/>
  <c r="I85" i="26"/>
  <c r="I88" i="26" s="1"/>
  <c r="H85" i="26"/>
  <c r="F85" i="26"/>
  <c r="AL84" i="26"/>
  <c r="X84" i="26"/>
  <c r="T84" i="26"/>
  <c r="P84" i="26"/>
  <c r="O84" i="26"/>
  <c r="L84" i="26"/>
  <c r="L88" i="26" s="1"/>
  <c r="I84" i="26"/>
  <c r="H84" i="26"/>
  <c r="F84" i="26"/>
  <c r="AJ81" i="26"/>
  <c r="AN81" i="26" s="1"/>
  <c r="AA81" i="26"/>
  <c r="AE81" i="26"/>
  <c r="R81" i="26"/>
  <c r="V81" i="26" s="1"/>
  <c r="AJ80" i="26"/>
  <c r="AN80" i="26"/>
  <c r="AA80" i="26"/>
  <c r="AE80" i="26" s="1"/>
  <c r="R80" i="26"/>
  <c r="V80" i="26"/>
  <c r="AH79" i="26"/>
  <c r="AJ79" i="26" s="1"/>
  <c r="AN79" i="26" s="1"/>
  <c r="AA79" i="26"/>
  <c r="AE79" i="26"/>
  <c r="R79" i="26"/>
  <c r="V79" i="26" s="1"/>
  <c r="AH78" i="26"/>
  <c r="AJ78" i="26" s="1"/>
  <c r="AN78" i="26" s="1"/>
  <c r="AA78" i="26"/>
  <c r="AE78" i="26"/>
  <c r="R78" i="26"/>
  <c r="V78" i="26"/>
  <c r="AH77" i="26"/>
  <c r="AJ77" i="26"/>
  <c r="AN77" i="26" s="1"/>
  <c r="AA77" i="26"/>
  <c r="AE77" i="26" s="1"/>
  <c r="R77" i="26"/>
  <c r="V77" i="26" s="1"/>
  <c r="AH76" i="26"/>
  <c r="AJ76" i="26" s="1"/>
  <c r="AN76" i="26"/>
  <c r="AA76" i="26"/>
  <c r="AE76" i="26" s="1"/>
  <c r="R76" i="26"/>
  <c r="V76" i="26"/>
  <c r="AH75" i="26"/>
  <c r="AJ75" i="26" s="1"/>
  <c r="AN75" i="26" s="1"/>
  <c r="AA75" i="26"/>
  <c r="AE75" i="26"/>
  <c r="R75" i="26"/>
  <c r="V75" i="26" s="1"/>
  <c r="AH74" i="26"/>
  <c r="AJ74" i="26" s="1"/>
  <c r="AN74" i="26" s="1"/>
  <c r="AA74" i="26"/>
  <c r="AE74" i="26"/>
  <c r="R74" i="26"/>
  <c r="V74" i="26"/>
  <c r="AH73" i="26"/>
  <c r="AJ73" i="26"/>
  <c r="AN73" i="26" s="1"/>
  <c r="AA73" i="26"/>
  <c r="AE73" i="26" s="1"/>
  <c r="R73" i="26"/>
  <c r="V73" i="26" s="1"/>
  <c r="AH72" i="26"/>
  <c r="AJ70" i="26"/>
  <c r="AN70" i="26"/>
  <c r="AA70" i="26"/>
  <c r="AE70" i="26" s="1"/>
  <c r="R70" i="26"/>
  <c r="V70" i="26"/>
  <c r="J70" i="26"/>
  <c r="M70" i="26" s="1"/>
  <c r="AJ69" i="26"/>
  <c r="AN69" i="26"/>
  <c r="AA69" i="26"/>
  <c r="AE69" i="26" s="1"/>
  <c r="R69" i="26"/>
  <c r="V69" i="26"/>
  <c r="J69" i="26"/>
  <c r="M69" i="26" s="1"/>
  <c r="AN68" i="26"/>
  <c r="AE68" i="26"/>
  <c r="AA68" i="26"/>
  <c r="V68" i="26"/>
  <c r="R68" i="26"/>
  <c r="J68" i="26"/>
  <c r="M68" i="26" s="1"/>
  <c r="AN67" i="26"/>
  <c r="AH67" i="26"/>
  <c r="AJ67" i="26"/>
  <c r="AE67" i="26"/>
  <c r="AA67" i="26"/>
  <c r="V67" i="26"/>
  <c r="R67" i="26"/>
  <c r="M67" i="26"/>
  <c r="L67" i="26"/>
  <c r="J67" i="26"/>
  <c r="AA64" i="26"/>
  <c r="AE64" i="26" s="1"/>
  <c r="AE87" i="26" s="1"/>
  <c r="R64" i="26"/>
  <c r="V64" i="26"/>
  <c r="V87" i="26" s="1"/>
  <c r="AJ63" i="26"/>
  <c r="AA63" i="26"/>
  <c r="R63" i="26"/>
  <c r="J63" i="26"/>
  <c r="AA61" i="26"/>
  <c r="AE61" i="26" s="1"/>
  <c r="R61" i="26"/>
  <c r="V61" i="26"/>
  <c r="J61" i="26"/>
  <c r="M61" i="26" s="1"/>
  <c r="AA60" i="26"/>
  <c r="AE60" i="26"/>
  <c r="R60" i="26"/>
  <c r="V60" i="26" s="1"/>
  <c r="J60" i="26"/>
  <c r="M60" i="26" s="1"/>
  <c r="AA59" i="26"/>
  <c r="AE59" i="26" s="1"/>
  <c r="R59" i="26"/>
  <c r="V59" i="26" s="1"/>
  <c r="AA58" i="26"/>
  <c r="AE58" i="26" s="1"/>
  <c r="R58" i="26"/>
  <c r="V58" i="26"/>
  <c r="J58" i="26"/>
  <c r="M58" i="26" s="1"/>
  <c r="AA57" i="26"/>
  <c r="AE57" i="26"/>
  <c r="R57" i="26"/>
  <c r="V57" i="26" s="1"/>
  <c r="J57" i="26"/>
  <c r="M57" i="26" s="1"/>
  <c r="AA56" i="26"/>
  <c r="AE56" i="26" s="1"/>
  <c r="R56" i="26"/>
  <c r="V56" i="26" s="1"/>
  <c r="J56" i="26"/>
  <c r="M56" i="26" s="1"/>
  <c r="AA55" i="26"/>
  <c r="AE55" i="26"/>
  <c r="R55" i="26"/>
  <c r="V55" i="26" s="1"/>
  <c r="J55" i="26"/>
  <c r="M55" i="26"/>
  <c r="AA54" i="26"/>
  <c r="AE54" i="26" s="1"/>
  <c r="R54" i="26"/>
  <c r="V54" i="26" s="1"/>
  <c r="J54" i="26"/>
  <c r="M54" i="26" s="1"/>
  <c r="AA52" i="26"/>
  <c r="AE52" i="26" s="1"/>
  <c r="R52" i="26"/>
  <c r="V52" i="26" s="1"/>
  <c r="J52" i="26"/>
  <c r="M52" i="26"/>
  <c r="AA51" i="26"/>
  <c r="AE51" i="26" s="1"/>
  <c r="R51" i="26"/>
  <c r="V51" i="26"/>
  <c r="J51" i="26"/>
  <c r="M51" i="26" s="1"/>
  <c r="AA50" i="26"/>
  <c r="AE50" i="26" s="1"/>
  <c r="R50" i="26"/>
  <c r="V50" i="26" s="1"/>
  <c r="J50" i="26"/>
  <c r="M50" i="26" s="1"/>
  <c r="AA49" i="26"/>
  <c r="AE49" i="26" s="1"/>
  <c r="R49" i="26"/>
  <c r="V49" i="26"/>
  <c r="J49" i="26"/>
  <c r="M49" i="26" s="1"/>
  <c r="AA48" i="26"/>
  <c r="AE48" i="26"/>
  <c r="R48" i="26"/>
  <c r="V48" i="26" s="1"/>
  <c r="J48" i="26"/>
  <c r="M48" i="26" s="1"/>
  <c r="AA47" i="26"/>
  <c r="AE47" i="26" s="1"/>
  <c r="R47" i="26"/>
  <c r="V47" i="26" s="1"/>
  <c r="V85" i="26" s="1"/>
  <c r="J47" i="26"/>
  <c r="M47" i="26" s="1"/>
  <c r="AA46" i="26"/>
  <c r="AE46" i="26"/>
  <c r="AE85" i="26" s="1"/>
  <c r="R46" i="26"/>
  <c r="V46" i="26" s="1"/>
  <c r="J46" i="26"/>
  <c r="M46" i="26"/>
  <c r="AA44" i="26"/>
  <c r="AE44" i="26" s="1"/>
  <c r="R44" i="26"/>
  <c r="V44" i="26" s="1"/>
  <c r="J44" i="26"/>
  <c r="M44" i="26" s="1"/>
  <c r="AA43" i="26"/>
  <c r="AE43" i="26" s="1"/>
  <c r="R43" i="26"/>
  <c r="V43" i="26" s="1"/>
  <c r="J43" i="26"/>
  <c r="M43" i="26"/>
  <c r="J42" i="26"/>
  <c r="M42" i="26" s="1"/>
  <c r="AA40" i="26"/>
  <c r="AE40" i="26"/>
  <c r="R40" i="26"/>
  <c r="V40" i="26" s="1"/>
  <c r="J40" i="26"/>
  <c r="M40" i="26" s="1"/>
  <c r="AC39" i="26"/>
  <c r="AE39" i="26" s="1"/>
  <c r="AA39" i="26"/>
  <c r="R39" i="26"/>
  <c r="V39" i="26" s="1"/>
  <c r="J39" i="26"/>
  <c r="M39" i="26" s="1"/>
  <c r="AA38" i="26"/>
  <c r="R38" i="26"/>
  <c r="V38" i="26" s="1"/>
  <c r="J38" i="26"/>
  <c r="M38" i="26"/>
  <c r="M84" i="26" s="1"/>
  <c r="AA37" i="26"/>
  <c r="R37" i="26"/>
  <c r="V37" i="26" s="1"/>
  <c r="M37" i="26"/>
  <c r="J37" i="26"/>
  <c r="AJ33" i="26"/>
  <c r="AN33" i="26" s="1"/>
  <c r="AA33" i="26"/>
  <c r="AE33" i="26"/>
  <c r="R33" i="26"/>
  <c r="V33" i="26" s="1"/>
  <c r="AN32" i="26"/>
  <c r="AE32" i="26"/>
  <c r="V32" i="26"/>
  <c r="M31" i="26"/>
  <c r="M63" i="26"/>
  <c r="M87" i="26" s="1"/>
  <c r="AG30" i="26"/>
  <c r="AE30" i="26"/>
  <c r="AE86" i="26" s="1"/>
  <c r="X30" i="26"/>
  <c r="X86" i="26" s="1"/>
  <c r="X90" i="26" s="1"/>
  <c r="T30" i="26"/>
  <c r="T86" i="26" s="1"/>
  <c r="P30" i="26"/>
  <c r="P86" i="26"/>
  <c r="P88" i="26" s="1"/>
  <c r="O30" i="26"/>
  <c r="O86" i="26" s="1"/>
  <c r="L30" i="26"/>
  <c r="L86" i="26"/>
  <c r="I30" i="26"/>
  <c r="F30" i="26" s="1"/>
  <c r="F86" i="26" s="1"/>
  <c r="F88" i="26" s="1"/>
  <c r="H30" i="26"/>
  <c r="H86" i="26"/>
  <c r="H88" i="26" s="1"/>
  <c r="AJ29" i="26"/>
  <c r="AN29" i="26" s="1"/>
  <c r="AA29" i="26"/>
  <c r="AE29" i="26"/>
  <c r="R29" i="26"/>
  <c r="V29" i="26" s="1"/>
  <c r="J29" i="26"/>
  <c r="AJ28" i="26"/>
  <c r="AN28" i="26" s="1"/>
  <c r="AA28" i="26"/>
  <c r="AE28" i="26"/>
  <c r="R28" i="26"/>
  <c r="V28" i="26" s="1"/>
  <c r="M28" i="26"/>
  <c r="J28" i="26"/>
  <c r="AJ27" i="26"/>
  <c r="AN27" i="26" s="1"/>
  <c r="AA27" i="26"/>
  <c r="AE27" i="26"/>
  <c r="V27" i="26"/>
  <c r="V30" i="26" s="1"/>
  <c r="V86" i="26" s="1"/>
  <c r="M27" i="26"/>
  <c r="J27" i="26"/>
  <c r="AJ26" i="26"/>
  <c r="AN26" i="26" s="1"/>
  <c r="AA26" i="26"/>
  <c r="AE26" i="26"/>
  <c r="V26" i="26"/>
  <c r="M26" i="26"/>
  <c r="J26" i="26"/>
  <c r="L24" i="26"/>
  <c r="F24" i="26"/>
  <c r="AA23" i="26"/>
  <c r="AE23" i="26" s="1"/>
  <c r="R23" i="26"/>
  <c r="V23" i="26"/>
  <c r="M23" i="26"/>
  <c r="J23" i="26"/>
  <c r="AA22" i="26"/>
  <c r="AE22" i="26"/>
  <c r="R22" i="26"/>
  <c r="V22" i="26" s="1"/>
  <c r="AA21" i="26"/>
  <c r="AE21" i="26"/>
  <c r="P21" i="26"/>
  <c r="O21" i="26"/>
  <c r="AA20" i="26"/>
  <c r="AE20" i="26"/>
  <c r="R20" i="26"/>
  <c r="V20" i="26" s="1"/>
  <c r="M20" i="26"/>
  <c r="M24" i="26" s="1"/>
  <c r="I20" i="26"/>
  <c r="H20" i="26"/>
  <c r="AG24" i="26"/>
  <c r="AC19" i="26"/>
  <c r="X19" i="26"/>
  <c r="T19" i="26"/>
  <c r="P19" i="26"/>
  <c r="O19" i="26"/>
  <c r="M19" i="26"/>
  <c r="J19" i="26"/>
  <c r="AL17" i="26"/>
  <c r="T17" i="26"/>
  <c r="P17" i="26"/>
  <c r="O17" i="26"/>
  <c r="R17" i="26" s="1"/>
  <c r="L17" i="26"/>
  <c r="F17" i="26"/>
  <c r="AJ16" i="26"/>
  <c r="AN16" i="26"/>
  <c r="AA16" i="26"/>
  <c r="AE16" i="26" s="1"/>
  <c r="AE17" i="26" s="1"/>
  <c r="R16" i="26"/>
  <c r="V16" i="26"/>
  <c r="AH15" i="26"/>
  <c r="AA15" i="26"/>
  <c r="AE15" i="26"/>
  <c r="R15" i="26"/>
  <c r="V15" i="26" s="1"/>
  <c r="M15" i="26"/>
  <c r="J15" i="26"/>
  <c r="AG14" i="26"/>
  <c r="AJ14" i="26" s="1"/>
  <c r="AN14" i="26" s="1"/>
  <c r="AC14" i="26"/>
  <c r="AE14" i="26" s="1"/>
  <c r="Y14" i="26"/>
  <c r="X14" i="26"/>
  <c r="R14" i="26"/>
  <c r="V14" i="26"/>
  <c r="V17" i="26" s="1"/>
  <c r="AH12" i="26"/>
  <c r="AG12" i="26"/>
  <c r="AC12" i="26"/>
  <c r="AC17" i="26" s="1"/>
  <c r="Y12" i="26"/>
  <c r="AA12" i="26" s="1"/>
  <c r="AE12" i="26" s="1"/>
  <c r="X12" i="26"/>
  <c r="R12" i="26"/>
  <c r="V12" i="26"/>
  <c r="M12" i="26"/>
  <c r="I12" i="26"/>
  <c r="H12" i="26"/>
  <c r="H17" i="26"/>
  <c r="J17" i="26" s="1"/>
  <c r="T92" i="26"/>
  <c r="AG17" i="26"/>
  <c r="O24" i="26"/>
  <c r="AJ12" i="26"/>
  <c r="AN12" i="26" s="1"/>
  <c r="Y17" i="26"/>
  <c r="X88" i="26"/>
  <c r="AL24" i="26"/>
  <c r="R21" i="26"/>
  <c r="V21" i="26"/>
  <c r="I17" i="26"/>
  <c r="J12" i="26"/>
  <c r="X17" i="26"/>
  <c r="AA14" i="26"/>
  <c r="X24" i="26"/>
  <c r="AA24" i="26"/>
  <c r="AA19" i="26"/>
  <c r="AA42" i="26"/>
  <c r="AE42" i="26"/>
  <c r="AE37" i="26"/>
  <c r="AC38" i="26"/>
  <c r="T24" i="26"/>
  <c r="I86" i="26"/>
  <c r="M17" i="26"/>
  <c r="H24" i="26"/>
  <c r="M30" i="26"/>
  <c r="M86" i="26"/>
  <c r="R42" i="26"/>
  <c r="V42" i="26" s="1"/>
  <c r="AC30" i="26"/>
  <c r="AC86" i="26"/>
  <c r="AG84" i="26"/>
  <c r="P94" i="26"/>
  <c r="Y99" i="26"/>
  <c r="Y92" i="26"/>
  <c r="AC84" i="26"/>
  <c r="F95" i="26"/>
  <c r="F96" i="26" s="1"/>
  <c r="Y94" i="26"/>
  <c r="Y91" i="26"/>
  <c r="Y89" i="26"/>
  <c r="Y98" i="26"/>
  <c r="Y95" i="26"/>
  <c r="Y96" i="26" s="1"/>
  <c r="B115" i="19"/>
  <c r="B114" i="19"/>
  <c r="P102" i="19"/>
  <c r="O102" i="19"/>
  <c r="AQ100" i="19"/>
  <c r="AF100" i="19"/>
  <c r="U100" i="19"/>
  <c r="AL99" i="19"/>
  <c r="AA99" i="19"/>
  <c r="P99" i="19"/>
  <c r="O99" i="19"/>
  <c r="L99" i="19"/>
  <c r="I99" i="19"/>
  <c r="H99" i="19"/>
  <c r="F99" i="19"/>
  <c r="AL97" i="19"/>
  <c r="AA97" i="19"/>
  <c r="P97" i="19"/>
  <c r="O97" i="19"/>
  <c r="L97" i="19"/>
  <c r="I97" i="19"/>
  <c r="H97" i="19"/>
  <c r="F97" i="19"/>
  <c r="AE96" i="19"/>
  <c r="AE100" i="19" s="1"/>
  <c r="T96" i="19"/>
  <c r="P96" i="19"/>
  <c r="O96" i="19"/>
  <c r="L96" i="19"/>
  <c r="I96" i="19"/>
  <c r="H96" i="19"/>
  <c r="F96" i="19"/>
  <c r="AN93" i="19"/>
  <c r="AR93" i="19" s="1"/>
  <c r="AC93" i="19"/>
  <c r="AG93" i="19" s="1"/>
  <c r="R93" i="19"/>
  <c r="V93" i="19" s="1"/>
  <c r="AN92" i="19"/>
  <c r="AR92" i="19" s="1"/>
  <c r="AC92" i="19"/>
  <c r="AG92" i="19" s="1"/>
  <c r="R92" i="19"/>
  <c r="V92" i="19"/>
  <c r="AN91" i="19"/>
  <c r="AR91" i="19" s="1"/>
  <c r="AC91" i="19"/>
  <c r="AG91" i="19" s="1"/>
  <c r="R91" i="19"/>
  <c r="V91" i="19" s="1"/>
  <c r="AN90" i="19"/>
  <c r="AR90" i="19" s="1"/>
  <c r="AC90" i="19"/>
  <c r="AG90" i="19" s="1"/>
  <c r="R90" i="19"/>
  <c r="V90" i="19"/>
  <c r="AN89" i="19"/>
  <c r="AR89" i="19" s="1"/>
  <c r="AC89" i="19"/>
  <c r="AG89" i="19"/>
  <c r="R89" i="19"/>
  <c r="V89" i="19" s="1"/>
  <c r="AN88" i="19"/>
  <c r="AR88" i="19" s="1"/>
  <c r="AC88" i="19"/>
  <c r="AG88" i="19" s="1"/>
  <c r="R88" i="19"/>
  <c r="V88" i="19" s="1"/>
  <c r="AN87" i="19"/>
  <c r="AR87" i="19" s="1"/>
  <c r="AC87" i="19"/>
  <c r="AG87" i="19" s="1"/>
  <c r="R87" i="19"/>
  <c r="V87" i="19" s="1"/>
  <c r="AN86" i="19"/>
  <c r="AR86" i="19"/>
  <c r="AC86" i="19"/>
  <c r="AG86" i="19" s="1"/>
  <c r="R86" i="19"/>
  <c r="V86" i="19" s="1"/>
  <c r="AN85" i="19"/>
  <c r="AR85" i="19" s="1"/>
  <c r="AC85" i="19"/>
  <c r="AG85" i="19" s="1"/>
  <c r="R85" i="19"/>
  <c r="V85" i="19" s="1"/>
  <c r="AN82" i="19"/>
  <c r="AR82" i="19"/>
  <c r="AC82" i="19"/>
  <c r="AG82" i="19" s="1"/>
  <c r="R82" i="19"/>
  <c r="V82" i="19"/>
  <c r="J82" i="19"/>
  <c r="M82" i="19" s="1"/>
  <c r="AN81" i="19"/>
  <c r="AR81" i="19"/>
  <c r="AC81" i="19"/>
  <c r="AG81" i="19" s="1"/>
  <c r="R81" i="19"/>
  <c r="V81" i="19" s="1"/>
  <c r="J81" i="19"/>
  <c r="M81" i="19" s="1"/>
  <c r="AP80" i="19"/>
  <c r="AR80" i="19" s="1"/>
  <c r="AN80" i="19"/>
  <c r="AE80" i="19"/>
  <c r="AG80" i="19"/>
  <c r="AC80" i="19"/>
  <c r="T80" i="19"/>
  <c r="V80" i="19" s="1"/>
  <c r="R80" i="19"/>
  <c r="J80" i="19"/>
  <c r="M80" i="19" s="1"/>
  <c r="AP79" i="19"/>
  <c r="AR79" i="19" s="1"/>
  <c r="AN79" i="19"/>
  <c r="AE79" i="19"/>
  <c r="AG79" i="19" s="1"/>
  <c r="AC79" i="19"/>
  <c r="T79" i="19"/>
  <c r="V79" i="19" s="1"/>
  <c r="R79" i="19"/>
  <c r="J79" i="19"/>
  <c r="M79" i="19" s="1"/>
  <c r="I77" i="19"/>
  <c r="H77" i="19"/>
  <c r="F77" i="19"/>
  <c r="AP76" i="19"/>
  <c r="AN76" i="19"/>
  <c r="AC76" i="19"/>
  <c r="AG76" i="19"/>
  <c r="T76" i="19"/>
  <c r="T75" i="19" s="1"/>
  <c r="R76" i="19"/>
  <c r="AP75" i="19"/>
  <c r="AK75" i="19"/>
  <c r="Z75" i="19"/>
  <c r="R75" i="19"/>
  <c r="AN74" i="19"/>
  <c r="AC74" i="19"/>
  <c r="R74" i="19"/>
  <c r="J74" i="19"/>
  <c r="M74" i="19"/>
  <c r="M99" i="19"/>
  <c r="AN72" i="19"/>
  <c r="AR72" i="19" s="1"/>
  <c r="AC72" i="19"/>
  <c r="AG72" i="19" s="1"/>
  <c r="R72" i="19"/>
  <c r="V72" i="19" s="1"/>
  <c r="J72" i="19"/>
  <c r="M72" i="19" s="1"/>
  <c r="AN71" i="19"/>
  <c r="AR71" i="19" s="1"/>
  <c r="AC71" i="19"/>
  <c r="AG71" i="19"/>
  <c r="R71" i="19"/>
  <c r="V71" i="19" s="1"/>
  <c r="J71" i="19"/>
  <c r="M71" i="19"/>
  <c r="AN70" i="19"/>
  <c r="AR70" i="19" s="1"/>
  <c r="AC70" i="19"/>
  <c r="AG70" i="19"/>
  <c r="R70" i="19"/>
  <c r="V70" i="19" s="1"/>
  <c r="J70" i="19"/>
  <c r="M70" i="19" s="1"/>
  <c r="AN69" i="19"/>
  <c r="AR69" i="19" s="1"/>
  <c r="AC69" i="19"/>
  <c r="AG69" i="19" s="1"/>
  <c r="R69" i="19"/>
  <c r="V69" i="19" s="1"/>
  <c r="J69" i="19"/>
  <c r="M69" i="19"/>
  <c r="AN68" i="19"/>
  <c r="AR68" i="19" s="1"/>
  <c r="AC68" i="19"/>
  <c r="AG68" i="19" s="1"/>
  <c r="R68" i="19"/>
  <c r="V68" i="19" s="1"/>
  <c r="J68" i="19"/>
  <c r="M68" i="19" s="1"/>
  <c r="AN67" i="19"/>
  <c r="AR67" i="19" s="1"/>
  <c r="AC67" i="19"/>
  <c r="AG67" i="19"/>
  <c r="R67" i="19"/>
  <c r="V67" i="19" s="1"/>
  <c r="J67" i="19"/>
  <c r="M67" i="19"/>
  <c r="AN66" i="19"/>
  <c r="AR66" i="19" s="1"/>
  <c r="AC66" i="19"/>
  <c r="AG66" i="19"/>
  <c r="R66" i="19"/>
  <c r="V66" i="19" s="1"/>
  <c r="J66" i="19"/>
  <c r="M66" i="19" s="1"/>
  <c r="AN65" i="19"/>
  <c r="AR65" i="19" s="1"/>
  <c r="AC65" i="19"/>
  <c r="AG65" i="19" s="1"/>
  <c r="R65" i="19"/>
  <c r="V65" i="19" s="1"/>
  <c r="J65" i="19"/>
  <c r="M65" i="19"/>
  <c r="AN63" i="19"/>
  <c r="AR63" i="19" s="1"/>
  <c r="AC63" i="19"/>
  <c r="AG63" i="19" s="1"/>
  <c r="R63" i="19"/>
  <c r="V63" i="19" s="1"/>
  <c r="AP62" i="19"/>
  <c r="AN62" i="19"/>
  <c r="AE62" i="19"/>
  <c r="AC62" i="19"/>
  <c r="T62" i="19"/>
  <c r="R62" i="19"/>
  <c r="AP61" i="19"/>
  <c r="AN61" i="19"/>
  <c r="AR61" i="19" s="1"/>
  <c r="AE61" i="19"/>
  <c r="AC61" i="19"/>
  <c r="T61" i="19"/>
  <c r="R61" i="19"/>
  <c r="AP60" i="19"/>
  <c r="AN60" i="19"/>
  <c r="AE60" i="19"/>
  <c r="AC60" i="19"/>
  <c r="AG60" i="19" s="1"/>
  <c r="T60" i="19"/>
  <c r="R60" i="19"/>
  <c r="AP59" i="19"/>
  <c r="AN59" i="19"/>
  <c r="AE59" i="19"/>
  <c r="AG59" i="19" s="1"/>
  <c r="AC59" i="19"/>
  <c r="T59" i="19"/>
  <c r="R59" i="19"/>
  <c r="V59" i="19" s="1"/>
  <c r="AP58" i="19"/>
  <c r="AN58" i="19"/>
  <c r="AE58" i="19"/>
  <c r="AC58" i="19"/>
  <c r="T58" i="19"/>
  <c r="R58" i="19"/>
  <c r="AK57" i="19"/>
  <c r="AN57" i="19" s="1"/>
  <c r="AR57" i="19" s="1"/>
  <c r="AE57" i="19"/>
  <c r="Z57" i="19"/>
  <c r="AC57" i="19" s="1"/>
  <c r="T57" i="19"/>
  <c r="R57" i="19"/>
  <c r="AP56" i="19"/>
  <c r="AN56" i="19"/>
  <c r="AR56" i="19" s="1"/>
  <c r="AE56" i="19"/>
  <c r="AC56" i="19"/>
  <c r="T56" i="19"/>
  <c r="V56" i="19" s="1"/>
  <c r="R56" i="19"/>
  <c r="AP55" i="19"/>
  <c r="AK55" i="19"/>
  <c r="AN55" i="19" s="1"/>
  <c r="Z55" i="19"/>
  <c r="AC55" i="19"/>
  <c r="AG55" i="19" s="1"/>
  <c r="T55" i="19"/>
  <c r="R55" i="19"/>
  <c r="V55" i="19" s="1"/>
  <c r="AN54" i="19"/>
  <c r="AR54" i="19" s="1"/>
  <c r="AC54" i="19"/>
  <c r="AG54" i="19"/>
  <c r="T54" i="19"/>
  <c r="V54" i="19" s="1"/>
  <c r="R54" i="19"/>
  <c r="AK53" i="19"/>
  <c r="AN53" i="19"/>
  <c r="AR53" i="19" s="1"/>
  <c r="Z53" i="19"/>
  <c r="AC53" i="19" s="1"/>
  <c r="AG53" i="19" s="1"/>
  <c r="T53" i="19"/>
  <c r="R53" i="19"/>
  <c r="AP52" i="19"/>
  <c r="AP97" i="19" s="1"/>
  <c r="AK52" i="19"/>
  <c r="AN52" i="19" s="1"/>
  <c r="AE52" i="19"/>
  <c r="Z52" i="19"/>
  <c r="AC52" i="19" s="1"/>
  <c r="T52" i="19"/>
  <c r="R52" i="19"/>
  <c r="AN51" i="19"/>
  <c r="AR51" i="19" s="1"/>
  <c r="AE51" i="19"/>
  <c r="AC51" i="19"/>
  <c r="AG51" i="19" s="1"/>
  <c r="T51" i="19"/>
  <c r="R51" i="19"/>
  <c r="AP50" i="19"/>
  <c r="AN50" i="19"/>
  <c r="AR50" i="19" s="1"/>
  <c r="AE50" i="19"/>
  <c r="AG50" i="19" s="1"/>
  <c r="AC50" i="19"/>
  <c r="T50" i="19"/>
  <c r="R50" i="19"/>
  <c r="V50" i="19" s="1"/>
  <c r="J50" i="19"/>
  <c r="M50" i="19" s="1"/>
  <c r="AP49" i="19"/>
  <c r="AK49" i="19"/>
  <c r="AN49" i="19" s="1"/>
  <c r="AR49" i="19" s="1"/>
  <c r="AE49" i="19"/>
  <c r="AG49" i="19" s="1"/>
  <c r="Z49" i="19"/>
  <c r="AC49" i="19" s="1"/>
  <c r="T49" i="19"/>
  <c r="R49" i="19"/>
  <c r="J49" i="19"/>
  <c r="M49" i="19" s="1"/>
  <c r="AN48" i="19"/>
  <c r="AR48" i="19"/>
  <c r="AC48" i="19"/>
  <c r="AG48" i="19" s="1"/>
  <c r="T48" i="19"/>
  <c r="V48" i="19" s="1"/>
  <c r="R48" i="19"/>
  <c r="J48" i="19"/>
  <c r="M48" i="19" s="1"/>
  <c r="AK47" i="19"/>
  <c r="AN47" i="19"/>
  <c r="AR47" i="19" s="1"/>
  <c r="AE47" i="19"/>
  <c r="Z47" i="19"/>
  <c r="AC47" i="19" s="1"/>
  <c r="AG47" i="19" s="1"/>
  <c r="T47" i="19"/>
  <c r="R47" i="19"/>
  <c r="J47" i="19"/>
  <c r="M47" i="19"/>
  <c r="AP46" i="19"/>
  <c r="AK46" i="19"/>
  <c r="AN46" i="19" s="1"/>
  <c r="AR46" i="19" s="1"/>
  <c r="AE46" i="19"/>
  <c r="Z46" i="19"/>
  <c r="AC46" i="19" s="1"/>
  <c r="AG46" i="19" s="1"/>
  <c r="T46" i="19"/>
  <c r="R46" i="19"/>
  <c r="J46" i="19"/>
  <c r="M46" i="19" s="1"/>
  <c r="AP45" i="19"/>
  <c r="AK45" i="19"/>
  <c r="AN45" i="19" s="1"/>
  <c r="AR45" i="19" s="1"/>
  <c r="AE45" i="19"/>
  <c r="Z45" i="19"/>
  <c r="AC45" i="19"/>
  <c r="T45" i="19"/>
  <c r="R45" i="19"/>
  <c r="J45" i="19"/>
  <c r="M45" i="19"/>
  <c r="AP44" i="19"/>
  <c r="AK44" i="19"/>
  <c r="AE44" i="19"/>
  <c r="Z44" i="19"/>
  <c r="T44" i="19"/>
  <c r="T97" i="19" s="1"/>
  <c r="R44" i="19"/>
  <c r="J44" i="19"/>
  <c r="M44" i="19"/>
  <c r="AN42" i="19"/>
  <c r="AR42" i="19" s="1"/>
  <c r="AC42" i="19"/>
  <c r="AG42" i="19"/>
  <c r="R42" i="19"/>
  <c r="V42" i="19" s="1"/>
  <c r="J42" i="19"/>
  <c r="M42" i="19"/>
  <c r="AN41" i="19"/>
  <c r="AR41" i="19" s="1"/>
  <c r="AC41" i="19"/>
  <c r="AG41" i="19"/>
  <c r="R41" i="19"/>
  <c r="V41" i="19" s="1"/>
  <c r="J41" i="19"/>
  <c r="M41" i="19"/>
  <c r="J40" i="19"/>
  <c r="M40" i="19" s="1"/>
  <c r="AN38" i="19"/>
  <c r="AR38" i="19"/>
  <c r="AC38" i="19"/>
  <c r="AG38" i="19" s="1"/>
  <c r="R38" i="19"/>
  <c r="V38" i="19"/>
  <c r="J38" i="19"/>
  <c r="M38" i="19" s="1"/>
  <c r="AP37" i="19"/>
  <c r="AL37" i="19"/>
  <c r="AK37" i="19"/>
  <c r="AN37" i="19" s="1"/>
  <c r="AR37" i="19" s="1"/>
  <c r="AA37" i="19"/>
  <c r="Z37" i="19"/>
  <c r="AC37" i="19" s="1"/>
  <c r="AG37" i="19" s="1"/>
  <c r="R37" i="19"/>
  <c r="V37" i="19"/>
  <c r="J37" i="19"/>
  <c r="M37" i="19" s="1"/>
  <c r="AP36" i="19"/>
  <c r="AL36" i="19"/>
  <c r="AL102" i="19" s="1"/>
  <c r="AK36" i="19"/>
  <c r="AA36" i="19"/>
  <c r="Z36" i="19"/>
  <c r="R36" i="19"/>
  <c r="V36" i="19"/>
  <c r="J36" i="19"/>
  <c r="M36" i="19" s="1"/>
  <c r="AN35" i="19"/>
  <c r="AN40" i="19"/>
  <c r="AR40" i="19" s="1"/>
  <c r="AC35" i="19"/>
  <c r="AC40" i="19"/>
  <c r="AG40" i="19"/>
  <c r="R35" i="19"/>
  <c r="R40" i="19" s="1"/>
  <c r="V40" i="19" s="1"/>
  <c r="J35" i="19"/>
  <c r="M35" i="19"/>
  <c r="AN31" i="19"/>
  <c r="AR31" i="19" s="1"/>
  <c r="AC31" i="19"/>
  <c r="AG31" i="19" s="1"/>
  <c r="R31" i="19"/>
  <c r="V31" i="19"/>
  <c r="M29" i="19"/>
  <c r="AR28" i="19"/>
  <c r="AP28" i="19"/>
  <c r="AP98" i="19" s="1"/>
  <c r="AL28" i="19"/>
  <c r="AL98" i="19" s="1"/>
  <c r="AK28" i="19"/>
  <c r="AK98" i="19"/>
  <c r="AG28" i="19"/>
  <c r="AE28" i="19"/>
  <c r="AA28" i="19"/>
  <c r="AA98" i="19" s="1"/>
  <c r="Z28" i="19"/>
  <c r="Z98" i="19" s="1"/>
  <c r="T28" i="19"/>
  <c r="T98" i="19"/>
  <c r="P28" i="19"/>
  <c r="P98" i="19"/>
  <c r="O28" i="19"/>
  <c r="O98" i="19" s="1"/>
  <c r="L28" i="19"/>
  <c r="L98" i="19" s="1"/>
  <c r="I28" i="19"/>
  <c r="I98" i="19"/>
  <c r="H28" i="19"/>
  <c r="H98" i="19"/>
  <c r="F28" i="19"/>
  <c r="F98" i="19" s="1"/>
  <c r="F100" i="19" s="1"/>
  <c r="R27" i="19"/>
  <c r="V27" i="19" s="1"/>
  <c r="J27" i="19"/>
  <c r="M27" i="19"/>
  <c r="R26" i="19"/>
  <c r="V26" i="19"/>
  <c r="J26" i="19"/>
  <c r="M26" i="19" s="1"/>
  <c r="R25" i="19"/>
  <c r="V25" i="19" s="1"/>
  <c r="V28" i="19" s="1"/>
  <c r="J25" i="19"/>
  <c r="M25" i="19"/>
  <c r="M28" i="19" s="1"/>
  <c r="R24" i="19"/>
  <c r="V24" i="19"/>
  <c r="J24" i="19"/>
  <c r="M24" i="19" s="1"/>
  <c r="AP22" i="19"/>
  <c r="AL22" i="19"/>
  <c r="AK22" i="19"/>
  <c r="AN22" i="19" s="1"/>
  <c r="AE22" i="19"/>
  <c r="AE20" i="19" s="1"/>
  <c r="AG20" i="19" s="1"/>
  <c r="AA22" i="19"/>
  <c r="Z22" i="19"/>
  <c r="AC22" i="19" s="1"/>
  <c r="R22" i="19"/>
  <c r="V22" i="19" s="1"/>
  <c r="J22" i="19"/>
  <c r="M22" i="19"/>
  <c r="R21" i="19"/>
  <c r="AP20" i="19"/>
  <c r="AL20" i="19"/>
  <c r="AK20" i="19"/>
  <c r="AN20" i="19" s="1"/>
  <c r="AC20" i="19"/>
  <c r="AA20" i="19"/>
  <c r="T20" i="19"/>
  <c r="T17" i="19"/>
  <c r="R20" i="19"/>
  <c r="V20" i="19" s="1"/>
  <c r="L20" i="19"/>
  <c r="M20" i="19" s="1"/>
  <c r="J20" i="19"/>
  <c r="AN19" i="19"/>
  <c r="R19" i="19"/>
  <c r="AP18" i="19"/>
  <c r="AK18" i="19"/>
  <c r="AN18" i="19"/>
  <c r="AG18" i="19"/>
  <c r="J18" i="19"/>
  <c r="AR17" i="19"/>
  <c r="AK17" i="19"/>
  <c r="AE17" i="19"/>
  <c r="P17" i="19"/>
  <c r="O17" i="19"/>
  <c r="I17" i="19"/>
  <c r="H17" i="19"/>
  <c r="F17" i="19"/>
  <c r="AR15" i="19"/>
  <c r="AP15" i="19"/>
  <c r="AL15" i="19"/>
  <c r="AK15" i="19"/>
  <c r="AE15" i="19"/>
  <c r="AA15" i="19"/>
  <c r="AA12" i="19" s="1"/>
  <c r="Z15" i="19"/>
  <c r="AC15" i="19" s="1"/>
  <c r="R15" i="19"/>
  <c r="J15" i="19"/>
  <c r="M15" i="19" s="1"/>
  <c r="AN14" i="19"/>
  <c r="AC14" i="19"/>
  <c r="R14" i="19"/>
  <c r="V14" i="19" s="1"/>
  <c r="AR13" i="19"/>
  <c r="AP13" i="19"/>
  <c r="AP12" i="19" s="1"/>
  <c r="AL13" i="19"/>
  <c r="AL12" i="19" s="1"/>
  <c r="AK13" i="19"/>
  <c r="AE13" i="19"/>
  <c r="AA13" i="19"/>
  <c r="AC13" i="19" s="1"/>
  <c r="Z13" i="19"/>
  <c r="T13" i="19"/>
  <c r="T12" i="19" s="1"/>
  <c r="R13" i="19"/>
  <c r="J13" i="19"/>
  <c r="M13" i="19" s="1"/>
  <c r="AG12" i="19"/>
  <c r="P12" i="19"/>
  <c r="R12" i="19" s="1"/>
  <c r="O12" i="19"/>
  <c r="L12" i="19"/>
  <c r="H12" i="19"/>
  <c r="J12" i="19" s="1"/>
  <c r="M12" i="19" s="1"/>
  <c r="AP7" i="19"/>
  <c r="AE7" i="19"/>
  <c r="O7" i="19"/>
  <c r="T7" i="19" s="1"/>
  <c r="L7" i="19"/>
  <c r="H7" i="19"/>
  <c r="AN89" i="18"/>
  <c r="AI89" i="18"/>
  <c r="AE89" i="18"/>
  <c r="AC89" i="18"/>
  <c r="X89" i="18"/>
  <c r="V89" i="18"/>
  <c r="T89" i="18"/>
  <c r="P89" i="18"/>
  <c r="O89" i="18"/>
  <c r="M89" i="18"/>
  <c r="L89" i="18"/>
  <c r="I89" i="18"/>
  <c r="H89" i="18"/>
  <c r="F89" i="18"/>
  <c r="AN88" i="18"/>
  <c r="AI88" i="18"/>
  <c r="AE88" i="18"/>
  <c r="AC88" i="18"/>
  <c r="X88" i="18"/>
  <c r="V88" i="18"/>
  <c r="T88" i="18"/>
  <c r="P88" i="18"/>
  <c r="O88" i="18"/>
  <c r="M87" i="18"/>
  <c r="L87" i="18"/>
  <c r="F87" i="18"/>
  <c r="D87" i="18"/>
  <c r="AN86" i="18"/>
  <c r="AE86" i="18"/>
  <c r="AC86" i="18"/>
  <c r="X86" i="18"/>
  <c r="V86" i="18"/>
  <c r="T86" i="18"/>
  <c r="M86" i="18"/>
  <c r="L86" i="18"/>
  <c r="I86" i="18"/>
  <c r="H86" i="18"/>
  <c r="F86" i="18"/>
  <c r="J83" i="18"/>
  <c r="M83" i="18" s="1"/>
  <c r="J82" i="18"/>
  <c r="M82" i="18"/>
  <c r="J81" i="18"/>
  <c r="M81" i="18" s="1"/>
  <c r="J80" i="18"/>
  <c r="M80" i="18"/>
  <c r="J79" i="18"/>
  <c r="M79" i="18" s="1"/>
  <c r="J78" i="18"/>
  <c r="M78" i="18"/>
  <c r="J77" i="18"/>
  <c r="M77" i="18" s="1"/>
  <c r="J76" i="18"/>
  <c r="M76" i="18"/>
  <c r="O75" i="18"/>
  <c r="J75" i="18"/>
  <c r="J72" i="18"/>
  <c r="AJ70" i="18"/>
  <c r="AI70" i="18"/>
  <c r="J70" i="18"/>
  <c r="AE69" i="18"/>
  <c r="AJ69" i="18"/>
  <c r="AC69" i="18"/>
  <c r="AI69" i="18"/>
  <c r="P69" i="18"/>
  <c r="O69" i="18"/>
  <c r="J69" i="18"/>
  <c r="J65" i="18"/>
  <c r="J63" i="18"/>
  <c r="J62" i="18"/>
  <c r="J61" i="18"/>
  <c r="J59" i="18"/>
  <c r="J58" i="18"/>
  <c r="J57" i="18"/>
  <c r="J56" i="18"/>
  <c r="J55" i="18"/>
  <c r="J54" i="18"/>
  <c r="J53" i="18"/>
  <c r="AI52" i="18"/>
  <c r="P52" i="18"/>
  <c r="O52" i="18"/>
  <c r="J52" i="18"/>
  <c r="AI51" i="18"/>
  <c r="P51" i="18"/>
  <c r="O51" i="18"/>
  <c r="J51" i="18"/>
  <c r="AI50" i="18"/>
  <c r="P50" i="18"/>
  <c r="O50" i="18"/>
  <c r="J50" i="18"/>
  <c r="AN49" i="18"/>
  <c r="AN87" i="18" s="1"/>
  <c r="AC49" i="18"/>
  <c r="AI49" i="18"/>
  <c r="AI87" i="18" s="1"/>
  <c r="AI90" i="18" s="1"/>
  <c r="X49" i="18"/>
  <c r="X87" i="18" s="1"/>
  <c r="X90" i="18" s="1"/>
  <c r="V49" i="18"/>
  <c r="V87" i="18"/>
  <c r="V90" i="18" s="1"/>
  <c r="T49" i="18"/>
  <c r="T87" i="18" s="1"/>
  <c r="T90" i="18" s="1"/>
  <c r="T101" i="18" s="1"/>
  <c r="P49" i="18"/>
  <c r="O49" i="18"/>
  <c r="O87" i="18" s="1"/>
  <c r="I49" i="18"/>
  <c r="I87" i="18"/>
  <c r="H49" i="18"/>
  <c r="H87" i="18"/>
  <c r="H90" i="18" s="1"/>
  <c r="H97" i="18" s="1"/>
  <c r="J47" i="18"/>
  <c r="J46" i="18"/>
  <c r="J45" i="18"/>
  <c r="J43" i="18"/>
  <c r="J42" i="18"/>
  <c r="J41" i="18"/>
  <c r="AI40" i="18"/>
  <c r="AI86" i="18"/>
  <c r="P40" i="18"/>
  <c r="P86" i="18"/>
  <c r="O40" i="18"/>
  <c r="O86" i="18"/>
  <c r="O90" i="18" s="1"/>
  <c r="O97" i="18" s="1"/>
  <c r="J40" i="18"/>
  <c r="J36" i="18"/>
  <c r="M36" i="18"/>
  <c r="J35" i="18"/>
  <c r="M35" i="18" s="1"/>
  <c r="J34" i="18"/>
  <c r="M34" i="18"/>
  <c r="M33" i="18"/>
  <c r="M88" i="18" s="1"/>
  <c r="L33" i="18"/>
  <c r="L88" i="18"/>
  <c r="I33" i="18"/>
  <c r="I88" i="18" s="1"/>
  <c r="I90" i="18" s="1"/>
  <c r="H33" i="18"/>
  <c r="H88" i="18"/>
  <c r="F33" i="18"/>
  <c r="F88" i="18" s="1"/>
  <c r="J32" i="18"/>
  <c r="J31" i="18"/>
  <c r="J30" i="18"/>
  <c r="AJ29" i="18"/>
  <c r="AI29" i="18"/>
  <c r="O29" i="18"/>
  <c r="P29" i="18"/>
  <c r="J29" i="18"/>
  <c r="AI23" i="18"/>
  <c r="AI24" i="18" s="1"/>
  <c r="P23" i="18"/>
  <c r="O23" i="18"/>
  <c r="AI22" i="18"/>
  <c r="P22" i="18"/>
  <c r="O22" i="18"/>
  <c r="J22" i="18"/>
  <c r="AI21" i="18"/>
  <c r="P21" i="18"/>
  <c r="O21" i="18"/>
  <c r="J21" i="18"/>
  <c r="AN20" i="18"/>
  <c r="AN24" i="18"/>
  <c r="AC20" i="18"/>
  <c r="X20" i="18"/>
  <c r="X24" i="18"/>
  <c r="V20" i="18"/>
  <c r="V24" i="18" s="1"/>
  <c r="T20" i="18"/>
  <c r="T24" i="18"/>
  <c r="M20" i="18"/>
  <c r="P20" i="18" s="1"/>
  <c r="L20" i="18"/>
  <c r="I20" i="18"/>
  <c r="I24" i="18"/>
  <c r="H20" i="18"/>
  <c r="H24" i="18"/>
  <c r="AE18" i="18"/>
  <c r="AC18" i="18"/>
  <c r="Y18" i="18"/>
  <c r="X18" i="18"/>
  <c r="V18" i="18"/>
  <c r="T18" i="18"/>
  <c r="M18" i="18"/>
  <c r="L18" i="18"/>
  <c r="I18" i="18"/>
  <c r="H18" i="18"/>
  <c r="J18" i="18" s="1"/>
  <c r="AP17" i="18"/>
  <c r="AN17" i="18"/>
  <c r="AJ17" i="18"/>
  <c r="AI17" i="18"/>
  <c r="AI18" i="18" s="1"/>
  <c r="P17" i="18"/>
  <c r="O17" i="18"/>
  <c r="AJ15" i="18"/>
  <c r="AI15" i="18"/>
  <c r="J15" i="18"/>
  <c r="AP14" i="18"/>
  <c r="AN14" i="18"/>
  <c r="AJ14" i="18"/>
  <c r="AI14" i="18"/>
  <c r="P14" i="18"/>
  <c r="O14" i="18"/>
  <c r="AJ13" i="18"/>
  <c r="AI13" i="18"/>
  <c r="P13" i="18"/>
  <c r="O13" i="18"/>
  <c r="AP12" i="18"/>
  <c r="AN12" i="18"/>
  <c r="AJ12" i="18"/>
  <c r="AI12" i="18"/>
  <c r="P12" i="18"/>
  <c r="P18" i="18" s="1"/>
  <c r="O12" i="18"/>
  <c r="J12" i="18"/>
  <c r="AK10" i="18"/>
  <c r="AI10" i="18"/>
  <c r="H7" i="18"/>
  <c r="L7" i="18" s="1"/>
  <c r="O7" i="18" s="1"/>
  <c r="F7" i="18"/>
  <c r="B96" i="15"/>
  <c r="B95" i="15"/>
  <c r="B112" i="12"/>
  <c r="B111" i="12"/>
  <c r="B110" i="12"/>
  <c r="B109" i="12"/>
  <c r="B108" i="12"/>
  <c r="B107" i="12"/>
  <c r="B106" i="12"/>
  <c r="AN94" i="12"/>
  <c r="AN103" i="12"/>
  <c r="AH94" i="12"/>
  <c r="AH95" i="12" s="1"/>
  <c r="T94" i="12"/>
  <c r="P94" i="12"/>
  <c r="AN91" i="12"/>
  <c r="AL91" i="12"/>
  <c r="AH91" i="12"/>
  <c r="AG91" i="12"/>
  <c r="AE91" i="12"/>
  <c r="AC91" i="12"/>
  <c r="Y91" i="12"/>
  <c r="T91" i="12"/>
  <c r="P91" i="12"/>
  <c r="L91" i="12"/>
  <c r="I91" i="12"/>
  <c r="H91" i="12"/>
  <c r="F91" i="12"/>
  <c r="AN90" i="12"/>
  <c r="AL90" i="12"/>
  <c r="AH90" i="12"/>
  <c r="AG90" i="12"/>
  <c r="T90" i="12"/>
  <c r="AN89" i="12"/>
  <c r="AH89" i="12"/>
  <c r="T89" i="12"/>
  <c r="P89" i="12"/>
  <c r="I89" i="12"/>
  <c r="H89" i="12"/>
  <c r="F89" i="12"/>
  <c r="AN88" i="12"/>
  <c r="AN92" i="12" s="1"/>
  <c r="AH88" i="12"/>
  <c r="T88" i="12"/>
  <c r="P88" i="12"/>
  <c r="O88" i="12"/>
  <c r="L88" i="12"/>
  <c r="I88" i="12"/>
  <c r="H88" i="12"/>
  <c r="F88" i="12"/>
  <c r="F92" i="12" s="1"/>
  <c r="AA85" i="12"/>
  <c r="R85" i="12"/>
  <c r="V85" i="12"/>
  <c r="J85" i="12"/>
  <c r="M85" i="12" s="1"/>
  <c r="AA84" i="12"/>
  <c r="R84" i="12"/>
  <c r="V84" i="12"/>
  <c r="J84" i="12"/>
  <c r="M84" i="12" s="1"/>
  <c r="AA83" i="12"/>
  <c r="R83" i="12"/>
  <c r="V83" i="12" s="1"/>
  <c r="J83" i="12"/>
  <c r="M83" i="12"/>
  <c r="X82" i="12"/>
  <c r="AA82" i="12" s="1"/>
  <c r="R82" i="12"/>
  <c r="V82" i="12" s="1"/>
  <c r="Y82" i="12" s="1"/>
  <c r="J82" i="12"/>
  <c r="M82" i="12" s="1"/>
  <c r="AA81" i="12"/>
  <c r="R81" i="12"/>
  <c r="V81" i="12" s="1"/>
  <c r="J81" i="12"/>
  <c r="M81" i="12"/>
  <c r="AA80" i="12"/>
  <c r="R80" i="12"/>
  <c r="V80" i="12" s="1"/>
  <c r="J80" i="12"/>
  <c r="M80" i="12"/>
  <c r="AA79" i="12"/>
  <c r="R79" i="12"/>
  <c r="V79" i="12"/>
  <c r="J79" i="12"/>
  <c r="M79" i="12" s="1"/>
  <c r="X78" i="12"/>
  <c r="R78" i="12"/>
  <c r="V78" i="12"/>
  <c r="Y78" i="12" s="1"/>
  <c r="AA78" i="12" s="1"/>
  <c r="J78" i="12"/>
  <c r="M78" i="12"/>
  <c r="X77" i="12"/>
  <c r="R77" i="12"/>
  <c r="V77" i="12" s="1"/>
  <c r="Y77" i="12" s="1"/>
  <c r="J77" i="12"/>
  <c r="M77" i="12" s="1"/>
  <c r="AA74" i="12"/>
  <c r="R74" i="12"/>
  <c r="V74" i="12"/>
  <c r="J74" i="12"/>
  <c r="M74" i="12"/>
  <c r="X73" i="12"/>
  <c r="AA73" i="12"/>
  <c r="R73" i="12"/>
  <c r="V73" i="12"/>
  <c r="J73" i="12"/>
  <c r="M73" i="12"/>
  <c r="X72" i="12"/>
  <c r="AA72" i="12" s="1"/>
  <c r="R72" i="12"/>
  <c r="V72" i="12"/>
  <c r="J72" i="12"/>
  <c r="M72" i="12" s="1"/>
  <c r="X71" i="12"/>
  <c r="AA71" i="12"/>
  <c r="R71" i="12"/>
  <c r="V71" i="12" s="1"/>
  <c r="J71" i="12"/>
  <c r="M71" i="12"/>
  <c r="X67" i="12"/>
  <c r="AA67" i="12" s="1"/>
  <c r="O67" i="12"/>
  <c r="O91" i="12"/>
  <c r="M67" i="12"/>
  <c r="M91" i="12" s="1"/>
  <c r="J67" i="12"/>
  <c r="AA65" i="12"/>
  <c r="R65" i="12"/>
  <c r="V65" i="12" s="1"/>
  <c r="J65" i="12"/>
  <c r="M65" i="12"/>
  <c r="AA64" i="12"/>
  <c r="R64" i="12"/>
  <c r="V64" i="12"/>
  <c r="J64" i="12"/>
  <c r="M64" i="12" s="1"/>
  <c r="AA63" i="12"/>
  <c r="R63" i="12"/>
  <c r="V63" i="12"/>
  <c r="AA62" i="12"/>
  <c r="R62" i="12"/>
  <c r="V62" i="12"/>
  <c r="J62" i="12"/>
  <c r="M62" i="12" s="1"/>
  <c r="AA61" i="12"/>
  <c r="R61" i="12"/>
  <c r="V61" i="12"/>
  <c r="J61" i="12"/>
  <c r="M61" i="12"/>
  <c r="AC60" i="12"/>
  <c r="X60" i="12"/>
  <c r="Y60" i="12" s="1"/>
  <c r="O60" i="12"/>
  <c r="R60" i="12"/>
  <c r="V60" i="12"/>
  <c r="J60" i="12"/>
  <c r="M60" i="12" s="1"/>
  <c r="X59" i="12"/>
  <c r="Y59" i="12"/>
  <c r="O59" i="12"/>
  <c r="R59" i="12"/>
  <c r="V59" i="12" s="1"/>
  <c r="J59" i="12"/>
  <c r="M59" i="12"/>
  <c r="AC58" i="12"/>
  <c r="X58" i="12"/>
  <c r="O58" i="12"/>
  <c r="R58" i="12"/>
  <c r="V58" i="12"/>
  <c r="J58" i="12"/>
  <c r="M58" i="12" s="1"/>
  <c r="AA56" i="12"/>
  <c r="R56" i="12"/>
  <c r="J56" i="12"/>
  <c r="M56" i="12" s="1"/>
  <c r="AA55" i="12"/>
  <c r="R55" i="12"/>
  <c r="J55" i="12"/>
  <c r="M55" i="12" s="1"/>
  <c r="AA54" i="12"/>
  <c r="R54" i="12"/>
  <c r="X53" i="12"/>
  <c r="R53" i="12"/>
  <c r="V53" i="12"/>
  <c r="Y53" i="12"/>
  <c r="AA53" i="12" s="1"/>
  <c r="AE53" i="12" s="1"/>
  <c r="L53" i="12"/>
  <c r="J53" i="12"/>
  <c r="AA52" i="12"/>
  <c r="R52" i="12"/>
  <c r="V52" i="12"/>
  <c r="X51" i="12"/>
  <c r="L51" i="12"/>
  <c r="J51" i="12"/>
  <c r="AL50" i="12"/>
  <c r="AA50" i="12"/>
  <c r="R50" i="12"/>
  <c r="V50" i="12"/>
  <c r="AL49" i="12"/>
  <c r="AG49" i="12"/>
  <c r="AC49" i="12"/>
  <c r="X49" i="12"/>
  <c r="R49" i="12"/>
  <c r="V49" i="12" s="1"/>
  <c r="Y49" i="12" s="1"/>
  <c r="AA49" i="12" s="1"/>
  <c r="AE49" i="12" s="1"/>
  <c r="L49" i="12"/>
  <c r="J49" i="12"/>
  <c r="M49" i="12" s="1"/>
  <c r="AA48" i="12"/>
  <c r="R48" i="12"/>
  <c r="V48" i="12"/>
  <c r="AG47" i="12"/>
  <c r="AC47" i="12"/>
  <c r="X47" i="12"/>
  <c r="O47" i="12"/>
  <c r="R47" i="12"/>
  <c r="V47" i="12" s="1"/>
  <c r="Y47" i="12" s="1"/>
  <c r="AA47" i="12" s="1"/>
  <c r="J47" i="12"/>
  <c r="M47" i="12"/>
  <c r="AL46" i="12"/>
  <c r="AQ46" i="12" s="1"/>
  <c r="AQ89" i="12" s="1"/>
  <c r="AA46" i="12"/>
  <c r="R46" i="12"/>
  <c r="V46" i="12"/>
  <c r="AL45" i="12"/>
  <c r="AL89" i="12" s="1"/>
  <c r="AG45" i="12"/>
  <c r="AC45" i="12"/>
  <c r="AC89" i="12" s="1"/>
  <c r="X45" i="12"/>
  <c r="L45" i="12"/>
  <c r="O45" i="12"/>
  <c r="J45" i="12"/>
  <c r="M45" i="12" s="1"/>
  <c r="AA43" i="12"/>
  <c r="R43" i="12"/>
  <c r="V43" i="12"/>
  <c r="J43" i="12"/>
  <c r="M43" i="12" s="1"/>
  <c r="M94" i="12" s="1"/>
  <c r="AA42" i="12"/>
  <c r="R42" i="12"/>
  <c r="V42" i="12" s="1"/>
  <c r="J42" i="12"/>
  <c r="M42" i="12"/>
  <c r="J41" i="12"/>
  <c r="M41" i="12" s="1"/>
  <c r="AJ39" i="12"/>
  <c r="AC39" i="12"/>
  <c r="AC38" i="12" s="1"/>
  <c r="X39" i="12"/>
  <c r="R39" i="12"/>
  <c r="V39" i="12" s="1"/>
  <c r="Y39" i="12" s="1"/>
  <c r="J39" i="12"/>
  <c r="M39" i="12" s="1"/>
  <c r="AL38" i="12"/>
  <c r="AG38" i="12"/>
  <c r="AJ38" i="12"/>
  <c r="X38" i="12"/>
  <c r="R38" i="12"/>
  <c r="V38" i="12"/>
  <c r="Y38" i="12" s="1"/>
  <c r="AA38" i="12" s="1"/>
  <c r="J38" i="12"/>
  <c r="M38" i="12"/>
  <c r="AJ37" i="12"/>
  <c r="X37" i="12"/>
  <c r="R37" i="12"/>
  <c r="V37" i="12"/>
  <c r="Y37" i="12" s="1"/>
  <c r="AA37" i="12" s="1"/>
  <c r="AE37" i="12" s="1"/>
  <c r="AL36" i="12"/>
  <c r="AG36" i="12"/>
  <c r="AJ36" i="12" s="1"/>
  <c r="AC36" i="12"/>
  <c r="X36" i="12"/>
  <c r="X94" i="12" s="1"/>
  <c r="R36" i="12"/>
  <c r="V36" i="12" s="1"/>
  <c r="Y36" i="12" s="1"/>
  <c r="J36" i="12"/>
  <c r="M36" i="12" s="1"/>
  <c r="AJ35" i="12"/>
  <c r="AC35" i="12"/>
  <c r="X35" i="12"/>
  <c r="R35" i="12"/>
  <c r="V35" i="12" s="1"/>
  <c r="Y35" i="12" s="1"/>
  <c r="AL34" i="12"/>
  <c r="AL94" i="12" s="1"/>
  <c r="AG34" i="12"/>
  <c r="X34" i="12"/>
  <c r="V34" i="12"/>
  <c r="Y34" i="12"/>
  <c r="R34" i="12"/>
  <c r="R41" i="12" s="1"/>
  <c r="V41" i="12" s="1"/>
  <c r="J34" i="12"/>
  <c r="M34" i="12"/>
  <c r="X33" i="12"/>
  <c r="O33" i="12"/>
  <c r="AA30" i="12"/>
  <c r="R30" i="12"/>
  <c r="V30" i="12" s="1"/>
  <c r="J30" i="12"/>
  <c r="M30" i="12"/>
  <c r="AA29" i="12"/>
  <c r="R29" i="12"/>
  <c r="V29" i="12" s="1"/>
  <c r="J29" i="12"/>
  <c r="M29" i="12"/>
  <c r="Y27" i="12"/>
  <c r="X27" i="12"/>
  <c r="P27" i="12"/>
  <c r="P90" i="12"/>
  <c r="P92" i="12" s="1"/>
  <c r="L27" i="12"/>
  <c r="L90" i="12" s="1"/>
  <c r="I27" i="12"/>
  <c r="I90" i="12"/>
  <c r="I92" i="12" s="1"/>
  <c r="I93" i="12" s="1"/>
  <c r="H27" i="12"/>
  <c r="H90" i="12" s="1"/>
  <c r="F27" i="12"/>
  <c r="F90" i="12"/>
  <c r="AA26" i="12"/>
  <c r="Q26" i="12"/>
  <c r="O26" i="12"/>
  <c r="R26" i="12"/>
  <c r="V26" i="12" s="1"/>
  <c r="J26" i="12"/>
  <c r="M26" i="12"/>
  <c r="AA25" i="12"/>
  <c r="O25" i="12"/>
  <c r="R25" i="12" s="1"/>
  <c r="V25" i="12" s="1"/>
  <c r="J25" i="12"/>
  <c r="M25" i="12" s="1"/>
  <c r="AA24" i="12"/>
  <c r="R24" i="12"/>
  <c r="V24" i="12"/>
  <c r="J24" i="12"/>
  <c r="M24" i="12" s="1"/>
  <c r="M27" i="12" s="1"/>
  <c r="AJ23" i="12"/>
  <c r="AN23" i="12" s="1"/>
  <c r="AA23" i="12"/>
  <c r="AE23" i="12"/>
  <c r="O23" i="12"/>
  <c r="R23" i="12" s="1"/>
  <c r="V23" i="12" s="1"/>
  <c r="J23" i="12"/>
  <c r="M23" i="12"/>
  <c r="AA21" i="12"/>
  <c r="T21" i="12"/>
  <c r="P21" i="12"/>
  <c r="J21" i="12"/>
  <c r="M21" i="12" s="1"/>
  <c r="AJ20" i="12"/>
  <c r="AN20" i="12" s="1"/>
  <c r="AA20" i="12"/>
  <c r="AE20" i="12"/>
  <c r="Q20" i="12"/>
  <c r="L20" i="12"/>
  <c r="J20" i="12"/>
  <c r="AJ19" i="12"/>
  <c r="AN19" i="12" s="1"/>
  <c r="AA19" i="12"/>
  <c r="AE19" i="12"/>
  <c r="O19" i="12"/>
  <c r="R19" i="12" s="1"/>
  <c r="V19" i="12" s="1"/>
  <c r="AG18" i="12"/>
  <c r="AJ18" i="12"/>
  <c r="AN18" i="12" s="1"/>
  <c r="AA18" i="12"/>
  <c r="AE18" i="12"/>
  <c r="O18" i="12"/>
  <c r="R18" i="12" s="1"/>
  <c r="V18" i="12" s="1"/>
  <c r="J18" i="12"/>
  <c r="M18" i="12"/>
  <c r="AL17" i="12"/>
  <c r="AH17" i="12"/>
  <c r="AH21" i="12"/>
  <c r="AG17" i="12"/>
  <c r="AC17" i="12"/>
  <c r="AC21" i="12" s="1"/>
  <c r="AA17" i="12"/>
  <c r="Q17" i="12"/>
  <c r="Q21" i="12" s="1"/>
  <c r="L17" i="12"/>
  <c r="J17" i="12"/>
  <c r="X16" i="12"/>
  <c r="O16" i="12"/>
  <c r="AL15" i="12"/>
  <c r="AJ15" i="12"/>
  <c r="AN15" i="12" s="1"/>
  <c r="AA15" i="12"/>
  <c r="J15" i="12"/>
  <c r="AJ14" i="12"/>
  <c r="AN14" i="12"/>
  <c r="AA14" i="12"/>
  <c r="O14" i="12"/>
  <c r="R14" i="12" s="1"/>
  <c r="V14" i="12" s="1"/>
  <c r="AJ13" i="12"/>
  <c r="AN13" i="12" s="1"/>
  <c r="AA13" i="12"/>
  <c r="T13" i="12"/>
  <c r="T15" i="12"/>
  <c r="O13" i="12"/>
  <c r="L13" i="12"/>
  <c r="J13" i="12"/>
  <c r="AL12" i="12"/>
  <c r="AH12" i="12"/>
  <c r="AG12" i="12"/>
  <c r="AA12" i="12"/>
  <c r="R12" i="12"/>
  <c r="V12" i="12" s="1"/>
  <c r="L12" i="12"/>
  <c r="J12" i="12"/>
  <c r="O10" i="12"/>
  <c r="M77" i="10"/>
  <c r="L77" i="10"/>
  <c r="J77" i="10"/>
  <c r="F77" i="10"/>
  <c r="M76" i="10"/>
  <c r="L76" i="10"/>
  <c r="J76" i="10"/>
  <c r="F76" i="10"/>
  <c r="L75" i="10"/>
  <c r="M74" i="10"/>
  <c r="L74" i="10"/>
  <c r="J74" i="10"/>
  <c r="J78" i="10" s="1"/>
  <c r="F74" i="10"/>
  <c r="F73" i="10"/>
  <c r="M65" i="10"/>
  <c r="J65" i="10"/>
  <c r="H65" i="10"/>
  <c r="F65" i="10"/>
  <c r="M61" i="10"/>
  <c r="J61" i="10"/>
  <c r="H61" i="10"/>
  <c r="F61" i="10"/>
  <c r="M29" i="10"/>
  <c r="M75" i="10"/>
  <c r="M78" i="10" s="1"/>
  <c r="J29" i="10"/>
  <c r="J75" i="10" s="1"/>
  <c r="F29" i="10"/>
  <c r="F75" i="10"/>
  <c r="F78" i="10" s="1"/>
  <c r="F15" i="10"/>
  <c r="B114" i="9"/>
  <c r="B113" i="9"/>
  <c r="B112" i="9"/>
  <c r="B111" i="9"/>
  <c r="B110" i="9"/>
  <c r="B109" i="9"/>
  <c r="B108" i="9"/>
  <c r="B107" i="9"/>
  <c r="B106" i="9"/>
  <c r="B105" i="9"/>
  <c r="B104" i="9"/>
  <c r="B103" i="9"/>
  <c r="V91" i="9"/>
  <c r="V93" i="9"/>
  <c r="P91" i="9"/>
  <c r="P93" i="9" s="1"/>
  <c r="I91" i="9"/>
  <c r="I93" i="9"/>
  <c r="H91" i="9"/>
  <c r="F91" i="9"/>
  <c r="F93" i="9" s="1"/>
  <c r="AN88" i="9"/>
  <c r="AL88" i="9"/>
  <c r="AH88" i="9"/>
  <c r="AG88" i="9"/>
  <c r="AE88" i="9"/>
  <c r="AC88" i="9"/>
  <c r="Y88" i="9"/>
  <c r="X88" i="9"/>
  <c r="V88" i="9"/>
  <c r="T88" i="9"/>
  <c r="P88" i="9"/>
  <c r="O88" i="9"/>
  <c r="L88" i="9"/>
  <c r="I88" i="9"/>
  <c r="H88" i="9"/>
  <c r="F88" i="9"/>
  <c r="P87" i="9"/>
  <c r="V86" i="9"/>
  <c r="P86" i="9"/>
  <c r="I86" i="9"/>
  <c r="F86" i="9"/>
  <c r="AL85" i="9"/>
  <c r="AH85" i="9"/>
  <c r="AG85" i="9"/>
  <c r="AC85" i="9"/>
  <c r="Y85" i="9"/>
  <c r="V85" i="9"/>
  <c r="P85" i="9"/>
  <c r="I85" i="9"/>
  <c r="H85" i="9"/>
  <c r="F85" i="9"/>
  <c r="F89" i="9" s="1"/>
  <c r="F90" i="9" s="1"/>
  <c r="AJ82" i="9"/>
  <c r="AA82" i="9"/>
  <c r="R82" i="9"/>
  <c r="AJ81" i="9"/>
  <c r="AA81" i="9"/>
  <c r="R81" i="9"/>
  <c r="AJ80" i="9"/>
  <c r="AA80" i="9"/>
  <c r="R80" i="9"/>
  <c r="AJ79" i="9"/>
  <c r="AA79" i="9"/>
  <c r="R79" i="9"/>
  <c r="AJ78" i="9"/>
  <c r="AA78" i="9"/>
  <c r="R78" i="9"/>
  <c r="AJ77" i="9"/>
  <c r="AN77" i="9" s="1"/>
  <c r="AA77" i="9"/>
  <c r="AE77" i="9" s="1"/>
  <c r="R77" i="9"/>
  <c r="AJ76" i="9"/>
  <c r="AA76" i="9"/>
  <c r="R76" i="9"/>
  <c r="AJ75" i="9"/>
  <c r="AA75" i="9"/>
  <c r="R75" i="9"/>
  <c r="AJ74" i="9"/>
  <c r="AN74" i="9" s="1"/>
  <c r="X74" i="9"/>
  <c r="R74" i="9"/>
  <c r="AJ71" i="9"/>
  <c r="AA71" i="9"/>
  <c r="R71" i="9"/>
  <c r="J71" i="9"/>
  <c r="M71" i="9"/>
  <c r="AJ70" i="9"/>
  <c r="AA70" i="9"/>
  <c r="R70" i="9"/>
  <c r="J70" i="9"/>
  <c r="M70" i="9" s="1"/>
  <c r="AJ69" i="9"/>
  <c r="AA69" i="9"/>
  <c r="R69" i="9"/>
  <c r="J69" i="9"/>
  <c r="M69" i="9" s="1"/>
  <c r="AJ68" i="9"/>
  <c r="AA68" i="9"/>
  <c r="R68" i="9"/>
  <c r="J68" i="9"/>
  <c r="M68" i="9" s="1"/>
  <c r="AJ66" i="9"/>
  <c r="AA66" i="9"/>
  <c r="R66" i="9"/>
  <c r="I66" i="9"/>
  <c r="H66" i="9"/>
  <c r="F66" i="9"/>
  <c r="AJ65" i="9"/>
  <c r="AA65" i="9"/>
  <c r="R65" i="9"/>
  <c r="AJ64" i="9"/>
  <c r="AA64" i="9"/>
  <c r="R64" i="9"/>
  <c r="M64" i="9"/>
  <c r="M88" i="9" s="1"/>
  <c r="J64" i="9"/>
  <c r="AJ62" i="9"/>
  <c r="AA62" i="9"/>
  <c r="R62" i="9"/>
  <c r="J62" i="9"/>
  <c r="M62" i="9"/>
  <c r="AJ61" i="9"/>
  <c r="AA61" i="9"/>
  <c r="R61" i="9"/>
  <c r="J61" i="9"/>
  <c r="M61" i="9" s="1"/>
  <c r="AJ60" i="9"/>
  <c r="AA60" i="9"/>
  <c r="R60" i="9"/>
  <c r="J60" i="9"/>
  <c r="AJ59" i="9"/>
  <c r="AA59" i="9"/>
  <c r="R59" i="9"/>
  <c r="J59" i="9"/>
  <c r="M59" i="9" s="1"/>
  <c r="R58" i="9"/>
  <c r="J58" i="9"/>
  <c r="M58" i="9"/>
  <c r="X57" i="9"/>
  <c r="R57" i="9"/>
  <c r="J57" i="9"/>
  <c r="M57" i="9"/>
  <c r="R56" i="9"/>
  <c r="J56" i="9"/>
  <c r="M56" i="9"/>
  <c r="R55" i="9"/>
  <c r="J55" i="9"/>
  <c r="M55" i="9" s="1"/>
  <c r="AJ53" i="9"/>
  <c r="AA53" i="9"/>
  <c r="R53" i="9"/>
  <c r="J53" i="9"/>
  <c r="M53" i="9" s="1"/>
  <c r="AJ52" i="9"/>
  <c r="AA52" i="9"/>
  <c r="R52" i="9"/>
  <c r="J52" i="9"/>
  <c r="M52" i="9"/>
  <c r="J51" i="9"/>
  <c r="M51" i="9" s="1"/>
  <c r="AJ50" i="9"/>
  <c r="AA50" i="9"/>
  <c r="R50" i="9"/>
  <c r="J50" i="9"/>
  <c r="M50" i="9" s="1"/>
  <c r="AJ49" i="9"/>
  <c r="AA49" i="9"/>
  <c r="T49" i="9"/>
  <c r="R49" i="9"/>
  <c r="H49" i="9"/>
  <c r="AJ48" i="9"/>
  <c r="AA48" i="9"/>
  <c r="R48" i="9"/>
  <c r="J48" i="9"/>
  <c r="M48" i="9" s="1"/>
  <c r="AH47" i="9"/>
  <c r="AJ47" i="9"/>
  <c r="AN47" i="9" s="1"/>
  <c r="X47" i="9"/>
  <c r="Y47" i="9" s="1"/>
  <c r="AA47" i="9" s="1"/>
  <c r="AE47" i="9" s="1"/>
  <c r="AG46" i="9"/>
  <c r="AH46" i="9" s="1"/>
  <c r="AC46" i="9"/>
  <c r="X46" i="9"/>
  <c r="Y46" i="9" s="1"/>
  <c r="T46" i="9"/>
  <c r="L46" i="9"/>
  <c r="H46" i="9"/>
  <c r="J46" i="9"/>
  <c r="AH45" i="9"/>
  <c r="AJ45" i="9"/>
  <c r="AN45" i="9" s="1"/>
  <c r="Y45" i="9"/>
  <c r="AG44" i="9"/>
  <c r="AL44" i="9"/>
  <c r="AP44" i="9" s="1"/>
  <c r="AC44" i="9"/>
  <c r="X44" i="9"/>
  <c r="T44" i="9"/>
  <c r="T86" i="9" s="1"/>
  <c r="L44" i="9"/>
  <c r="L86" i="9" s="1"/>
  <c r="H44" i="9"/>
  <c r="J44" i="9"/>
  <c r="AJ42" i="9"/>
  <c r="AA42" i="9"/>
  <c r="R42" i="9"/>
  <c r="J42" i="9"/>
  <c r="M42" i="9"/>
  <c r="AJ41" i="9"/>
  <c r="AA41" i="9"/>
  <c r="R41" i="9"/>
  <c r="J41" i="9"/>
  <c r="M41" i="9" s="1"/>
  <c r="AJ40" i="9"/>
  <c r="AA40" i="9"/>
  <c r="J40" i="9"/>
  <c r="M40" i="9" s="1"/>
  <c r="M85" i="9" s="1"/>
  <c r="AJ38" i="9"/>
  <c r="AA38" i="9"/>
  <c r="R38" i="9"/>
  <c r="J38" i="9"/>
  <c r="M38" i="9" s="1"/>
  <c r="AJ37" i="9"/>
  <c r="AA37" i="9"/>
  <c r="R37" i="9"/>
  <c r="J37" i="9"/>
  <c r="M37" i="9" s="1"/>
  <c r="AJ36" i="9"/>
  <c r="AN36" i="9"/>
  <c r="AA36" i="9"/>
  <c r="AE36" i="9" s="1"/>
  <c r="R36" i="9"/>
  <c r="J36" i="9"/>
  <c r="M36" i="9" s="1"/>
  <c r="AJ35" i="9"/>
  <c r="AH55" i="9" s="1"/>
  <c r="AN35" i="9"/>
  <c r="X35" i="9"/>
  <c r="T35" i="9"/>
  <c r="T85" i="9" s="1"/>
  <c r="O35" i="9"/>
  <c r="O85" i="9" s="1"/>
  <c r="R35" i="9"/>
  <c r="R40" i="9" s="1"/>
  <c r="L35" i="9"/>
  <c r="J35" i="9"/>
  <c r="M35" i="9" s="1"/>
  <c r="AJ31" i="9"/>
  <c r="AA31" i="9"/>
  <c r="R31" i="9"/>
  <c r="AL28" i="9"/>
  <c r="AL87" i="9"/>
  <c r="AL91" i="9" s="1"/>
  <c r="AL100" i="9" s="1"/>
  <c r="AH28" i="9"/>
  <c r="AN28" i="9" s="1"/>
  <c r="AG28" i="9"/>
  <c r="AG87" i="9" s="1"/>
  <c r="AG91" i="9" s="1"/>
  <c r="AC28" i="9"/>
  <c r="AC87" i="9"/>
  <c r="AC91" i="9" s="1"/>
  <c r="AC100" i="9" s="1"/>
  <c r="Y28" i="9"/>
  <c r="AE28" i="9" s="1"/>
  <c r="V28" i="9"/>
  <c r="V87" i="9" s="1"/>
  <c r="T28" i="9"/>
  <c r="T87" i="9" s="1"/>
  <c r="O28" i="9"/>
  <c r="O87" i="9" s="1"/>
  <c r="L28" i="9"/>
  <c r="L87" i="9"/>
  <c r="I28" i="9"/>
  <c r="I87" i="9" s="1"/>
  <c r="H28" i="9"/>
  <c r="H87" i="9"/>
  <c r="F28" i="9"/>
  <c r="F87" i="9" s="1"/>
  <c r="AJ27" i="9"/>
  <c r="AA27" i="9"/>
  <c r="R27" i="9"/>
  <c r="J27" i="9"/>
  <c r="M27" i="9" s="1"/>
  <c r="AJ26" i="9"/>
  <c r="AA26" i="9"/>
  <c r="R26" i="9"/>
  <c r="J26" i="9"/>
  <c r="M26" i="9"/>
  <c r="AJ25" i="9"/>
  <c r="AA25" i="9"/>
  <c r="R25" i="9"/>
  <c r="J25" i="9"/>
  <c r="M25" i="9"/>
  <c r="M28" i="9" s="1"/>
  <c r="AJ24" i="9"/>
  <c r="AA24" i="9"/>
  <c r="R24" i="9"/>
  <c r="J24" i="9"/>
  <c r="M24" i="9"/>
  <c r="V22" i="9"/>
  <c r="P22" i="9"/>
  <c r="O22" i="9"/>
  <c r="J22" i="9"/>
  <c r="M22" i="9" s="1"/>
  <c r="AJ21" i="9"/>
  <c r="AN21" i="9" s="1"/>
  <c r="AA21" i="9"/>
  <c r="AE21" i="9"/>
  <c r="J21" i="9"/>
  <c r="M21" i="9" s="1"/>
  <c r="AJ20" i="9"/>
  <c r="AN20" i="9"/>
  <c r="AA20" i="9"/>
  <c r="AE20" i="9" s="1"/>
  <c r="AN19" i="9"/>
  <c r="AJ19" i="9"/>
  <c r="AE19" i="9"/>
  <c r="AA19" i="9"/>
  <c r="AL18" i="9"/>
  <c r="AN18" i="9" s="1"/>
  <c r="AJ18" i="9"/>
  <c r="AE18" i="9"/>
  <c r="AA18" i="9"/>
  <c r="T18" i="9"/>
  <c r="T17" i="9"/>
  <c r="T93" i="9" s="1"/>
  <c r="O18" i="9"/>
  <c r="O17" i="9" s="1"/>
  <c r="O93" i="9" s="1"/>
  <c r="L18" i="9"/>
  <c r="L17" i="9" s="1"/>
  <c r="L93" i="9" s="1"/>
  <c r="H18" i="9"/>
  <c r="J18" i="9" s="1"/>
  <c r="AL17" i="9"/>
  <c r="AH17" i="9"/>
  <c r="AG17" i="9"/>
  <c r="AC17" i="9"/>
  <c r="AC22" i="9"/>
  <c r="Y17" i="9"/>
  <c r="Y22" i="9" s="1"/>
  <c r="AA22" i="9" s="1"/>
  <c r="X17" i="9"/>
  <c r="AA17" i="9"/>
  <c r="V15" i="9"/>
  <c r="P15" i="9"/>
  <c r="J15" i="9"/>
  <c r="AN14" i="9"/>
  <c r="AJ14" i="9"/>
  <c r="AE14" i="9"/>
  <c r="AA14" i="9"/>
  <c r="AJ13" i="9"/>
  <c r="AN13" i="9" s="1"/>
  <c r="AA13" i="9"/>
  <c r="AE13" i="9" s="1"/>
  <c r="R13" i="9"/>
  <c r="L13" i="9"/>
  <c r="M13" i="9" s="1"/>
  <c r="J13" i="9"/>
  <c r="AL12" i="9"/>
  <c r="AL15" i="9" s="1"/>
  <c r="AH12" i="9"/>
  <c r="AH15" i="9" s="1"/>
  <c r="AJ15" i="9" s="1"/>
  <c r="AG12" i="9"/>
  <c r="AG15" i="9"/>
  <c r="AC12" i="9"/>
  <c r="AE12" i="9" s="1"/>
  <c r="AE15" i="9" s="1"/>
  <c r="AC15" i="9"/>
  <c r="Y12" i="9"/>
  <c r="Y15" i="9" s="1"/>
  <c r="X12" i="9"/>
  <c r="T12" i="9"/>
  <c r="T15" i="9" s="1"/>
  <c r="O12" i="9"/>
  <c r="O15" i="9" s="1"/>
  <c r="R15" i="9" s="1"/>
  <c r="L12" i="9"/>
  <c r="L15" i="9" s="1"/>
  <c r="H12" i="9"/>
  <c r="J12" i="9" s="1"/>
  <c r="M12" i="9" s="1"/>
  <c r="B103" i="7"/>
  <c r="B102" i="7"/>
  <c r="AL90" i="7"/>
  <c r="AG90" i="7"/>
  <c r="AE90" i="7"/>
  <c r="X90" i="7"/>
  <c r="T90" i="7"/>
  <c r="O90" i="7"/>
  <c r="AN86" i="7"/>
  <c r="AL86" i="7"/>
  <c r="AH86" i="7"/>
  <c r="AG86" i="7"/>
  <c r="AE86" i="7"/>
  <c r="AC86" i="7"/>
  <c r="Y86" i="7"/>
  <c r="X86" i="7"/>
  <c r="V86" i="7"/>
  <c r="T86" i="7"/>
  <c r="P86" i="7"/>
  <c r="O86" i="7"/>
  <c r="M86" i="7"/>
  <c r="L86" i="7"/>
  <c r="I86" i="7"/>
  <c r="H86" i="7"/>
  <c r="F86" i="7"/>
  <c r="AN84" i="7"/>
  <c r="AL84" i="7"/>
  <c r="AL87" i="7" s="1"/>
  <c r="AH84" i="7"/>
  <c r="AG84" i="7"/>
  <c r="AE84" i="7"/>
  <c r="AC84" i="7"/>
  <c r="Y84" i="7"/>
  <c r="X84" i="7"/>
  <c r="V84" i="7"/>
  <c r="T84" i="7"/>
  <c r="T87" i="7" s="1"/>
  <c r="T95" i="7" s="1"/>
  <c r="T96" i="7" s="1"/>
  <c r="P84" i="7"/>
  <c r="O84" i="7"/>
  <c r="L84" i="7"/>
  <c r="I84" i="7"/>
  <c r="H84" i="7"/>
  <c r="F84" i="7"/>
  <c r="AL83" i="7"/>
  <c r="AG83" i="7"/>
  <c r="AE83" i="7"/>
  <c r="X83" i="7"/>
  <c r="T83" i="7"/>
  <c r="O83" i="7"/>
  <c r="O87" i="7" s="1"/>
  <c r="O91" i="7" s="1"/>
  <c r="F83" i="7"/>
  <c r="AJ76" i="7"/>
  <c r="AN76" i="7"/>
  <c r="AG75" i="7"/>
  <c r="AJ75" i="7" s="1"/>
  <c r="AN75" i="7" s="1"/>
  <c r="AG72" i="7"/>
  <c r="AJ72" i="7"/>
  <c r="AN72" i="7" s="1"/>
  <c r="AC72" i="7"/>
  <c r="X72" i="7"/>
  <c r="AJ71" i="7"/>
  <c r="AN71" i="7" s="1"/>
  <c r="Y71" i="7"/>
  <c r="J69" i="7"/>
  <c r="M69" i="7"/>
  <c r="J68" i="7"/>
  <c r="M68" i="7" s="1"/>
  <c r="J67" i="7"/>
  <c r="M67" i="7"/>
  <c r="AL66" i="7"/>
  <c r="AG66" i="7"/>
  <c r="AE66" i="7"/>
  <c r="X66" i="7"/>
  <c r="L66" i="7"/>
  <c r="H66" i="7"/>
  <c r="J66" i="7"/>
  <c r="M66" i="7" s="1"/>
  <c r="J61" i="7"/>
  <c r="J59" i="7"/>
  <c r="M59" i="7" s="1"/>
  <c r="J58" i="7"/>
  <c r="M58" i="7"/>
  <c r="J56" i="7"/>
  <c r="M56" i="7" s="1"/>
  <c r="J55" i="7"/>
  <c r="M55" i="7"/>
  <c r="J54" i="7"/>
  <c r="M54" i="7" s="1"/>
  <c r="J53" i="7"/>
  <c r="M53" i="7"/>
  <c r="AL52" i="7"/>
  <c r="AH52" i="7"/>
  <c r="AG52" i="7"/>
  <c r="AJ52" i="7"/>
  <c r="AN52" i="7" s="1"/>
  <c r="AE52" i="7"/>
  <c r="AC52" i="7"/>
  <c r="X52" i="7"/>
  <c r="I52" i="7"/>
  <c r="J50" i="7"/>
  <c r="M50" i="7"/>
  <c r="J49" i="7"/>
  <c r="M49" i="7" s="1"/>
  <c r="J48" i="7"/>
  <c r="M48" i="7"/>
  <c r="J47" i="7"/>
  <c r="M47" i="7" s="1"/>
  <c r="J46" i="7"/>
  <c r="M46" i="7"/>
  <c r="J45" i="7"/>
  <c r="M45" i="7" s="1"/>
  <c r="J44" i="7"/>
  <c r="M44" i="7"/>
  <c r="M84" i="7" s="1"/>
  <c r="J42" i="7"/>
  <c r="M42" i="7" s="1"/>
  <c r="J41" i="7"/>
  <c r="M41" i="7"/>
  <c r="J40" i="7"/>
  <c r="M40" i="7" s="1"/>
  <c r="AH38" i="7"/>
  <c r="AH66" i="7"/>
  <c r="AC38" i="7"/>
  <c r="Y38" i="7"/>
  <c r="Y66" i="7"/>
  <c r="J38" i="7"/>
  <c r="M38" i="7"/>
  <c r="AJ37" i="7"/>
  <c r="AN37" i="7"/>
  <c r="Y37" i="7"/>
  <c r="J37" i="7"/>
  <c r="M37" i="7" s="1"/>
  <c r="V36" i="7"/>
  <c r="V90" i="7"/>
  <c r="P36" i="7"/>
  <c r="P90" i="7" s="1"/>
  <c r="L36" i="7"/>
  <c r="L90" i="7"/>
  <c r="H36" i="7"/>
  <c r="I36" i="7" s="1"/>
  <c r="I90" i="7" s="1"/>
  <c r="AJ35" i="7"/>
  <c r="AN35" i="7"/>
  <c r="AA35" i="7"/>
  <c r="V35" i="7"/>
  <c r="P35" i="7"/>
  <c r="R35" i="7" s="1"/>
  <c r="L35" i="7"/>
  <c r="L52" i="7" s="1"/>
  <c r="M52" i="7" s="1"/>
  <c r="H35" i="7"/>
  <c r="O52" i="7"/>
  <c r="P52" i="7"/>
  <c r="R52" i="7"/>
  <c r="T28" i="7"/>
  <c r="O28" i="7"/>
  <c r="M28" i="7"/>
  <c r="L28" i="7"/>
  <c r="I28" i="7"/>
  <c r="H28" i="7"/>
  <c r="H85" i="7"/>
  <c r="F28" i="7"/>
  <c r="F85" i="7" s="1"/>
  <c r="F87" i="7" s="1"/>
  <c r="F88" i="7" s="1"/>
  <c r="AJ27" i="7"/>
  <c r="AA27" i="7"/>
  <c r="R27" i="7"/>
  <c r="AL26" i="7"/>
  <c r="AH26" i="7"/>
  <c r="AH28" i="7"/>
  <c r="AH85" i="7" s="1"/>
  <c r="AH89" i="7" s="1"/>
  <c r="AG26" i="7"/>
  <c r="AE26" i="7"/>
  <c r="AE28" i="7"/>
  <c r="X28" i="7" s="1"/>
  <c r="J26" i="7"/>
  <c r="P26" i="7" s="1"/>
  <c r="R26" i="7" s="1"/>
  <c r="V26" i="7" s="1"/>
  <c r="AJ25" i="7"/>
  <c r="AN25" i="7" s="1"/>
  <c r="AA25" i="7"/>
  <c r="R25" i="7"/>
  <c r="V25" i="7"/>
  <c r="V28" i="7" s="1"/>
  <c r="V85" i="7" s="1"/>
  <c r="J25" i="7"/>
  <c r="AJ24" i="7"/>
  <c r="AA24" i="7"/>
  <c r="R24" i="7"/>
  <c r="V24" i="7" s="1"/>
  <c r="J24" i="7"/>
  <c r="AJ21" i="7"/>
  <c r="AA21" i="7"/>
  <c r="R21" i="7"/>
  <c r="I21" i="7"/>
  <c r="I17" i="7"/>
  <c r="I22" i="7"/>
  <c r="AJ20" i="7"/>
  <c r="AA20" i="7"/>
  <c r="R20" i="7"/>
  <c r="AL19" i="7"/>
  <c r="AH19" i="7"/>
  <c r="AG19" i="7"/>
  <c r="AJ19" i="7"/>
  <c r="AE19" i="7"/>
  <c r="AC19" i="7"/>
  <c r="Y19" i="7"/>
  <c r="X19" i="7"/>
  <c r="AA19" i="7" s="1"/>
  <c r="T19" i="7"/>
  <c r="P19" i="7"/>
  <c r="O19" i="7"/>
  <c r="O22" i="7" s="1"/>
  <c r="AJ18" i="7"/>
  <c r="AA18" i="7"/>
  <c r="R18" i="7"/>
  <c r="V18" i="7"/>
  <c r="AN17" i="7"/>
  <c r="AL17" i="7"/>
  <c r="AQ17" i="7" s="1"/>
  <c r="AH17" i="7"/>
  <c r="AG17" i="7"/>
  <c r="AE17" i="7"/>
  <c r="AC17" i="7"/>
  <c r="Y17" i="7"/>
  <c r="X17" i="7"/>
  <c r="X22" i="7" s="1"/>
  <c r="V17" i="7"/>
  <c r="T17" i="7"/>
  <c r="P17" i="7"/>
  <c r="P22" i="7" s="1"/>
  <c r="R22" i="7" s="1"/>
  <c r="O17" i="7"/>
  <c r="M17" i="7"/>
  <c r="M22" i="7" s="1"/>
  <c r="L17" i="7"/>
  <c r="L22" i="7"/>
  <c r="H17" i="7"/>
  <c r="H22" i="7" s="1"/>
  <c r="F17" i="7"/>
  <c r="F22" i="7"/>
  <c r="AJ15" i="7"/>
  <c r="X15" i="7"/>
  <c r="AA15" i="7"/>
  <c r="T15" i="7"/>
  <c r="T12" i="7"/>
  <c r="R15" i="7"/>
  <c r="AJ14" i="7"/>
  <c r="AA14" i="7"/>
  <c r="R14" i="7"/>
  <c r="AJ13" i="7"/>
  <c r="AA13" i="7"/>
  <c r="R13" i="7"/>
  <c r="AN12" i="7"/>
  <c r="AR12" i="7" s="1"/>
  <c r="AL12" i="7"/>
  <c r="AQ12" i="7" s="1"/>
  <c r="AH12" i="7"/>
  <c r="AG12" i="7"/>
  <c r="AE12" i="7"/>
  <c r="AE94" i="7" s="1"/>
  <c r="AC12" i="7"/>
  <c r="Y12" i="7"/>
  <c r="X12" i="7"/>
  <c r="AA12" i="7" s="1"/>
  <c r="V12" i="7"/>
  <c r="P12" i="7"/>
  <c r="O12" i="7"/>
  <c r="M12" i="7"/>
  <c r="L12" i="7"/>
  <c r="L94" i="7" s="1"/>
  <c r="I12" i="7"/>
  <c r="H12" i="7"/>
  <c r="F12" i="7"/>
  <c r="B103" i="6"/>
  <c r="B102" i="6"/>
  <c r="B101" i="6"/>
  <c r="AQ86" i="6"/>
  <c r="AO86" i="6"/>
  <c r="AK86" i="6"/>
  <c r="AI86" i="6"/>
  <c r="AG86" i="6"/>
  <c r="AE86" i="6"/>
  <c r="AA86" i="6"/>
  <c r="Y86" i="6"/>
  <c r="W86" i="6"/>
  <c r="U86" i="6"/>
  <c r="Q86" i="6"/>
  <c r="O86" i="6"/>
  <c r="L86" i="6"/>
  <c r="I86" i="6"/>
  <c r="H86" i="6"/>
  <c r="F86" i="6"/>
  <c r="W84" i="6"/>
  <c r="U84" i="6"/>
  <c r="Q84" i="6"/>
  <c r="O84" i="6"/>
  <c r="L84" i="6"/>
  <c r="I84" i="6"/>
  <c r="H84" i="6"/>
  <c r="F84" i="6"/>
  <c r="AO83" i="6"/>
  <c r="AK83" i="6"/>
  <c r="AI83" i="6"/>
  <c r="AE83" i="6"/>
  <c r="AA83" i="6"/>
  <c r="Y83" i="6"/>
  <c r="U83" i="6"/>
  <c r="Q83" i="6"/>
  <c r="O83" i="6"/>
  <c r="L83" i="6"/>
  <c r="I83" i="6"/>
  <c r="H83" i="6"/>
  <c r="F83" i="6"/>
  <c r="AM73" i="6"/>
  <c r="AQ73" i="6" s="1"/>
  <c r="AC73" i="6"/>
  <c r="AG73" i="6" s="1"/>
  <c r="S73" i="6"/>
  <c r="W73" i="6" s="1"/>
  <c r="AI72" i="6"/>
  <c r="AM72" i="6" s="1"/>
  <c r="AQ72" i="6" s="1"/>
  <c r="AE72" i="6"/>
  <c r="AA72" i="6"/>
  <c r="Y72" i="6"/>
  <c r="U72" i="6"/>
  <c r="Q72" i="6"/>
  <c r="O72" i="6"/>
  <c r="J69" i="6"/>
  <c r="M69" i="6" s="1"/>
  <c r="J68" i="6"/>
  <c r="M68" i="6" s="1"/>
  <c r="J67" i="6"/>
  <c r="M67" i="6" s="1"/>
  <c r="J66" i="6"/>
  <c r="M66" i="6" s="1"/>
  <c r="M61" i="6"/>
  <c r="M86" i="6" s="1"/>
  <c r="J61" i="6"/>
  <c r="J59" i="6"/>
  <c r="M59" i="6" s="1"/>
  <c r="J58" i="6"/>
  <c r="M58" i="6" s="1"/>
  <c r="J56" i="6"/>
  <c r="M56" i="6" s="1"/>
  <c r="J55" i="6"/>
  <c r="M55" i="6" s="1"/>
  <c r="J54" i="6"/>
  <c r="M54" i="6" s="1"/>
  <c r="J53" i="6"/>
  <c r="M53" i="6"/>
  <c r="J52" i="6"/>
  <c r="M52" i="6" s="1"/>
  <c r="J50" i="6"/>
  <c r="M50" i="6"/>
  <c r="J49" i="6"/>
  <c r="M49" i="6" s="1"/>
  <c r="J48" i="6"/>
  <c r="M48" i="6" s="1"/>
  <c r="J47" i="6"/>
  <c r="M47" i="6" s="1"/>
  <c r="J46" i="6"/>
  <c r="M46" i="6" s="1"/>
  <c r="AI45" i="6"/>
  <c r="AE45" i="6"/>
  <c r="Y45" i="6"/>
  <c r="AA45" i="6"/>
  <c r="J45" i="6"/>
  <c r="M45" i="6" s="1"/>
  <c r="AK44" i="6"/>
  <c r="AM44" i="6" s="1"/>
  <c r="AQ44" i="6" s="1"/>
  <c r="Y44" i="6"/>
  <c r="AA44" i="6"/>
  <c r="AC44" i="6" s="1"/>
  <c r="AG44" i="6" s="1"/>
  <c r="J44" i="6"/>
  <c r="M44" i="6"/>
  <c r="J42" i="6"/>
  <c r="M42" i="6" s="1"/>
  <c r="J41" i="6"/>
  <c r="M41" i="6" s="1"/>
  <c r="J40" i="6"/>
  <c r="M40" i="6" s="1"/>
  <c r="J38" i="6"/>
  <c r="M38" i="6" s="1"/>
  <c r="J37" i="6"/>
  <c r="M37" i="6" s="1"/>
  <c r="AM36" i="6"/>
  <c r="AQ36" i="6" s="1"/>
  <c r="AC36" i="6"/>
  <c r="AG36" i="6" s="1"/>
  <c r="S36" i="6"/>
  <c r="W36" i="6" s="1"/>
  <c r="J36" i="6"/>
  <c r="M36" i="6" s="1"/>
  <c r="AM35" i="6"/>
  <c r="AQ35" i="6" s="1"/>
  <c r="AC35" i="6"/>
  <c r="AG35" i="6" s="1"/>
  <c r="S35" i="6"/>
  <c r="W35" i="6"/>
  <c r="J35" i="6"/>
  <c r="M35" i="6" s="1"/>
  <c r="J27" i="6"/>
  <c r="M27" i="6"/>
  <c r="J26" i="6"/>
  <c r="M26" i="6" s="1"/>
  <c r="J25" i="6"/>
  <c r="M25" i="6" s="1"/>
  <c r="AM24" i="6"/>
  <c r="AQ24" i="6" s="1"/>
  <c r="AC24" i="6"/>
  <c r="AG24" i="6" s="1"/>
  <c r="AM20" i="6"/>
  <c r="AQ20" i="6" s="1"/>
  <c r="AC20" i="6"/>
  <c r="AG20" i="6" s="1"/>
  <c r="O20" i="6"/>
  <c r="L20" i="6"/>
  <c r="L17" i="6" s="1"/>
  <c r="I20" i="6"/>
  <c r="I17" i="6" s="1"/>
  <c r="H20" i="6"/>
  <c r="H17" i="6" s="1"/>
  <c r="F20" i="6"/>
  <c r="F17" i="6" s="1"/>
  <c r="AO18" i="6"/>
  <c r="AK18" i="6"/>
  <c r="AK22" i="6" s="1"/>
  <c r="AI18" i="6"/>
  <c r="AE18" i="6"/>
  <c r="AA18" i="6"/>
  <c r="AC18" i="6" s="1"/>
  <c r="S18" i="6"/>
  <c r="W18" i="6" s="1"/>
  <c r="J18" i="6"/>
  <c r="M18" i="6"/>
  <c r="AO17" i="6"/>
  <c r="AQ17" i="6" s="1"/>
  <c r="AK17" i="6"/>
  <c r="AI17" i="6"/>
  <c r="AI22" i="6" s="1"/>
  <c r="AI28" i="6"/>
  <c r="AE17" i="6"/>
  <c r="AG17" i="6" s="1"/>
  <c r="AG26" i="6" s="1"/>
  <c r="AA17" i="6"/>
  <c r="Y17" i="6"/>
  <c r="Y28" i="6" s="1"/>
  <c r="Y85" i="6" s="1"/>
  <c r="U17" i="6"/>
  <c r="U28" i="6" s="1"/>
  <c r="Q17" i="6"/>
  <c r="I24" i="6" s="1"/>
  <c r="Q28" i="6"/>
  <c r="Q85" i="6" s="1"/>
  <c r="Q87" i="6" s="1"/>
  <c r="Q97" i="6" s="1"/>
  <c r="AM15" i="6"/>
  <c r="AC15" i="6"/>
  <c r="S15" i="6"/>
  <c r="J15" i="6"/>
  <c r="M15" i="6" s="1"/>
  <c r="AM13" i="6"/>
  <c r="AQ13" i="6" s="1"/>
  <c r="AC13" i="6"/>
  <c r="AG13" i="6" s="1"/>
  <c r="AG15" i="6" s="1"/>
  <c r="W13" i="6"/>
  <c r="S13" i="6"/>
  <c r="J13" i="6"/>
  <c r="M13" i="6" s="1"/>
  <c r="AO12" i="6"/>
  <c r="AQ12" i="6" s="1"/>
  <c r="AK12" i="6"/>
  <c r="AM12" i="6" s="1"/>
  <c r="AI12" i="6"/>
  <c r="AE12" i="6"/>
  <c r="AG12" i="6" s="1"/>
  <c r="AA12" i="6"/>
  <c r="Y12" i="6"/>
  <c r="AC12" i="6" s="1"/>
  <c r="U12" i="6"/>
  <c r="Q12" i="6"/>
  <c r="O12" i="6"/>
  <c r="L12" i="6"/>
  <c r="I12" i="6"/>
  <c r="H12" i="6"/>
  <c r="F12" i="6"/>
  <c r="AO7" i="6"/>
  <c r="AE7" i="6"/>
  <c r="O7" i="6"/>
  <c r="U7" i="6" s="1"/>
  <c r="B105" i="5"/>
  <c r="B104" i="5"/>
  <c r="B103" i="5"/>
  <c r="B102" i="5"/>
  <c r="B101" i="5"/>
  <c r="B127" i="3"/>
  <c r="B126" i="3"/>
  <c r="B125" i="3"/>
  <c r="B124" i="3"/>
  <c r="B123" i="3"/>
  <c r="B122" i="3"/>
  <c r="B121" i="3"/>
  <c r="B120" i="3"/>
  <c r="B119" i="3"/>
  <c r="B118" i="3"/>
  <c r="B117" i="3"/>
  <c r="B116" i="3"/>
  <c r="V101" i="3"/>
  <c r="T101" i="3"/>
  <c r="P101" i="3"/>
  <c r="O101" i="3"/>
  <c r="M101" i="3"/>
  <c r="AH100" i="3"/>
  <c r="AC100" i="3"/>
  <c r="Y100" i="3"/>
  <c r="V100" i="3"/>
  <c r="T100" i="3"/>
  <c r="P100" i="3"/>
  <c r="O100" i="3"/>
  <c r="AH99" i="3"/>
  <c r="AC99" i="3"/>
  <c r="Y99" i="3"/>
  <c r="V99" i="3"/>
  <c r="V102" i="3" s="1"/>
  <c r="V108" i="3" s="1"/>
  <c r="T99" i="3"/>
  <c r="P99" i="3"/>
  <c r="O99" i="3"/>
  <c r="I99" i="3"/>
  <c r="H99" i="3"/>
  <c r="F99" i="3"/>
  <c r="AH98" i="3"/>
  <c r="AH102" i="3" s="1"/>
  <c r="AC98" i="3"/>
  <c r="AC102" i="3" s="1"/>
  <c r="Y98" i="3"/>
  <c r="V98" i="3"/>
  <c r="T98" i="3"/>
  <c r="T102" i="3" s="1"/>
  <c r="T103" i="3" s="1"/>
  <c r="P98" i="3"/>
  <c r="P102" i="3" s="1"/>
  <c r="P108" i="3" s="1"/>
  <c r="O98" i="3"/>
  <c r="L98" i="3"/>
  <c r="H98" i="3"/>
  <c r="F98" i="3"/>
  <c r="J84" i="3"/>
  <c r="M84" i="3" s="1"/>
  <c r="J83" i="3"/>
  <c r="M83" i="3"/>
  <c r="J82" i="3"/>
  <c r="M82" i="3" s="1"/>
  <c r="J81" i="3"/>
  <c r="M81" i="3"/>
  <c r="X79" i="3"/>
  <c r="J76" i="3"/>
  <c r="J74" i="3"/>
  <c r="M74" i="3" s="1"/>
  <c r="J73" i="3"/>
  <c r="M73" i="3"/>
  <c r="J71" i="3"/>
  <c r="M71" i="3" s="1"/>
  <c r="J70" i="3"/>
  <c r="M70" i="3"/>
  <c r="J69" i="3"/>
  <c r="M69" i="3" s="1"/>
  <c r="J68" i="3"/>
  <c r="M68" i="3"/>
  <c r="J67" i="3"/>
  <c r="M67" i="3" s="1"/>
  <c r="M100" i="3" s="1"/>
  <c r="J65" i="3"/>
  <c r="M65" i="3"/>
  <c r="J64" i="3"/>
  <c r="M64" i="3" s="1"/>
  <c r="L99" i="3"/>
  <c r="J63" i="3"/>
  <c r="M63" i="3" s="1"/>
  <c r="J62" i="3"/>
  <c r="M62" i="3" s="1"/>
  <c r="J61" i="3"/>
  <c r="M61" i="3"/>
  <c r="J60" i="3"/>
  <c r="M60" i="3" s="1"/>
  <c r="J58" i="3"/>
  <c r="M58" i="3"/>
  <c r="J56" i="3"/>
  <c r="M56" i="3" s="1"/>
  <c r="J55" i="3"/>
  <c r="M55" i="3"/>
  <c r="J54" i="3"/>
  <c r="M54" i="3" s="1"/>
  <c r="J52" i="3"/>
  <c r="M52" i="3"/>
  <c r="J46" i="3"/>
  <c r="M46" i="3" s="1"/>
  <c r="I46" i="3"/>
  <c r="I98" i="3"/>
  <c r="J45" i="3"/>
  <c r="M45" i="3" s="1"/>
  <c r="M36" i="3"/>
  <c r="M35" i="3"/>
  <c r="H35" i="3"/>
  <c r="H100" i="3" s="1"/>
  <c r="F35" i="3"/>
  <c r="F100" i="3"/>
  <c r="J34" i="3"/>
  <c r="L33" i="3"/>
  <c r="L35" i="3"/>
  <c r="L100" i="3"/>
  <c r="J33" i="3"/>
  <c r="I33" i="3"/>
  <c r="I35" i="3"/>
  <c r="I100" i="3"/>
  <c r="J32" i="3"/>
  <c r="J31" i="3"/>
  <c r="AJ29" i="3"/>
  <c r="R29" i="3"/>
  <c r="AJ28" i="3"/>
  <c r="AA28" i="3"/>
  <c r="R28" i="3"/>
  <c r="AJ27" i="3"/>
  <c r="AA27" i="3"/>
  <c r="R27" i="3"/>
  <c r="M27" i="3"/>
  <c r="M29" i="3"/>
  <c r="I27" i="3"/>
  <c r="H27" i="3"/>
  <c r="H29" i="3"/>
  <c r="AJ26" i="3"/>
  <c r="AA26" i="3"/>
  <c r="R26" i="3"/>
  <c r="AJ25" i="3"/>
  <c r="AA25" i="3"/>
  <c r="R25" i="3"/>
  <c r="I22" i="3"/>
  <c r="J22" i="3"/>
  <c r="AJ20" i="3"/>
  <c r="AA20" i="3"/>
  <c r="P20" i="3"/>
  <c r="P19" i="3"/>
  <c r="O20" i="3"/>
  <c r="O19" i="3" s="1"/>
  <c r="AH19" i="3"/>
  <c r="AJ19" i="3" s="1"/>
  <c r="AC19" i="3"/>
  <c r="T19" i="3"/>
  <c r="T29" i="3"/>
  <c r="L19" i="3"/>
  <c r="L29" i="3"/>
  <c r="I19" i="3"/>
  <c r="J19" i="3" s="1"/>
  <c r="F19" i="3"/>
  <c r="F29" i="3" s="1"/>
  <c r="AH17" i="3"/>
  <c r="AG17" i="3"/>
  <c r="AE17" i="3"/>
  <c r="AC17" i="3"/>
  <c r="Y17" i="3"/>
  <c r="V17" i="3"/>
  <c r="T17" i="3"/>
  <c r="M17" i="3"/>
  <c r="I17" i="3"/>
  <c r="H17" i="3"/>
  <c r="J17" i="3" s="1"/>
  <c r="AN16" i="3"/>
  <c r="AN17" i="3" s="1"/>
  <c r="AL16" i="3"/>
  <c r="AL17" i="3"/>
  <c r="AJ16" i="3"/>
  <c r="AA16" i="3"/>
  <c r="P16" i="3"/>
  <c r="P17" i="3"/>
  <c r="O16" i="3"/>
  <c r="R16" i="3" s="1"/>
  <c r="AN15" i="3"/>
  <c r="AJ15" i="3"/>
  <c r="X15" i="3"/>
  <c r="X17" i="3" s="1"/>
  <c r="AA17" i="3" s="1"/>
  <c r="R15" i="3"/>
  <c r="L15" i="3"/>
  <c r="J15" i="3"/>
  <c r="F15" i="3"/>
  <c r="AJ14" i="3"/>
  <c r="AA14" i="3"/>
  <c r="R14" i="3"/>
  <c r="AJ13" i="3"/>
  <c r="AA13" i="3"/>
  <c r="R13" i="3"/>
  <c r="L12" i="3"/>
  <c r="L17" i="3" s="1"/>
  <c r="J12" i="3"/>
  <c r="F12" i="3"/>
  <c r="F17" i="3"/>
  <c r="O7" i="3"/>
  <c r="T7" i="3"/>
  <c r="B117" i="1"/>
  <c r="B116" i="1"/>
  <c r="B114" i="1"/>
  <c r="B113" i="1"/>
  <c r="B112" i="1"/>
  <c r="B111" i="1"/>
  <c r="AM98" i="1"/>
  <c r="AH98" i="1"/>
  <c r="AD98" i="1"/>
  <c r="O98" i="1"/>
  <c r="AO94" i="1"/>
  <c r="AM94" i="1"/>
  <c r="AI94" i="1"/>
  <c r="AH94" i="1"/>
  <c r="AF94" i="1"/>
  <c r="AD94" i="1"/>
  <c r="Z94" i="1"/>
  <c r="Y94" i="1"/>
  <c r="V94" i="1"/>
  <c r="T94" i="1"/>
  <c r="P94" i="1"/>
  <c r="O94" i="1"/>
  <c r="L94" i="1"/>
  <c r="I94" i="1"/>
  <c r="H94" i="1"/>
  <c r="F94" i="1"/>
  <c r="L92" i="1"/>
  <c r="F92" i="1"/>
  <c r="AH91" i="1"/>
  <c r="AD91" i="1"/>
  <c r="Z91" i="1"/>
  <c r="L91" i="1"/>
  <c r="I91" i="1"/>
  <c r="H91" i="1"/>
  <c r="H95" i="1" s="1"/>
  <c r="F91" i="1"/>
  <c r="F95" i="1" s="1"/>
  <c r="AO84" i="1"/>
  <c r="AR84" i="1" s="1"/>
  <c r="AI84" i="1"/>
  <c r="AF84" i="1"/>
  <c r="Y84" i="1"/>
  <c r="Y83" i="1" s="1"/>
  <c r="T84" i="1"/>
  <c r="T83" i="1"/>
  <c r="P84" i="1"/>
  <c r="AO83" i="1"/>
  <c r="AR83" i="1" s="1"/>
  <c r="AT83" i="1" s="1"/>
  <c r="AI83" i="1"/>
  <c r="AK83" i="1"/>
  <c r="AF83" i="1"/>
  <c r="P83" i="1"/>
  <c r="O83" i="1"/>
  <c r="AO81" i="1"/>
  <c r="AR81" i="1" s="1"/>
  <c r="AT81" i="1" s="1"/>
  <c r="AI81" i="1"/>
  <c r="AK81" i="1" s="1"/>
  <c r="Y81" i="1"/>
  <c r="T81" i="1"/>
  <c r="T80" i="1" s="1"/>
  <c r="P81" i="1"/>
  <c r="P80" i="1" s="1"/>
  <c r="O81" i="1"/>
  <c r="O80" i="1"/>
  <c r="AO80" i="1"/>
  <c r="AR80" i="1" s="1"/>
  <c r="AT80" i="1" s="1"/>
  <c r="AI80" i="1"/>
  <c r="AK80" i="1"/>
  <c r="AF80" i="1"/>
  <c r="Y80" i="1"/>
  <c r="J77" i="1"/>
  <c r="M77" i="1"/>
  <c r="J76" i="1"/>
  <c r="M76" i="1" s="1"/>
  <c r="J75" i="1"/>
  <c r="M75" i="1"/>
  <c r="J74" i="1"/>
  <c r="M74" i="1" s="1"/>
  <c r="J69" i="1"/>
  <c r="J67" i="1"/>
  <c r="M67" i="1"/>
  <c r="J66" i="1"/>
  <c r="M66" i="1" s="1"/>
  <c r="AO65" i="1"/>
  <c r="AR65" i="1" s="1"/>
  <c r="AT65" i="1" s="1"/>
  <c r="AI65" i="1"/>
  <c r="AK65" i="1" s="1"/>
  <c r="AF65" i="1"/>
  <c r="Z65" i="1"/>
  <c r="AB65" i="1"/>
  <c r="V65" i="1"/>
  <c r="P65" i="1"/>
  <c r="R65" i="1"/>
  <c r="I65" i="1"/>
  <c r="J65" i="1" s="1"/>
  <c r="M65" i="1" s="1"/>
  <c r="J64" i="1"/>
  <c r="M64" i="1"/>
  <c r="AO63" i="1"/>
  <c r="AR63" i="1" s="1"/>
  <c r="AI63" i="1"/>
  <c r="J63" i="1"/>
  <c r="M63" i="1"/>
  <c r="J62" i="1"/>
  <c r="M62" i="1" s="1"/>
  <c r="AO61" i="1"/>
  <c r="AR61" i="1" s="1"/>
  <c r="AT61" i="1" s="1"/>
  <c r="AI61" i="1"/>
  <c r="AK61" i="1" s="1"/>
  <c r="AF61" i="1"/>
  <c r="Y61" i="1"/>
  <c r="Y93" i="1" s="1"/>
  <c r="T61" i="1"/>
  <c r="V61" i="1" s="1"/>
  <c r="P61" i="1"/>
  <c r="R61" i="1" s="1"/>
  <c r="I61" i="1"/>
  <c r="J61" i="1" s="1"/>
  <c r="M61" i="1" s="1"/>
  <c r="M93" i="1" s="1"/>
  <c r="AO60" i="1"/>
  <c r="AR60" i="1" s="1"/>
  <c r="AT60" i="1" s="1"/>
  <c r="AI60" i="1"/>
  <c r="AK60" i="1" s="1"/>
  <c r="AF60" i="1"/>
  <c r="P60" i="1"/>
  <c r="R60" i="1"/>
  <c r="V60" i="1" s="1"/>
  <c r="I60" i="1"/>
  <c r="J60" i="1" s="1"/>
  <c r="M60" i="1"/>
  <c r="J58" i="1"/>
  <c r="M58" i="1" s="1"/>
  <c r="J57" i="1"/>
  <c r="M57" i="1"/>
  <c r="AO56" i="1"/>
  <c r="AR56" i="1" s="1"/>
  <c r="AT56" i="1" s="1"/>
  <c r="AI56" i="1"/>
  <c r="AK56" i="1" s="1"/>
  <c r="AF56" i="1"/>
  <c r="AF98" i="1" s="1"/>
  <c r="AB56" i="1"/>
  <c r="R56" i="1"/>
  <c r="V56" i="1" s="1"/>
  <c r="J56" i="1"/>
  <c r="M56" i="1"/>
  <c r="AO55" i="1"/>
  <c r="AR55" i="1" s="1"/>
  <c r="AT55" i="1" s="1"/>
  <c r="AI55" i="1"/>
  <c r="AH55" i="1"/>
  <c r="AH97" i="1" s="1"/>
  <c r="AK55" i="1"/>
  <c r="AF55" i="1"/>
  <c r="AD55" i="1"/>
  <c r="Z55" i="1"/>
  <c r="AB55" i="1" s="1"/>
  <c r="Y55" i="1"/>
  <c r="Y92" i="1" s="1"/>
  <c r="T55" i="1"/>
  <c r="P55" i="1"/>
  <c r="O55" i="1"/>
  <c r="O92" i="1" s="1"/>
  <c r="I55" i="1"/>
  <c r="J55" i="1"/>
  <c r="M55" i="1"/>
  <c r="AK54" i="1"/>
  <c r="R54" i="1"/>
  <c r="V54" i="1"/>
  <c r="Z54" i="1"/>
  <c r="AK53" i="1"/>
  <c r="Z53" i="1"/>
  <c r="AB53" i="1"/>
  <c r="P53" i="1"/>
  <c r="R53" i="1" s="1"/>
  <c r="V53" i="1" s="1"/>
  <c r="I53" i="1"/>
  <c r="I92" i="1" s="1"/>
  <c r="J53" i="1"/>
  <c r="M53" i="1" s="1"/>
  <c r="AO52" i="1"/>
  <c r="AR52" i="1" s="1"/>
  <c r="AF52" i="1"/>
  <c r="AO51" i="1"/>
  <c r="AI51" i="1"/>
  <c r="AK51" i="1" s="1"/>
  <c r="AF51" i="1"/>
  <c r="Z51" i="1"/>
  <c r="AB51" i="1" s="1"/>
  <c r="P51" i="1"/>
  <c r="R51" i="1"/>
  <c r="V51" i="1" s="1"/>
  <c r="I51" i="1"/>
  <c r="J51" i="1" s="1"/>
  <c r="M51" i="1"/>
  <c r="AM49" i="1"/>
  <c r="AF49" i="1"/>
  <c r="Z49" i="1"/>
  <c r="P49" i="1"/>
  <c r="R49" i="1" s="1"/>
  <c r="V49" i="1" s="1"/>
  <c r="V92" i="1" s="1"/>
  <c r="I49" i="1"/>
  <c r="H49" i="1"/>
  <c r="J47" i="1"/>
  <c r="M47" i="1"/>
  <c r="J45" i="1"/>
  <c r="M45" i="1" s="1"/>
  <c r="J42" i="1"/>
  <c r="M42" i="1"/>
  <c r="AO40" i="1"/>
  <c r="AR40" i="1" s="1"/>
  <c r="AT40" i="1" s="1"/>
  <c r="AI40" i="1"/>
  <c r="AK40" i="1"/>
  <c r="AF40" i="1"/>
  <c r="AB40" i="1"/>
  <c r="P40" i="1"/>
  <c r="R40" i="1"/>
  <c r="J40" i="1"/>
  <c r="M40" i="1" s="1"/>
  <c r="AO39" i="1"/>
  <c r="AR39" i="1" s="1"/>
  <c r="AT39" i="1" s="1"/>
  <c r="AI39" i="1"/>
  <c r="AK39" i="1" s="1"/>
  <c r="AF39" i="1"/>
  <c r="Y39" i="1"/>
  <c r="AB39" i="1"/>
  <c r="T39" i="1"/>
  <c r="P39" i="1"/>
  <c r="O39" i="1"/>
  <c r="J39" i="1"/>
  <c r="M39" i="1" s="1"/>
  <c r="J38" i="1"/>
  <c r="M38" i="1" s="1"/>
  <c r="AO37" i="1"/>
  <c r="AI37" i="1"/>
  <c r="AI98" i="1" s="1"/>
  <c r="AF37" i="1"/>
  <c r="Y37" i="1"/>
  <c r="Y98" i="1"/>
  <c r="T37" i="1"/>
  <c r="T98" i="1" s="1"/>
  <c r="P37" i="1"/>
  <c r="P98" i="1" s="1"/>
  <c r="AO36" i="1"/>
  <c r="AI36" i="1"/>
  <c r="AK36" i="1" s="1"/>
  <c r="AF36" i="1"/>
  <c r="AF97" i="1" s="1"/>
  <c r="Y36" i="1"/>
  <c r="T36" i="1"/>
  <c r="P36" i="1"/>
  <c r="O36" i="1"/>
  <c r="J35" i="1"/>
  <c r="M35" i="1" s="1"/>
  <c r="M29" i="1"/>
  <c r="M69" i="1"/>
  <c r="M94" i="1" s="1"/>
  <c r="F28" i="1"/>
  <c r="J27" i="1"/>
  <c r="M27" i="1"/>
  <c r="AK26" i="1"/>
  <c r="AF26" i="1"/>
  <c r="AF24" i="1"/>
  <c r="AB26" i="1"/>
  <c r="R26" i="1"/>
  <c r="V26" i="1" s="1"/>
  <c r="L26" i="1"/>
  <c r="J26" i="1"/>
  <c r="J25" i="1"/>
  <c r="M25" i="1" s="1"/>
  <c r="AM24" i="1"/>
  <c r="AI24" i="1"/>
  <c r="AK24" i="1" s="1"/>
  <c r="AH24" i="1"/>
  <c r="AH28" i="1" s="1"/>
  <c r="AH93" i="1" s="1"/>
  <c r="AD24" i="1"/>
  <c r="AD28" i="1"/>
  <c r="AD93" i="1" s="1"/>
  <c r="AD97" i="1" s="1"/>
  <c r="Z24" i="1"/>
  <c r="Z28" i="1"/>
  <c r="Y24" i="1"/>
  <c r="Y28" i="1" s="1"/>
  <c r="T24" i="1"/>
  <c r="T28" i="1"/>
  <c r="T93" i="1" s="1"/>
  <c r="P24" i="1"/>
  <c r="P28" i="1" s="1"/>
  <c r="O24" i="1"/>
  <c r="O28" i="1"/>
  <c r="O93" i="1"/>
  <c r="J24" i="1"/>
  <c r="M24" i="1" s="1"/>
  <c r="AI22" i="1"/>
  <c r="V22" i="1"/>
  <c r="V18" i="1" s="1"/>
  <c r="J22" i="1"/>
  <c r="M22" i="1"/>
  <c r="AO21" i="1"/>
  <c r="AI21" i="1"/>
  <c r="AK21" i="1" s="1"/>
  <c r="AF21" i="1"/>
  <c r="AI20" i="1"/>
  <c r="AF20" i="1"/>
  <c r="J20" i="1"/>
  <c r="M20" i="1"/>
  <c r="AD18" i="1"/>
  <c r="Z17" i="1"/>
  <c r="P17" i="1"/>
  <c r="V17" i="1"/>
  <c r="O17" i="1"/>
  <c r="I17" i="1"/>
  <c r="J17" i="1"/>
  <c r="M17" i="1"/>
  <c r="F17" i="1"/>
  <c r="F20" i="1"/>
  <c r="AO15" i="1"/>
  <c r="AI15" i="1"/>
  <c r="AH15" i="1"/>
  <c r="AD15" i="1"/>
  <c r="Z15" i="1"/>
  <c r="P15" i="1"/>
  <c r="J15" i="1"/>
  <c r="M15" i="1" s="1"/>
  <c r="J13" i="1"/>
  <c r="M13" i="1"/>
  <c r="AM12" i="1"/>
  <c r="AM15" i="1" s="1"/>
  <c r="AF12" i="1"/>
  <c r="AF15" i="1" s="1"/>
  <c r="V12" i="1"/>
  <c r="V15" i="1"/>
  <c r="J12" i="1"/>
  <c r="M12" i="1" s="1"/>
  <c r="T10" i="1"/>
  <c r="AK22" i="1"/>
  <c r="R12" i="7"/>
  <c r="AH22" i="7"/>
  <c r="AE87" i="18"/>
  <c r="V52" i="19"/>
  <c r="AG89" i="12"/>
  <c r="AA77" i="12"/>
  <c r="J27" i="3"/>
  <c r="T22" i="7"/>
  <c r="AE22" i="7"/>
  <c r="R19" i="7"/>
  <c r="V19" i="7" s="1"/>
  <c r="Y72" i="7"/>
  <c r="L21" i="12"/>
  <c r="AP18" i="18"/>
  <c r="V49" i="19"/>
  <c r="M44" i="9"/>
  <c r="AL88" i="12"/>
  <c r="AJ38" i="7"/>
  <c r="AN38" i="7" s="1"/>
  <c r="T91" i="9"/>
  <c r="M12" i="12"/>
  <c r="T103" i="12"/>
  <c r="T96" i="12"/>
  <c r="J49" i="1"/>
  <c r="M49" i="1"/>
  <c r="T92" i="12"/>
  <c r="T102" i="12" s="1"/>
  <c r="Q22" i="6"/>
  <c r="L89" i="12"/>
  <c r="R39" i="1"/>
  <c r="R36" i="7"/>
  <c r="AA12" i="9"/>
  <c r="AE21" i="12"/>
  <c r="AA17" i="19"/>
  <c r="V13" i="19"/>
  <c r="AG58" i="19"/>
  <c r="AG62" i="19"/>
  <c r="AL17" i="19"/>
  <c r="T92" i="1"/>
  <c r="V55" i="1"/>
  <c r="P92" i="1"/>
  <c r="F93" i="1"/>
  <c r="L28" i="1"/>
  <c r="L93" i="1"/>
  <c r="H28" i="1"/>
  <c r="H93" i="1"/>
  <c r="I79" i="3"/>
  <c r="I76" i="3"/>
  <c r="I101" i="3" s="1"/>
  <c r="F79" i="3"/>
  <c r="F101" i="3" s="1"/>
  <c r="L79" i="3"/>
  <c r="L101" i="3" s="1"/>
  <c r="AF28" i="1"/>
  <c r="AF93" i="1"/>
  <c r="I28" i="1"/>
  <c r="I93" i="1" s="1"/>
  <c r="R20" i="3"/>
  <c r="Y84" i="6"/>
  <c r="AA17" i="7"/>
  <c r="X15" i="9"/>
  <c r="R19" i="3"/>
  <c r="M26" i="1"/>
  <c r="I29" i="3"/>
  <c r="J29" i="3"/>
  <c r="O102" i="3"/>
  <c r="AL103" i="3"/>
  <c r="O85" i="7"/>
  <c r="O89" i="7" s="1"/>
  <c r="I35" i="7"/>
  <c r="Y83" i="7"/>
  <c r="AH83" i="7"/>
  <c r="H89" i="7"/>
  <c r="R12" i="9"/>
  <c r="L85" i="9"/>
  <c r="L91" i="9"/>
  <c r="AG86" i="9"/>
  <c r="AG89" i="9"/>
  <c r="AG95" i="9" s="1"/>
  <c r="AH44" i="9"/>
  <c r="AF92" i="1"/>
  <c r="AJ17" i="3"/>
  <c r="AA19" i="3"/>
  <c r="U85" i="6"/>
  <c r="U89" i="6" s="1"/>
  <c r="AJ12" i="7"/>
  <c r="AG22" i="7"/>
  <c r="AJ22" i="7" s="1"/>
  <c r="H17" i="9"/>
  <c r="J17" i="9" s="1"/>
  <c r="O91" i="9"/>
  <c r="AH56" i="9"/>
  <c r="AJ56" i="9" s="1"/>
  <c r="AN56" i="9" s="1"/>
  <c r="H86" i="9"/>
  <c r="L24" i="18"/>
  <c r="O20" i="18"/>
  <c r="O24" i="18" s="1"/>
  <c r="O27" i="12"/>
  <c r="O90" i="12"/>
  <c r="J17" i="19"/>
  <c r="V46" i="19"/>
  <c r="M13" i="12"/>
  <c r="X89" i="12"/>
  <c r="R67" i="12"/>
  <c r="V67" i="12"/>
  <c r="V91" i="12"/>
  <c r="AC24" i="18"/>
  <c r="AI20" i="18"/>
  <c r="AP17" i="19"/>
  <c r="P89" i="9"/>
  <c r="P95" i="9" s="1"/>
  <c r="L78" i="10"/>
  <c r="L79" i="10" s="1"/>
  <c r="AA39" i="12"/>
  <c r="AE39" i="12"/>
  <c r="AE47" i="12"/>
  <c r="L92" i="12"/>
  <c r="L93" i="12" s="1"/>
  <c r="AE24" i="18"/>
  <c r="V97" i="18"/>
  <c r="AE90" i="18"/>
  <c r="V51" i="19"/>
  <c r="AJ18" i="18"/>
  <c r="M24" i="18"/>
  <c r="M90" i="18"/>
  <c r="P87" i="18"/>
  <c r="P90" i="18" s="1"/>
  <c r="AR12" i="19"/>
  <c r="R17" i="19"/>
  <c r="R18" i="19" s="1"/>
  <c r="V18" i="19" s="1"/>
  <c r="V60" i="19"/>
  <c r="O18" i="18"/>
  <c r="AN18" i="18"/>
  <c r="J20" i="18"/>
  <c r="AN13" i="19"/>
  <c r="AN15" i="19"/>
  <c r="Z97" i="19"/>
  <c r="AG45" i="19"/>
  <c r="V61" i="19"/>
  <c r="V76" i="19"/>
  <c r="AR59" i="19"/>
  <c r="Z12" i="19"/>
  <c r="AC12" i="19" s="1"/>
  <c r="Z17" i="19"/>
  <c r="AC17" i="19" s="1"/>
  <c r="AR35" i="19"/>
  <c r="AC44" i="19"/>
  <c r="AG44" i="19"/>
  <c r="AR55" i="19"/>
  <c r="H100" i="19"/>
  <c r="H106" i="19" s="1"/>
  <c r="P100" i="19"/>
  <c r="P106" i="19" s="1"/>
  <c r="AP96" i="19"/>
  <c r="AK12" i="19"/>
  <c r="L17" i="19"/>
  <c r="AL96" i="19"/>
  <c r="V47" i="19"/>
  <c r="AR58" i="19"/>
  <c r="I100" i="19"/>
  <c r="AG35" i="19"/>
  <c r="AG96" i="19" s="1"/>
  <c r="AG100" i="19" s="1"/>
  <c r="AG106" i="19" s="1"/>
  <c r="AA96" i="19"/>
  <c r="AK99" i="19"/>
  <c r="AN75" i="19"/>
  <c r="AR75" i="19" s="1"/>
  <c r="Z96" i="19"/>
  <c r="V98" i="18"/>
  <c r="V99" i="18" s="1"/>
  <c r="J24" i="18"/>
  <c r="L90" i="18"/>
  <c r="AP101" i="18"/>
  <c r="AP98" i="18"/>
  <c r="AP99" i="18"/>
  <c r="AN90" i="18"/>
  <c r="AC87" i="18"/>
  <c r="J49" i="18"/>
  <c r="P75" i="18"/>
  <c r="P101" i="18" s="1"/>
  <c r="O21" i="12"/>
  <c r="R21" i="12"/>
  <c r="AA36" i="12"/>
  <c r="AE36" i="12" s="1"/>
  <c r="F93" i="12"/>
  <c r="O15" i="12"/>
  <c r="R15" i="12" s="1"/>
  <c r="R13" i="12"/>
  <c r="V13" i="12" s="1"/>
  <c r="AJ12" i="12"/>
  <c r="AH96" i="12"/>
  <c r="AH103" i="12"/>
  <c r="H92" i="12"/>
  <c r="H93" i="12" s="1"/>
  <c r="L15" i="12"/>
  <c r="M15" i="12" s="1"/>
  <c r="AE17" i="12"/>
  <c r="AL21" i="12"/>
  <c r="AA34" i="12"/>
  <c r="AA41" i="12"/>
  <c r="AE38" i="12"/>
  <c r="Y58" i="12"/>
  <c r="Y90" i="12" s="1"/>
  <c r="X90" i="12"/>
  <c r="T95" i="12"/>
  <c r="O17" i="12"/>
  <c r="R17" i="12" s="1"/>
  <c r="V17" i="12"/>
  <c r="M17" i="12"/>
  <c r="V90" i="12"/>
  <c r="X91" i="12"/>
  <c r="T93" i="12"/>
  <c r="O20" i="12"/>
  <c r="R20" i="12" s="1"/>
  <c r="V20" i="12" s="1"/>
  <c r="M20" i="12"/>
  <c r="V21" i="12"/>
  <c r="AD42" i="12"/>
  <c r="AC34" i="12"/>
  <c r="O51" i="12"/>
  <c r="R51" i="12"/>
  <c r="V51" i="12"/>
  <c r="Y51" i="12" s="1"/>
  <c r="AA51" i="12" s="1"/>
  <c r="AE51" i="12" s="1"/>
  <c r="M51" i="12"/>
  <c r="AA60" i="12"/>
  <c r="AE60" i="12" s="1"/>
  <c r="AH92" i="12"/>
  <c r="P96" i="12"/>
  <c r="P103" i="12"/>
  <c r="L84" i="10"/>
  <c r="AG93" i="9"/>
  <c r="AA45" i="9"/>
  <c r="AE45" i="9"/>
  <c r="O46" i="9"/>
  <c r="R46" i="9" s="1"/>
  <c r="M46" i="9"/>
  <c r="AL22" i="9"/>
  <c r="AA74" i="9"/>
  <c r="AE74" i="9" s="1"/>
  <c r="I89" i="9"/>
  <c r="I95" i="9" s="1"/>
  <c r="AJ12" i="9"/>
  <c r="AN12" i="9" s="1"/>
  <c r="X28" i="9"/>
  <c r="X87" i="9" s="1"/>
  <c r="X86" i="9"/>
  <c r="O44" i="9"/>
  <c r="AC90" i="7"/>
  <c r="AC83" i="7"/>
  <c r="L85" i="7"/>
  <c r="L89" i="7"/>
  <c r="L92" i="7" s="1"/>
  <c r="J52" i="7"/>
  <c r="AE85" i="7"/>
  <c r="AE89" i="7" s="1"/>
  <c r="Y90" i="7"/>
  <c r="AA37" i="7"/>
  <c r="AC22" i="7"/>
  <c r="I85" i="7"/>
  <c r="P28" i="7"/>
  <c r="P85" i="7" s="1"/>
  <c r="P83" i="7"/>
  <c r="P87" i="7" s="1"/>
  <c r="J35" i="7"/>
  <c r="M35" i="7"/>
  <c r="AC66" i="7"/>
  <c r="AJ17" i="7"/>
  <c r="AL28" i="7"/>
  <c r="AL85" i="7" s="1"/>
  <c r="AL89" i="7"/>
  <c r="AL99" i="7" s="1"/>
  <c r="L83" i="7"/>
  <c r="AH90" i="7"/>
  <c r="V83" i="7"/>
  <c r="R17" i="7"/>
  <c r="AA38" i="7"/>
  <c r="T52" i="7"/>
  <c r="V52" i="7"/>
  <c r="AK28" i="6"/>
  <c r="AE28" i="6"/>
  <c r="AG28" i="6" s="1"/>
  <c r="AO45" i="6"/>
  <c r="AE84" i="6"/>
  <c r="AE85" i="6"/>
  <c r="AE89" i="6" s="1"/>
  <c r="AE98" i="6" s="1"/>
  <c r="X108" i="3"/>
  <c r="X103" i="3"/>
  <c r="AG108" i="3"/>
  <c r="AL108" i="3"/>
  <c r="AE108" i="3"/>
  <c r="AE103" i="3"/>
  <c r="AA15" i="3"/>
  <c r="J42" i="3"/>
  <c r="M42" i="3"/>
  <c r="Y29" i="3"/>
  <c r="AA29" i="3"/>
  <c r="H79" i="3"/>
  <c r="H101" i="3" s="1"/>
  <c r="H102" i="3" s="1"/>
  <c r="Z61" i="1"/>
  <c r="AB61" i="1"/>
  <c r="AM28" i="1"/>
  <c r="AI28" i="1"/>
  <c r="AI93" i="1" s="1"/>
  <c r="AO28" i="1"/>
  <c r="AS28" i="1" s="1"/>
  <c r="AO93" i="1"/>
  <c r="V20" i="1"/>
  <c r="R24" i="1"/>
  <c r="V24" i="1" s="1"/>
  <c r="M28" i="1"/>
  <c r="V36" i="1"/>
  <c r="R37" i="1"/>
  <c r="AB37" i="1"/>
  <c r="P91" i="1"/>
  <c r="AI91" i="1"/>
  <c r="H92" i="1"/>
  <c r="H96" i="1"/>
  <c r="AH92" i="1"/>
  <c r="AH95" i="1" s="1"/>
  <c r="AB24" i="1"/>
  <c r="T91" i="1"/>
  <c r="V37" i="1"/>
  <c r="AI49" i="1"/>
  <c r="AD92" i="1"/>
  <c r="AD95" i="1"/>
  <c r="AG103" i="3"/>
  <c r="AN17" i="19"/>
  <c r="AL103" i="12"/>
  <c r="AM93" i="1"/>
  <c r="AA58" i="12"/>
  <c r="L85" i="10"/>
  <c r="P97" i="18"/>
  <c r="W28" i="6"/>
  <c r="AJ44" i="9"/>
  <c r="AN44" i="9" s="1"/>
  <c r="H22" i="6"/>
  <c r="V89" i="7"/>
  <c r="V101" i="18"/>
  <c r="I89" i="7"/>
  <c r="I92" i="7" s="1"/>
  <c r="O98" i="18"/>
  <c r="O99" i="18" s="1"/>
  <c r="O101" i="18"/>
  <c r="AN97" i="18"/>
  <c r="AN101" i="18"/>
  <c r="X97" i="18"/>
  <c r="Y97" i="18"/>
  <c r="Y98" i="18"/>
  <c r="Y99" i="18"/>
  <c r="Y101" i="18"/>
  <c r="I101" i="18"/>
  <c r="AH102" i="12"/>
  <c r="AH99" i="12"/>
  <c r="AH100" i="12" s="1"/>
  <c r="AH98" i="12"/>
  <c r="AH93" i="12"/>
  <c r="AC88" i="12"/>
  <c r="H85" i="10"/>
  <c r="H82" i="10"/>
  <c r="H84" i="10"/>
  <c r="H81" i="10"/>
  <c r="H79" i="10"/>
  <c r="F101" i="7"/>
  <c r="F100" i="7"/>
  <c r="T85" i="7"/>
  <c r="X85" i="7"/>
  <c r="X26" i="7"/>
  <c r="L87" i="7"/>
  <c r="AE87" i="7"/>
  <c r="O95" i="7"/>
  <c r="O96" i="7" s="1"/>
  <c r="AD106" i="1"/>
  <c r="AK49" i="1"/>
  <c r="AI92" i="1"/>
  <c r="AO49" i="1"/>
  <c r="AR49" i="1" s="1"/>
  <c r="AM97" i="1"/>
  <c r="L101" i="7"/>
  <c r="T89" i="7"/>
  <c r="X89" i="7"/>
  <c r="X87" i="7"/>
  <c r="X94" i="7" s="1"/>
  <c r="T91" i="7"/>
  <c r="X91" i="7"/>
  <c r="T92" i="7"/>
  <c r="T22" i="71" l="1"/>
  <c r="I16" i="71"/>
  <c r="Z16" i="71"/>
  <c r="P33" i="71"/>
  <c r="P49" i="71"/>
  <c r="Z41" i="71"/>
  <c r="F46" i="71"/>
  <c r="AD17" i="71"/>
  <c r="T25" i="71"/>
  <c r="F26" i="71"/>
  <c r="AC29" i="71"/>
  <c r="AD29" i="71"/>
  <c r="AD38" i="71"/>
  <c r="S46" i="71"/>
  <c r="P48" i="71"/>
  <c r="J15" i="71"/>
  <c r="S30" i="71"/>
  <c r="F33" i="71"/>
  <c r="J41" i="71"/>
  <c r="F45" i="71"/>
  <c r="T45" i="71"/>
  <c r="Z53" i="71"/>
  <c r="U51" i="71"/>
  <c r="M97" i="19"/>
  <c r="L100" i="19"/>
  <c r="F106" i="19"/>
  <c r="F101" i="19"/>
  <c r="AG22" i="19"/>
  <c r="AR52" i="19"/>
  <c r="BC60" i="19"/>
  <c r="AN12" i="19"/>
  <c r="AP102" i="19"/>
  <c r="V57" i="19"/>
  <c r="AW39" i="19"/>
  <c r="AY39" i="19" s="1"/>
  <c r="BC57" i="19"/>
  <c r="V44" i="19"/>
  <c r="AK96" i="19"/>
  <c r="V35" i="19"/>
  <c r="V96" i="19" s="1"/>
  <c r="AR18" i="19"/>
  <c r="AG61" i="19"/>
  <c r="AR62" i="19"/>
  <c r="AN36" i="19"/>
  <c r="AR36" i="19" s="1"/>
  <c r="AK97" i="19"/>
  <c r="AR98" i="19"/>
  <c r="T102" i="19"/>
  <c r="BC53" i="19"/>
  <c r="AW54" i="19"/>
  <c r="AY54" i="19" s="1"/>
  <c r="BC52" i="19"/>
  <c r="AA100" i="19"/>
  <c r="AG52" i="19"/>
  <c r="AG56" i="19"/>
  <c r="O100" i="19"/>
  <c r="AL100" i="19"/>
  <c r="V12" i="19"/>
  <c r="V15" i="19" s="1"/>
  <c r="V45" i="19"/>
  <c r="V58" i="19"/>
  <c r="AR60" i="19"/>
  <c r="V62" i="19"/>
  <c r="V93" i="42"/>
  <c r="V101" i="42" s="1"/>
  <c r="V102" i="42" s="1"/>
  <c r="AS98" i="42"/>
  <c r="AE23" i="42"/>
  <c r="P98" i="42"/>
  <c r="AE15" i="42"/>
  <c r="M90" i="42"/>
  <c r="F93" i="42"/>
  <c r="F94" i="42" s="1"/>
  <c r="X93" i="42"/>
  <c r="M17" i="42"/>
  <c r="R23" i="42"/>
  <c r="J15" i="42"/>
  <c r="M15" i="42" s="1"/>
  <c r="AJ93" i="42"/>
  <c r="AM93" i="42"/>
  <c r="AM97" i="42" s="1"/>
  <c r="O93" i="42"/>
  <c r="O107" i="42" s="1"/>
  <c r="J23" i="42"/>
  <c r="M23" i="42" s="1"/>
  <c r="AQ15" i="6"/>
  <c r="U22" i="6"/>
  <c r="H24" i="6"/>
  <c r="J24" i="6" s="1"/>
  <c r="Y22" i="6"/>
  <c r="J12" i="6"/>
  <c r="AO28" i="6"/>
  <c r="AQ28" i="6" s="1"/>
  <c r="AY22" i="6"/>
  <c r="AQ83" i="6"/>
  <c r="W85" i="6"/>
  <c r="AA22" i="6"/>
  <c r="AW18" i="6"/>
  <c r="AW12" i="6"/>
  <c r="AS85" i="6"/>
  <c r="AE91" i="6"/>
  <c r="L22" i="6"/>
  <c r="L24" i="6"/>
  <c r="M24" i="6" s="1"/>
  <c r="F24" i="6"/>
  <c r="F28" i="6"/>
  <c r="F85" i="6" s="1"/>
  <c r="F87" i="6" s="1"/>
  <c r="F22" i="6"/>
  <c r="BA89" i="6"/>
  <c r="AM22" i="6"/>
  <c r="M12" i="6"/>
  <c r="Y87" i="6"/>
  <c r="AE87" i="6"/>
  <c r="AE93" i="6" s="1"/>
  <c r="AW72" i="6"/>
  <c r="S12" i="6"/>
  <c r="W12" i="6" s="1"/>
  <c r="W15" i="6" s="1"/>
  <c r="M84" i="6"/>
  <c r="AM17" i="6"/>
  <c r="AC17" i="6"/>
  <c r="AC22" i="6"/>
  <c r="M83" i="6"/>
  <c r="U87" i="6"/>
  <c r="U97" i="6" s="1"/>
  <c r="AM18" i="6"/>
  <c r="AQ18" i="6" s="1"/>
  <c r="Q93" i="6"/>
  <c r="W83" i="6"/>
  <c r="W87" i="6" s="1"/>
  <c r="W93" i="6" s="1"/>
  <c r="Q89" i="6"/>
  <c r="Q91" i="6" s="1"/>
  <c r="AA28" i="6"/>
  <c r="AA85" i="6" s="1"/>
  <c r="AA89" i="6" s="1"/>
  <c r="AO22" i="6"/>
  <c r="BA83" i="6"/>
  <c r="AJ55" i="9"/>
  <c r="AN55" i="9" s="1"/>
  <c r="AH57" i="9"/>
  <c r="AJ57" i="9" s="1"/>
  <c r="AN57" i="9" s="1"/>
  <c r="AH58" i="9"/>
  <c r="AJ58" i="9" s="1"/>
  <c r="AN58" i="9" s="1"/>
  <c r="M15" i="9"/>
  <c r="O86" i="9"/>
  <c r="O89" i="9" s="1"/>
  <c r="R44" i="9"/>
  <c r="AC86" i="9"/>
  <c r="AC89" i="9" s="1"/>
  <c r="AC95" i="9" s="1"/>
  <c r="AL46" i="9"/>
  <c r="L89" i="9"/>
  <c r="AJ46" i="9"/>
  <c r="AS17" i="9"/>
  <c r="AW17" i="9" s="1"/>
  <c r="AN15" i="9"/>
  <c r="M87" i="9"/>
  <c r="AN85" i="9"/>
  <c r="AA15" i="9"/>
  <c r="R22" i="9"/>
  <c r="M86" i="9"/>
  <c r="M89" i="9" s="1"/>
  <c r="AH86" i="9"/>
  <c r="AA46" i="9"/>
  <c r="AE46" i="9" s="1"/>
  <c r="BL152" i="32"/>
  <c r="X55" i="32"/>
  <c r="Z55" i="32" s="1"/>
  <c r="AD55" i="32" s="1"/>
  <c r="X104" i="32"/>
  <c r="Z104" i="32" s="1"/>
  <c r="AD104" i="32" s="1"/>
  <c r="BC37" i="32"/>
  <c r="BC14" i="32"/>
  <c r="X110" i="32"/>
  <c r="Z110" i="32" s="1"/>
  <c r="AD110" i="32" s="1"/>
  <c r="J12" i="32"/>
  <c r="P12" i="32" s="1"/>
  <c r="AB120" i="32"/>
  <c r="X56" i="32"/>
  <c r="Z56" i="32" s="1"/>
  <c r="AD56" i="32" s="1"/>
  <c r="X103" i="32"/>
  <c r="Z103" i="32" s="1"/>
  <c r="AD103" i="32" s="1"/>
  <c r="F54" i="32"/>
  <c r="X105" i="32"/>
  <c r="Z105" i="32" s="1"/>
  <c r="AD105" i="32" s="1"/>
  <c r="W152" i="32"/>
  <c r="Z40" i="32"/>
  <c r="AD40" i="32" s="1"/>
  <c r="F64" i="32"/>
  <c r="J22" i="32"/>
  <c r="M22" i="32" s="1"/>
  <c r="X76" i="32"/>
  <c r="Z76" i="32" s="1"/>
  <c r="AD76" i="32" s="1"/>
  <c r="F61" i="32"/>
  <c r="X71" i="32"/>
  <c r="Z71" i="32" s="1"/>
  <c r="AD71" i="32" s="1"/>
  <c r="BL153" i="32"/>
  <c r="X85" i="32"/>
  <c r="Z85" i="32" s="1"/>
  <c r="AD85" i="32" s="1"/>
  <c r="BF23" i="32"/>
  <c r="BG156" i="32"/>
  <c r="P58" i="32"/>
  <c r="X69" i="32"/>
  <c r="Z69" i="32" s="1"/>
  <c r="AD69" i="32" s="1"/>
  <c r="P65" i="32"/>
  <c r="BC18" i="32"/>
  <c r="X68" i="32"/>
  <c r="Z68" i="32" s="1"/>
  <c r="AD68" i="32" s="1"/>
  <c r="X77" i="32"/>
  <c r="Z77" i="32" s="1"/>
  <c r="AD77" i="32" s="1"/>
  <c r="AV131" i="32"/>
  <c r="AV152" i="32"/>
  <c r="BC120" i="32"/>
  <c r="X84" i="32"/>
  <c r="Z84" i="32" s="1"/>
  <c r="AD84" i="32" s="1"/>
  <c r="X111" i="32"/>
  <c r="Z111" i="32" s="1"/>
  <c r="AD111" i="32" s="1"/>
  <c r="AW156" i="32"/>
  <c r="AY16" i="32"/>
  <c r="X73" i="32"/>
  <c r="Z73" i="32" s="1"/>
  <c r="AD73" i="32" s="1"/>
  <c r="X108" i="32"/>
  <c r="Z108" i="32" s="1"/>
  <c r="AD108" i="32" s="1"/>
  <c r="X61" i="32"/>
  <c r="Z61" i="32" s="1"/>
  <c r="AD61" i="32" s="1"/>
  <c r="X107" i="32"/>
  <c r="Z107" i="32" s="1"/>
  <c r="AD107" i="32" s="1"/>
  <c r="X75" i="32"/>
  <c r="Z75" i="32" s="1"/>
  <c r="AD75" i="32" s="1"/>
  <c r="X86" i="32"/>
  <c r="Z86" i="32" s="1"/>
  <c r="AD86" i="32" s="1"/>
  <c r="BC16" i="32"/>
  <c r="X65" i="32"/>
  <c r="Z65" i="32" s="1"/>
  <c r="AD65" i="32" s="1"/>
  <c r="X70" i="32"/>
  <c r="Z70" i="32" s="1"/>
  <c r="AD70" i="32" s="1"/>
  <c r="X78" i="32"/>
  <c r="Z78" i="32" s="1"/>
  <c r="AD78" i="32" s="1"/>
  <c r="P152" i="32"/>
  <c r="AO25" i="32"/>
  <c r="AM30" i="32"/>
  <c r="AM154" i="32" s="1"/>
  <c r="P70" i="32"/>
  <c r="M70" i="32"/>
  <c r="F97" i="32"/>
  <c r="J97" i="32"/>
  <c r="P64" i="32"/>
  <c r="M64" i="32"/>
  <c r="BC30" i="32"/>
  <c r="F68" i="32"/>
  <c r="J68" i="32"/>
  <c r="M68" i="32" s="1"/>
  <c r="M27" i="32"/>
  <c r="P27" i="32"/>
  <c r="AJ37" i="32"/>
  <c r="AG152" i="32"/>
  <c r="W16" i="32"/>
  <c r="P22" i="32"/>
  <c r="BA16" i="32"/>
  <c r="AG69" i="32"/>
  <c r="AJ69" i="32" s="1"/>
  <c r="AG103" i="32"/>
  <c r="AJ103" i="32" s="1"/>
  <c r="M76" i="32"/>
  <c r="M71" i="32"/>
  <c r="X112" i="32"/>
  <c r="Z112" i="32" s="1"/>
  <c r="AD112" i="32" s="1"/>
  <c r="F65" i="32"/>
  <c r="AD25" i="32"/>
  <c r="P25" i="32"/>
  <c r="U18" i="32"/>
  <c r="X67" i="32"/>
  <c r="Z67" i="32" s="1"/>
  <c r="AD67" i="32" s="1"/>
  <c r="X57" i="32"/>
  <c r="Z57" i="32" s="1"/>
  <c r="AD57" i="32" s="1"/>
  <c r="J74" i="32"/>
  <c r="J62" i="32"/>
  <c r="P62" i="32" s="1"/>
  <c r="U23" i="32"/>
  <c r="W21" i="32"/>
  <c r="L18" i="32"/>
  <c r="M61" i="32"/>
  <c r="AG86" i="32"/>
  <c r="AJ86" i="32" s="1"/>
  <c r="X92" i="32"/>
  <c r="Z92" i="32" s="1"/>
  <c r="AD92" i="32" s="1"/>
  <c r="AG111" i="32"/>
  <c r="AJ111" i="32" s="1"/>
  <c r="AH156" i="32"/>
  <c r="AH166" i="32" s="1"/>
  <c r="BH152" i="32"/>
  <c r="BM156" i="32"/>
  <c r="AG77" i="32"/>
  <c r="AJ77" i="32" s="1"/>
  <c r="J13" i="32"/>
  <c r="M13" i="32" s="1"/>
  <c r="BC23" i="32"/>
  <c r="X28" i="32"/>
  <c r="Z28" i="32" s="1"/>
  <c r="AD28" i="32" s="1"/>
  <c r="F70" i="32"/>
  <c r="F71" i="32"/>
  <c r="AG85" i="32"/>
  <c r="AJ85" i="32" s="1"/>
  <c r="X94" i="32"/>
  <c r="Z94" i="32" s="1"/>
  <c r="AD94" i="32" s="1"/>
  <c r="X109" i="32"/>
  <c r="Z109" i="32" s="1"/>
  <c r="AD109" i="32" s="1"/>
  <c r="BH153" i="32"/>
  <c r="BF152" i="32"/>
  <c r="BF156" i="32" s="1"/>
  <c r="BK153" i="32"/>
  <c r="BK156" i="32" s="1"/>
  <c r="X64" i="32"/>
  <c r="Z64" i="32" s="1"/>
  <c r="AD64" i="32" s="1"/>
  <c r="O156" i="32"/>
  <c r="J18" i="32"/>
  <c r="P18" i="32" s="1"/>
  <c r="AB154" i="32"/>
  <c r="AB156" i="32" s="1"/>
  <c r="V132" i="40"/>
  <c r="V139" i="40"/>
  <c r="AP15" i="40"/>
  <c r="T128" i="40"/>
  <c r="T130" i="40"/>
  <c r="F27" i="40"/>
  <c r="F126" i="40" s="1"/>
  <c r="F130" i="40" s="1"/>
  <c r="M25" i="40"/>
  <c r="R52" i="40"/>
  <c r="AP127" i="40"/>
  <c r="AC50" i="40"/>
  <c r="AP125" i="40"/>
  <c r="AC12" i="40"/>
  <c r="AC35" i="40"/>
  <c r="R48" i="40"/>
  <c r="W7" i="32"/>
  <c r="H103" i="3"/>
  <c r="H108" i="3"/>
  <c r="F102" i="3"/>
  <c r="I102" i="3"/>
  <c r="I108" i="3" s="1"/>
  <c r="P49" i="36"/>
  <c r="M110" i="36"/>
  <c r="Y38" i="36"/>
  <c r="V108" i="36"/>
  <c r="AI113" i="36"/>
  <c r="AI125" i="36"/>
  <c r="P45" i="36"/>
  <c r="M109" i="36"/>
  <c r="V110" i="36"/>
  <c r="Y52" i="36"/>
  <c r="I112" i="36"/>
  <c r="T112" i="36"/>
  <c r="T113" i="36" s="1"/>
  <c r="AJ109" i="36"/>
  <c r="AE108" i="36"/>
  <c r="V111" i="36"/>
  <c r="AJ23" i="36"/>
  <c r="AV36" i="36"/>
  <c r="L85" i="87"/>
  <c r="L89" i="87" s="1"/>
  <c r="L92" i="87" s="1"/>
  <c r="G90" i="86"/>
  <c r="N36" i="86"/>
  <c r="N90" i="86" s="1"/>
  <c r="L84" i="86"/>
  <c r="F29" i="71"/>
  <c r="F30" i="71"/>
  <c r="T16" i="71"/>
  <c r="S23" i="71"/>
  <c r="Z26" i="71"/>
  <c r="S13" i="71"/>
  <c r="T13" i="71"/>
  <c r="P16" i="71"/>
  <c r="S18" i="71"/>
  <c r="F19" i="71"/>
  <c r="AD40" i="71"/>
  <c r="I24" i="71"/>
  <c r="J39" i="71"/>
  <c r="P40" i="71"/>
  <c r="Z44" i="71"/>
  <c r="F56" i="71"/>
  <c r="I57" i="71"/>
  <c r="Z37" i="71"/>
  <c r="Z23" i="71"/>
  <c r="AD23" i="71"/>
  <c r="P42" i="71"/>
  <c r="I46" i="71"/>
  <c r="Z46" i="71"/>
  <c r="AC54" i="71"/>
  <c r="I33" i="71"/>
  <c r="T37" i="71"/>
  <c r="I49" i="71"/>
  <c r="Q4" i="71"/>
  <c r="AD19" i="71"/>
  <c r="S27" i="71"/>
  <c r="Z28" i="71"/>
  <c r="J29" i="71"/>
  <c r="K49" i="71"/>
  <c r="AC38" i="71"/>
  <c r="I13" i="71"/>
  <c r="AD21" i="71"/>
  <c r="U48" i="71"/>
  <c r="I12" i="71"/>
  <c r="T19" i="71"/>
  <c r="I21" i="71"/>
  <c r="AC22" i="71"/>
  <c r="I25" i="71"/>
  <c r="AC30" i="71"/>
  <c r="T31" i="71"/>
  <c r="AC44" i="71"/>
  <c r="K56" i="71"/>
  <c r="S59" i="71"/>
  <c r="P21" i="71"/>
  <c r="I27" i="71"/>
  <c r="S33" i="71"/>
  <c r="AD37" i="71"/>
  <c r="P43" i="71"/>
  <c r="T46" i="71"/>
  <c r="Z54" i="71"/>
  <c r="F15" i="71"/>
  <c r="J18" i="71"/>
  <c r="T33" i="71"/>
  <c r="J17" i="71"/>
  <c r="P19" i="71"/>
  <c r="T20" i="71"/>
  <c r="AE59" i="71"/>
  <c r="AC17" i="71"/>
  <c r="F20" i="71"/>
  <c r="Z30" i="71"/>
  <c r="F55" i="71"/>
  <c r="T55" i="71"/>
  <c r="P13" i="71"/>
  <c r="I19" i="71"/>
  <c r="I20" i="71"/>
  <c r="P23" i="71"/>
  <c r="Z25" i="71"/>
  <c r="J33" i="71"/>
  <c r="AC33" i="71"/>
  <c r="P34" i="71"/>
  <c r="Z38" i="71"/>
  <c r="AE51" i="71"/>
  <c r="J19" i="71"/>
  <c r="J20" i="71"/>
  <c r="S35" i="71"/>
  <c r="S12" i="71"/>
  <c r="T34" i="71"/>
  <c r="J37" i="71"/>
  <c r="F39" i="71"/>
  <c r="AC55" i="71"/>
  <c r="P15" i="71"/>
  <c r="AD15" i="71"/>
  <c r="F18" i="71"/>
  <c r="F25" i="71"/>
  <c r="I26" i="71"/>
  <c r="J35" i="71"/>
  <c r="F44" i="71"/>
  <c r="I45" i="71"/>
  <c r="Z59" i="71"/>
  <c r="T15" i="71"/>
  <c r="I22" i="71"/>
  <c r="AD22" i="71"/>
  <c r="I23" i="71"/>
  <c r="AC23" i="71"/>
  <c r="AC25" i="71"/>
  <c r="J27" i="71"/>
  <c r="AD28" i="71"/>
  <c r="Z35" i="71"/>
  <c r="Z36" i="71"/>
  <c r="AC43" i="71"/>
  <c r="I44" i="71"/>
  <c r="I50" i="71"/>
  <c r="U50" i="71"/>
  <c r="K51" i="71"/>
  <c r="S51" i="71"/>
  <c r="S53" i="71"/>
  <c r="U53" i="71" s="1"/>
  <c r="AC56" i="71"/>
  <c r="S57" i="71"/>
  <c r="U59" i="71"/>
  <c r="AC12" i="71"/>
  <c r="Z13" i="71"/>
  <c r="AD13" i="71"/>
  <c r="Z15" i="71"/>
  <c r="J16" i="71"/>
  <c r="S21" i="71"/>
  <c r="F22" i="71"/>
  <c r="F23" i="71"/>
  <c r="J23" i="71"/>
  <c r="S25" i="71"/>
  <c r="AC36" i="71"/>
  <c r="S37" i="71"/>
  <c r="F41" i="71"/>
  <c r="T41" i="71"/>
  <c r="AC41" i="71"/>
  <c r="AC42" i="71"/>
  <c r="S47" i="71"/>
  <c r="AE47" i="71"/>
  <c r="S49" i="71"/>
  <c r="Z49" i="71"/>
  <c r="F50" i="71"/>
  <c r="K50" i="71"/>
  <c r="I52" i="71"/>
  <c r="I54" i="71"/>
  <c r="AE54" i="71"/>
  <c r="K57" i="71"/>
  <c r="F14" i="71"/>
  <c r="T14" i="71"/>
  <c r="AC14" i="71"/>
  <c r="F21" i="71"/>
  <c r="P22" i="71"/>
  <c r="I31" i="71"/>
  <c r="S31" i="71"/>
  <c r="AC31" i="71"/>
  <c r="I32" i="71"/>
  <c r="F34" i="71"/>
  <c r="F35" i="71"/>
  <c r="AC35" i="71"/>
  <c r="I42" i="71"/>
  <c r="J43" i="71"/>
  <c r="AD45" i="71"/>
  <c r="P46" i="71"/>
  <c r="K48" i="71"/>
  <c r="Z51" i="71"/>
  <c r="S56" i="71"/>
  <c r="U56" i="71"/>
  <c r="J14" i="71"/>
  <c r="AD16" i="71"/>
  <c r="AC20" i="71"/>
  <c r="J21" i="71"/>
  <c r="T21" i="71"/>
  <c r="AC21" i="71"/>
  <c r="T24" i="71"/>
  <c r="F28" i="71"/>
  <c r="S32" i="71"/>
  <c r="AD32" i="71"/>
  <c r="S43" i="71"/>
  <c r="U47" i="71"/>
  <c r="U49" i="71"/>
  <c r="AE49" i="71"/>
  <c r="I53" i="71"/>
  <c r="K53" i="71" s="1"/>
  <c r="AC53" i="71"/>
  <c r="AE53" i="71" s="1"/>
  <c r="AC58" i="71"/>
  <c r="Z18" i="71"/>
  <c r="S22" i="71"/>
  <c r="AC24" i="71"/>
  <c r="S28" i="71"/>
  <c r="AC32" i="71"/>
  <c r="S36" i="71"/>
  <c r="AC47" i="71"/>
  <c r="S50" i="71"/>
  <c r="P53" i="71"/>
  <c r="U54" i="71"/>
  <c r="Z55" i="71"/>
  <c r="I56" i="71"/>
  <c r="AE56" i="71"/>
  <c r="T18" i="71"/>
  <c r="P14" i="71"/>
  <c r="AD14" i="71"/>
  <c r="F17" i="71"/>
  <c r="AD18" i="71"/>
  <c r="P20" i="71"/>
  <c r="Z21" i="71"/>
  <c r="Z22" i="71"/>
  <c r="AC27" i="71"/>
  <c r="I29" i="71"/>
  <c r="S29" i="71"/>
  <c r="J30" i="71"/>
  <c r="T30" i="71"/>
  <c r="T32" i="71"/>
  <c r="I35" i="71"/>
  <c r="J38" i="71"/>
  <c r="S38" i="71"/>
  <c r="T39" i="71"/>
  <c r="AC39" i="71"/>
  <c r="J42" i="71"/>
  <c r="S42" i="71"/>
  <c r="Z42" i="71"/>
  <c r="AC49" i="71"/>
  <c r="Z50" i="71"/>
  <c r="S52" i="71"/>
  <c r="S54" i="71"/>
  <c r="AD55" i="71"/>
  <c r="F59" i="71"/>
  <c r="J12" i="71"/>
  <c r="Z14" i="71"/>
  <c r="I15" i="71"/>
  <c r="F16" i="71"/>
  <c r="S16" i="71"/>
  <c r="P17" i="71"/>
  <c r="P18" i="71"/>
  <c r="S19" i="71"/>
  <c r="Z19" i="71"/>
  <c r="J22" i="71"/>
  <c r="T23" i="71"/>
  <c r="J24" i="71"/>
  <c r="S24" i="71"/>
  <c r="J26" i="71"/>
  <c r="I28" i="71"/>
  <c r="AC28" i="71"/>
  <c r="Z29" i="71"/>
  <c r="J31" i="71"/>
  <c r="AD31" i="71"/>
  <c r="J32" i="71"/>
  <c r="AD33" i="71"/>
  <c r="S34" i="71"/>
  <c r="AD34" i="71"/>
  <c r="P35" i="71"/>
  <c r="T35" i="71"/>
  <c r="F36" i="71"/>
  <c r="J36" i="71"/>
  <c r="T38" i="71"/>
  <c r="AD39" i="71"/>
  <c r="T40" i="71"/>
  <c r="Z40" i="71"/>
  <c r="AD42" i="71"/>
  <c r="AD43" i="71"/>
  <c r="S44" i="71"/>
  <c r="AD44" i="71"/>
  <c r="P45" i="71"/>
  <c r="J46" i="71"/>
  <c r="K47" i="71"/>
  <c r="Z48" i="71"/>
  <c r="AE48" i="71"/>
  <c r="I51" i="71"/>
  <c r="AC51" i="71"/>
  <c r="P54" i="71"/>
  <c r="J55" i="71"/>
  <c r="P55" i="71"/>
  <c r="P56" i="71"/>
  <c r="Z56" i="71"/>
  <c r="S58" i="71"/>
  <c r="I59" i="71"/>
  <c r="AC59" i="71"/>
  <c r="K59" i="71"/>
  <c r="J13" i="71"/>
  <c r="Z20" i="71"/>
  <c r="AD20" i="71"/>
  <c r="AD24" i="71"/>
  <c r="P25" i="71"/>
  <c r="P32" i="71"/>
  <c r="T36" i="71"/>
  <c r="I37" i="71"/>
  <c r="P38" i="71"/>
  <c r="Z39" i="71"/>
  <c r="F49" i="71"/>
  <c r="U57" i="71"/>
  <c r="T12" i="71"/>
  <c r="F13" i="71"/>
  <c r="AC19" i="71"/>
  <c r="S20" i="71"/>
  <c r="AD25" i="71"/>
  <c r="AD27" i="71"/>
  <c r="T28" i="71"/>
  <c r="T29" i="71"/>
  <c r="AD35" i="71"/>
  <c r="I36" i="71"/>
  <c r="P44" i="71"/>
  <c r="J45" i="71"/>
  <c r="I47" i="71"/>
  <c r="AC48" i="71"/>
  <c r="AC50" i="71"/>
  <c r="F51" i="71"/>
  <c r="P51" i="71"/>
  <c r="F53" i="71"/>
  <c r="V80" i="54"/>
  <c r="AP21" i="54"/>
  <c r="AP88" i="54"/>
  <c r="O21" i="54"/>
  <c r="R21" i="54" s="1"/>
  <c r="R33" i="54"/>
  <c r="V81" i="54"/>
  <c r="Y81" i="54"/>
  <c r="AA17" i="54"/>
  <c r="O80" i="54"/>
  <c r="F84" i="54"/>
  <c r="AA14" i="54"/>
  <c r="M21" i="54"/>
  <c r="J32" i="54"/>
  <c r="J36" i="54" s="1"/>
  <c r="M36" i="54" s="1"/>
  <c r="P36" i="54" s="1"/>
  <c r="L86" i="54"/>
  <c r="L88" i="54" s="1"/>
  <c r="AN21" i="54"/>
  <c r="AL81" i="54"/>
  <c r="AL80" i="54"/>
  <c r="AN32" i="54"/>
  <c r="O86" i="54"/>
  <c r="O88" i="54" s="1"/>
  <c r="AE14" i="54"/>
  <c r="AI12" i="54"/>
  <c r="R32" i="54"/>
  <c r="AR21" i="54"/>
  <c r="AR12" i="54"/>
  <c r="AN12" i="54"/>
  <c r="AA37" i="54"/>
  <c r="AA36" i="54"/>
  <c r="AL13" i="54"/>
  <c r="AN13" i="54" s="1"/>
  <c r="AR13" i="54" s="1"/>
  <c r="AN33" i="54"/>
  <c r="AR82" i="54"/>
  <c r="AG85" i="54"/>
  <c r="AA16" i="54"/>
  <c r="M81" i="54"/>
  <c r="AP80" i="54"/>
  <c r="AP84" i="54" s="1"/>
  <c r="AP90" i="54" s="1"/>
  <c r="F103" i="3"/>
  <c r="F108" i="3"/>
  <c r="J84" i="10"/>
  <c r="J79" i="10"/>
  <c r="J85" i="10"/>
  <c r="P95" i="12"/>
  <c r="P93" i="12"/>
  <c r="P102" i="12"/>
  <c r="P88" i="7"/>
  <c r="P94" i="7"/>
  <c r="AH99" i="7"/>
  <c r="AH92" i="7"/>
  <c r="AL100" i="7"/>
  <c r="AL94" i="7"/>
  <c r="AL88" i="7"/>
  <c r="AL101" i="7"/>
  <c r="AL91" i="7"/>
  <c r="AL98" i="7"/>
  <c r="AL95" i="7"/>
  <c r="AL96" i="7" s="1"/>
  <c r="H94" i="26"/>
  <c r="H89" i="26"/>
  <c r="H95" i="26"/>
  <c r="H96" i="26" s="1"/>
  <c r="AA104" i="19"/>
  <c r="AA101" i="19"/>
  <c r="AA106" i="19"/>
  <c r="AE101" i="7"/>
  <c r="AE99" i="7"/>
  <c r="AE100" i="7"/>
  <c r="AE92" i="7"/>
  <c r="AN66" i="7"/>
  <c r="AN90" i="7"/>
  <c r="AN83" i="7"/>
  <c r="AC103" i="3"/>
  <c r="AC108" i="3"/>
  <c r="I95" i="1"/>
  <c r="I96" i="1" s="1"/>
  <c r="AH100" i="1"/>
  <c r="AH109" i="1"/>
  <c r="AH107" i="1"/>
  <c r="F79" i="10"/>
  <c r="F84" i="10"/>
  <c r="AI101" i="18"/>
  <c r="AI97" i="18"/>
  <c r="AI98" i="18"/>
  <c r="AI99" i="18" s="1"/>
  <c r="T89" i="26"/>
  <c r="T94" i="26"/>
  <c r="T91" i="26"/>
  <c r="AM100" i="1"/>
  <c r="AM107" i="1"/>
  <c r="V101" i="7"/>
  <c r="AQ22" i="6"/>
  <c r="AQ26" i="6"/>
  <c r="M79" i="10"/>
  <c r="M84" i="10"/>
  <c r="AG88" i="12"/>
  <c r="AG92" i="12" s="1"/>
  <c r="AG94" i="12"/>
  <c r="AR76" i="19"/>
  <c r="AR99" i="19" s="1"/>
  <c r="AP99" i="19"/>
  <c r="AP100" i="19" s="1"/>
  <c r="AC90" i="26"/>
  <c r="AC92" i="26" s="1"/>
  <c r="X98" i="26"/>
  <c r="X95" i="26"/>
  <c r="X96" i="26" s="1"/>
  <c r="X89" i="26"/>
  <c r="X94" i="26"/>
  <c r="O92" i="26"/>
  <c r="O99" i="26"/>
  <c r="M17" i="29"/>
  <c r="R12" i="33"/>
  <c r="V12" i="33" s="1"/>
  <c r="P15" i="33"/>
  <c r="R15" i="33" s="1"/>
  <c r="Z60" i="1"/>
  <c r="AL92" i="12"/>
  <c r="AR51" i="1"/>
  <c r="AO92" i="1"/>
  <c r="F96" i="1"/>
  <c r="F102" i="1"/>
  <c r="AH108" i="3"/>
  <c r="AH103" i="3"/>
  <c r="Y102" i="3"/>
  <c r="AE22" i="6"/>
  <c r="AG18" i="6"/>
  <c r="AG22" i="6" s="1"/>
  <c r="H28" i="6"/>
  <c r="H85" i="6" s="1"/>
  <c r="H87" i="6" s="1"/>
  <c r="J17" i="6"/>
  <c r="M17" i="6" s="1"/>
  <c r="M28" i="6" s="1"/>
  <c r="M85" i="6" s="1"/>
  <c r="M87" i="6" s="1"/>
  <c r="Y89" i="6"/>
  <c r="AQ19" i="7"/>
  <c r="AN19" i="7"/>
  <c r="AL22" i="7"/>
  <c r="AG22" i="9"/>
  <c r="M17" i="9"/>
  <c r="AG100" i="9"/>
  <c r="T89" i="9"/>
  <c r="M90" i="12"/>
  <c r="AL96" i="12"/>
  <c r="M53" i="12"/>
  <c r="AA59" i="12"/>
  <c r="AE59" i="12" s="1"/>
  <c r="AN95" i="12"/>
  <c r="AN102" i="12"/>
  <c r="P24" i="18"/>
  <c r="AE12" i="19"/>
  <c r="AE106" i="19" s="1"/>
  <c r="AG57" i="19"/>
  <c r="AE104" i="19"/>
  <c r="AI100" i="19"/>
  <c r="AE101" i="19"/>
  <c r="AC88" i="26"/>
  <c r="AA17" i="26"/>
  <c r="AJ15" i="26"/>
  <c r="AN15" i="26" s="1"/>
  <c r="AH17" i="26"/>
  <c r="AJ17" i="26" s="1"/>
  <c r="X92" i="26"/>
  <c r="X99" i="26"/>
  <c r="M88" i="26"/>
  <c r="M89" i="26" s="1"/>
  <c r="M85" i="26"/>
  <c r="O88" i="26"/>
  <c r="P60" i="32"/>
  <c r="M60" i="32"/>
  <c r="AA139" i="40"/>
  <c r="Y15" i="36"/>
  <c r="AA15" i="36" s="1"/>
  <c r="AA12" i="36"/>
  <c r="T125" i="36"/>
  <c r="T123" i="36"/>
  <c r="T119" i="36"/>
  <c r="AK95" i="39"/>
  <c r="AK90" i="39"/>
  <c r="AK96" i="39"/>
  <c r="AK97" i="39" s="1"/>
  <c r="R37" i="39"/>
  <c r="P36" i="39"/>
  <c r="AI92" i="39"/>
  <c r="AI90" i="39"/>
  <c r="AI95" i="39"/>
  <c r="AI96" i="39"/>
  <c r="AI97" i="39" s="1"/>
  <c r="H27" i="40"/>
  <c r="H126" i="40" s="1"/>
  <c r="H130" i="40" s="1"/>
  <c r="J24" i="40"/>
  <c r="M24" i="40" s="1"/>
  <c r="M27" i="40" s="1"/>
  <c r="I124" i="40"/>
  <c r="Z130" i="40"/>
  <c r="Z124" i="40"/>
  <c r="AC34" i="40"/>
  <c r="AD99" i="1"/>
  <c r="M101" i="18"/>
  <c r="M97" i="18"/>
  <c r="AE101" i="18"/>
  <c r="AE97" i="18"/>
  <c r="L90" i="9"/>
  <c r="L95" i="9"/>
  <c r="L92" i="9"/>
  <c r="O103" i="3"/>
  <c r="O108" i="3"/>
  <c r="AQ49" i="1"/>
  <c r="AT49" i="1" s="1"/>
  <c r="AM92" i="1"/>
  <c r="AM95" i="1" s="1"/>
  <c r="AF107" i="1"/>
  <c r="S20" i="6"/>
  <c r="W20" i="6" s="1"/>
  <c r="O17" i="6"/>
  <c r="Y88" i="6"/>
  <c r="Y97" i="6"/>
  <c r="T94" i="7"/>
  <c r="T99" i="19"/>
  <c r="T100" i="19" s="1"/>
  <c r="V75" i="19"/>
  <c r="P24" i="26"/>
  <c r="R24" i="26" s="1"/>
  <c r="P92" i="26"/>
  <c r="I89" i="26"/>
  <c r="I95" i="26"/>
  <c r="I96" i="26" s="1"/>
  <c r="AD108" i="1"/>
  <c r="AH99" i="1"/>
  <c r="AH108" i="1"/>
  <c r="AH96" i="1"/>
  <c r="F88" i="6"/>
  <c r="F89" i="6"/>
  <c r="V87" i="7"/>
  <c r="AN87" i="9"/>
  <c r="AN91" i="9" s="1"/>
  <c r="AE98" i="18"/>
  <c r="AE99" i="18" s="1"/>
  <c r="O92" i="7"/>
  <c r="O101" i="7"/>
  <c r="L101" i="19"/>
  <c r="L106" i="19"/>
  <c r="P97" i="1"/>
  <c r="P107" i="1" s="1"/>
  <c r="AR37" i="1"/>
  <c r="AO98" i="1"/>
  <c r="L95" i="1"/>
  <c r="L96" i="1" s="1"/>
  <c r="T100" i="7"/>
  <c r="AO97" i="1"/>
  <c r="AO107" i="1" s="1"/>
  <c r="X99" i="7"/>
  <c r="X92" i="7"/>
  <c r="L91" i="7"/>
  <c r="AH102" i="1"/>
  <c r="AD102" i="1"/>
  <c r="Y90" i="6"/>
  <c r="AE98" i="7"/>
  <c r="AE91" i="7"/>
  <c r="AE95" i="7"/>
  <c r="AE96" i="7" s="1"/>
  <c r="AE88" i="7"/>
  <c r="L88" i="7"/>
  <c r="L100" i="7"/>
  <c r="L95" i="7"/>
  <c r="L96" i="7" s="1"/>
  <c r="AL92" i="7"/>
  <c r="X103" i="12"/>
  <c r="AR96" i="19"/>
  <c r="AG101" i="19"/>
  <c r="P101" i="19"/>
  <c r="AF91" i="1"/>
  <c r="AF95" i="1" s="1"/>
  <c r="M98" i="3"/>
  <c r="M102" i="3" s="1"/>
  <c r="T108" i="3"/>
  <c r="AC45" i="6"/>
  <c r="AG45" i="6" s="1"/>
  <c r="AG84" i="6" s="1"/>
  <c r="J36" i="7"/>
  <c r="M36" i="7" s="1"/>
  <c r="M90" i="7" s="1"/>
  <c r="AL93" i="9"/>
  <c r="M85" i="10"/>
  <c r="V88" i="12"/>
  <c r="M98" i="18"/>
  <c r="M99" i="18" s="1"/>
  <c r="T98" i="18"/>
  <c r="T99" i="18" s="1"/>
  <c r="I106" i="19"/>
  <c r="I101" i="19"/>
  <c r="V17" i="19"/>
  <c r="H90" i="7"/>
  <c r="H83" i="7"/>
  <c r="H87" i="7" s="1"/>
  <c r="M92" i="1"/>
  <c r="J20" i="6"/>
  <c r="M20" i="6" s="1"/>
  <c r="R55" i="1"/>
  <c r="AI17" i="1"/>
  <c r="AR36" i="1"/>
  <c r="AO91" i="1"/>
  <c r="AO95" i="1" s="1"/>
  <c r="AB49" i="1"/>
  <c r="Z92" i="1"/>
  <c r="Z98" i="1"/>
  <c r="AB54" i="1"/>
  <c r="R80" i="1"/>
  <c r="V83" i="1" s="1"/>
  <c r="R81" i="1"/>
  <c r="V84" i="1" s="1"/>
  <c r="M99" i="3"/>
  <c r="I22" i="6"/>
  <c r="J22" i="6" s="1"/>
  <c r="M22" i="6" s="1"/>
  <c r="I28" i="6"/>
  <c r="I85" i="6" s="1"/>
  <c r="I87" i="6" s="1"/>
  <c r="AA84" i="6"/>
  <c r="AA87" i="6" s="1"/>
  <c r="AC72" i="6"/>
  <c r="AG72" i="6" s="1"/>
  <c r="M85" i="7"/>
  <c r="M89" i="7" s="1"/>
  <c r="Y44" i="9"/>
  <c r="Y86" i="9" s="1"/>
  <c r="H93" i="9"/>
  <c r="AJ17" i="12"/>
  <c r="AN17" i="12" s="1"/>
  <c r="AG21" i="12"/>
  <c r="M88" i="12"/>
  <c r="M92" i="12" s="1"/>
  <c r="Y88" i="12"/>
  <c r="M96" i="12"/>
  <c r="M89" i="12"/>
  <c r="V98" i="19"/>
  <c r="M96" i="19"/>
  <c r="O101" i="19"/>
  <c r="I94" i="26"/>
  <c r="X91" i="26"/>
  <c r="AN17" i="26"/>
  <c r="I24" i="26"/>
  <c r="J20" i="26"/>
  <c r="F94" i="26"/>
  <c r="F89" i="26"/>
  <c r="P89" i="26"/>
  <c r="P91" i="26"/>
  <c r="P98" i="26"/>
  <c r="P95" i="26"/>
  <c r="P96" i="26" s="1"/>
  <c r="AM16" i="32"/>
  <c r="AO16" i="32" s="1"/>
  <c r="S68" i="34"/>
  <c r="S72" i="34" s="1"/>
  <c r="V40" i="34"/>
  <c r="Z40" i="34" s="1"/>
  <c r="Z68" i="34" s="1"/>
  <c r="Z72" i="34" s="1"/>
  <c r="AA132" i="40"/>
  <c r="J39" i="40"/>
  <c r="M34" i="40"/>
  <c r="AN22" i="41"/>
  <c r="AC26" i="71"/>
  <c r="AD26" i="71"/>
  <c r="AI95" i="1"/>
  <c r="AO84" i="6"/>
  <c r="AO85" i="6"/>
  <c r="AO89" i="6" s="1"/>
  <c r="I92" i="9"/>
  <c r="I90" i="9"/>
  <c r="L97" i="18"/>
  <c r="AG90" i="9"/>
  <c r="AG99" i="9"/>
  <c r="H101" i="7"/>
  <c r="O97" i="1"/>
  <c r="O107" i="1" s="1"/>
  <c r="O88" i="7"/>
  <c r="O100" i="7"/>
  <c r="T101" i="7"/>
  <c r="I98" i="18"/>
  <c r="I99" i="18" s="1"/>
  <c r="I97" i="18"/>
  <c r="Z99" i="19"/>
  <c r="Z100" i="19" s="1"/>
  <c r="Z102" i="19"/>
  <c r="AC75" i="19"/>
  <c r="AG75" i="19" s="1"/>
  <c r="AG102" i="19" s="1"/>
  <c r="L95" i="26"/>
  <c r="L96" i="26" s="1"/>
  <c r="L94" i="26"/>
  <c r="AL88" i="26"/>
  <c r="H100" i="42"/>
  <c r="H94" i="42"/>
  <c r="H101" i="42"/>
  <c r="H102" i="42" s="1"/>
  <c r="X88" i="7"/>
  <c r="X95" i="7"/>
  <c r="X96" i="7" s="1"/>
  <c r="X98" i="7"/>
  <c r="O95" i="9"/>
  <c r="V92" i="7"/>
  <c r="AG92" i="9"/>
  <c r="L101" i="18"/>
  <c r="L28" i="6"/>
  <c r="L85" i="6" s="1"/>
  <c r="L87" i="6" s="1"/>
  <c r="AC90" i="9"/>
  <c r="AC99" i="9"/>
  <c r="T97" i="18"/>
  <c r="U91" i="6"/>
  <c r="U98" i="6"/>
  <c r="AH87" i="7"/>
  <c r="AK37" i="1"/>
  <c r="AD107" i="1"/>
  <c r="AD109" i="1"/>
  <c r="AD100" i="1"/>
  <c r="X100" i="7"/>
  <c r="T88" i="7"/>
  <c r="X101" i="7"/>
  <c r="AI97" i="1"/>
  <c r="AH106" i="1"/>
  <c r="Y93" i="6"/>
  <c r="O94" i="7"/>
  <c r="AC92" i="9"/>
  <c r="X96" i="12"/>
  <c r="L98" i="18"/>
  <c r="L99" i="18" s="1"/>
  <c r="H101" i="19"/>
  <c r="AG104" i="19"/>
  <c r="P104" i="19"/>
  <c r="T95" i="1"/>
  <c r="V28" i="1"/>
  <c r="V93" i="1" s="1"/>
  <c r="F95" i="9"/>
  <c r="F92" i="9"/>
  <c r="AE34" i="12"/>
  <c r="AC94" i="12"/>
  <c r="AJ34" i="12"/>
  <c r="T98" i="12"/>
  <c r="AN98" i="18"/>
  <c r="AN99" i="18" s="1"/>
  <c r="M17" i="19"/>
  <c r="P98" i="18"/>
  <c r="P99" i="18" s="1"/>
  <c r="P92" i="9"/>
  <c r="P90" i="9"/>
  <c r="AJ17" i="9"/>
  <c r="AN17" i="9" s="1"/>
  <c r="H92" i="7"/>
  <c r="I83" i="7"/>
  <c r="I87" i="7" s="1"/>
  <c r="O91" i="1"/>
  <c r="O95" i="1" s="1"/>
  <c r="T99" i="12"/>
  <c r="T100" i="12" s="1"/>
  <c r="R36" i="1"/>
  <c r="AD17" i="1"/>
  <c r="AF17" i="1" s="1"/>
  <c r="AF18" i="1"/>
  <c r="AO20" i="1"/>
  <c r="AK20" i="1"/>
  <c r="P93" i="1"/>
  <c r="P95" i="1" s="1"/>
  <c r="M91" i="1"/>
  <c r="Y91" i="1"/>
  <c r="Y95" i="1" s="1"/>
  <c r="Y97" i="1"/>
  <c r="AB36" i="1"/>
  <c r="V40" i="1"/>
  <c r="V98" i="1" s="1"/>
  <c r="V39" i="1"/>
  <c r="V97" i="1" s="1"/>
  <c r="V100" i="1" s="1"/>
  <c r="T97" i="1"/>
  <c r="O17" i="3"/>
  <c r="R17" i="3" s="1"/>
  <c r="L102" i="3"/>
  <c r="Q88" i="6"/>
  <c r="AG83" i="6"/>
  <c r="AG85" i="6"/>
  <c r="AG89" i="6" s="1"/>
  <c r="AI84" i="6"/>
  <c r="AK45" i="6"/>
  <c r="AM45" i="6" s="1"/>
  <c r="AQ45" i="6" s="1"/>
  <c r="AI85" i="6"/>
  <c r="AI89" i="6" s="1"/>
  <c r="AA22" i="7"/>
  <c r="V22" i="7"/>
  <c r="AG28" i="7"/>
  <c r="AG85" i="7" s="1"/>
  <c r="AG89" i="7" s="1"/>
  <c r="AJ26" i="7"/>
  <c r="AN26" i="7" s="1"/>
  <c r="AN28" i="7" s="1"/>
  <c r="AN85" i="7" s="1"/>
  <c r="AN89" i="7" s="1"/>
  <c r="AC93" i="9"/>
  <c r="AA35" i="9"/>
  <c r="X85" i="9"/>
  <c r="X89" i="9" s="1"/>
  <c r="X91" i="9"/>
  <c r="H89" i="9"/>
  <c r="V89" i="9"/>
  <c r="AN12" i="12"/>
  <c r="V15" i="12"/>
  <c r="X88" i="12"/>
  <c r="X92" i="12" s="1"/>
  <c r="AA35" i="12"/>
  <c r="AE35" i="12" s="1"/>
  <c r="R45" i="12"/>
  <c r="V45" i="12" s="1"/>
  <c r="O94" i="12"/>
  <c r="O89" i="12"/>
  <c r="O92" i="12" s="1"/>
  <c r="AC90" i="12"/>
  <c r="AC92" i="12" s="1"/>
  <c r="AE58" i="12"/>
  <c r="AE90" i="12" s="1"/>
  <c r="X98" i="18"/>
  <c r="X99" i="18" s="1"/>
  <c r="X101" i="18"/>
  <c r="F90" i="18"/>
  <c r="AC90" i="18"/>
  <c r="AR20" i="19"/>
  <c r="M98" i="19"/>
  <c r="AC36" i="19"/>
  <c r="AA102" i="19"/>
  <c r="AN44" i="19"/>
  <c r="AR44" i="19" s="1"/>
  <c r="AR97" i="19" s="1"/>
  <c r="AK102" i="19"/>
  <c r="AE102" i="19"/>
  <c r="L89" i="26"/>
  <c r="J24" i="26"/>
  <c r="R19" i="26"/>
  <c r="V19" i="26" s="1"/>
  <c r="V24" i="26" s="1"/>
  <c r="V90" i="26"/>
  <c r="AC24" i="26"/>
  <c r="AE19" i="26"/>
  <c r="AE24" i="26" s="1"/>
  <c r="V84" i="26"/>
  <c r="V88" i="26" s="1"/>
  <c r="AS67" i="26"/>
  <c r="AY67" i="26"/>
  <c r="AF97" i="29"/>
  <c r="AF98" i="29" s="1"/>
  <c r="AF96" i="29"/>
  <c r="AF91" i="29"/>
  <c r="AF93" i="29"/>
  <c r="X89" i="29"/>
  <c r="X28" i="29"/>
  <c r="X88" i="29" s="1"/>
  <c r="X92" i="29" s="1"/>
  <c r="X94" i="29" s="1"/>
  <c r="U88" i="29"/>
  <c r="U92" i="29" s="1"/>
  <c r="U94" i="29" s="1"/>
  <c r="Z90" i="29"/>
  <c r="Z92" i="29"/>
  <c r="Z94" i="29" s="1"/>
  <c r="AM41" i="29"/>
  <c r="AM86" i="29" s="1"/>
  <c r="AM90" i="29" s="1"/>
  <c r="AI86" i="29"/>
  <c r="AI90" i="29" s="1"/>
  <c r="P57" i="45"/>
  <c r="M57" i="45"/>
  <c r="AP97" i="18"/>
  <c r="AR30" i="26"/>
  <c r="AG86" i="26"/>
  <c r="AG90" i="26" s="1"/>
  <c r="AD19" i="29"/>
  <c r="AB22" i="29"/>
  <c r="AI15" i="29"/>
  <c r="H39" i="29"/>
  <c r="L86" i="29"/>
  <c r="L90" i="29" s="1"/>
  <c r="P90" i="29"/>
  <c r="M101" i="32"/>
  <c r="P101" i="32"/>
  <c r="Y36" i="33"/>
  <c r="V97" i="33"/>
  <c r="AA19" i="33"/>
  <c r="AE19" i="33" s="1"/>
  <c r="AE22" i="33" s="1"/>
  <c r="Y22" i="33"/>
  <c r="V17" i="34"/>
  <c r="T76" i="34"/>
  <c r="L50" i="34"/>
  <c r="M50" i="34" s="1"/>
  <c r="L49" i="34"/>
  <c r="M49" i="34" s="1"/>
  <c r="L28" i="34"/>
  <c r="AK70" i="34"/>
  <c r="AK74" i="34" s="1"/>
  <c r="AK76" i="34" s="1"/>
  <c r="AL28" i="34"/>
  <c r="AL70" i="34" s="1"/>
  <c r="AL74" i="34" s="1"/>
  <c r="AL76" i="34" s="1"/>
  <c r="AL68" i="34"/>
  <c r="AE36" i="34"/>
  <c r="AB68" i="34"/>
  <c r="AP92" i="41"/>
  <c r="AP101" i="41"/>
  <c r="T122" i="43"/>
  <c r="T119" i="43"/>
  <c r="T120" i="43" s="1"/>
  <c r="T115" i="43"/>
  <c r="T118" i="43"/>
  <c r="AF87" i="39"/>
  <c r="Z96" i="39"/>
  <c r="Z97" i="39" s="1"/>
  <c r="Z90" i="39"/>
  <c r="Z92" i="39"/>
  <c r="Z95" i="39"/>
  <c r="AP21" i="40"/>
  <c r="AL21" i="40"/>
  <c r="AE139" i="40"/>
  <c r="AE132" i="40"/>
  <c r="O132" i="40"/>
  <c r="O139" i="40"/>
  <c r="AC54" i="40"/>
  <c r="Z125" i="40"/>
  <c r="T89" i="41"/>
  <c r="T100" i="41" s="1"/>
  <c r="T94" i="41"/>
  <c r="T91" i="41"/>
  <c r="F118" i="43"/>
  <c r="F114" i="43"/>
  <c r="F113" i="43"/>
  <c r="S23" i="45"/>
  <c r="AM23" i="45"/>
  <c r="AQ101" i="45"/>
  <c r="M55" i="45"/>
  <c r="P55" i="45"/>
  <c r="X101" i="48"/>
  <c r="Z17" i="34"/>
  <c r="Z76" i="34" s="1"/>
  <c r="X21" i="34"/>
  <c r="AB21" i="34" s="1"/>
  <c r="X76" i="34"/>
  <c r="V108" i="43"/>
  <c r="V112" i="43" s="1"/>
  <c r="V114" i="43"/>
  <c r="V123" i="43" s="1"/>
  <c r="AX49" i="1"/>
  <c r="AX92" i="1" s="1"/>
  <c r="AR92" i="1"/>
  <c r="S72" i="6"/>
  <c r="W72" i="6" s="1"/>
  <c r="Y28" i="7"/>
  <c r="AC28" i="7"/>
  <c r="AK84" i="6"/>
  <c r="Y22" i="7"/>
  <c r="AQ92" i="7"/>
  <c r="AE17" i="9"/>
  <c r="AP86" i="9"/>
  <c r="AQ44" i="9"/>
  <c r="AS44" i="9" s="1"/>
  <c r="AW44" i="9" s="1"/>
  <c r="AE38" i="26"/>
  <c r="AO22" i="29"/>
  <c r="AK91" i="29"/>
  <c r="AK97" i="29"/>
  <c r="AK98" i="29" s="1"/>
  <c r="AK96" i="29"/>
  <c r="M63" i="32"/>
  <c r="P63" i="32"/>
  <c r="P26" i="32"/>
  <c r="M26" i="32"/>
  <c r="BC154" i="32"/>
  <c r="X96" i="32"/>
  <c r="Z96" i="32" s="1"/>
  <c r="AD96" i="32" s="1"/>
  <c r="AG96" i="32"/>
  <c r="AJ96" i="32" s="1"/>
  <c r="X97" i="32"/>
  <c r="Z97" i="32" s="1"/>
  <c r="AD97" i="32" s="1"/>
  <c r="AG97" i="32"/>
  <c r="AJ97" i="32" s="1"/>
  <c r="M119" i="32"/>
  <c r="L119" i="32"/>
  <c r="L120" i="32" s="1"/>
  <c r="H119" i="32"/>
  <c r="H120" i="32" s="1"/>
  <c r="O162" i="32"/>
  <c r="O157" i="32"/>
  <c r="O163" i="32"/>
  <c r="O164" i="32" s="1"/>
  <c r="O166" i="32"/>
  <c r="AW162" i="32"/>
  <c r="AW157" i="32"/>
  <c r="AM156" i="32"/>
  <c r="Y76" i="33"/>
  <c r="AA38" i="33"/>
  <c r="AE38" i="33" s="1"/>
  <c r="AN97" i="33"/>
  <c r="AN91" i="33"/>
  <c r="AN95" i="33" s="1"/>
  <c r="AI75" i="34"/>
  <c r="AI73" i="34"/>
  <c r="V13" i="34"/>
  <c r="T15" i="34"/>
  <c r="V15" i="34" s="1"/>
  <c r="Z15" i="34" s="1"/>
  <c r="AC15" i="34" s="1"/>
  <c r="AK72" i="34"/>
  <c r="X78" i="34"/>
  <c r="X73" i="34"/>
  <c r="V129" i="40"/>
  <c r="V131" i="40"/>
  <c r="V138" i="40"/>
  <c r="AE128" i="40"/>
  <c r="AN132" i="40"/>
  <c r="P108" i="36"/>
  <c r="P110" i="36"/>
  <c r="J21" i="39"/>
  <c r="I17" i="39"/>
  <c r="J17" i="39" s="1"/>
  <c r="V86" i="39"/>
  <c r="AG130" i="40"/>
  <c r="AG128" i="40"/>
  <c r="AP91" i="41"/>
  <c r="AP94" i="41"/>
  <c r="AP100" i="41"/>
  <c r="AP88" i="41"/>
  <c r="F88" i="41"/>
  <c r="F94" i="41"/>
  <c r="O88" i="41"/>
  <c r="O94" i="41"/>
  <c r="AA94" i="41"/>
  <c r="AA88" i="41"/>
  <c r="AA100" i="41"/>
  <c r="AA89" i="41"/>
  <c r="AA91" i="41"/>
  <c r="AR94" i="41"/>
  <c r="AR100" i="41"/>
  <c r="AR88" i="41"/>
  <c r="AR89" i="41"/>
  <c r="AR91" i="41" s="1"/>
  <c r="AE89" i="41"/>
  <c r="AE94" i="41"/>
  <c r="AE91" i="42"/>
  <c r="AE95" i="42" s="1"/>
  <c r="L29" i="42"/>
  <c r="L91" i="42" s="1"/>
  <c r="L93" i="42" s="1"/>
  <c r="M27" i="42"/>
  <c r="T98" i="42"/>
  <c r="AO98" i="42"/>
  <c r="I112" i="43"/>
  <c r="W115" i="45"/>
  <c r="W108" i="45"/>
  <c r="W114" i="45"/>
  <c r="AF99" i="45"/>
  <c r="AL99" i="45" s="1"/>
  <c r="AQ99" i="45" s="1"/>
  <c r="AA101" i="45"/>
  <c r="Y99" i="45"/>
  <c r="AB99" i="45" s="1"/>
  <c r="AH99" i="45" s="1"/>
  <c r="AM99" i="45" s="1"/>
  <c r="AS99" i="45" s="1"/>
  <c r="M23" i="45"/>
  <c r="P22" i="45"/>
  <c r="M22" i="45"/>
  <c r="L101" i="45"/>
  <c r="AF101" i="45"/>
  <c r="I102" i="45"/>
  <c r="I109" i="45"/>
  <c r="I110" i="45" s="1"/>
  <c r="I108" i="45"/>
  <c r="S101" i="45"/>
  <c r="AB101" i="45"/>
  <c r="AE80" i="54"/>
  <c r="AE86" i="54"/>
  <c r="I80" i="54"/>
  <c r="I84" i="54" s="1"/>
  <c r="H36" i="54"/>
  <c r="H86" i="54" s="1"/>
  <c r="H88" i="54" s="1"/>
  <c r="I86" i="54"/>
  <c r="I88" i="54" s="1"/>
  <c r="Y46" i="36"/>
  <c r="Y109" i="36" s="1"/>
  <c r="V109" i="36"/>
  <c r="V112" i="36" s="1"/>
  <c r="W89" i="6"/>
  <c r="P89" i="7"/>
  <c r="P100" i="7" s="1"/>
  <c r="AH22" i="9"/>
  <c r="AT12" i="7"/>
  <c r="AR17" i="7"/>
  <c r="AT17" i="7" s="1"/>
  <c r="AL30" i="26"/>
  <c r="AL86" i="26" s="1"/>
  <c r="AB86" i="29"/>
  <c r="AB90" i="29" s="1"/>
  <c r="AB69" i="29"/>
  <c r="H20" i="29"/>
  <c r="J20" i="29" s="1"/>
  <c r="M20" i="29" s="1"/>
  <c r="P22" i="29"/>
  <c r="S22" i="29" s="1"/>
  <c r="S17" i="29"/>
  <c r="AT90" i="29"/>
  <c r="U12" i="32"/>
  <c r="X12" i="32" s="1"/>
  <c r="P59" i="32"/>
  <c r="F67" i="32"/>
  <c r="J67" i="32"/>
  <c r="F73" i="32"/>
  <c r="J73" i="32"/>
  <c r="AG91" i="32"/>
  <c r="AJ91" i="32" s="1"/>
  <c r="X91" i="32"/>
  <c r="Z91" i="32" s="1"/>
  <c r="AD91" i="32" s="1"/>
  <c r="AH162" i="32"/>
  <c r="V91" i="33"/>
  <c r="V95" i="33" s="1"/>
  <c r="H96" i="33"/>
  <c r="H98" i="33"/>
  <c r="H101" i="33"/>
  <c r="M95" i="33"/>
  <c r="M96" i="33" s="1"/>
  <c r="F132" i="40"/>
  <c r="F139" i="40"/>
  <c r="AK100" i="41"/>
  <c r="AK94" i="41"/>
  <c r="AK89" i="41"/>
  <c r="AK91" i="41" s="1"/>
  <c r="AK88" i="41"/>
  <c r="X125" i="36"/>
  <c r="X119" i="36"/>
  <c r="X123" i="36"/>
  <c r="X113" i="36"/>
  <c r="L108" i="36"/>
  <c r="L112" i="36" s="1"/>
  <c r="M36" i="36"/>
  <c r="M108" i="36" s="1"/>
  <c r="AI17" i="39"/>
  <c r="AI93" i="39"/>
  <c r="I90" i="39"/>
  <c r="I95" i="39"/>
  <c r="R49" i="40"/>
  <c r="P125" i="40"/>
  <c r="R47" i="40"/>
  <c r="AC52" i="40"/>
  <c r="AR17" i="41"/>
  <c r="AC95" i="42"/>
  <c r="AC93" i="42"/>
  <c r="M118" i="43"/>
  <c r="M113" i="43"/>
  <c r="M114" i="43"/>
  <c r="P12" i="45"/>
  <c r="M12" i="45"/>
  <c r="M16" i="45" s="1"/>
  <c r="P59" i="45"/>
  <c r="M59" i="45"/>
  <c r="L107" i="48"/>
  <c r="L102" i="48"/>
  <c r="L105" i="48"/>
  <c r="L108" i="48"/>
  <c r="L109" i="48" s="1"/>
  <c r="AA54" i="48"/>
  <c r="R36" i="54"/>
  <c r="P86" i="54"/>
  <c r="P88" i="54" s="1"/>
  <c r="V84" i="54"/>
  <c r="AG16" i="32"/>
  <c r="AJ16" i="32" s="1"/>
  <c r="P16" i="32"/>
  <c r="I154" i="32"/>
  <c r="X54" i="32"/>
  <c r="W153" i="32"/>
  <c r="W156" i="32" s="1"/>
  <c r="AG54" i="32"/>
  <c r="M55" i="32"/>
  <c r="P55" i="32"/>
  <c r="J66" i="32"/>
  <c r="F66" i="32"/>
  <c r="X79" i="32"/>
  <c r="Z79" i="32" s="1"/>
  <c r="AD79" i="32" s="1"/>
  <c r="AG79" i="32"/>
  <c r="AJ79" i="32" s="1"/>
  <c r="AG87" i="32"/>
  <c r="X87" i="32"/>
  <c r="Z87" i="32" s="1"/>
  <c r="AD87" i="32" s="1"/>
  <c r="AC96" i="33"/>
  <c r="AC105" i="33"/>
  <c r="AC98" i="33"/>
  <c r="I98" i="33"/>
  <c r="I96" i="33"/>
  <c r="AH81" i="33"/>
  <c r="M92" i="33"/>
  <c r="AG91" i="33"/>
  <c r="AG95" i="33" s="1"/>
  <c r="AG76" i="33"/>
  <c r="T97" i="33"/>
  <c r="X36" i="33"/>
  <c r="T78" i="34"/>
  <c r="T73" i="34"/>
  <c r="P73" i="34"/>
  <c r="P75" i="34"/>
  <c r="AE15" i="34"/>
  <c r="AE23" i="34"/>
  <c r="O72" i="34"/>
  <c r="H72" i="34"/>
  <c r="F128" i="40"/>
  <c r="T116" i="43"/>
  <c r="AE109" i="36"/>
  <c r="M85" i="39"/>
  <c r="T85" i="39"/>
  <c r="T89" i="39" s="1"/>
  <c r="V37" i="39"/>
  <c r="P86" i="39"/>
  <c r="M17" i="40"/>
  <c r="I126" i="40"/>
  <c r="I130" i="40" s="1"/>
  <c r="AP126" i="40"/>
  <c r="AP130" i="40" s="1"/>
  <c r="H124" i="40"/>
  <c r="M39" i="40"/>
  <c r="AC48" i="40"/>
  <c r="AN128" i="40"/>
  <c r="J12" i="41"/>
  <c r="H15" i="41"/>
  <c r="J15" i="41" s="1"/>
  <c r="Z87" i="41"/>
  <c r="H87" i="41"/>
  <c r="P94" i="41"/>
  <c r="P88" i="41"/>
  <c r="O22" i="43"/>
  <c r="R22" i="43" s="1"/>
  <c r="R17" i="43"/>
  <c r="Z112" i="43"/>
  <c r="P112" i="43"/>
  <c r="H113" i="43"/>
  <c r="S20" i="45"/>
  <c r="M27" i="45"/>
  <c r="M29" i="45" s="1"/>
  <c r="P27" i="45"/>
  <c r="P29" i="45" s="1"/>
  <c r="M34" i="45"/>
  <c r="M97" i="45" s="1"/>
  <c r="M82" i="45"/>
  <c r="M100" i="45" s="1"/>
  <c r="F101" i="45"/>
  <c r="O101" i="45"/>
  <c r="AH101" i="45"/>
  <c r="I101" i="48"/>
  <c r="P103" i="48"/>
  <c r="AC7" i="48"/>
  <c r="AC35" i="48" s="1"/>
  <c r="X35" i="48"/>
  <c r="AA25" i="48"/>
  <c r="X29" i="48"/>
  <c r="X99" i="48" s="1"/>
  <c r="AA53" i="48"/>
  <c r="Y57" i="48"/>
  <c r="AA57" i="48" s="1"/>
  <c r="V103" i="48"/>
  <c r="V58" i="48"/>
  <c r="Y58" i="48" s="1"/>
  <c r="AA58" i="48" s="1"/>
  <c r="T98" i="48"/>
  <c r="T101" i="48" s="1"/>
  <c r="AA66" i="48"/>
  <c r="Y99" i="48"/>
  <c r="AC107" i="48"/>
  <c r="AC105" i="48"/>
  <c r="X86" i="54"/>
  <c r="X88" i="54" s="1"/>
  <c r="AA32" i="54"/>
  <c r="X80" i="54"/>
  <c r="X84" i="54" s="1"/>
  <c r="Y98" i="42"/>
  <c r="AS37" i="26"/>
  <c r="AS84" i="26" s="1"/>
  <c r="AN37" i="26"/>
  <c r="AJ42" i="26"/>
  <c r="AN42" i="26" s="1"/>
  <c r="AB109" i="43"/>
  <c r="AJ108" i="36"/>
  <c r="AJ112" i="36" s="1"/>
  <c r="N17" i="80"/>
  <c r="L23" i="80"/>
  <c r="AO20" i="29"/>
  <c r="M27" i="29"/>
  <c r="M55" i="29"/>
  <c r="M88" i="29" s="1"/>
  <c r="M92" i="29" s="1"/>
  <c r="M94" i="29" s="1"/>
  <c r="AT92" i="29"/>
  <c r="AT94" i="29" s="1"/>
  <c r="AM92" i="29"/>
  <c r="M87" i="29"/>
  <c r="AB92" i="29"/>
  <c r="F90" i="29"/>
  <c r="U90" i="29"/>
  <c r="AQ91" i="29"/>
  <c r="AQ97" i="29"/>
  <c r="AQ98" i="29" s="1"/>
  <c r="F100" i="32"/>
  <c r="J100" i="32"/>
  <c r="X74" i="32"/>
  <c r="Z74" i="32" s="1"/>
  <c r="AD74" i="32" s="1"/>
  <c r="BC152" i="32"/>
  <c r="BC156" i="32" s="1"/>
  <c r="U13" i="32"/>
  <c r="X13" i="32" s="1"/>
  <c r="Z13" i="32" s="1"/>
  <c r="AD13" i="32" s="1"/>
  <c r="R16" i="32"/>
  <c r="U16" i="32" s="1"/>
  <c r="AB18" i="32"/>
  <c r="P28" i="32"/>
  <c r="P30" i="32" s="1"/>
  <c r="M28" i="32"/>
  <c r="M30" i="32" s="1"/>
  <c r="L154" i="32"/>
  <c r="L156" i="32" s="1"/>
  <c r="P54" i="32"/>
  <c r="M54" i="32"/>
  <c r="AG101" i="32"/>
  <c r="AJ101" i="32" s="1"/>
  <c r="X101" i="32"/>
  <c r="Z101" i="32" s="1"/>
  <c r="AD101" i="32" s="1"/>
  <c r="AC102" i="33"/>
  <c r="AC103" i="33" s="1"/>
  <c r="AL91" i="33"/>
  <c r="AL95" i="33" s="1"/>
  <c r="AL97" i="33"/>
  <c r="AL99" i="33" s="1"/>
  <c r="X22" i="33"/>
  <c r="AE24" i="34"/>
  <c r="I49" i="34"/>
  <c r="I70" i="34" s="1"/>
  <c r="I74" i="34" s="1"/>
  <c r="I76" i="34" s="1"/>
  <c r="AG72" i="34"/>
  <c r="AP76" i="34"/>
  <c r="O123" i="36"/>
  <c r="O119" i="36"/>
  <c r="T138" i="40"/>
  <c r="T129" i="40"/>
  <c r="O128" i="40"/>
  <c r="I94" i="42"/>
  <c r="I101" i="42"/>
  <c r="I102" i="42" s="1"/>
  <c r="AI123" i="36"/>
  <c r="AI119" i="36"/>
  <c r="AE110" i="36"/>
  <c r="AE112" i="36" s="1"/>
  <c r="AC112" i="36"/>
  <c r="H112" i="36"/>
  <c r="AM112" i="36"/>
  <c r="O95" i="39"/>
  <c r="O90" i="39"/>
  <c r="AP124" i="40"/>
  <c r="AP128" i="40" s="1"/>
  <c r="L125" i="40"/>
  <c r="L128" i="40" s="1"/>
  <c r="L130" i="40"/>
  <c r="AA125" i="40"/>
  <c r="AA128" i="40" s="1"/>
  <c r="AC47" i="40"/>
  <c r="L87" i="41"/>
  <c r="M85" i="41"/>
  <c r="M87" i="41" s="1"/>
  <c r="X23" i="42"/>
  <c r="AA23" i="42" s="1"/>
  <c r="AA17" i="42"/>
  <c r="M29" i="42"/>
  <c r="M91" i="42" s="1"/>
  <c r="AI95" i="42"/>
  <c r="AI89" i="42"/>
  <c r="AI93" i="42" s="1"/>
  <c r="AE92" i="42"/>
  <c r="O108" i="43"/>
  <c r="O112" i="43" s="1"/>
  <c r="O114" i="43"/>
  <c r="AD113" i="43"/>
  <c r="AD118" i="43"/>
  <c r="AD122" i="43"/>
  <c r="AD115" i="43"/>
  <c r="AS101" i="45"/>
  <c r="P97" i="45"/>
  <c r="R34" i="45"/>
  <c r="R97" i="45" s="1"/>
  <c r="R104" i="45"/>
  <c r="M64" i="45"/>
  <c r="J65" i="45"/>
  <c r="M76" i="45"/>
  <c r="P76" i="45"/>
  <c r="P79" i="45"/>
  <c r="M79" i="45"/>
  <c r="AE107" i="48"/>
  <c r="AE108" i="48"/>
  <c r="AE109" i="48" s="1"/>
  <c r="AE102" i="48"/>
  <c r="AE105" i="48"/>
  <c r="AG111" i="48"/>
  <c r="AG107" i="48"/>
  <c r="AG104" i="48"/>
  <c r="AG102" i="48"/>
  <c r="T16" i="48"/>
  <c r="X16" i="48" s="1"/>
  <c r="X12" i="48"/>
  <c r="AI103" i="48"/>
  <c r="AI97" i="48"/>
  <c r="AI101" i="48" s="1"/>
  <c r="V98" i="48"/>
  <c r="V101" i="48" s="1"/>
  <c r="F85" i="54"/>
  <c r="F87" i="54"/>
  <c r="F90" i="54"/>
  <c r="Y86" i="54"/>
  <c r="Y80" i="54"/>
  <c r="Y84" i="54" s="1"/>
  <c r="AJ24" i="18"/>
  <c r="AB116" i="43"/>
  <c r="AB123" i="43"/>
  <c r="I41" i="29"/>
  <c r="I86" i="29" s="1"/>
  <c r="I90" i="29" s="1"/>
  <c r="J24" i="29"/>
  <c r="H25" i="29"/>
  <c r="O90" i="29"/>
  <c r="AS157" i="32"/>
  <c r="M12" i="32"/>
  <c r="X89" i="32"/>
  <c r="Z89" i="32" s="1"/>
  <c r="AD89" i="32" s="1"/>
  <c r="AD152" i="32"/>
  <c r="W18" i="32"/>
  <c r="AG27" i="32"/>
  <c r="X27" i="32"/>
  <c r="F154" i="32"/>
  <c r="AG62" i="32"/>
  <c r="AJ62" i="32" s="1"/>
  <c r="X62" i="32"/>
  <c r="Z62" i="32" s="1"/>
  <c r="AD62" i="32" s="1"/>
  <c r="I69" i="32"/>
  <c r="H153" i="32"/>
  <c r="AG90" i="32"/>
  <c r="AJ90" i="32" s="1"/>
  <c r="X90" i="32"/>
  <c r="Z90" i="32" s="1"/>
  <c r="AD90" i="32" s="1"/>
  <c r="AC101" i="33"/>
  <c r="AB70" i="34"/>
  <c r="AB74" i="34" s="1"/>
  <c r="AB76" i="34" s="1"/>
  <c r="T91" i="33"/>
  <c r="T95" i="33" s="1"/>
  <c r="O95" i="33"/>
  <c r="V22" i="33"/>
  <c r="R13" i="33"/>
  <c r="V13" i="33" s="1"/>
  <c r="Y13" i="33" s="1"/>
  <c r="AA13" i="33" s="1"/>
  <c r="AE13" i="33" s="1"/>
  <c r="P78" i="34"/>
  <c r="O74" i="34"/>
  <c r="O76" i="34" s="1"/>
  <c r="F72" i="34"/>
  <c r="I125" i="36"/>
  <c r="F90" i="39"/>
  <c r="X106" i="42"/>
  <c r="M47" i="40"/>
  <c r="M125" i="40" s="1"/>
  <c r="V94" i="42"/>
  <c r="V100" i="42"/>
  <c r="F119" i="36"/>
  <c r="F113" i="36"/>
  <c r="M87" i="39"/>
  <c r="M86" i="39"/>
  <c r="J15" i="36"/>
  <c r="P109" i="36"/>
  <c r="AB87" i="39"/>
  <c r="AB89" i="39" s="1"/>
  <c r="AF89" i="39"/>
  <c r="L89" i="39"/>
  <c r="H15" i="40"/>
  <c r="J15" i="40" s="1"/>
  <c r="M15" i="40" s="1"/>
  <c r="J12" i="40"/>
  <c r="M12" i="40" s="1"/>
  <c r="T139" i="40"/>
  <c r="T132" i="40"/>
  <c r="P130" i="40"/>
  <c r="P124" i="40"/>
  <c r="P128" i="40" s="1"/>
  <c r="R34" i="40"/>
  <c r="J63" i="40"/>
  <c r="M63" i="40" s="1"/>
  <c r="J76" i="40"/>
  <c r="M76" i="40" s="1"/>
  <c r="AC17" i="41"/>
  <c r="AG17" i="41" s="1"/>
  <c r="AA22" i="41"/>
  <c r="AG84" i="41"/>
  <c r="AG87" i="41" s="1"/>
  <c r="V100" i="41"/>
  <c r="V94" i="41"/>
  <c r="X107" i="42"/>
  <c r="X98" i="42"/>
  <c r="M89" i="42"/>
  <c r="P89" i="42"/>
  <c r="P93" i="42" s="1"/>
  <c r="P107" i="42" s="1"/>
  <c r="V95" i="42"/>
  <c r="AE96" i="42"/>
  <c r="R72" i="42"/>
  <c r="AA72" i="42"/>
  <c r="AO93" i="42"/>
  <c r="T93" i="42"/>
  <c r="Z97" i="43"/>
  <c r="Z123" i="43" s="1"/>
  <c r="W20" i="45"/>
  <c r="W102" i="45" s="1"/>
  <c r="P54" i="45"/>
  <c r="M54" i="45"/>
  <c r="AG108" i="48"/>
  <c r="AG109" i="48" s="1"/>
  <c r="AE104" i="48"/>
  <c r="AC108" i="48"/>
  <c r="AC109" i="48" s="1"/>
  <c r="L103" i="48"/>
  <c r="L104" i="48" s="1"/>
  <c r="J53" i="48"/>
  <c r="I103" i="48"/>
  <c r="J42" i="48"/>
  <c r="P98" i="48"/>
  <c r="P101" i="48" s="1"/>
  <c r="R54" i="48"/>
  <c r="AJ101" i="42"/>
  <c r="AJ102" i="42" s="1"/>
  <c r="AJ94" i="42"/>
  <c r="AO17" i="36"/>
  <c r="AJ110" i="36"/>
  <c r="AE21" i="54"/>
  <c r="M33" i="54"/>
  <c r="T86" i="54"/>
  <c r="T88" i="54" s="1"/>
  <c r="AI80" i="54"/>
  <c r="AI84" i="54" s="1"/>
  <c r="AI86" i="54"/>
  <c r="R37" i="54"/>
  <c r="F38" i="71"/>
  <c r="P39" i="71"/>
  <c r="J40" i="71"/>
  <c r="S40" i="71"/>
  <c r="AD46" i="71"/>
  <c r="I55" i="71"/>
  <c r="AC57" i="71"/>
  <c r="I58" i="71"/>
  <c r="Y93" i="42"/>
  <c r="Y107" i="42" s="1"/>
  <c r="AN85" i="26"/>
  <c r="AS30" i="26"/>
  <c r="AH86" i="26"/>
  <c r="AH90" i="26" s="1"/>
  <c r="AN30" i="26"/>
  <c r="AN86" i="26" s="1"/>
  <c r="AH88" i="26"/>
  <c r="AF112" i="43"/>
  <c r="H29" i="80"/>
  <c r="G95" i="80"/>
  <c r="O103" i="48"/>
  <c r="T80" i="54"/>
  <c r="T84" i="54" s="1"/>
  <c r="M14" i="54"/>
  <c r="M82" i="54"/>
  <c r="M32" i="54"/>
  <c r="AC80" i="54"/>
  <c r="AC84" i="54" s="1"/>
  <c r="AE81" i="54"/>
  <c r="O84" i="54"/>
  <c r="AC40" i="71"/>
  <c r="I30" i="71"/>
  <c r="K54" i="71"/>
  <c r="AO112" i="36"/>
  <c r="AW90" i="18"/>
  <c r="AD20" i="29"/>
  <c r="O98" i="48"/>
  <c r="O101" i="48" s="1"/>
  <c r="L80" i="54"/>
  <c r="L84" i="54" s="1"/>
  <c r="AG87" i="54"/>
  <c r="AI13" i="54"/>
  <c r="AC86" i="54"/>
  <c r="AC88" i="54" s="1"/>
  <c r="H80" i="54"/>
  <c r="H84" i="54" s="1"/>
  <c r="H37" i="54"/>
  <c r="Z17" i="71"/>
  <c r="I34" i="71"/>
  <c r="J34" i="71"/>
  <c r="I40" i="71"/>
  <c r="P41" i="71"/>
  <c r="T43" i="71"/>
  <c r="T44" i="71"/>
  <c r="Z45" i="71"/>
  <c r="AC46" i="71"/>
  <c r="AC52" i="71"/>
  <c r="AR72" i="34"/>
  <c r="AC70" i="34"/>
  <c r="AC72" i="34" s="1"/>
  <c r="AF114" i="43"/>
  <c r="Y110" i="36"/>
  <c r="J55" i="80"/>
  <c r="N55" i="80" s="1"/>
  <c r="AL84" i="54"/>
  <c r="BA73" i="34"/>
  <c r="BA78" i="34"/>
  <c r="P80" i="54"/>
  <c r="P84" i="54" s="1"/>
  <c r="AD12" i="71"/>
  <c r="AC13" i="71"/>
  <c r="S14" i="71"/>
  <c r="AC15" i="71"/>
  <c r="I17" i="71"/>
  <c r="S17" i="71"/>
  <c r="AC18" i="71"/>
  <c r="J25" i="71"/>
  <c r="J28" i="71"/>
  <c r="P29" i="71"/>
  <c r="Z33" i="71"/>
  <c r="AC34" i="71"/>
  <c r="P36" i="71"/>
  <c r="AD36" i="71"/>
  <c r="I38" i="71"/>
  <c r="S39" i="71"/>
  <c r="S41" i="71"/>
  <c r="AD41" i="71"/>
  <c r="T42" i="71"/>
  <c r="Z43" i="71"/>
  <c r="J44" i="71"/>
  <c r="AC45" i="71"/>
  <c r="I48" i="71"/>
  <c r="S48" i="71"/>
  <c r="P50" i="71"/>
  <c r="AE50" i="71"/>
  <c r="S55" i="71"/>
  <c r="AE57" i="71"/>
  <c r="P59" i="71"/>
  <c r="AJ90" i="18"/>
  <c r="O78" i="10"/>
  <c r="AL120" i="32"/>
  <c r="J65" i="80"/>
  <c r="N65" i="80" s="1"/>
  <c r="J40" i="80"/>
  <c r="N40" i="80" s="1"/>
  <c r="AR88" i="54"/>
  <c r="R78" i="10"/>
  <c r="AY12" i="41"/>
  <c r="AV15" i="41"/>
  <c r="I14" i="71"/>
  <c r="S15" i="71"/>
  <c r="AC16" i="71"/>
  <c r="T17" i="71"/>
  <c r="I18" i="71"/>
  <c r="P28" i="71"/>
  <c r="P30" i="71"/>
  <c r="AD30" i="71"/>
  <c r="Z34" i="71"/>
  <c r="AC37" i="71"/>
  <c r="I39" i="71"/>
  <c r="I41" i="71"/>
  <c r="F42" i="71"/>
  <c r="I43" i="71"/>
  <c r="S45" i="71"/>
  <c r="F54" i="71"/>
  <c r="AM23" i="42"/>
  <c r="AJ19" i="26"/>
  <c r="AN19" i="26" s="1"/>
  <c r="AH24" i="26"/>
  <c r="AB112" i="43"/>
  <c r="V22" i="43"/>
  <c r="Y108" i="36"/>
  <c r="Y23" i="36"/>
  <c r="BA154" i="32"/>
  <c r="BA156" i="32" s="1"/>
  <c r="AL29" i="3"/>
  <c r="N15" i="80"/>
  <c r="H56" i="80"/>
  <c r="J56" i="80" s="1"/>
  <c r="N56" i="80" s="1"/>
  <c r="H60" i="80"/>
  <c r="J60" i="80" s="1"/>
  <c r="N60" i="80" s="1"/>
  <c r="J17" i="80"/>
  <c r="H23" i="80"/>
  <c r="J23" i="80" s="1"/>
  <c r="H59" i="80"/>
  <c r="J59" i="80" s="1"/>
  <c r="N59" i="80" s="1"/>
  <c r="H58" i="80"/>
  <c r="J58" i="80" s="1"/>
  <c r="N58" i="80" s="1"/>
  <c r="H62" i="80"/>
  <c r="J62" i="80" s="1"/>
  <c r="N62" i="80" s="1"/>
  <c r="G99" i="80"/>
  <c r="G101" i="80" s="1"/>
  <c r="G93" i="80"/>
  <c r="G97" i="80" s="1"/>
  <c r="H39" i="80"/>
  <c r="H93" i="80" s="1"/>
  <c r="AQ101" i="48"/>
  <c r="AO105" i="48"/>
  <c r="U23" i="10"/>
  <c r="AT50" i="34"/>
  <c r="AT49" i="34"/>
  <c r="AT70" i="34" s="1"/>
  <c r="AT72" i="34" s="1"/>
  <c r="AR17" i="39"/>
  <c r="AL103" i="48"/>
  <c r="AL97" i="48"/>
  <c r="AL101" i="48" s="1"/>
  <c r="AO112" i="48"/>
  <c r="I79" i="81"/>
  <c r="I80" i="81" s="1"/>
  <c r="I76" i="81"/>
  <c r="I77" i="81"/>
  <c r="L93" i="80"/>
  <c r="L97" i="80" s="1"/>
  <c r="AO96" i="39"/>
  <c r="AO97" i="39" s="1"/>
  <c r="AO95" i="39"/>
  <c r="AO92" i="39"/>
  <c r="L99" i="80"/>
  <c r="L101" i="80" s="1"/>
  <c r="AR80" i="54"/>
  <c r="AS24" i="18"/>
  <c r="AU20" i="18"/>
  <c r="AR87" i="18"/>
  <c r="AR90" i="18" s="1"/>
  <c r="AU49" i="18"/>
  <c r="AS90" i="18"/>
  <c r="AY98" i="18"/>
  <c r="AY99" i="18" s="1"/>
  <c r="AY91" i="18"/>
  <c r="AY92" i="18"/>
  <c r="W84" i="10"/>
  <c r="W79" i="10"/>
  <c r="AW91" i="42"/>
  <c r="AT59" i="42"/>
  <c r="AT91" i="42" s="1"/>
  <c r="AT95" i="42" s="1"/>
  <c r="AY98" i="42"/>
  <c r="M72" i="81"/>
  <c r="M75" i="81" s="1"/>
  <c r="Q14" i="81"/>
  <c r="R14" i="81" s="1"/>
  <c r="R12" i="81"/>
  <c r="V72" i="81"/>
  <c r="V75" i="81" s="1"/>
  <c r="AF87" i="82"/>
  <c r="AF92" i="82"/>
  <c r="AD91" i="83"/>
  <c r="AD86" i="83"/>
  <c r="AE86" i="83"/>
  <c r="AE91" i="83"/>
  <c r="AI91" i="83"/>
  <c r="AI86" i="83"/>
  <c r="AL86" i="54"/>
  <c r="AL88" i="54" s="1"/>
  <c r="AP87" i="54"/>
  <c r="AP85" i="54"/>
  <c r="AR81" i="54"/>
  <c r="AN103" i="48"/>
  <c r="AN105" i="48" s="1"/>
  <c r="AN97" i="48"/>
  <c r="AN101" i="48" s="1"/>
  <c r="AO98" i="48"/>
  <c r="AO101" i="48" s="1"/>
  <c r="U78" i="10"/>
  <c r="AV92" i="7"/>
  <c r="BC89" i="41"/>
  <c r="BC94" i="41"/>
  <c r="BC91" i="41"/>
  <c r="AK84" i="54"/>
  <c r="AN84" i="54" s="1"/>
  <c r="AN14" i="54"/>
  <c r="AU72" i="34"/>
  <c r="AP91" i="39"/>
  <c r="AP85" i="39"/>
  <c r="AP89" i="39" s="1"/>
  <c r="AV36" i="39"/>
  <c r="AT85" i="39"/>
  <c r="AT89" i="39" s="1"/>
  <c r="AT91" i="39"/>
  <c r="AT93" i="39" s="1"/>
  <c r="AQ98" i="48"/>
  <c r="AY22" i="41"/>
  <c r="AW94" i="41"/>
  <c r="AW89" i="41"/>
  <c r="BA88" i="41"/>
  <c r="BA89" i="41"/>
  <c r="BA100" i="41" s="1"/>
  <c r="BA94" i="41"/>
  <c r="J35" i="81"/>
  <c r="H71" i="81"/>
  <c r="H75" i="81" s="1"/>
  <c r="AU18" i="18"/>
  <c r="AY24" i="18"/>
  <c r="AZ20" i="18"/>
  <c r="T78" i="10"/>
  <c r="AT15" i="7"/>
  <c r="AX38" i="7"/>
  <c r="AT23" i="42"/>
  <c r="AY93" i="42"/>
  <c r="R20" i="81"/>
  <c r="BM157" i="32"/>
  <c r="BM162" i="32"/>
  <c r="AR83" i="7"/>
  <c r="AR87" i="7" s="1"/>
  <c r="AR101" i="7" s="1"/>
  <c r="AT36" i="7"/>
  <c r="AV90" i="7"/>
  <c r="AV101" i="7" s="1"/>
  <c r="AV83" i="7"/>
  <c r="AV87" i="7" s="1"/>
  <c r="AV89" i="41"/>
  <c r="AV91" i="41" s="1"/>
  <c r="AV94" i="41"/>
  <c r="AV100" i="41"/>
  <c r="AV88" i="41"/>
  <c r="L75" i="81"/>
  <c r="O77" i="81"/>
  <c r="O76" i="81"/>
  <c r="Q75" i="81"/>
  <c r="AX23" i="45"/>
  <c r="AZ19" i="45"/>
  <c r="AT125" i="36"/>
  <c r="AT123" i="36"/>
  <c r="AT119" i="36"/>
  <c r="AT113" i="36"/>
  <c r="AT13" i="7"/>
  <c r="AX26" i="7"/>
  <c r="AX28" i="7" s="1"/>
  <c r="AX85" i="7" s="1"/>
  <c r="AX89" i="7" s="1"/>
  <c r="AY15" i="41"/>
  <c r="BC22" i="41"/>
  <c r="AT96" i="42"/>
  <c r="AT97" i="42" s="1"/>
  <c r="AT89" i="42"/>
  <c r="F75" i="81"/>
  <c r="M84" i="82"/>
  <c r="M86" i="82" s="1"/>
  <c r="T88" i="82"/>
  <c r="T90" i="82" s="1"/>
  <c r="T82" i="82"/>
  <c r="T86" i="82" s="1"/>
  <c r="V82" i="82"/>
  <c r="V86" i="82" s="1"/>
  <c r="Y92" i="82"/>
  <c r="Y87" i="82"/>
  <c r="AD86" i="82"/>
  <c r="L85" i="83"/>
  <c r="L86" i="83" s="1"/>
  <c r="I85" i="83"/>
  <c r="V82" i="83"/>
  <c r="V85" i="83" s="1"/>
  <c r="AK85" i="83"/>
  <c r="AX16" i="45"/>
  <c r="AZ16" i="45" s="1"/>
  <c r="AZ15" i="45"/>
  <c r="BB29" i="45"/>
  <c r="BB99" i="45" s="1"/>
  <c r="BB101" i="45" s="1"/>
  <c r="AW99" i="45"/>
  <c r="AW101" i="45" s="1"/>
  <c r="AW102" i="19"/>
  <c r="AY51" i="19"/>
  <c r="AY85" i="26"/>
  <c r="G89" i="84"/>
  <c r="G87" i="84"/>
  <c r="AX22" i="7"/>
  <c r="AQ87" i="7"/>
  <c r="AY17" i="41"/>
  <c r="AY23" i="42"/>
  <c r="AS93" i="42"/>
  <c r="T75" i="81"/>
  <c r="O92" i="82"/>
  <c r="O89" i="82"/>
  <c r="O87" i="82"/>
  <c r="Z86" i="82"/>
  <c r="F85" i="83"/>
  <c r="F86" i="83" s="1"/>
  <c r="M85" i="83"/>
  <c r="BC103" i="19"/>
  <c r="AI122" i="43"/>
  <c r="AI115" i="43"/>
  <c r="AI119" i="43"/>
  <c r="AI120" i="43" s="1"/>
  <c r="AI113" i="43"/>
  <c r="AI118" i="43"/>
  <c r="N87" i="84"/>
  <c r="L160" i="85"/>
  <c r="L154" i="85"/>
  <c r="L151" i="85"/>
  <c r="L148" i="85"/>
  <c r="N150" i="85"/>
  <c r="H87" i="87"/>
  <c r="N88" i="87"/>
  <c r="N94" i="87"/>
  <c r="AU87" i="9"/>
  <c r="AP91" i="9"/>
  <c r="BD89" i="29"/>
  <c r="I92" i="82"/>
  <c r="I87" i="82"/>
  <c r="P86" i="82"/>
  <c r="Y12" i="82"/>
  <c r="AB12" i="82" s="1"/>
  <c r="AB13" i="82"/>
  <c r="AG17" i="83"/>
  <c r="H85" i="83"/>
  <c r="H86" i="83" s="1"/>
  <c r="V83" i="83"/>
  <c r="AB91" i="83"/>
  <c r="AB86" i="83"/>
  <c r="BC22" i="19"/>
  <c r="BA105" i="19"/>
  <c r="BA107" i="19"/>
  <c r="AU37" i="26"/>
  <c r="AU38" i="26"/>
  <c r="AY38" i="26" s="1"/>
  <c r="AZ12" i="45"/>
  <c r="BD101" i="45"/>
  <c r="AW22" i="19"/>
  <c r="AY17" i="19"/>
  <c r="AY56" i="19"/>
  <c r="BC61" i="19"/>
  <c r="BC56" i="19"/>
  <c r="BC49" i="19"/>
  <c r="J35" i="86"/>
  <c r="H89" i="86"/>
  <c r="H83" i="86"/>
  <c r="H87" i="86" s="1"/>
  <c r="AY98" i="6"/>
  <c r="BA72" i="6"/>
  <c r="AS112" i="36"/>
  <c r="AX101" i="45"/>
  <c r="AY22" i="19"/>
  <c r="AY37" i="19"/>
  <c r="AW36" i="19"/>
  <c r="H92" i="84"/>
  <c r="L85" i="84"/>
  <c r="J53" i="85"/>
  <c r="N53" i="85" s="1"/>
  <c r="G143" i="85"/>
  <c r="G147" i="85" s="1"/>
  <c r="J17" i="86"/>
  <c r="N17" i="86" s="1"/>
  <c r="G22" i="86"/>
  <c r="J22" i="86" s="1"/>
  <c r="AW22" i="9"/>
  <c r="AW85" i="9"/>
  <c r="AW87" i="9"/>
  <c r="BA91" i="6"/>
  <c r="BA87" i="6"/>
  <c r="AY92" i="29"/>
  <c r="AY89" i="29"/>
  <c r="AQ104" i="3"/>
  <c r="AQ101" i="3"/>
  <c r="AS22" i="33"/>
  <c r="AW52" i="19"/>
  <c r="AV102" i="19"/>
  <c r="AV105" i="19" s="1"/>
  <c r="AY52" i="19"/>
  <c r="BC37" i="19"/>
  <c r="BC36" i="19" s="1"/>
  <c r="BC50" i="19"/>
  <c r="BC54" i="19"/>
  <c r="BC58" i="19"/>
  <c r="BC62" i="19"/>
  <c r="BC39" i="19"/>
  <c r="BC51" i="19"/>
  <c r="AK122" i="43"/>
  <c r="AK119" i="43"/>
  <c r="AK120" i="43" s="1"/>
  <c r="AK118" i="43"/>
  <c r="AK113" i="43"/>
  <c r="L161" i="85"/>
  <c r="N144" i="85"/>
  <c r="AP89" i="9"/>
  <c r="AS89" i="6"/>
  <c r="AS87" i="6"/>
  <c r="AZ112" i="36"/>
  <c r="AW106" i="3"/>
  <c r="N145" i="85"/>
  <c r="N149" i="85" s="1"/>
  <c r="N143" i="85"/>
  <c r="N12" i="86"/>
  <c r="N15" i="86" s="1"/>
  <c r="G87" i="86"/>
  <c r="G101" i="86" s="1"/>
  <c r="G92" i="86"/>
  <c r="L87" i="86"/>
  <c r="L89" i="86"/>
  <c r="L87" i="87"/>
  <c r="AY91" i="6"/>
  <c r="AX112" i="36"/>
  <c r="AZ22" i="29"/>
  <c r="BD22" i="29" s="1"/>
  <c r="AV90" i="29"/>
  <c r="AP109" i="3"/>
  <c r="AP110" i="3" s="1"/>
  <c r="AP108" i="3"/>
  <c r="AP105" i="3"/>
  <c r="AP103" i="3"/>
  <c r="AQ92" i="12"/>
  <c r="AX98" i="12"/>
  <c r="AX95" i="12"/>
  <c r="AX93" i="12"/>
  <c r="N35" i="86"/>
  <c r="G87" i="87"/>
  <c r="AS22" i="6"/>
  <c r="AW22" i="6" s="1"/>
  <c r="AY87" i="6"/>
  <c r="AY87" i="29"/>
  <c r="AY90" i="29" s="1"/>
  <c r="BA87" i="29"/>
  <c r="BD24" i="29"/>
  <c r="BD28" i="29" s="1"/>
  <c r="BD88" i="29" s="1"/>
  <c r="BD92" i="29" s="1"/>
  <c r="AW101" i="3"/>
  <c r="H87" i="84"/>
  <c r="N85" i="84"/>
  <c r="N89" i="84" s="1"/>
  <c r="H152" i="85"/>
  <c r="G149" i="85"/>
  <c r="H147" i="85"/>
  <c r="J53" i="86"/>
  <c r="N53" i="86" s="1"/>
  <c r="N85" i="86" s="1"/>
  <c r="H89" i="87"/>
  <c r="N89" i="87"/>
  <c r="N91" i="87" s="1"/>
  <c r="AQ45" i="9"/>
  <c r="AU85" i="6"/>
  <c r="BD30" i="29"/>
  <c r="BD86" i="29"/>
  <c r="AQ102" i="3"/>
  <c r="AP101" i="33"/>
  <c r="AP102" i="33"/>
  <c r="AP103" i="33" s="1"/>
  <c r="AP96" i="33"/>
  <c r="AP105" i="33"/>
  <c r="AS37" i="33"/>
  <c r="AW37" i="33" s="1"/>
  <c r="AQ36" i="33"/>
  <c r="AU29" i="3"/>
  <c r="AU102" i="33"/>
  <c r="AU103" i="33" s="1"/>
  <c r="AU96" i="33"/>
  <c r="AX96" i="12"/>
  <c r="AV89" i="12"/>
  <c r="BG162" i="32"/>
  <c r="BG157" i="32"/>
  <c r="AX107" i="1"/>
  <c r="AR93" i="1"/>
  <c r="AQ99" i="3"/>
  <c r="AU109" i="3"/>
  <c r="AU110" i="3" s="1"/>
  <c r="AU105" i="33"/>
  <c r="AV88" i="12"/>
  <c r="AV94" i="12"/>
  <c r="BA28" i="29"/>
  <c r="BA88" i="29" s="1"/>
  <c r="BA92" i="29" s="1"/>
  <c r="BA94" i="29" s="1"/>
  <c r="AW99" i="3"/>
  <c r="AW102" i="3" s="1"/>
  <c r="AX97" i="1"/>
  <c r="AS12" i="33"/>
  <c r="BK23" i="32"/>
  <c r="AT18" i="1"/>
  <c r="AS81" i="33"/>
  <c r="AU97" i="33"/>
  <c r="AX91" i="1"/>
  <c r="AX95" i="1" s="1"/>
  <c r="AX27" i="1"/>
  <c r="AR20" i="1"/>
  <c r="AR22" i="19" l="1"/>
  <c r="AL104" i="19"/>
  <c r="O106" i="19"/>
  <c r="O104" i="19"/>
  <c r="V97" i="19"/>
  <c r="AL106" i="19"/>
  <c r="AK100" i="19"/>
  <c r="AL101" i="19"/>
  <c r="AM101" i="42"/>
  <c r="AM102" i="42" s="1"/>
  <c r="AM106" i="42"/>
  <c r="O97" i="42"/>
  <c r="O106" i="42"/>
  <c r="AM100" i="42"/>
  <c r="O101" i="42"/>
  <c r="O102" i="42" s="1"/>
  <c r="AM94" i="42"/>
  <c r="AM107" i="42"/>
  <c r="M93" i="42"/>
  <c r="AJ97" i="42"/>
  <c r="AJ106" i="42"/>
  <c r="AJ100" i="42"/>
  <c r="AO107" i="42"/>
  <c r="X100" i="42"/>
  <c r="X101" i="42"/>
  <c r="X102" i="42" s="1"/>
  <c r="X97" i="42"/>
  <c r="X94" i="42"/>
  <c r="AJ107" i="42"/>
  <c r="O94" i="42"/>
  <c r="O100" i="42"/>
  <c r="AE97" i="6"/>
  <c r="AO87" i="6"/>
  <c r="U90" i="6"/>
  <c r="AE88" i="6"/>
  <c r="AE90" i="6"/>
  <c r="U88" i="6"/>
  <c r="U93" i="6"/>
  <c r="AA91" i="6"/>
  <c r="AA98" i="6"/>
  <c r="W97" i="6"/>
  <c r="BA98" i="6"/>
  <c r="BE72" i="6"/>
  <c r="W90" i="6"/>
  <c r="AG87" i="6"/>
  <c r="Q98" i="6"/>
  <c r="Q90" i="6"/>
  <c r="M91" i="9"/>
  <c r="M99" i="9"/>
  <c r="M100" i="9" s="1"/>
  <c r="AA44" i="9"/>
  <c r="AE44" i="9" s="1"/>
  <c r="AE86" i="9" s="1"/>
  <c r="M90" i="9"/>
  <c r="AL86" i="9"/>
  <c r="AL89" i="9" s="1"/>
  <c r="AN46" i="9"/>
  <c r="AN86" i="9" s="1"/>
  <c r="AH87" i="9"/>
  <c r="O90" i="9"/>
  <c r="O92" i="9"/>
  <c r="AH163" i="32"/>
  <c r="AH164" i="32" s="1"/>
  <c r="M62" i="32"/>
  <c r="AH157" i="32"/>
  <c r="M16" i="32"/>
  <c r="P13" i="32"/>
  <c r="P68" i="32"/>
  <c r="AB162" i="32"/>
  <c r="AB163" i="32"/>
  <c r="AB164" i="32" s="1"/>
  <c r="AB166" i="32"/>
  <c r="P97" i="32"/>
  <c r="M97" i="32"/>
  <c r="M18" i="32"/>
  <c r="M23" i="32" s="1"/>
  <c r="X21" i="32"/>
  <c r="Z21" i="32" s="1"/>
  <c r="AD21" i="32" s="1"/>
  <c r="AG21" i="32"/>
  <c r="AJ21" i="32" s="1"/>
  <c r="AM21" i="32" s="1"/>
  <c r="AO21" i="32" s="1"/>
  <c r="M74" i="32"/>
  <c r="P74" i="32"/>
  <c r="H132" i="40"/>
  <c r="H139" i="40"/>
  <c r="T131" i="40"/>
  <c r="T134" i="40"/>
  <c r="H128" i="40"/>
  <c r="M112" i="36"/>
  <c r="I113" i="36"/>
  <c r="I119" i="36"/>
  <c r="AR14" i="54"/>
  <c r="AX20" i="1"/>
  <c r="AT20" i="1"/>
  <c r="AR17" i="1"/>
  <c r="AQ91" i="33"/>
  <c r="AQ95" i="33" s="1"/>
  <c r="AQ97" i="33"/>
  <c r="AS36" i="33"/>
  <c r="AW36" i="33" s="1"/>
  <c r="BD94" i="29"/>
  <c r="AV109" i="19"/>
  <c r="AV108" i="19"/>
  <c r="AV111" i="19"/>
  <c r="AV106" i="19"/>
  <c r="AQ106" i="3"/>
  <c r="AS125" i="36"/>
  <c r="AS113" i="36"/>
  <c r="AS119" i="36"/>
  <c r="N100" i="84"/>
  <c r="N91" i="84"/>
  <c r="N88" i="84"/>
  <c r="N94" i="84"/>
  <c r="AS106" i="42"/>
  <c r="AS94" i="42"/>
  <c r="AS100" i="42"/>
  <c r="AS107" i="42"/>
  <c r="I91" i="83"/>
  <c r="I86" i="83"/>
  <c r="M92" i="82"/>
  <c r="M87" i="82"/>
  <c r="AX92" i="7"/>
  <c r="AW92" i="41"/>
  <c r="AW91" i="41"/>
  <c r="AT98" i="42"/>
  <c r="AN24" i="26"/>
  <c r="O108" i="48"/>
  <c r="O109" i="48" s="1"/>
  <c r="O105" i="48"/>
  <c r="O104" i="48"/>
  <c r="O102" i="48"/>
  <c r="O107" i="48"/>
  <c r="P104" i="48"/>
  <c r="P102" i="48"/>
  <c r="P105" i="48"/>
  <c r="M88" i="41"/>
  <c r="M94" i="41"/>
  <c r="I132" i="40"/>
  <c r="I139" i="40"/>
  <c r="AN99" i="7"/>
  <c r="AN92" i="7"/>
  <c r="Z104" i="19"/>
  <c r="Z101" i="19"/>
  <c r="Z106" i="19"/>
  <c r="BF162" i="32"/>
  <c r="BF157" i="32"/>
  <c r="AQ91" i="9"/>
  <c r="AS45" i="9"/>
  <c r="AW45" i="9" s="1"/>
  <c r="AW91" i="9" s="1"/>
  <c r="N152" i="85"/>
  <c r="AS97" i="6"/>
  <c r="AS93" i="6"/>
  <c r="AS90" i="6"/>
  <c r="AS88" i="6"/>
  <c r="AX102" i="45"/>
  <c r="AX108" i="45"/>
  <c r="AU91" i="9"/>
  <c r="AU89" i="9"/>
  <c r="M77" i="81"/>
  <c r="M76" i="81"/>
  <c r="M79" i="81"/>
  <c r="M80" i="81" s="1"/>
  <c r="AT73" i="34"/>
  <c r="AT78" i="34"/>
  <c r="O95" i="12"/>
  <c r="O102" i="12"/>
  <c r="O98" i="12"/>
  <c r="O99" i="12"/>
  <c r="O100" i="12" s="1"/>
  <c r="O93" i="12"/>
  <c r="AI98" i="6"/>
  <c r="AI91" i="6"/>
  <c r="P102" i="1"/>
  <c r="P106" i="1"/>
  <c r="P99" i="1"/>
  <c r="P96" i="1"/>
  <c r="P108" i="1"/>
  <c r="L88" i="6"/>
  <c r="L89" i="6"/>
  <c r="BQ100" i="19"/>
  <c r="AP104" i="19"/>
  <c r="AP101" i="19"/>
  <c r="AP106" i="19"/>
  <c r="AY93" i="29"/>
  <c r="AY91" i="29"/>
  <c r="AY97" i="29"/>
  <c r="AY98" i="29" s="1"/>
  <c r="AY96" i="29"/>
  <c r="L89" i="84"/>
  <c r="L87" i="84"/>
  <c r="AY36" i="19"/>
  <c r="AW101" i="19"/>
  <c r="AW105" i="19" s="1"/>
  <c r="AW107" i="19"/>
  <c r="H101" i="86"/>
  <c r="H92" i="86"/>
  <c r="BC102" i="19"/>
  <c r="P92" i="82"/>
  <c r="P89" i="82"/>
  <c r="P87" i="82"/>
  <c r="Q79" i="81"/>
  <c r="Q80" i="81" s="1"/>
  <c r="Q77" i="81"/>
  <c r="Q76" i="81"/>
  <c r="H79" i="81"/>
  <c r="H80" i="81" s="1"/>
  <c r="H77" i="81"/>
  <c r="H76" i="81"/>
  <c r="AP95" i="39"/>
  <c r="AP92" i="39"/>
  <c r="AP90" i="39"/>
  <c r="AP96" i="39"/>
  <c r="AP97" i="39" s="1"/>
  <c r="AU73" i="34"/>
  <c r="V77" i="81"/>
  <c r="V79" i="81"/>
  <c r="V80" i="81" s="1"/>
  <c r="V76" i="81"/>
  <c r="AB90" i="39"/>
  <c r="AB95" i="39"/>
  <c r="AB92" i="39"/>
  <c r="L138" i="40"/>
  <c r="L129" i="40"/>
  <c r="L131" i="40"/>
  <c r="L134" i="40"/>
  <c r="AQ85" i="6"/>
  <c r="AQ89" i="6" s="1"/>
  <c r="AQ84" i="6"/>
  <c r="AU99" i="33"/>
  <c r="AU98" i="33"/>
  <c r="AU106" i="33"/>
  <c r="AW109" i="3"/>
  <c r="AW110" i="3" s="1"/>
  <c r="AW105" i="3"/>
  <c r="AW108" i="3"/>
  <c r="AW103" i="3"/>
  <c r="G90" i="87"/>
  <c r="G101" i="87" s="1"/>
  <c r="G91" i="87"/>
  <c r="G100" i="87"/>
  <c r="G88" i="87"/>
  <c r="V86" i="83"/>
  <c r="V91" i="83"/>
  <c r="AZ23" i="45"/>
  <c r="AX36" i="7"/>
  <c r="AX66" i="7"/>
  <c r="AZ24" i="18"/>
  <c r="AO104" i="48"/>
  <c r="AO102" i="48"/>
  <c r="AO107" i="48"/>
  <c r="AO111" i="48"/>
  <c r="AC78" i="34"/>
  <c r="AE125" i="36"/>
  <c r="AE123" i="36"/>
  <c r="AE119" i="36"/>
  <c r="AE113" i="36"/>
  <c r="AP132" i="40"/>
  <c r="AP139" i="40"/>
  <c r="M92" i="7"/>
  <c r="I89" i="6"/>
  <c r="I88" i="6"/>
  <c r="M88" i="6"/>
  <c r="M89" i="6"/>
  <c r="N101" i="87"/>
  <c r="N92" i="87"/>
  <c r="N92" i="84"/>
  <c r="N101" i="84"/>
  <c r="L100" i="87"/>
  <c r="L91" i="87"/>
  <c r="L88" i="87"/>
  <c r="L94" i="87"/>
  <c r="BC101" i="19"/>
  <c r="BC107" i="19"/>
  <c r="G154" i="85"/>
  <c r="G160" i="85"/>
  <c r="G148" i="85"/>
  <c r="G151" i="85"/>
  <c r="G100" i="84"/>
  <c r="G94" i="84"/>
  <c r="G91" i="84"/>
  <c r="G88" i="84"/>
  <c r="AW108" i="45"/>
  <c r="AW102" i="45"/>
  <c r="AD92" i="82"/>
  <c r="AD87" i="82"/>
  <c r="AT93" i="42"/>
  <c r="T84" i="10"/>
  <c r="T79" i="10"/>
  <c r="AK90" i="54"/>
  <c r="AK85" i="54"/>
  <c r="AK87" i="54"/>
  <c r="AX106" i="1"/>
  <c r="AX108" i="1"/>
  <c r="AX109" i="1"/>
  <c r="AV92" i="12"/>
  <c r="H101" i="87"/>
  <c r="H92" i="87"/>
  <c r="H94" i="84"/>
  <c r="H100" i="84"/>
  <c r="H91" i="84"/>
  <c r="H88" i="84"/>
  <c r="AQ95" i="12"/>
  <c r="AQ93" i="12"/>
  <c r="AQ98" i="12"/>
  <c r="N147" i="85"/>
  <c r="N161" i="85" s="1"/>
  <c r="AZ119" i="36"/>
  <c r="AZ113" i="36"/>
  <c r="AZ125" i="36"/>
  <c r="AZ123" i="36"/>
  <c r="BA97" i="6"/>
  <c r="BA88" i="6"/>
  <c r="BA93" i="6"/>
  <c r="BA90" i="6"/>
  <c r="H100" i="86"/>
  <c r="H91" i="86"/>
  <c r="H88" i="86"/>
  <c r="H94" i="86"/>
  <c r="BD108" i="45"/>
  <c r="BD102" i="45"/>
  <c r="BA106" i="19"/>
  <c r="BA109" i="19"/>
  <c r="BA111" i="19"/>
  <c r="BA108" i="19"/>
  <c r="AP100" i="9"/>
  <c r="AP93" i="9"/>
  <c r="H94" i="87"/>
  <c r="H100" i="87"/>
  <c r="H88" i="87"/>
  <c r="H91" i="87"/>
  <c r="Z92" i="82"/>
  <c r="Z87" i="82"/>
  <c r="T79" i="81"/>
  <c r="T80" i="81" s="1"/>
  <c r="T77" i="81"/>
  <c r="T76" i="81"/>
  <c r="G101" i="84"/>
  <c r="G92" i="84"/>
  <c r="BB108" i="45"/>
  <c r="BB102" i="45"/>
  <c r="AV100" i="7"/>
  <c r="AV95" i="7"/>
  <c r="AV96" i="7" s="1"/>
  <c r="AV88" i="7"/>
  <c r="AV94" i="7"/>
  <c r="AV91" i="7"/>
  <c r="AY106" i="42"/>
  <c r="AY94" i="42"/>
  <c r="AY100" i="42"/>
  <c r="BA91" i="41"/>
  <c r="AV85" i="39"/>
  <c r="AV89" i="39" s="1"/>
  <c r="AV91" i="39"/>
  <c r="U79" i="10"/>
  <c r="U84" i="10"/>
  <c r="AY107" i="42"/>
  <c r="AW95" i="42"/>
  <c r="AW93" i="42"/>
  <c r="AS92" i="18"/>
  <c r="AS97" i="18"/>
  <c r="AS98" i="18"/>
  <c r="AS99" i="18" s="1"/>
  <c r="AS91" i="18"/>
  <c r="AU24" i="18"/>
  <c r="AL112" i="48"/>
  <c r="AL105" i="48"/>
  <c r="Y112" i="36"/>
  <c r="O79" i="10"/>
  <c r="O84" i="10"/>
  <c r="O85" i="10"/>
  <c r="N94" i="80"/>
  <c r="AF123" i="43"/>
  <c r="AF116" i="43"/>
  <c r="AH92" i="26"/>
  <c r="AH99" i="26"/>
  <c r="AC74" i="34"/>
  <c r="AO23" i="36"/>
  <c r="T94" i="42"/>
  <c r="T100" i="42"/>
  <c r="T106" i="42"/>
  <c r="T97" i="42"/>
  <c r="T101" i="42"/>
  <c r="T102" i="42" s="1"/>
  <c r="AG88" i="41"/>
  <c r="AG89" i="41"/>
  <c r="AG100" i="41" s="1"/>
  <c r="AG91" i="41"/>
  <c r="AG94" i="41"/>
  <c r="L95" i="39"/>
  <c r="L90" i="39"/>
  <c r="F75" i="34"/>
  <c r="F78" i="34"/>
  <c r="F73" i="34"/>
  <c r="X18" i="32"/>
  <c r="AG18" i="32"/>
  <c r="W23" i="32"/>
  <c r="X90" i="29"/>
  <c r="AI104" i="48"/>
  <c r="AI107" i="48"/>
  <c r="AI102" i="48"/>
  <c r="AI108" i="48"/>
  <c r="AI109" i="48" s="1"/>
  <c r="AI105" i="48"/>
  <c r="R99" i="45"/>
  <c r="R101" i="45" s="1"/>
  <c r="L88" i="41"/>
  <c r="L94" i="41"/>
  <c r="L139" i="40"/>
  <c r="L132" i="40"/>
  <c r="AL102" i="33"/>
  <c r="AL103" i="33" s="1"/>
  <c r="AL101" i="33"/>
  <c r="AL96" i="33"/>
  <c r="AL98" i="33"/>
  <c r="AL105" i="33"/>
  <c r="P100" i="32"/>
  <c r="M100" i="32"/>
  <c r="F97" i="29"/>
  <c r="F98" i="29" s="1"/>
  <c r="F93" i="29"/>
  <c r="F91" i="29"/>
  <c r="F96" i="29"/>
  <c r="AN84" i="26"/>
  <c r="AN88" i="26" s="1"/>
  <c r="O102" i="45"/>
  <c r="O109" i="45"/>
  <c r="O110" i="45" s="1"/>
  <c r="O108" i="45"/>
  <c r="P99" i="45"/>
  <c r="P115" i="43"/>
  <c r="P113" i="43"/>
  <c r="P119" i="43"/>
  <c r="P120" i="43" s="1"/>
  <c r="P122" i="43"/>
  <c r="P118" i="43"/>
  <c r="T92" i="39"/>
  <c r="T90" i="39"/>
  <c r="T95" i="39"/>
  <c r="T96" i="39"/>
  <c r="T97" i="39" s="1"/>
  <c r="F138" i="40"/>
  <c r="F134" i="40"/>
  <c r="F129" i="40"/>
  <c r="F131" i="40"/>
  <c r="AJ81" i="33"/>
  <c r="AG153" i="32"/>
  <c r="AJ54" i="32"/>
  <c r="V90" i="54"/>
  <c r="V85" i="54"/>
  <c r="V87" i="54"/>
  <c r="AM101" i="45"/>
  <c r="M119" i="36"/>
  <c r="M113" i="36"/>
  <c r="M125" i="36"/>
  <c r="Z12" i="32"/>
  <c r="AD12" i="32" s="1"/>
  <c r="AD16" i="32" s="1"/>
  <c r="X16" i="32"/>
  <c r="Z16" i="32" s="1"/>
  <c r="I90" i="54"/>
  <c r="I85" i="54"/>
  <c r="I87" i="54"/>
  <c r="Y101" i="45"/>
  <c r="AG134" i="40"/>
  <c r="AG129" i="40"/>
  <c r="AG131" i="40"/>
  <c r="AG138" i="40"/>
  <c r="AE134" i="40"/>
  <c r="AE129" i="40"/>
  <c r="AE131" i="40"/>
  <c r="AE138" i="40"/>
  <c r="AN102" i="33"/>
  <c r="AN103" i="33" s="1"/>
  <c r="AN98" i="33"/>
  <c r="AN96" i="33"/>
  <c r="AN101" i="33"/>
  <c r="AN105" i="33"/>
  <c r="AM162" i="32"/>
  <c r="S120" i="32"/>
  <c r="S154" i="32" s="1"/>
  <c r="S156" i="32" s="1"/>
  <c r="R120" i="32"/>
  <c r="R154" i="32" s="1"/>
  <c r="R156" i="32" s="1"/>
  <c r="AE22" i="9"/>
  <c r="AC26" i="7"/>
  <c r="AC85" i="7"/>
  <c r="V122" i="43"/>
  <c r="V113" i="43"/>
  <c r="V119" i="43"/>
  <c r="V120" i="43" s="1"/>
  <c r="V115" i="43"/>
  <c r="V118" i="43"/>
  <c r="M70" i="34"/>
  <c r="AA22" i="33"/>
  <c r="J39" i="29"/>
  <c r="M39" i="29" s="1"/>
  <c r="H86" i="29"/>
  <c r="AI93" i="29"/>
  <c r="AI96" i="29"/>
  <c r="AI91" i="29"/>
  <c r="AI97" i="29"/>
  <c r="AI98" i="29" s="1"/>
  <c r="AC98" i="18"/>
  <c r="AC99" i="18" s="1"/>
  <c r="AC101" i="18"/>
  <c r="AC97" i="18"/>
  <c r="O96" i="12"/>
  <c r="O103" i="12"/>
  <c r="X93" i="9"/>
  <c r="X100" i="9"/>
  <c r="O108" i="1"/>
  <c r="O96" i="1"/>
  <c r="O106" i="1"/>
  <c r="O99" i="1"/>
  <c r="O102" i="1"/>
  <c r="AN22" i="9"/>
  <c r="AC96" i="12"/>
  <c r="AC103" i="12"/>
  <c r="AO91" i="6"/>
  <c r="AO98" i="6"/>
  <c r="AI100" i="1"/>
  <c r="AI109" i="1"/>
  <c r="AH95" i="7"/>
  <c r="AH96" i="7" s="1"/>
  <c r="AH98" i="7"/>
  <c r="AH88" i="7"/>
  <c r="AH100" i="7"/>
  <c r="AH91" i="7"/>
  <c r="AH94" i="7"/>
  <c r="X26" i="29"/>
  <c r="AJ21" i="12"/>
  <c r="AN21" i="12" s="1"/>
  <c r="AA97" i="6"/>
  <c r="AA90" i="6"/>
  <c r="AA93" i="6"/>
  <c r="AA88" i="6"/>
  <c r="H100" i="7"/>
  <c r="H91" i="7"/>
  <c r="H95" i="7"/>
  <c r="H96" i="7" s="1"/>
  <c r="H88" i="7"/>
  <c r="H94" i="7"/>
  <c r="AF102" i="1"/>
  <c r="AF99" i="1"/>
  <c r="AF108" i="1"/>
  <c r="AF96" i="1"/>
  <c r="AR102" i="19"/>
  <c r="X100" i="19"/>
  <c r="T104" i="19"/>
  <c r="T101" i="19"/>
  <c r="T106" i="19"/>
  <c r="AM106" i="1"/>
  <c r="AM102" i="1"/>
  <c r="AM99" i="1"/>
  <c r="AM96" i="1"/>
  <c r="AM108" i="1"/>
  <c r="AM109" i="1"/>
  <c r="I128" i="40"/>
  <c r="P85" i="39"/>
  <c r="P89" i="39" s="1"/>
  <c r="R36" i="39"/>
  <c r="V36" i="39" s="1"/>
  <c r="P91" i="39"/>
  <c r="P93" i="39" s="1"/>
  <c r="AR19" i="7"/>
  <c r="AN22" i="7"/>
  <c r="AK85" i="6"/>
  <c r="AK87" i="6" s="1"/>
  <c r="H89" i="6"/>
  <c r="H88" i="6"/>
  <c r="Y108" i="3"/>
  <c r="Y103" i="3"/>
  <c r="AT51" i="1"/>
  <c r="B115" i="1"/>
  <c r="Y12" i="33"/>
  <c r="V15" i="33"/>
  <c r="AG96" i="12"/>
  <c r="AG103" i="12"/>
  <c r="AJ101" i="18"/>
  <c r="AJ98" i="18"/>
  <c r="AJ99" i="18" s="1"/>
  <c r="AJ97" i="18"/>
  <c r="AR78" i="34"/>
  <c r="AR73" i="34"/>
  <c r="AR75" i="34"/>
  <c r="H90" i="54"/>
  <c r="H85" i="54"/>
  <c r="H87" i="54"/>
  <c r="AC85" i="54"/>
  <c r="AC87" i="54"/>
  <c r="AC90" i="54"/>
  <c r="T85" i="54"/>
  <c r="T87" i="54"/>
  <c r="T90" i="54"/>
  <c r="AF122" i="43"/>
  <c r="AF119" i="43"/>
  <c r="AF120" i="43" s="1"/>
  <c r="AF118" i="43"/>
  <c r="AF113" i="43"/>
  <c r="AF115" i="43"/>
  <c r="AS86" i="26"/>
  <c r="AS90" i="26" s="1"/>
  <c r="AS92" i="26" s="1"/>
  <c r="AY30" i="26"/>
  <c r="AY86" i="26" s="1"/>
  <c r="AY90" i="26" s="1"/>
  <c r="AY92" i="26" s="1"/>
  <c r="M61" i="48"/>
  <c r="M82" i="48"/>
  <c r="M59" i="48"/>
  <c r="M81" i="48"/>
  <c r="M66" i="48"/>
  <c r="M99" i="48" s="1"/>
  <c r="M55" i="48"/>
  <c r="M57" i="48"/>
  <c r="M53" i="48"/>
  <c r="P98" i="45"/>
  <c r="AO100" i="42"/>
  <c r="AO106" i="42"/>
  <c r="AO101" i="42"/>
  <c r="AO102" i="42" s="1"/>
  <c r="AO94" i="42"/>
  <c r="AO97" i="42"/>
  <c r="V107" i="42"/>
  <c r="V98" i="42"/>
  <c r="V97" i="42"/>
  <c r="V106" i="42"/>
  <c r="AC22" i="41"/>
  <c r="AG22" i="41" s="1"/>
  <c r="P138" i="40"/>
  <c r="P131" i="40"/>
  <c r="P134" i="40"/>
  <c r="P129" i="40"/>
  <c r="AF92" i="39"/>
  <c r="AF95" i="39"/>
  <c r="AF96" i="39"/>
  <c r="AF97" i="39" s="1"/>
  <c r="O101" i="33"/>
  <c r="O96" i="33"/>
  <c r="O98" i="33"/>
  <c r="O93" i="29"/>
  <c r="O96" i="29"/>
  <c r="O97" i="29"/>
  <c r="O98" i="29" s="1"/>
  <c r="O91" i="29"/>
  <c r="I97" i="29"/>
  <c r="I98" i="29" s="1"/>
  <c r="I93" i="29"/>
  <c r="I96" i="29"/>
  <c r="I91" i="29"/>
  <c r="Y85" i="54"/>
  <c r="Y90" i="54"/>
  <c r="Y87" i="54"/>
  <c r="M65" i="45"/>
  <c r="M98" i="45" s="1"/>
  <c r="M101" i="45" s="1"/>
  <c r="M102" i="45" s="1"/>
  <c r="P65" i="45"/>
  <c r="P101" i="45"/>
  <c r="P102" i="45" s="1"/>
  <c r="O116" i="43"/>
  <c r="O123" i="43"/>
  <c r="AI101" i="42"/>
  <c r="AI102" i="42" s="1"/>
  <c r="AI94" i="42"/>
  <c r="AI106" i="42"/>
  <c r="AI100" i="42"/>
  <c r="AI97" i="42"/>
  <c r="AM125" i="36"/>
  <c r="AM119" i="36"/>
  <c r="AM113" i="36"/>
  <c r="AM123" i="36"/>
  <c r="AG75" i="34"/>
  <c r="AG78" i="34"/>
  <c r="AG73" i="34"/>
  <c r="AB94" i="29"/>
  <c r="N23" i="80"/>
  <c r="AJ123" i="36"/>
  <c r="AJ119" i="36"/>
  <c r="AJ125" i="36"/>
  <c r="AJ113" i="36"/>
  <c r="AS88" i="26"/>
  <c r="X85" i="54"/>
  <c r="X87" i="54"/>
  <c r="X90" i="54"/>
  <c r="I105" i="48"/>
  <c r="I104" i="48"/>
  <c r="I102" i="48"/>
  <c r="F109" i="45"/>
  <c r="F102" i="45"/>
  <c r="M99" i="45"/>
  <c r="Z119" i="43"/>
  <c r="Z120" i="43" s="1"/>
  <c r="Z118" i="43"/>
  <c r="Z115" i="43"/>
  <c r="Z113" i="43"/>
  <c r="Z122" i="43"/>
  <c r="M89" i="39"/>
  <c r="H78" i="34"/>
  <c r="H75" i="34"/>
  <c r="H73" i="34"/>
  <c r="AG102" i="33"/>
  <c r="AG103" i="33" s="1"/>
  <c r="AG98" i="33"/>
  <c r="AG96" i="33"/>
  <c r="AG105" i="33"/>
  <c r="AG101" i="33"/>
  <c r="M66" i="32"/>
  <c r="P66" i="32"/>
  <c r="W163" i="32"/>
  <c r="W164" i="32" s="1"/>
  <c r="W166" i="32"/>
  <c r="W162" i="32"/>
  <c r="W157" i="32"/>
  <c r="AC100" i="42"/>
  <c r="AC94" i="42"/>
  <c r="AC97" i="42"/>
  <c r="AC101" i="42"/>
  <c r="AC102" i="42" s="1"/>
  <c r="AC106" i="42"/>
  <c r="L125" i="36"/>
  <c r="L119" i="36"/>
  <c r="L113" i="36"/>
  <c r="P73" i="32"/>
  <c r="M73" i="32"/>
  <c r="AB96" i="29"/>
  <c r="AB91" i="29"/>
  <c r="AB93" i="29"/>
  <c r="AB97" i="29"/>
  <c r="AB98" i="29" s="1"/>
  <c r="V125" i="36"/>
  <c r="V123" i="36"/>
  <c r="V119" i="36"/>
  <c r="V113" i="36"/>
  <c r="AE88" i="54"/>
  <c r="AB108" i="45"/>
  <c r="AB102" i="45"/>
  <c r="AA102" i="45"/>
  <c r="AA108" i="45"/>
  <c r="L100" i="42"/>
  <c r="L94" i="42"/>
  <c r="L101" i="42"/>
  <c r="L102" i="42" s="1"/>
  <c r="AE101" i="41"/>
  <c r="AE92" i="41"/>
  <c r="AE100" i="41"/>
  <c r="AG132" i="40"/>
  <c r="AG139" i="40"/>
  <c r="AN99" i="33"/>
  <c r="AN106" i="33"/>
  <c r="Y85" i="7"/>
  <c r="Y26" i="7"/>
  <c r="AA26" i="7" s="1"/>
  <c r="AB72" i="34"/>
  <c r="AG99" i="26"/>
  <c r="AG92" i="26"/>
  <c r="AM96" i="29"/>
  <c r="AM97" i="29"/>
  <c r="AM98" i="29" s="1"/>
  <c r="AM91" i="29"/>
  <c r="AM93" i="29"/>
  <c r="AG88" i="26"/>
  <c r="Y45" i="12"/>
  <c r="V94" i="12"/>
  <c r="V89" i="12"/>
  <c r="X99" i="9"/>
  <c r="X95" i="9"/>
  <c r="X92" i="9"/>
  <c r="X90" i="9"/>
  <c r="AG88" i="6"/>
  <c r="AG97" i="6"/>
  <c r="AG90" i="6"/>
  <c r="AG93" i="6"/>
  <c r="L108" i="3"/>
  <c r="L103" i="3"/>
  <c r="T100" i="1"/>
  <c r="T109" i="1"/>
  <c r="Y109" i="1"/>
  <c r="Y100" i="1"/>
  <c r="Y107" i="1"/>
  <c r="AE88" i="12"/>
  <c r="O100" i="1"/>
  <c r="O109" i="1"/>
  <c r="AN93" i="12"/>
  <c r="AN96" i="12"/>
  <c r="AO106" i="1"/>
  <c r="AO108" i="1"/>
  <c r="V92" i="12"/>
  <c r="AR100" i="19"/>
  <c r="AN93" i="9"/>
  <c r="O28" i="6"/>
  <c r="O85" i="6" s="1"/>
  <c r="O24" i="6"/>
  <c r="S24" i="6" s="1"/>
  <c r="W24" i="6" s="1"/>
  <c r="O22" i="6"/>
  <c r="S22" i="6" s="1"/>
  <c r="W22" i="6" s="1"/>
  <c r="S17" i="6"/>
  <c r="W17" i="6" s="1"/>
  <c r="W91" i="6" s="1"/>
  <c r="AV49" i="1"/>
  <c r="AQ97" i="1"/>
  <c r="AQ92" i="1"/>
  <c r="AQ95" i="1" s="1"/>
  <c r="O98" i="26"/>
  <c r="O94" i="26"/>
  <c r="O89" i="26"/>
  <c r="O95" i="26"/>
  <c r="O96" i="26" s="1"/>
  <c r="O91" i="26"/>
  <c r="AT19" i="7"/>
  <c r="AL99" i="12"/>
  <c r="AL100" i="12" s="1"/>
  <c r="AL93" i="12"/>
  <c r="AL95" i="12"/>
  <c r="AL102" i="12"/>
  <c r="AL98" i="12"/>
  <c r="AB60" i="1"/>
  <c r="Z93" i="1"/>
  <c r="Z97" i="1" s="1"/>
  <c r="M22" i="29"/>
  <c r="AG95" i="12"/>
  <c r="AG98" i="12"/>
  <c r="AG99" i="12"/>
  <c r="AG100" i="12" s="1"/>
  <c r="AG102" i="12"/>
  <c r="AG93" i="12"/>
  <c r="AN89" i="9"/>
  <c r="AH101" i="7"/>
  <c r="T107" i="1"/>
  <c r="AQ104" i="48"/>
  <c r="AQ102" i="48"/>
  <c r="AQ107" i="48"/>
  <c r="J39" i="80"/>
  <c r="N39" i="80" s="1"/>
  <c r="BA162" i="32"/>
  <c r="BA157" i="32"/>
  <c r="AQ120" i="32"/>
  <c r="AL154" i="32"/>
  <c r="AL156" i="32" s="1"/>
  <c r="AL85" i="54"/>
  <c r="AL87" i="54"/>
  <c r="AL90" i="54"/>
  <c r="BK157" i="32"/>
  <c r="BK162" i="32"/>
  <c r="BD90" i="29"/>
  <c r="H151" i="85"/>
  <c r="H154" i="85"/>
  <c r="H160" i="85"/>
  <c r="H148" i="85"/>
  <c r="H161" i="85"/>
  <c r="BA90" i="29"/>
  <c r="AY93" i="6"/>
  <c r="AY90" i="6"/>
  <c r="AY97" i="6"/>
  <c r="AY88" i="6"/>
  <c r="N83" i="86"/>
  <c r="N87" i="86" s="1"/>
  <c r="N89" i="86"/>
  <c r="L101" i="86"/>
  <c r="L92" i="86"/>
  <c r="G94" i="86"/>
  <c r="G100" i="86"/>
  <c r="G88" i="86"/>
  <c r="G91" i="86"/>
  <c r="AS91" i="6"/>
  <c r="AS98" i="6"/>
  <c r="N22" i="86"/>
  <c r="AY37" i="26"/>
  <c r="AY84" i="26" s="1"/>
  <c r="AY88" i="26" s="1"/>
  <c r="AU42" i="26"/>
  <c r="N100" i="87"/>
  <c r="H101" i="84"/>
  <c r="M91" i="83"/>
  <c r="M86" i="83"/>
  <c r="AQ95" i="7"/>
  <c r="AQ96" i="7" s="1"/>
  <c r="AQ94" i="7"/>
  <c r="AQ91" i="7"/>
  <c r="AQ88" i="7"/>
  <c r="AQ101" i="7"/>
  <c r="AQ100" i="7"/>
  <c r="V92" i="82"/>
  <c r="V89" i="82"/>
  <c r="V87" i="82"/>
  <c r="F77" i="81"/>
  <c r="F76" i="81"/>
  <c r="F79" i="81"/>
  <c r="F80" i="81" s="1"/>
  <c r="L77" i="81"/>
  <c r="L76" i="81"/>
  <c r="L79" i="81"/>
  <c r="L80" i="81" s="1"/>
  <c r="BA101" i="41"/>
  <c r="BA92" i="41"/>
  <c r="AP93" i="39"/>
  <c r="AN107" i="48"/>
  <c r="AN104" i="48"/>
  <c r="AN102" i="48"/>
  <c r="AR98" i="18"/>
  <c r="AR99" i="18" s="1"/>
  <c r="AR97" i="18"/>
  <c r="AR91" i="18"/>
  <c r="AR92" i="18"/>
  <c r="G103" i="80"/>
  <c r="G104" i="80"/>
  <c r="G105" i="80" s="1"/>
  <c r="G100" i="80"/>
  <c r="G98" i="80"/>
  <c r="AB119" i="43"/>
  <c r="AB120" i="43" s="1"/>
  <c r="AB115" i="43"/>
  <c r="AB122" i="43"/>
  <c r="AB113" i="43"/>
  <c r="AB118" i="43"/>
  <c r="R79" i="10"/>
  <c r="R84" i="10"/>
  <c r="P87" i="54"/>
  <c r="P90" i="54"/>
  <c r="P85" i="54"/>
  <c r="L87" i="54"/>
  <c r="L90" i="54"/>
  <c r="L85" i="54"/>
  <c r="AO113" i="36"/>
  <c r="AO125" i="36"/>
  <c r="AO123" i="36"/>
  <c r="AO119" i="36"/>
  <c r="M80" i="54"/>
  <c r="M84" i="54" s="1"/>
  <c r="M86" i="54"/>
  <c r="M88" i="54" s="1"/>
  <c r="AH94" i="26"/>
  <c r="AH89" i="26"/>
  <c r="AH91" i="26"/>
  <c r="AH95" i="26"/>
  <c r="AH96" i="26" s="1"/>
  <c r="AH98" i="26"/>
  <c r="AI88" i="54"/>
  <c r="P106" i="42"/>
  <c r="P100" i="42"/>
  <c r="P101" i="42"/>
  <c r="P102" i="42" s="1"/>
  <c r="P94" i="42"/>
  <c r="P97" i="42"/>
  <c r="P139" i="40"/>
  <c r="P132" i="40"/>
  <c r="T105" i="33"/>
  <c r="T101" i="33"/>
  <c r="T102" i="33"/>
  <c r="T103" i="33" s="1"/>
  <c r="T98" i="33"/>
  <c r="T96" i="33"/>
  <c r="F69" i="32"/>
  <c r="F153" i="32" s="1"/>
  <c r="F156" i="32" s="1"/>
  <c r="J69" i="32"/>
  <c r="Z27" i="32"/>
  <c r="AD27" i="32" s="1"/>
  <c r="AD30" i="32" s="1"/>
  <c r="X30" i="32"/>
  <c r="J41" i="29"/>
  <c r="M41" i="29" s="1"/>
  <c r="Y88" i="54"/>
  <c r="O118" i="43"/>
  <c r="O115" i="43"/>
  <c r="O122" i="43"/>
  <c r="O119" i="43"/>
  <c r="O120" i="43" s="1"/>
  <c r="O113" i="43"/>
  <c r="AI107" i="42"/>
  <c r="AI98" i="42"/>
  <c r="H125" i="36"/>
  <c r="H119" i="36"/>
  <c r="H113" i="36"/>
  <c r="O138" i="40"/>
  <c r="O131" i="40"/>
  <c r="O134" i="40"/>
  <c r="O129" i="40"/>
  <c r="BC162" i="32"/>
  <c r="BC157" i="32"/>
  <c r="I153" i="32"/>
  <c r="I156" i="32" s="1"/>
  <c r="T107" i="48"/>
  <c r="T105" i="48"/>
  <c r="T104" i="48"/>
  <c r="T102" i="48"/>
  <c r="T108" i="48"/>
  <c r="T109" i="48" s="1"/>
  <c r="Y103" i="48"/>
  <c r="H94" i="41"/>
  <c r="H88" i="41"/>
  <c r="AN129" i="40"/>
  <c r="AN138" i="40"/>
  <c r="AN134" i="40"/>
  <c r="AN131" i="40"/>
  <c r="H131" i="40"/>
  <c r="H134" i="40"/>
  <c r="H129" i="40"/>
  <c r="H138" i="40"/>
  <c r="I72" i="34"/>
  <c r="X91" i="33"/>
  <c r="X95" i="33" s="1"/>
  <c r="X97" i="33"/>
  <c r="Z54" i="32"/>
  <c r="AD54" i="32" s="1"/>
  <c r="AD153" i="32" s="1"/>
  <c r="X153" i="32"/>
  <c r="Y98" i="48"/>
  <c r="Y101" i="48" s="1"/>
  <c r="AC98" i="42"/>
  <c r="AC107" i="42"/>
  <c r="AR22" i="41"/>
  <c r="AA23" i="36"/>
  <c r="AL106" i="33"/>
  <c r="V102" i="33"/>
  <c r="V103" i="33" s="1"/>
  <c r="V96" i="33"/>
  <c r="V98" i="33"/>
  <c r="V105" i="33"/>
  <c r="V101" i="33"/>
  <c r="AT91" i="29"/>
  <c r="AT93" i="29"/>
  <c r="AT97" i="29"/>
  <c r="AT98" i="29" s="1"/>
  <c r="AT96" i="29"/>
  <c r="P101" i="7"/>
  <c r="P92" i="7"/>
  <c r="AE84" i="54"/>
  <c r="S103" i="45"/>
  <c r="S114" i="45"/>
  <c r="S108" i="45"/>
  <c r="S105" i="45"/>
  <c r="S102" i="45"/>
  <c r="AF102" i="45"/>
  <c r="AF108" i="45"/>
  <c r="T107" i="42"/>
  <c r="AE93" i="42"/>
  <c r="AR92" i="41"/>
  <c r="AR101" i="41"/>
  <c r="AA92" i="41"/>
  <c r="AA101" i="41"/>
  <c r="P112" i="36"/>
  <c r="AK75" i="34"/>
  <c r="AK78" i="34"/>
  <c r="AK73" i="34"/>
  <c r="AH38" i="33"/>
  <c r="AE76" i="33"/>
  <c r="AE90" i="26"/>
  <c r="AE92" i="26" s="1"/>
  <c r="AE84" i="26"/>
  <c r="AE88" i="26" s="1"/>
  <c r="AQ86" i="9"/>
  <c r="AQ89" i="9" s="1"/>
  <c r="AQ22" i="7"/>
  <c r="V106" i="33"/>
  <c r="V99" i="33"/>
  <c r="P96" i="29"/>
  <c r="P93" i="29"/>
  <c r="P97" i="29"/>
  <c r="P98" i="29" s="1"/>
  <c r="P91" i="29"/>
  <c r="AR86" i="26"/>
  <c r="AW30" i="26"/>
  <c r="AW86" i="26" s="1"/>
  <c r="V92" i="26"/>
  <c r="AC95" i="12"/>
  <c r="AC93" i="12"/>
  <c r="AC102" i="12"/>
  <c r="AC98" i="12"/>
  <c r="AC99" i="12"/>
  <c r="AC100" i="12" s="1"/>
  <c r="V95" i="9"/>
  <c r="V92" i="9"/>
  <c r="V90" i="9"/>
  <c r="Y55" i="9"/>
  <c r="Y58" i="9"/>
  <c r="AA58" i="9" s="1"/>
  <c r="AE58" i="9" s="1"/>
  <c r="Y56" i="9"/>
  <c r="AA56" i="9" s="1"/>
  <c r="AE56" i="9" s="1"/>
  <c r="AE35" i="9"/>
  <c r="Y57" i="9"/>
  <c r="AA57" i="9" s="1"/>
  <c r="AE57" i="9" s="1"/>
  <c r="AI87" i="6"/>
  <c r="Y106" i="1"/>
  <c r="Y102" i="1"/>
  <c r="Y108" i="1"/>
  <c r="Y99" i="1"/>
  <c r="Y96" i="1"/>
  <c r="AF22" i="1"/>
  <c r="I94" i="7"/>
  <c r="I91" i="7"/>
  <c r="I100" i="7"/>
  <c r="I101" i="7"/>
  <c r="I88" i="7"/>
  <c r="M83" i="7"/>
  <c r="M87" i="7" s="1"/>
  <c r="AI108" i="1"/>
  <c r="AI96" i="1"/>
  <c r="M124" i="40"/>
  <c r="M130" i="40"/>
  <c r="Z78" i="34"/>
  <c r="Z73" i="34"/>
  <c r="Z75" i="34"/>
  <c r="M100" i="19"/>
  <c r="AR91" i="1"/>
  <c r="AR95" i="1" s="1"/>
  <c r="AT36" i="1"/>
  <c r="AR97" i="1"/>
  <c r="V81" i="1"/>
  <c r="AR98" i="1"/>
  <c r="AT37" i="1"/>
  <c r="V88" i="7"/>
  <c r="V100" i="7"/>
  <c r="V94" i="7"/>
  <c r="V91" i="7"/>
  <c r="AF100" i="1"/>
  <c r="AD96" i="1"/>
  <c r="Z128" i="40"/>
  <c r="M126" i="40"/>
  <c r="AC95" i="26"/>
  <c r="AC96" i="26" s="1"/>
  <c r="AC94" i="26"/>
  <c r="AC91" i="26"/>
  <c r="AC89" i="26"/>
  <c r="AG87" i="7"/>
  <c r="AN87" i="7"/>
  <c r="V80" i="1"/>
  <c r="AN100" i="9"/>
  <c r="AV96" i="12"/>
  <c r="AQ109" i="3"/>
  <c r="AQ110" i="3" s="1"/>
  <c r="AQ108" i="3"/>
  <c r="AQ105" i="3"/>
  <c r="AQ103" i="3"/>
  <c r="AU89" i="6"/>
  <c r="AU87" i="6"/>
  <c r="G152" i="85"/>
  <c r="G161" i="85"/>
  <c r="AV97" i="29"/>
  <c r="AV98" i="29" s="1"/>
  <c r="AV93" i="29"/>
  <c r="AV91" i="29"/>
  <c r="AV96" i="29"/>
  <c r="AX125" i="36"/>
  <c r="AX119" i="36"/>
  <c r="AX113" i="36"/>
  <c r="L91" i="86"/>
  <c r="L88" i="86"/>
  <c r="L94" i="86"/>
  <c r="L100" i="86"/>
  <c r="AP92" i="9"/>
  <c r="AP90" i="9"/>
  <c r="AP95" i="9"/>
  <c r="AP99" i="9"/>
  <c r="AY94" i="29"/>
  <c r="L101" i="87"/>
  <c r="AK91" i="83"/>
  <c r="AK86" i="83"/>
  <c r="T92" i="82"/>
  <c r="T87" i="82"/>
  <c r="T89" i="82"/>
  <c r="AV92" i="41"/>
  <c r="AV101" i="41"/>
  <c r="AR94" i="7"/>
  <c r="AR91" i="7"/>
  <c r="AR100" i="7"/>
  <c r="AR95" i="7"/>
  <c r="AR96" i="7" s="1"/>
  <c r="AR88" i="7"/>
  <c r="AT92" i="39"/>
  <c r="AT90" i="39"/>
  <c r="AT95" i="39"/>
  <c r="AT96" i="39"/>
  <c r="AT97" i="39" s="1"/>
  <c r="BC101" i="41"/>
  <c r="BC92" i="41"/>
  <c r="BC100" i="41"/>
  <c r="AR84" i="54"/>
  <c r="L100" i="80"/>
  <c r="L98" i="80"/>
  <c r="L104" i="80"/>
  <c r="L105" i="80" s="1"/>
  <c r="L103" i="80"/>
  <c r="AL111" i="48"/>
  <c r="AL107" i="48"/>
  <c r="AL104" i="48"/>
  <c r="AL102" i="48"/>
  <c r="AJ24" i="26"/>
  <c r="H94" i="80"/>
  <c r="H97" i="80" s="1"/>
  <c r="AW97" i="18"/>
  <c r="AW98" i="18"/>
  <c r="AW99" i="18" s="1"/>
  <c r="AW92" i="18"/>
  <c r="AW91" i="18"/>
  <c r="O85" i="54"/>
  <c r="O87" i="54"/>
  <c r="O90" i="54"/>
  <c r="H95" i="80"/>
  <c r="H99" i="80" s="1"/>
  <c r="H27" i="80"/>
  <c r="J27" i="80" s="1"/>
  <c r="N27" i="80" s="1"/>
  <c r="N29" i="80" s="1"/>
  <c r="N95" i="80" s="1"/>
  <c r="Y101" i="42"/>
  <c r="Y102" i="42" s="1"/>
  <c r="Y94" i="42"/>
  <c r="Y100" i="42"/>
  <c r="Y97" i="42"/>
  <c r="Y106" i="42"/>
  <c r="AI85" i="54"/>
  <c r="AI90" i="54"/>
  <c r="AI87" i="54"/>
  <c r="M45" i="48"/>
  <c r="M42" i="48"/>
  <c r="Y20" i="45"/>
  <c r="Y23" i="45" s="1"/>
  <c r="W23" i="45"/>
  <c r="W105" i="45"/>
  <c r="M94" i="42"/>
  <c r="M100" i="42"/>
  <c r="M101" i="42"/>
  <c r="M102" i="42" s="1"/>
  <c r="AJ27" i="32"/>
  <c r="AM27" i="32" s="1"/>
  <c r="AO27" i="32" s="1"/>
  <c r="AG30" i="32"/>
  <c r="AG154" i="32" s="1"/>
  <c r="J25" i="29"/>
  <c r="H28" i="29"/>
  <c r="H88" i="29" s="1"/>
  <c r="H92" i="29" s="1"/>
  <c r="H94" i="29" s="1"/>
  <c r="V102" i="48"/>
  <c r="V105" i="48"/>
  <c r="V104" i="48"/>
  <c r="AS108" i="45"/>
  <c r="AS102" i="45"/>
  <c r="AE107" i="42"/>
  <c r="AE98" i="42"/>
  <c r="AA129" i="40"/>
  <c r="AA134" i="40"/>
  <c r="AA138" i="40"/>
  <c r="AA131" i="40"/>
  <c r="AP129" i="40"/>
  <c r="AP131" i="40"/>
  <c r="AP138" i="40"/>
  <c r="AP134" i="40"/>
  <c r="AC125" i="36"/>
  <c r="AC123" i="36"/>
  <c r="AC119" i="36"/>
  <c r="AC113" i="36"/>
  <c r="L157" i="32"/>
  <c r="L162" i="32"/>
  <c r="L166" i="32"/>
  <c r="L163" i="32"/>
  <c r="L164" i="32" s="1"/>
  <c r="AB157" i="32"/>
  <c r="U97" i="29"/>
  <c r="U98" i="29" s="1"/>
  <c r="U93" i="29"/>
  <c r="U96" i="29"/>
  <c r="U91" i="29"/>
  <c r="AM94" i="29"/>
  <c r="M80" i="48"/>
  <c r="AH102" i="45"/>
  <c r="AH108" i="45"/>
  <c r="Z94" i="41"/>
  <c r="Z88" i="41"/>
  <c r="Z89" i="41"/>
  <c r="Z91" i="41" s="1"/>
  <c r="O75" i="34"/>
  <c r="O78" i="34"/>
  <c r="O73" i="34"/>
  <c r="T99" i="33"/>
  <c r="T106" i="33"/>
  <c r="AK92" i="41"/>
  <c r="AK101" i="41"/>
  <c r="P67" i="32"/>
  <c r="M67" i="32"/>
  <c r="AR22" i="7"/>
  <c r="AR92" i="7"/>
  <c r="L109" i="45"/>
  <c r="L110" i="45" s="1"/>
  <c r="L102" i="45"/>
  <c r="L108" i="45"/>
  <c r="I113" i="43"/>
  <c r="I118" i="43"/>
  <c r="I114" i="43"/>
  <c r="AE91" i="41"/>
  <c r="H154" i="32"/>
  <c r="H156" i="32" s="1"/>
  <c r="J120" i="32"/>
  <c r="P120" i="32" s="1"/>
  <c r="X120" i="32" s="1"/>
  <c r="AD120" i="32" s="1"/>
  <c r="W98" i="6"/>
  <c r="V116" i="43"/>
  <c r="Z21" i="34"/>
  <c r="AC21" i="34" s="1"/>
  <c r="AC17" i="34"/>
  <c r="X108" i="48"/>
  <c r="X109" i="48" s="1"/>
  <c r="X102" i="48"/>
  <c r="X107" i="48"/>
  <c r="X104" i="48"/>
  <c r="X105" i="48"/>
  <c r="AQ108" i="45"/>
  <c r="AQ102" i="45"/>
  <c r="T101" i="41"/>
  <c r="T92" i="41"/>
  <c r="AL72" i="34"/>
  <c r="L70" i="34"/>
  <c r="Y97" i="33"/>
  <c r="AA36" i="33"/>
  <c r="AE36" i="33" s="1"/>
  <c r="Y91" i="33"/>
  <c r="Y95" i="33" s="1"/>
  <c r="L91" i="29"/>
  <c r="L93" i="29"/>
  <c r="L97" i="29"/>
  <c r="L98" i="29" s="1"/>
  <c r="L96" i="29"/>
  <c r="AD22" i="29"/>
  <c r="Z91" i="29"/>
  <c r="Z96" i="29"/>
  <c r="Z97" i="29"/>
  <c r="Z98" i="29" s="1"/>
  <c r="Z93" i="29"/>
  <c r="V94" i="26"/>
  <c r="V89" i="26"/>
  <c r="V91" i="26"/>
  <c r="X93" i="12"/>
  <c r="X95" i="12"/>
  <c r="X99" i="12"/>
  <c r="X100" i="12" s="1"/>
  <c r="X98" i="12"/>
  <c r="X102" i="12"/>
  <c r="H95" i="9"/>
  <c r="H90" i="9"/>
  <c r="H92" i="9"/>
  <c r="AG99" i="7"/>
  <c r="AG101" i="7"/>
  <c r="AG92" i="7"/>
  <c r="AG91" i="6"/>
  <c r="M95" i="1"/>
  <c r="M96" i="1" s="1"/>
  <c r="T108" i="1"/>
  <c r="T102" i="1"/>
  <c r="T106" i="1"/>
  <c r="T96" i="1"/>
  <c r="T99" i="1"/>
  <c r="AL94" i="26"/>
  <c r="AL89" i="26"/>
  <c r="AL95" i="26"/>
  <c r="AL96" i="26" s="1"/>
  <c r="AO93" i="6"/>
  <c r="AO97" i="6"/>
  <c r="AO90" i="6"/>
  <c r="AO88" i="6"/>
  <c r="S75" i="34"/>
  <c r="S73" i="34"/>
  <c r="S78" i="34"/>
  <c r="M93" i="12"/>
  <c r="M99" i="12"/>
  <c r="M100" i="12" s="1"/>
  <c r="M95" i="12"/>
  <c r="M98" i="12"/>
  <c r="AG98" i="6"/>
  <c r="AK17" i="1"/>
  <c r="AO17" i="1"/>
  <c r="AO22" i="1" s="1"/>
  <c r="M103" i="3"/>
  <c r="M108" i="3"/>
  <c r="V91" i="1"/>
  <c r="V95" i="1" s="1"/>
  <c r="P109" i="1"/>
  <c r="P100" i="1"/>
  <c r="V99" i="19"/>
  <c r="V102" i="19"/>
  <c r="Z132" i="40"/>
  <c r="Z139" i="40"/>
  <c r="T95" i="9"/>
  <c r="T92" i="9"/>
  <c r="T90" i="9"/>
  <c r="AJ22" i="9"/>
  <c r="Y91" i="6"/>
  <c r="Y98" i="6"/>
  <c r="P91" i="7"/>
  <c r="BC105" i="19" l="1"/>
  <c r="V100" i="19"/>
  <c r="AK104" i="19"/>
  <c r="AK101" i="19"/>
  <c r="AK106" i="19"/>
  <c r="BE98" i="6"/>
  <c r="BF72" i="6"/>
  <c r="BJ72" i="6" s="1"/>
  <c r="BE97" i="6"/>
  <c r="AK89" i="6"/>
  <c r="AH91" i="9"/>
  <c r="AH89" i="9"/>
  <c r="AL95" i="9"/>
  <c r="AL99" i="9"/>
  <c r="AL92" i="9"/>
  <c r="AL90" i="9"/>
  <c r="AW86" i="9"/>
  <c r="AW89" i="9" s="1"/>
  <c r="V101" i="19"/>
  <c r="V104" i="19"/>
  <c r="V106" i="19"/>
  <c r="H103" i="80"/>
  <c r="H100" i="80"/>
  <c r="H98" i="80"/>
  <c r="H104" i="80"/>
  <c r="H105" i="80" s="1"/>
  <c r="AK93" i="6"/>
  <c r="AK90" i="6"/>
  <c r="AK88" i="6"/>
  <c r="AK97" i="6"/>
  <c r="F162" i="32"/>
  <c r="F163" i="32"/>
  <c r="F164" i="32" s="1"/>
  <c r="F166" i="32"/>
  <c r="F157" i="32"/>
  <c r="AQ91" i="6"/>
  <c r="AQ98" i="6"/>
  <c r="H163" i="32"/>
  <c r="H164" i="32" s="1"/>
  <c r="H162" i="32"/>
  <c r="H157" i="32"/>
  <c r="H166" i="32"/>
  <c r="H101" i="80"/>
  <c r="AW99" i="9"/>
  <c r="AW95" i="9"/>
  <c r="AW92" i="9"/>
  <c r="AW90" i="9"/>
  <c r="R102" i="45"/>
  <c r="R108" i="45"/>
  <c r="R103" i="45"/>
  <c r="R105" i="45" s="1"/>
  <c r="R114" i="45"/>
  <c r="L74" i="34"/>
  <c r="L76" i="34" s="1"/>
  <c r="L72" i="34"/>
  <c r="AE17" i="34"/>
  <c r="Z100" i="41"/>
  <c r="AR108" i="1"/>
  <c r="AR96" i="1"/>
  <c r="AI93" i="6"/>
  <c r="AI90" i="6"/>
  <c r="AI88" i="6"/>
  <c r="AI97" i="6"/>
  <c r="AW90" i="26"/>
  <c r="AW92" i="26" s="1"/>
  <c r="AW88" i="26"/>
  <c r="AT22" i="7"/>
  <c r="AE95" i="26"/>
  <c r="AE96" i="26" s="1"/>
  <c r="AE94" i="26"/>
  <c r="AE91" i="26"/>
  <c r="AE89" i="26"/>
  <c r="AE85" i="54"/>
  <c r="AE90" i="54"/>
  <c r="AE87" i="54"/>
  <c r="Y102" i="48"/>
  <c r="Y105" i="48"/>
  <c r="Y104" i="48"/>
  <c r="X154" i="32"/>
  <c r="X156" i="32" s="1"/>
  <c r="AV120" i="32"/>
  <c r="AV154" i="32" s="1"/>
  <c r="AV156" i="32" s="1"/>
  <c r="AQ154" i="32"/>
  <c r="AQ156" i="32" s="1"/>
  <c r="N93" i="80"/>
  <c r="N97" i="80" s="1"/>
  <c r="N99" i="80"/>
  <c r="Z100" i="1"/>
  <c r="AQ100" i="1"/>
  <c r="AQ109" i="1"/>
  <c r="AQ107" i="1"/>
  <c r="V96" i="12"/>
  <c r="V103" i="12"/>
  <c r="AG94" i="26"/>
  <c r="AG89" i="26"/>
  <c r="AG95" i="26"/>
  <c r="AG96" i="26" s="1"/>
  <c r="AG98" i="26"/>
  <c r="AG91" i="26"/>
  <c r="M95" i="39"/>
  <c r="M90" i="39"/>
  <c r="V85" i="39"/>
  <c r="V89" i="39" s="1"/>
  <c r="V93" i="39"/>
  <c r="R166" i="32"/>
  <c r="R157" i="32"/>
  <c r="R162" i="32"/>
  <c r="R163" i="32"/>
  <c r="R164" i="32" s="1"/>
  <c r="AM102" i="45"/>
  <c r="AM108" i="45"/>
  <c r="AG23" i="32"/>
  <c r="AJ23" i="32" s="1"/>
  <c r="AJ18" i="32"/>
  <c r="AM18" i="32" s="1"/>
  <c r="AC73" i="34"/>
  <c r="AX90" i="7"/>
  <c r="AX83" i="7"/>
  <c r="AX87" i="7" s="1"/>
  <c r="AW109" i="19"/>
  <c r="AW108" i="19"/>
  <c r="AW106" i="19"/>
  <c r="AW111" i="19"/>
  <c r="AQ100" i="9"/>
  <c r="AQ93" i="9"/>
  <c r="AQ99" i="33"/>
  <c r="AQ106" i="33"/>
  <c r="Y96" i="33"/>
  <c r="Y105" i="33"/>
  <c r="Y98" i="33"/>
  <c r="Y101" i="33"/>
  <c r="Y102" i="33"/>
  <c r="Y103" i="33" s="1"/>
  <c r="AL78" i="34"/>
  <c r="AL75" i="34"/>
  <c r="AL73" i="34"/>
  <c r="AR85" i="54"/>
  <c r="AR90" i="54"/>
  <c r="AR87" i="54"/>
  <c r="AU97" i="6"/>
  <c r="AU88" i="6"/>
  <c r="AU93" i="6"/>
  <c r="AU90" i="6"/>
  <c r="Z80" i="1"/>
  <c r="AB80" i="1" s="1"/>
  <c r="Z83" i="1"/>
  <c r="V107" i="1"/>
  <c r="AG100" i="7"/>
  <c r="AG91" i="7"/>
  <c r="AG88" i="7"/>
  <c r="AG95" i="7"/>
  <c r="AG96" i="7" s="1"/>
  <c r="AG94" i="7"/>
  <c r="AG98" i="7"/>
  <c r="AA55" i="9"/>
  <c r="AE55" i="9" s="1"/>
  <c r="AE87" i="9" s="1"/>
  <c r="Y87" i="9"/>
  <c r="AR90" i="26"/>
  <c r="AR92" i="26" s="1"/>
  <c r="AR88" i="26"/>
  <c r="AQ92" i="9"/>
  <c r="AQ90" i="9"/>
  <c r="AQ99" i="9"/>
  <c r="AQ95" i="9"/>
  <c r="X99" i="33"/>
  <c r="X106" i="33"/>
  <c r="I163" i="32"/>
  <c r="I164" i="32" s="1"/>
  <c r="I162" i="32"/>
  <c r="I166" i="32"/>
  <c r="I157" i="32"/>
  <c r="AD154" i="32"/>
  <c r="AD156" i="32" s="1"/>
  <c r="N101" i="86"/>
  <c r="N92" i="86"/>
  <c r="AV92" i="1"/>
  <c r="AV95" i="1" s="1"/>
  <c r="AV97" i="1"/>
  <c r="O89" i="6"/>
  <c r="O87" i="6"/>
  <c r="AR101" i="19"/>
  <c r="AR106" i="19"/>
  <c r="AR104" i="19"/>
  <c r="AA45" i="12"/>
  <c r="AE45" i="12" s="1"/>
  <c r="Y89" i="12"/>
  <c r="Y92" i="12" s="1"/>
  <c r="Y94" i="12"/>
  <c r="AB73" i="34"/>
  <c r="AB78" i="34"/>
  <c r="AB75" i="34"/>
  <c r="M98" i="48"/>
  <c r="Y15" i="33"/>
  <c r="AA15" i="33" s="1"/>
  <c r="AA12" i="33"/>
  <c r="AE12" i="33" s="1"/>
  <c r="AE15" i="33" s="1"/>
  <c r="P90" i="39"/>
  <c r="P95" i="39"/>
  <c r="P92" i="39"/>
  <c r="H90" i="29"/>
  <c r="S163" i="32"/>
  <c r="S164" i="32" s="1"/>
  <c r="S166" i="32"/>
  <c r="S157" i="32"/>
  <c r="S162" i="32"/>
  <c r="AG156" i="32"/>
  <c r="X93" i="29"/>
  <c r="X91" i="29"/>
  <c r="X97" i="29"/>
  <c r="X98" i="29" s="1"/>
  <c r="X96" i="29"/>
  <c r="X23" i="32"/>
  <c r="Z23" i="32" s="1"/>
  <c r="Z18" i="32"/>
  <c r="AD18" i="32" s="1"/>
  <c r="AD23" i="32" s="1"/>
  <c r="AV93" i="39"/>
  <c r="N160" i="85"/>
  <c r="N154" i="85"/>
  <c r="N148" i="85"/>
  <c r="N151" i="85"/>
  <c r="AV98" i="12"/>
  <c r="AV95" i="12"/>
  <c r="AV93" i="12"/>
  <c r="AT106" i="42"/>
  <c r="AT100" i="42"/>
  <c r="AT94" i="42"/>
  <c r="AQ87" i="6"/>
  <c r="AU99" i="9"/>
  <c r="AU95" i="9"/>
  <c r="AU90" i="9"/>
  <c r="AU92" i="9"/>
  <c r="AT107" i="42"/>
  <c r="AQ105" i="33"/>
  <c r="AQ96" i="33"/>
  <c r="AQ102" i="33"/>
  <c r="AQ103" i="33" s="1"/>
  <c r="AQ98" i="33"/>
  <c r="AQ101" i="33"/>
  <c r="V106" i="1"/>
  <c r="V99" i="1"/>
  <c r="V102" i="1"/>
  <c r="V103" i="1"/>
  <c r="V104" i="1" s="1"/>
  <c r="V108" i="1"/>
  <c r="V96" i="1"/>
  <c r="AE97" i="33"/>
  <c r="AH36" i="33"/>
  <c r="AE91" i="33"/>
  <c r="AE95" i="33" s="1"/>
  <c r="Z101" i="41"/>
  <c r="Z92" i="41"/>
  <c r="M103" i="48"/>
  <c r="M97" i="48"/>
  <c r="M101" i="48" s="1"/>
  <c r="AU91" i="6"/>
  <c r="AU98" i="6"/>
  <c r="Z131" i="40"/>
  <c r="Z134" i="40"/>
  <c r="Z129" i="40"/>
  <c r="Z138" i="40"/>
  <c r="Z81" i="1"/>
  <c r="Z84" i="1"/>
  <c r="AR109" i="1"/>
  <c r="M101" i="19"/>
  <c r="M106" i="19"/>
  <c r="M132" i="40"/>
  <c r="M139" i="40"/>
  <c r="AE91" i="9"/>
  <c r="AE85" i="9"/>
  <c r="AE89" i="9" s="1"/>
  <c r="AE21" i="34"/>
  <c r="AJ38" i="33"/>
  <c r="AH76" i="33"/>
  <c r="P113" i="36"/>
  <c r="P125" i="36"/>
  <c r="P123" i="36"/>
  <c r="P119" i="36"/>
  <c r="X101" i="33"/>
  <c r="X105" i="33"/>
  <c r="X96" i="33"/>
  <c r="X102" i="33"/>
  <c r="X103" i="33" s="1"/>
  <c r="X98" i="33"/>
  <c r="P69" i="32"/>
  <c r="P153" i="32" s="1"/>
  <c r="M69" i="32"/>
  <c r="M153" i="32" s="1"/>
  <c r="M90" i="54"/>
  <c r="M87" i="54"/>
  <c r="M85" i="54"/>
  <c r="AY91" i="26"/>
  <c r="AY89" i="26"/>
  <c r="AY95" i="26"/>
  <c r="AY96" i="26" s="1"/>
  <c r="AY94" i="26"/>
  <c r="N94" i="86"/>
  <c r="N100" i="86"/>
  <c r="N91" i="86"/>
  <c r="N88" i="86"/>
  <c r="AN92" i="9"/>
  <c r="AN90" i="9"/>
  <c r="AN99" i="9"/>
  <c r="AN95" i="9"/>
  <c r="W26" i="6"/>
  <c r="W88" i="6"/>
  <c r="V102" i="12"/>
  <c r="V93" i="12"/>
  <c r="V95" i="12"/>
  <c r="AO96" i="1"/>
  <c r="AS94" i="26"/>
  <c r="AS91" i="26"/>
  <c r="AS89" i="26"/>
  <c r="AS95" i="26"/>
  <c r="AS96" i="26" s="1"/>
  <c r="I129" i="40"/>
  <c r="I134" i="40"/>
  <c r="I138" i="40"/>
  <c r="I131" i="40"/>
  <c r="M86" i="29"/>
  <c r="M90" i="29" s="1"/>
  <c r="M72" i="34"/>
  <c r="M74" i="34"/>
  <c r="M76" i="34" s="1"/>
  <c r="AC89" i="7"/>
  <c r="AC87" i="7"/>
  <c r="M120" i="32"/>
  <c r="M154" i="32" s="1"/>
  <c r="Y103" i="45"/>
  <c r="Y102" i="45"/>
  <c r="Y114" i="45"/>
  <c r="Y105" i="45"/>
  <c r="Y108" i="45"/>
  <c r="AN94" i="26"/>
  <c r="AN89" i="26"/>
  <c r="AN95" i="26"/>
  <c r="AN96" i="26" s="1"/>
  <c r="AC76" i="34"/>
  <c r="Y119" i="36"/>
  <c r="Y113" i="36"/>
  <c r="Y125" i="36"/>
  <c r="Y123" i="36"/>
  <c r="AW106" i="42"/>
  <c r="AW100" i="42"/>
  <c r="AW94" i="42"/>
  <c r="AV96" i="39"/>
  <c r="AV97" i="39" s="1"/>
  <c r="AV92" i="39"/>
  <c r="AV90" i="39"/>
  <c r="AV95" i="39"/>
  <c r="AC75" i="34"/>
  <c r="L100" i="84"/>
  <c r="L94" i="84"/>
  <c r="L91" i="84"/>
  <c r="L88" i="84"/>
  <c r="AU93" i="9"/>
  <c r="AU100" i="9"/>
  <c r="AR22" i="1"/>
  <c r="AT17" i="1"/>
  <c r="B110" i="1"/>
  <c r="AX17" i="1"/>
  <c r="Y99" i="33"/>
  <c r="Y106" i="33"/>
  <c r="AN100" i="7"/>
  <c r="AN88" i="7"/>
  <c r="AN95" i="7"/>
  <c r="AN96" i="7" s="1"/>
  <c r="AN94" i="7"/>
  <c r="AN91" i="7"/>
  <c r="AN98" i="7"/>
  <c r="M128" i="40"/>
  <c r="M91" i="7"/>
  <c r="M88" i="7"/>
  <c r="M100" i="7"/>
  <c r="M94" i="7"/>
  <c r="AK98" i="6"/>
  <c r="AK91" i="6"/>
  <c r="AE101" i="42"/>
  <c r="AE102" i="42" s="1"/>
  <c r="AE94" i="42"/>
  <c r="AE100" i="42"/>
  <c r="AE97" i="42"/>
  <c r="AE106" i="42"/>
  <c r="S106" i="45"/>
  <c r="S115" i="45"/>
  <c r="I73" i="34"/>
  <c r="I75" i="34"/>
  <c r="I78" i="34"/>
  <c r="BA97" i="29"/>
  <c r="BA98" i="29" s="1"/>
  <c r="BA96" i="29"/>
  <c r="BA93" i="29"/>
  <c r="BA91" i="29"/>
  <c r="BD97" i="29"/>
  <c r="BD98" i="29" s="1"/>
  <c r="BD96" i="29"/>
  <c r="BD93" i="29"/>
  <c r="BD91" i="29"/>
  <c r="AL162" i="32"/>
  <c r="AL157" i="32"/>
  <c r="AQ96" i="1"/>
  <c r="AQ106" i="1"/>
  <c r="AQ108" i="1"/>
  <c r="AQ102" i="1"/>
  <c r="AQ99" i="1"/>
  <c r="Y89" i="7"/>
  <c r="Y87" i="7"/>
  <c r="AG101" i="41"/>
  <c r="AG92" i="41"/>
  <c r="AW107" i="42"/>
  <c r="AW98" i="42"/>
  <c r="BC109" i="19"/>
  <c r="BC108" i="19"/>
  <c r="BC106" i="19"/>
  <c r="BC111" i="19"/>
  <c r="M101" i="7"/>
  <c r="L101" i="84"/>
  <c r="L92" i="84"/>
  <c r="Z95" i="1"/>
  <c r="AW93" i="9"/>
  <c r="AW100" i="9"/>
  <c r="AN101" i="7"/>
  <c r="P154" i="32"/>
  <c r="AW91" i="33"/>
  <c r="AW95" i="33" s="1"/>
  <c r="AW97" i="33"/>
  <c r="BJ98" i="6" l="1"/>
  <c r="BJ97" i="6"/>
  <c r="AH99" i="9"/>
  <c r="AH90" i="9"/>
  <c r="AH95" i="9"/>
  <c r="AH92" i="9"/>
  <c r="AH100" i="9"/>
  <c r="AH93" i="9"/>
  <c r="M156" i="32"/>
  <c r="P156" i="32"/>
  <c r="M163" i="32"/>
  <c r="M164" i="32" s="1"/>
  <c r="M166" i="32"/>
  <c r="M162" i="32"/>
  <c r="M157" i="32"/>
  <c r="P163" i="32"/>
  <c r="P164" i="32" s="1"/>
  <c r="P162" i="32"/>
  <c r="P166" i="32"/>
  <c r="P157" i="32"/>
  <c r="AD166" i="32"/>
  <c r="AD162" i="32"/>
  <c r="AD163" i="32"/>
  <c r="AD164" i="32" s="1"/>
  <c r="AD157" i="32"/>
  <c r="AW96" i="33"/>
  <c r="AW105" i="33"/>
  <c r="AW102" i="33"/>
  <c r="AW103" i="33" s="1"/>
  <c r="AW101" i="33"/>
  <c r="AW98" i="33"/>
  <c r="Y101" i="7"/>
  <c r="Y92" i="7"/>
  <c r="Y99" i="7"/>
  <c r="AX22" i="1"/>
  <c r="AX96" i="1"/>
  <c r="AE102" i="33"/>
  <c r="AE103" i="33" s="1"/>
  <c r="AE98" i="33"/>
  <c r="AE101" i="33"/>
  <c r="AE96" i="33"/>
  <c r="AE105" i="33"/>
  <c r="AG163" i="32"/>
  <c r="AG164" i="32" s="1"/>
  <c r="AG162" i="32"/>
  <c r="AG157" i="32"/>
  <c r="AG166" i="32"/>
  <c r="Y96" i="12"/>
  <c r="Y103" i="12"/>
  <c r="O91" i="6"/>
  <c r="O98" i="6"/>
  <c r="Y91" i="9"/>
  <c r="Y89" i="9"/>
  <c r="AX101" i="7"/>
  <c r="N101" i="80"/>
  <c r="X157" i="32"/>
  <c r="X163" i="32"/>
  <c r="X164" i="32" s="1"/>
  <c r="X162" i="32"/>
  <c r="X166" i="32"/>
  <c r="M138" i="40"/>
  <c r="M134" i="40"/>
  <c r="M129" i="40"/>
  <c r="M131" i="40"/>
  <c r="AE95" i="9"/>
  <c r="AE92" i="9"/>
  <c r="AE90" i="9"/>
  <c r="AE99" i="9"/>
  <c r="M102" i="48"/>
  <c r="M104" i="48"/>
  <c r="M107" i="48"/>
  <c r="M105" i="48"/>
  <c r="M108" i="48"/>
  <c r="M109" i="48" s="1"/>
  <c r="AH97" i="33"/>
  <c r="AJ36" i="33"/>
  <c r="AH91" i="33"/>
  <c r="AH95" i="33" s="1"/>
  <c r="H96" i="29"/>
  <c r="H91" i="29"/>
  <c r="H93" i="29"/>
  <c r="H97" i="29"/>
  <c r="H98" i="29" s="1"/>
  <c r="Y98" i="12"/>
  <c r="Y99" i="12"/>
  <c r="Y100" i="12" s="1"/>
  <c r="Y95" i="12"/>
  <c r="Y93" i="12"/>
  <c r="Y102" i="12"/>
  <c r="AV109" i="1"/>
  <c r="AV100" i="1"/>
  <c r="AV107" i="1"/>
  <c r="AR95" i="26"/>
  <c r="AR96" i="26" s="1"/>
  <c r="AR94" i="26"/>
  <c r="AR91" i="26"/>
  <c r="AR89" i="26"/>
  <c r="V92" i="39"/>
  <c r="V95" i="39"/>
  <c r="V90" i="39"/>
  <c r="N100" i="80"/>
  <c r="N98" i="80"/>
  <c r="N104" i="80"/>
  <c r="N105" i="80" s="1"/>
  <c r="N103" i="80"/>
  <c r="L75" i="34"/>
  <c r="L78" i="34"/>
  <c r="L73" i="34"/>
  <c r="Z108" i="1"/>
  <c r="Z102" i="1"/>
  <c r="Z103" i="1"/>
  <c r="Z104" i="1" s="1"/>
  <c r="Z99" i="1"/>
  <c r="Z96" i="1"/>
  <c r="Y106" i="45"/>
  <c r="Y115" i="45"/>
  <c r="AC88" i="7"/>
  <c r="AC94" i="7"/>
  <c r="AC91" i="7"/>
  <c r="AC95" i="7"/>
  <c r="AC96" i="7" s="1"/>
  <c r="AC98" i="7"/>
  <c r="AC100" i="7"/>
  <c r="M78" i="34"/>
  <c r="M73" i="34"/>
  <c r="M75" i="34"/>
  <c r="AE93" i="9"/>
  <c r="AE100" i="9"/>
  <c r="AE99" i="33"/>
  <c r="AE106" i="33"/>
  <c r="AE89" i="12"/>
  <c r="AE92" i="12" s="1"/>
  <c r="AE94" i="12"/>
  <c r="AV108" i="1"/>
  <c r="AV106" i="1"/>
  <c r="AV102" i="1"/>
  <c r="AV99" i="1"/>
  <c r="AV96" i="1"/>
  <c r="Z109" i="1"/>
  <c r="AQ157" i="32"/>
  <c r="AQ162" i="32"/>
  <c r="AW99" i="33"/>
  <c r="AW106" i="33"/>
  <c r="Y100" i="7"/>
  <c r="Y94" i="7"/>
  <c r="Y98" i="7"/>
  <c r="Y91" i="7"/>
  <c r="Y88" i="7"/>
  <c r="Y95" i="7"/>
  <c r="Y96" i="7" s="1"/>
  <c r="AT22" i="1"/>
  <c r="AC101" i="7"/>
  <c r="AC99" i="7"/>
  <c r="AC92" i="7"/>
  <c r="M93" i="29"/>
  <c r="M96" i="29"/>
  <c r="M91" i="29"/>
  <c r="M97" i="29"/>
  <c r="M98" i="29" s="1"/>
  <c r="AB81" i="1"/>
  <c r="AF81" i="1" s="1"/>
  <c r="AF106" i="1" s="1"/>
  <c r="AQ88" i="6"/>
  <c r="AQ90" i="6"/>
  <c r="AQ97" i="6"/>
  <c r="AQ93" i="6"/>
  <c r="O88" i="6"/>
  <c r="O97" i="6"/>
  <c r="O93" i="6"/>
  <c r="O90" i="6"/>
  <c r="AX95" i="7"/>
  <c r="AX96" i="7" s="1"/>
  <c r="AX88" i="7"/>
  <c r="AX100" i="7"/>
  <c r="AX91" i="7"/>
  <c r="AX94" i="7"/>
  <c r="AO18" i="32"/>
  <c r="AM23" i="32"/>
  <c r="AO23" i="32" s="1"/>
  <c r="AM157" i="32"/>
  <c r="AV157" i="32"/>
  <c r="AV162" i="32"/>
  <c r="AW94" i="26"/>
  <c r="AW91" i="26"/>
  <c r="AW95" i="26"/>
  <c r="AW96" i="26" s="1"/>
  <c r="AW89" i="26"/>
  <c r="R115" i="45"/>
  <c r="R106" i="45"/>
  <c r="AE96" i="12" l="1"/>
  <c r="AE103" i="12"/>
  <c r="AH98" i="33"/>
  <c r="AH101" i="33"/>
  <c r="AH102" i="33"/>
  <c r="AH103" i="33" s="1"/>
  <c r="AH96" i="33"/>
  <c r="AH105" i="33"/>
  <c r="AE95" i="12"/>
  <c r="AE102" i="12"/>
  <c r="AE93" i="12"/>
  <c r="Y92" i="9"/>
  <c r="Y90" i="9"/>
  <c r="Y95" i="9"/>
  <c r="Y99" i="9"/>
  <c r="AH99" i="33"/>
  <c r="AH106" i="33"/>
  <c r="Y93" i="9"/>
  <c r="Y10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tc={DFDA9E4F-4188-45C7-A1A1-51D53E20BE7E}</author>
    <author>tc={F987B160-743A-47ED-A6F7-0C33D56468C4}</author>
    <author>tc={D06C5CE8-BB55-42FC-9DC0-61DC9874A995}</author>
    <author>tc={55D0DBAA-0B60-429B-A163-A48CA12DA032}</author>
    <author>tc={DAF37DF6-3BA7-4487-8E48-7BB3832CA4E5}</author>
    <author>tc={0F13AB49-463A-4A2F-A391-B1787AF02FBF}</author>
  </authors>
  <commentList>
    <comment ref="B23" authorId="0" shapeId="0" xr:uid="{DFDA9E4F-4188-45C7-A1A1-51D53E20BE7E}">
      <text>
        <t>[Threaded comment]
Your version of Excel allows you to read this threaded comment; however, any edits to it will get removed if the file is opened in a newer version of Excel. Learn more: https://go.microsoft.com/fwlink/?linkid=870924
Comment:
    CHECK line 18 - treasury operations not debt service??</t>
      </text>
    </comment>
    <comment ref="K52" authorId="1" shapeId="0" xr:uid="{F987B160-743A-47ED-A6F7-0C33D56468C4}">
      <text>
        <t>[Threaded comment]
Your version of Excel allows you to read this threaded comment; however, any edits to it will get removed if the file is opened in a newer version of Excel. Learn more: https://go.microsoft.com/fwlink/?linkid=870924
Comment:
    not correctly calculated</t>
      </text>
    </comment>
    <comment ref="U52" authorId="2" shapeId="0" xr:uid="{D06C5CE8-BB55-42FC-9DC0-61DC9874A995}">
      <text>
        <t>[Threaded comment]
Your version of Excel allows you to read this threaded comment; however, any edits to it will get removed if the file is opened in a newer version of Excel. Learn more: https://go.microsoft.com/fwlink/?linkid=870924
Comment:
    not correctly calculated</t>
      </text>
    </comment>
    <comment ref="AE52" authorId="3" shapeId="0" xr:uid="{55D0DBAA-0B60-429B-A163-A48CA12DA032}">
      <text>
        <t>[Threaded comment]
Your version of Excel allows you to read this threaded comment; however, any edits to it will get removed if the file is opened in a newer version of Excel. Learn more: https://go.microsoft.com/fwlink/?linkid=870924
Comment:
    not correctly calculated</t>
      </text>
    </comment>
    <comment ref="B57" authorId="4" shapeId="0" xr:uid="{DAF37DF6-3BA7-4487-8E48-7BB3832CA4E5}">
      <text>
        <t>[Threaded comment]
Your version of Excel allows you to read this threaded comment; however, any edits to it will get removed if the file is opened in a newer version of Excel. Learn more: https://go.microsoft.com/fwlink/?linkid=870924
Comment:
    2017 and 2018 actuals are identical</t>
      </text>
    </comment>
    <comment ref="B58" authorId="5" shapeId="0" xr:uid="{0F13AB49-463A-4A2F-A391-B1787AF02FBF}">
      <text>
        <t>[Threaded comment]
Your version of Excel allows you to read this threaded comment; however, any edits to it will get removed if the file is opened in a newer version of Excel. Learn more: https://go.microsoft.com/fwlink/?linkid=870924
Comment:
    Recurrent expenditures (total) calculated wrong</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S12" authorId="0" shapeId="0" xr:uid="{23BD21BC-2AF1-493A-916F-FF965C10E227}">
      <text>
        <r>
          <rPr>
            <b/>
            <sz val="9"/>
            <color indexed="81"/>
            <rFont val="Tahoma"/>
            <family val="2"/>
          </rPr>
          <t>Auteur:</t>
        </r>
        <r>
          <rPr>
            <sz val="9"/>
            <color indexed="81"/>
            <rFont val="Tahoma"/>
            <family val="2"/>
          </rPr>
          <t xml:space="preserve">
La LFR donne plutôt une valeur de 874 826 ce qui donne un  total plus proche que celui inscrit dans le REB : que conserver?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tc={288EE0AC-0CE8-42EB-83B9-E37BB2EAADC8}</author>
  </authors>
  <commentList>
    <comment ref="G74" authorId="0" shapeId="0" xr:uid="{288EE0AC-0CE8-42EB-83B9-E37BB2EAADC8}">
      <text>
        <t>[Threaded comment]
Your version of Excel allows you to read this threaded comment; however, any edits to it will get removed if the file is opened in a newer version of Excel. Learn more: https://go.microsoft.com/fwlink/?linkid=870924
Comment:
    ESTIMATED - based on execution rate 2018</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VSuch</author>
    <author>Serge PEANO</author>
    <author>tc={306D300E-AA97-4267-838B-ACF179AA4F9D}</author>
  </authors>
  <commentList>
    <comment ref="AC22" authorId="0" shapeId="0" xr:uid="{758332A5-D6B1-43F6-BF66-E6D93A2A24AF}">
      <text>
        <r>
          <rPr>
            <b/>
            <sz val="9"/>
            <color indexed="81"/>
            <rFont val="Tahoma"/>
            <family val="2"/>
          </rPr>
          <t>Vsuch 20-Mar-2019:</t>
        </r>
        <r>
          <rPr>
            <sz val="9"/>
            <color indexed="81"/>
            <rFont val="Tahoma"/>
            <family val="2"/>
          </rPr>
          <t xml:space="preserve">
"Amortissement dette" is called in the LF, A2 "Titre 1 Charges financières de la dette", this seems to be interests instead of capital</t>
        </r>
      </text>
    </comment>
    <comment ref="AC34" authorId="0" shapeId="0" xr:uid="{EBE3FA02-C514-4BD0-AB67-9F01534C583F}">
      <text>
        <r>
          <rPr>
            <b/>
            <sz val="9"/>
            <color indexed="81"/>
            <rFont val="Tahoma"/>
            <family val="2"/>
          </rPr>
          <t>VSuch:</t>
        </r>
        <r>
          <rPr>
            <sz val="9"/>
            <color indexed="81"/>
            <rFont val="Tahoma"/>
            <family val="2"/>
          </rPr>
          <t>Substraction: code 61 - investissement</t>
        </r>
      </text>
    </comment>
    <comment ref="AC35" authorId="0" shapeId="0" xr:uid="{A4238D82-5450-4D75-8FBA-13955EA4FA81}">
      <text>
        <r>
          <rPr>
            <b/>
            <sz val="9"/>
            <color indexed="81"/>
            <rFont val="Tahoma"/>
            <family val="2"/>
          </rPr>
          <t>VSuch:</t>
        </r>
        <r>
          <rPr>
            <sz val="9"/>
            <color indexed="81"/>
            <rFont val="Tahoma"/>
            <family val="2"/>
          </rPr>
          <t>Code 61.Investissement</t>
        </r>
      </text>
    </comment>
    <comment ref="AC37" authorId="0" shapeId="0" xr:uid="{B6D00451-3445-4705-90A4-19564EE50125}">
      <text>
        <r>
          <rPr>
            <b/>
            <sz val="9"/>
            <color indexed="81"/>
            <rFont val="Tahoma"/>
            <family val="2"/>
          </rPr>
          <t xml:space="preserve">VSuch: </t>
        </r>
        <r>
          <rPr>
            <sz val="9"/>
            <color indexed="81"/>
            <rFont val="Tahoma"/>
            <family val="2"/>
          </rPr>
          <t>Code 68</t>
        </r>
      </text>
    </comment>
    <comment ref="AC38" authorId="0" shapeId="0" xr:uid="{3B0F25AD-8A73-4DFA-BDEC-6F13D4822EA2}">
      <text>
        <r>
          <rPr>
            <b/>
            <sz val="9"/>
            <color indexed="81"/>
            <rFont val="Tahoma"/>
            <family val="2"/>
          </rPr>
          <t>VSuch:</t>
        </r>
        <r>
          <rPr>
            <sz val="9"/>
            <color indexed="81"/>
            <rFont val="Tahoma"/>
            <family val="2"/>
          </rPr>
          <t>Code 68. Investissement</t>
        </r>
      </text>
    </comment>
    <comment ref="AC40" authorId="0" shapeId="0" xr:uid="{21CA19A0-07F2-43EB-9554-E0E93FBA3B0A}">
      <text>
        <r>
          <rPr>
            <b/>
            <sz val="9"/>
            <color indexed="81"/>
            <rFont val="Tahoma"/>
            <family val="2"/>
          </rPr>
          <t>VSuch:</t>
        </r>
        <r>
          <rPr>
            <sz val="9"/>
            <color indexed="81"/>
            <rFont val="Tahoma"/>
            <family val="2"/>
          </rPr>
          <t>Code 62</t>
        </r>
      </text>
    </comment>
    <comment ref="AQ40" authorId="1" shapeId="0" xr:uid="{2F155D44-C2AC-4580-9995-4C937B1DBFCC}">
      <text>
        <r>
          <rPr>
            <b/>
            <sz val="9"/>
            <color indexed="81"/>
            <rFont val="Tahoma"/>
            <family val="2"/>
          </rPr>
          <t xml:space="preserve">Bourses étudiants non versées
</t>
        </r>
        <r>
          <rPr>
            <sz val="9"/>
            <color indexed="81"/>
            <rFont val="Tahoma"/>
            <family val="2"/>
          </rPr>
          <t xml:space="preserve">
</t>
        </r>
      </text>
    </comment>
    <comment ref="AC41" authorId="0" shapeId="0" xr:uid="{A85F2ED5-44F0-4D28-8DCB-090C6266FFF9}">
      <text>
        <r>
          <rPr>
            <b/>
            <sz val="9"/>
            <color indexed="81"/>
            <rFont val="Tahoma"/>
            <family val="2"/>
          </rPr>
          <t>VSuch:</t>
        </r>
        <r>
          <rPr>
            <sz val="9"/>
            <color indexed="81"/>
            <rFont val="Tahoma"/>
            <family val="2"/>
          </rPr>
          <t>Code 62. Investissement</t>
        </r>
      </text>
    </comment>
    <comment ref="AQ82" authorId="2" shapeId="0" xr:uid="{306D300E-AA97-4267-838B-ACF179AA4F9D}">
      <text>
        <t>[Threaded comment]
Your version of Excel allows you to read this threaded comment; however, any edits to it will get removed if the file is opened in a newer version of Excel. Learn more: https://go.microsoft.com/fwlink/?linkid=870924
Comment:
    I inserted this figure (cell was blank)</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Jerbi, Imededdine</author>
  </authors>
  <commentList>
    <comment ref="P37" authorId="0" shapeId="0" xr:uid="{511092FD-14AE-4163-97BB-0E64AD850CC6}">
      <text>
        <r>
          <rPr>
            <b/>
            <sz val="9"/>
            <color indexed="81"/>
            <rFont val="Tahoma"/>
            <family val="2"/>
          </rPr>
          <t>Jerbi, Imededdine:</t>
        </r>
        <r>
          <rPr>
            <sz val="9"/>
            <color indexed="81"/>
            <rFont val="Tahoma"/>
            <family val="2"/>
          </rPr>
          <t xml:space="preserve">
Estimation basée sur la part des dépenses du tertiaire, selon la soumission du QB pour l’année de référence 2010.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ny_fall</author>
  </authors>
  <commentList>
    <comment ref="AG32" authorId="0" shapeId="0" xr:uid="{00000000-0006-0000-0B00-000001000000}">
      <text>
        <r>
          <rPr>
            <b/>
            <sz val="9"/>
            <color indexed="81"/>
            <rFont val="Tahoma"/>
            <family val="2"/>
          </rPr>
          <t>ny_fall:</t>
        </r>
        <r>
          <rPr>
            <sz val="9"/>
            <color indexed="81"/>
            <rFont val="Tahoma"/>
            <family val="2"/>
          </rPr>
          <t xml:space="preserve">
Including captial for 2018
Vérifié SP capital déduit</t>
        </r>
      </text>
    </comment>
    <comment ref="AG34" authorId="0" shapeId="0" xr:uid="{00000000-0006-0000-0B00-000002000000}">
      <text>
        <r>
          <rPr>
            <b/>
            <sz val="9"/>
            <color indexed="81"/>
            <rFont val="Tahoma"/>
            <family val="2"/>
          </rPr>
          <t>ny_fall:</t>
        </r>
        <r>
          <rPr>
            <sz val="9"/>
            <color indexed="81"/>
            <rFont val="Tahoma"/>
            <family val="2"/>
          </rPr>
          <t xml:space="preserve">
Including capital for 2018
</t>
        </r>
      </text>
    </comment>
    <comment ref="AG36" authorId="0" shapeId="0" xr:uid="{00000000-0006-0000-0B00-000003000000}">
      <text>
        <r>
          <rPr>
            <b/>
            <sz val="9"/>
            <color indexed="81"/>
            <rFont val="Tahoma"/>
            <family val="2"/>
          </rPr>
          <t>ny_fall:</t>
        </r>
        <r>
          <rPr>
            <sz val="9"/>
            <color indexed="81"/>
            <rFont val="Tahoma"/>
            <family val="2"/>
          </rPr>
          <t xml:space="preserve">
Including captial for 2018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uis-admin</author>
    <author>Auteur</author>
    <author>Maurice Njipkap</author>
  </authors>
  <commentList>
    <comment ref="AR12" authorId="0" shapeId="0" xr:uid="{00000000-0006-0000-0E00-000001000000}">
      <text>
        <r>
          <rPr>
            <b/>
            <sz val="9"/>
            <color indexed="81"/>
            <rFont val="Tahoma"/>
            <family val="2"/>
          </rPr>
          <t>uis-admin:</t>
        </r>
        <r>
          <rPr>
            <sz val="9"/>
            <color indexed="81"/>
            <rFont val="Tahoma"/>
            <family val="2"/>
          </rPr>
          <t xml:space="preserve">
I have used the 2016 implementation rate (79.6%)</t>
        </r>
      </text>
    </comment>
    <comment ref="T13" authorId="1" shapeId="0" xr:uid="{00000000-0006-0000-0E00-000002000000}">
      <text>
        <r>
          <rPr>
            <b/>
            <sz val="9"/>
            <color indexed="81"/>
            <rFont val="Tahoma"/>
            <family val="2"/>
          </rPr>
          <t>Auteur:</t>
        </r>
        <r>
          <rPr>
            <sz val="9"/>
            <color indexed="81"/>
            <rFont val="Tahoma"/>
            <family val="2"/>
          </rPr>
          <t xml:space="preserve">
only info available is the amount of grants and loan spent
</t>
        </r>
      </text>
    </comment>
    <comment ref="AR15" authorId="0" shapeId="0" xr:uid="{00000000-0006-0000-0E00-000003000000}">
      <text>
        <r>
          <rPr>
            <b/>
            <sz val="9"/>
            <color indexed="81"/>
            <rFont val="Tahoma"/>
            <family val="2"/>
          </rPr>
          <t>uis-admin:</t>
        </r>
        <r>
          <rPr>
            <sz val="9"/>
            <color indexed="81"/>
            <rFont val="Tahoma"/>
            <family val="2"/>
          </rPr>
          <t xml:space="preserve">
I have used the 2016 implementation rate (57.5%)</t>
        </r>
      </text>
    </comment>
    <comment ref="T19" authorId="1" shapeId="0" xr:uid="{00000000-0006-0000-0E00-000004000000}">
      <text>
        <r>
          <rPr>
            <b/>
            <sz val="9"/>
            <color indexed="81"/>
            <rFont val="Tahoma"/>
            <family val="2"/>
          </rPr>
          <t>Auteur:</t>
        </r>
        <r>
          <rPr>
            <sz val="9"/>
            <color indexed="81"/>
            <rFont val="Tahoma"/>
            <family val="2"/>
          </rPr>
          <t xml:space="preserve">
expenditure overview mentions 0. 
</t>
        </r>
      </text>
    </comment>
    <comment ref="AW24" authorId="2" shapeId="0" xr:uid="{6C2EF286-3CAD-4F89-B9EF-3F2A4300856A}">
      <text>
        <r>
          <rPr>
            <b/>
            <sz val="9"/>
            <color indexed="81"/>
            <rFont val="Tahoma"/>
            <family val="2"/>
          </rPr>
          <t>Maurice Njipkap:</t>
        </r>
        <r>
          <rPr>
            <sz val="9"/>
            <color indexed="81"/>
            <rFont val="Tahoma"/>
            <family val="2"/>
          </rPr>
          <t xml:space="preserve">
Je n'ai pas les buget approve de 2018 pour verifier les chiffres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Shilpa Challa</author>
    <author>Yuri Borovsky</author>
  </authors>
  <commentList>
    <comment ref="I25" authorId="0" shapeId="0" xr:uid="{00000000-0006-0000-0F00-000001000000}">
      <text>
        <r>
          <rPr>
            <b/>
            <sz val="9"/>
            <color indexed="81"/>
            <rFont val="Calibri"/>
            <family val="2"/>
          </rPr>
          <t>Shilpa Challa:</t>
        </r>
        <r>
          <rPr>
            <sz val="9"/>
            <color indexed="81"/>
            <rFont val="Calibri"/>
            <family val="2"/>
          </rPr>
          <t xml:space="preserve">
Compensation of employee data from Budget Appendix Tables 2015 Appendix 2c</t>
        </r>
      </text>
    </comment>
    <comment ref="T27" authorId="1" shapeId="0" xr:uid="{00000000-0006-0000-0F00-000002000000}">
      <text>
        <r>
          <rPr>
            <b/>
            <sz val="9"/>
            <color indexed="81"/>
            <rFont val="Tahoma"/>
            <family val="2"/>
          </rPr>
          <t>Yuri Borovsky:</t>
        </r>
        <r>
          <rPr>
            <sz val="9"/>
            <color indexed="81"/>
            <rFont val="Tahoma"/>
            <family val="2"/>
          </rPr>
          <t xml:space="preserve">
Social contributions. This seems to more in line with previous data, rather than pensions alone.</t>
        </r>
      </text>
    </comment>
    <comment ref="T31" authorId="1" shapeId="0" xr:uid="{00000000-0006-0000-0F00-000003000000}">
      <text>
        <r>
          <rPr>
            <b/>
            <sz val="9"/>
            <color indexed="81"/>
            <rFont val="Tahoma"/>
            <family val="2"/>
          </rPr>
          <t>Yuri Borovsky:</t>
        </r>
        <r>
          <rPr>
            <sz val="9"/>
            <color indexed="81"/>
            <rFont val="Tahoma"/>
            <family val="2"/>
          </rPr>
          <t xml:space="preserve">
Also counted in rows 36 and 37 below</t>
        </r>
      </text>
    </comment>
    <comment ref="H36" authorId="0" shapeId="0" xr:uid="{00000000-0006-0000-0F00-000004000000}">
      <text>
        <r>
          <rPr>
            <b/>
            <sz val="9"/>
            <color indexed="81"/>
            <rFont val="Calibri"/>
            <family val="2"/>
          </rPr>
          <t>Shilpa Challa:</t>
        </r>
        <r>
          <rPr>
            <sz val="9"/>
            <color indexed="81"/>
            <rFont val="Calibri"/>
            <family val="2"/>
          </rPr>
          <t xml:space="preserve">
Page 25 of 2016 Budget Appendix</t>
        </r>
      </text>
    </comment>
    <comment ref="I36" authorId="0" shapeId="0" xr:uid="{00000000-0006-0000-0F00-000005000000}">
      <text>
        <r>
          <rPr>
            <b/>
            <sz val="9"/>
            <color indexed="81"/>
            <rFont val="Calibri"/>
            <family val="2"/>
          </rPr>
          <t>Shilpa Challa:</t>
        </r>
        <r>
          <rPr>
            <sz val="9"/>
            <color indexed="81"/>
            <rFont val="Calibri"/>
            <family val="2"/>
          </rPr>
          <t xml:space="preserve">
Page 25 2016 Budget Appendix. Used 2015 Jan-December Outturn</t>
        </r>
      </text>
    </comment>
    <comment ref="M36" authorId="0" shapeId="0" xr:uid="{00000000-0006-0000-0F00-000006000000}">
      <text>
        <r>
          <rPr>
            <b/>
            <sz val="9"/>
            <color indexed="81"/>
            <rFont val="Calibri"/>
            <family val="2"/>
          </rPr>
          <t>Shilpa Challa:</t>
        </r>
        <r>
          <rPr>
            <sz val="9"/>
            <color indexed="81"/>
            <rFont val="Calibri"/>
            <family val="2"/>
          </rPr>
          <t xml:space="preserve">
Outturn projections. Page 25 of 2016 Budget Appendix</t>
        </r>
      </text>
    </comment>
    <comment ref="I64" authorId="0" shapeId="0" xr:uid="{00000000-0006-0000-0F00-000007000000}">
      <text>
        <r>
          <rPr>
            <b/>
            <sz val="9"/>
            <color indexed="81"/>
            <rFont val="Calibri"/>
            <family val="2"/>
          </rPr>
          <t>Shilpa Challa:</t>
        </r>
        <r>
          <rPr>
            <sz val="9"/>
            <color indexed="81"/>
            <rFont val="Calibri"/>
            <family val="2"/>
          </rPr>
          <t xml:space="preserve">
Not sure about this number. It is from Appendix 2c of Budget Appendix Table 2015.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VSuch</author>
  </authors>
  <commentList>
    <comment ref="AN20" authorId="0" shapeId="0" xr:uid="{0486B3D7-E3FA-4B74-B18F-6A9C9993D63A}">
      <text>
        <r>
          <rPr>
            <b/>
            <sz val="9"/>
            <color indexed="81"/>
            <rFont val="Tahoma"/>
            <family val="2"/>
          </rPr>
          <t>VSuch:</t>
        </r>
        <r>
          <rPr>
            <sz val="9"/>
            <color indexed="81"/>
            <rFont val="Tahoma"/>
            <family val="2"/>
          </rPr>
          <t xml:space="preserve">
"Depenses d'investissement", comprised by "Immobilisations non financières" and "Immobilisationis financières".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Serge PEANO</author>
    <author>Author</author>
  </authors>
  <commentList>
    <comment ref="AP10" authorId="0" shapeId="0" xr:uid="{00000000-0006-0000-1100-000001000000}">
      <text>
        <r>
          <rPr>
            <sz val="9"/>
            <color indexed="81"/>
            <rFont val="Tahoma"/>
            <family val="2"/>
          </rPr>
          <t>In this column, better to use implementation rate</t>
        </r>
      </text>
    </comment>
    <comment ref="L24" authorId="1" shapeId="0" xr:uid="{00000000-0006-0000-1100-000002000000}">
      <text>
        <r>
          <rPr>
            <b/>
            <sz val="9"/>
            <color indexed="81"/>
            <rFont val="Tahoma"/>
            <family val="2"/>
          </rPr>
          <t>Author:</t>
        </r>
        <r>
          <rPr>
            <sz val="9"/>
            <color indexed="81"/>
            <rFont val="Tahoma"/>
            <family val="2"/>
          </rPr>
          <t xml:space="preserve">
This is only line 611 and missing 6011 as indicated in the note in column X:X</t>
        </r>
      </text>
    </comment>
    <comment ref="L34" authorId="1" shapeId="0" xr:uid="{00000000-0006-0000-1100-000003000000}">
      <text>
        <r>
          <rPr>
            <b/>
            <sz val="9"/>
            <color indexed="81"/>
            <rFont val="Tahoma"/>
            <family val="2"/>
          </rPr>
          <t>Author:</t>
        </r>
        <r>
          <rPr>
            <sz val="9"/>
            <color indexed="81"/>
            <rFont val="Tahoma"/>
            <family val="2"/>
          </rPr>
          <t xml:space="preserve">
Includes Youth which was not deducted below
Corrected during 2017 exercise: double counting capital expenditures.</t>
        </r>
      </text>
    </comment>
    <comment ref="L39" authorId="1" shapeId="0" xr:uid="{00000000-0006-0000-1100-000004000000}">
      <text>
        <r>
          <rPr>
            <b/>
            <sz val="9"/>
            <color indexed="81"/>
            <rFont val="Tahoma"/>
            <family val="2"/>
          </rPr>
          <t>Author:</t>
        </r>
        <r>
          <rPr>
            <sz val="9"/>
            <color indexed="81"/>
            <rFont val="Tahoma"/>
            <family val="2"/>
          </rPr>
          <t xml:space="preserve">
ERROR: Double counted capital exp already in Appropriated Exp.
DONE in 2017: Removed deduction of 108083 and capital 50235 for Programme 408 - Youth</t>
        </r>
      </text>
    </comment>
    <comment ref="L47" authorId="1" shapeId="0" xr:uid="{00000000-0006-0000-1100-000005000000}">
      <text>
        <r>
          <rPr>
            <b/>
            <sz val="9"/>
            <color indexed="81"/>
            <rFont val="Tahoma"/>
            <family val="2"/>
          </rPr>
          <t>Author:</t>
        </r>
        <r>
          <rPr>
            <sz val="9"/>
            <color indexed="81"/>
            <rFont val="Tahoma"/>
            <family val="2"/>
          </rPr>
          <t xml:space="preserve">
ERROR: Double counted capital exp already in Appropriated Exp.</t>
        </r>
      </text>
    </comment>
    <comment ref="O52" authorId="1" shapeId="0" xr:uid="{00000000-0006-0000-1100-000006000000}">
      <text>
        <r>
          <rPr>
            <b/>
            <sz val="9"/>
            <color indexed="81"/>
            <rFont val="Tahoma"/>
            <family val="2"/>
          </rPr>
          <t>Author:</t>
        </r>
        <r>
          <rPr>
            <sz val="9"/>
            <color indexed="81"/>
            <rFont val="Tahoma"/>
            <family val="2"/>
          </rPr>
          <t xml:space="preserve">
Following the method used for other 266784 (PDF p865) minus salaries (89718) to be added in section below. </t>
        </r>
      </text>
    </comment>
    <comment ref="P52" authorId="1" shapeId="0" xr:uid="{00000000-0006-0000-1100-000007000000}">
      <text>
        <r>
          <rPr>
            <b/>
            <sz val="9"/>
            <color indexed="81"/>
            <rFont val="Tahoma"/>
            <family val="2"/>
          </rPr>
          <t>Author:</t>
        </r>
        <r>
          <rPr>
            <sz val="9"/>
            <color indexed="81"/>
            <rFont val="Tahoma"/>
            <family val="2"/>
          </rPr>
          <t xml:space="preserve">
Recurrent is 300007
Salaries 119127</t>
        </r>
      </text>
    </comment>
    <comment ref="T52" authorId="1" shapeId="0" xr:uid="{00000000-0006-0000-1100-000008000000}">
      <text>
        <r>
          <rPr>
            <b/>
            <sz val="9"/>
            <color indexed="81"/>
            <rFont val="Tahoma"/>
            <family val="2"/>
          </rPr>
          <t>Author:</t>
        </r>
        <r>
          <rPr>
            <sz val="9"/>
            <color indexed="81"/>
            <rFont val="Tahoma"/>
            <family val="2"/>
          </rPr>
          <t xml:space="preserve">
Recurrent 336876
Salaries 135.956</t>
        </r>
      </text>
    </comment>
    <comment ref="Z52" authorId="1" shapeId="0" xr:uid="{00000000-0006-0000-1100-000009000000}">
      <text>
        <r>
          <rPr>
            <b/>
            <sz val="9"/>
            <color indexed="81"/>
            <rFont val="Tahoma"/>
            <family val="2"/>
          </rPr>
          <t>Author:</t>
        </r>
        <r>
          <rPr>
            <sz val="9"/>
            <color indexed="81"/>
            <rFont val="Tahoma"/>
            <family val="2"/>
          </rPr>
          <t xml:space="preserve">
Following the method used for other 266784 (PDF p865) minus salaries (89718) to be added in section below. </t>
        </r>
      </text>
    </comment>
    <comment ref="AA52" authorId="1" shapeId="0" xr:uid="{00000000-0006-0000-1100-00000A000000}">
      <text>
        <r>
          <rPr>
            <b/>
            <sz val="9"/>
            <color indexed="81"/>
            <rFont val="Tahoma"/>
            <family val="2"/>
          </rPr>
          <t>Author:</t>
        </r>
        <r>
          <rPr>
            <sz val="9"/>
            <color indexed="81"/>
            <rFont val="Tahoma"/>
            <family val="2"/>
          </rPr>
          <t xml:space="preserve">
Recurrent is 300007
Salaries 119127</t>
        </r>
      </text>
    </comment>
    <comment ref="L76" authorId="1" shapeId="0" xr:uid="{00000000-0006-0000-1100-00000B000000}">
      <text>
        <r>
          <rPr>
            <b/>
            <sz val="9"/>
            <color indexed="81"/>
            <rFont val="Tahoma"/>
            <family val="2"/>
          </rPr>
          <t>Author:</t>
        </r>
        <r>
          <rPr>
            <sz val="9"/>
            <color indexed="81"/>
            <rFont val="Tahoma"/>
            <family val="2"/>
          </rPr>
          <t xml:space="preserve">
Error: the +1019519 is 2015 Actual, not budget, which is 1094184</t>
        </r>
      </text>
    </comment>
    <comment ref="L89" authorId="1" shapeId="0" xr:uid="{00000000-0006-0000-1100-00000C000000}">
      <text>
        <r>
          <rPr>
            <b/>
            <sz val="9"/>
            <color indexed="81"/>
            <rFont val="Tahoma"/>
            <family val="2"/>
          </rPr>
          <t>Author:</t>
        </r>
        <r>
          <rPr>
            <sz val="9"/>
            <color indexed="81"/>
            <rFont val="Tahoma"/>
            <family val="2"/>
          </rPr>
          <t xml:space="preserve">
Capital expenditure is being double conuted (already included in the Appropriated expenditure), see 2017 excercise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Jerbi, Imededdine</author>
  </authors>
  <commentList>
    <comment ref="L81" authorId="0" shapeId="0" xr:uid="{00000000-0006-0000-1400-000001000000}">
      <text>
        <r>
          <rPr>
            <b/>
            <sz val="9"/>
            <color indexed="81"/>
            <rFont val="Tahoma"/>
            <family val="2"/>
          </rPr>
          <t>Jerbi, Imededdine:</t>
        </r>
        <r>
          <rPr>
            <sz val="9"/>
            <color indexed="81"/>
            <rFont val="Tahoma"/>
            <family val="2"/>
          </rPr>
          <t xml:space="preserve">
see page 5 of recurrent budget 2016:4,133,600,000 for dept educ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Yuri Borovsky</author>
  </authors>
  <commentList>
    <comment ref="O13" authorId="0" shapeId="0" xr:uid="{369778A7-D3A4-4A9A-9360-485F306A1839}">
      <text>
        <r>
          <rPr>
            <b/>
            <sz val="9"/>
            <color indexed="81"/>
            <rFont val="Tahoma"/>
            <family val="2"/>
          </rPr>
          <t>Yuri Borovsky:</t>
        </r>
        <r>
          <rPr>
            <sz val="9"/>
            <color indexed="81"/>
            <rFont val="Tahoma"/>
            <family val="2"/>
          </rPr>
          <t xml:space="preserve">
"Development Grants plus Domestic Resources to Development Budget"</t>
        </r>
      </text>
    </comment>
    <comment ref="P17" authorId="0" shapeId="0" xr:uid="{A6FB11E0-FE86-4612-98CB-AC8365946F7D}">
      <text>
        <r>
          <rPr>
            <b/>
            <sz val="9"/>
            <color indexed="81"/>
            <rFont val="Tahoma"/>
            <family val="2"/>
          </rPr>
          <t>Yuri Borovsky:</t>
        </r>
        <r>
          <rPr>
            <sz val="9"/>
            <color indexed="81"/>
            <rFont val="Tahoma"/>
            <family val="2"/>
          </rPr>
          <t xml:space="preserve">
Different from the total on page 85</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tc={0DC0147B-9000-40F3-8531-39642B68C6B7}</author>
    <author>Serge PEANO</author>
  </authors>
  <commentList>
    <comment ref="F23" authorId="0" shapeId="0" xr:uid="{0DC0147B-9000-40F3-8531-39642B68C6B7}">
      <text>
        <t>[Threaded comment]
Your version of Excel allows you to read this threaded comment; however, any edits to it will get removed if the file is opened in a newer version of Excel. Learn more: https://go.microsoft.com/fwlink/?linkid=870924
Comment:
    Total excluding DS - inconsistent with the other columns.</t>
      </text>
    </comment>
    <comment ref="O73" authorId="1" shapeId="0" xr:uid="{DDAECFE7-7069-41AA-9942-F8777F2650AA}">
      <text>
        <r>
          <rPr>
            <b/>
            <sz val="9"/>
            <color indexed="81"/>
            <rFont val="Tahoma"/>
            <family val="2"/>
          </rPr>
          <t>Serge PEANO:</t>
        </r>
        <r>
          <rPr>
            <sz val="9"/>
            <color indexed="81"/>
            <rFont val="Tahoma"/>
            <family val="2"/>
          </rPr>
          <t xml:space="preserve">
Formule corrigée ; elle comprenait les dépenses locales  qui étaient ainsi comptées 2 fois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Serge PEANO</author>
  </authors>
  <commentList>
    <comment ref="AE26" authorId="0" shapeId="0" xr:uid="{00000000-0006-0000-1600-000001000000}">
      <text>
        <r>
          <rPr>
            <b/>
            <sz val="9"/>
            <color indexed="81"/>
            <rFont val="Tahoma"/>
            <family val="2"/>
          </rPr>
          <t>Serge PEANO:</t>
        </r>
        <r>
          <rPr>
            <sz val="9"/>
            <color indexed="81"/>
            <rFont val="Tahoma"/>
            <family val="2"/>
          </rPr>
          <t xml:space="preserve">
Draft Budget 2018-19, page 41 
Only Civil Pensions &amp; Gratuities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Shilpa Challa</author>
  </authors>
  <commentList>
    <comment ref="F12" authorId="0" shapeId="0" xr:uid="{00000000-0006-0000-1700-000001000000}">
      <text>
        <r>
          <rPr>
            <b/>
            <sz val="9"/>
            <color indexed="81"/>
            <rFont val="Calibri"/>
            <family val="2"/>
          </rPr>
          <t>Shilpa Challa:</t>
        </r>
        <r>
          <rPr>
            <sz val="9"/>
            <color indexed="81"/>
            <rFont val="Calibri"/>
            <family val="2"/>
          </rPr>
          <t xml:space="preserve">
Page 31</t>
        </r>
      </text>
    </comment>
    <comment ref="H12" authorId="0" shapeId="0" xr:uid="{00000000-0006-0000-1700-000002000000}">
      <text>
        <r>
          <rPr>
            <b/>
            <sz val="9"/>
            <color indexed="81"/>
            <rFont val="Calibri"/>
            <family val="2"/>
          </rPr>
          <t>Shilpa Challa:</t>
        </r>
        <r>
          <rPr>
            <sz val="9"/>
            <color indexed="81"/>
            <rFont val="Calibri"/>
            <family val="2"/>
          </rPr>
          <t xml:space="preserve">
Page 19</t>
        </r>
      </text>
    </comment>
    <comment ref="I12" authorId="0" shapeId="0" xr:uid="{00000000-0006-0000-1700-000003000000}">
      <text>
        <r>
          <rPr>
            <b/>
            <sz val="9"/>
            <color indexed="81"/>
            <rFont val="Calibri"/>
            <family val="2"/>
          </rPr>
          <t>Shilpa Challa:</t>
        </r>
        <r>
          <rPr>
            <sz val="9"/>
            <color indexed="81"/>
            <rFont val="Calibri"/>
            <family val="2"/>
          </rPr>
          <t xml:space="preserve">
Page 31
</t>
        </r>
      </text>
    </comment>
    <comment ref="L12" authorId="0" shapeId="0" xr:uid="{00000000-0006-0000-1700-000004000000}">
      <text>
        <r>
          <rPr>
            <b/>
            <sz val="9"/>
            <color indexed="81"/>
            <rFont val="Calibri"/>
            <family val="2"/>
          </rPr>
          <t>Shilpa Challa:</t>
        </r>
        <r>
          <rPr>
            <sz val="9"/>
            <color indexed="81"/>
            <rFont val="Calibri"/>
            <family val="2"/>
          </rPr>
          <t xml:space="preserve">
Table 1.1 Government Fiscal Operations Page 33</t>
        </r>
      </text>
    </comment>
    <comment ref="M12" authorId="0" shapeId="0" xr:uid="{00000000-0006-0000-1700-000005000000}">
      <text>
        <r>
          <rPr>
            <b/>
            <sz val="9"/>
            <color indexed="81"/>
            <rFont val="Calibri"/>
            <family val="2"/>
          </rPr>
          <t>Shilpa Challa:</t>
        </r>
        <r>
          <rPr>
            <sz val="9"/>
            <color indexed="81"/>
            <rFont val="Calibri"/>
            <family val="2"/>
          </rPr>
          <t xml:space="preserve">
Table 1.1 Page 33
</t>
        </r>
      </text>
    </comment>
    <comment ref="I24" authorId="0" shapeId="0" xr:uid="{00000000-0006-0000-1700-000006000000}">
      <text>
        <r>
          <rPr>
            <b/>
            <sz val="9"/>
            <color indexed="81"/>
            <rFont val="Calibri"/>
            <family val="2"/>
          </rPr>
          <t>Shilpa Challa:</t>
        </r>
        <r>
          <rPr>
            <sz val="9"/>
            <color indexed="81"/>
            <rFont val="Calibri"/>
            <family val="2"/>
          </rPr>
          <t xml:space="preserve">
Page 35</t>
        </r>
      </text>
    </comment>
    <comment ref="L24" authorId="0" shapeId="0" xr:uid="{00000000-0006-0000-1700-000007000000}">
      <text>
        <r>
          <rPr>
            <b/>
            <sz val="9"/>
            <color indexed="81"/>
            <rFont val="Calibri"/>
            <family val="2"/>
          </rPr>
          <t>Shilpa Challa:</t>
        </r>
        <r>
          <rPr>
            <sz val="9"/>
            <color indexed="81"/>
            <rFont val="Calibri"/>
            <family val="2"/>
          </rPr>
          <t xml:space="preserve">
Page 33
</t>
        </r>
      </text>
    </comment>
    <comment ref="M24" authorId="0" shapeId="0" xr:uid="{00000000-0006-0000-1700-000008000000}">
      <text>
        <r>
          <rPr>
            <b/>
            <sz val="9"/>
            <color indexed="81"/>
            <rFont val="Calibri"/>
            <family val="2"/>
          </rPr>
          <t>Shilpa Challa:</t>
        </r>
        <r>
          <rPr>
            <sz val="9"/>
            <color indexed="81"/>
            <rFont val="Calibri"/>
            <family val="2"/>
          </rPr>
          <t xml:space="preserve">
Page 33</t>
        </r>
      </text>
    </comment>
    <comment ref="T24" authorId="0" shapeId="0" xr:uid="{00000000-0006-0000-1700-000009000000}">
      <text>
        <r>
          <rPr>
            <sz val="9"/>
            <color indexed="81"/>
            <rFont val="Calibri"/>
            <family val="2"/>
          </rPr>
          <t xml:space="preserve">
Page i
</t>
        </r>
      </text>
    </comment>
    <comment ref="Z24" authorId="0" shapeId="0" xr:uid="{00000000-0006-0000-1700-00000A000000}">
      <text>
        <r>
          <rPr>
            <sz val="9"/>
            <color indexed="81"/>
            <rFont val="Calibri"/>
            <family val="2"/>
          </rPr>
          <t xml:space="preserve">
Page i
</t>
        </r>
      </text>
    </comment>
    <comment ref="AE24" authorId="0" shapeId="0" xr:uid="{00000000-0006-0000-1700-00000B000000}">
      <text>
        <r>
          <rPr>
            <sz val="9"/>
            <color indexed="81"/>
            <rFont val="Calibri"/>
            <family val="2"/>
          </rPr>
          <t xml:space="preserve">
Page i
</t>
        </r>
      </text>
    </comment>
    <comment ref="AK24" authorId="0" shapeId="0" xr:uid="{00000000-0006-0000-1700-00000C000000}">
      <text>
        <r>
          <rPr>
            <sz val="9"/>
            <color indexed="81"/>
            <rFont val="Calibri"/>
            <family val="2"/>
          </rPr>
          <t xml:space="preserve">
Page i
</t>
        </r>
      </text>
    </comment>
    <comment ref="AP24" authorId="0" shapeId="0" xr:uid="{00000000-0006-0000-1700-00000D000000}">
      <text>
        <r>
          <rPr>
            <sz val="9"/>
            <color indexed="81"/>
            <rFont val="Calibri"/>
            <family val="2"/>
          </rPr>
          <t xml:space="preserve">
Page i
</t>
        </r>
      </text>
    </comment>
    <comment ref="AV24" authorId="0" shapeId="0" xr:uid="{63C90364-C184-402A-8F1D-EB5A15BC7A01}">
      <text>
        <r>
          <rPr>
            <sz val="9"/>
            <color indexed="81"/>
            <rFont val="Calibri"/>
            <family val="2"/>
          </rPr>
          <t xml:space="preserve">
Page i
</t>
        </r>
      </text>
    </comment>
    <comment ref="H26" authorId="0" shapeId="0" xr:uid="{00000000-0006-0000-1700-00000E000000}">
      <text>
        <r>
          <rPr>
            <b/>
            <sz val="9"/>
            <color indexed="81"/>
            <rFont val="Calibri"/>
            <family val="2"/>
          </rPr>
          <t>Shilpa Challa:</t>
        </r>
        <r>
          <rPr>
            <sz val="9"/>
            <color indexed="81"/>
            <rFont val="Calibri"/>
            <family val="2"/>
          </rPr>
          <t xml:space="preserve">
Page 79
</t>
        </r>
      </text>
    </comment>
    <comment ref="I26" authorId="0" shapeId="0" xr:uid="{00000000-0006-0000-1700-00000F000000}">
      <text>
        <r>
          <rPr>
            <b/>
            <sz val="9"/>
            <color indexed="81"/>
            <rFont val="Calibri"/>
            <family val="2"/>
          </rPr>
          <t>Shilpa Challa:</t>
        </r>
        <r>
          <rPr>
            <sz val="9"/>
            <color indexed="81"/>
            <rFont val="Calibri"/>
            <family val="2"/>
          </rPr>
          <t xml:space="preserve">
Page 565</t>
        </r>
      </text>
    </comment>
    <comment ref="L26" authorId="0" shapeId="0" xr:uid="{00000000-0006-0000-1700-000010000000}">
      <text>
        <r>
          <rPr>
            <b/>
            <sz val="9"/>
            <color indexed="81"/>
            <rFont val="Calibri"/>
            <family val="2"/>
          </rPr>
          <t>Shilpa Challa:</t>
        </r>
        <r>
          <rPr>
            <sz val="9"/>
            <color indexed="81"/>
            <rFont val="Calibri"/>
            <family val="2"/>
          </rPr>
          <t xml:space="preserve">
Page 565</t>
        </r>
      </text>
    </comment>
    <comment ref="M26" authorId="0" shapeId="0" xr:uid="{00000000-0006-0000-1700-000011000000}">
      <text>
        <r>
          <rPr>
            <b/>
            <sz val="9"/>
            <color indexed="81"/>
            <rFont val="Calibri"/>
            <family val="2"/>
          </rPr>
          <t>Shilpa Challa:</t>
        </r>
        <r>
          <rPr>
            <sz val="9"/>
            <color indexed="81"/>
            <rFont val="Calibri"/>
            <family val="2"/>
          </rPr>
          <t xml:space="preserve">
Page 565</t>
        </r>
      </text>
    </comment>
    <comment ref="T26" authorId="0" shapeId="0" xr:uid="{00000000-0006-0000-1700-000012000000}">
      <text>
        <r>
          <rPr>
            <b/>
            <sz val="9"/>
            <color indexed="81"/>
            <rFont val="Calibri"/>
            <family val="2"/>
          </rPr>
          <t>Page xxvii</t>
        </r>
      </text>
    </comment>
    <comment ref="Z26" authorId="0" shapeId="0" xr:uid="{00000000-0006-0000-1700-000013000000}">
      <text>
        <r>
          <rPr>
            <b/>
            <sz val="9"/>
            <color indexed="81"/>
            <rFont val="Calibri"/>
            <family val="2"/>
          </rPr>
          <t>Page xxvii</t>
        </r>
      </text>
    </comment>
    <comment ref="AE26" authorId="0" shapeId="0" xr:uid="{00000000-0006-0000-1700-000014000000}">
      <text>
        <r>
          <rPr>
            <b/>
            <sz val="9"/>
            <color indexed="81"/>
            <rFont val="Calibri"/>
            <family val="2"/>
          </rPr>
          <t>Page xxvii</t>
        </r>
      </text>
    </comment>
    <comment ref="AK26" authorId="0" shapeId="0" xr:uid="{00000000-0006-0000-1700-000015000000}">
      <text>
        <r>
          <rPr>
            <b/>
            <sz val="9"/>
            <color indexed="81"/>
            <rFont val="Calibri"/>
            <family val="2"/>
          </rPr>
          <t>Page xxvii</t>
        </r>
      </text>
    </comment>
    <comment ref="AP26" authorId="0" shapeId="0" xr:uid="{00000000-0006-0000-1700-000016000000}">
      <text>
        <r>
          <rPr>
            <b/>
            <sz val="9"/>
            <color indexed="81"/>
            <rFont val="Calibri"/>
            <family val="2"/>
          </rPr>
          <t>Page xxvii</t>
        </r>
      </text>
    </comment>
    <comment ref="AV26" authorId="0" shapeId="0" xr:uid="{CD0BB126-5F13-4A97-A3C2-FE72DE8D8942}">
      <text>
        <r>
          <rPr>
            <b/>
            <sz val="9"/>
            <color indexed="81"/>
            <rFont val="Calibri"/>
            <family val="2"/>
          </rPr>
          <t>Page xxvii</t>
        </r>
      </text>
    </comment>
    <comment ref="I35" authorId="0" shapeId="0" xr:uid="{00000000-0006-0000-1700-000017000000}">
      <text>
        <r>
          <rPr>
            <b/>
            <sz val="9"/>
            <color indexed="81"/>
            <rFont val="Calibri"/>
            <family val="2"/>
          </rPr>
          <t>Shilpa Challa:</t>
        </r>
        <r>
          <rPr>
            <sz val="9"/>
            <color indexed="81"/>
            <rFont val="Calibri"/>
            <family val="2"/>
          </rPr>
          <t xml:space="preserve">
Page 36</t>
        </r>
      </text>
    </comment>
    <comment ref="L35" authorId="0" shapeId="0" xr:uid="{00000000-0006-0000-1700-000018000000}">
      <text>
        <r>
          <rPr>
            <b/>
            <sz val="9"/>
            <color indexed="81"/>
            <rFont val="Calibri"/>
            <family val="2"/>
          </rPr>
          <t>Shilpa Challa:</t>
        </r>
        <r>
          <rPr>
            <sz val="9"/>
            <color indexed="81"/>
            <rFont val="Calibri"/>
            <family val="2"/>
          </rPr>
          <t xml:space="preserve">
Page 36</t>
        </r>
      </text>
    </comment>
    <comment ref="M35" authorId="0" shapeId="0" xr:uid="{00000000-0006-0000-1700-000019000000}">
      <text>
        <r>
          <rPr>
            <b/>
            <sz val="9"/>
            <color indexed="81"/>
            <rFont val="Calibri"/>
            <family val="2"/>
          </rPr>
          <t>Shilpa Challa:</t>
        </r>
        <r>
          <rPr>
            <sz val="9"/>
            <color indexed="81"/>
            <rFont val="Calibri"/>
            <family val="2"/>
          </rPr>
          <t xml:space="preserve">
Page 36
</t>
        </r>
      </text>
    </comment>
    <comment ref="T35" authorId="0" shapeId="0" xr:uid="{00000000-0006-0000-1700-00001A000000}">
      <text>
        <r>
          <rPr>
            <b/>
            <sz val="9"/>
            <color indexed="81"/>
            <rFont val="Calibri"/>
            <family val="2"/>
          </rPr>
          <t>Page vi</t>
        </r>
      </text>
    </comment>
    <comment ref="Z35" authorId="0" shapeId="0" xr:uid="{00000000-0006-0000-1700-00001B000000}">
      <text>
        <r>
          <rPr>
            <b/>
            <sz val="9"/>
            <color indexed="81"/>
            <rFont val="Calibri"/>
            <family val="2"/>
          </rPr>
          <t>Page vi</t>
        </r>
      </text>
    </comment>
    <comment ref="AE35" authorId="0" shapeId="0" xr:uid="{00000000-0006-0000-1700-00001C000000}">
      <text>
        <r>
          <rPr>
            <b/>
            <sz val="9"/>
            <color indexed="81"/>
            <rFont val="Calibri"/>
            <family val="2"/>
          </rPr>
          <t>Page vi</t>
        </r>
      </text>
    </comment>
    <comment ref="AK35" authorId="0" shapeId="0" xr:uid="{00000000-0006-0000-1700-00001D000000}">
      <text>
        <r>
          <rPr>
            <b/>
            <sz val="9"/>
            <color indexed="81"/>
            <rFont val="Calibri"/>
            <family val="2"/>
          </rPr>
          <t>Page vi</t>
        </r>
      </text>
    </comment>
    <comment ref="AP35" authorId="0" shapeId="0" xr:uid="{00000000-0006-0000-1700-00001E000000}">
      <text>
        <r>
          <rPr>
            <b/>
            <sz val="9"/>
            <color indexed="81"/>
            <rFont val="Calibri"/>
            <family val="2"/>
          </rPr>
          <t>Page vi</t>
        </r>
      </text>
    </comment>
    <comment ref="T36" authorId="0" shapeId="0" xr:uid="{00000000-0006-0000-1700-00001F000000}">
      <text>
        <r>
          <rPr>
            <b/>
            <sz val="9"/>
            <color indexed="81"/>
            <rFont val="Calibri"/>
            <family val="2"/>
          </rPr>
          <t>Page vi</t>
        </r>
      </text>
    </comment>
    <comment ref="Z36" authorId="0" shapeId="0" xr:uid="{00000000-0006-0000-1700-000020000000}">
      <text>
        <r>
          <rPr>
            <b/>
            <sz val="9"/>
            <color indexed="81"/>
            <rFont val="Calibri"/>
            <family val="2"/>
          </rPr>
          <t>Page vi</t>
        </r>
      </text>
    </comment>
    <comment ref="AE36" authorId="0" shapeId="0" xr:uid="{00000000-0006-0000-1700-000021000000}">
      <text>
        <r>
          <rPr>
            <b/>
            <sz val="9"/>
            <color indexed="81"/>
            <rFont val="Calibri"/>
            <family val="2"/>
          </rPr>
          <t>Page vi</t>
        </r>
      </text>
    </comment>
    <comment ref="AK36" authorId="0" shapeId="0" xr:uid="{00000000-0006-0000-1700-000022000000}">
      <text>
        <r>
          <rPr>
            <b/>
            <sz val="9"/>
            <color indexed="81"/>
            <rFont val="Calibri"/>
            <family val="2"/>
          </rPr>
          <t>Page vi</t>
        </r>
      </text>
    </comment>
    <comment ref="AP36" authorId="0" shapeId="0" xr:uid="{00000000-0006-0000-1700-000023000000}">
      <text>
        <r>
          <rPr>
            <b/>
            <sz val="9"/>
            <color indexed="81"/>
            <rFont val="Calibri"/>
            <family val="2"/>
          </rPr>
          <t>Page vi</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Auteur</author>
    <author>Jonathan Dupain</author>
  </authors>
  <commentList>
    <comment ref="H8" authorId="0" shapeId="0" xr:uid="{00000000-0006-0000-1900-000001000000}">
      <text>
        <r>
          <rPr>
            <b/>
            <sz val="9"/>
            <color indexed="81"/>
            <rFont val="Tahoma"/>
            <family val="2"/>
          </rPr>
          <t>Auteur:</t>
        </r>
        <r>
          <rPr>
            <sz val="9"/>
            <color indexed="81"/>
            <rFont val="Tahoma"/>
            <family val="2"/>
          </rPr>
          <t xml:space="preserve">
It is a bit confusing because this corresponds to the approved budget and what is considered as actual budget is the revised budget in the budget document</t>
        </r>
      </text>
    </comment>
    <comment ref="AS25" authorId="1" shapeId="0" xr:uid="{7F6ECEC4-FD7E-4809-B0A6-6F8F7ABBF762}">
      <text>
        <r>
          <rPr>
            <b/>
            <sz val="9"/>
            <color indexed="81"/>
            <rFont val="Tahoma"/>
            <family val="2"/>
          </rPr>
          <t>Jonathan Dupain:</t>
        </r>
        <r>
          <rPr>
            <sz val="9"/>
            <color indexed="81"/>
            <rFont val="Tahoma"/>
            <family val="2"/>
          </rPr>
          <t xml:space="preserve">
from Annual economic report 2018, page 200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Maurice Njipkap</author>
  </authors>
  <commentList>
    <comment ref="BI14" authorId="0" shapeId="0" xr:uid="{FADC9C56-EBF9-4813-8CB3-A667B176440B}">
      <text>
        <r>
          <rPr>
            <b/>
            <sz val="9"/>
            <color indexed="81"/>
            <rFont val="Tahoma"/>
            <family val="2"/>
          </rPr>
          <t>Maurice Njipkap:</t>
        </r>
        <r>
          <rPr>
            <sz val="9"/>
            <color indexed="81"/>
            <rFont val="Tahoma"/>
            <family val="2"/>
          </rPr>
          <t xml:space="preserve">
devrait-on mettre les recettes excptionelle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Serge PEANO</author>
    <author>Girlovan, Nadejda</author>
  </authors>
  <commentList>
    <comment ref="AR12" authorId="0" shapeId="0" xr:uid="{00000000-0006-0000-1C00-000001000000}">
      <text>
        <r>
          <rPr>
            <b/>
            <sz val="9"/>
            <color indexed="81"/>
            <rFont val="Tahoma"/>
            <family val="2"/>
          </rPr>
          <t xml:space="preserve">Serge PEANO:
</t>
        </r>
        <r>
          <rPr>
            <sz val="9"/>
            <color indexed="81"/>
            <rFont val="Tahoma"/>
            <family val="2"/>
          </rPr>
          <t xml:space="preserve">Yellow cells : </t>
        </r>
        <r>
          <rPr>
            <b/>
            <sz val="9"/>
            <color indexed="81"/>
            <rFont val="Tahoma"/>
            <family val="2"/>
          </rPr>
          <t>t</t>
        </r>
        <r>
          <rPr>
            <sz val="9"/>
            <color indexed="81"/>
            <rFont val="Tahoma"/>
            <family val="2"/>
          </rPr>
          <t>o be multiplied by 1000000 instead of 1000</t>
        </r>
      </text>
    </comment>
    <comment ref="AL18" authorId="0" shapeId="0" xr:uid="{00000000-0006-0000-1C00-000002000000}">
      <text>
        <r>
          <rPr>
            <b/>
            <sz val="9"/>
            <color indexed="81"/>
            <rFont val="Tahoma"/>
            <family val="2"/>
          </rPr>
          <t>Serge PEANO:</t>
        </r>
        <r>
          <rPr>
            <sz val="9"/>
            <color indexed="81"/>
            <rFont val="Tahoma"/>
            <family val="2"/>
          </rPr>
          <t xml:space="preserve">
Try to fill the yellow cells
</t>
        </r>
        <r>
          <rPr>
            <b/>
            <sz val="9"/>
            <color indexed="81"/>
            <rFont val="Tahoma"/>
            <family val="2"/>
          </rPr>
          <t>N.G.</t>
        </r>
        <r>
          <rPr>
            <sz val="9"/>
            <color indexed="81"/>
            <rFont val="Tahoma"/>
            <family val="2"/>
          </rPr>
          <t xml:space="preserve">
No info</t>
        </r>
      </text>
    </comment>
    <comment ref="AL20" authorId="1" shapeId="0" xr:uid="{00000000-0006-0000-1C00-000003000000}">
      <text>
        <r>
          <rPr>
            <b/>
            <sz val="9"/>
            <color indexed="81"/>
            <rFont val="Tahoma"/>
            <family val="2"/>
          </rPr>
          <t>Girlovan, Nadejda:</t>
        </r>
        <r>
          <rPr>
            <sz val="9"/>
            <color indexed="81"/>
            <rFont val="Tahoma"/>
            <family val="2"/>
          </rPr>
          <t xml:space="preserve">
state debt service (serviciul datoriei de stat) - </t>
        </r>
        <r>
          <rPr>
            <b/>
            <u/>
            <sz val="9"/>
            <color indexed="81"/>
            <rFont val="Tahoma"/>
            <family val="2"/>
          </rPr>
          <t>1 929,0 mil. lei</t>
        </r>
        <r>
          <rPr>
            <sz val="9"/>
            <color indexed="81"/>
            <rFont val="Tahoma"/>
            <family val="2"/>
          </rPr>
          <t xml:space="preserve">
</t>
        </r>
        <r>
          <rPr>
            <i/>
            <sz val="9"/>
            <color indexed="81"/>
            <rFont val="Tahoma"/>
            <family val="2"/>
          </rPr>
          <t xml:space="preserve">of which: </t>
        </r>
        <r>
          <rPr>
            <sz val="9"/>
            <color indexed="81"/>
            <rFont val="Tahoma"/>
            <family val="2"/>
          </rPr>
          <t xml:space="preserve">
Serviciul datoriei de stat externe-357,9 mil. lei
Serviciul datoriei de stat interne-1 571,1 mil. lei
serviciul datoriei de stat - 1 929,0 mil. lei
http://mf.gov.md/sites/default/files/Raport%20an%202017.pdf</t>
        </r>
      </text>
    </comment>
    <comment ref="AP51" authorId="0" shapeId="0" xr:uid="{00000000-0006-0000-1C00-000004000000}">
      <text>
        <r>
          <rPr>
            <b/>
            <sz val="9"/>
            <color indexed="81"/>
            <rFont val="Tahoma"/>
            <family val="2"/>
          </rPr>
          <t>Serge PEANO:</t>
        </r>
        <r>
          <rPr>
            <sz val="9"/>
            <color indexed="81"/>
            <rFont val="Tahoma"/>
            <family val="2"/>
          </rPr>
          <t xml:space="preserve">
I think this correspond to distruct councils
They are recorded in row 75.
To be deleted here
</t>
        </r>
        <r>
          <rPr>
            <b/>
            <sz val="9"/>
            <color indexed="81"/>
            <rFont val="Tahoma"/>
            <family val="2"/>
          </rPr>
          <t>N.G</t>
        </r>
        <r>
          <rPr>
            <sz val="9"/>
            <color indexed="81"/>
            <rFont val="Tahoma"/>
            <family val="2"/>
          </rPr>
          <t xml:space="preserve">
Done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Jonathan Dupain</author>
  </authors>
  <commentList>
    <comment ref="BA13" authorId="0" shapeId="0" xr:uid="{95CEDA02-7934-4A21-8F4E-46E427577B49}">
      <text>
        <r>
          <rPr>
            <b/>
            <sz val="9"/>
            <color indexed="81"/>
            <rFont val="Tahoma"/>
            <family val="2"/>
          </rPr>
          <t>Jonathan Dupain:</t>
        </r>
        <r>
          <rPr>
            <sz val="9"/>
            <color indexed="81"/>
            <rFont val="Tahoma"/>
            <family val="2"/>
          </rPr>
          <t xml:space="preserve">
Nommé "Outras receitas de capital"</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tc={CEEC6066-ACF5-4DD8-B933-CCD6627E86AE}</author>
    <author>Author</author>
  </authors>
  <commentList>
    <comment ref="AT22" authorId="0" shapeId="0" xr:uid="{CEEC6066-ACF5-4DD8-B933-CCD6627E86AE}">
      <text>
        <t>[Threaded comment]
Your version of Excel allows you to read this threaded comment; however, any edits to it will get removed if the file is opened in a newer version of Excel. Learn more: https://go.microsoft.com/fwlink/?linkid=870924
Comment:
    MISSING VALUE</t>
      </text>
    </comment>
    <comment ref="P23" authorId="1" shapeId="0" xr:uid="{00000000-0006-0000-2400-000001000000}">
      <text>
        <r>
          <rPr>
            <b/>
            <sz val="9"/>
            <color indexed="81"/>
            <rFont val="Tahoma"/>
            <family val="2"/>
          </rPr>
          <t>Author:</t>
        </r>
        <r>
          <rPr>
            <sz val="9"/>
            <color indexed="81"/>
            <rFont val="Tahoma"/>
            <family val="2"/>
          </rPr>
          <t xml:space="preserve">
government budget has incorrect value (1,720). See separate Excel file for calcualtion check (1681.2)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tc={2EB80D5D-D327-4C08-ADFD-2A13D793C165}</author>
    <author>Maurice Njipkap</author>
  </authors>
  <commentList>
    <comment ref="AG23" authorId="0" shapeId="0" xr:uid="{2EB80D5D-D327-4C08-ADFD-2A13D793C165}">
      <text>
        <t>[Threaded comment]
Your version of Excel allows you to read this threaded comment; however, any edits to it will get removed if the file is opened in a newer version of Excel. Learn more: https://go.microsoft.com/fwlink/?linkid=870924
Comment:
    ADDED SUM</t>
      </text>
    </comment>
    <comment ref="AK25" authorId="1" shapeId="0" xr:uid="{726FD479-4F31-4FCE-B9EA-4360EE883BB7}">
      <text>
        <r>
          <rPr>
            <b/>
            <sz val="9"/>
            <color indexed="81"/>
            <rFont val="Tahoma"/>
            <family val="2"/>
          </rPr>
          <t>Maurice Njipkap:</t>
        </r>
        <r>
          <rPr>
            <sz val="9"/>
            <color indexed="81"/>
            <rFont val="Tahoma"/>
            <family val="2"/>
          </rPr>
          <t xml:space="preserve">
est-ce qu'ila une erreur ici? 68300?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Serge PEANO</author>
    <author>Maurice Njipkap</author>
    <author>tc={768A6B23-0771-455E-AB02-F2FCEDB4878E}</author>
  </authors>
  <commentList>
    <comment ref="O35" authorId="0" shapeId="0" xr:uid="{00000000-0006-0000-2700-000001000000}">
      <text>
        <r>
          <rPr>
            <b/>
            <sz val="9"/>
            <color indexed="81"/>
            <rFont val="Tahoma"/>
            <family val="2"/>
          </rPr>
          <t>Budget figure very High 493,687, not confirmed in the following budgets</t>
        </r>
      </text>
    </comment>
    <comment ref="BL67" authorId="1" shapeId="0" xr:uid="{2D6381AE-D3DB-42B0-A84C-19E1BC4A8F92}">
      <text>
        <r>
          <rPr>
            <b/>
            <sz val="9"/>
            <color indexed="81"/>
            <rFont val="Tahoma"/>
            <family val="2"/>
          </rPr>
          <t>Maurice Njipkap:</t>
        </r>
        <r>
          <rPr>
            <sz val="9"/>
            <color indexed="81"/>
            <rFont val="Tahoma"/>
            <family val="2"/>
          </rPr>
          <t xml:space="preserve">
y a quelque chose qui ne va pas. Les depenses des gouvernements locaux en education sont supperieur au transfer.  Y-a-t-il quelque chose qui ne marche pas ici?</t>
        </r>
      </text>
    </comment>
    <comment ref="B85" authorId="2" shapeId="0" xr:uid="{768A6B23-0771-455E-AB02-F2FCEDB4878E}">
      <text>
        <t>[Threaded comment]
Your version of Excel allows you to read this threaded comment; however, any edits to it will get removed if the file is opened in a newer version of Excel. Learn more: https://go.microsoft.com/fwlink/?linkid=870924
Comment:
    Labels to add</t>
      </text>
    </comment>
    <comment ref="BA91" authorId="1" shapeId="0" xr:uid="{84CACC83-049C-4792-AE12-F3AF7370BF1D}">
      <text>
        <r>
          <rPr>
            <b/>
            <sz val="9"/>
            <color indexed="81"/>
            <rFont val="Tahoma"/>
            <family val="2"/>
          </rPr>
          <t>Maurice Njipkap:</t>
        </r>
        <r>
          <rPr>
            <sz val="9"/>
            <color indexed="81"/>
            <rFont val="Tahoma"/>
            <family val="2"/>
          </rPr>
          <t xml:space="preserve">
dans le budget 2019 PDF page 35 ils trouvent 21% comme part des depenses en education dans les depenses courantes. Est-ce qu'ils ne vont pas prtester. Ils utilise uniquement les depenses budgetaire courante comme denominateur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Castellano Tolmos, Hugo</author>
  </authors>
  <commentList>
    <comment ref="AN18" authorId="0" shapeId="0" xr:uid="{43EAEB95-7CB4-4A8D-B4D2-4F161A0D3C71}">
      <text>
        <r>
          <rPr>
            <b/>
            <sz val="9"/>
            <color indexed="81"/>
            <rFont val="Tahoma"/>
            <family val="2"/>
          </rPr>
          <t>Castellano Tolmos, Hugo:</t>
        </r>
        <r>
          <rPr>
            <sz val="9"/>
            <color indexed="81"/>
            <rFont val="Tahoma"/>
            <family val="2"/>
          </rPr>
          <t xml:space="preserve">
Jan to March
I have found for the full year in Tabela 4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L25" authorId="0" shapeId="0" xr:uid="{59FB863C-E88C-4DA8-A0B8-F62BF9B1B94A}">
      <text>
        <r>
          <rPr>
            <b/>
            <sz val="9"/>
            <color indexed="81"/>
            <rFont val="Tahoma"/>
            <family val="2"/>
          </rPr>
          <t>Auteur:</t>
        </r>
        <r>
          <rPr>
            <sz val="9"/>
            <color indexed="81"/>
            <rFont val="Tahoma"/>
            <family val="2"/>
          </rPr>
          <t xml:space="preserve">
Can't find where this value originated</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O16" authorId="0" shapeId="0" xr:uid="{EB69006C-29EE-4D92-B62C-8F8DFF4DF4A8}">
      <text>
        <r>
          <rPr>
            <b/>
            <sz val="9"/>
            <color indexed="81"/>
            <rFont val="Tahoma"/>
            <family val="2"/>
          </rPr>
          <t>Auteur:</t>
        </r>
        <r>
          <rPr>
            <sz val="9"/>
            <color indexed="81"/>
            <rFont val="Tahoma"/>
            <family val="2"/>
          </rPr>
          <t xml:space="preserve">
Includes: "- специальные средства бюджетных организаций  - 781519 тыс. сомони.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uis-admin</author>
    <author>Maurice Njipkap</author>
  </authors>
  <commentList>
    <comment ref="AG17" authorId="0" shapeId="0" xr:uid="{00000000-0006-0000-2C00-000001000000}">
      <text>
        <r>
          <rPr>
            <b/>
            <sz val="9"/>
            <color indexed="81"/>
            <rFont val="Tahoma"/>
            <family val="2"/>
          </rPr>
          <t>uis-admin:</t>
        </r>
        <r>
          <rPr>
            <sz val="9"/>
            <color indexed="81"/>
            <rFont val="Tahoma"/>
            <family val="2"/>
          </rPr>
          <t xml:space="preserve">
integrent les depenses d'immobilisations de 3,51 milliards FCFA ordonnancees par la Direction des Finances (Page 21)</t>
        </r>
      </text>
    </comment>
    <comment ref="AL17" authorId="0" shapeId="0" xr:uid="{00000000-0006-0000-2C00-000002000000}">
      <text>
        <r>
          <rPr>
            <b/>
            <sz val="9"/>
            <color indexed="81"/>
            <rFont val="Tahoma"/>
            <family val="2"/>
          </rPr>
          <t>uis-admin:</t>
        </r>
        <r>
          <rPr>
            <sz val="9"/>
            <color indexed="81"/>
            <rFont val="Tahoma"/>
            <family val="2"/>
          </rPr>
          <t xml:space="preserve">
integrentles depenses d'immobilisation de 0,21 milliards ordonnancees par la Direction des Services des FAT et de la Direction des Finances</t>
        </r>
      </text>
    </comment>
    <comment ref="AL20" authorId="0" shapeId="0" xr:uid="{00000000-0006-0000-2C00-000003000000}">
      <text>
        <r>
          <rPr>
            <b/>
            <sz val="9"/>
            <color indexed="81"/>
            <rFont val="Tahoma"/>
            <family val="2"/>
          </rPr>
          <t>uis-admin:</t>
        </r>
        <r>
          <rPr>
            <sz val="9"/>
            <color indexed="81"/>
            <rFont val="Tahoma"/>
            <family val="2"/>
          </rPr>
          <t xml:space="preserve">
Charges tresorerie ?</t>
        </r>
      </text>
    </comment>
    <comment ref="AL21" authorId="0" shapeId="0" xr:uid="{00000000-0006-0000-2C00-000004000000}">
      <text>
        <r>
          <rPr>
            <b/>
            <sz val="9"/>
            <color indexed="81"/>
            <rFont val="Tahoma"/>
            <family val="2"/>
          </rPr>
          <t>uis-admin:</t>
        </r>
        <r>
          <rPr>
            <sz val="9"/>
            <color indexed="81"/>
            <rFont val="Tahoma"/>
            <family val="2"/>
          </rPr>
          <t xml:space="preserve">
( Depenses en attenuation de recettes (Page 19)=98,32)) pris en compte (voir LFI gestion 2018 page 19)</t>
        </r>
      </text>
    </comment>
    <comment ref="AH34" authorId="0" shapeId="0" xr:uid="{00000000-0006-0000-2C00-000005000000}">
      <text>
        <r>
          <rPr>
            <b/>
            <sz val="9"/>
            <color indexed="81"/>
            <rFont val="Tahoma"/>
            <family val="2"/>
          </rPr>
          <t>uis-admin:</t>
        </r>
        <r>
          <rPr>
            <sz val="9"/>
            <color indexed="81"/>
            <rFont val="Tahoma"/>
            <family val="2"/>
          </rPr>
          <t xml:space="preserve">
Ces chiffres ont ete setimees sur la base du taux d'execution 2016</t>
        </r>
      </text>
    </comment>
    <comment ref="AI34" authorId="0" shapeId="0" xr:uid="{00000000-0006-0000-2C00-000006000000}">
      <text>
        <r>
          <rPr>
            <b/>
            <sz val="9"/>
            <color indexed="81"/>
            <rFont val="Tahoma"/>
            <family val="2"/>
          </rPr>
          <t>uis-admin:</t>
        </r>
        <r>
          <rPr>
            <sz val="9"/>
            <color indexed="81"/>
            <rFont val="Tahoma"/>
            <family val="2"/>
          </rPr>
          <t xml:space="preserve">
reference pour le remplissage de la colonne AG.</t>
        </r>
      </text>
    </comment>
    <comment ref="AL34" authorId="0" shapeId="0" xr:uid="{00000000-0006-0000-2C00-000007000000}">
      <text>
        <r>
          <rPr>
            <b/>
            <sz val="9"/>
            <color indexed="81"/>
            <rFont val="Tahoma"/>
            <family val="2"/>
          </rPr>
          <t>uis-admin:</t>
        </r>
        <r>
          <rPr>
            <sz val="9"/>
            <color indexed="81"/>
            <rFont val="Tahoma"/>
            <family val="2"/>
          </rPr>
          <t xml:space="preserve">
Inclu formation professionnelle</t>
        </r>
      </text>
    </comment>
    <comment ref="AV34" authorId="1" shapeId="0" xr:uid="{FDB7837F-200A-4ED3-AAC8-B8A27FC23053}">
      <text>
        <r>
          <rPr>
            <b/>
            <sz val="9"/>
            <color indexed="81"/>
            <rFont val="Tahoma"/>
            <family val="2"/>
          </rPr>
          <t>Maurice Njipkap:</t>
        </r>
        <r>
          <rPr>
            <sz val="9"/>
            <color indexed="81"/>
            <rFont val="Tahoma"/>
            <family val="2"/>
          </rPr>
          <t xml:space="preserve">
dans le budget de l'etat - gestion 2018 les depense des ministeres etaint agregees, ce qui n'est plus le cas dans le budget 2019</t>
        </r>
      </text>
    </comment>
    <comment ref="AL35" authorId="0" shapeId="0" xr:uid="{00000000-0006-0000-2C00-000008000000}">
      <text>
        <r>
          <rPr>
            <b/>
            <sz val="9"/>
            <color indexed="81"/>
            <rFont val="Tahoma"/>
            <family val="2"/>
          </rPr>
          <t>uis-admin:</t>
        </r>
        <r>
          <rPr>
            <sz val="9"/>
            <color indexed="81"/>
            <rFont val="Tahoma"/>
            <family val="2"/>
          </rPr>
          <t xml:space="preserve">
Depenses d'immobilisation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Yuri Borovsky</author>
  </authors>
  <commentList>
    <comment ref="AI8" authorId="0" shapeId="0" xr:uid="{28F4463A-1419-4C83-88A8-71AA6F45E92C}">
      <text>
        <r>
          <rPr>
            <b/>
            <sz val="9"/>
            <color indexed="81"/>
            <rFont val="Tahoma"/>
            <family val="2"/>
          </rPr>
          <t>There is no budget plan posted for 2019 in Rus or Eng.
Ok as  we have actual, we leave the coloumn empty</t>
        </r>
      </text>
    </comment>
    <comment ref="AK8" authorId="0" shapeId="0" xr:uid="{8EA5D0CE-B459-483B-A2A9-195DA20FBA50}">
      <text>
        <r>
          <rPr>
            <b/>
            <sz val="9"/>
            <color indexed="81"/>
            <rFont val="Tahoma"/>
            <family val="2"/>
          </rPr>
          <t xml:space="preserve">Revenues </t>
        </r>
        <r>
          <rPr>
            <sz val="9"/>
            <color indexed="81"/>
            <rFont val="Tahoma"/>
            <family val="2"/>
          </rPr>
          <t xml:space="preserve">https://www.mf.uz/media/file/state-budget/predv_ispolnenie/predv_dox_2019.pdf
</t>
        </r>
        <r>
          <rPr>
            <b/>
            <sz val="9"/>
            <color indexed="81"/>
            <rFont val="Tahoma"/>
            <family val="2"/>
          </rPr>
          <t>Expenditure</t>
        </r>
        <r>
          <rPr>
            <sz val="9"/>
            <color indexed="81"/>
            <rFont val="Tahoma"/>
            <family val="2"/>
          </rPr>
          <t xml:space="preserve"> https://www.mf.uz/media/file/state-budget/predv_ispolnenie/pred_rasx_2019.pdf</t>
        </r>
      </text>
    </comment>
    <comment ref="AE10" authorId="0" shapeId="0" xr:uid="{2D761A96-9B7C-40A8-B461-5130C4A93984}">
      <text>
        <r>
          <rPr>
            <b/>
            <sz val="9"/>
            <color indexed="81"/>
            <rFont val="Tahoma"/>
            <family val="2"/>
          </rPr>
          <t>Revenue:</t>
        </r>
        <r>
          <rPr>
            <sz val="9"/>
            <color indexed="81"/>
            <rFont val="Tahoma"/>
            <family val="2"/>
          </rPr>
          <t xml:space="preserve"> https://www.mf.uz/media/file/state-budget/2018_pr_isp/2018_pr_isp_dox.xlsx
</t>
        </r>
        <r>
          <rPr>
            <b/>
            <sz val="9"/>
            <color indexed="81"/>
            <rFont val="Tahoma"/>
            <family val="2"/>
          </rPr>
          <t>Expenditure:</t>
        </r>
        <r>
          <rPr>
            <sz val="9"/>
            <color indexed="81"/>
            <rFont val="Tahoma"/>
            <family val="2"/>
          </rPr>
          <t xml:space="preserve"> https://www.mf.uz/media/file/state-budget/2018_pr_isp/pr_isp_rasx_2018.xlsx</t>
        </r>
      </text>
    </comment>
    <comment ref="AE18" authorId="0" shapeId="0" xr:uid="{50DCA6AD-54E1-4317-98FE-DDBAF222DA9F}">
      <text>
        <r>
          <rPr>
            <b/>
            <sz val="9"/>
            <color indexed="81"/>
            <rFont val="Tahoma"/>
            <family val="2"/>
          </rPr>
          <t xml:space="preserve">Yuri Borovsky:
</t>
        </r>
        <r>
          <rPr>
            <sz val="9"/>
            <color indexed="81"/>
            <rFont val="Tahoma"/>
            <family val="2"/>
          </rPr>
          <t>Source: https://www.mf.uz/media/file/state-budget/2018_pr_isp/2018_ob_rasx_2018.pdf</t>
        </r>
        <r>
          <rPr>
            <b/>
            <sz val="9"/>
            <color indexed="81"/>
            <rFont val="Tahoma"/>
            <family val="2"/>
          </rPr>
          <t xml:space="preserve">
</t>
        </r>
        <r>
          <rPr>
            <sz val="9"/>
            <color indexed="81"/>
            <rFont val="Tahoma"/>
            <family val="2"/>
          </rPr>
          <t xml:space="preserve">
</t>
        </r>
        <r>
          <rPr>
            <b/>
            <sz val="9"/>
            <color indexed="81"/>
            <rFont val="Tahoma"/>
            <family val="2"/>
          </rPr>
          <t>ALTERNATIVELY</t>
        </r>
        <r>
          <rPr>
            <sz val="9"/>
            <color indexed="81"/>
            <rFont val="Tahoma"/>
            <family val="2"/>
          </rPr>
          <t xml:space="preserve"> =5253.2 from Line 4.13 "expenses on financial assests and liabilities" may yield the figure but it is not the same presentaion and title as in the budget. 
https://www.mf.uz/media/file/state-budget/2018_pr_isp/pr_isp_2018rasx.pdf
It is Ok, i5400 comes from the same table than education data
And, anyway as we don't have separate figures Current/capital) for education, we are using only the total</t>
        </r>
      </text>
    </comment>
    <comment ref="AD21" authorId="0" shapeId="0" xr:uid="{3766C8F1-7475-431D-AD8C-78556BCB3D61}">
      <text>
        <r>
          <rPr>
            <sz val="9"/>
            <color indexed="81"/>
            <rFont val="Tahoma"/>
            <family val="2"/>
          </rPr>
          <t>IV. Расходы без государственных целевых фондов - всего</t>
        </r>
      </text>
    </comment>
    <comment ref="AE21" authorId="0" shapeId="0" xr:uid="{8E82A014-A953-473F-B5E9-D0A78E5093F3}">
      <text>
        <r>
          <rPr>
            <sz val="9"/>
            <color indexed="81"/>
            <rFont val="Tahoma"/>
            <family val="2"/>
          </rPr>
          <t>II. РАСХОДЫ (БЕЗ ЦЕЛЕВЫХ ФОНДОВ) - ВСЕГО</t>
        </r>
      </text>
    </comment>
    <comment ref="AE34" authorId="0" shapeId="0" xr:uid="{ACBB4D34-54BF-4B45-BE83-29DC0EF4294D}">
      <text>
        <r>
          <rPr>
            <b/>
            <sz val="9"/>
            <color indexed="81"/>
            <rFont val="Tahoma"/>
            <family val="2"/>
          </rPr>
          <t>Yuri Borovsky:</t>
        </r>
        <r>
          <rPr>
            <sz val="9"/>
            <color indexed="81"/>
            <rFont val="Tahoma"/>
            <family val="2"/>
          </rPr>
          <t xml:space="preserve">
Alternatively = 20631.9 from  https://www.mf.uz/media/file/state-budget/2018_pr_isp/2018_ob_rasx_2018.pdf
I suugest to take 20631;9 as it is comin from a similar file than the one used for 2019</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Jonathan Dupain</author>
  </authors>
  <commentList>
    <comment ref="BE53" authorId="0" shapeId="0" xr:uid="{EE770E84-6396-4632-BE35-2D5F9F6BAD53}">
      <text>
        <r>
          <rPr>
            <b/>
            <sz val="9"/>
            <color indexed="81"/>
            <rFont val="Tahoma"/>
            <family val="2"/>
          </rPr>
          <t>Jonathan Dupain:</t>
        </r>
        <r>
          <rPr>
            <sz val="9"/>
            <color indexed="81"/>
            <rFont val="Tahoma"/>
            <family val="2"/>
          </rPr>
          <t xml:space="preserve">
Estimé selon taux exécution dépenses courantes générales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Auteur</author>
    <author>Author</author>
  </authors>
  <commentList>
    <comment ref="T19" authorId="0" shapeId="0" xr:uid="{E9E63EC8-3BC6-46F5-93D7-1B82074E3F14}">
      <text>
        <r>
          <rPr>
            <b/>
            <sz val="9"/>
            <color indexed="81"/>
            <rFont val="Tahoma"/>
            <family val="2"/>
          </rPr>
          <t>Auteur:</t>
        </r>
        <r>
          <rPr>
            <sz val="9"/>
            <color indexed="81"/>
            <rFont val="Tahoma"/>
            <family val="2"/>
          </rPr>
          <t xml:space="preserve">
This value comes from a different document and is too large for the total.
</t>
        </r>
        <r>
          <rPr>
            <b/>
            <sz val="9"/>
            <color indexed="81"/>
            <rFont val="Tahoma"/>
            <family val="2"/>
          </rPr>
          <t xml:space="preserve">UIS (12/17): </t>
        </r>
        <r>
          <rPr>
            <sz val="9"/>
            <color indexed="81"/>
            <rFont val="Tahoma"/>
            <family val="2"/>
          </rPr>
          <t>we could not find this figure--what other document does it come from? Why not use interest payments as reported in the same table in the same monthly report (this is what we did for the 2018 exercise, but the interest payments are much higher)</t>
        </r>
      </text>
    </comment>
    <comment ref="V19" authorId="0" shapeId="0" xr:uid="{06D7299B-0AB8-4A9B-B266-752587A9992D}">
      <text>
        <r>
          <rPr>
            <b/>
            <sz val="9"/>
            <color indexed="81"/>
            <rFont val="Tahoma"/>
            <family val="2"/>
          </rPr>
          <t>Auteur:</t>
        </r>
        <r>
          <rPr>
            <sz val="9"/>
            <color indexed="81"/>
            <rFont val="Tahoma"/>
            <family val="2"/>
          </rPr>
          <t xml:space="preserve">
This value comes from a different document and is too large for the total.</t>
        </r>
      </text>
    </comment>
    <comment ref="H21" authorId="1" shapeId="0" xr:uid="{1125AB4C-6AA5-41F7-B60C-4EA6DDB014E3}">
      <text>
        <r>
          <rPr>
            <b/>
            <sz val="9"/>
            <color indexed="81"/>
            <rFont val="Tahoma"/>
            <family val="2"/>
          </rPr>
          <t>Author:</t>
        </r>
        <r>
          <rPr>
            <sz val="9"/>
            <color indexed="81"/>
            <rFont val="Tahoma"/>
            <family val="2"/>
          </rPr>
          <t xml:space="preserve">
Does not macth government listed "Total Expenditure" on p20 = 216222</t>
        </r>
      </text>
    </comment>
    <comment ref="L21" authorId="1" shapeId="0" xr:uid="{246A1578-17DD-49F7-AF23-4E45850C7D3C}">
      <text>
        <r>
          <rPr>
            <b/>
            <sz val="9"/>
            <color indexed="81"/>
            <rFont val="Tahoma"/>
            <family val="2"/>
          </rPr>
          <t>Author:</t>
        </r>
        <r>
          <rPr>
            <sz val="9"/>
            <color indexed="81"/>
            <rFont val="Tahoma"/>
            <family val="2"/>
          </rPr>
          <t xml:space="preserve">
This is a SUM() total and is different from the actual document data.</t>
        </r>
      </text>
    </comment>
    <comment ref="L23" authorId="1" shapeId="0" xr:uid="{A050939C-1CE2-463D-A3E7-61A623AF58DB}">
      <text>
        <r>
          <rPr>
            <b/>
            <sz val="9"/>
            <color indexed="81"/>
            <rFont val="Tahoma"/>
            <family val="2"/>
          </rPr>
          <t>Author:</t>
        </r>
        <r>
          <rPr>
            <sz val="9"/>
            <color indexed="81"/>
            <rFont val="Tahoma"/>
            <family val="2"/>
          </rPr>
          <t xml:space="preserve">
Can't backtrack where the sum of these figures came from.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tc={31E32814-A51E-458C-9D84-58ACAB468DAA}</author>
    <author>tc={3885233F-56E2-47A4-8C9F-25000EA397F0}</author>
    <author>Jonathan Dupain</author>
    <author>Serge PEANO</author>
  </authors>
  <commentList>
    <comment ref="Z8" authorId="0" shapeId="0" xr:uid="{31E32814-A51E-458C-9D84-58ACAB468DAA}">
      <text>
        <t>[Threaded comment]
Your version of Excel allows you to read this threaded comment; however, any edits to it will get removed if the file is opened in a newer version of Excel. Learn more: https://go.microsoft.com/fwlink/?linkid=870924
Comment:
    NB - estimations based on 2018 execution rate - TO BE VALIDATED</t>
      </text>
    </comment>
    <comment ref="AE10" authorId="1" shapeId="0" xr:uid="{3885233F-56E2-47A4-8C9F-25000EA397F0}">
      <text>
        <t>[Threaded comment]
Your version of Excel allows you to read this threaded comment; however, any edits to it will get removed if the file is opened in a newer version of Excel. Learn more: https://go.microsoft.com/fwlink/?linkid=870924
Comment:
    NB - added implementation rate</t>
      </text>
    </comment>
    <comment ref="AS21" authorId="2" shapeId="0" xr:uid="{B6866A5B-D7D1-4F73-9156-37643C23B954}">
      <text>
        <r>
          <rPr>
            <b/>
            <sz val="9"/>
            <color indexed="81"/>
            <rFont val="Tahoma"/>
            <family val="2"/>
          </rPr>
          <t>Jonathan Dupain:</t>
        </r>
        <r>
          <rPr>
            <sz val="9"/>
            <color indexed="81"/>
            <rFont val="Tahoma"/>
            <family val="2"/>
          </rPr>
          <t xml:space="preserve">
Incohérence dans les chiffres mais le total est bon après vérification dans fichier Excel</t>
        </r>
      </text>
    </comment>
    <comment ref="AG35" authorId="3" shapeId="0" xr:uid="{BA055049-E120-42CD-A375-597F8F648FB2}">
      <text>
        <r>
          <rPr>
            <b/>
            <sz val="9"/>
            <color indexed="81"/>
            <rFont val="Tahoma"/>
            <family val="2"/>
          </rPr>
          <t>Serge PEANO:</t>
        </r>
        <r>
          <rPr>
            <sz val="9"/>
            <color indexed="81"/>
            <rFont val="Tahoma"/>
            <family val="2"/>
          </rPr>
          <t xml:space="preserve">
J'ai modifié, il me  sembleque c'était 1) total et 2° dont capital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tc={84AF0A0D-E3EB-403B-8392-46650054E74E}</author>
    <author>Shailendra Sigdel</author>
  </authors>
  <commentList>
    <comment ref="BE6" authorId="0" shapeId="0" xr:uid="{84AF0A0D-E3EB-403B-8392-46650054E74E}">
      <text>
        <t>[Threaded comment]
Your version of Excel allows you to read this threaded comment; however, any edits to it will get removed if the file is opened in a newer version of Excel. Learn more: https://go.microsoft.com/fwlink/?linkid=870924
Comment:
    this seems to be a dupplication of the following year.</t>
      </text>
    </comment>
    <comment ref="AC8" authorId="1" shapeId="0" xr:uid="{6D9EA90E-A260-4165-82A0-5B66362EE896}">
      <text>
        <r>
          <rPr>
            <b/>
            <sz val="9"/>
            <color indexed="81"/>
            <rFont val="Tahoma"/>
            <family val="2"/>
          </rPr>
          <t>Shailendra Sigdel:</t>
        </r>
        <r>
          <rPr>
            <sz val="9"/>
            <color indexed="81"/>
            <rFont val="Tahoma"/>
            <family val="2"/>
          </rPr>
          <t xml:space="preserve">
It should be in 000 not in million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Jonathan Dupain</author>
    <author>Serge PEANO</author>
    <author>uis-admin</author>
    <author>tc={D4E91080-0F7C-4B21-B27F-822AFAB7C6E8}</author>
  </authors>
  <commentList>
    <comment ref="AS17" authorId="0" shapeId="0" xr:uid="{896A5AF7-7F54-4D55-A713-154F87D18D58}">
      <text>
        <r>
          <rPr>
            <b/>
            <sz val="9"/>
            <color indexed="81"/>
            <rFont val="Tahoma"/>
            <family val="2"/>
          </rPr>
          <t>Jonathan Dupain:</t>
        </r>
        <r>
          <rPr>
            <sz val="9"/>
            <color indexed="81"/>
            <rFont val="Tahoma"/>
            <family val="2"/>
          </rPr>
          <t xml:space="preserve">
Y compris dépenses fond routier</t>
        </r>
      </text>
    </comment>
    <comment ref="BI19" authorId="1" shapeId="0" xr:uid="{294A4D16-7B13-4758-ABF8-F5A8766AAF75}">
      <text>
        <r>
          <rPr>
            <b/>
            <sz val="9"/>
            <color indexed="81"/>
            <rFont val="Tahoma"/>
            <family val="2"/>
          </rPr>
          <t xml:space="preserve">Serge PEAN0:
</t>
        </r>
        <r>
          <rPr>
            <sz val="9"/>
            <color indexed="81"/>
            <rFont val="Tahoma"/>
            <family val="2"/>
          </rPr>
          <t>RAPEX ne comprend pas les financements extérieurs: pris dans LFI et exécution estimée</t>
        </r>
      </text>
    </comment>
    <comment ref="AN20" authorId="2" shapeId="0" xr:uid="{59895CAD-8FB7-4D6B-B60E-C75A1949406F}">
      <text>
        <r>
          <rPr>
            <b/>
            <sz val="9"/>
            <color indexed="81"/>
            <rFont val="Tahoma"/>
            <family val="2"/>
          </rPr>
          <t>uis-admin:</t>
        </r>
        <r>
          <rPr>
            <sz val="9"/>
            <color indexed="81"/>
            <rFont val="Tahoma"/>
            <family val="2"/>
          </rPr>
          <t xml:space="preserve">
versement interets 
+ Depenses des fonds (fonds routier national)</t>
        </r>
      </text>
    </comment>
    <comment ref="BK22" authorId="3" shapeId="0" xr:uid="{D4E91080-0F7C-4B21-B27F-822AFAB7C6E8}">
      <text>
        <t>[Threaded comment]
Your version of Excel allows you to read this threaded comment; however, any edits to it will get removed if the file is opened in a newer version of Excel. Learn more: https://go.microsoft.com/fwlink/?linkid=870924
Comment:
    TOTAL WAS MISSING - I added it</t>
      </text>
    </comment>
    <comment ref="BE37" authorId="1" shapeId="0" xr:uid="{0AD2C17A-1D73-4DC7-AC78-CB7FDF17E61C}">
      <text>
        <r>
          <rPr>
            <b/>
            <sz val="9"/>
            <color indexed="81"/>
            <rFont val="Tahoma"/>
            <family val="2"/>
          </rPr>
          <t>Serge PEANO:</t>
        </r>
        <r>
          <rPr>
            <sz val="9"/>
            <color indexed="81"/>
            <rFont val="Tahoma"/>
            <family val="2"/>
          </rPr>
          <t xml:space="preserve">
exécution estimée comme ressources internes</t>
        </r>
      </text>
    </comment>
    <comment ref="BI40" authorId="1" shapeId="0" xr:uid="{B0C7910F-6B11-4C27-821E-FF50276E8ECC}">
      <text>
        <r>
          <rPr>
            <b/>
            <sz val="9"/>
            <color indexed="81"/>
            <rFont val="Tahoma"/>
            <family val="2"/>
          </rPr>
          <t>Serge PEANO:</t>
        </r>
        <r>
          <rPr>
            <sz val="9"/>
            <color indexed="81"/>
            <rFont val="Tahoma"/>
            <family val="2"/>
          </rPr>
          <t xml:space="preserve">
RAPEX ne comprend pas les financements extérieurs : pris dans LFI etexécution estimée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Jonathan Dupain</author>
  </authors>
  <commentList>
    <comment ref="BE50" authorId="0" shapeId="0" xr:uid="{99DF0EE2-F713-472E-8F3E-E6434674D64F}">
      <text>
        <r>
          <rPr>
            <b/>
            <sz val="9"/>
            <color indexed="81"/>
            <rFont val="Tahoma"/>
            <family val="2"/>
          </rPr>
          <t>Jonathan Dupain:</t>
        </r>
        <r>
          <rPr>
            <sz val="9"/>
            <color indexed="81"/>
            <rFont val="Tahoma"/>
            <family val="2"/>
          </rPr>
          <t xml:space="preserve">
Appui à la FP</t>
        </r>
      </text>
    </comment>
    <comment ref="BE67" authorId="0" shapeId="0" xr:uid="{0D0043C0-3ECD-4C62-9DC2-9E59D303A1E3}">
      <text>
        <r>
          <rPr>
            <b/>
            <sz val="9"/>
            <color indexed="81"/>
            <rFont val="Tahoma"/>
            <family val="2"/>
          </rPr>
          <t>Jonathan Dupain:</t>
        </r>
        <r>
          <rPr>
            <sz val="9"/>
            <color indexed="81"/>
            <rFont val="Tahoma"/>
            <family val="2"/>
          </rPr>
          <t xml:space="preserve">
Pécules des étudiants/élèves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tc={A5DE7D97-2F61-4BBD-A94E-41278B083E47}</author>
    <author>tc={9A4E75CE-CBB4-4C06-BCFD-6E104FF2F330}</author>
    <author>tc={DDB049CD-FBF1-4095-9D8B-61CDF068B84F}</author>
    <author>tc={E11997FA-1D29-4AB1-81A2-B71732847FF4}</author>
  </authors>
  <commentList>
    <comment ref="AZ10" authorId="0" shapeId="0" xr:uid="{A5DE7D97-2F61-4BBD-A94E-41278B083E47}">
      <text>
        <t>[Threaded comment]
Your version of Excel allows you to read this threaded comment; however, any edits to it will get removed if the file is opened in a newer version of Excel. Learn more: https://go.microsoft.com/fwlink/?linkid=870924
Comment:
    calculated implementation rate</t>
      </text>
    </comment>
    <comment ref="BH30" authorId="1" shapeId="0" xr:uid="{9A4E75CE-CBB4-4C06-BCFD-6E104FF2F330}">
      <text>
        <t>[Threaded comment]
Your version of Excel allows you to read this threaded comment; however, any edits to it will get removed if the file is opened in a newer version of Excel. Learn more: https://go.microsoft.com/fwlink/?linkid=870924
Comment:
    Estimation - based on execution rate 2019</t>
      </text>
    </comment>
    <comment ref="BH81" authorId="2" shapeId="0" xr:uid="{DDB049CD-FBF1-4095-9D8B-61CDF068B84F}">
      <text>
        <t>[Threaded comment]
Your version of Excel allows you to read this threaded comment; however, any edits to it will get removed if the file is opened in a newer version of Excel. Learn more: https://go.microsoft.com/fwlink/?linkid=870924
Comment:
    ESTIMATION - based on execution rate 2019</t>
      </text>
    </comment>
    <comment ref="BH83" authorId="3" shapeId="0" xr:uid="{E11997FA-1D29-4AB1-81A2-B71732847FF4}">
      <text>
        <t>[Threaded comment]
Your version of Excel allows you to read this threaded comment; however, any edits to it will get removed if the file is opened in a newer version of Excel. Learn more: https://go.microsoft.com/fwlink/?linkid=870924
Comment:
    estimation - based on execution rate 2019</t>
      </text>
    </comment>
  </commentList>
</comments>
</file>

<file path=xl/sharedStrings.xml><?xml version="1.0" encoding="utf-8"?>
<sst xmlns="http://schemas.openxmlformats.org/spreadsheetml/2006/main" count="23823" uniqueCount="6791">
  <si>
    <t>no data available</t>
  </si>
  <si>
    <t>SOURCE: IMF WEO (as at 11/5/2019)</t>
  </si>
  <si>
    <t>SOURCE: UIS database (as at 11/5/2019)</t>
  </si>
  <si>
    <t>Education expenditure</t>
  </si>
  <si>
    <t>Government expenditure</t>
  </si>
  <si>
    <t>GDP</t>
  </si>
  <si>
    <t>Total gvt expenditure</t>
  </si>
  <si>
    <t>Total ed exp. as %GDP</t>
  </si>
  <si>
    <t>Total ed exp. as % gvt exp</t>
  </si>
  <si>
    <t>Country</t>
  </si>
  <si>
    <t>Total</t>
  </si>
  <si>
    <t>Recurrent</t>
  </si>
  <si>
    <t>Capital (CALC)</t>
  </si>
  <si>
    <t>Debt service</t>
  </si>
  <si>
    <t>Total incl. DS</t>
  </si>
  <si>
    <t>Total excl. DS</t>
  </si>
  <si>
    <t>Recurrent incl. DS</t>
  </si>
  <si>
    <t>Recurrent excl. DS</t>
  </si>
  <si>
    <t>E/A/B?</t>
  </si>
  <si>
    <t>Gross domestic expenditure, current prices (national currency)</t>
  </si>
  <si>
    <t>General government total expenditure (national currency)</t>
  </si>
  <si>
    <t>VARIBALE HERE</t>
  </si>
  <si>
    <t>Afghanistan</t>
  </si>
  <si>
    <t>Albania</t>
  </si>
  <si>
    <t>Bangladesh</t>
  </si>
  <si>
    <t>Benin</t>
  </si>
  <si>
    <t>Bhutan</t>
  </si>
  <si>
    <t>Burkina Faso</t>
  </si>
  <si>
    <t>Burundi</t>
  </si>
  <si>
    <t>Cambodia</t>
  </si>
  <si>
    <t>Cameroon</t>
  </si>
  <si>
    <t xml:space="preserve">Chad </t>
  </si>
  <si>
    <t>B</t>
  </si>
  <si>
    <t>Congo</t>
  </si>
  <si>
    <t>Cote d'Ivoire</t>
  </si>
  <si>
    <t>E</t>
  </si>
  <si>
    <t>Djibouti</t>
  </si>
  <si>
    <t>DRC</t>
  </si>
  <si>
    <t>Gambia</t>
  </si>
  <si>
    <t>A</t>
  </si>
  <si>
    <t>Ghana</t>
  </si>
  <si>
    <t>A only for total; only B available for recurrent</t>
  </si>
  <si>
    <t>Guinea</t>
  </si>
  <si>
    <t>Guyana</t>
  </si>
  <si>
    <t>Haiti</t>
  </si>
  <si>
    <t>Honduras</t>
  </si>
  <si>
    <t>Laos</t>
  </si>
  <si>
    <t>Lesotho</t>
  </si>
  <si>
    <t>Liberia</t>
  </si>
  <si>
    <t>Madagascar</t>
  </si>
  <si>
    <t>Malawi</t>
  </si>
  <si>
    <t>Mali</t>
  </si>
  <si>
    <t>Mauritania</t>
  </si>
  <si>
    <t>Moldova</t>
  </si>
  <si>
    <t>Mozambique</t>
  </si>
  <si>
    <t>used budgeted, as execture was only partial</t>
  </si>
  <si>
    <t xml:space="preserve">Nepal </t>
  </si>
  <si>
    <t>Nicaragua</t>
  </si>
  <si>
    <t>Niger</t>
  </si>
  <si>
    <t>Pakistan (Balochistan)</t>
  </si>
  <si>
    <t>Pakistan (Sindh)</t>
  </si>
  <si>
    <t>Papua New Guinea</t>
  </si>
  <si>
    <t>CHECK RECURRENT HERE DOWN</t>
  </si>
  <si>
    <t>Rwanda</t>
  </si>
  <si>
    <t>Sao Tome</t>
  </si>
  <si>
    <t>Senegal</t>
  </si>
  <si>
    <t>Sierra Leone</t>
  </si>
  <si>
    <t>South Sudan</t>
  </si>
  <si>
    <t>Tanzania (Mainland)</t>
  </si>
  <si>
    <t>Tanzania (Zanzibar)</t>
  </si>
  <si>
    <t>Timor Leste</t>
  </si>
  <si>
    <t>Togo</t>
  </si>
  <si>
    <t>Uganda</t>
  </si>
  <si>
    <t>Vietnam</t>
  </si>
  <si>
    <t>Zambia</t>
  </si>
  <si>
    <t>Zimbabwe</t>
  </si>
  <si>
    <t>Summary_inputs</t>
  </si>
  <si>
    <t>Summary of education and total government expenditure</t>
  </si>
  <si>
    <t>If actual or estimated value are not available for all the years, the summary refers to budget in all the years</t>
  </si>
  <si>
    <t xml:space="preserve">Summary </t>
  </si>
  <si>
    <t xml:space="preserve">Summary indicators: </t>
  </si>
  <si>
    <t>education expenditure as % of government expenditure</t>
  </si>
  <si>
    <t>education expenditure as % of GDP</t>
  </si>
  <si>
    <t>Share of domestic financing to education (total government expenditure) (%)</t>
  </si>
  <si>
    <t>Share of domestic financing to education (recurrent government expenditure) (%)</t>
  </si>
  <si>
    <t>Excluding debt servicing</t>
  </si>
  <si>
    <t>Including debt servicing</t>
  </si>
  <si>
    <t>Education expenditure as % of GDP</t>
  </si>
  <si>
    <t>Comoros</t>
  </si>
  <si>
    <t>Summary table</t>
  </si>
  <si>
    <t>N</t>
  </si>
  <si>
    <t>&gt;20%</t>
  </si>
  <si>
    <t>&gt;4%</t>
  </si>
  <si>
    <t>Legend</t>
  </si>
  <si>
    <t>No data available</t>
  </si>
  <si>
    <t>Sub-national units</t>
  </si>
  <si>
    <t>Actual expenditure</t>
  </si>
  <si>
    <t>Estimates (based on execution rate)</t>
  </si>
  <si>
    <t>Budgeted values</t>
  </si>
  <si>
    <t>SOURCE: IMF WEO (as of 04/06/2021)</t>
  </si>
  <si>
    <t>summary - category of data</t>
  </si>
  <si>
    <t>Currency</t>
  </si>
  <si>
    <t>Unit</t>
  </si>
  <si>
    <t>GDP national currency</t>
  </si>
  <si>
    <t>E/A/B</t>
  </si>
  <si>
    <t>2016-2019</t>
  </si>
  <si>
    <t>Gross domestic product, current prices (national currency)</t>
  </si>
  <si>
    <t>-</t>
  </si>
  <si>
    <t>Central African Republic</t>
  </si>
  <si>
    <t>Chad</t>
  </si>
  <si>
    <t>Ethiopia</t>
  </si>
  <si>
    <t>Kenya</t>
  </si>
  <si>
    <t>Lao PDR</t>
  </si>
  <si>
    <t>Nepal</t>
  </si>
  <si>
    <t>Tajikistan</t>
  </si>
  <si>
    <t>Uzbekistan</t>
  </si>
  <si>
    <t>ZWL</t>
  </si>
  <si>
    <t>Subject Descriptor</t>
  </si>
  <si>
    <t>Units</t>
  </si>
  <si>
    <t>Scale</t>
  </si>
  <si>
    <t>Country/Series-specific Notes</t>
  </si>
  <si>
    <t>Estimates Start After</t>
  </si>
  <si>
    <t>Gross domestic product, current prices</t>
  </si>
  <si>
    <t>National currency</t>
  </si>
  <si>
    <t>Billions</t>
  </si>
  <si>
    <t>Source: National Statistics Office Latest actual data: 2019 Notes: National accounts data is originally compiled on the basis of a solar year, which runs from March 21 to March 20. Data is converted to calendar years for the purpose of WEO publication. National accounts manual used: System of National Accounts (SNA) 2008 GDP valuation: Market prices Start/end months of reporting year: January/December Base year: 2016. Base year is the solar year 2002/03 Chain-weighted: No Primary domestic currency: Afghan afghani Data last updated: 07/2021</t>
  </si>
  <si>
    <t>n/a</t>
  </si>
  <si>
    <t>Source: IMF Staff Estimates. Official national accounts, including real GDP growth, rates available from 1996 onwards. Latest actual data: 2020 National accounts manual used: European System of Accounts (ESA) 2010 GDP valuation: Market prices Start/end months of reporting year: January/December Base year: 1996 Chain-weighted: Yes, from 1996 Primary domestic currency: Albanian lek Data last updated: 08/2021</t>
  </si>
  <si>
    <t>Algeria</t>
  </si>
  <si>
    <t>Source: National Statistics Office Latest actual data: 2019 National accounts manual used: System of National Accounts (SNA) 1993 GDP valuation: Market prices Start/end months of reporting year: January/December Base year: 2001 Chain-weighted: Yes, from 2005 Primary domestic currency: Algerian dinar Data last updated: 09/2021</t>
  </si>
  <si>
    <t>Angola</t>
  </si>
  <si>
    <t>Source: National Statistics Office. Ministry of Planning Latest actual data: 2020. Starting from the year 2002, historical National Accounts data are provided by Angola's National Institute of Statistics (INE). Data for prior years are based on different sources and/or estimated by IMF staff, including using a ratio slicing method in order to avoid breaks in the data. Notes: Starting from the year 2002, the composition of aggregate demand was revised taking into account updated information from the authorities' National Accounts statistics. Data for prior years are based on [old information] and/or estimated by IMF staff, including using a ratio slicing method in order to avoid breaks in the data. National accounts manual used: European System of Accounts (ESA) 1995 GDP valuation: Market prices Start/end months of reporting year: January/December Base year: 2002 Chain-weighted: No Primary domestic currency: Angolan kwanza Data last updated: 09/2021</t>
  </si>
  <si>
    <t>Antigua and Barbuda</t>
  </si>
  <si>
    <t>Source: Central Bank Latest actual data: 2019.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Nominal and real GDP are measured at market prices Start/end months of reporting year: January/December Base year: 2006 Chain-weighted: No Primary domestic currency: Eastern Caribbean dollar Data last updated: 09/2021</t>
  </si>
  <si>
    <t>Argentina</t>
  </si>
  <si>
    <t>Source: National Statistics Office Latest actual data: 2020 National accounts manual used: System of National Accounts (SNA) 2008 GDP valuation: Market prices Start/end months of reporting year: January/December Base year: 2004 Chain-weighted: No Primary domestic currency: Argentine peso Data last updated: 09/2021</t>
  </si>
  <si>
    <t>Armenia</t>
  </si>
  <si>
    <t>Source: National Statistics Office Latest actual data: 2020 National accounts manual used: System of National Accounts (SNA) 2008 GDP valuation: Market prices Start/end months of reporting year: January/December Base year: 2005 Chain-weighted: No Primary domestic currency: Armenian dram Data last updated: 09/2021</t>
  </si>
  <si>
    <t>Aruba</t>
  </si>
  <si>
    <t>Source: National Statistics Office Latest actual data: 2020. The Central Bureau of Statistics (CBS) has compiled GDP at current prices by the production and expenditure approaches up to 2009 and has recently done so for the period 2013-17. GDP at constant prices by the expenditure approach has been estimated and disseminated by the Central Bank of Aruba up to 2017. In 2021, the CBS is still working on their update and revision of Aruba's National Account Statistics. National accounts manual used: System of National Accounts (SNA) 1993 GDP valuation: Market prices Start/end months of reporting year: January/December Base year: 2013 Chain-weighted: Yes, from 2000 Primary domestic currency: Aruban Florin Data last updated: 09/2021</t>
  </si>
  <si>
    <t>Azerbaijan</t>
  </si>
  <si>
    <t>Source: National Statistics Office Latest actual data: 2020 Notes: Data prior to 2001 cannot be confirmed at this time. National accounts manual used: System of National Accounts (SNA) 1993 GDP valuation: Market prices Start/end months of reporting year: January/December Base year: 2005 Chain-weighted: Yes, from 1994 Primary domestic currency: Azerbaijan manat Data last updated: 08/2021</t>
  </si>
  <si>
    <t>The Bahamas</t>
  </si>
  <si>
    <t>Source: National Statistics Office Latest actual data: 2019 National accounts manual used: System of National Accounts (SNA) 1993 GDP valuation: Market prices Start/end months of reporting year: January/December Base year: 2012 Chain-weighted: No Primary domestic currency: Bahamian dollar Data last updated: 09/2021</t>
  </si>
  <si>
    <t>Bahrain</t>
  </si>
  <si>
    <t>Source: National Statistics Office. Prior to 1990 data are IMF staff estimates Latest actual data: 2020 National accounts manual used: System of National Accounts (SNA) 2008 GDP valuation: Market prices Start/end months of reporting year: January/December Base year: 2010 Chain-weighted: No Primary domestic currency: Bahrain dinar Data last updated: 09/2021</t>
  </si>
  <si>
    <t>Source: National Statistics Office. Bangladesh Bureau of Statistics Latest actual data: FY2019/20. Fiscal year data are mapped to calendar year as follows: FY(t/t+1) = CY(t+1) National accounts manual used: System of National Accounts (SNA) 2008 GDP valuation: Market prices Start/end months of reporting year: July/June. Authorities report July/June Base year: FY2005/06. The base year is in fiscal year Chain-weighted: No Primary domestic currency: Bangladesh taka Data last updated: 09/2021</t>
  </si>
  <si>
    <t>Barbados</t>
  </si>
  <si>
    <t>Source: National Statistics Office. The National Statistics Office is the primary source of National Accounts Data. Partial data is published on the central bank website. Expenditure side not available. Latest actual data: 2019 National accounts manual used: System of National Accounts (SNA) 1993 GDP valuation: Factor costs Start/end months of reporting year: January/December Base year: 2010. Constant price GDP is based on 1974 as base year, compiled by the Central bank of Barbados (CBB). Currently, the Barbados Statistical Services (BSS) ,with the assistance of CARTAC, began compiling constant price GDP by industry using 2010 as base year. Chain-weighted: No Primary domestic currency: Barbados dollar Data last updated: 08/2021</t>
  </si>
  <si>
    <t>Belarus</t>
  </si>
  <si>
    <t>Source: National Statistics Office. Formally, the National Statistical Committee of the Republic of Belarus Latest actual data: 2020 Notes: The national accounts have been updated from 2014 onwards. Prior to 2014 the data are adjusted to produce smooth series with the use of a splicing technique. These estimates continue to serve as proxies for historical series when complete information is unavailable. Statistical discrepancies between GDP and components are a consequence of statistical discrepancies reported by the authorities and chain-weighting. National accounts manual used: System of National Accounts (SNA) 2008 GDP valuation: Market prices Start/end months of reporting year: January/December Base year: 2018 Chain-weighted: Yes, from 2005 Primary domestic currency: Belarusian ruble Data last updated: 09/2021</t>
  </si>
  <si>
    <t>Belize</t>
  </si>
  <si>
    <t>Source: National Statistics Office Latest actual data: 2020. National accounts data in real and nominal terms from the production and expenditure sides are available at annual frequency and are published once a year. Data up to 2019 was released on April 2021. Real GDP from the supply side is also published at quarterly frequency. The latest data published in August 2021 goes to the second quarter of 2021. National accounts manual used: System of National Accounts (SNA) 1993 GDP valuation: Market prices Start/end months of reporting year: January/December Base year: 2000 Chain-weighted: No Primary domestic currency: Belize dollar Data last updated: 09/2021</t>
  </si>
  <si>
    <t>Source: National Statistics Office Latest actual data: 2019 National accounts manual used: System of National Accounts (SNA) 2008 GDP valuation: Market prices Start/end months of reporting year: January/December Base year: 2015 Chain-weighted: No Primary domestic currency: CFA franc Data last updated: 07/2021</t>
  </si>
  <si>
    <t>Source: National Statistics Office Latest actual data: FY2019/20. Fiscal year data are mapped to calendar year as follows: FY(t/t+1) = CY(t+1) National accounts manual used: System of National Accounts (SNA) 1993 GDP valuation: Factor costs Start/end months of reporting year: July/June Base year: FY2000/01. Nominal and real GDP are not measured in the same way and as a result, the GDP deflator is not equal to 100. Chain-weighted: No Primary domestic currency: Bhutanese ngultrum Data last updated: 09/2021</t>
  </si>
  <si>
    <t>Bolivia</t>
  </si>
  <si>
    <t>Source: National Statistics Office Latest actual data: 2020 National accounts manual used: System of National Accounts (SNA) 2008 GDP valuation: Market prices Start/end months of reporting year: January/December Base year: 1990 Chain-weighted: No Primary domestic currency: Bolivian boliviano Data last updated: 08/2021</t>
  </si>
  <si>
    <t>Bosnia and Herzegovina</t>
  </si>
  <si>
    <t>Source: National Statistics Office Latest actual data: 2020 National accounts manual used: European System of Accounts (ESA) 2010 GDP valuation: Market prices Start/end months of reporting year: January/December Base year: 2015 Chain-weighted: Yes, from 2000 Primary domestic currency: Bosnian convertible marka Data last updated: 09/2021</t>
  </si>
  <si>
    <t>Botswana</t>
  </si>
  <si>
    <t>Source: National Statistics Office Latest actual data: 2020 National accounts manual used: System of National Accounts (SNA) 2008. The authority just updated and rebased national accounts using 2008 SNA from 2014 onwards. Before that, data are still based on 1993 SNA GDP valuation: Market prices Start/end months of reporting year: January/December Base year: 2016. From 2014 onwards, the base year was just updated to 2016. Before 2014, data are back-cast: GDP series uses the growth rates of the previous data (a ratio-splice); GDP components uses the share of GDP. Chain-weighted: No Primary domestic currency: Botswana pula Data last updated: 08/2021</t>
  </si>
  <si>
    <t>Brazil</t>
  </si>
  <si>
    <t>Source: National Statistics Office Latest actual data: 2020 National accounts manual used: System of National Accounts (SNA) 2008 GDP valuation: Market prices Start/end months of reporting year: January/December Base year: 1995 Chain-weighted: No Primary domestic currency: Brazilian real Data last updated: 09/2021</t>
  </si>
  <si>
    <t>Brunei Darussalam</t>
  </si>
  <si>
    <t>Source: Ministry of Finance or Treasury. Department of Economic Planning and Statistics Latest actual data: 2020 National accounts manual used: System of National Accounts (SNA) 2008 GDP valuation: Market prices Start/end months of reporting year: January/December Base year: 2010 Chain-weighted: No Primary domestic currency: Brunei dollar Data last updated: 08/2021</t>
  </si>
  <si>
    <t>Bulgaria</t>
  </si>
  <si>
    <t>Source: National Statistics Office Latest actual data: 2020 National accounts manual used: European System of Accounts (ESA) 2010 GDP valuation: Market prices Start/end months of reporting year: January/December Base year: 2015 Chain-weighted: Yes, from 1996 Primary domestic currency: Bulgarian lev Data last updated: 09/2021</t>
  </si>
  <si>
    <t>Source: National Statistics Office. The ministry of economy also provides estimates Latest actual data: 2020 National accounts manual used: System of National Accounts (SNA) 2008 GDP valuation: Market prices Start/end months of reporting year: January/December Base year: 2015 Chain-weighted: No Primary domestic currency: CFA franc Data last updated: 08/2021</t>
  </si>
  <si>
    <t>Source: National Statistics Office. National Statistics Office / World Bank. World Bank estimates from 2012 onwards. Latest actual data: 2019. World Bank estimates used 2012-2019. National accounts manual used: System of National Accounts (SNA) 1993 GDP valuation: Market prices Start/end months of reporting year: January/December Base year: 2005 Chain-weighted: No Primary domestic currency: Burundi franc Data last updated: 08/2021</t>
  </si>
  <si>
    <t>Cabo Verde</t>
  </si>
  <si>
    <t>Source: National Statistics Office Latest actual data: 2019 Notes: The national accounts data have been revised from 2002 onward. The new data are obtained through a new computation methodology that uses an updated input-output table. The base year for the constant prices data is 2007. National accounts manual used: System of National Accounts (SNA) 2008 GDP valuation: Market prices Start/end months of reporting year: January/December Base year: 2007 Chain-weighted: Yes, from 2011 Primary domestic currency: Cabo Verdean escudo Data last updated: 09/2021</t>
  </si>
  <si>
    <t>Source: National Statistics Office Latest actual data: 2020 National accounts manual used: System of National Accounts (SNA) 1993 GDP valuation: Market prices Start/end months of reporting year: January/December Base year: 2000. The GDP deflator data from the authorities do not equal 100 in the base period Chain-weighted: No Primary domestic currency: Cambodian riel Data last updated: 08/2021</t>
  </si>
  <si>
    <t>Source: National Statistics Office Latest actual data: 2020 National accounts manual used: System of National Accounts (SNA) 2008 GDP valuation: Market prices Start/end months of reporting year: January/December Base year: 2005 Chain-weighted: No Primary domestic currency: CFA franc Data last updated: 09/2021</t>
  </si>
  <si>
    <t>Source: National Statistics Office Latest actual data: 2017 National accounts manual used: System of National Accounts (SNA) 1993 GDP valuation: Market prices Start/end months of reporting year: January/December Base year: 2005 Chain-weighted: No Primary domestic currency: CFA franc Data last updated: 08/2021</t>
  </si>
  <si>
    <t>Source: Central Bank Latest actual data: 2017 National accounts manual used: System of National Accounts (SNA) 1993 GDP valuation: Market prices Start/end months of reporting year: January/December Base year: 2005 Chain-weighted: No Primary domestic currency: CFA franc Data last updated: 09/2021</t>
  </si>
  <si>
    <t>Chile</t>
  </si>
  <si>
    <t>Source: Central Bank. Real annual data based on seasonally adjusted quarterly data. Latest actual data: 2020 National accounts manual used: System of National Accounts (SNA) 2008 GDP valuation: Market prices Start/end months of reporting year: January/December Base year: 2013 Chain-weighted: Yes, from 2003 Primary domestic currency: Chilean peso Data last updated: 09/2021</t>
  </si>
  <si>
    <t>China</t>
  </si>
  <si>
    <t>Source: National Statistics Office. Data retrieved from CEIC Latest actual data: 2020 National accounts manual used: System of National Accounts (SNA) 2008 GDP valuation: Market prices. Authorities publish production-based measure; staff estimates expenditure-based measures. Start/end months of reporting year: January/December Base year: 2015 Chain-weighted: No Primary domestic currency: Chinese yuan Data last updated: 09/2021</t>
  </si>
  <si>
    <t>Colombia</t>
  </si>
  <si>
    <t>Source: National Statistics Office Latest actual data: 2020 National accounts manual used: System of National Accounts (SNA) 2008 GDP valuation: Market prices Start/end months of reporting year: January/December Base year: 2015. DANE (Colombia Institute of Statistics) has done a rebasing of the national accounts (now base year is 2015 and before 2005). Data with the new base is ONLY AVAILABLE FROM 2005. The change also includes methodological changes (for example, direct estimation of private consumption based on a survey) and most important, change in the index formulae (historically a Laspeyres fixed-base index and now a Laspeyres chain index). The main implications are that the 2005 and 2015 series are not comparable and the chain index is associated with non-additivity of the components. Chain-weighted: Yes, from 2005 Primary domestic currency: Colombian peso Data last updated: 09/2021</t>
  </si>
  <si>
    <t>Source: Ministry of Finance or Treasury. Planning Commissariat Latest actual data: 2019 National accounts manual used: System of National Accounts (SNA) 1993 GDP valuation: Market prices Start/end months of reporting year: January/December Base year: 2007 Chain-weighted: Yes, from 2007 Primary domestic currency: Comorian franc Data last updated: 09/2021</t>
  </si>
  <si>
    <t>Source: National Statistics Office Latest actual data: 2020 Notes: Data prior to 2001 cannot be confirmed by national sources at this time. National accounts manual used: System of National Accounts (SNA) 1993 GDP valuation: Market prices Start/end months of reporting year: January/December Base year: 2005 Chain-weighted: No Primary domestic currency: Congolese franc Data last updated: 08/2021</t>
  </si>
  <si>
    <t>Source: National Statistics Office Latest actual data: 2018 National accounts manual used: System of National Accounts (SNA) 1993 GDP valuation: Market prices Start/end months of reporting year: January/December Base year: 2005 Chain-weighted: No Primary domestic currency: CFA franc Data last updated: 08/2021</t>
  </si>
  <si>
    <t>Costa Rica</t>
  </si>
  <si>
    <t>Source: Central Bank Latest actual data: 2020 National accounts manual used: System of National Accounts (SNA) 2008 GDP valuation: Market prices Start/end months of reporting year: January/December Base year: 2017. As of January 2021, national accounts data reflect an updated series (including for all historical years) with 2017 as the benchmark year. Chain-weighted: No Primary domestic currency: Costa Rican colón Data last updated: 09/2021</t>
  </si>
  <si>
    <t>Source: National Statistics Office Latest actual data: 2017 National accounts manual used: System of National Accounts (SNA) 2008 GDP valuation: Market prices Start/end months of reporting year: January/December Base year: 2015. The authorities' rebasing exercise to 2015 is ongoing Chain-weighted: No Primary domestic currency: CFA franc Data last updated: 09/2021</t>
  </si>
  <si>
    <t>Croatia</t>
  </si>
  <si>
    <t>Source: National Statistics Office. By the former Central Bureau of Statistics of the Republic of Croatia (CroStat), now the Croatian Bureau of Statistics (CBS, www.dzs.hr). Latest actual data: 2020 Notes: The authorities produce data from 1995 only; Earlier data for the GDP and its components result from splicing. The GDP estimates include all economic activities within the ESA 2010 production boundary, covering both registered and unregistered activities. In addition to the unregistered activities covered since the implementation of ESA 1995 in 2009, since September 2014 CBS is also covering data on illegal activities within ESA 2010. National accounts manual used: European System of Accounts (ESA) 2010 GDP valuation: Market prices. Gross domestic product (GDP) by expenditure approach is valued at market prices and gross value added (GVA) by production approach is valued at basic prices. Start/end months of reporting year: January/December Base year: 2015 Chain-weighted: No Primary domestic currency: Croatian kuna Data last updated: 09/2021</t>
  </si>
  <si>
    <t>Source: National Statistics Office Latest actual data: 2018. 2019 actual data delayed; annual data only National accounts manual used: System of National Accounts (SNA) 2008 GDP valuation: Market prices Start/end months of reporting year: January/December Base year: 2013 Chain-weighted: No Primary domestic currency: Djibouti franc Data last updated: 09/2021</t>
  </si>
  <si>
    <t>Dominica</t>
  </si>
  <si>
    <t>Source: National Statistics Office Latest actual data: 2018 National accounts manual used: System of National Accounts (SNA) 1993 GDP valuation: Market prices Start/end months of reporting year: January/December Base year: 2006 Chain-weighted: No Primary domestic currency: Eastern Caribbean dollar Data last updated: 09/2021</t>
  </si>
  <si>
    <t>Dominican Republic</t>
  </si>
  <si>
    <t>Source: Central Bank Latest actual data: 2020 National accounts manual used: System of National Accounts (SNA) 2008 GDP valuation: Market prices Start/end months of reporting year: January/December Base year: 2007 Chain-weighted: Yes, from 2007 Primary domestic currency: Dominican peso Data last updated: 09/2021</t>
  </si>
  <si>
    <t>Ecuador</t>
  </si>
  <si>
    <t>Source: Central Bank Latest actual data: 2020 Notes: The national accounts have been updated from 2002 onwards. Prior to 2002 the data are adjusted to produce smooth series with the use of splicing technique. These estimates continue to serve as proxies for historical series when complete information is unavailable. National accounts manual used: System of National Accounts (SNA) 2008 GDP valuation: Market prices Start/end months of reporting year: January/December Base year: 2007 Chain-weighted: No Primary domestic currency: US dollar Data last updated: 09/2021</t>
  </si>
  <si>
    <t>Egypt</t>
  </si>
  <si>
    <t>Source: Ministry of Economy and/or Planning. Ministry of Planning Latest actual data: FY2019/20. Fiscal Year data can be derived from the calendar year basis by summing the quarterly observations as follows: FY(t) = CY(t-1):Q3 + CY(t-1):Q4 + CY(t):Q1 + CY(t):Q2 Notes: Data prior to 1987 cannot be confirmed by national sources at this time. National accounts manual used: System of National Accounts (SNA) 2008 GDP valuation: Market prices. Data refer to fiscal years Start/end months of reporting year: July/June Base year: FY2016/17 Chain-weighted: No Primary domestic currency: Egyptian pound Data last updated: 09/2021</t>
  </si>
  <si>
    <t>El Salvador</t>
  </si>
  <si>
    <t>Source: Central Bank Latest actual data: 2020 Notes: The output gap does not close by 2026 because desk assumes a much deeper hit to the potential in 2020 due to long and strict lockdown, and political uncertainty impacting both the actual and potential GDP medium-term growth. National accounts manual used: System of National Accounts (SNA) 2008 GDP valuation: Market prices Start/end months of reporting year: January/December Base year: 2014 Chain-weighted: No Primary domestic currency: US dollar Data last updated: 09/2021</t>
  </si>
  <si>
    <t>Equatorial Guinea</t>
  </si>
  <si>
    <t>Source: Ministry of Economy and/or Planning. Ministry of Economy, Planning, and Public Investment, and Banque des Etats de l'Afrique Centrale (Central Bank) Latest actual data: 2020 Notes: Since 2006, IMF staff have estimated real GDP growth from hydrocarbon production and investment data and the government expenditure. The national authorities are considering the adoption of the IMF staff estimates. National accounts manual used: System of National Accounts (SNA) 1993 GDP valuation: Market prices Start/end months of reporting year: January/December Base year: 2006 Chain-weighted: No Primary domestic currency: CFA franc Data last updated: 08/2021</t>
  </si>
  <si>
    <t>Eritrea</t>
  </si>
  <si>
    <t>Source: IMF Staff Estimates Latest actual data: 2018 National accounts manual used: System of National Accounts (SNA) 1993 GDP valuation: Market prices Start/end months of reporting year: January/December Base year: 2011 Chain-weighted: No Primary domestic currency: Eritrean nakfa Data last updated: 07/2021</t>
  </si>
  <si>
    <t>Eswatini</t>
  </si>
  <si>
    <t>Source: National Statistics Office. Updated methodology has been applied to the series. Prior to 2000, the data are adjusted using previous historical data as proxies to produce smooth series with the use of splicing technique. Historical data are updated on a continual basis as more information becomes available. Prior to 1990, trade data are calculated from external sector statistics. Latest actual data: 2019 National accounts manual used: System of National Accounts (SNA) 2008 GDP valuation: Market prices Start/end months of reporting year: January/December Base year: 2011 Chain-weighted: No Primary domestic currency: Swazi lilangeni Data last updated: 08/2021</t>
  </si>
  <si>
    <t>Source: National Statistics Office Latest actual data: FY2019/20 National accounts manual used: System of National Accounts (SNA) 2008 GDP valuation: Factor costs. Data refer to fiscal years (July/June). Data for 2011 represent fiscal year 2010/11. Start/end months of reporting year: July/June Base year: FY2015/16 Chain-weighted: No Primary domestic currency: Ethiopian birr Data last updated: 09/2021</t>
  </si>
  <si>
    <t>Fiji</t>
  </si>
  <si>
    <t>Source: National Statistics Office. Fiji Islands Bureau of Statistics Latest actual data: 2020 National accounts manual used: System of National Accounts (SNA) 2008 GDP valuation: Factor costs Start/end months of reporting year: January/December Base year: 2014 Chain-weighted: No Primary domestic currency: Fijian dollar Data last updated: 09/2021</t>
  </si>
  <si>
    <t>Gabon</t>
  </si>
  <si>
    <t>Source: Ministry of Finance or Treasury Latest actual data: 2019 National accounts manual used: System of National Accounts (SNA) 1993 GDP valuation: Market prices Start/end months of reporting year: January/December Base year: 2001 Chain-weighted: No Primary domestic currency: CFA franc Data last updated: 09/2021</t>
  </si>
  <si>
    <t>Source: National Statistics Office Latest actual data: 2020 National accounts manual used: System of National Accounts (SNA) 2008 GDP valuation: Market prices Start/end months of reporting year: January/December Base year: 2013 Chain-weighted: No Primary domestic currency: Gambian dalasi Data last updated: 09/2021</t>
  </si>
  <si>
    <t>Georgia</t>
  </si>
  <si>
    <t>Source: National Statistics Office Latest actual data: 2020 Notes: Data prior to 1996 cannot be confirmed by national sources. Data prior to 2010 are based on staff estimates. National accounts manual used: System of National Accounts (SNA) 2008 GDP valuation: Market prices Start/end months of reporting year: January/December Base year: 2015 Chain-weighted: Yes, from 1996 Primary domestic currency: Georgian lari Data last updated: 09/2021</t>
  </si>
  <si>
    <t>Source: National Statistics Office Latest actual data: 2019 National accounts manual used: System of National Accounts (SNA) 2008 GDP valuation: Market prices Start/end months of reporting year: January/December Base year: 2013 Chain-weighted: No Primary domestic currency: Ghanaian cedi Data last updated: 08/2021</t>
  </si>
  <si>
    <t>Grenada</t>
  </si>
  <si>
    <t>Source: National Statistics Office Latest actual data: 2019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Chain-weighted: No Primary domestic currency: Eastern Caribbean dollar Data last updated: 09/2021</t>
  </si>
  <si>
    <t>Guatemala</t>
  </si>
  <si>
    <t>Source: Central Bank. Also use data from Haver. Latest actual data: 2020 National accounts manual used: System of National Accounts (SNA) 2008 GDP valuation: Market prices Start/end months of reporting year: January/December Base year: 2013 Chain-weighted: Yes, from 2001 Primary domestic currency: Guatemalan quetzal Data last updated: 08/2021</t>
  </si>
  <si>
    <t>Source: National Statistics Office Latest actual data: 2018 Notes: Data prior to 1995 cannot be confirmed by national sources at this time. National accounts manual used: System of National Accounts (SNA) 1993 GDP valuation: Market prices Start/end months of reporting year: January/December Base year: 2010 Chain-weighted: No Primary domestic currency: Guinean franc Data last updated: 08/2021</t>
  </si>
  <si>
    <t>Guinea-Bissau</t>
  </si>
  <si>
    <t>Source: National Statistics Office Latest actual data: 2017 Notes: Data prior to 1997 cannot be confirmed by national sources at this time. National accounts manual used: System of National Accounts (SNA) 2008 GDP valuation: Market prices Start/end months of reporting year: January/December Base year: 2015 Chain-weighted: No Primary domestic currency: CFA franc Data last updated: 08/2021</t>
  </si>
  <si>
    <t>Source: National Statistics Office Latest actual data: 2020 Notes: Components of GDP by expenditure after 2007 (private and public consumption, private and public investment) are estimates because authorities stopped producing the data. National accounts manual used: System of National Accounts (SNA) 1993 GDP valuation: Factor costs Start/end months of reporting year: January/December Base year: 2012. Projected real GDP growth in 2020 is potentially overstated and subject to large subsequent revisions because of the very high growth rate of oil GDP, which in turn is elevated on account of the very high oil price in the base year, 2012. A rebasing exercise is expected in 2021 that will resolve this problem, once the data becomes available Chain-weighted: No Primary domestic currency: Guyanese dollar Data last updated: 09/2021</t>
  </si>
  <si>
    <t>Source: National Statistics Office Latest actual data: FY2019/20. Fiscal year data are mapped to calendar year as follows: FY(t/t+1) = CY(t+1) National accounts manual used: System of National Accounts (SNA) 2008 GDP valuation: Market prices Start/end months of reporting year: October/September Base year: FY2011/12. Fiscal year 2011-2012 Chain-weighted: No Primary domestic currency: Haitian gourde Data last updated: 09/2021</t>
  </si>
  <si>
    <t>Source: Central Bank Latest actual data: 2019 National accounts manual used: System of National Accounts (SNA) 1993 GDP valuation: Market prices Start/end months of reporting year: January/December Base year: 2000 Chain-weighted: No Primary domestic currency: Honduran lempira Data last updated: 09/2021</t>
  </si>
  <si>
    <t>Hungary</t>
  </si>
  <si>
    <t>Source: National Statistics Office Latest actual data: 2020 Notes: We maintain data only after 1995, as this is what the Statistical office provides. National accounts manual used: European System of Accounts (ESA) 2010 GDP valuation: Market prices Start/end months of reporting year: January/December Base year: 2015 Chain-weighted: Yes, from 1995. Changes in inventories is an estimate. Primary domestic currency: Hungarian forint Data last updated: 09/2021</t>
  </si>
  <si>
    <t>India</t>
  </si>
  <si>
    <t>Source: National Statistics Office. The original data is in fiscal years, which begins in April and ends in March, to match with authorities' reporting methods. Latest actual data: FY2020/21. Latest quarterly data is as of June 2021 National accounts manual used: System of National Accounts (SNA) 2008 GDP valuation: Market prices Start/end months of reporting year: April/March Base year: FY2011/12. The base year is by Fiscal Year, which is April to March (e.g. FY2004: April 2004 - March 2005). Growth rates of real GDP calculated from 1998 to 2011 are as per national accounts with base year 2004/05, and thereafter are as per national accounts with base year 2011/12 Chain-weighted: No Primary domestic currency: Indian rupee Data last updated: 09/2021</t>
  </si>
  <si>
    <t>Indonesia</t>
  </si>
  <si>
    <t>Source: National Statistics Office. Accessed via Haver Data. Latest actual data: 2020 National accounts manual used: System of National Accounts (SNA) 2008 GDP valuation: Market prices Start/end months of reporting year: January/December Base year: 2010 Chain-weighted: No Primary domestic currency: Indonesian rupiah Data last updated: 09/2021</t>
  </si>
  <si>
    <t>Islamic Republic of Iran</t>
  </si>
  <si>
    <t>Source: Central Bank. The accuracy of data before 1990, the time of the Iran-Iraq war, cannot be verified. Latest actual data: FY2020/21. the fiscal year data are mapped to calendar year as follows: FY(t/t+1) = CY(t) Notes: GDP in current prices in U.S. dollars is calculated by using the official exchange rate of the Central Bank of Iran (CBI), except for the years 2011- 2015 when the applicable exchange rate is a weighted average of the CBI official exchange rate and the parallel market exchange rate. National accounts manual used: System of National Accounts (SNA) 1993 GDP valuation: Market prices Start/end months of reporting year: April/March. Iranian year, starts March 21 and ends March 20 Base year: FY2011/12. 2011/12=100 Chain-weighted: No Primary domestic currency: Iranian rial Data last updated: 08/2021</t>
  </si>
  <si>
    <t>Iraq</t>
  </si>
  <si>
    <t>Source: National Statistics Office Latest actual data: 2020 National accounts manual used: Other GDP valuation: Market prices Start/end months of reporting year: January/December Base year: 2007. Base year rebased from 1988 to 2007 in end-2014. Chain-weighted: No Primary domestic currency: Iraqi dinar Data last updated: 08/2021</t>
  </si>
  <si>
    <t>Jamaica</t>
  </si>
  <si>
    <t>Source: National Statistics Office Latest actual data: 2020 National accounts manual used: System of National Accounts (SNA) 1993 GDP valuation: Market prices Start/end months of reporting year: January/December Base year: 2007. Base year was changed from 2003 to 2007 for the Spring 2012 WEO round. Chain-weighted: No Primary domestic currency: Jamaican dollar Data last updated: 09/2021</t>
  </si>
  <si>
    <t>Jordan</t>
  </si>
  <si>
    <t>Source: National Statistics Office Latest actual data: 2019 National accounts manual used: System of National Accounts (SNA) 2008 GDP valuation: Market prices Start/end months of reporting year: January/December Base year: 2016 Chain-weighted: No Primary domestic currency: Jordanian dinar Data last updated: 08/2021</t>
  </si>
  <si>
    <t>Kazakhstan</t>
  </si>
  <si>
    <t>Source: National Statistics Office Latest actual data: 2020 Notes: Data prior to 1996 cannot be confirmed by national sources at this time. National accounts manual used: System of National Accounts (SNA) 1993 GDP valuation: Market prices. Official GDP is calculated based on production, which does not match the total by expenditure's components. Start/end months of reporting year: January/December Base year: 2005 Chain-weighted: Yes, from 1994 Primary domestic currency: Kazakhstani tenge Data last updated: 08/2021</t>
  </si>
  <si>
    <t>Source: National Statistics Office Latest actual data: 2020 National accounts manual used: System of National Accounts (SNA) 2008 GDP valuation: Market prices Start/end months of reporting year: January/December Base year: 2016 Chain-weighted: No Primary domestic currency: Kenyan shilling Data last updated: 09/2021</t>
  </si>
  <si>
    <t>Kiribati</t>
  </si>
  <si>
    <t>Source: National Statistics Office Latest actual data: 2019 National accounts manual used: System of National Accounts (SNA) 2008 GDP valuation: Market prices Start/end months of reporting year: January/December Base year: 2006 Chain-weighted: No Primary domestic currency: Australian dollar Data last updated: 08/2021</t>
  </si>
  <si>
    <t>Kosovo</t>
  </si>
  <si>
    <t>Source: National Statistics Office Latest actual data: 2020 National accounts manual used: European System of Accounts (ESA) 2010 GDP valuation: Market prices Start/end months of reporting year: January/December Base year: 2016. Base year changes as new data is released - previous year's prices Chain-weighted: No Primary domestic currency: Euro Data last updated: 09/2021</t>
  </si>
  <si>
    <t>Kuwait</t>
  </si>
  <si>
    <t>Source: Ministry of Planning and Central Statistical Office Latest actual data: 2020. Preliminary numbers Notes: Real GDP data for the period 1990-2009 have been adjusted by desk economist to account for breaks in the source data. The breaks are associated with changes in the base year from 1984 to 1995, to 2000, and subsequently to 2010. Pre-revision data exist for the period prior to 1995. The nominal data were revised back to 1995. The latest revision of nominal and real data go to 2010. Using the pre-revision data, desk economist recalculated the constant price data for the period prior to 1995 so that y-o-y change of each component remains unchanged. A similar adjustment was made to the period 1995-2009. National accounts manual used: System of National Accounts (SNA) 1993 GDP valuation: Market prices Start/end months of reporting year: January/December Base year: 2010. Nominal data has been revised by country authorities, therefore, deflators do not add to 100 until the Real figures get revised. Chain-weighted: No Primary domestic currency: Kuwaiti dinar Data last updated: 09/2021</t>
  </si>
  <si>
    <t>Kyrgyz Republic</t>
  </si>
  <si>
    <t>Source: National Statistics Office Latest actual data: 2020 National accounts manual used: System of National Accounts (SNA) 1993 GDP valuation: Market prices Start/end months of reporting year: January/December Base year: 2005 Chain-weighted: No Primary domestic currency: Kyrgyz som Data last updated: 08/2021</t>
  </si>
  <si>
    <t>Source: National Statistics Office Latest actual data: 2020 National accounts manual used: System of National Accounts (SNA) 1993 GDP valuation: Market prices Start/end months of reporting year: January/December Base year: 2012 Chain-weighted: No Primary domestic currency: Lao kip Data last updated: 07/2021</t>
  </si>
  <si>
    <t>Lebanon</t>
  </si>
  <si>
    <t>Source: National Statistics Office Latest actual data: 2019 Notes: We use a weighted average of the official and parallel exchange rates for 2019-21. Starting in 2022, the exchange rate applied throughout the series is the parallel market exchange rate. National accounts manual used: System of National Accounts (SNA) 2008 GDP valuation: Market prices Start/end months of reporting year: January/December Base year: 2010. Official quarterly data are based on 2015; annual on 2010. We re-base Quarterly data in our files. Chain-weighted: Yes, from 2010. Official quarterly data are based on 2015; annual on 2010. We re-base Quarterly data in our files. Primary domestic currency: Lebanese pound Data last updated: 09/2021</t>
  </si>
  <si>
    <t>Source: National Statistics Office Latest actual data: FY2018/19. Fiscal year data are mapped to calendar year as follows: FY(t/t+1) = CY(t) Notes: The national accounts real values have been updated from 2015 onwards. Prior to 2015 the data has been adjusted to produce smooth series with the use of splicing technique. These estimates continue to serve as proxies for historical series when complete information is unavailable. National accounts manual used: System of National Accounts (SNA) 2008 GDP valuation: Market prices Start/end months of reporting year: April/March Base year: FY2012/13 Chain-weighted: No Primary domestic currency: Lesotho loti Data last updated: 08/2021</t>
  </si>
  <si>
    <t>Source: IMF Staff Estimates. IMF STA preliminary survey; Publish growth rate from 2000 only, no data prior to 1999 due to civil war in the country. Latest actual data: 2016 Notes: Real GDP are in billions of U.S. dollars. The National Accounts data are staff estimates and are based on the preliminary results of the 2016 Household Income and Expenditure Survey, and of an ongoing STA technical assistance on National Accounts. The pre-2016 data were spliced with a constant ratio. These staff estimates will be replaced once official data become available. National accounts manual used: System of National Accounts (SNA) 1993 GDP valuation: Market prices Start/end months of reporting year: January/December Base year: 2018. Official base year is 1992. Chain-weighted: No Primary domestic currency: US dollar Data last updated: 08/2021</t>
  </si>
  <si>
    <t>Libya</t>
  </si>
  <si>
    <t>Source: Central Bank. Outdated; last submitted by authorities for 2014 Latest actual data: 2014 National accounts manual used: System of National Accounts (SNA) 1993 GDP valuation: Market prices Start/end months of reporting year: January/December Base year: 2007 Chain-weighted: No Primary domestic currency: Libyan dinar Data last updated: 09/2021</t>
  </si>
  <si>
    <t>Source: National Statistics Office Latest actual data: 2018. 2019 data are preliminary National accounts manual used: System of National Accounts (SNA) 1993 GDP valuation: Market prices Start/end months of reporting year: January/December Base year: 2007 Chain-weighted: No Primary domestic currency: Malagasy ariary Data last updated: 09/2021</t>
  </si>
  <si>
    <t>Source: National Statistics Office Latest actual data: 2019. Since 2011 we have used IMF staff's and Malawian authorities' combined estimates for National Accounts data. National accounts manual used: System of National Accounts (SNA) 2008 GDP valuation: Market prices Start/end months of reporting year: January/December Base year: 2017. Rebased to 2017 from 2010 Chain-weighted: No Primary domestic currency: Malawian kwacha Data last updated: 09/2021</t>
  </si>
  <si>
    <t>Malaysia</t>
  </si>
  <si>
    <t>Source: National Statistics Office. From Department of Statistics Malaysia (DOS) downloaded via CEIC Latest actual data: 2020 Notes: GDP was rebased by the National Statistical Office, new base year is 2015. The official series starts in 2015. Data prior to that is spliced based on the old series. National accounts manual used: System of National Accounts (SNA) 2008 GDP valuation: Market prices Start/end months of reporting year: January/December Base year: 2015. Data prior to 2015 are spliced by the country team. Chain-weighted: No Primary domestic currency: Malaysian ringgit Data last updated: 09/2021</t>
  </si>
  <si>
    <t>Maldives</t>
  </si>
  <si>
    <t>Source: Ministry of Finance or Treasury. National Bureau of Statistics Latest actual data: 2020 National accounts manual used: System of National Accounts (SNA) 1993 GDP valuation: Market prices. Production-based measure. Start/end months of reporting year: January/December Base year: 2014 Chain-weighted: No Primary domestic currency: Maldivian rufiyaa Data last updated: 09/2021</t>
  </si>
  <si>
    <t>Source: National Statistics Office Latest actual data: 2018 Notes: National accounts have new methodology starting in 1990. National accounts manual used: System of National Accounts (SNA) 1993 GDP valuation: Market prices Start/end months of reporting year: January/December Base year: 1999 Chain-weighted: No Primary domestic currency: CFA franc Data last updated: 09/2021</t>
  </si>
  <si>
    <t>Marshall Islands</t>
  </si>
  <si>
    <t>Source: National Statistics Office Latest actual data: FY2019/20. Fiscal year data are mapped to calendar year as follows: FY(t/t+1) = CY(t+1) National accounts manual used: System of National Accounts (SNA) 2008 GDP valuation: Market prices Start/end months of reporting year: October/September Base year: FY2003/04. Base year is Fiscal Year 2004 (Calendar Year 2003/2004). Chain-weighted: No Primary domestic currency: US dollar Data last updated: 09/2021</t>
  </si>
  <si>
    <t>Source: National Statistics Office Latest actual data: 2018 National accounts manual used: System of National Accounts (SNA) 2008 GDP valuation: Market prices Start/end months of reporting year: January/December Base year: 2014 Chain-weighted: Yes, from 2014 Primary domestic currency: New Mauritanian ouguiya Data last updated: 09/2021</t>
  </si>
  <si>
    <t>Mauritius</t>
  </si>
  <si>
    <t>Source: National Statistics Office Latest actual data: 2020 Notes: Figures for exports and imports of services are not equal to those compiled by the BOM, due to the difference in sectoral coverage and the treatment of FISIM by CSO and BOM. National accounts manual used: System of National Accounts (SNA) 2008 GDP valuation: Market prices Start/end months of reporting year: January/December Base year: 2006 Chain-weighted: Yes, from 1999 Primary domestic currency: Mauritian rupee Data last updated: 09/2021</t>
  </si>
  <si>
    <t>Mexico</t>
  </si>
  <si>
    <t>Source: National Statistics Office Latest actual data: 2020 National accounts manual used: System of National Accounts (SNA) 2008 GDP valuation: Market prices Start/end months of reporting year: January/December Base year: 2013 Chain-weighted: No Primary domestic currency: Mexican peso Data last updated: 09/2021</t>
  </si>
  <si>
    <t>Micronesia</t>
  </si>
  <si>
    <t>Source: National Statistics Office Latest actual data: FY2017/18. Fiscal year data are mapped to calendar year as follows: FY(t/t+1) = CY(t+1) National accounts manual used: System of National Accounts (SNA) 1993 GDP valuation: Market prices Start/end months of reporting year: October/September Base year: FY2003/04 Chain-weighted: No Primary domestic currency: US dollar Data last updated: 09/2021</t>
  </si>
  <si>
    <t>Source: National Statistics Office Latest actual data: 2019 Notes: National accounts data from 2010 onwards sourced from the latest update by the National Bureau of Statistics. National accounts data prior to 2010 have been backspliced by IMF staff. National accounts manual used: System of National Accounts (SNA) 2008 GDP valuation: Market prices Start/end months of reporting year: January/December Base year: 1995. The National Statistics Office is using 2010 as a base year while this submission is based on 1995. Chain-weighted: No Primary domestic currency: Moldovan leu Data last updated: 08/2021</t>
  </si>
  <si>
    <t>Mongolia</t>
  </si>
  <si>
    <t>Source: National Statistics Office. Discrepancies rise from staff estimates based on the balance of payment data and the authorities' data on net exports at constant price. Latest actual data: 2020 Notes: Data prior to 1991 cannot be confirmed by national sources. Data after 2000 has been rebased National accounts manual used: System of National Accounts (SNA) 2008 GDP valuation: Market prices Start/end months of reporting year: January/December Base year: 2010 Chain-weighted: No Primary domestic currency: Mongolian tögrög Data last updated: 07/2021</t>
  </si>
  <si>
    <t>Montenegro</t>
  </si>
  <si>
    <t>Source: National Statistics Office. MONSTAT Latest actual data: 2020 National accounts manual used: European System of Accounts (ESA) 2010 GDP valuation: Market prices Start/end months of reporting year: January/December Base year: 2006 Chain-weighted: No Primary domestic currency: Euro Data last updated: 09/2021</t>
  </si>
  <si>
    <t>Morocco</t>
  </si>
  <si>
    <t>Source: National Statistics Office Latest actual data: 2020 National accounts manual used: System of National Accounts (SNA) 2008 GDP valuation: Market prices Start/end months of reporting year: January/December Base year: 2007 Chain-weighted: Yes, from 2007 Primary domestic currency: Moroccan dirham Data last updated: 09/2021</t>
  </si>
  <si>
    <t>Source: National Statistics Office. Instituto Nacional de Estadistica (INE). Latest actual data: 2019. (1) There are discrepancies in the demand side of the national accounts. The reason for the discrepancies is that we don't adopt the authorities data for exports and imports in the national accounts, because the trade data in the national accounts do not include trades related to megaprojects (mainly natural resource projects). The authorities are currently working on addressing this issue supported by STA's TAs   (2) no constant price data on inventories, removed from dataset that was leading to zeros. Notes: Data prior to 1992 cannot be confirmed by national sources at this time. National accounts manual used: System of National Accounts (SNA) 1993 GDP valuation: Market prices Start/end months of reporting year: January/December Base year: 2014 Chain-weighted: No Primary domestic currency: Mozambican metical Data last updated: 09/2021</t>
  </si>
  <si>
    <t>Myanmar</t>
  </si>
  <si>
    <t>Source: Ministry of National Planning and Economic Development. Historical data up to 2015/16 have been re-estimated by IMF staff to ensure data consistency after the change of fiscal year from April-March to October-September. Latest actual data: FY2019/20. FY(t/t+1) = CY(t+1) National accounts manual used: Other GDP valuation: Market prices. Data refer to fiscal years Start/end months of reporting year: October/September. In 2018 Myanmar authorities changed the fiscal year to 1 October to 30 September from previously 1 April to 31 March. Historical data up to 2015/16 have been re-estimated by IMF staff to ensure data consistency. Base year: FY2015/16 Chain-weighted: No Primary domestic currency: Myanmar kyat Data last updated: 09/2021</t>
  </si>
  <si>
    <t>Namibia</t>
  </si>
  <si>
    <t>Source: National Statistics Office Latest actual data: 2020 National accounts manual used: System of National Accounts (SNA) 1993 GDP valuation: Market prices Start/end months of reporting year: January/December Base year: 2015 Chain-weighted: No Primary domestic currency: Namibian dollar Data last updated: 09/2021</t>
  </si>
  <si>
    <t>Nauru</t>
  </si>
  <si>
    <t>Source: Nauru Authorities, IMF staff estimates Latest actual data: FY2018/19. Fiscal year data are mapped to calendar year as follows: FY(t/t+1) = CY(t+1) National accounts manual used: System of National Accounts (SNA) 2008 GDP valuation: Market prices Start/end months of reporting year: July/June Base year: FY2006/07 Chain-weighted: No Primary domestic currency: Australian dollar Data last updated: 08/2021</t>
  </si>
  <si>
    <t>Source: National Statistics Office Latest actual data: FY2019/20. Fiscal year data are mapped to calendar year as follows: FY(t/t+1) = CY(t+1) National accounts manual used: System of National Accounts (SNA) 1993 GDP valuation: Market prices. Data refer to fiscal years Start/end months of reporting year: August/July. Fiscal year starts on July 16th, and ends July 15th the following year Base year: FY2000/01. Data prior to 2000/01 were estimated by IMF staff by using data splicing Chain-weighted: No Primary domestic currency: Nepalese rupee Data last updated: 09/2021</t>
  </si>
  <si>
    <t>Source: Central Bank Latest actual data: 2020 Notes: Due to political and economic events (civil war and hyperinflation) data prior to 1995 are less reliable. National accounts manual used: System of National Accounts (SNA) 1993 GDP valuation: Market prices Start/end months of reporting year: January/December Base year: 2006 Chain-weighted: Yes, from 1994. annual overlap Primary domestic currency: Nicaraguan córdoba Data last updated: 08/2021</t>
  </si>
  <si>
    <t>Source: National Statistics Office Latest actual data: 2020. 2020 is an estimate. National accounts manual used: System of National Accounts (SNA) 2008 GDP valuation: Factor costs Start/end months of reporting year: January/December Base year: 2015 Chain-weighted: No Primary domestic currency: CFA franc Data last updated: 09/2021</t>
  </si>
  <si>
    <t>Nigeria</t>
  </si>
  <si>
    <t>Source: National Statistics Office. Official re-based (2010) data for 2010-13 was published in July 2014, based on SNA 2008. Official backcasted data were published in July 2016 and 1990-2009 nominal and real GDP numbers were updated. However expenditure components of GDP are still IMF staff estimates and are subject to revision with official backcasted data. Latest actual data: 2020 Notes: Official backcasted data were published in July 2016 and 1990-2009 nominal and real GDP numbers were updated. However expenditure components of GDP are still IMF staff estimates and are subject to revision with official backcasted data. National accounts manual used: System of National Accounts (SNA) 2008 GDP valuation: Market prices Start/end months of reporting year: January/December Base year: 2010 Chain-weighted: No Primary domestic currency: Nigerian naira Data last updated: 09/2021</t>
  </si>
  <si>
    <t>North Macedonia</t>
  </si>
  <si>
    <t>Source: National Statistics Office Latest actual data: 2020 National accounts manual used: European System of Accounts (ESA) 2010 GDP valuation: Market prices Start/end months of reporting year: January/December Base year: 2005 Chain-weighted: No Primary domestic currency: Macedonian denar Data last updated: 09/2021</t>
  </si>
  <si>
    <t>Oman</t>
  </si>
  <si>
    <t>Source: National Statistics Office Latest actual data: 2020 National accounts manual used: System of National Accounts (SNA) 1993 GDP valuation: Market prices Start/end months of reporting year: January/December Base year: 2010 Chain-weighted: No Primary domestic currency: Omani rial Data last updated: 09/2021</t>
  </si>
  <si>
    <t>Pakistan</t>
  </si>
  <si>
    <t>Source: National Statistics Office Latest actual data: FY2019/20. Fiscal year data are mapped to calendar year as follows: FY(t/t+1) = CY(t+1) National accounts manual used: System of National Accounts (SNA) 2008 GDP valuation: Real GDP is based on factor costs whereas nominal GDP is based on market prices. Start/end months of reporting year: July/June Base year: FY2005/06. Data before 2006 were extended backwards using growth rates for overall GDP and expenditure component shares of the original series. Real GDP is based on factor costs whereas nominal GDP is based on market prices. As a result, any calculated GDP deflator using these the two different concepts will not be accurate. Chain-weighted: No Primary domestic currency: Pakistan rupee Data last updated: 09/2021</t>
  </si>
  <si>
    <t>Palau</t>
  </si>
  <si>
    <t>Source: Ministry of Finance or Treasury Latest actual data: FY2019/20. Fiscal year data are mapped to calendar year as follows: FY(t/t+1) = CY(t+1). National accounts manual used: System of National Accounts (SNA) 1993 GDP valuation: Market prices Start/end months of reporting year: October/September Base year: FY2018/19 Chain-weighted: No Primary domestic currency: US dollar Data last updated: 08/2021</t>
  </si>
  <si>
    <t>Panama</t>
  </si>
  <si>
    <t>Source: National Statistics Office Latest actual data: 2020 National accounts manual used: System of National Accounts (SNA) 1993 GDP valuation: Market prices Start/end months of reporting year: January/December Base year: 2007. The deflator in base year 2007 is not exactly 100 because of data splicing. In October 2015 the authorities published new national accounts with a base year of 2007. The new methodology uses chain-linked volume measures as opposed to constant prices. Data for years before 2007 currently do not exist for the re-based series. Chain-weighted: Yes, from 2007 Primary domestic currency: US dollar Data last updated: 09/2021</t>
  </si>
  <si>
    <t>Source: National Statistical Office and MOF Latest actual data: 2019 National accounts manual used: System of National Accounts (SNA) 2008 GDP valuation: Market prices Start/end months of reporting year: January/December Base year: 2013 Chain-weighted: No Primary domestic currency: Papua New Guinea kina Data last updated: 09/2021</t>
  </si>
  <si>
    <t>Paraguay</t>
  </si>
  <si>
    <t>Source: Central Bank Latest actual data: 2019 Notes: Before 2008, GDP data were constructed backward using the new 2014 base year. National accounts manual used: System of National Accounts (SNA) 2008 GDP valuation: Market prices Start/end months of reporting year: January/December Base year: 2014 Chain-weighted: No Primary domestic currency: Paraguayan guaraní Data last updated: 09/2021</t>
  </si>
  <si>
    <t>Peru</t>
  </si>
  <si>
    <t>Source: Central Bank Latest actual data: 2020 National accounts manual used: System of National Accounts (SNA) 2008 GDP valuation: Market prices Start/end months of reporting year: January/December Base year: 2007 Chain-weighted: No Primary domestic currency: Peruvian sol Data last updated: 09/2021</t>
  </si>
  <si>
    <t>Philippines</t>
  </si>
  <si>
    <t>Source: National Statistics Office. accessed via Haver Latest actual data: 2020 National accounts manual used: System of National Accounts (SNA) 2008 GDP valuation: Market prices Start/end months of reporting year: January/December Base year: 2018 Chain-weighted: No Primary domestic currency: Philippine peso Data last updated: 09/2021</t>
  </si>
  <si>
    <t>Poland</t>
  </si>
  <si>
    <t>Source: National Statistics Office Latest actual data: 2020 Notes: Data prior to 1995 cannot be confirmed by national sources at this time. National accounts manual used: European System of Accounts (ESA) 2010 GDP valuation: Market prices Start/end months of reporting year: January/December Base year: 2015 Chain-weighted: Yes, from 2015 Primary domestic currency: Polish zloty Data last updated: 09/2021</t>
  </si>
  <si>
    <t>Qatar</t>
  </si>
  <si>
    <t>Source: National Statistics Office. Qatar Planning and Statistics Authority(from 2010); Haver and IMF staff estimates (pre-2010). Latest actual data: 2020 National accounts manual used: System of National Accounts (SNA) 1993 GDP valuation: Market prices Start/end months of reporting year: January/December Base year: 2018 Chain-weighted: No Primary domestic currency: Qatari riyal Data last updated: 09/2021</t>
  </si>
  <si>
    <t>Romania</t>
  </si>
  <si>
    <t>Source: National Statistics Office. Source: Eurostat and National Institute of Statistics. Minor differences between National Statistical Office and Eurostat. Latest actual data: 2020 National accounts manual used: European System of Accounts (ESA) 2010 GDP valuation: Market prices Start/end months of reporting year: January/December Base year: 2015 Chain-weighted: Yes, from 2000 Primary domestic currency: Romanian leu Data last updated: 08/2021</t>
  </si>
  <si>
    <t>Russia</t>
  </si>
  <si>
    <t>Source: National Statistics Office Latest actual data: 2020 Notes: Gross capital formation includes statistical discrepancy. National accounts manual used: System of National Accounts (SNA) 2008 GDP valuation: Market prices Start/end months of reporting year: January/December Base year: 2016. The discrepancy in historical national account comes from source data which recently got rebased. In the new methodology they rebased all the components of GDP prior to Q1 2016 by using the growth rates of the old series in 2011 prices. Chain-weighted: Yes, from 1995 Primary domestic currency: Russian ruble Data last updated: 09/2021</t>
  </si>
  <si>
    <t>Source: National Statistics Office Latest actual data: 2019 National accounts manual used: System of National Accounts (SNA) 2008 GDP valuation: Market prices Start/end months of reporting year: January/December Base year: 2017 Chain-weighted: No Primary domestic currency: Rwandan franc Data last updated: 07/2021</t>
  </si>
  <si>
    <t>Samoa</t>
  </si>
  <si>
    <t>Source: National Statistics Office Latest actual data: FY2019/20. Fiscal year data are mapped to calendar year as follows: FY(t/t+1) = CY(t+1) Notes: Data prior to 2000 cannot be confirmed by national sources at this time. National accounts manual used: System of National Accounts (SNA) 2008 GDP valuation: Market prices. Data refer to fiscal years Start/end months of reporting year: July/June Base year: FY2012/13. Base year was updated from 2009 to 2013, affecting the data from 2009. Chain-weighted: No Primary domestic currency: Samoan tala Data last updated: 09/2021</t>
  </si>
  <si>
    <t>Source: National Statistics Office. Instituto Nacional de Estatistica de Sao Tome &amp; Principe. Latest actual data: 2020 Notes: There is a break in the series for 2001 onwards due to revision in GDP data. National accounts manual used: System of National Accounts (SNA) 1993 GDP valuation: Market prices Start/end months of reporting year: January/December Base year: 2008. Previously it was 2000. Manual revision to 2000 to smooth the series since the authorities did not splice and provide 2000. The rebased series begins in 2001 Chain-weighted: No Primary domestic currency: São Tomé and Príncipe dobra Data last updated: 09/2021</t>
  </si>
  <si>
    <t>Saudi Arabia</t>
  </si>
  <si>
    <t>Source: National Statistics Office. General Authority for Statistics, Kingdom of Saudi Arabia (GSTAT) Latest actual data: 2020 National accounts manual used: System of National Accounts (SNA) 2008 GDP valuation: Factor costs Start/end months of reporting year: January/December Base year: 2010 Chain-weighted: No Primary domestic currency: Saudi riyal Data last updated: 09/2021</t>
  </si>
  <si>
    <t>Source: National Statistics Office Latest actual data: 2019 National accounts manual used: System of National Accounts (SNA) 2008 GDP valuation: Market prices Start/end months of reporting year: January/December Base year: 2014 Chain-weighted: No Primary domestic currency: CFA franc Data last updated: 09/2021</t>
  </si>
  <si>
    <t>Serbia</t>
  </si>
  <si>
    <t>Source: National Statistics Office. Statistical Office of the Republic of Serbia Latest actual data: 2020. The country in its current form has been in existence since 1992. Official data are only available from 1999 onward. The data prior to 1992 is presumably for the former SFR Yugoslavia. Metadata analysis available through the statistics office. National accounts manual used: European System of Accounts (ESA) 2010 GDP valuation: Market prices Start/end months of reporting year: January/December Base year: 2015 Chain-weighted: Yes, from 2010 Primary domestic currency: Serbian dinar Data last updated: 09/2021</t>
  </si>
  <si>
    <t>Seychelles</t>
  </si>
  <si>
    <t>Source: National Statistics Office Latest actual data: 2020 National accounts manual used: System of National Accounts (SNA) 1993 GDP valuation: Market prices Start/end months of reporting year: January/December Base year: 2006 Chain-weighted: No Primary domestic currency: Seychelles rupee Data last updated: 08/2021</t>
  </si>
  <si>
    <t>Source: National Statistics Office Latest actual data: 2018 National accounts manual used: System of National Accounts (SNA) 2008 GDP valuation: Market prices Start/end months of reporting year: January/December Base year: 2006 Chain-weighted: Yes, from 2010 Primary domestic currency: Sierra Leonean leone Data last updated: 08/2021</t>
  </si>
  <si>
    <t>Solomon Islands</t>
  </si>
  <si>
    <t>Source: Central Bank. For data prior to 1990, the source is IMF staff estimates. Latest actual data: 2019 National accounts manual used: System of National Accounts (SNA) 1993 GDP valuation: Market prices. This has been updated till 2016 with data provided by the country authorities. For 2017 and onwards, real GDP is estimated by the staff, based on sectoral growth assumptions provided by the Central Bank of Solomon Islands. Start/end months of reporting year: January/December Base year: 2012 Chain-weighted: No Primary domestic currency: Solomon Islands dollar Data last updated: 08/2021</t>
  </si>
  <si>
    <t>Somalia</t>
  </si>
  <si>
    <t>Source: Central Bank Latest actual data: 2019 National accounts manual used: System of National Accounts (SNA) 2008 GDP valuation: Market prices Start/end months of reporting year: January/December Base year: 2013 Chain-weighted: No Primary domestic currency: US dollar Data last updated: 09/2021</t>
  </si>
  <si>
    <t>South Africa</t>
  </si>
  <si>
    <t>Source: National Statistics Office Latest actual data: 2020 Notes: The authorities are currently rebasing the national accounts to the year 2015 from 2010 as part of the latest regular revision, a process carried out every five years. Data prior to 1993 is not yet available and is anticipated to be published before the end of 2021. National accounts manual used: System of National Accounts (SNA) 2008 GDP valuation: Market prices Start/end months of reporting year: January/December Base year: 2015 Chain-weighted: No Primary domestic currency: South African rand Data last updated: 09/2021</t>
  </si>
  <si>
    <t>Source: IMF Staff Estimates. National Bureau of Statistics Latest actual data: 2018 Notes: Preliminary results by NBS, will be revised with time. National accounts manual used: System of National Accounts (SNA) 1993 GDP valuation: Market prices Start/end months of reporting year: January/December. Authorities report on fiscal year July/June Base year: 2010 Chain-weighted: No Primary domestic currency: South Sudanese pound Data last updated: 09/2021</t>
  </si>
  <si>
    <t>Sri Lanka</t>
  </si>
  <si>
    <t>Source: National Statistics Office. Department of Census and Statistics Latest actual data: 2019 National accounts manual used: System of National Accounts (SNA) 2008 GDP valuation: Market prices Start/end months of reporting year: January/December Base year: 2010. Staff used splicing method for the historical series. Chain-weighted: No Primary domestic currency: Sri Lankan rupee Data last updated: 09/2021</t>
  </si>
  <si>
    <t>St. Kitts and Nevis</t>
  </si>
  <si>
    <t>Source: National Statistics Office Latest actual data: 2019. Estimates.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Chain-weighted: No Primary domestic currency: Eastern Caribbean dollar Data last updated: 09/2021</t>
  </si>
  <si>
    <t>St. Lucia</t>
  </si>
  <si>
    <t>Source: National Statistics Office Latest actual data: 2020. Estimates.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2008 GDP valuation: Market prices Start/end months of reporting year: January/December Base year: 2018 Chain-weighted: No Primary domestic currency: Eastern Caribbean dollar Data last updated: 09/2021</t>
  </si>
  <si>
    <t>St. Vincent and the Grenadines</t>
  </si>
  <si>
    <t>Source: National Statistics Office Latest actual data: 2019.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Real GDP at market prices begins in 2000 Start/end months of reporting year: January/December Base year: 2006 Chain-weighted: No Primary domestic currency: Eastern Caribbean dollar Data last updated: 09/2021</t>
  </si>
  <si>
    <t>Sudan</t>
  </si>
  <si>
    <t>Source: National Statistics Office. Central Bureau of Statistics. Latest actual data: 2019. Substantial delay occurred in the regular production of national accounts data. National accounts manual used: Other GDP valuation: Factor costs Start/end months of reporting year: January/December Base year: 1982. Fiscal year and calendar year are the same. Chain-weighted: No Primary domestic currency: Sudanese pound Data last updated: 08/2021</t>
  </si>
  <si>
    <t>Suriname</t>
  </si>
  <si>
    <t>Source: National Statistics Office. IMF Staff reports, National Statistical Office, and IMF staff estimates. Latest actual data: 2020 National accounts manual used: System of National Accounts (SNA) 2008 GDP valuation: Market prices Start/end months of reporting year: January/December Base year: 2015 Chain-weighted: No Primary domestic currency: Surinamese dollar Data last updated: 09/2021</t>
  </si>
  <si>
    <t>Syria</t>
  </si>
  <si>
    <t>Source: National Statistics Office. Central Bureau of Statistics. Latest actual data: 2010 National accounts manual used: System of National Accounts (SNA) 1993 GDP valuation: Market prices Start/end months of reporting year: January/December Base year: 2000 Chain-weighted: No Primary domestic currency: Syrian pound Data last updated: n/a</t>
  </si>
  <si>
    <t>Source: National Statistics Office Latest actual data: 2019 National accounts manual used: System of National Accounts (SNA) 1993 GDP valuation: Market prices Start/end months of reporting year: January/December Base year: 1995 Chain-weighted: No Primary domestic currency: Tajik somoni Data last updated: 09/2021</t>
  </si>
  <si>
    <t>Tanzania</t>
  </si>
  <si>
    <t>Source: National Statistics Office Latest actual data: 2020 National accounts manual used: System of National Accounts (SNA) 2008 GDP valuation: Market prices Start/end months of reporting year: January/December Base year: 2015 Chain-weighted: No Primary domestic currency: Tanzanian shilling Data last updated: 09/2021</t>
  </si>
  <si>
    <t>Thailand</t>
  </si>
  <si>
    <t>Source: National Economic and Social Development Board Latest actual data: 2020 National accounts manual used: System of National Accounts (SNA) 1993 GDP valuation: Market prices Start/end months of reporting year: January/December Base year: 2002 Chain-weighted: Yes, from 1993. Ratio splicing for years before 1993 Primary domestic currency: Thai baht Data last updated: 08/2021</t>
  </si>
  <si>
    <t>Source: National Statistics Office Latest actual data: 2019 National accounts manual used: System of National Accounts (SNA) 2008 GDP valuation: Market prices Start/end months of reporting year: January/December Base year: 2015 Chain-weighted: No Primary domestic currency: US dollar Data last updated: 09/2021</t>
  </si>
  <si>
    <t>Source: National Statistics Office Latest actual data: 2016 National accounts manual used: System of National Accounts (SNA) 1993 GDP valuation: Market prices Start/end months of reporting year: January/December Base year: 2016 Chain-weighted: No Primary domestic currency: CFA franc Data last updated: 08/2021</t>
  </si>
  <si>
    <t>Tonga</t>
  </si>
  <si>
    <t>Source: Central Bank. National Reserve Bank of Tonga Latest actual data: FY2019/20. Data are mapped to calendar year as follows: FY(t-1/t) = CY(t) Notes: Prior to 1994,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National accounts manual used: System of National Accounts (SNA) 1993 GDP valuation: Market prices Start/end months of reporting year: July/June Base year: FY2016/17 Chain-weighted: No Primary domestic currency: Tongan pa'anga Data last updated: 08/2021</t>
  </si>
  <si>
    <t>Trinidad and Tobago</t>
  </si>
  <si>
    <t>Source: National Statistics Office Latest actual data: 2019 Notes: Trinidad and Tobago's growth forecast estimates for 2020 are based on energy sector data from the Ministry of Energy and Ministry of Finance up until September, preliminary national accounts data for 2019 from the Central Statistical Office, and staff projections for the fourth quarter nonenergy output based on available information. Growth estimates are subject to revision once the finalized data for the full year become available. National accounts manual used: System of National Accounts (SNA) 1993 GDP valuation: Market prices Start/end months of reporting year: January/December Base year: 2012 Chain-weighted: No Primary domestic currency: Trinidad and Tobago dollar Data last updated: 09/2021</t>
  </si>
  <si>
    <t>Tunisia</t>
  </si>
  <si>
    <t>Source: National Statistics Office Latest actual data: 2020 National accounts manual used: System of National Accounts (SNA) 1993 GDP valuation: Market prices Start/end months of reporting year: January/December Base year: 2010 Chain-weighted: Yes, from 2009 Primary domestic currency: Tunisian dinar Data last updated: 07/2021</t>
  </si>
  <si>
    <t>Turkey</t>
  </si>
  <si>
    <t>Source: National Statistics Office. Data from Turkish Statistical Institute (TurkStat) Latest actual data: 2020 National accounts manual used: European System of Accounts (ESA) 2010 GDP valuation: Market prices Start/end months of reporting year: January/December Base year: 2009 Chain-weighted: Yes, from 2009 Primary domestic currency: Turkish lira Data last updated: 09/2021</t>
  </si>
  <si>
    <t>Turkmenistan</t>
  </si>
  <si>
    <t>Source: IMF Staff Estimates. Staff estimates, compiled in line with international (System of National Accounts) methodologies, using official estimates and sources, as well as UN and World Bank databases. The Turkmenistan authorities' estimate of real GDP growth in 2020 is 5.9 percent. Latest actual data: 2020 National accounts manual used: Not applicable GDP valuation: Market prices Start/end months of reporting year: January/December Base year: 2006 Chain-weighted: Yes, from 2007 Primary domestic currency: New Turkmen manat Data last updated: 08/2021</t>
  </si>
  <si>
    <t>Tuvalu</t>
  </si>
  <si>
    <t>Source: PFTAC advisors Latest actual data: 2019 National accounts manual used: System of National Accounts (SNA) 1993 GDP valuation: Market prices Start/end months of reporting year: January/December Base year: 2016 Chain-weighted: No Primary domestic currency: Australian dollar Data last updated: 08/2021</t>
  </si>
  <si>
    <t>Source: National Statistics Office Latest actual data: 2020. Historical data are in CY, but projections are conversions using averages of FY. For example, the projection of 2020 is the average of 2019/20 and 2020/21. National accounts manual used: System of National Accounts (SNA) 2008 GDP valuation: Market prices Start/end months of reporting year: January/December. Prior to 2009, the data are in fiscal year (FY) reporting basis converted to calendar year (CY) by averaging two FYs (e.g. CY2008 is the average of FY2007/08 and FY2008/09). Historical quarterly data are taken from Haver to have a smooth series. Base year: 2016. National Accounts were rebased on a FY basis and this rebasing was then applied to CY historical data. As a result real GDP and nominal GDP are not equal in CY 2016. Chain-weighted: No Primary domestic currency: Ugandan shilling Data last updated: 09/2021</t>
  </si>
  <si>
    <t>Ukraine</t>
  </si>
  <si>
    <t>Source: National Statistics Office. Formally, the State Statistics Service of Ukraine Latest actual data: 2020. Starting in 2014, the data was changed to SNA 2008. Revised National Accounts data is available from 2000 on an annual basis and from 2010 on a quarterly basis. The data excludes Crimea and Sevastopol from 2010. The revised quarterly GDP data based on SNA 2008 excluding Crimea and Sevastopol are available from 2010. National accounts manual used: System of National Accounts (SNA) 2008 GDP valuation: Market prices Start/end months of reporting year: January/December Base year: 2016 Chain-weighted: Yes, from 2005 Primary domestic currency: Ukrainian hryvnia Data last updated: 09/2021</t>
  </si>
  <si>
    <t>United Arab Emirates</t>
  </si>
  <si>
    <t>Source: National Statistics Office Latest actual data: 2020. Preliminary official data, not published yet National accounts manual used: System of National Accounts (SNA) 2008 GDP valuation: Factor costs Start/end months of reporting year: January/December Base year: 2010 Chain-weighted: No Primary domestic currency: U.A.E. dirham Data last updated: 09/2021</t>
  </si>
  <si>
    <t>Uruguay</t>
  </si>
  <si>
    <t>Source: Central Bank Latest actual data: 2020 Notes: Data for years between 2016 and last actual for these series are reported by national authorities. Data prior to 2016 are the staff's estimates, representing best effort to preserve the previously reported growth rates and avoid structural breaks. National accounts manual used: System of National Accounts (SNA) 2008 GDP valuation: Market prices Start/end months of reporting year: January/December Base year: 2016 Chain-weighted: No Primary domestic currency: Uruguayan peso Data last updated: 09/2021</t>
  </si>
  <si>
    <t>Source: National Statistics Office Latest actual data: 2020. Latest annual data is 2020. National accounts manual used: System of National Accounts (SNA) 1993 GDP valuation: Market prices Start/end months of reporting year: January/December Base year: 2015 Chain-weighted: No Primary domestic currency: Uzbek som Data last updated: 09/2021</t>
  </si>
  <si>
    <t>Vanuatu</t>
  </si>
  <si>
    <t>Source: National Statistics Office Latest actual data: 2018 National accounts manual used: System of National Accounts (SNA) 1993 GDP valuation: Market prices Start/end months of reporting year: January/December Base year: 2006 Chain-weighted: No Primary domestic currency: Vanuatu vatu Data last updated: 08/2021</t>
  </si>
  <si>
    <t>Venezuela</t>
  </si>
  <si>
    <t>Source: Central Bank Latest actual data: 2018. Latest year for nominal accounts is 2017. Latest year for real accounts is 2018. National accounts manual used: System of National Accounts (SNA) 1993 GDP valuation: Market prices Start/end months of reporting year: January/December Base year: 1997 Chain-weighted: No Primary domestic currency: Venezuelan bolívar soberano Data last updated: 08/2021</t>
  </si>
  <si>
    <t>Source: National Statistics Office. Country authorities revised their methodology for GDP calculation in 2019, and 'revised' GDP data is currently only available starting in 2010. 'Revised' and 'unrevised' GDP data are substantially different, leading to sharp breaks in national accounts variables in 2010. Latest actual data: 2020 National accounts manual used: System of National Accounts (SNA) 1993 GDP valuation: Market prices. Production-based measure Start/end months of reporting year: January/December Base year: 2010 Chain-weighted: No Primary domestic currency: Vietnamese dong Data last updated: 09/2021</t>
  </si>
  <si>
    <t>West Bank and Gaza</t>
  </si>
  <si>
    <t>Source: National Statistics Office. National accounts are reported in USD, although NIS is the most commonly used currency and the most common means of transaction. Latest actual data: 2020 National accounts manual used: System of National Accounts (SNA) 2008 GDP valuation: Market prices Start/end months of reporting year: January/December Base year: 2015 Chain-weighted: No Primary domestic currency: Israeli new shekel Data last updated: 08/2021</t>
  </si>
  <si>
    <t>Yemen</t>
  </si>
  <si>
    <t>Source: IMF Staff Estimates Latest actual data: 2020 National accounts manual used: System of National Accounts (SNA) 1993 GDP valuation: Factor costs Start/end months of reporting year: January/December Base year: 1990 Chain-weighted: No Primary domestic currency: Yemeni rial Data last updated: 08/2021</t>
  </si>
  <si>
    <t>Source: National Statistics Office Latest actual data: 2020 National accounts manual used: System of National Accounts (SNA) 2008 GDP valuation: Market prices Start/end months of reporting year: January/December Base year: 2010 Chain-weighted: No Primary domestic currency: Zambian kwacha Data last updated: 08/2021</t>
  </si>
  <si>
    <t>Source: National Statistics Office Latest actual data: 2019. Data before 2009 are unreliable Notes: The Zimbabwe dollar ceased circulating in 2009. Between 2009 19 Zimbabwe operated under a multi-currency regime with the US dollar as the unit of account. In 2019, Zimbabwe authorities introduced the RTGS dollar, later renamed the Zimbabwe dollar and are currently redenominating their national accounts statistics. National accounts manual used: System of National Accounts (SNA) 2008 GDP valuation: Market prices Start/end months of reporting year: January/December Base year: 2012 Chain-weighted: No Primary domestic currency: Zimbabwe dollar Data last updated: 09/2021</t>
  </si>
  <si>
    <t>International Monetary Fund, World Economic Outlook Database, April 2021</t>
  </si>
  <si>
    <t>data for</t>
  </si>
  <si>
    <t>taken from</t>
  </si>
  <si>
    <t>2018 exercise</t>
  </si>
  <si>
    <t>2019 exercise</t>
  </si>
  <si>
    <t>2020 exercise</t>
  </si>
  <si>
    <t>2016 exercice</t>
  </si>
  <si>
    <t>2017 Exercise</t>
  </si>
  <si>
    <t>2018 Exercise</t>
  </si>
  <si>
    <t>2019 Exercise</t>
  </si>
  <si>
    <t>2020 Exercise</t>
  </si>
  <si>
    <t>2021 Exercise</t>
  </si>
  <si>
    <t>Base fiscal year for GPE</t>
  </si>
  <si>
    <t>last fiscal year with both provisional &amp; actual expenditures</t>
  </si>
  <si>
    <t>last fiscal year completed</t>
  </si>
  <si>
    <t>update for actual expenditure</t>
  </si>
  <si>
    <t>notes</t>
  </si>
  <si>
    <t>Last year</t>
  </si>
  <si>
    <t>Year of admission to GPE</t>
  </si>
  <si>
    <t>2011-2012 (1390)</t>
  </si>
  <si>
    <t>2013-2014 (1392)</t>
  </si>
  <si>
    <t>2014-2015 (1393)</t>
  </si>
  <si>
    <t>2015 (1394)</t>
  </si>
  <si>
    <t>2016 (1395)</t>
  </si>
  <si>
    <t>2017 (1396)</t>
  </si>
  <si>
    <t>2018 (1397)</t>
  </si>
  <si>
    <t>2019 (1398)</t>
  </si>
  <si>
    <t>2020 (1399)</t>
  </si>
  <si>
    <t>Afghani</t>
  </si>
  <si>
    <t>unit</t>
  </si>
  <si>
    <t>millions</t>
  </si>
  <si>
    <t>implemen-tation rate</t>
  </si>
  <si>
    <t>starting month of the fiscal year</t>
  </si>
  <si>
    <t>March</t>
  </si>
  <si>
    <t>Revised budget (Mid Year Review)</t>
  </si>
  <si>
    <t>Revised budget</t>
  </si>
  <si>
    <t>Budget</t>
  </si>
  <si>
    <t>Source reference</t>
  </si>
  <si>
    <t>Total Government budget</t>
  </si>
  <si>
    <t>Source</t>
  </si>
  <si>
    <t>Note</t>
  </si>
  <si>
    <t>1392 Budget Table page 24</t>
  </si>
  <si>
    <t>1393 Budget (Table 1 page 32)</t>
  </si>
  <si>
    <t>1394 Budget (Table 1 page 54)</t>
  </si>
  <si>
    <t>1393 Budget Table Page 21</t>
  </si>
  <si>
    <t>1395 Budget Table Page 73 (1393 Historic Budget)</t>
  </si>
  <si>
    <t>National Budget Document 1994 FY, p51</t>
  </si>
  <si>
    <t>National Budget Document FY 1395, p69</t>
  </si>
  <si>
    <t>http://www.budgetmof.gov.af/images/stories/DGB/BPRD/National%20Budget/1396_Budget/1396%20National%20Budget%20-%20Approved%20-%20English%20dated%2025Feb2017.pdf</t>
  </si>
  <si>
    <t>National Budget Document FY 1395</t>
  </si>
  <si>
    <t>Fiscal Year 1396 Budget - p8 and p68</t>
  </si>
  <si>
    <t>National Budget Document 1395 FY</t>
  </si>
  <si>
    <t>National Budget Document FY 1396</t>
  </si>
  <si>
    <t>Fiscal Year 1396 Actual (estimated with the implementation rate)</t>
  </si>
  <si>
    <t>National Budget Document FY 1397</t>
  </si>
  <si>
    <t>http://www.budgetmof.gov.af/index.php/en/2012-12-06-22-51-13/national-budget</t>
  </si>
  <si>
    <t>Master National Budget</t>
  </si>
  <si>
    <t>estimate from eexecution rate</t>
  </si>
  <si>
    <t>National Budget Document FY 1398</t>
  </si>
  <si>
    <t>Budget consolidated</t>
  </si>
  <si>
    <t xml:space="preserve">Monthly Financial Report Qaws 1398 December 2019
http://www.budgetmof.gov.af/index.php/en/2012-12-06-22-51-13/monthly-financial-reports </t>
  </si>
  <si>
    <t>Monthly Financial Report Qaws 1399 December 2020</t>
  </si>
  <si>
    <t xml:space="preserve">http://www.budgetmof.gov.af/index.php/en/2012-12-06-22-51-13/monthly-financial-reports </t>
  </si>
  <si>
    <t>Revenue</t>
  </si>
  <si>
    <t>page 80 pdf</t>
  </si>
  <si>
    <t>Page 14</t>
  </si>
  <si>
    <t>National budget 1397</t>
  </si>
  <si>
    <t>National Budget 1397</t>
  </si>
  <si>
    <t>Tax and non tax revenues</t>
  </si>
  <si>
    <t>p69</t>
  </si>
  <si>
    <t>p68</t>
  </si>
  <si>
    <t>PDF Page 1</t>
  </si>
  <si>
    <t>PDF P 4</t>
  </si>
  <si>
    <t>Table PDF page 4</t>
  </si>
  <si>
    <t>External grants</t>
  </si>
  <si>
    <t>Grants and loan</t>
  </si>
  <si>
    <t>note: includes from loans</t>
  </si>
  <si>
    <t>External loans</t>
  </si>
  <si>
    <t>Total Government revenue</t>
  </si>
  <si>
    <t>Total Domestic Revenue</t>
  </si>
  <si>
    <t>Expenditure</t>
  </si>
  <si>
    <t>Execution report 24/11/2018 (11 months)</t>
  </si>
  <si>
    <t>Recurrent expenditure</t>
  </si>
  <si>
    <t>Missing in 1396 budget the actualy for 1395, budget table on PDF p75 is incorrect total</t>
  </si>
  <si>
    <t>page 33 pdf</t>
  </si>
  <si>
    <t>Excel</t>
  </si>
  <si>
    <t>Investment</t>
  </si>
  <si>
    <t>Missing in 1396 budget the actualy for 1395</t>
  </si>
  <si>
    <t>Financing and debt service / Debt interests</t>
  </si>
  <si>
    <t>1398 budget Table 1 page 9</t>
  </si>
  <si>
    <t>Other debt service payments</t>
  </si>
  <si>
    <t>Total expenditure</t>
  </si>
  <si>
    <t>Salaries and pensions</t>
  </si>
  <si>
    <t>Master National Budget Document 1399 page 30</t>
  </si>
  <si>
    <t>Montythly report page 9 and 10</t>
  </si>
  <si>
    <t>Compensation of employees</t>
  </si>
  <si>
    <t>Table 1 p51 / Table 1 p61</t>
  </si>
  <si>
    <t>Table 1 p81</t>
  </si>
  <si>
    <t>P68</t>
  </si>
  <si>
    <t>P14</t>
  </si>
  <si>
    <t>PDF Page 9</t>
  </si>
  <si>
    <t>of which Salaries only</t>
  </si>
  <si>
    <t>Retirement benefits paid</t>
  </si>
  <si>
    <r>
      <t xml:space="preserve">Table 6 page 72 /  </t>
    </r>
    <r>
      <rPr>
        <sz val="11"/>
        <color rgb="FFFF0000"/>
        <rFont val="Calibri"/>
        <family val="2"/>
        <scheme val="minor"/>
      </rPr>
      <t xml:space="preserve"> estimate</t>
    </r>
  </si>
  <si>
    <t>Table 6,  page 83</t>
  </si>
  <si>
    <t>Pensions for Civilians and Military staff (900007)</t>
  </si>
  <si>
    <t>page 86 Pensions for civilians and military staff</t>
  </si>
  <si>
    <t>see pages 50-51 on pensions</t>
  </si>
  <si>
    <t>See Text on pensions page 47</t>
  </si>
  <si>
    <t>income of pension scheme</t>
  </si>
  <si>
    <t>creation of separate funds</t>
  </si>
  <si>
    <t>% Contribution for pension</t>
  </si>
  <si>
    <t>Employer countribution</t>
  </si>
  <si>
    <t>Grants to Local Governments</t>
  </si>
  <si>
    <t>Development</t>
  </si>
  <si>
    <t>Expenditure for Education</t>
  </si>
  <si>
    <t>Document provide with implementation rates</t>
  </si>
  <si>
    <t>page 27</t>
  </si>
  <si>
    <t>page 46</t>
  </si>
  <si>
    <t>estimates from implementation rates</t>
  </si>
  <si>
    <t>National Budget Document 1394 FY, p58 (p61 PDF)</t>
  </si>
  <si>
    <t xml:space="preserve">Budget file FY1396 </t>
  </si>
  <si>
    <t>Budget file FY1395</t>
  </si>
  <si>
    <t>Files: Operating by Ministry ; Development by Ministry</t>
  </si>
  <si>
    <t>http://www.budgetmof.gov.af/</t>
  </si>
  <si>
    <t>Monthly report Qaws1398- December 2019</t>
  </si>
  <si>
    <t>Ministries in charge of education</t>
  </si>
  <si>
    <t>page 32</t>
  </si>
  <si>
    <t>from 1397 files</t>
  </si>
  <si>
    <t>from 1398 files</t>
  </si>
  <si>
    <t>Ministry of Higher Education Operating</t>
  </si>
  <si>
    <t>Table 2  p71 / Table 7 P81 (p85 PDF)</t>
  </si>
  <si>
    <t>Table 2 p71 (p75 PDF)</t>
  </si>
  <si>
    <t xml:space="preserve">Table 2  p70 </t>
  </si>
  <si>
    <t>Page 8 Table 5</t>
  </si>
  <si>
    <t>Page 9 Table 5</t>
  </si>
  <si>
    <t>Ministry of Higher Education Development</t>
  </si>
  <si>
    <t>Table 2  p71  / Table 8 P86 (p90 PDF)</t>
  </si>
  <si>
    <t>Dev budget appears to be in USD (rate 63.53)</t>
  </si>
  <si>
    <t>Technical Vocational Education</t>
  </si>
  <si>
    <t>Ministry of Education Operational</t>
  </si>
  <si>
    <t>Table 2  p71  / Table 7 P81 (p85 PDF)</t>
  </si>
  <si>
    <t>Ministry of Education Development</t>
  </si>
  <si>
    <t>Deductions for non education ares</t>
  </si>
  <si>
    <t>Name Ministry 1</t>
  </si>
  <si>
    <t>Name Ministry 2</t>
  </si>
  <si>
    <t>Name Ministry 3</t>
  </si>
  <si>
    <t>Other ministries</t>
  </si>
  <si>
    <t>Name Ministry 4</t>
  </si>
  <si>
    <t>Name Ministry 5</t>
  </si>
  <si>
    <t>Name Ministry 6</t>
  </si>
  <si>
    <t>Name Ministry 7</t>
  </si>
  <si>
    <t>of which Salaries</t>
  </si>
  <si>
    <t>National Budget Document 1394 FY, p71</t>
  </si>
  <si>
    <t>National Budget Document 1395 FY, p71</t>
  </si>
  <si>
    <t>National Budget Document 1397 page 96 pdf</t>
  </si>
  <si>
    <t>Master National Budget Document 1398 FY, p21 (25Word)</t>
  </si>
  <si>
    <t>Master National Budget Document 1398 FY</t>
  </si>
  <si>
    <t>Montythly report page 11</t>
  </si>
  <si>
    <t>Montythly report page 12</t>
  </si>
  <si>
    <t>Ministry of Higher Education</t>
  </si>
  <si>
    <t>Actuals seem unavailable</t>
  </si>
  <si>
    <t>Table 6 p82</t>
  </si>
  <si>
    <t>Ministry of Education</t>
  </si>
  <si>
    <t>Local Governments</t>
  </si>
  <si>
    <r>
      <t xml:space="preserve">Education service delivery - </t>
    </r>
    <r>
      <rPr>
        <sz val="11"/>
        <color rgb="FFFF0000"/>
        <rFont val="Calibri"/>
        <family val="2"/>
        <scheme val="minor"/>
      </rPr>
      <t>Recurrent</t>
    </r>
  </si>
  <si>
    <r>
      <t xml:space="preserve">Education service delivery - </t>
    </r>
    <r>
      <rPr>
        <sz val="11"/>
        <color rgb="FFFF0000"/>
        <rFont val="Calibri"/>
        <family val="2"/>
        <scheme val="minor"/>
      </rPr>
      <t>Development</t>
    </r>
  </si>
  <si>
    <t>% of grants received</t>
  </si>
  <si>
    <t>External  funding included in education</t>
  </si>
  <si>
    <t>File: Master National budget English (1398)</t>
  </si>
  <si>
    <t>File: Master National budget English (1399)</t>
  </si>
  <si>
    <t>of which Expenditure for preprimary and primary</t>
  </si>
  <si>
    <t>Ministry of Education/ others</t>
  </si>
  <si>
    <t>Page 20 COFOG</t>
  </si>
  <si>
    <t>Preprimary - Recurrent</t>
  </si>
  <si>
    <t>Table by function page 44</t>
  </si>
  <si>
    <t>Page 20</t>
  </si>
  <si>
    <t>Pre-primary - Development</t>
  </si>
  <si>
    <t>% spent for education</t>
  </si>
  <si>
    <t>Assessment of Education expenditure</t>
  </si>
  <si>
    <t>Ministries of Education</t>
  </si>
  <si>
    <t>Other Ministries</t>
  </si>
  <si>
    <t>Contributions to pension</t>
  </si>
  <si>
    <t>Total for education</t>
  </si>
  <si>
    <t>% current &amp; capital expenditures</t>
  </si>
  <si>
    <t>Recurrent expenditure for Education</t>
  </si>
  <si>
    <t>Capital expenditure for Education</t>
  </si>
  <si>
    <t>Exp. Education as % Gvt Capital expenditures</t>
  </si>
  <si>
    <t>Exp. Education as % Gvt Recurrent expenditures</t>
  </si>
  <si>
    <t>Exp. Education as % Domestic ressources</t>
  </si>
  <si>
    <t>Expenditures for Education without external funding</t>
  </si>
  <si>
    <t>Education excluding external as % domestic ressources</t>
  </si>
  <si>
    <t>% Primary Education in Total Education expenditure</t>
  </si>
  <si>
    <t>% Primary Education in Recurrent Education expenditure</t>
  </si>
  <si>
    <t>Notes</t>
  </si>
  <si>
    <t>Dificulties encountered or estimates made</t>
  </si>
  <si>
    <t xml:space="preserve">estimates for actual expenditures are based on the implementation rates for 1392. </t>
  </si>
  <si>
    <t>2016 Exercise</t>
  </si>
  <si>
    <t>Lek</t>
  </si>
  <si>
    <t>000/leke</t>
  </si>
  <si>
    <t>million leke</t>
  </si>
  <si>
    <t>January</t>
  </si>
  <si>
    <t>Buxheti_2014-Tabelat_shoqeruese Tabela 4</t>
  </si>
  <si>
    <t>Relacioni_i_Buxhetit_faktik_2014_finle_(9.6.15)</t>
  </si>
  <si>
    <t>Tabelat_4_shoqeruese_-_Shpenzimet_2015_(sipas_funksioneve_te_Qeverise)</t>
  </si>
  <si>
    <t>Provisional estimate using implementation rate</t>
  </si>
  <si>
    <t>TREGUESIT FISKALE SIPAS BUXHETIT TE KONSOLIDUAR 2015
(Fiscal indicators regarding consolidated budget of 2015)</t>
  </si>
  <si>
    <t>Statistikat Fiskale Të Qeverisë December 2015</t>
  </si>
  <si>
    <t xml:space="preserve"> http://www.financa.gov.al/al/raportime/thesari/buletini-fiskal</t>
  </si>
  <si>
    <t>TREGUESIT FISKALE SIPAS BUXHETIT TE KONSOLIDUAR 2016(Fiscal indicators regarding consolidated budget of 2016)</t>
  </si>
  <si>
    <t>http://www.financa.gov.al/files/userfiles/Thesari/Treguesit_Fiskal_sipas_Buxhetit_te_Konsoliduar/2016/Treguesit_fiskal_12-2016_PDF_20.02.2017_(1).pdf</t>
  </si>
  <si>
    <t>http://www.financa.gov.al/al/raportime/thesari/buletini-fiskal</t>
  </si>
  <si>
    <t>http://www.financa.gov.al/files/userfiles/Thesari/Treguesit_Fiskal_sipas_Buxhetit_te_Konsoliduar/2017/Perfundimtare/treguesit_fiskal_12-2017_dt.15.02.2018_3_(publikimi).pdf</t>
  </si>
  <si>
    <t>TREGUESIT FISKALE SIPAS BUXHETIT TE KONSOLIDUAR 2017(Fiscal indicators regarding consolidated budget of 2017)-until december 2017</t>
  </si>
  <si>
    <t>TREGUESIT FISKALE SIPAS BUXHETIT TE KONSOLIDUAR 2018(Fiscal indicators regarding consolidated budget of 2018)</t>
  </si>
  <si>
    <t>Doc StatistiKa Fiscale ne vite 2018</t>
  </si>
  <si>
    <t>Copie de treguesit-fiskal-12-2018-perfundimtar-2-publikimi (Excel Col Plani vjetor fillestar 2018)</t>
  </si>
  <si>
    <t>Copie de treguesit-fiskal-12-2018-perfundimtar-2-publikimi (Excel columnl Dhjetor Dec )</t>
  </si>
  <si>
    <t>http://www.financa.gov.al/thesari-borxhi/</t>
  </si>
  <si>
    <t>Copie de treguesit-fiskal-12-2019-publikimi.xlsx</t>
  </si>
  <si>
    <t>Copie de treguesit-fiskal-12-2019-perfundimtar-2-publikimi (Excel)</t>
  </si>
  <si>
    <t>Copie de treguesit-fiskal-12-2018-perfundimtar-2-publikimi (Excel)</t>
  </si>
  <si>
    <t>Copie de treguesit-fiskal-12-2020-perfuundimtar.xlsx</t>
  </si>
  <si>
    <t>Bruxeti Tabela 4</t>
  </si>
  <si>
    <t>Plani vjetor   2019  AN3</t>
  </si>
  <si>
    <t xml:space="preserve">Dhjetor Dec </t>
  </si>
  <si>
    <t xml:space="preserve"> Column Plani vjetor 2019</t>
  </si>
  <si>
    <t>Column Dhjetor Dec</t>
  </si>
  <si>
    <t>rows II.1 Tax revenue, II.2 Local Gvt, III Non tax revenues</t>
  </si>
  <si>
    <t xml:space="preserve"> Tax &amp; non-tax, exceptSocial contributions</t>
  </si>
  <si>
    <t>row I Grants</t>
  </si>
  <si>
    <t>row 7 (I- Te ardhura nga ndihmat - Grants)</t>
  </si>
  <si>
    <t>row 6 (I- Te ardhura nga ndihmat - Grants)</t>
  </si>
  <si>
    <t>Social security</t>
  </si>
  <si>
    <t>Row II.3 Social insurance contributions</t>
  </si>
  <si>
    <t>Row 25 (II.3 Te ardh nga fondet speciale - Social contributions)</t>
  </si>
  <si>
    <t>Row 24  (II.3 Te ardh nga fondet speciale - Social contributions)</t>
  </si>
  <si>
    <t>Include social security</t>
  </si>
  <si>
    <t>Row 5 Total revenues</t>
  </si>
  <si>
    <t>Tabela 4</t>
  </si>
  <si>
    <t>Rows I.1 Personnel + I.3 operational &amp; Maintenance + I.4 Subsidies + I.6 Local budget + II. Reserve contingency</t>
  </si>
  <si>
    <t>Total minus capital, interest &amp; social insurance</t>
  </si>
  <si>
    <t>Investment Domestic financing</t>
  </si>
  <si>
    <t>row III. Capital, Domestically financing + from Higher Education Revenue</t>
  </si>
  <si>
    <t>Investment Foreign financing</t>
  </si>
  <si>
    <t>row III. Capital, Foreign financed</t>
  </si>
  <si>
    <t>Debt interests</t>
  </si>
  <si>
    <t>Rows I.2 Interest</t>
  </si>
  <si>
    <t>Rows Arrears &amp; Net lending</t>
  </si>
  <si>
    <t>Rows Net lending</t>
  </si>
  <si>
    <t>Rows I.5 Social Insurance Outlays + Row I.7 other expenditures</t>
  </si>
  <si>
    <t>not needed</t>
  </si>
  <si>
    <t>not used as it seems Gvt subsidy to SS scheme is global, not attached to employed staff</t>
  </si>
  <si>
    <t>Local Budget expenditure</t>
  </si>
  <si>
    <t>Tabelat_5_shoqeruese_-_Shpenzimet_2015_(sipas_institucioneve)</t>
  </si>
  <si>
    <t>AKTI NORMATIV 2015 (Dhjetor II) - SIPAS MINISTRIVE TE LINJES DHE INSTITUCIONEVE BUXHETORE</t>
  </si>
  <si>
    <t>http://www.financa.gov.al/files/userfiles/Buxheti/Buxheti_ne_vite/Buxheti_2015/akt_normativ_3/Copy_of_Tab_1_e_AN_2015_(dhjetor_II).pdf</t>
  </si>
  <si>
    <t>2016 Tab_1_-_Shpenzimet_e_Institucioneve_sipas_Programeve_final.xlsx</t>
  </si>
  <si>
    <t xml:space="preserve">http://www.financa.gov.al/al/raportime/buxheti/buxheti-ne-vite/buxheti-2016/akti-normativ-nr-2-i-buxhetit-2016 </t>
  </si>
  <si>
    <t>KOMENTE DHE REKOMANDIME MBI RAPORTIN E MONITORIMIT TË VITIT 2016 PËR MINISTRINË E ARSIMIT DHE SPORTIT</t>
  </si>
  <si>
    <t>Tabela_1_-_Akti_normativ_(institucionet_me_programe_dhe_shpenzimet_e_tjera)%20(1).xlsm</t>
  </si>
  <si>
    <t xml:space="preserve">http://www.financa.gov.al/al/raportime/buxheti/buxheti-ne-vite/buxheti-2017/akti-normativ-nr-2-i-buxhetit-2017 </t>
  </si>
  <si>
    <t>Bruxeti 2018</t>
  </si>
  <si>
    <t>0-2018-Raporti-i-Monit-12-mujori-Janar-31-Dhjetor-3018-dt-31.01.2019-FN_Final.pdf</t>
  </si>
  <si>
    <t>Copie de Tabela-1-Buxheti-2019-institucionet-me-programe-dhe-shpenzimet-e-tjera.xls</t>
  </si>
  <si>
    <t>Estimated with implementation rate</t>
  </si>
  <si>
    <t>BOOST file</t>
  </si>
  <si>
    <t>http://www.financa.gov.al/al/legjislacioni/buxheti-thesari-borxhi/buxheti/raporte-monitorimi/viti-2016/raporte-monitorimi-nga-ministria-e-financave-2016/komente-te-pergjithshme-monitorimi-vjetore</t>
  </si>
  <si>
    <t>Tabela 1 Buxeti instucionet</t>
  </si>
  <si>
    <t>Raporti min Arsimit</t>
  </si>
  <si>
    <t>Table 1 Acti normativ</t>
  </si>
  <si>
    <t>Table 2 (object of exp)</t>
  </si>
  <si>
    <t>Table page 2 Pdf</t>
  </si>
  <si>
    <r>
      <t xml:space="preserve">Ministria e Arsimit dhe Sportit </t>
    </r>
    <r>
      <rPr>
        <sz val="11"/>
        <color rgb="FFFF0000"/>
        <rFont val="Calibri"/>
        <family val="2"/>
        <scheme val="minor"/>
      </rPr>
      <t>Recurrent</t>
    </r>
  </si>
  <si>
    <t>11 Ministria e Arsimit dhe Sportit ; column Korrente</t>
  </si>
  <si>
    <t>page 2 Pdf; row 1&amp;2 Codi 600-601 &amp; 602-606</t>
  </si>
  <si>
    <r>
      <t xml:space="preserve">Ministria e Arsimit dhe Sportit </t>
    </r>
    <r>
      <rPr>
        <sz val="11"/>
        <color rgb="FFFF0000"/>
        <rFont val="Calibri"/>
        <family val="2"/>
        <scheme val="minor"/>
      </rPr>
      <t>Capital</t>
    </r>
  </si>
  <si>
    <t>11 Ministria e Arsimit dhe Sportit ; column Kapitale</t>
  </si>
  <si>
    <t>page 2 Pdf; row 3 Codi 230-231</t>
  </si>
  <si>
    <t xml:space="preserve">http://www.arsimi.gov.al/al/ministria/buxheti-dhe-financat  </t>
  </si>
  <si>
    <t>ANEKSI 13 Buxheti i Arsimit 2016 - 1</t>
  </si>
  <si>
    <t>Table 1.2 page 2</t>
  </si>
  <si>
    <r>
      <t>Fonde per Shkencen</t>
    </r>
    <r>
      <rPr>
        <sz val="11"/>
        <color rgb="FFFF0000"/>
        <rFont val="Calibri"/>
        <family val="2"/>
        <scheme val="minor"/>
      </rPr>
      <t xml:space="preserve"> Recurrent </t>
    </r>
  </si>
  <si>
    <t>09770 Fonde per Shkencen ; column Korrente</t>
  </si>
  <si>
    <r>
      <t>Fonde per Shkencen</t>
    </r>
    <r>
      <rPr>
        <sz val="11"/>
        <color rgb="FFFF0000"/>
        <rFont val="Calibri"/>
        <family val="2"/>
        <scheme val="minor"/>
      </rPr>
      <t xml:space="preserve"> Capital</t>
    </r>
  </si>
  <si>
    <t>09770 Fonde per Shkencen ; column Kapitale</t>
  </si>
  <si>
    <r>
      <t>Zhvillimi i Sportit</t>
    </r>
    <r>
      <rPr>
        <sz val="11"/>
        <color rgb="FFFF0000"/>
        <rFont val="Calibri"/>
        <family val="2"/>
        <scheme val="minor"/>
      </rPr>
      <t xml:space="preserve"> Recurrent</t>
    </r>
  </si>
  <si>
    <t>08140 Zhvillimi i Sportit ; column Korrente</t>
  </si>
  <si>
    <r>
      <t>Zhvillimi i Sportit</t>
    </r>
    <r>
      <rPr>
        <sz val="11"/>
        <color rgb="FFFF0000"/>
        <rFont val="Calibri"/>
        <family val="2"/>
        <scheme val="minor"/>
      </rPr>
      <t xml:space="preserve"> Capital</t>
    </r>
  </si>
  <si>
    <t>08140 Zhvillimi i Sportit ; column Kapitale</t>
  </si>
  <si>
    <t>estimated</t>
  </si>
  <si>
    <t>Copie de Tabela_1_-_Buxheti_2018_institucionet_me_programe_dhe_shpenzimet_e_tjera</t>
  </si>
  <si>
    <t>BOOST select FUNC1=Education, TRANSFER=Excluding transfer; use of codes ADMIN3 and ECON2</t>
  </si>
  <si>
    <r>
      <t>Ministria e Mireqenies Sociale dhe Rinise (Arsimi i  Mesem profesional)</t>
    </r>
    <r>
      <rPr>
        <sz val="11"/>
        <color rgb="FFFF0000"/>
        <rFont val="Calibri"/>
        <family val="2"/>
        <scheme val="minor"/>
      </rPr>
      <t xml:space="preserve"> Recurrent</t>
    </r>
  </si>
  <si>
    <t>25 Ministria e Mireqenies Sociale dhe Rinise ; 09240 Arsimi i  Mesem (profesional); column Korrente</t>
  </si>
  <si>
    <t>10 Ministria e Financave dhe Ekonomise 09240 Arsimi i  Mesem (profesional);</t>
  </si>
  <si>
    <t>10 Ministria e Financave dhe Ekkonomisee ; 09240 Arsimi i  Mesem (profesional); column Korrente</t>
  </si>
  <si>
    <t>10 Ministry of Finances, current</t>
  </si>
  <si>
    <r>
      <t>Ministria e Mireqenies Sociale dhe Rinise (Arsimi i  Mesem profesional)</t>
    </r>
    <r>
      <rPr>
        <sz val="11"/>
        <color rgb="FFFF0000"/>
        <rFont val="Calibri"/>
        <family val="2"/>
        <scheme val="minor"/>
      </rPr>
      <t xml:space="preserve"> Capital</t>
    </r>
  </si>
  <si>
    <t>25 Ministria e Mireqenies Sociale dhe Rinise ; 09240 Arsimi i  Mesem (profesional); column Kapitale</t>
  </si>
  <si>
    <t>10 Ministria e Financave dhe Ekkonomisee ; 09240 Arsimi i  Mesem (profesional) ; 09240 Arsimi i  Mesem (profesional); column Kapitale</t>
  </si>
  <si>
    <t>10 Ministry of Finances, capital</t>
  </si>
  <si>
    <r>
      <t xml:space="preserve">Ministria e Mbrojtjes (Arsimi Ushtarak) </t>
    </r>
    <r>
      <rPr>
        <sz val="11"/>
        <color rgb="FFFF0000"/>
        <rFont val="Calibri"/>
        <family val="2"/>
        <scheme val="minor"/>
      </rPr>
      <t>Recurrent</t>
    </r>
  </si>
  <si>
    <t>17 Ministria e Mbrojtjes ; 09430 Ushtarak; column Korrente</t>
  </si>
  <si>
    <t>17 Ministry of Defensen current</t>
  </si>
  <si>
    <r>
      <t xml:space="preserve">Ministria e Mbrojtjes (Arsimi Ushtarak) </t>
    </r>
    <r>
      <rPr>
        <sz val="11"/>
        <color rgb="FFFF0000"/>
        <rFont val="Calibri"/>
        <family val="2"/>
        <scheme val="minor"/>
      </rPr>
      <t>Capital</t>
    </r>
  </si>
  <si>
    <t>17 Ministria e Mbrojtjes ; 09430 Ushtarak; column Kapitale</t>
  </si>
  <si>
    <t>18 Ministry of Defensen capital</t>
  </si>
  <si>
    <t>55 Shkolla e Magjistratures ; column Korrente</t>
  </si>
  <si>
    <t>55 Sschool of Magistrates ; current</t>
  </si>
  <si>
    <t>55 Shkolla e Magjistratures ; column Kapitale</t>
  </si>
  <si>
    <t>56 Sschool of Magistrates ; capital</t>
  </si>
  <si>
    <t>Ministria e Arsimit dhe Sportit</t>
  </si>
  <si>
    <t>- Zhvillimi i Sportit</t>
  </si>
  <si>
    <t>Ministria e Mbrojtjes (Arsimi Ushtarak)</t>
  </si>
  <si>
    <t>Ministria e Mireqenies Sociale dhe Rinise (Arsimi i  Mesem profesional)</t>
  </si>
  <si>
    <t>Name Ministry 8</t>
  </si>
  <si>
    <t>Education Curreent</t>
  </si>
  <si>
    <t>Seems to be included in the Budget of the Ministry</t>
  </si>
  <si>
    <t>Konviktet e arsimit parauniversitar</t>
  </si>
  <si>
    <t>Local Budgets, current</t>
  </si>
  <si>
    <t>Local Gvt units current</t>
  </si>
  <si>
    <t>see 2015 Tabelat_5_shoqeruese_-_Shpenzimet_2015_(sipas_institucioneve).xls</t>
  </si>
  <si>
    <t>Arsimi parashkollor</t>
  </si>
  <si>
    <t>see Tabelat_5_shoqeruese_-_Shpenzimet_</t>
  </si>
  <si>
    <t>Local Govt Units, current</t>
  </si>
  <si>
    <t>Education capital</t>
  </si>
  <si>
    <t>Arsimi parauniversitar</t>
  </si>
  <si>
    <t>Local budgets, capital</t>
  </si>
  <si>
    <t>Ministria e Arsimit dhe Sportit Capital</t>
  </si>
  <si>
    <t xml:space="preserve">11 Ministria e Arsimit dhe Sportit ; column Financimi i Huaj </t>
  </si>
  <si>
    <t>Ministria e Mireqenies Sociale dhe Rinise (Arsimi i  Mesem profesional) Capital</t>
  </si>
  <si>
    <t xml:space="preserve">minus 09770 Fonde per Shkencen ; Financimi i Huaj </t>
  </si>
  <si>
    <t xml:space="preserve">25 Ministria e Mireqenies Sociale dhe Rinise ; 09240 Arsimi i  Mesem (profesional); column Financimi i Huaj </t>
  </si>
  <si>
    <t xml:space="preserve">10 Ministria e Financave dhe Ekonomise; 09240 Arsimi i  Mesem (profesional); column Financimi i Huaj </t>
  </si>
  <si>
    <t>BOOST select ADMIN3=Mtry Education, TRANSFER=Excluding transfer; use of codes FUNC2 and ECON2</t>
  </si>
  <si>
    <t>Arsimi Baze (perfshire parashkollorin) Recurrent</t>
  </si>
  <si>
    <t>Basic education divided in 2 stages, 4 grades each</t>
  </si>
  <si>
    <t>2017 Tab_1_-_Shpenzimet_e_Institucioneve_sipas_Programeve_final.xlsx</t>
  </si>
  <si>
    <t>Arsimi Baze (perfshire parashkollorin)</t>
  </si>
  <si>
    <t>Arsimi Base</t>
  </si>
  <si>
    <t>Preschool and Primary</t>
  </si>
  <si>
    <t>Arsimi Baze (perfshire parashkollorin) Capital</t>
  </si>
  <si>
    <t>2016 Tab_3_-_Transferta_e_Pakushtezuar_dhe_Specifike_(1).xlsx</t>
  </si>
  <si>
    <t>Tabela_3_-Transferta_e_Pakushtezuar_dhe_Specifike_per_Bashkite_2017.xlsx</t>
  </si>
  <si>
    <t>Education as % current &amp; capital expenditures</t>
  </si>
  <si>
    <t>Basic Education: 8 years duration</t>
  </si>
  <si>
    <t>Social security and subsidies to local Governments are deduced from the total expenditure of Governent
Difficulties to match the classifications used for the budget and for actual expenditures</t>
  </si>
  <si>
    <t>2013-14</t>
  </si>
  <si>
    <t>2014-15</t>
  </si>
  <si>
    <t>2014-2015</t>
  </si>
  <si>
    <t>2015-2016</t>
  </si>
  <si>
    <t>2016-2017</t>
  </si>
  <si>
    <t>2017-2018</t>
  </si>
  <si>
    <t>2018-2019</t>
  </si>
  <si>
    <t>2018-19</t>
  </si>
  <si>
    <t>20119-20</t>
  </si>
  <si>
    <t>Taka</t>
  </si>
  <si>
    <t>Crore TK (10,000,000)</t>
  </si>
  <si>
    <t>July</t>
  </si>
  <si>
    <t>Revised Budget</t>
  </si>
  <si>
    <t xml:space="preserve">Actual FY16 (up to June) </t>
  </si>
  <si>
    <t xml:space="preserve">Actual FY17 (up to June) </t>
  </si>
  <si>
    <t>Year end report 2013-14</t>
  </si>
  <si>
    <t>Budget speech 2015-16</t>
  </si>
  <si>
    <t>Year end report 2014-15</t>
  </si>
  <si>
    <t>http://www.mof.gov.bd/en/index.php?option=com_content&amp;view=article&amp;id=226&amp;Itemid=1</t>
  </si>
  <si>
    <t xml:space="preserve">Monthly Report on Fiscal 
Position 
June 2016 
Fiscal Year 2015-16 </t>
  </si>
  <si>
    <t>http://www.mof.gov.bd/en/budget1/mfr/mfr_June_2016.pdf</t>
  </si>
  <si>
    <t>Monthly Report on Fiscal 
Position 
June 2017
Fiscal Year 2016-17</t>
  </si>
  <si>
    <t>https://mof.gov.bd/en/budget1/mfr/mft_June_2017.pdf</t>
  </si>
  <si>
    <t>MFR June 2018</t>
  </si>
  <si>
    <t>MFR 2018</t>
  </si>
  <si>
    <t xml:space="preserve">https://mof.gov.bd/site/page/0f0724a1-73e5-47f5-b65f-a0c3f84381f7 </t>
  </si>
  <si>
    <t>MFR June 2019</t>
  </si>
  <si>
    <t>MFR 2019</t>
  </si>
  <si>
    <t>https://mof.portal.gov.bd/sites/default/files/files/mof.portal.gov.bd/page/d9daf6f5_96d9_411b_bb44_42d6681075c4/mfr_2019_06.pdf</t>
  </si>
  <si>
    <t>MFR June 2020</t>
  </si>
  <si>
    <t>https://mof.gov.bd/site/page/0f0724a1-73e5-47f5-b65f-a0c3f84381f7</t>
  </si>
  <si>
    <t>MFR June 2020 
estimated from 11 months or 10 months</t>
  </si>
  <si>
    <t>Table 5 page 12</t>
  </si>
  <si>
    <t>col up to May x 12/11</t>
  </si>
  <si>
    <t>PDF p 17</t>
  </si>
  <si>
    <t>PDF p12</t>
  </si>
  <si>
    <t>p.8, Table 5: budget deficits</t>
  </si>
  <si>
    <t>including State trading &amp; recovery of loans &amp; advances</t>
  </si>
  <si>
    <t>External grants (form. Grants received)</t>
  </si>
  <si>
    <t>Foreign borrowing is more about financing the deficit</t>
  </si>
  <si>
    <t>Appendix 2 and 4</t>
  </si>
  <si>
    <t>Recurrent expenditure (Non development)</t>
  </si>
  <si>
    <t>PDF p17,p18</t>
  </si>
  <si>
    <t>Page 12</t>
  </si>
  <si>
    <t>page 16</t>
  </si>
  <si>
    <t>Non development and others</t>
  </si>
  <si>
    <t>Investment (Development)</t>
  </si>
  <si>
    <t>PDF p18</t>
  </si>
  <si>
    <t>page 20</t>
  </si>
  <si>
    <t>Development expenditures</t>
  </si>
  <si>
    <t>Debt interests (form Financing &amp; debt service)</t>
  </si>
  <si>
    <t>Appendix 1 page 14</t>
  </si>
  <si>
    <t>Appendix 3 page 17</t>
  </si>
  <si>
    <t>Statement 4+5</t>
  </si>
  <si>
    <t>Appendix 3 page 16</t>
  </si>
  <si>
    <t>Pay &amp; allowances</t>
  </si>
  <si>
    <t>page 17</t>
  </si>
  <si>
    <t>Pensions and gratuities</t>
  </si>
  <si>
    <t>Local Government division</t>
  </si>
  <si>
    <t>Year end report 2013-15</t>
  </si>
  <si>
    <t>Monthly Report on Fiscal 
Position June 2017
Fiscal Year 2016-17</t>
  </si>
  <si>
    <t>Monthly Report on Fiscal 
Position June 2017
Fiscal Year 2016-18</t>
  </si>
  <si>
    <t>Actual data</t>
  </si>
  <si>
    <t>MFR June 2021</t>
  </si>
  <si>
    <t>Appendix 2 page 14-16</t>
  </si>
  <si>
    <t>Appendix 3 (non-develop) and 4 (Development)</t>
  </si>
  <si>
    <t>Ministry of Primary and Mass Education</t>
  </si>
  <si>
    <t>PDF p20</t>
  </si>
  <si>
    <t>PDF p15</t>
  </si>
  <si>
    <t>Total Current Education</t>
  </si>
  <si>
    <t xml:space="preserve">Appendix 3 </t>
  </si>
  <si>
    <t xml:space="preserve">Ministry Education - Education Division </t>
  </si>
  <si>
    <t>Education  Sum of 4 ministries</t>
  </si>
  <si>
    <t>Technical and Madrasa Education Division</t>
  </si>
  <si>
    <r>
      <t xml:space="preserve">Ministry of Primary and Mass Education </t>
    </r>
    <r>
      <rPr>
        <sz val="9"/>
        <color indexed="10"/>
        <rFont val="Calibri"/>
        <family val="2"/>
      </rPr>
      <t>- Development</t>
    </r>
  </si>
  <si>
    <t>PDF p22</t>
  </si>
  <si>
    <t>PDF p19</t>
  </si>
  <si>
    <t>Appendix 4 page 18-20</t>
  </si>
  <si>
    <t>Total Development Education</t>
  </si>
  <si>
    <t>Appendix 34</t>
  </si>
  <si>
    <t>Appendix 4 page 18</t>
  </si>
  <si>
    <r>
      <t xml:space="preserve">Ministry Education - Education Division  </t>
    </r>
    <r>
      <rPr>
        <sz val="9"/>
        <color indexed="10"/>
        <rFont val="Calibri"/>
        <family val="2"/>
      </rPr>
      <t>- Development</t>
    </r>
  </si>
  <si>
    <t>PDF p23</t>
  </si>
  <si>
    <r>
      <t xml:space="preserve">Technical and Madrasa Education Division- </t>
    </r>
    <r>
      <rPr>
        <sz val="9"/>
        <color indexed="10"/>
        <rFont val="Calibri"/>
        <family val="2"/>
      </rPr>
      <t>Development</t>
    </r>
  </si>
  <si>
    <r>
      <t xml:space="preserve">Education service delivery - </t>
    </r>
    <r>
      <rPr>
        <sz val="11"/>
        <color indexed="10"/>
        <rFont val="Calibri"/>
        <family val="2"/>
      </rPr>
      <t>Recurrent</t>
    </r>
  </si>
  <si>
    <r>
      <t xml:space="preserve">Education service delivery - </t>
    </r>
    <r>
      <rPr>
        <sz val="11"/>
        <color indexed="10"/>
        <rFont val="Calibri"/>
        <family val="2"/>
      </rPr>
      <t>Development</t>
    </r>
  </si>
  <si>
    <t>Not clear: Local Governments are spending for education ?
No details by Ministry. Not clear if other ministries are spending for education
Not clear if staff costs included in education are including all social contributions (pensions)</t>
  </si>
  <si>
    <t xml:space="preserve">Traitement en 2016 </t>
  </si>
  <si>
    <t>Traitement en 2017</t>
  </si>
  <si>
    <t>Traitement en 2018</t>
  </si>
  <si>
    <t>Traitement en 2019</t>
  </si>
  <si>
    <t>Traitement en 2020</t>
  </si>
  <si>
    <t>Traitement en 2021</t>
  </si>
  <si>
    <t>Pays</t>
  </si>
  <si>
    <t>Année de base PME</t>
  </si>
  <si>
    <t>Dernière année avec dépenses exécutées</t>
  </si>
  <si>
    <t>Dernière année budgétaire achevée</t>
  </si>
  <si>
    <t>Mise à jour réelle des dépenses</t>
  </si>
  <si>
    <t>Derniere année budgétaire achevée</t>
  </si>
  <si>
    <t>année d'admission au PME</t>
  </si>
  <si>
    <t>unité monétaire</t>
  </si>
  <si>
    <t>FCFA</t>
  </si>
  <si>
    <t>milliers FCFA</t>
  </si>
  <si>
    <t>Taux d' exécution</t>
  </si>
  <si>
    <t>millions FCFA</t>
  </si>
  <si>
    <t>Mois de début de l'année budgétaire</t>
  </si>
  <si>
    <t>janvier</t>
  </si>
  <si>
    <t>dépense réelle</t>
  </si>
  <si>
    <t xml:space="preserve">Budget </t>
  </si>
  <si>
    <t>Dépenses réelles</t>
  </si>
  <si>
    <t>Reference de la source</t>
  </si>
  <si>
    <t>Dépense réelle estimée</t>
  </si>
  <si>
    <t>taux exécution</t>
  </si>
  <si>
    <t>https://budgetbenin.bj/wp-content/uploads/2019/06/Rapport-de-fin-d_anne%CC%81e-2018-%C3%A0-publier.pdf</t>
  </si>
  <si>
    <t>*</t>
  </si>
  <si>
    <t>https://budgetbenin.bj/wp-content/uploads/2020/03/RAPPORT-EXECUTION-BUDGET-GESTION-2019.pdf</t>
  </si>
  <si>
    <t>https://budgetbenin.bj</t>
  </si>
  <si>
    <t>https://budgetbenin.bj/</t>
  </si>
  <si>
    <t>Budget total de l'Etat</t>
  </si>
  <si>
    <t>Tableau des Opérations Financières de l'Etat</t>
  </si>
  <si>
    <t>Loi de Finances 2015</t>
  </si>
  <si>
    <t>estimation sur la base du taux d'exécution</t>
  </si>
  <si>
    <t>Rapport economique et financier 2016</t>
  </si>
  <si>
    <t>Rapport de présentation loi de finances</t>
  </si>
  <si>
    <t>implementation rate</t>
  </si>
  <si>
    <t>LOI DE FINANCES POUR LA GESTION 2017</t>
  </si>
  <si>
    <t>PLAN DE TRESORERIE PREVISIONNEL ET MENSUALISE DE L'EXECUTION DU BUDGET DE L'ETAT- Octobre 2016</t>
  </si>
  <si>
    <t>LOI DE FINANCES POUR LA GESTION 2018</t>
  </si>
  <si>
    <t>http://budgetbenin.bj/wp-content/uploads/2018/03/RAPEX-FIN-JUIN-2018.pdf</t>
  </si>
  <si>
    <t>Implementation rate</t>
  </si>
  <si>
    <t>Rapport de fin d'année 2018</t>
  </si>
  <si>
    <t>RAPEX 2019</t>
  </si>
  <si>
    <t>p11-13-15</t>
  </si>
  <si>
    <t>RAPEX 2020</t>
  </si>
  <si>
    <t>Revenus</t>
  </si>
  <si>
    <t>exécution 30 juin x 2</t>
  </si>
  <si>
    <t>Recettes fiscales et non fiscales</t>
  </si>
  <si>
    <t>page 13 et 16</t>
  </si>
  <si>
    <t>page 13, 17, 18</t>
  </si>
  <si>
    <t>inclus OME</t>
  </si>
  <si>
    <t>p12 (Admin+ADNF+FNRB et CAA)</t>
  </si>
  <si>
    <t>CAS</t>
  </si>
  <si>
    <t>financements externes</t>
  </si>
  <si>
    <t>page 18/19</t>
  </si>
  <si>
    <t>page 18,19</t>
  </si>
  <si>
    <t>Dons+fonds de concours</t>
  </si>
  <si>
    <t>Total ressources de l'Etat</t>
  </si>
  <si>
    <t>Dépenses</t>
  </si>
  <si>
    <t>Tableau 5 page 19 DOCUMENT DE PROGRAMMATION BUDGETAIRE ET ECONOMIQUE PLURIANNUELLE DPBEP 2017-2019</t>
  </si>
  <si>
    <t>Fonctionnement</t>
  </si>
  <si>
    <t>page 21</t>
  </si>
  <si>
    <t>page 22</t>
  </si>
  <si>
    <t>dépenses engagées</t>
  </si>
  <si>
    <t>p17</t>
  </si>
  <si>
    <t>p20</t>
  </si>
  <si>
    <t>Investissement</t>
  </si>
  <si>
    <t>page 23</t>
  </si>
  <si>
    <t>Modif de ces intitulés pour l'exercice 2021</t>
  </si>
  <si>
    <t>Investissement (financement intérieur)</t>
  </si>
  <si>
    <t>p18</t>
  </si>
  <si>
    <t>p21</t>
  </si>
  <si>
    <t>Investissement (financement extérieur)</t>
  </si>
  <si>
    <t>Comptes d'Affectations spéciales (CAS)</t>
  </si>
  <si>
    <t>p25</t>
  </si>
  <si>
    <t>page 24</t>
  </si>
  <si>
    <t>dont PME</t>
  </si>
  <si>
    <t>Charges financières dette</t>
  </si>
  <si>
    <t>Total dépenses</t>
  </si>
  <si>
    <t>Salaires et pensions</t>
  </si>
  <si>
    <t>Dépenses de personnel</t>
  </si>
  <si>
    <t>Dépenses personnels / ministère incluent cotisation sociales</t>
  </si>
  <si>
    <t>dont traitements et salaires</t>
  </si>
  <si>
    <t>Pensions versées</t>
  </si>
  <si>
    <t>p19</t>
  </si>
  <si>
    <t>Recettes du système de pension</t>
  </si>
  <si>
    <t>Page 18</t>
  </si>
  <si>
    <t>p13</t>
  </si>
  <si>
    <t>p16</t>
  </si>
  <si>
    <t>% Contribution pour pension</t>
  </si>
  <si>
    <t>Subventions aux collectivités décentralisées</t>
  </si>
  <si>
    <t>Dépense pour l'Education</t>
  </si>
  <si>
    <t>http://www.finances.bj/taches-courantes/documents-sur-les-finances-publiques/</t>
  </si>
  <si>
    <t>http://budgetbenin.bj/wp-content/uploads/2018/03/Annexe-RAPEX-au-30-06-18.pdf</t>
  </si>
  <si>
    <t>LF 2019</t>
  </si>
  <si>
    <t>Application du taux exécution 2018</t>
  </si>
  <si>
    <t>Tableau Excel du rapport de fin d'année 2019</t>
  </si>
  <si>
    <t>Onglet Détails par administration</t>
  </si>
  <si>
    <t>Budget citoyen</t>
  </si>
  <si>
    <t>exécution estimée sur base taux 2019</t>
  </si>
  <si>
    <t>Ministères en charge de l'éducation</t>
  </si>
  <si>
    <t>Dépenses en capital = dépenses "Projets" de chaque ministère</t>
  </si>
  <si>
    <t>Enseignement Enseignement maternel et primaire (fonctionnement)</t>
  </si>
  <si>
    <t>DPPD MEMP PAGE 17</t>
  </si>
  <si>
    <t xml:space="preserve">DPPD MEMP </t>
  </si>
  <si>
    <t>page 39</t>
  </si>
  <si>
    <t>p54</t>
  </si>
  <si>
    <t>p15</t>
  </si>
  <si>
    <t>capital</t>
  </si>
  <si>
    <t>Secteur Secondaire, technique et Professionnel (fonctionnement)</t>
  </si>
  <si>
    <t>DPPD MESTFP PAGE 14</t>
  </si>
  <si>
    <t xml:space="preserve">DPPD MESTFP </t>
  </si>
  <si>
    <t>Enseignement supérieur</t>
  </si>
  <si>
    <t>DPPD MESRS PAGE 29</t>
  </si>
  <si>
    <t xml:space="preserve">DPPD MESRS </t>
  </si>
  <si>
    <t>Déductions des dépenses non éducation</t>
  </si>
  <si>
    <t>Nom ministère 1</t>
  </si>
  <si>
    <t>Nom ministère 2</t>
  </si>
  <si>
    <t>Nom ministère 3</t>
  </si>
  <si>
    <t>Autres ministères</t>
  </si>
  <si>
    <t>Présentation détaillée dépenses</t>
  </si>
  <si>
    <t>Estimation 100% exécution</t>
  </si>
  <si>
    <t>Présentation détaillée dépenses 2019</t>
  </si>
  <si>
    <t>Idem exercice 2020</t>
  </si>
  <si>
    <t>TOMES 2020</t>
  </si>
  <si>
    <t>Ministère Défense nationale</t>
  </si>
  <si>
    <t>22 - page  27/28</t>
  </si>
  <si>
    <t>Lycée militaire jeunes filles, prytanée militaire, Ecole nationale supérieur + sous-officiers+officiers</t>
  </si>
  <si>
    <t>p28</t>
  </si>
  <si>
    <t>Ministère affaires sociales</t>
  </si>
  <si>
    <t>41 - page 17</t>
  </si>
  <si>
    <t>Centre formation d'akassato</t>
  </si>
  <si>
    <t>Ministère intérieur et sécurité publique</t>
  </si>
  <si>
    <t>60- page 18</t>
  </si>
  <si>
    <t>Ecole nationale supérieure de police</t>
  </si>
  <si>
    <t>Don PME (CAS)</t>
  </si>
  <si>
    <t>Fichier Excel</t>
  </si>
  <si>
    <t>Nom ministère 5</t>
  </si>
  <si>
    <t>Nom ministère 6</t>
  </si>
  <si>
    <t>Nom ministère 7</t>
  </si>
  <si>
    <t>dont salaires</t>
  </si>
  <si>
    <t>LF 2019 Page 54</t>
  </si>
  <si>
    <t>Rapport de fin d'année 2018 p39</t>
  </si>
  <si>
    <t>Présentation détailées des dépenses 2019</t>
  </si>
  <si>
    <t>estimation base taux 2019</t>
  </si>
  <si>
    <t>Education maternelle et enseignement primaire</t>
  </si>
  <si>
    <t>DPPD MEMP</t>
  </si>
  <si>
    <t>TOME 62 MEMP</t>
  </si>
  <si>
    <t>Enseignement Secondaire, technique et Professionnel</t>
  </si>
  <si>
    <t>TOME 63 MESTFP</t>
  </si>
  <si>
    <t>DPPD MESRS</t>
  </si>
  <si>
    <t>TOME 44 MESRS</t>
  </si>
  <si>
    <t>Nom ministère 4</t>
  </si>
  <si>
    <t>Nom ministère 8</t>
  </si>
  <si>
    <t>Collectivités décentralisées</t>
  </si>
  <si>
    <t>Expenditure in education</t>
  </si>
  <si>
    <t>% des subventions</t>
  </si>
  <si>
    <t>Financements extérieurs inclus dans la dép</t>
  </si>
  <si>
    <t>LF 2019, page 54</t>
  </si>
  <si>
    <t>Application du taux exécution 2018 du Ministère</t>
  </si>
  <si>
    <t>Montant se retrouve dans le total des dons et prêts de la rubrique Projet des dépenses détaillées</t>
  </si>
  <si>
    <t>CAS ("PME")</t>
  </si>
  <si>
    <t>Engagements du CAS PME</t>
  </si>
  <si>
    <t>% budget pour l'éducation</t>
  </si>
  <si>
    <t>Dépense d'éducation</t>
  </si>
  <si>
    <t>Ministères de l'Education</t>
  </si>
  <si>
    <t>Contributions pour pensions</t>
  </si>
  <si>
    <t>Total pour l'éducation</t>
  </si>
  <si>
    <t>% des dépenses courantes et capital</t>
  </si>
  <si>
    <t>Dépense courante pour l'éducation</t>
  </si>
  <si>
    <t>Dépense en capital en % des dépenses en capital de l'Etat</t>
  </si>
  <si>
    <t>Dépense courantesl en % des dépenses courantes de l'Etat</t>
  </si>
  <si>
    <t>Dépenses d'éducation en % des ressources intérieures</t>
  </si>
  <si>
    <t>Dépenses d'éducation hors ressources intérieures</t>
  </si>
  <si>
    <t>Dépenses d'éducation hors ressources intérieures en % dépenses intérieures</t>
  </si>
  <si>
    <t>Dépense courante pour le primaire en % des dépenses courantes</t>
  </si>
  <si>
    <t>Dépense pour le primaire en % des dépenses totales</t>
  </si>
  <si>
    <t>Difficultés rencontrées</t>
  </si>
  <si>
    <t>Gestion des budgets des comptes d'affectations spéciaux, dont financement PME</t>
  </si>
  <si>
    <t>2016 exercise</t>
  </si>
  <si>
    <t>2017 exercise</t>
  </si>
  <si>
    <t>2021 exercise</t>
  </si>
  <si>
    <t>2010-11</t>
  </si>
  <si>
    <t>Ngultrum</t>
  </si>
  <si>
    <t>million NU</t>
  </si>
  <si>
    <t>Annual Financial statement for the FY ending 30 June 2011</t>
  </si>
  <si>
    <t>Revised budget, in National  Budget for FY 2015-16</t>
  </si>
  <si>
    <t>Expenditures in National  Budget for FY 2015-16</t>
  </si>
  <si>
    <t>Revised budget, in National  Budget for FY 2016-17</t>
  </si>
  <si>
    <t>http://www.mof.gov.bt/wp-content/uploads/2014/07/BudgetReport2016-17-ENG.pdf</t>
  </si>
  <si>
    <t>budget report 2015-2016</t>
  </si>
  <si>
    <t>Annual Financial statement for the year ended 30 June 2016</t>
  </si>
  <si>
    <t>Revised budget, in National  Budget for FY 2017</t>
  </si>
  <si>
    <t>Annual Financial statement for the year ended 30 June 2017</t>
  </si>
  <si>
    <t>Actual Expenditure</t>
  </si>
  <si>
    <t>Annexure II : Budget Policy Fiscal Framework (Consolidated)</t>
  </si>
  <si>
    <t>Annual Financial statement for the year ended 30 June 2018</t>
  </si>
  <si>
    <t>http://www.mof.gov.bt/</t>
  </si>
  <si>
    <t>2019-20 Budget</t>
  </si>
  <si>
    <t>Budget 2018-19</t>
  </si>
  <si>
    <t>Annual Financial Statement 2018-2020</t>
  </si>
  <si>
    <t xml:space="preserve">2020-21 Budget report 
</t>
  </si>
  <si>
    <t>Estimates using implementation rate</t>
  </si>
  <si>
    <t>Table 1.1 page 6</t>
  </si>
  <si>
    <t>Approved 2018-19</t>
  </si>
  <si>
    <t>revised march 2019</t>
  </si>
  <si>
    <t>Actual</t>
  </si>
  <si>
    <t>Revised 2019-20</t>
  </si>
  <si>
    <t>Page 5, Table 1.1</t>
  </si>
  <si>
    <t>table 2.1 page 10</t>
  </si>
  <si>
    <t xml:space="preserve">MoF Budget 2017/2018 (2016 data : actual 2015/16, 2017 data revised : 2016/17) </t>
  </si>
  <si>
    <t>MoF Budget 2018/19 (revised estimation for FY 2017/18), Table 1</t>
  </si>
  <si>
    <t>Table 1 page 2</t>
  </si>
  <si>
    <t>Annexure A page 97</t>
  </si>
  <si>
    <t>Table 1 page 9</t>
  </si>
  <si>
    <t>Table 2.2 page 19</t>
  </si>
  <si>
    <t>grants received</t>
  </si>
  <si>
    <t>MoF Budget 2018/19 (revised estimation for FY 2017/18), Table 2</t>
  </si>
  <si>
    <t>MoF (From blueprint)</t>
  </si>
  <si>
    <t xml:space="preserve">MoF Budget 2018/19 (revised estimation for FY 2017/18) </t>
  </si>
  <si>
    <t>Annual Financial statement for the FY ending 30 June 2014</t>
  </si>
  <si>
    <t>Budget Report 2014-15 Table on sector allocation</t>
  </si>
  <si>
    <t>Annual Financial statement for the FY ending 30 June 2015</t>
  </si>
  <si>
    <t>budget report 2016-2017</t>
  </si>
  <si>
    <t>Annexure 4 Economic classification</t>
  </si>
  <si>
    <t>Schedule 2 - page 57-59</t>
  </si>
  <si>
    <t>Table page 13-14, minus interest</t>
  </si>
  <si>
    <t>Pages 158-160</t>
  </si>
  <si>
    <t>Table 9 page 12</t>
  </si>
  <si>
    <t>Table  page 4</t>
  </si>
  <si>
    <t>Table page 13-15</t>
  </si>
  <si>
    <t>Actual Table 10 page 25 ; Budget from Budget Report page 35</t>
  </si>
  <si>
    <t>MoF Budget 2018/19 (revised estimation for FY 2017/18), Table 3</t>
  </si>
  <si>
    <t>Table 10 page 13</t>
  </si>
  <si>
    <t>p58</t>
  </si>
  <si>
    <t>Schedule 1 page 79</t>
  </si>
  <si>
    <t>MoF Budget 2018/19 (revised estimation for FY 2017/18), Table 4</t>
  </si>
  <si>
    <t>Lending &amp; repayment p59</t>
  </si>
  <si>
    <t>Schedule 2 - page 60</t>
  </si>
  <si>
    <t>page 81</t>
  </si>
  <si>
    <t>Schedule 2 - page 57</t>
  </si>
  <si>
    <t>Schedule 2 - page 75 and 76</t>
  </si>
  <si>
    <t>Schedule 2 - page 80-81</t>
  </si>
  <si>
    <t>Annexure 4 page 158</t>
  </si>
  <si>
    <t>p57</t>
  </si>
  <si>
    <t>page 159</t>
  </si>
  <si>
    <t>Retirement benefits p58</t>
  </si>
  <si>
    <t>equal to 2018-19</t>
  </si>
  <si>
    <t>???</t>
  </si>
  <si>
    <t>reccurrent</t>
  </si>
  <si>
    <t>Schedule1page 61 (gewogs + dzongkhaks)</t>
  </si>
  <si>
    <t>Schedule1page73</t>
  </si>
  <si>
    <t>AFS 14-15</t>
  </si>
  <si>
    <t>AFS14-15</t>
  </si>
  <si>
    <t>BR 2018-19</t>
  </si>
  <si>
    <t>Annual Financial Statement 2018-19</t>
  </si>
  <si>
    <t>Education Function</t>
  </si>
  <si>
    <t>Br 2018-19 Interim budget</t>
  </si>
  <si>
    <t>Ministry of education</t>
  </si>
  <si>
    <t>page 74 AFS</t>
  </si>
  <si>
    <t>Page 28 AFS2015-16</t>
  </si>
  <si>
    <t>Budget page 24</t>
  </si>
  <si>
    <t>https://www.mof.gov.bt/wp-content/uploads/2017/05/BR2017-18ENG.pdf</t>
  </si>
  <si>
    <t>Table 3.7</t>
  </si>
  <si>
    <t>Actual table 18 page 23</t>
  </si>
  <si>
    <t>Table 3.8 page 24</t>
  </si>
  <si>
    <t>Actual table 18 page 25</t>
  </si>
  <si>
    <t>Table 4.8 page 44</t>
  </si>
  <si>
    <t>Schedule 2</t>
  </si>
  <si>
    <t>Education endowment Fund</t>
  </si>
  <si>
    <t>Royal University of Buthan</t>
  </si>
  <si>
    <t>page 57</t>
  </si>
  <si>
    <t>page 62</t>
  </si>
  <si>
    <t>University of medical sciences of Buthan</t>
  </si>
  <si>
    <t xml:space="preserve"> </t>
  </si>
  <si>
    <t>Education city</t>
  </si>
  <si>
    <t>Royal Institute of management</t>
  </si>
  <si>
    <t>Royal Education Council</t>
  </si>
  <si>
    <t>Bhutan council for school Exams &amp; assessments</t>
  </si>
  <si>
    <t>calculated from total function</t>
  </si>
  <si>
    <t>Total Education sector</t>
  </si>
  <si>
    <t>http://www.mof.gov.bt/wp-content/uploads/2014/07/AFS2014-15.pdf</t>
  </si>
  <si>
    <t>Budget report 15-16</t>
  </si>
  <si>
    <t>AFS Table 20 page 39</t>
  </si>
  <si>
    <t>Budget report 16-17</t>
  </si>
  <si>
    <t>AFS 2017-18</t>
  </si>
  <si>
    <t>page 37</t>
  </si>
  <si>
    <t>page 35</t>
  </si>
  <si>
    <t>Total sector  allocation</t>
  </si>
  <si>
    <t>Expenditure for preprimary &amp; primary</t>
  </si>
  <si>
    <t>not available</t>
  </si>
  <si>
    <t>Capital</t>
  </si>
  <si>
    <t>Detailed informaion on education is only visible in AFS, the last one on 2013-14
Expenditures of Local authorities: % calculated from Annual financial statement schedule 5 (actual) and used for budget
Budget report for 2014-15 have only global figures for Education function
Not clear: Education Endowmment Fund ; Education city. Mentionned in the document, non visible in schedule 1 or 5
Government Employee pension fund : There is a 8% to 10% employer contribution. Not visible if Ministries are paying on their budget</t>
  </si>
  <si>
    <t>Traitement 2019</t>
  </si>
  <si>
    <t>référence 2014</t>
  </si>
  <si>
    <t>millions de FCFA</t>
  </si>
  <si>
    <t>Janvier</t>
  </si>
  <si>
    <t>Depenses réelle estimée au 30 sept 2016</t>
  </si>
  <si>
    <t>http://www.dgb.gov.bf/index.php?option=com_edocman&amp;view=document&amp;id=1518</t>
  </si>
  <si>
    <t xml:space="preserve">Depenses réelle estimée </t>
  </si>
  <si>
    <t>http://www.dgb.gov.bf/index.php?option=com_edocman&amp;view=document&amp;id=1596</t>
  </si>
  <si>
    <t>BOOST</t>
  </si>
  <si>
    <t>Budget citoyen CIFOEB</t>
  </si>
  <si>
    <t>Rapport trimestrielde l'exécution du budget au 30 juin 2015</t>
  </si>
  <si>
    <t>Loi de Finances 2016</t>
  </si>
  <si>
    <t>Budget de l'Etat Gestion 2016</t>
  </si>
  <si>
    <t>Rapport sur la situation d’exécution du budget et de la trésorerie de l’Etat, gestion 2016, au 31 décembre</t>
  </si>
  <si>
    <t>www.dgb.gov.bf/index.php?option=com_content&amp;view=article&amp;id=68&amp;catid=2&amp;Itemid=300</t>
  </si>
  <si>
    <t>Rapport en CM budget 2017</t>
  </si>
  <si>
    <t xml:space="preserve">Rapport sur la situation
d’exécution du budget et de la
trésorerie de l’Etat, exercice
2018, au 31 décembre 
</t>
  </si>
  <si>
    <t>Rapport trimestriel 31/12/2019</t>
  </si>
  <si>
    <t>http://www.dgb.gov.bf/index.php?option=com_edocman&amp;view=document&amp;id=1644&amp;catid=192&amp;Itemid=299</t>
  </si>
  <si>
    <t>Loi de Finances 2020</t>
  </si>
  <si>
    <t>http://www.dgb.gov.bf/</t>
  </si>
  <si>
    <t>Le rapport trimestriel 31/12/2020 est sur le site, mais téléchargement impossible. L'estimation est faire avec les taux d'exécution</t>
  </si>
  <si>
    <t>LFR 2016</t>
  </si>
  <si>
    <t>recouvrements au 31/12</t>
  </si>
  <si>
    <t>Tableau 2 page 23</t>
  </si>
  <si>
    <t>LFR2</t>
  </si>
  <si>
    <t>Annexe 1 page 19</t>
  </si>
  <si>
    <t>Prévisions définitives</t>
  </si>
  <si>
    <t>LFR</t>
  </si>
  <si>
    <t>Page 7</t>
  </si>
  <si>
    <t>Recouvrement au 31 Decembre</t>
  </si>
  <si>
    <t>LFR 2018</t>
  </si>
  <si>
    <t>Recettes réélles</t>
  </si>
  <si>
    <t>p10</t>
  </si>
  <si>
    <t>LFR2019</t>
  </si>
  <si>
    <t>Recettes réélles au 31/12</t>
  </si>
  <si>
    <t>p29-30</t>
  </si>
  <si>
    <t>recettes ordinaires</t>
  </si>
  <si>
    <t>Recettes ordinaires</t>
  </si>
  <si>
    <t>Dons et Emprunts Projets et programmes</t>
  </si>
  <si>
    <t>Recettes extraordinaires</t>
  </si>
  <si>
    <t>sauf autres emprunts</t>
  </si>
  <si>
    <t>Dotation corrigée</t>
  </si>
  <si>
    <t>Exécution</t>
  </si>
  <si>
    <t>Tableau 5 page 29</t>
  </si>
  <si>
    <t>Prévisions</t>
  </si>
  <si>
    <t>Annexe 2 page 21</t>
  </si>
  <si>
    <t>p34</t>
  </si>
  <si>
    <t>p38-39</t>
  </si>
  <si>
    <t>Base ordonnancement</t>
  </si>
  <si>
    <t xml:space="preserve">Investissement </t>
  </si>
  <si>
    <t>Amortissemenr dette</t>
  </si>
  <si>
    <t>p38</t>
  </si>
  <si>
    <t>Loi de finances 2014</t>
  </si>
  <si>
    <t>Loi de finances 2015, Budget citoyen, CIFOEB</t>
  </si>
  <si>
    <t>Rapport trimestrielde l'exécution du budget au 30 septembre 2016</t>
  </si>
  <si>
    <t>06 Dépenses 2017</t>
  </si>
  <si>
    <t>http://www.dgb.gov.bf/index.php?option=com_content&amp;view=article&amp;id=46&amp;catid=2&amp;Itemid=300</t>
  </si>
  <si>
    <t>Estimation à partir du taux d'exécution</t>
  </si>
  <si>
    <t>06 Dépenses 2018</t>
  </si>
  <si>
    <t>Rapport trimestriel 31/12/2018</t>
  </si>
  <si>
    <t>Fichier des dépenses BN 2020</t>
  </si>
  <si>
    <t>Estimation avec taux d'exécution</t>
  </si>
  <si>
    <t>Liquidations</t>
  </si>
  <si>
    <t>base ordonnancements 30/09</t>
  </si>
  <si>
    <t>Dotations corrigées</t>
  </si>
  <si>
    <t>Engagements visés</t>
  </si>
  <si>
    <t>Annexes 2,3,4,5 pages 59 à 65</t>
  </si>
  <si>
    <t>Education Nationale courant</t>
  </si>
  <si>
    <t>Annexe 12 page 95</t>
  </si>
  <si>
    <t>Annexe 7 page 75</t>
  </si>
  <si>
    <t>Personnel + fonctionnement + transferts</t>
  </si>
  <si>
    <t>section 23 page 391</t>
  </si>
  <si>
    <t>p55-57</t>
  </si>
  <si>
    <t>p66-68</t>
  </si>
  <si>
    <t>P440</t>
  </si>
  <si>
    <t>Education Nationale capital</t>
  </si>
  <si>
    <t>Investiisements</t>
  </si>
  <si>
    <t>p69 pdf</t>
  </si>
  <si>
    <t>Jeunesse-Formation-Insertion courant</t>
  </si>
  <si>
    <t>Annexe 12 page 96</t>
  </si>
  <si>
    <t>section 37 Formation Professionnelle page 671</t>
  </si>
  <si>
    <t>p 733 Programme Formation Professionnelle uniquement</t>
  </si>
  <si>
    <t>Jeunesse-Formation-Insertion capital</t>
  </si>
  <si>
    <t>Enseignement supérieur courant</t>
  </si>
  <si>
    <t>Annexe 2, 3 et 4 p 78 à 82</t>
  </si>
  <si>
    <t>Annexe 2, 3 et 4 p 71 à 73</t>
  </si>
  <si>
    <t>section 24 page 443</t>
  </si>
  <si>
    <t>p498</t>
  </si>
  <si>
    <t>Enseignement supérieur capital</t>
  </si>
  <si>
    <t>Annexe 5 page 83</t>
  </si>
  <si>
    <t>Annexe 5 page 74</t>
  </si>
  <si>
    <t>p 54 Comptes Spéciaux du Trésor Education</t>
  </si>
  <si>
    <t>égal au budget</t>
  </si>
  <si>
    <t>fichier titre 4</t>
  </si>
  <si>
    <t>égal à 2016</t>
  </si>
  <si>
    <t>Crédits paiements LFI</t>
  </si>
  <si>
    <t>Budget Dépense (CDMT)</t>
  </si>
  <si>
    <t>Estimation sur base taux exécution  global</t>
  </si>
  <si>
    <t>09 Min. Admin.Territ. Décentr. &amp; Sécurit</t>
  </si>
  <si>
    <t>Section 9 - p116</t>
  </si>
  <si>
    <t>p97 ENASAP + ISEPC</t>
  </si>
  <si>
    <t>Ecole Nle de police, des sapeur pompiers</t>
  </si>
  <si>
    <t>11 Ministère Défense Nle et Anc. Comb.</t>
  </si>
  <si>
    <t>Section 11 - p180</t>
  </si>
  <si>
    <t>p154 PMK et école des services</t>
  </si>
  <si>
    <t>PMK, Ecole des services (sous l'action: participation au développement économique)</t>
  </si>
  <si>
    <t>13 sécurité</t>
  </si>
  <si>
    <t>Section 13 - p214</t>
  </si>
  <si>
    <t>p192 ENP</t>
  </si>
  <si>
    <t>Ecoles de Police</t>
  </si>
  <si>
    <t>14 Ministère de l'Economie et des Finances</t>
  </si>
  <si>
    <t>Section 14 - p261</t>
  </si>
  <si>
    <t>P238 ENAREF et END</t>
  </si>
  <si>
    <t>Ecole des douanes, ENAREF</t>
  </si>
  <si>
    <t>17 Min. Fonct Publ Trav. &amp; Sécu. Sociale</t>
  </si>
  <si>
    <t>Section 17 - p303</t>
  </si>
  <si>
    <t>p280 IRA et ENAM</t>
  </si>
  <si>
    <t>ENAM+IRA</t>
  </si>
  <si>
    <t>20 Ministère des Sports et des Loisirs</t>
  </si>
  <si>
    <t>Section 20 - p352</t>
  </si>
  <si>
    <t xml:space="preserve">p329 </t>
  </si>
  <si>
    <t>Pratique sport scolaire et universitaire</t>
  </si>
  <si>
    <t>21 Ministère de la  Santé</t>
  </si>
  <si>
    <t>Section 21 - p386</t>
  </si>
  <si>
    <t>p366 ENSP</t>
  </si>
  <si>
    <t>Ecole nationale santé publique</t>
  </si>
  <si>
    <t>22 Min.de l'Act° Sociale et Solidarité Nle</t>
  </si>
  <si>
    <t>Section 22 - p455</t>
  </si>
  <si>
    <t>p433 INFTS</t>
  </si>
  <si>
    <t>Institut Natio Format. en Travail Social</t>
  </si>
  <si>
    <t>27 Min Agri Ress Hydr Ass &amp; Séc Alimentaire</t>
  </si>
  <si>
    <t>Section 27 - p593/594</t>
  </si>
  <si>
    <t>p587</t>
  </si>
  <si>
    <t>CAP Matourkou</t>
  </si>
  <si>
    <t>28 Ministère des Ressources Animales</t>
  </si>
  <si>
    <t>Section 28 - p627</t>
  </si>
  <si>
    <t>p624 ENESA et ELAT</t>
  </si>
  <si>
    <t>ELAT et ENESA</t>
  </si>
  <si>
    <t>29 Min. Environnement &amp; Ress. Halieutiques</t>
  </si>
  <si>
    <t>Section 29- p658</t>
  </si>
  <si>
    <t>p649 ENEF</t>
  </si>
  <si>
    <t>Ecole Nle des eaux et forêts ENEF</t>
  </si>
  <si>
    <t>30 Min. Infrast, Désenclavement &amp; Transport</t>
  </si>
  <si>
    <t>Section 30 - p692</t>
  </si>
  <si>
    <t>p676 EFPTP</t>
  </si>
  <si>
    <t>EFP-TP / ESP-TP</t>
  </si>
  <si>
    <t>37 Min  Jeunesse Form. Profession. &amp; Emp.</t>
  </si>
  <si>
    <t>Maintenant Ministère éducatif: Jeunesse-Formation-insertion</t>
  </si>
  <si>
    <t>Titre 5 Investissements</t>
  </si>
  <si>
    <t>fichier titre 5</t>
  </si>
  <si>
    <t>Taux exécurion Capital MEN</t>
  </si>
  <si>
    <t>Rapport sur la situation d’exécution du budget et de la trésorerie de l’Etat, gestion 2016, au 31 décembreRapport sur la situation d’exécution du budget et de la trésorerie de l’Etat, gestion 2016, au 31 décembre</t>
  </si>
  <si>
    <t>Annexe 2 page 59-60</t>
  </si>
  <si>
    <t>23 Min. Education Nle &amp; Alphabétisation</t>
  </si>
  <si>
    <t>23 Min Educ Nat &amp; Alphabétisation</t>
  </si>
  <si>
    <t>page 391</t>
  </si>
  <si>
    <t>p440</t>
  </si>
  <si>
    <t>Formation Professionnelle</t>
  </si>
  <si>
    <t>37 Min Jeunesse, Formation &amp; Insertion Professionnelle</t>
  </si>
  <si>
    <t>page 671</t>
  </si>
  <si>
    <t>p733 FP seulement</t>
  </si>
  <si>
    <t>24 Min. Enseig Secondaire et Supérieur</t>
  </si>
  <si>
    <t>24 Min Ens Sup Recher Scientifique &amp; Innovation</t>
  </si>
  <si>
    <t>page 443</t>
  </si>
  <si>
    <t>Transferts aux collectivités locales</t>
  </si>
  <si>
    <t>Egal au budget</t>
  </si>
  <si>
    <t>p 898 transfers Etducation</t>
  </si>
  <si>
    <t>Education Nationale</t>
  </si>
  <si>
    <t>Enseignement secondaire et supérieur</t>
  </si>
  <si>
    <t>Enseignement technique</t>
  </si>
  <si>
    <t>Dernière année budgetaire achevée</t>
  </si>
  <si>
    <t>2018/2019</t>
  </si>
  <si>
    <t>2019/2020</t>
  </si>
  <si>
    <t>Changement de calendrier budgétaire: juillet/juin à partir du 1er juillet 2018</t>
  </si>
  <si>
    <t>FBU</t>
  </si>
  <si>
    <t>unité</t>
  </si>
  <si>
    <t xml:space="preserve"> millions FBU</t>
  </si>
  <si>
    <t>Taux d'exécution</t>
  </si>
  <si>
    <t>millions FBU</t>
  </si>
  <si>
    <t>budget</t>
  </si>
  <si>
    <t>dépenses réelles</t>
  </si>
  <si>
    <t>Référence de la source</t>
  </si>
  <si>
    <t>Réél</t>
  </si>
  <si>
    <t>Annexes CCM réalisation fin décembre 2011</t>
  </si>
  <si>
    <t>Loi de Finances 2014</t>
  </si>
  <si>
    <t>Rapport Cour des comptes</t>
  </si>
  <si>
    <t>LOI DE FINANCES 2015/ P4</t>
  </si>
  <si>
    <t>Estimation avec taux d'exécution 2014</t>
  </si>
  <si>
    <t>Estimation sur la base du taux d'execution</t>
  </si>
  <si>
    <t>LOI DE FINANCES 2016</t>
  </si>
  <si>
    <t>Loi de Finances 2017</t>
  </si>
  <si>
    <t>LOI DE FINANCES 2017</t>
  </si>
  <si>
    <t xml:space="preserve">Estimation avec taux d'exécution </t>
  </si>
  <si>
    <t>LFI 2018</t>
  </si>
  <si>
    <t>Loi N.1/28 du 31 Decembre 2017 portant fixation du budget general de la republique du Burundi pour l'exercice 2018.</t>
  </si>
  <si>
    <t>LOI DE FINANCES 2018</t>
  </si>
  <si>
    <t>LFI 2018/2019</t>
  </si>
  <si>
    <t>Loi N.1/013 du 30 juin 2018 portant fixation du budget general de la republique du Burundi pour l'exercice 2018/2019</t>
  </si>
  <si>
    <t>RAPEX 2019/2020</t>
  </si>
  <si>
    <t xml:space="preserve"> taux d'execution</t>
  </si>
  <si>
    <t>Revenu</t>
  </si>
  <si>
    <t>dans LF 2015</t>
  </si>
  <si>
    <t>Page 4</t>
  </si>
  <si>
    <t>Page 2</t>
  </si>
  <si>
    <t>exécution réélle</t>
  </si>
  <si>
    <t>financement externe - Dons</t>
  </si>
  <si>
    <t>financement externe - Prêts</t>
  </si>
  <si>
    <t>exécution estimée base 2019/2020</t>
  </si>
  <si>
    <t>page 4</t>
  </si>
  <si>
    <t>page 3</t>
  </si>
  <si>
    <t>Investissement sur ressources internes</t>
  </si>
  <si>
    <t>Investissement sur ressources extérieures</t>
  </si>
  <si>
    <t>intérêts de la dette</t>
  </si>
  <si>
    <t>LFI - éxecution estimée 100%</t>
  </si>
  <si>
    <t>budget 2018 http://burundi-eco.com/budget-general-de-letat-exercice-2018-lausterite-sera-maintenue/#.XGcnQVxKi70</t>
  </si>
  <si>
    <t>ordonnancement</t>
  </si>
  <si>
    <t>Ordonnancement</t>
  </si>
  <si>
    <t>courant</t>
  </si>
  <si>
    <t>P19</t>
  </si>
  <si>
    <t>p29</t>
  </si>
  <si>
    <r>
      <t xml:space="preserve">Education Nationale </t>
    </r>
    <r>
      <rPr>
        <sz val="9"/>
        <color rgb="FFFF0000"/>
        <rFont val="Calibri"/>
        <family val="2"/>
        <scheme val="minor"/>
      </rPr>
      <t>(fonctionnement)</t>
    </r>
  </si>
  <si>
    <t>p32</t>
  </si>
  <si>
    <r>
      <t xml:space="preserve">Education Nationale </t>
    </r>
    <r>
      <rPr>
        <sz val="9"/>
        <color rgb="FFFF0000"/>
        <rFont val="Calibri"/>
        <family val="2"/>
        <scheme val="minor"/>
      </rPr>
      <t>(investissement sur recettes internes)</t>
    </r>
  </si>
  <si>
    <t>p31</t>
  </si>
  <si>
    <r>
      <t xml:space="preserve">Education Nationale </t>
    </r>
    <r>
      <rPr>
        <sz val="9"/>
        <color rgb="FFFF0000"/>
        <rFont val="Calibri"/>
        <family val="2"/>
        <scheme val="minor"/>
      </rPr>
      <t>(investissement sur recettes externes)</t>
    </r>
  </si>
  <si>
    <r>
      <t>Enseignement supérieur</t>
    </r>
    <r>
      <rPr>
        <sz val="9"/>
        <color rgb="FFFF0000"/>
        <rFont val="Calibri"/>
        <family val="2"/>
        <scheme val="minor"/>
      </rPr>
      <t xml:space="preserve"> (fonctionnement)</t>
    </r>
  </si>
  <si>
    <t>p30</t>
  </si>
  <si>
    <r>
      <t xml:space="preserve">Enseignement supérieur </t>
    </r>
    <r>
      <rPr>
        <sz val="9"/>
        <color rgb="FFFF0000"/>
        <rFont val="Calibri"/>
        <family val="2"/>
        <scheme val="minor"/>
      </rPr>
      <t>(investissement)</t>
    </r>
  </si>
  <si>
    <t>Resources nationales</t>
  </si>
  <si>
    <t>Ressources extérieures</t>
  </si>
  <si>
    <t>Estimation sur base taux exécution Minsanté transfert pour Institut et salaires et traitement pour autres</t>
  </si>
  <si>
    <t>Minstère Santé publique</t>
  </si>
  <si>
    <t>égal budget 2015</t>
  </si>
  <si>
    <t>pdf p134</t>
  </si>
  <si>
    <t>pdf p138</t>
  </si>
  <si>
    <t>Institut National de Santé Publique</t>
  </si>
  <si>
    <t>p59</t>
  </si>
  <si>
    <t>pdf p132</t>
  </si>
  <si>
    <t>pdf p136</t>
  </si>
  <si>
    <t>DRH - primes enseigants, matériels didactiques, entretien élèves</t>
  </si>
  <si>
    <t>p57,p54</t>
  </si>
  <si>
    <t>dépense pour l'éducation</t>
  </si>
  <si>
    <t>PTF</t>
  </si>
  <si>
    <t>financements inclus dans le budget</t>
  </si>
  <si>
    <t>Courant</t>
  </si>
  <si>
    <t>Dont dépenses pour les niveaux préprimaire et primaire</t>
  </si>
  <si>
    <t>Ministère de l'éducation : autres</t>
  </si>
  <si>
    <t>Ministère de l'enseignement primaire - courant</t>
  </si>
  <si>
    <t>Subvention aux cantines scolaires - courant</t>
  </si>
  <si>
    <t>Ministère de l'enseignement primaire - capital</t>
  </si>
  <si>
    <t>Difficuktés rencontrées</t>
  </si>
  <si>
    <t>Côte d'Ivoire</t>
  </si>
  <si>
    <t>Données 2020 de l'exercice 2019 OK</t>
  </si>
  <si>
    <t>en milliards de FCFA</t>
  </si>
  <si>
    <t>Depenses réelle estimée</t>
  </si>
  <si>
    <t>Cadrage budgetaire (Etat d'exécution au 31 décembre 2014)</t>
  </si>
  <si>
    <t>Cadrage budgetaire (Etat d'exécution au 31 décembre 2015)</t>
  </si>
  <si>
    <t>http://dgbf.gouv.ci/wp-content/uploads/2016/03/ccm_execution_budgetaire_a_fin_decembre_2015.pdf</t>
  </si>
  <si>
    <t>Cadrage budgetaire (Etat d'exécution au 31 décembre 2016)</t>
  </si>
  <si>
    <t>http://budget.gouv.ci/fr/publications/ccm-execution-budgetaire-fin-decembre-2017</t>
  </si>
  <si>
    <t>Loi de règlement 2017</t>
  </si>
  <si>
    <t>Loi de Finances 2018</t>
  </si>
  <si>
    <t>Rapport exécution décembre 2018</t>
  </si>
  <si>
    <t>http://budget.gouv.ci/publications/rapport</t>
  </si>
  <si>
    <t>Rapport exécution budget 2019</t>
  </si>
  <si>
    <t>REB décembre 2020</t>
  </si>
  <si>
    <t>http://budget.gouv.ci/budget-publications.html</t>
  </si>
  <si>
    <t>Tableau 1 page 5</t>
  </si>
  <si>
    <t>Tableau page 3</t>
  </si>
  <si>
    <t>LR page 7</t>
  </si>
  <si>
    <t>Loi 2017-870 portant Budget de l'Etat pour l'annee 2018 27 dec.2017</t>
  </si>
  <si>
    <t>LOI DE FINANCES 2019 DU 24_12_2018 V2.pdf</t>
  </si>
  <si>
    <t>Annexe 1</t>
  </si>
  <si>
    <t>recettes fiscales et non fiscales</t>
  </si>
  <si>
    <t>p4</t>
  </si>
  <si>
    <t>Financements extérieurs</t>
  </si>
  <si>
    <t>recettes exterieures</t>
  </si>
  <si>
    <t>dont</t>
  </si>
  <si>
    <t>appui budgétaire</t>
  </si>
  <si>
    <t>sous-total Appuis budgétaires</t>
  </si>
  <si>
    <t>financements externes Dons</t>
  </si>
  <si>
    <t>Dons projets + dons programmes</t>
  </si>
  <si>
    <t>financements externes Prêts projets</t>
  </si>
  <si>
    <t>Emprunts projets</t>
  </si>
  <si>
    <t>Recettes des comptes d'affectation spéciale</t>
  </si>
  <si>
    <t>Source loi de règlement</t>
  </si>
  <si>
    <t>Emprunts programmes et projets</t>
  </si>
  <si>
    <t>Emission de titres publics</t>
  </si>
  <si>
    <t>autres ressources sur marché financier + Patrticipattion et privatisation + Recettes prêts rétrocédés</t>
  </si>
  <si>
    <t>opérations de trésorerie</t>
  </si>
  <si>
    <t>ressources des comptes speciaux du tresor</t>
  </si>
  <si>
    <t>LFI 2018 - p6</t>
  </si>
  <si>
    <t>Vente d'actifs et dettes rétrocédées</t>
  </si>
  <si>
    <t>Intégration ressources C2D</t>
  </si>
  <si>
    <t>Total resources</t>
  </si>
  <si>
    <t>Ressources Budget Général</t>
  </si>
  <si>
    <t>(-700 )correction pour double comptabilisation de recettes de Comptes de prets pour tranfert au Budget General</t>
  </si>
  <si>
    <t>Tableau 2 page 11</t>
  </si>
  <si>
    <t>Tableau page 5</t>
  </si>
  <si>
    <t>LR page 13</t>
  </si>
  <si>
    <t>dépenses ordinaires</t>
  </si>
  <si>
    <t>Titre 2 dépenses ordinaires</t>
  </si>
  <si>
    <t>depenses ordinaires</t>
  </si>
  <si>
    <t>y compris dépenses sécurité et élections</t>
  </si>
  <si>
    <t>Investissement  sur financement intérieur</t>
  </si>
  <si>
    <t>Titre 3 Investissements</t>
  </si>
  <si>
    <t>y compris dépenses post-crise</t>
  </si>
  <si>
    <t>DEPENSES D'INVESTISSEMENT=Trésor+Emprunts+Dons (Tableau 2 : Evolution des dépenses budgétaires en 2017 pag5)</t>
  </si>
  <si>
    <t>DEPENSES D'INVESTISSEMENT</t>
  </si>
  <si>
    <t>Investissement  sur financement extérieur</t>
  </si>
  <si>
    <t>Sortie de crise sur financement intérieur</t>
  </si>
  <si>
    <t>Sortie de crise sur financement extérieur</t>
  </si>
  <si>
    <t>Dépenses des comptes d'affectation spéciale</t>
  </si>
  <si>
    <t>Loi de règlement</t>
  </si>
  <si>
    <t>intérêts dette</t>
  </si>
  <si>
    <t>LFI 2019 - p8</t>
  </si>
  <si>
    <t>autre service de la dette</t>
  </si>
  <si>
    <t>Dette publique</t>
  </si>
  <si>
    <t>Titre 1 Dette publique</t>
  </si>
  <si>
    <t>Service de la dette publique=Dette interieure+dette exterieure</t>
  </si>
  <si>
    <t>dette publique</t>
  </si>
  <si>
    <t>depenses de comptes speciaux du tresor</t>
  </si>
  <si>
    <t>LFI 2018 - p8</t>
  </si>
  <si>
    <t>(-700 )correction pour double comptabilisation de depenses sur tranfert de ressources au Budget General</t>
  </si>
  <si>
    <t>Budget secteur Education de 2013 à 2016</t>
  </si>
  <si>
    <t>Loi de Finances 2015/ P27-29</t>
  </si>
  <si>
    <t>Loi de finances 2017 Document ANNEXE 10 : DOCUMENTS DE PROGRAMMATION PLURIANNUELLE DES DEPENSES  PROJETS ANNUELS DE PERFORMANCE</t>
  </si>
  <si>
    <t>http://budget.gouv.ci/sites/default/files/Donnees-budgetaires/13-_annexe_10_dppd-pap_2017-2019.pdf</t>
  </si>
  <si>
    <t>Annexe 10 DPPD-PAP 2018-2020</t>
  </si>
  <si>
    <t xml:space="preserve">Annexe 10 DPPD-PAP 2018-2020 </t>
  </si>
  <si>
    <t>LF2019 (p38-37)</t>
  </si>
  <si>
    <t>Rapport exécution 2018 (annexe 4)</t>
  </si>
  <si>
    <t>LF2019</t>
  </si>
  <si>
    <t>Rapport exécution 2019 (annexe 4)</t>
  </si>
  <si>
    <t>LFI 2020</t>
  </si>
  <si>
    <t>Education Nationale (&amp; ETFP à partir 2018)</t>
  </si>
  <si>
    <t>comprend egalament  les pensions, les depenses des ecoles primaires, colleges lycees ainsi que la formation des enseignants du primaire</t>
  </si>
  <si>
    <t>MEN Tableau financier page 57</t>
  </si>
  <si>
    <t>p36 pdf</t>
  </si>
  <si>
    <t>Exploitation annexe 4 dépenses pro-pauvres du rapport exécution</t>
  </si>
  <si>
    <t>p53 pdf</t>
  </si>
  <si>
    <t>Application taux exécution hors Sup dans annexe dépenses pro-pauvres</t>
  </si>
  <si>
    <t>pages 50, 64</t>
  </si>
  <si>
    <t>p38 pdf</t>
  </si>
  <si>
    <t>Apllication taux exécution de annexe 3</t>
  </si>
  <si>
    <t>Comptes spéciaux</t>
  </si>
  <si>
    <t>application taux exécution CAS global</t>
  </si>
  <si>
    <t>p27 pdf</t>
  </si>
  <si>
    <t>Application taux exécution comptes spéciaux</t>
  </si>
  <si>
    <t>Secrétariat d'Etat pour Enseignement technique et Formation Professionnelle</t>
  </si>
  <si>
    <t>MENFP et Supérieur</t>
  </si>
  <si>
    <t>Budget page 403 Execution METFP Tableau financier page 170</t>
  </si>
  <si>
    <t>Inclus dans Education nationale</t>
  </si>
  <si>
    <t>Budget page 841 Execution METFP Tableau financier page 171</t>
  </si>
  <si>
    <t>pages 50, 51, 64, 74</t>
  </si>
  <si>
    <t>MESRS Tableau financier page 119</t>
  </si>
  <si>
    <t>p37 pdf</t>
  </si>
  <si>
    <t>Application taux exécution Sup dans annexe dépenses pro-pauvres</t>
  </si>
  <si>
    <t>pages 51, 74</t>
  </si>
  <si>
    <t>Loi de finances</t>
  </si>
  <si>
    <t>Loi de finances 2017</t>
  </si>
  <si>
    <t>Loi de finances 2018</t>
  </si>
  <si>
    <t>equal to budget</t>
  </si>
  <si>
    <t>Estimation avec taux d'exécution 100%</t>
  </si>
  <si>
    <t>15 - Intérieur</t>
  </si>
  <si>
    <t>LFI page 94</t>
  </si>
  <si>
    <t>Ecoles de police</t>
  </si>
  <si>
    <t>Ecoles et centres de formations de police (Direction de la Formation et de l'Ecole Nationale de Police+Ecole Nationale de Police (ENP)+ Formation Militaire(DAFM)+Centre Régional de Formation à la Lutte contre la Drogue+Ecole Nationale de Police/Gestion des bourses)</t>
  </si>
  <si>
    <t>p120 pdf</t>
  </si>
  <si>
    <t>258 - Ecoles et centres de formations de police (Direction de la Formation et de l'Ecole Nationale de Police+Ecole Nationale de Police (ENP)+ Formation Militaire(DAFM)+Centre Régional de Formation à la Lutte contre la Drogue+Ecole Nationale de Police/Gestion des bourses)</t>
  </si>
  <si>
    <t>p179+187 pdf</t>
  </si>
  <si>
    <t>16 - Fonction publique</t>
  </si>
  <si>
    <t>LFI page 131</t>
  </si>
  <si>
    <t>ENA</t>
  </si>
  <si>
    <t>Ecole Nationale d'Administration (ENA)</t>
  </si>
  <si>
    <t>p158 pdf</t>
  </si>
  <si>
    <t>348 - Ecole Nationale d'Administration (ENA) (y compris gestion bourses et stages)</t>
  </si>
  <si>
    <t>p338</t>
  </si>
  <si>
    <t>20 - Plan</t>
  </si>
  <si>
    <t>LFI page 160</t>
  </si>
  <si>
    <t>ENSEA</t>
  </si>
  <si>
    <t>Mise en place Centre d'Excellence Africain -formation statistique/ENSEA</t>
  </si>
  <si>
    <t>p189 pdf</t>
  </si>
  <si>
    <t>464 - ENSEA</t>
  </si>
  <si>
    <t>p229-230</t>
  </si>
  <si>
    <t>24 - Santé</t>
  </si>
  <si>
    <t>p274 pdf</t>
  </si>
  <si>
    <t>628 - Formation et encadrement technique santé</t>
  </si>
  <si>
    <t>p305+330</t>
  </si>
  <si>
    <t>26 - Défense</t>
  </si>
  <si>
    <t>LFI pages 271, 273, 274</t>
  </si>
  <si>
    <t>Ecoles Forces armées</t>
  </si>
  <si>
    <t>Formations et stages du personnel militaire (Ecoles Forces armées)</t>
  </si>
  <si>
    <t>p328/330 pdf</t>
  </si>
  <si>
    <t>218/228 - Formations et stages du personnel militaire/Ecoles et centres d'instruction (sauf centre commandos)</t>
  </si>
  <si>
    <t>p77</t>
  </si>
  <si>
    <t>27 - Communication et média</t>
  </si>
  <si>
    <t>p343 pdf</t>
  </si>
  <si>
    <t>538 - ISTC</t>
  </si>
  <si>
    <t>p334+335</t>
  </si>
  <si>
    <t>35 - Culture et francophonie</t>
  </si>
  <si>
    <t>p412 pdf</t>
  </si>
  <si>
    <t>528 - Formations artistiques et culturelles</t>
  </si>
  <si>
    <t>p378</t>
  </si>
  <si>
    <t>37 - Commerce</t>
  </si>
  <si>
    <t>LFI page 358</t>
  </si>
  <si>
    <t>Ecole commerce</t>
  </si>
  <si>
    <t>Ecole de Commerce et de Gestion (ECG)</t>
  </si>
  <si>
    <t>p418 pdf</t>
  </si>
  <si>
    <t>818 - Ecole de Commerce et de Gestion (ECG)</t>
  </si>
  <si>
    <t>p381</t>
  </si>
  <si>
    <t>40 -Transports</t>
  </si>
  <si>
    <t>p429 pdf</t>
  </si>
  <si>
    <t>778 - ARSTM</t>
  </si>
  <si>
    <t>48 - Economie numérique et Postes</t>
  </si>
  <si>
    <t>LFI page 359</t>
  </si>
  <si>
    <t>Postes et télécom</t>
  </si>
  <si>
    <t>p450 pdf</t>
  </si>
  <si>
    <t>788-Formation liées aux métiers des postes</t>
  </si>
  <si>
    <t>p403</t>
  </si>
  <si>
    <t>Agriculture (INFPA)</t>
  </si>
  <si>
    <t>Estimation avec taux exécution investissement de chaque ministère</t>
  </si>
  <si>
    <t>Rapport exécution 2018 p6</t>
  </si>
  <si>
    <t>Rapport exécution 2019 p6</t>
  </si>
  <si>
    <t>Application taux exécution  Annexe 3</t>
  </si>
  <si>
    <t>Sécurité</t>
  </si>
  <si>
    <t>LFI page 473</t>
  </si>
  <si>
    <t>p529 pdf</t>
  </si>
  <si>
    <t>ENA+salles multimédia</t>
  </si>
  <si>
    <t>p338 pdf</t>
  </si>
  <si>
    <t>p569 pdf</t>
  </si>
  <si>
    <t>p651 pdf</t>
  </si>
  <si>
    <t>628-INFAS</t>
  </si>
  <si>
    <t>p304</t>
  </si>
  <si>
    <t>p680 pdf</t>
  </si>
  <si>
    <t>Rénovation EMPT</t>
  </si>
  <si>
    <t>p82</t>
  </si>
  <si>
    <t>LFI page 537</t>
  </si>
  <si>
    <t>p684 pdf</t>
  </si>
  <si>
    <t>p335</t>
  </si>
  <si>
    <t>LFI page 726, 730, 731</t>
  </si>
  <si>
    <t>p716 pdf</t>
  </si>
  <si>
    <t>p742 pdf</t>
  </si>
  <si>
    <t>Transport</t>
  </si>
  <si>
    <t>p447</t>
  </si>
  <si>
    <t>LFI Page 759</t>
  </si>
  <si>
    <t>Réhabilitation écoles détruites</t>
  </si>
  <si>
    <t>p234</t>
  </si>
  <si>
    <t>estimation avec taux exécution  global des salaires</t>
  </si>
  <si>
    <t>LF 2020</t>
  </si>
  <si>
    <t>MEN Tableau financier global page 57</t>
  </si>
  <si>
    <t>p45 pdf</t>
  </si>
  <si>
    <t>Enseignement technique et Formation Professionnelle</t>
  </si>
  <si>
    <t>METFP Tableau financier page 170</t>
  </si>
  <si>
    <t>p47 pdf</t>
  </si>
  <si>
    <t>Estimation sur base Annexe des collectivités 2019 p4 (cf note)</t>
  </si>
  <si>
    <t>estimation avec taux exécution global</t>
  </si>
  <si>
    <t>Annexe des collectivités 2019 p4</t>
  </si>
  <si>
    <t>estimation avec taux exécution global dépenses publique</t>
  </si>
  <si>
    <t>Synthèse collectivités locales pas disponible en 2020 : application au total des transferts 2020 de la part Education observée en 2019</t>
  </si>
  <si>
    <t>Valeut globale 2020 = pdf p464 LFI 2020 et valeur globale 2019 = pdf p782 LFI</t>
  </si>
  <si>
    <t>DPPD PAP 2018-2020</t>
  </si>
  <si>
    <t>Supérieur</t>
  </si>
  <si>
    <t>page 147</t>
  </si>
  <si>
    <t>Education Nationale Programme 2 Enseignement préscolaire et primaire</t>
  </si>
  <si>
    <t>Programme 2 page 58</t>
  </si>
  <si>
    <t>page 82</t>
  </si>
  <si>
    <t>Investissements</t>
  </si>
  <si>
    <t>hors CAS et collectivités locales</t>
  </si>
  <si>
    <t>CAS soustrait uniquement</t>
  </si>
  <si>
    <t>Riel</t>
  </si>
  <si>
    <t>billion</t>
  </si>
  <si>
    <t>000 G$</t>
  </si>
  <si>
    <t>TOFE Dec 2014</t>
  </si>
  <si>
    <t>TOFE Dec 2015</t>
  </si>
  <si>
    <t>TOFE Nov 2015</t>
  </si>
  <si>
    <t>TOFE Nov 2016 corrected for 12 months or estimates using the 2014 implementation rate</t>
  </si>
  <si>
    <t xml:space="preserve">http://www.mef.gov.kh/documents/shares/publication/tofe/gfs_and_tofe_201512_kh.pdf </t>
  </si>
  <si>
    <t>TOFE Dec 2016</t>
  </si>
  <si>
    <t xml:space="preserve">http://www.mef.gov.kh/documents/shares/publication/tofe/tofe-2016-for-website-kh-version.pdf </t>
  </si>
  <si>
    <t>TOFE Dec 2017</t>
  </si>
  <si>
    <t>TOFE Dec 2018</t>
  </si>
  <si>
    <t>https://www.mef.gov.kh/documents/shares/publication/tofe/TOFE-2018-December-KH.pdf</t>
  </si>
  <si>
    <t>https://mef.gov.kh/documents/shares/publication/tofe/TOFE-2018-December-EN.pdf</t>
  </si>
  <si>
    <t>TOFE Dec 2019</t>
  </si>
  <si>
    <t>https://mef.gov.kh/documents-category/publication/tofe/</t>
  </si>
  <si>
    <t>https://mef.gov.kh/documents/shares/publication/tofe/</t>
  </si>
  <si>
    <t>TOFE November 2020</t>
  </si>
  <si>
    <t>TOFE November 2020
estimates from 11 months</t>
  </si>
  <si>
    <t>pages 4-6 Table TOFE: BUDGET IMPLEMENTATION FOR 2015</t>
  </si>
  <si>
    <t>Pages 4-6 Table TOFE: BUDGET IMPLEMENTATION FOR 2016</t>
  </si>
  <si>
    <t>Pages 4-6 Table TOFE: BUDGET IMPLEMENTATION FOR 2018</t>
  </si>
  <si>
    <t>Pages 3-6 Table TOFE: BUDGET IMPLEMENTATION FOR 2018</t>
  </si>
  <si>
    <t>Tax and non tax domestic revenues</t>
  </si>
  <si>
    <t>row I. Total Revenue</t>
  </si>
  <si>
    <t>row I. Domestic Revenue</t>
  </si>
  <si>
    <t>Domestic revenues</t>
  </si>
  <si>
    <t>III. Financing ; 1 Foreign Financing : row Budget support + row Project Aid Grants</t>
  </si>
  <si>
    <t>III. Financing ; 1 Foreign Financing : a) Budget support -Grant + b) Project Aid row Grants</t>
  </si>
  <si>
    <t>for the 2015 exercise: row Technical assistance (projects) in the TOFE</t>
  </si>
  <si>
    <t>row Project aid - row Grants</t>
  </si>
  <si>
    <t>row Project aid minus row Grants</t>
  </si>
  <si>
    <t>III. Financing ; 1 Foreign Financing : b) Project Aid row Debt and relayed liabilities - Foreign borrowing</t>
  </si>
  <si>
    <t>Recurrent expenditure excluding debt service</t>
  </si>
  <si>
    <t>II. Budget expenditure ; 1 Current - Financial charges</t>
  </si>
  <si>
    <t>Capital/Investment/Development</t>
  </si>
  <si>
    <t>II. Budget expenditure ; 2 Capital (Domestic financing + External assistance)</t>
  </si>
  <si>
    <t>Domestic</t>
  </si>
  <si>
    <t xml:space="preserve">II. Budget expenditure ; 2 Capital Domestic financing </t>
  </si>
  <si>
    <t>External</t>
  </si>
  <si>
    <t>II. Budget expenditure ; 2 Capital External assistance Projects</t>
  </si>
  <si>
    <t>Non wage; Financial charges</t>
  </si>
  <si>
    <t xml:space="preserve">II. Budget expenditure </t>
  </si>
  <si>
    <t>of which wages and Salaries only</t>
  </si>
  <si>
    <t>Joint Gvt DPs review March 2016</t>
  </si>
  <si>
    <t>Joint Gvt DPs review March 2017</t>
  </si>
  <si>
    <t>Presentation JTWG MEETING Dept. of Finance 21st February 2017</t>
  </si>
  <si>
    <t>PowerPoint presentation</t>
  </si>
  <si>
    <t>Pages 4-6 Table TOFE: BUDGET IMPLEMENTATION FOR 2017</t>
  </si>
  <si>
    <t>Pages 4-6 Table TOFE: BUDGET IMPLEMENTATION FOR DEC 2018</t>
  </si>
  <si>
    <t>TOFE and 2018 budget in brief</t>
  </si>
  <si>
    <t>https://www.mef.gov.kh/budget-in-brief.html</t>
  </si>
  <si>
    <t>TOFE and 2019 budget in brief</t>
  </si>
  <si>
    <t>TOFE December 2019 for current expenditure
and 2019 budget in brief for capital</t>
  </si>
  <si>
    <t>2020 Budget in Brief</t>
  </si>
  <si>
    <t>TOFE November 2020
estimates from 11 months
estimates from budget for capital</t>
  </si>
  <si>
    <t>Recurrent + capital</t>
  </si>
  <si>
    <t>Table page 76 of 2018 Budget in brief row សួងអប់រំ យុវជន្ ន្ិងកីឡា</t>
  </si>
  <si>
    <t>Total Ministry Education, Youth &amp; Sports + Provinces Current</t>
  </si>
  <si>
    <t>Slide n°4 : Table 1. Budget Execution - Total by Level: 2015-2016 (in 000 million riels)</t>
  </si>
  <si>
    <t>Current budget expenditure, Education, youth and Sports</t>
  </si>
  <si>
    <t>Current budget expenditure by Ministry 2018, 16</t>
  </si>
  <si>
    <t>Current budget expenditure by Ministry n°16</t>
  </si>
  <si>
    <t>All central &amp; POE expenditures</t>
  </si>
  <si>
    <t>Total Ministry Education, Youth &amp; Sports + Provinces Capital</t>
  </si>
  <si>
    <t>estimate for actual, using implementation rate</t>
  </si>
  <si>
    <t>Table page 76 of 2019 Budget in brief row សួងអប់រំ យុវជន្ ន្ិងកីឡា</t>
  </si>
  <si>
    <t>Page 73 Budget in Brief</t>
  </si>
  <si>
    <t>Total Ministry Education, Youth &amp; Sports + Provinces</t>
  </si>
  <si>
    <t>Provinces</t>
  </si>
  <si>
    <t>Primary - Recurrent</t>
  </si>
  <si>
    <t>Primary - Development</t>
  </si>
  <si>
    <t>Most budget documents are in Khmer.
Figures were taken mainly from the TOFE for the last month of the year (for Total Gvt revenue &amp; expenditures)
Education expenditures are coming from synthetic tables in a PPT for the joint review Gvt-DPs
It was not possible to see if other Ministries are making some education expenditures
neither to see if the pension scheme of Gvt staff is fully funded or unfunded</t>
  </si>
  <si>
    <t>Cameroun</t>
  </si>
  <si>
    <t>Mise à jour réelle des depenses</t>
  </si>
  <si>
    <t>Derniere année budgetaire achevée</t>
  </si>
  <si>
    <t>reference de la source</t>
  </si>
  <si>
    <t>référence de la source</t>
  </si>
  <si>
    <t>Fichier Excel ne comprenant pas les financements extérieurs</t>
  </si>
  <si>
    <t>Loi de Finances 2015 (Page 18)</t>
  </si>
  <si>
    <t>Financement Education Cameroun (Fichier Excel sur Box)</t>
  </si>
  <si>
    <t>Loi de Finances (P26)</t>
  </si>
  <si>
    <t>LFI 2017</t>
  </si>
  <si>
    <t>Exécution budgétaire 2017</t>
  </si>
  <si>
    <t>Implémentation rate</t>
  </si>
  <si>
    <t>Rapport exécution du budget de l'Etat 2018</t>
  </si>
  <si>
    <t>http://minfi.gov.cm/index.php/fr/plan-du-site</t>
  </si>
  <si>
    <t>Rapport exécution du budget de l'Etat sept. 2019</t>
  </si>
  <si>
    <t>Rapport exécution du budget de l'Etat  2019</t>
  </si>
  <si>
    <t>Rapport exécution du budget de l'Etat sept. 2020</t>
  </si>
  <si>
    <t>https://www.dgb.cm/zone-documentaire/#223-223-top</t>
  </si>
  <si>
    <t>p10 pdf</t>
  </si>
  <si>
    <t>LFR 2019</t>
  </si>
  <si>
    <t>estimation sur base exécution (4/3)</t>
  </si>
  <si>
    <t>Réalisations</t>
  </si>
  <si>
    <t>Tableau 1 page 12</t>
  </si>
  <si>
    <t>LFR 2020</t>
  </si>
  <si>
    <t>Tableau 1 page 4</t>
  </si>
  <si>
    <t>Dons, Appuis budgétaires et prêts projets</t>
  </si>
  <si>
    <t>CP révisés</t>
  </si>
  <si>
    <t>PEC comptable globale</t>
  </si>
  <si>
    <t>p21 pdf</t>
  </si>
  <si>
    <t>p6</t>
  </si>
  <si>
    <t>PEC (paiements)</t>
  </si>
  <si>
    <t>Tableau 6page 25</t>
  </si>
  <si>
    <t>Tableau 2 page 6</t>
  </si>
  <si>
    <t>dans loi de finances 2017 page 41</t>
  </si>
  <si>
    <t>Total depenses courantes (A)</t>
  </si>
  <si>
    <t>prêts rétrocédés exclus ; y compris dépenses diverses à régulariser</t>
  </si>
  <si>
    <t>Total depences in capital ©</t>
  </si>
  <si>
    <t>Total Service de la dette (B)</t>
  </si>
  <si>
    <t>Principal et intérêts</t>
  </si>
  <si>
    <t>Total general des sepenses de l'etat (A+B+C)</t>
  </si>
  <si>
    <t>Note: les Pensions sont incluses dans les dépenses de personnel</t>
  </si>
  <si>
    <t>P6</t>
  </si>
  <si>
    <t>https://www.prc.cm/fr/multimedia/documents/7491-ordonnance-n-2019-001-du-29-05-fr</t>
  </si>
  <si>
    <t>dans loi de finances 2017</t>
  </si>
  <si>
    <t>page 40</t>
  </si>
  <si>
    <t>Ordonnance LFR page 5</t>
  </si>
  <si>
    <t>Loi de Finances  page 69 - Chapitre 55 Pensions</t>
  </si>
  <si>
    <t>page 38</t>
  </si>
  <si>
    <t>Taux calculé sur les dépenses courantes pour pouvoir l'appliquer à l'éducation en l'absence des dépenses de personnel</t>
  </si>
  <si>
    <t>Loi de Finances 2015 (Page 19 à 20)</t>
  </si>
  <si>
    <t>Loi de Finances (P28-29)</t>
  </si>
  <si>
    <t>Est</t>
  </si>
  <si>
    <t>Ordonnance portant modification LF 2019</t>
  </si>
  <si>
    <t>Estimation sur base taux exécution 2018</t>
  </si>
  <si>
    <t>pas disponible</t>
  </si>
  <si>
    <t>https://www.dgb.cm/zone-documentaire/#223-648-loi-de-finances-2020</t>
  </si>
  <si>
    <t>PEC</t>
  </si>
  <si>
    <t>p48 &amp; 49</t>
  </si>
  <si>
    <t>Education de base courant</t>
  </si>
  <si>
    <t>Credits de paiment</t>
  </si>
  <si>
    <t>Page 56 chapitre 15 y.c. capital</t>
  </si>
  <si>
    <t>15 MINEDUB</t>
  </si>
  <si>
    <t>Education de base capital</t>
  </si>
  <si>
    <t>avec courant</t>
  </si>
  <si>
    <t>Enseignement secondaire courant</t>
  </si>
  <si>
    <t>Page 59 chapitre 25 y.c. capital</t>
  </si>
  <si>
    <t>25 MINESEC</t>
  </si>
  <si>
    <t>Enseignement secondaire capital</t>
  </si>
  <si>
    <t>Enseignement Superieur courant</t>
  </si>
  <si>
    <t>Page 57 chapitre 18 y.c. capital</t>
  </si>
  <si>
    <t>18 MINESUP</t>
  </si>
  <si>
    <t>Enseignement Superieur capital</t>
  </si>
  <si>
    <t>Jeunesse et éducation civique courant</t>
  </si>
  <si>
    <t>page 60 chapitre 26 y.c. capital</t>
  </si>
  <si>
    <t>26 MINJEC</t>
  </si>
  <si>
    <t>Jeunesse et éducation civique capital</t>
  </si>
  <si>
    <t>Emploi et formation professionnelle courant</t>
  </si>
  <si>
    <t>page 63 Chapitre 35 y.c. capital</t>
  </si>
  <si>
    <t>35 MINEFOP</t>
  </si>
  <si>
    <t>Emploi et formation professionnelle capital</t>
  </si>
  <si>
    <t xml:space="preserve">autres </t>
  </si>
  <si>
    <t>Education de base</t>
  </si>
  <si>
    <t>Enseignement secondaire</t>
  </si>
  <si>
    <t>Enseignement Superieur</t>
  </si>
  <si>
    <t>Emseignement primaire</t>
  </si>
  <si>
    <t>page 56</t>
  </si>
  <si>
    <t>Les documents disponibles n'ont pas permis de déterminer :
- les dépenses d'éducation des autres ministères
- Les charges sociales employeur pour les pensions (manque d'information sur les dépenses salariales</t>
  </si>
  <si>
    <t>République Centrafricaine</t>
  </si>
  <si>
    <t>Rapport d'exécution budgétaire 4ème trimestre 2018</t>
  </si>
  <si>
    <t>http://www.finances-budget.cf/documents/rapport-execution-budgetaire</t>
  </si>
  <si>
    <t>Loi de Finances - Collectif 2019</t>
  </si>
  <si>
    <t>http://www.finances-budget.cf/documents/lois-de-finances/lf-2019</t>
  </si>
  <si>
    <t>Estimation zavec taux d'exécution</t>
  </si>
  <si>
    <t>Collectif 2018</t>
  </si>
  <si>
    <t>exécution fin décembre</t>
  </si>
  <si>
    <t>Tableau 1 à 6 pages 4 à 9</t>
  </si>
  <si>
    <t>Tableau Equilibre de la Loi de Finance page 18</t>
  </si>
  <si>
    <t>Ressources propres</t>
  </si>
  <si>
    <t>financements externes - Dons</t>
  </si>
  <si>
    <t>Appui budgétaire et dons projets</t>
  </si>
  <si>
    <t xml:space="preserve">financements externes - Emprunts projets </t>
  </si>
  <si>
    <t>Tableau 7 page 11 Exécution par titre budgétaire</t>
  </si>
  <si>
    <t>Total Ordonnancements et ordres de paiement</t>
  </si>
  <si>
    <t>Investissements sur ressources propres</t>
  </si>
  <si>
    <t>Investissements sur ressources extérieures</t>
  </si>
  <si>
    <t>dépenses sur ressources extérieures :Tableau 1 page 4 et tableau 6 page 9</t>
  </si>
  <si>
    <t>Frais financiers</t>
  </si>
  <si>
    <t>Remboursement de la dette</t>
  </si>
  <si>
    <t>page 407 Collectif 2019</t>
  </si>
  <si>
    <t>Loi de finances - Collectif 2019</t>
  </si>
  <si>
    <t>Estimations</t>
  </si>
  <si>
    <t>Education dans services sociaux hors salaires</t>
  </si>
  <si>
    <t>Dans exécution fin décembre</t>
  </si>
  <si>
    <t>Colonne Collectif 2019</t>
  </si>
  <si>
    <t>Tableau 7 page 13</t>
  </si>
  <si>
    <t>colonne collectif 2018</t>
  </si>
  <si>
    <t>Enseignement primaire et secondaire</t>
  </si>
  <si>
    <t>Personnnel</t>
  </si>
  <si>
    <t>Fonctionnement + interventions</t>
  </si>
  <si>
    <t>Page 213</t>
  </si>
  <si>
    <t>Technique et Alphabétisation</t>
  </si>
  <si>
    <t>Page 217</t>
  </si>
  <si>
    <t>Page 226</t>
  </si>
  <si>
    <t>Dépenses courantes</t>
  </si>
  <si>
    <t>Ecole Nationale Administration Magistrature</t>
  </si>
  <si>
    <t>page 60-61</t>
  </si>
  <si>
    <t>DG Formation continue et développement</t>
  </si>
  <si>
    <t>Sapeurs pompiers</t>
  </si>
  <si>
    <t>Page 63</t>
  </si>
  <si>
    <t>Défense centre formation Bouar</t>
  </si>
  <si>
    <t>page 128</t>
  </si>
  <si>
    <t>Défense centre formation Kassai</t>
  </si>
  <si>
    <t>page 129</t>
  </si>
  <si>
    <t>Ecole Gendarmerie</t>
  </si>
  <si>
    <t>Centres ruraux education formation</t>
  </si>
  <si>
    <t>page 368</t>
  </si>
  <si>
    <t>Collège technique de développement rural</t>
  </si>
  <si>
    <t>Page 212</t>
  </si>
  <si>
    <t>Financements extérieurs inclus dans la dépense d'éducation</t>
  </si>
  <si>
    <t>dans Budget 2018</t>
  </si>
  <si>
    <t>Dépenses d'éducation hors ressources extérieures</t>
  </si>
  <si>
    <t>2018 exercice</t>
  </si>
  <si>
    <t>2019 exercice</t>
  </si>
  <si>
    <t>2020 exercice</t>
  </si>
  <si>
    <t>Tchad</t>
  </si>
  <si>
    <t>Données de l'exercice 2020 pour année budgétaire 2019 OK (basées sur RAPEX T4)</t>
  </si>
  <si>
    <t>FrancCFA</t>
  </si>
  <si>
    <t>CFA</t>
  </si>
  <si>
    <t>millions CFA</t>
  </si>
  <si>
    <t>Budgettotaldel'Etat</t>
  </si>
  <si>
    <t>Loi de finances rectificative 2014
Loi + Tableaux détaillés</t>
  </si>
  <si>
    <t>Rapport d'exécution du budget général 4ème trimestre 2014</t>
  </si>
  <si>
    <t>Loi de finances rectificative 2015
Loi + Tableaux détaillés</t>
  </si>
  <si>
    <t>LFR2 2016</t>
  </si>
  <si>
    <t>LFR 2017</t>
  </si>
  <si>
    <t>Rapport d'exécution</t>
  </si>
  <si>
    <t>http://finances.gouv.td/index.php/publications/lois-des-finances</t>
  </si>
  <si>
    <t>Rapport d'exécution du  budget de l'Etat 2018 - Trimestre 4</t>
  </si>
  <si>
    <t>http://finances.gouv.td/index.php/publications/rapports-d-execution-budgetaire#</t>
  </si>
  <si>
    <t>Rapport d'exécution du  budget de l'Etat 2019 - Trimestre 4</t>
  </si>
  <si>
    <t>REB T3 2020 - Annexes</t>
  </si>
  <si>
    <t>Estimation base 9 mois</t>
  </si>
  <si>
    <t>page 2</t>
  </si>
  <si>
    <t>page 8</t>
  </si>
  <si>
    <t>p9</t>
  </si>
  <si>
    <t>y compris recettes pétrolières</t>
  </si>
  <si>
    <t>Reettes en capital</t>
  </si>
  <si>
    <t>y ycompris subventions externes</t>
  </si>
  <si>
    <t>page 10</t>
  </si>
  <si>
    <t>page 9</t>
  </si>
  <si>
    <t>dotation aux pouvoirs publics + interventions de l'Etat</t>
  </si>
  <si>
    <t>hors service dette</t>
  </si>
  <si>
    <t>sur financement intérieur</t>
  </si>
  <si>
    <t>sur financement extérieur</t>
  </si>
  <si>
    <t>Amortissement dette</t>
  </si>
  <si>
    <t>intérêts uniquement</t>
  </si>
  <si>
    <t>PLFI 2018</t>
  </si>
  <si>
    <t>Dépenses de personnel sur dépenses communes interministérielles: Indemnités de sujétions, Primes, Gratis, Indem Accessoire, Charges Sociales CNRT, Charges Sociales CNPS, Capitaldécès</t>
  </si>
  <si>
    <t>Dépensepourl'Education</t>
  </si>
  <si>
    <t>http://finances.gouv.td/index.php/publications/budget-general-de-l-etat</t>
  </si>
  <si>
    <t>Budget LFI 2018</t>
  </si>
  <si>
    <t>Fascicule budgétaire 2019</t>
  </si>
  <si>
    <t>colonne LFR 2016</t>
  </si>
  <si>
    <t>colonne LFR 2017</t>
  </si>
  <si>
    <t>colonne LFI 2018</t>
  </si>
  <si>
    <t>page 64</t>
  </si>
  <si>
    <t>page 61</t>
  </si>
  <si>
    <t>page 31</t>
  </si>
  <si>
    <t>p80-pdf, y compris interventions de l'Etat</t>
  </si>
  <si>
    <t>p14 -15 pdf</t>
  </si>
  <si>
    <t>p16 pdf</t>
  </si>
  <si>
    <t>dont sur financement extérieur</t>
  </si>
  <si>
    <t>page 185</t>
  </si>
  <si>
    <t>page 172</t>
  </si>
  <si>
    <t>page 34</t>
  </si>
  <si>
    <t>p208 pdf</t>
  </si>
  <si>
    <t>page 152</t>
  </si>
  <si>
    <t>page 153</t>
  </si>
  <si>
    <t>page 33</t>
  </si>
  <si>
    <t>Name1</t>
  </si>
  <si>
    <t>Name2</t>
  </si>
  <si>
    <t>Name3</t>
  </si>
  <si>
    <t>Autresministères</t>
  </si>
  <si>
    <t>Budget LFI 2018, col LFR 2017</t>
  </si>
  <si>
    <t>Défense Nationale</t>
  </si>
  <si>
    <t>Groupement des Ecoles Militaires IA</t>
  </si>
  <si>
    <t>page 59</t>
  </si>
  <si>
    <t>groupement des écoles militaires</t>
  </si>
  <si>
    <t>p85 pdf</t>
  </si>
  <si>
    <t>Justice</t>
  </si>
  <si>
    <t>Ecole Nationale de Formation Judiciaire</t>
  </si>
  <si>
    <t>page 51</t>
  </si>
  <si>
    <t>page 49</t>
  </si>
  <si>
    <t>p73 pdf</t>
  </si>
  <si>
    <t>Santé</t>
  </si>
  <si>
    <t>4 Ecoles de santé et appui aux écoles privées</t>
  </si>
  <si>
    <t>Subvention ENASS</t>
  </si>
  <si>
    <t>pages 95</t>
  </si>
  <si>
    <t>pages 89-90</t>
  </si>
  <si>
    <t>p107 +115 pdf</t>
  </si>
  <si>
    <t>Elevage</t>
  </si>
  <si>
    <t>Ecole Nationale des Techniques d'Elevage</t>
  </si>
  <si>
    <t>page 124</t>
  </si>
  <si>
    <t>page 130</t>
  </si>
  <si>
    <t>Infrastructures</t>
  </si>
  <si>
    <t>Ecole Nationale des Travaux Publics</t>
  </si>
  <si>
    <t>page 138</t>
  </si>
  <si>
    <t>p164 pdf</t>
  </si>
  <si>
    <t>p176 pdf</t>
  </si>
  <si>
    <t>Postes et technomogies</t>
  </si>
  <si>
    <t>Ecole Nationale Télécommunications</t>
  </si>
  <si>
    <t>p201 pdf</t>
  </si>
  <si>
    <t>Ecole supérieure des TIC</t>
  </si>
  <si>
    <t>Centre national œuvres universitaires (courant)</t>
  </si>
  <si>
    <t>p262 pdf</t>
  </si>
  <si>
    <t>Education nationale</t>
  </si>
  <si>
    <t>grosse diminution concomitante à augmentation "services" = externalisation?</t>
  </si>
  <si>
    <t>page33</t>
  </si>
  <si>
    <t xml:space="preserve">Projets </t>
  </si>
  <si>
    <t>Educationnationale</t>
  </si>
  <si>
    <t>Pages 73 à 75</t>
  </si>
  <si>
    <t>Enseignementsupérieur</t>
  </si>
  <si>
    <t>Direction Primaire page 81</t>
  </si>
  <si>
    <t>Direction Primaire page 65</t>
  </si>
  <si>
    <t>Direction Primaire page 62</t>
  </si>
  <si>
    <t>%budgetpourl'éducation</t>
  </si>
  <si>
    <t>Dépensed'éducation</t>
  </si>
  <si>
    <t>Dépenses d'éducation hors ressources intérieures en % ressources extérieureses</t>
  </si>
  <si>
    <t>Les données sur les dépenses d'éducation doivent encore être mobilisées</t>
  </si>
  <si>
    <t>Exercice 2021</t>
  </si>
  <si>
    <t>Comores</t>
  </si>
  <si>
    <t>KMF Franc Comorien</t>
  </si>
  <si>
    <t>million</t>
  </si>
  <si>
    <t>Rapport d'exécution budgétaire 2018</t>
  </si>
  <si>
    <t>http://agid.gouv.km/fr/actes_officiels.php</t>
  </si>
  <si>
    <t>LFI 2019 Exposé des motifs</t>
  </si>
  <si>
    <t>Dans LFI 2021</t>
  </si>
  <si>
    <t>Recettes</t>
  </si>
  <si>
    <t>LFR 2018 page 8</t>
  </si>
  <si>
    <t>page 15 Exécution consolidée</t>
  </si>
  <si>
    <t>LFI 2021 Exposé des motifs page 3</t>
  </si>
  <si>
    <t>Recettes internes</t>
  </si>
  <si>
    <t>Aide budgétaire et appui projets</t>
  </si>
  <si>
    <t>Total recettes</t>
  </si>
  <si>
    <t>Investissement financement national</t>
  </si>
  <si>
    <t>Investissement financement des partenaires</t>
  </si>
  <si>
    <t>Intérêts dette</t>
  </si>
  <si>
    <t>pas nécessaire</t>
  </si>
  <si>
    <t>inclus avec les ministères</t>
  </si>
  <si>
    <t>Subventions aux Gvt locaux</t>
  </si>
  <si>
    <t>LFI classification par nature et ministère</t>
  </si>
  <si>
    <t>Rapport d'exécution budgétaire 2019</t>
  </si>
  <si>
    <t>Fichier Excel LFR 2020</t>
  </si>
  <si>
    <t>Page 27</t>
  </si>
  <si>
    <t>Page 16</t>
  </si>
  <si>
    <t>Ministère de l'Education Nationale</t>
  </si>
  <si>
    <t xml:space="preserve">semble incomplet </t>
  </si>
  <si>
    <t>PIP 2018</t>
  </si>
  <si>
    <t>fichier Excel PIP 2019</t>
  </si>
  <si>
    <t>fichier Excel PIP 2020</t>
  </si>
  <si>
    <t>Ministère de l'emploi et Jeunesse Dtion de la formation professionnelle</t>
  </si>
  <si>
    <t xml:space="preserve">Available documentation is providing very limited data on budget execution. Estimates were made for actual budget for education </t>
  </si>
  <si>
    <t>Traitement en 2019-VS</t>
  </si>
  <si>
    <t xml:space="preserve"> millions FCFA</t>
  </si>
  <si>
    <t>Dépense réelle</t>
  </si>
  <si>
    <t>Loi de règlement 2014 et Fichier Excel Exécution 2014</t>
  </si>
  <si>
    <t>LFR du 5 août 2015</t>
  </si>
  <si>
    <t>LFI 2016 Congo</t>
  </si>
  <si>
    <t>http://impots-gouv.cg/media/fichier/pubdocumentation20160205125254-MEDIA20160205125343-7902408163.pdf</t>
  </si>
  <si>
    <t>LFI 2017: http://impots-gouv.cg/media/fichier/pubdocumentation20170223105336-MEDIA20170223105419-1346292980.pdf</t>
  </si>
  <si>
    <t>LFI 2018 Congo</t>
  </si>
  <si>
    <t>https://www.finances.gouv.cg/fr/loi-de-finances-2018</t>
  </si>
  <si>
    <t>Tableau des opérations financières de l'Etat 
TOFE 2018</t>
  </si>
  <si>
    <t>https://www.finances.gouv.cg/fr/documentation?keys=TOFE&amp;term_node_tid_depth=All&amp;field_document_date_value%5Bmin%5D%5Bdate%5D=&amp;field_document_date_value%5Bmax%5D%5Bdate%5D=</t>
  </si>
  <si>
    <t>TOFE 2013  fin Troisième trimeste</t>
  </si>
  <si>
    <t>Loi  de règlement 2019</t>
  </si>
  <si>
    <t>https://www.finances.gouv.cg/fr/documentation?keys=&amp;term_node_tid_depth=All&amp;field_document_date_value%5Bmin%5D%5Bdate%5D=&amp;field_document_date_value%5Bmax%5D%5Bdate%5D=</t>
  </si>
  <si>
    <t>Loi de finance rectificative 2020</t>
  </si>
  <si>
    <t>Estimé sur base taux exécution année précédente</t>
  </si>
  <si>
    <t>dépenses exécutées</t>
  </si>
  <si>
    <t>estimation pour l'année</t>
  </si>
  <si>
    <t xml:space="preserve">page  41, </t>
  </si>
  <si>
    <t>A1 Recettes intérieures</t>
  </si>
  <si>
    <t>P.7, ligne A.1 Titre 1 + Titre 4</t>
  </si>
  <si>
    <t>Recettes propres</t>
  </si>
  <si>
    <t>p3 pdf</t>
  </si>
  <si>
    <t>A2 Dons et Legs</t>
  </si>
  <si>
    <t>P.7, ligne A.1 Titre 2 - Dons et legs et fonds de concours</t>
  </si>
  <si>
    <t>Dons</t>
  </si>
  <si>
    <t>hors emprunts d'Etat</t>
  </si>
  <si>
    <t>P.7, ligne A.1 "Recettes budgétaires"</t>
  </si>
  <si>
    <t>ordonnancemen</t>
  </si>
  <si>
    <t>dépenses courantes moins intér^ts moins budgets annexes</t>
  </si>
  <si>
    <t>p8 pdf</t>
  </si>
  <si>
    <t>sur ressources intérieures</t>
  </si>
  <si>
    <t>sur ressources extérieures</t>
  </si>
  <si>
    <t>Intérêts de la dette</t>
  </si>
  <si>
    <t>Comptes spéciaux et budgets annexes</t>
  </si>
  <si>
    <t>hors budgets annexes et comptes spéciaux</t>
  </si>
  <si>
    <t xml:space="preserve"> fonctionnement + investissementsréajustées  dpbmt 2016-18</t>
  </si>
  <si>
    <t>loi rectificative du 5 août 2015</t>
  </si>
  <si>
    <t>LFI 201* Congo</t>
  </si>
  <si>
    <t>Fichier Excel budgets 2015à 2019</t>
  </si>
  <si>
    <t>https://www.finances.gouv.cg/fr/loi-de-finances-2019</t>
  </si>
  <si>
    <t>pages 18 et 19</t>
  </si>
  <si>
    <t>Enseignement primaire et alphabetisation</t>
  </si>
  <si>
    <t>page 48</t>
  </si>
  <si>
    <t>page 28</t>
  </si>
  <si>
    <t>Substraction: Code 61 Total E.P.S.A. - Investissement</t>
  </si>
  <si>
    <t>Code 62</t>
  </si>
  <si>
    <t>p19 pdf</t>
  </si>
  <si>
    <t>Code 61 Titre 5: investissement</t>
  </si>
  <si>
    <t>Enseignement Technique et Formation Professionnelle</t>
  </si>
  <si>
    <t>page 29</t>
  </si>
  <si>
    <t>Code 68 Total E.T.P.F.Q.E</t>
  </si>
  <si>
    <t>Code 68</t>
  </si>
  <si>
    <t>p20 pdf</t>
  </si>
  <si>
    <t>Code 68 Titre 5: investissement</t>
  </si>
  <si>
    <t>Code 62 Total E.S.</t>
  </si>
  <si>
    <t>2120000000</t>
  </si>
  <si>
    <t>Code 62 Titre 5: investissement</t>
  </si>
  <si>
    <t>Recherche Scientifique et Innovation Innovation technologique</t>
  </si>
  <si>
    <t>Code 65: why not included?</t>
  </si>
  <si>
    <t>MEPSA</t>
  </si>
  <si>
    <t>METPFQE</t>
  </si>
  <si>
    <t>MES</t>
  </si>
  <si>
    <t>comptes spéciaux exclus dénominateurs</t>
  </si>
  <si>
    <t>Très fort niveau des nvestissements de l'Etat. Le % des dépenses publiques pour l'éducation est très faible sur les investissements
Les estimations budgétaires de 2015 ont été révisées fortement à la baisse (recettes pétrolières en forte baisse)</t>
  </si>
  <si>
    <t>Traitement 2018</t>
  </si>
  <si>
    <t>Traitement 2020</t>
  </si>
  <si>
    <t xml:space="preserve">Traitement 2021 </t>
  </si>
  <si>
    <t>Francs Djiboutiens</t>
  </si>
  <si>
    <t>milliers de Francs Djiboutiens</t>
  </si>
  <si>
    <t>Taux exécution</t>
  </si>
  <si>
    <t>LFI 2015</t>
  </si>
  <si>
    <t>http://www.ministerebudget.gouv.dj/</t>
  </si>
  <si>
    <t>LFR2018</t>
  </si>
  <si>
    <t>Pas de données à part budget général = non estimé</t>
  </si>
  <si>
    <t>Loi règlement 2018</t>
  </si>
  <si>
    <t>LFR2020 dans doc LFI 2021</t>
  </si>
  <si>
    <t>https://www.presidence.dj/texte.php?ID=62&amp;ID2=2019-11-18&amp;ID3=Loi%20de%20Finances&amp;ID4=22&amp;ID5=2019-11-28&amp;ID6=n</t>
  </si>
  <si>
    <t>Tableau recettes générales page 2</t>
  </si>
  <si>
    <t>dons uniquement</t>
  </si>
  <si>
    <t>Tableau Charges générales page 3</t>
  </si>
  <si>
    <t>Actifs non financiers</t>
  </si>
  <si>
    <t>Intrêts + actifs financiers</t>
  </si>
  <si>
    <t>Rémunération des salariés</t>
  </si>
  <si>
    <t>Prestations sociales</t>
  </si>
  <si>
    <t>Modele de simulation</t>
  </si>
  <si>
    <r>
      <rPr>
        <b/>
        <u/>
        <sz val="9"/>
        <color theme="1"/>
        <rFont val="Calibri"/>
        <family val="2"/>
        <scheme val="minor"/>
      </rPr>
      <t>Source:</t>
    </r>
    <r>
      <rPr>
        <b/>
        <sz val="9"/>
        <color theme="1"/>
        <rFont val="Calibri"/>
        <family val="2"/>
        <scheme val="minor"/>
      </rPr>
      <t xml:space="preserve"> Plan d'action de l'éducation 2014-2016</t>
    </r>
  </si>
  <si>
    <t>Les données de 2017 ne sont pas disponibles</t>
  </si>
  <si>
    <t>Les données tirees du plan d'action de l'Education 2017-2019. Ministere de l'Education nationale et de la formation professionnelle</t>
  </si>
  <si>
    <t>Plan d'action de l'éducation 2017-2020 (version octobre 2018)</t>
  </si>
  <si>
    <t>Education Nationale et Formation Professionnelle</t>
  </si>
  <si>
    <t>Enseignement Prescolaire, Primaire, Secondaire, Technique et Professionnel, Centre de formation des Enseignants de l'enseignement fondamental, Centre de Recherche, d'Information et de Production de l'Education nationale</t>
  </si>
  <si>
    <t>Préscolaire</t>
  </si>
  <si>
    <t>Primaire</t>
  </si>
  <si>
    <t>p78</t>
  </si>
  <si>
    <t>Moyen</t>
  </si>
  <si>
    <t>Secondaire</t>
  </si>
  <si>
    <t>ETFP</t>
  </si>
  <si>
    <t>p79</t>
  </si>
  <si>
    <t>Administration et institutions (CFEEF-CRIPEN)</t>
  </si>
  <si>
    <t>p81</t>
  </si>
  <si>
    <t>p81 mais Budgets CFEEF et CRIPEN corrigés en 2019 avec arrêtés budgétaires spécifiques 2019:
https://www.presidence.dj/texte.php?ID=2019-004&amp;ID2=2019-01-07&amp;ID3=Arr%EAt%E9&amp;ID4=1&amp;ID5=2019-01-15&amp;ID6=n
https://www.presidence.dj/texte.php?ID=2019-019&amp;ID2=2019-01-14&amp;ID3=Arr%EAt%E9&amp;ID4=1&amp;ID5=2019-01-15&amp;ID6=n</t>
  </si>
  <si>
    <t>Ministère de l'Enseignement Supérieur et de la Recherche</t>
  </si>
  <si>
    <t>Dépenses hors établissements sous tutelle non compris</t>
  </si>
  <si>
    <t>Université du Djibouti</t>
  </si>
  <si>
    <t>https://www.presidence.dj/texte.php?ID=2018-192&amp;ID2=2018-12-20&amp;ID3=Arr%EAt%E9&amp;ID4=24&amp;ID5=2018-12-31&amp;ID6=n</t>
  </si>
  <si>
    <t>https://www.presidence.dj/texte.php?ID=2019-210&amp;ID2=2019-12-24&amp;ID3=Arr%EAt%E9&amp;ID4=24&amp;ID5=2019-12-31&amp;ID6=n</t>
  </si>
  <si>
    <t>CERD</t>
  </si>
  <si>
    <t>https://www.presidence.dj/texte.php?ID=2018-194&amp;ID2=2018-12-20&amp;ID3=Arr%EAt%E9&amp;ID4=24&amp;ID5=2018-12-31&amp;ID6=n</t>
  </si>
  <si>
    <t>https://www.presidence.dj/texte.php?ID=2019-209&amp;ID2=2019-12-24&amp;ID3=Arr%EAt%E9&amp;ID4=24&amp;ID5=2019-12-31&amp;ID6=n</t>
  </si>
  <si>
    <t>Instititut Sciences Santé</t>
  </si>
  <si>
    <t>https://www.presidence.dj/texte.php?ID=2019-057&amp;ID2=2019-02-27&amp;ID3=Arr%EAt%E9&amp;ID4=4&amp;ID5=2019-02-28&amp;ID6=n</t>
  </si>
  <si>
    <t>https://www.presidence.dj/texte.php?ID=2019-211&amp;ID2=2019-12-24&amp;ID3=Arr%EAt%E9&amp;ID4=24&amp;ID5=2019-12-31&amp;ID6=n</t>
  </si>
  <si>
    <t>Ministère de la Fonction publique (INAP)</t>
  </si>
  <si>
    <t>https://www.presidence.dj/texte.php?ID=2019-236&amp;ID2=2019-12-31&amp;ID3=Arr%EAt%E9&amp;ID4=24&amp;ID5=2019-12-31&amp;ID6=n</t>
  </si>
  <si>
    <t>https://www.presidence.dj/texte.php?ID=2019-039&amp;ID2=2019-01-29&amp;ID3=Arr%EAt%E9&amp;ID4=2&amp;ID5=2019-01-31&amp;ID6=n</t>
  </si>
  <si>
    <t>\</t>
  </si>
  <si>
    <t>Plan d'action de l'Education 2017-2019. Ministere de l'Education nationale et de la formation professionnelle</t>
  </si>
  <si>
    <t>Plan d'action Education</t>
  </si>
  <si>
    <t>Estimé en appliquant proportion moyenne du reste du MENFOP</t>
  </si>
  <si>
    <t>Dépense d'éducation hors apport des PTF</t>
  </si>
  <si>
    <t>% des ressources intérieures</t>
  </si>
  <si>
    <t>RDC</t>
  </si>
  <si>
    <t>FC</t>
  </si>
  <si>
    <t>millions FC</t>
  </si>
  <si>
    <t>Rapport PIE et loi de finances</t>
  </si>
  <si>
    <t>Rapport de Suivi PEI</t>
  </si>
  <si>
    <t>Loi de Finances 2016 (synthese des recettes de l’avant projet de loi de finances 2016) P36-37</t>
  </si>
  <si>
    <t>Loi de Finances 2016 (synthese des recettes de l’avant projet de loi de finances 2016)  (executions probables fin decembre 2015) P36-37</t>
  </si>
  <si>
    <t>Loi de Finances 2016 (synthese des recettes de l'avant projet de loi de finances 2016) (colonne Avant Projet Commission interministerielle) P36-37</t>
  </si>
  <si>
    <t>Exécution au 31 décembre</t>
  </si>
  <si>
    <t xml:space="preserve">LFR 2016 </t>
  </si>
  <si>
    <t>http://www.budget.gouv.cd/</t>
  </si>
  <si>
    <t xml:space="preserve">Projet de Loi de Finances 2017 </t>
  </si>
  <si>
    <t>Projet de Loi de Finances 2018</t>
  </si>
  <si>
    <t>ESB Global</t>
  </si>
  <si>
    <t>Exécution au 31 décembre 
(ESB global)</t>
  </si>
  <si>
    <t xml:space="preserve">Tableau 2 </t>
  </si>
  <si>
    <t>Tableau 5</t>
  </si>
  <si>
    <t>http://www.budget.gouv.cd/2012/esb2016/esb_decembre2016/global/esb_global_par_nature_synthese.pdf</t>
  </si>
  <si>
    <t>ESB Global par nature - ordonnancements</t>
  </si>
  <si>
    <t>http://www.budget.gouv.cd/execution/exercice-2017/esb-decembre-2017/</t>
  </si>
  <si>
    <t>ESB global par nature sous-nature</t>
  </si>
  <si>
    <t>http://www.droit-afrique.com/uploads/RDC-LF-2018.pdf</t>
  </si>
  <si>
    <t>document_3_rapport_d_execution_de_la_loi_des_finances_a_fin_juin_2018</t>
  </si>
  <si>
    <t>https://budget.gouv.cd/wp-content/uploads/execution/esb2019/decembre/global/esb_global_par_administration_rubrique.pdf</t>
  </si>
  <si>
    <t>http://www.budget.gouv.cd/2019/esb2016/esb_decembre2019/global/esb_global_par_nature_synthese.pdf</t>
  </si>
  <si>
    <t>frais financiers</t>
  </si>
  <si>
    <t>Dette publique en capital</t>
  </si>
  <si>
    <t>Tableau 8</t>
  </si>
  <si>
    <t>Rapport PIE et loi de finances
+ estimation à partir du taux d'exécution du MEPSP</t>
  </si>
  <si>
    <t>dans LFR 2017 Document 5 Analyse explicative des dépenses</t>
  </si>
  <si>
    <t>http://www.budget.gouv.cd/budget-2017/projet-du-budget-2017/</t>
  </si>
  <si>
    <t>LFR 2017 Document 5 Analyse explicative des dépenses</t>
  </si>
  <si>
    <t>ESB global par administration</t>
  </si>
  <si>
    <t>ESB global par administration -chapitre 2018</t>
  </si>
  <si>
    <t>MEPSP fonctionnement</t>
  </si>
  <si>
    <t>MEPSP Investissements</t>
  </si>
  <si>
    <t>ETP fonctionnement</t>
  </si>
  <si>
    <t>ETP investissement</t>
  </si>
  <si>
    <t>Enseignement supérieur Fonctionnement</t>
  </si>
  <si>
    <t>Enseignement supérieur Investissements</t>
  </si>
  <si>
    <t>ETP</t>
  </si>
  <si>
    <t>Enseignement préscolaire</t>
  </si>
  <si>
    <t>Courant + capital sur cette ligne</t>
  </si>
  <si>
    <t>Enseignement primaire</t>
  </si>
  <si>
    <t>2017-18</t>
  </si>
  <si>
    <t>Ethiopian Fiscal year</t>
  </si>
  <si>
    <t>Birr</t>
  </si>
  <si>
    <t>Revised estimates</t>
  </si>
  <si>
    <t>Ethiopia Budget Execution 2015 (Excel file)</t>
  </si>
  <si>
    <t>2011 FY budget</t>
  </si>
  <si>
    <t>http://www.mofed.gov.et/web/guest/budget-directorate</t>
  </si>
  <si>
    <t>2011 FY Budget</t>
  </si>
  <si>
    <t xml:space="preserve">http://www.mofed.gov.et/web/guest/budget-directorate </t>
  </si>
  <si>
    <t>Table 10 page 36 (pdf 40)</t>
  </si>
  <si>
    <t>Table 8 page 24  *12/9</t>
  </si>
  <si>
    <t>የአገር ውስጥ ገቢ</t>
  </si>
  <si>
    <t>ጠቅሊሊ የውጭ ዕርዲታ Grants &amp; Projects</t>
  </si>
  <si>
    <t>Table 9 page 27 (31 Pdf)</t>
  </si>
  <si>
    <t>9 month *12/9</t>
  </si>
  <si>
    <t>Table page 45 (49 Pdf)</t>
  </si>
  <si>
    <t>መዯበኛ ወጪ</t>
  </si>
  <si>
    <t>Support to regions</t>
  </si>
  <si>
    <t>የክሌልች ጠቅሊሊ ዴጋፍ</t>
  </si>
  <si>
    <t>የካፒታሌ ወጪ</t>
  </si>
  <si>
    <t>Financing &amp; debt service</t>
  </si>
  <si>
    <t>not available in the table, with recurrent</t>
  </si>
  <si>
    <t>Education 2012 Budget (Excel file)</t>
  </si>
  <si>
    <t>Million Bir</t>
  </si>
  <si>
    <t>Grant</t>
  </si>
  <si>
    <t>Loan</t>
  </si>
  <si>
    <t>Treasury</t>
  </si>
  <si>
    <t>IGF</t>
  </si>
  <si>
    <t>2010 FY Budget</t>
  </si>
  <si>
    <t>Table page 54 (pdf 59)</t>
  </si>
  <si>
    <t>Table page 55 (pdf 59)</t>
  </si>
  <si>
    <t>Education and Training Federal recurrent Budget</t>
  </si>
  <si>
    <t>Education and Training Regional Recurrent Budgets</t>
  </si>
  <si>
    <t>Education and Training Federal capital Budget</t>
  </si>
  <si>
    <t>Education and Training Regional Capital Budgets</t>
  </si>
  <si>
    <t>Education and Training External</t>
  </si>
  <si>
    <t>Subvented organizations</t>
  </si>
  <si>
    <t>Education, Science &amp; Technology</t>
  </si>
  <si>
    <t>Loans</t>
  </si>
  <si>
    <t xml:space="preserve">Development part 1 </t>
  </si>
  <si>
    <t>External assistance</t>
  </si>
  <si>
    <t>Expenditures without external funding</t>
  </si>
  <si>
    <t>% domestic ressources</t>
  </si>
  <si>
    <t>CHECK LINE 92 (recurrent expenditure)</t>
  </si>
  <si>
    <t>Dalasi GMD</t>
  </si>
  <si>
    <t>millions D</t>
  </si>
  <si>
    <t>G$</t>
  </si>
  <si>
    <t>Approved</t>
  </si>
  <si>
    <t>ACTUAL</t>
  </si>
  <si>
    <t>Citizen budget 2014</t>
  </si>
  <si>
    <t>Excel file monthly revenue &amp; expenditure</t>
  </si>
  <si>
    <t>Budget 2015</t>
  </si>
  <si>
    <r>
      <t xml:space="preserve">ESTIMATES OF EXPENSES AND EXPENDITURES </t>
    </r>
    <r>
      <rPr>
        <b/>
        <sz val="9"/>
        <color theme="1"/>
        <rFont val="Calibri"/>
        <family val="2"/>
        <scheme val="minor"/>
      </rPr>
      <t>2015</t>
    </r>
  </si>
  <si>
    <r>
      <t xml:space="preserve">ESTIMATES OF EXPENSES AND EXPENDITURES </t>
    </r>
    <r>
      <rPr>
        <b/>
        <sz val="9"/>
        <color theme="1"/>
        <rFont val="Calibri"/>
        <family val="2"/>
        <scheme val="minor"/>
      </rPr>
      <t>2016</t>
    </r>
  </si>
  <si>
    <t>SOURCE</t>
  </si>
  <si>
    <r>
      <t xml:space="preserve">ESTIMATES OF EXPENSES AND EXPENDITURES </t>
    </r>
    <r>
      <rPr>
        <b/>
        <sz val="9"/>
        <color theme="1"/>
        <rFont val="Calibri"/>
        <family val="2"/>
        <scheme val="minor"/>
      </rPr>
      <t>2017</t>
    </r>
  </si>
  <si>
    <t>Statement of Revenue and Expenditure Jan-Dec 2017</t>
  </si>
  <si>
    <r>
      <t xml:space="preserve"> EXPENSES AND EXPENDITURES </t>
    </r>
    <r>
      <rPr>
        <b/>
        <sz val="9"/>
        <color theme="1"/>
        <rFont val="Calibri"/>
        <family val="2"/>
        <scheme val="minor"/>
      </rPr>
      <t>2017</t>
    </r>
  </si>
  <si>
    <r>
      <t>mofea.gm/downloads-file/</t>
    </r>
    <r>
      <rPr>
        <b/>
        <sz val="10"/>
        <color rgb="FF006D21"/>
        <rFont val="Arial"/>
        <family val="2"/>
      </rPr>
      <t>january</t>
    </r>
    <r>
      <rPr>
        <sz val="10"/>
        <color rgb="FF006D21"/>
        <rFont val="Arial"/>
        <family val="2"/>
      </rPr>
      <t>-</t>
    </r>
    <r>
      <rPr>
        <b/>
        <sz val="10"/>
        <color rgb="FF006D21"/>
        <rFont val="Arial"/>
        <family val="2"/>
      </rPr>
      <t>december</t>
    </r>
    <r>
      <rPr>
        <sz val="10"/>
        <color rgb="FF006D21"/>
        <rFont val="Arial"/>
        <family val="2"/>
      </rPr>
      <t>-budget-execution-report-</t>
    </r>
    <r>
      <rPr>
        <b/>
        <sz val="10"/>
        <color rgb="FF006D21"/>
        <rFont val="Arial"/>
        <family val="2"/>
      </rPr>
      <t>2018</t>
    </r>
  </si>
  <si>
    <t>Ministry of finance and Economic Affairs (December 2018 Expenditure brief)</t>
  </si>
  <si>
    <t>Revenues : From 2019 Budget overview</t>
  </si>
  <si>
    <t>Expenditures : From January- December 2019 Expenditure brief</t>
  </si>
  <si>
    <r>
      <t>mofea.gm/downloads-file/</t>
    </r>
    <r>
      <rPr>
        <b/>
        <sz val="9"/>
        <color indexed="8"/>
        <rFont val="Calibri"/>
        <family val="2"/>
      </rPr>
      <t>january</t>
    </r>
    <r>
      <rPr>
        <sz val="9"/>
        <color indexed="8"/>
        <rFont val="Calibri"/>
        <family val="2"/>
      </rPr>
      <t>-</t>
    </r>
    <r>
      <rPr>
        <b/>
        <sz val="9"/>
        <color indexed="8"/>
        <rFont val="Calibri"/>
        <family val="2"/>
      </rPr>
      <t>december</t>
    </r>
    <r>
      <rPr>
        <sz val="9"/>
        <color indexed="8"/>
        <rFont val="Calibri"/>
        <family val="2"/>
      </rPr>
      <t>-budget-execution-report-</t>
    </r>
    <r>
      <rPr>
        <b/>
        <sz val="9"/>
        <color indexed="8"/>
        <rFont val="Calibri"/>
        <family val="2"/>
      </rPr>
      <t>2018</t>
    </r>
  </si>
  <si>
    <t>Revenues : From Budget overview</t>
  </si>
  <si>
    <t>http://mofea.gm/downloads/publications</t>
  </si>
  <si>
    <t>January- December 2019 Expenditure brief</t>
  </si>
  <si>
    <t>Revenues : From Approved-Budget-2021</t>
  </si>
  <si>
    <t>overview of revenue, grants and financing</t>
  </si>
  <si>
    <t>P.46 (2018 Budget speech)</t>
  </si>
  <si>
    <t>Page 2- 2021-EXECUTIVE-BUDGET-PROPOSA</t>
  </si>
  <si>
    <t>December 2018 Expenditure brief, Table 2 page 4</t>
  </si>
  <si>
    <t>December 2019 Expenditure brief, Table 2 page 4</t>
  </si>
  <si>
    <t>Expenditure Budget Funding Overview - by item</t>
  </si>
  <si>
    <t>Expenditure Budget Funding Overview</t>
  </si>
  <si>
    <t>Ministry of finance and Economic Affairs (December 2018 Expenditure brief).                         Page 3</t>
  </si>
  <si>
    <t>Ministry of finance and Economic Affairs (December 2018 Expenditure brief).                         Page 4</t>
  </si>
  <si>
    <t>Table 1 -JANUARY-DECEMBER-2020-EXPENDITURE-BRIEF</t>
  </si>
  <si>
    <t>Table 2 -JANUARY-DECEMBER-2020-EXPENDITURE-BRIEF</t>
  </si>
  <si>
    <t>N/A</t>
  </si>
  <si>
    <t>other dept setrvice payments</t>
  </si>
  <si>
    <t>net lending</t>
  </si>
  <si>
    <t>Ministry of finance and Economic Affairs (December 2018 Expenditure brief).                         Page 5</t>
  </si>
  <si>
    <t>Table 3A Pdf Page 5</t>
  </si>
  <si>
    <t>basic wages and salaries</t>
  </si>
  <si>
    <t>includes pension and other social security benefits</t>
  </si>
  <si>
    <t>Line : Social security contribution</t>
  </si>
  <si>
    <t>Annex 1 page 8</t>
  </si>
  <si>
    <t>Annex 1 page 9</t>
  </si>
  <si>
    <t>Annex 1: Budget Absorption by BE for End December 2020</t>
  </si>
  <si>
    <t>% on basic salaries</t>
  </si>
  <si>
    <t>% on Basic salaries</t>
  </si>
  <si>
    <t>Budget 2014</t>
  </si>
  <si>
    <r>
      <t xml:space="preserve">ESTIMATES OF EXPENSES AND EXPENDITURES </t>
    </r>
    <r>
      <rPr>
        <b/>
        <sz val="9"/>
        <rFont val="Calibri"/>
        <family val="2"/>
        <scheme val="minor"/>
      </rPr>
      <t>2015</t>
    </r>
  </si>
  <si>
    <r>
      <t xml:space="preserve">ESTIMATES OF EXPENSES AND EXPENDITURES </t>
    </r>
    <r>
      <rPr>
        <b/>
        <sz val="9"/>
        <rFont val="Calibri"/>
        <family val="2"/>
        <scheme val="minor"/>
      </rPr>
      <t>2016</t>
    </r>
    <r>
      <rPr>
        <sz val="11"/>
        <color theme="1"/>
        <rFont val="Calibri"/>
        <family val="2"/>
        <scheme val="minor"/>
      </rPr>
      <t/>
    </r>
  </si>
  <si>
    <r>
      <t xml:space="preserve">ESTIMATES OF EXPENSES AND EXPENDITURES </t>
    </r>
    <r>
      <rPr>
        <b/>
        <sz val="9"/>
        <rFont val="Calibri"/>
        <family val="2"/>
        <scheme val="minor"/>
      </rPr>
      <t>2016</t>
    </r>
  </si>
  <si>
    <r>
      <t xml:space="preserve">ESTIMATES OF EXPENSES AND EXPENDITURES </t>
    </r>
    <r>
      <rPr>
        <b/>
        <sz val="9"/>
        <rFont val="Calibri"/>
        <family val="2"/>
        <scheme val="minor"/>
      </rPr>
      <t>2017</t>
    </r>
  </si>
  <si>
    <t>Budget appropriation report</t>
  </si>
  <si>
    <t xml:space="preserve">Ministry of finance and Economic Affairs (December 2018 Expenditure brief).  Annex VI.    </t>
  </si>
  <si>
    <t>Page 8</t>
  </si>
  <si>
    <t>December 2018 Expenditure brief</t>
  </si>
  <si>
    <t>http://mofea.gm/downloads/fiscal-reports</t>
  </si>
  <si>
    <t xml:space="preserve">Ministry of finance and Economic Affairs (December 2019 Expenditure brief)    </t>
  </si>
  <si>
    <t>Ministry of Basic and Secondary Education recurrent</t>
  </si>
  <si>
    <t>departmemts Overview - reccurent and development - loan grants and GLF</t>
  </si>
  <si>
    <t>departments Overview - recurrent and development - loan grants and GLF</t>
  </si>
  <si>
    <t>Table1 PDF Page 9</t>
  </si>
  <si>
    <t>Ministry of Basic and Secondary Education Development</t>
  </si>
  <si>
    <t>Ministry of higher Education, Research, Science Recurrent</t>
  </si>
  <si>
    <t>Ministry of higher Education, Research, Science Development</t>
  </si>
  <si>
    <t>17 - ministry of agriculture???</t>
  </si>
  <si>
    <t>21 -Ministry of health and social wealthfare???</t>
  </si>
  <si>
    <t>Estimated</t>
  </si>
  <si>
    <t>January-December 2019 expenditure brief</t>
  </si>
  <si>
    <t>20- Manpower for Ministry of Basic and Secondary Education</t>
  </si>
  <si>
    <t>Manpower chapter</t>
  </si>
  <si>
    <t>Annex 2 page 10</t>
  </si>
  <si>
    <t>Basic Salaries Annex 3 page 11</t>
  </si>
  <si>
    <t>27 - Manpower for Ministry of Higher Education, Research Sceicen and Technology</t>
  </si>
  <si>
    <t>Annex 2 page 11</t>
  </si>
  <si>
    <t>Districts councils</t>
  </si>
  <si>
    <t>Expenditure in education - reccurrent</t>
  </si>
  <si>
    <t>Expenditure in education - capital</t>
  </si>
  <si>
    <t>Ghanian Cedi</t>
  </si>
  <si>
    <t>millions G$</t>
  </si>
  <si>
    <t>Provisional Outturn Jan-Sept 2013 (data multiplied by 12/9 to get full year data)</t>
  </si>
  <si>
    <t>Provisional Outturn Jan-Sep 2015</t>
  </si>
  <si>
    <t>Actual expenditure (Prov. Outturn)</t>
  </si>
  <si>
    <t>Proj Outlook</t>
  </si>
  <si>
    <t>Source: 2014 Budget Appendix Tables 2</t>
  </si>
  <si>
    <t xml:space="preserve">Source: Budget Appendix Tables 2015; 2014 Ghana Performance Budget Report </t>
  </si>
  <si>
    <t xml:space="preserve">Source: 2014 Ghana Budget Performance Report </t>
  </si>
  <si>
    <t>Source: 2016 Budget Appendix</t>
  </si>
  <si>
    <t>END-YEAR REPORT ON THE BUDGET STATEMENT AND ECONOMIC POLICY OF THE REPUBLIC OF GHANA</t>
  </si>
  <si>
    <t xml:space="preserve">http://www.mofep.gov.gh/?q=content/end-year-report-budget-statement-and-economic-policy-republic-ghana-2015-financial-year </t>
  </si>
  <si>
    <t xml:space="preserve">REVIEW OF THE BUDGET AND ECONOMIC POLICY of GOVERNMENT and SUPPLEMENTARY ESTIMATES for the 2016 FINANCIAL YEAR presented to PARLIAMENT on MONDAY, 25TH JULY, 2016 by the HON. MINISTER FOR FINANCE SETH E. TERKPER </t>
  </si>
  <si>
    <t xml:space="preserve">http://www.mofep.gov.gh/?q=content/review-budget-and-economic-policy-government-and-supplementary-estimates-2016-financial-year </t>
  </si>
  <si>
    <t>2017 BUDGET STATEMENT AND ECONOMIC POLICY.pdf</t>
  </si>
  <si>
    <t>http://www.mofep.gov.gh/sites/default/files/budget-statements/2018-Budget-Statement-and-Economic-Policy.pdf</t>
  </si>
  <si>
    <t>2019 BUDGET STATEMENT AND ECONOMIC POLICY.pdf</t>
  </si>
  <si>
    <t>http://www.mofep.gov.gh/sites/default/files/budget-statements/2019-Budget-Statement-and-Economic-Policy.pdf</t>
  </si>
  <si>
    <t>Implentation rate</t>
  </si>
  <si>
    <t>2020 BUDGET STATEMENT AND ECONOMIC POLICY.pdf</t>
  </si>
  <si>
    <t>http://www.mofep.gov.gh/sites/default/files/budget-statements/2020-Budget-Statement-and-Economic-Policy.pdf</t>
  </si>
  <si>
    <t>2020 annual budget statement
Appendix 2A page 210</t>
  </si>
  <si>
    <t>2021 annual budget statement
Appendix 2A page 204</t>
  </si>
  <si>
    <t>Appendix 2A</t>
  </si>
  <si>
    <t>2021 Budget Statement and economic policy</t>
  </si>
  <si>
    <t>p204</t>
  </si>
  <si>
    <t>APPENDIX 2B: ECONOMIC CLASSIFICATION OF CENTRAL GOV’T REVENUE - 2018</t>
  </si>
  <si>
    <t>Exec. Prov</t>
  </si>
  <si>
    <t>p12</t>
  </si>
  <si>
    <t>PDF p70</t>
  </si>
  <si>
    <t>Appendix 2A: Summary of Central Gov Oper - 2017 (2017 Rev Budget)</t>
  </si>
  <si>
    <t>All revenues minus Grants</t>
  </si>
  <si>
    <t>Appendix 2B</t>
  </si>
  <si>
    <t>PDF p202</t>
  </si>
  <si>
    <t>Calculation</t>
  </si>
  <si>
    <t>PDF p183</t>
  </si>
  <si>
    <t>PDF P210</t>
  </si>
  <si>
    <t>All revenues I.</t>
  </si>
  <si>
    <t>Appendix: 2C</t>
  </si>
  <si>
    <t>Appendix 2C</t>
  </si>
  <si>
    <t>PDF p73</t>
  </si>
  <si>
    <t>calculation</t>
  </si>
  <si>
    <t>Domestic Financed</t>
  </si>
  <si>
    <t>PDF p204</t>
  </si>
  <si>
    <t>Capital Domestic financed</t>
  </si>
  <si>
    <t>2021 annual budg stat. P204</t>
  </si>
  <si>
    <t>Foreign Financed</t>
  </si>
  <si>
    <t>Capital Foreign financed</t>
  </si>
  <si>
    <t>Debt interests (form. Financing &amp; debt service)</t>
  </si>
  <si>
    <t>Interest Payments</t>
  </si>
  <si>
    <t>Compensation of employee data from Budget Appendix Tables 2015 Appendix 2c</t>
  </si>
  <si>
    <t>Wages and Salaries</t>
  </si>
  <si>
    <t>"Social contributions"</t>
  </si>
  <si>
    <t>Social contributions</t>
  </si>
  <si>
    <t>2020 annual budget statement
Appendix 2C page 213</t>
  </si>
  <si>
    <t>p207</t>
  </si>
  <si>
    <t>PDF p73 (p11 Annex 1 PDF)</t>
  </si>
  <si>
    <t>District Assembly Common Fund</t>
  </si>
  <si>
    <t>Page 210</t>
  </si>
  <si>
    <t>Page 25 of 2016 Budget Appendix</t>
  </si>
  <si>
    <t>Page 25 2016 Budget Appendix. Used 2015 Jan-December Outturn</t>
  </si>
  <si>
    <t>Outturn projections. Page 25 of 2016 Budget Appendix</t>
  </si>
  <si>
    <t>2016 BUDGET - APPENDIX (2016 Budget Statement and Economic Policy)</t>
  </si>
  <si>
    <t>http://www.mofep.gov.gh/?q=content/2016-budget-statement-and-economic-policy</t>
  </si>
  <si>
    <t xml:space="preserve">2018 BUDGET </t>
  </si>
  <si>
    <t>2018 Consolidated Annual Budget performance report</t>
  </si>
  <si>
    <t>2019 BUDGET - APPENDIX (2016 Budget Statement and Economic Policy)</t>
  </si>
  <si>
    <t>estimated from budget</t>
  </si>
  <si>
    <t>2019 Budget statement - p207…</t>
  </si>
  <si>
    <t>2020 annual budget statement
Appendix 4A page 219</t>
  </si>
  <si>
    <t>2017 Budget Statement and Economic Policy</t>
  </si>
  <si>
    <t xml:space="preserve">in 2018 budget Appendix 4a </t>
  </si>
  <si>
    <t>2018 Annual report Page 293</t>
  </si>
  <si>
    <t>Données absentes en Table7 : estimation base dépenses générales</t>
  </si>
  <si>
    <t>Appendix 4B</t>
  </si>
  <si>
    <r>
      <t xml:space="preserve">Ministry of Education - </t>
    </r>
    <r>
      <rPr>
        <sz val="9"/>
        <color indexed="10"/>
        <rFont val="Calibri"/>
        <family val="2"/>
      </rPr>
      <t>Recurrent</t>
    </r>
  </si>
  <si>
    <t>p248</t>
  </si>
  <si>
    <t>p17, p14, p15</t>
  </si>
  <si>
    <t xml:space="preserve"> Wages+good&amp;services+Retained IGF goods&amp;services+Retained IGF wages+Dev partners goods&amp;services</t>
  </si>
  <si>
    <t>Appendix 4A</t>
  </si>
  <si>
    <t>Wage-salaries + Good&amp;services funded by GoG + retained IGF+Partners</t>
  </si>
  <si>
    <t>p225</t>
  </si>
  <si>
    <r>
      <t xml:space="preserve">Ministry of Education </t>
    </r>
    <r>
      <rPr>
        <sz val="9"/>
        <color indexed="10"/>
        <rFont val="Calibri"/>
        <family val="2"/>
      </rPr>
      <t>- Capital</t>
    </r>
  </si>
  <si>
    <t>p255</t>
  </si>
  <si>
    <t xml:space="preserve">Retained IGF CAPEX + Dev partners CAPEX </t>
  </si>
  <si>
    <t>Capital + Dev Partners</t>
  </si>
  <si>
    <t>GOG CAPEX</t>
  </si>
  <si>
    <t>Capital expenditure (capex) funded by GoG</t>
  </si>
  <si>
    <r>
      <t xml:space="preserve">Ministry of Education </t>
    </r>
    <r>
      <rPr>
        <sz val="9"/>
        <color indexed="10"/>
        <rFont val="Calibri"/>
        <family val="2"/>
      </rPr>
      <t>- IGF</t>
    </r>
  </si>
  <si>
    <t>Only Capital IGF</t>
  </si>
  <si>
    <r>
      <t xml:space="preserve">Ministry of Education </t>
    </r>
    <r>
      <rPr>
        <sz val="9"/>
        <color indexed="10"/>
        <rFont val="Calibri"/>
        <family val="2"/>
      </rPr>
      <t>- DP fund</t>
    </r>
  </si>
  <si>
    <t>Development Partner</t>
  </si>
  <si>
    <t>Ony Capital partners</t>
  </si>
  <si>
    <t>Education Trust Fund</t>
  </si>
  <si>
    <t>p7, 2016 BUDGET - APPENDIX</t>
  </si>
  <si>
    <t>p11</t>
  </si>
  <si>
    <t>page 186</t>
  </si>
  <si>
    <t>Appendix 3C</t>
  </si>
  <si>
    <t>2019 budget Appendix 2C page 204</t>
  </si>
  <si>
    <t>table3</t>
  </si>
  <si>
    <t>Dist. Ass. Common Fund</t>
  </si>
  <si>
    <t>in 2018 Consolidated report</t>
  </si>
  <si>
    <t>School feeding program</t>
  </si>
  <si>
    <t>Estimé base dépenses générales</t>
  </si>
  <si>
    <t>Estimé base 2018</t>
  </si>
  <si>
    <t>p252</t>
  </si>
  <si>
    <t>APPENDIX 4A page 184</t>
  </si>
  <si>
    <t>p219</t>
  </si>
  <si>
    <t xml:space="preserve">Retained IGF wag. &amp; sal. </t>
  </si>
  <si>
    <t>p14</t>
  </si>
  <si>
    <t>Page 187</t>
  </si>
  <si>
    <t>Appendix 4 A</t>
  </si>
  <si>
    <t>p209</t>
  </si>
  <si>
    <t>p223</t>
  </si>
  <si>
    <t xml:space="preserve">Not sure about this number. It is from Appendix 2c of Budget Appendix Table 2015. </t>
  </si>
  <si>
    <t>Expenditure in education - Recurrent</t>
  </si>
  <si>
    <t>Dev't Partner Funds - Goods &amp; Serv.</t>
  </si>
  <si>
    <t>Appendix 4A page 188</t>
  </si>
  <si>
    <t>Missing</t>
  </si>
  <si>
    <t>Dev't Partner Funds - CAPEX</t>
  </si>
  <si>
    <t>2017 Budget by Sub-program 23 Education</t>
  </si>
  <si>
    <t>http://www.mofep.gov.gh/sites/default/files/pbb-estimates/2018/2018-PBB-MOE.pdf</t>
  </si>
  <si>
    <t>Ministry of Education only</t>
  </si>
  <si>
    <t>http://www.mofep.gov.gh/sites/default/files/pbb-estimates/2019/2019-PBB-MOE.pdf</t>
  </si>
  <si>
    <t>Kindergarten recurrent</t>
  </si>
  <si>
    <t>page 2/4</t>
  </si>
  <si>
    <t>page 12</t>
  </si>
  <si>
    <t>Primary Recurrent</t>
  </si>
  <si>
    <t>Page 2/4</t>
  </si>
  <si>
    <t>Pre-tertiary education management</t>
  </si>
  <si>
    <t>Page 1/4</t>
  </si>
  <si>
    <t>Kindergarten Capital</t>
  </si>
  <si>
    <t>Primary Capital</t>
  </si>
  <si>
    <t>Page 11</t>
  </si>
  <si>
    <t>Appendix Budget Tables 2014 -- Figures were only available for Jan-Sep 2013 so numbers were multiplied by 12/9 to get full year estimate</t>
  </si>
  <si>
    <t>Source for Education salary is from 2014 Ghana Budget Performance Report</t>
  </si>
  <si>
    <t>Guinée</t>
  </si>
  <si>
    <t>Les dépenses de l'ANAFIC pour l'Education (investissement) ne sont pas comptabilisables</t>
  </si>
  <si>
    <t>Derniere annee budgetaire achevée</t>
  </si>
  <si>
    <t>Franc Guinéen</t>
  </si>
  <si>
    <t>000 FGn</t>
  </si>
  <si>
    <t>milliards de GNF</t>
  </si>
  <si>
    <t>depenses reelles</t>
  </si>
  <si>
    <t>references de la source</t>
  </si>
  <si>
    <t>selon taux d'exécution</t>
  </si>
  <si>
    <t>Base exécution 9 mois</t>
  </si>
  <si>
    <t>Loi de finances 2011</t>
  </si>
  <si>
    <t>Loi de finances rectificative 2014</t>
  </si>
  <si>
    <t>exécution 2014</t>
  </si>
  <si>
    <t>Loi de finances 2015</t>
  </si>
  <si>
    <t>exécution 2015</t>
  </si>
  <si>
    <t>Estimation</t>
  </si>
  <si>
    <t>CDMT 2018-2020</t>
  </si>
  <si>
    <t>http://mef.gov.gn/wp-content/uploads/2017/02/Budget2017-MEF.pdf</t>
  </si>
  <si>
    <t>Rapport sur l'execution du budget annuel 2017</t>
  </si>
  <si>
    <t>http://www.mbudget.gov.gn/wp-content/uploads/2018/06/RapA2018.pdf</t>
  </si>
  <si>
    <t>Loi de Finances Rectificative 2018 (Sep-2018)</t>
  </si>
  <si>
    <t>http://mbudget.gov.gn//wp-content/uploads/2018/Texte%20de%20loi%20LFR%202018%20promulgu%C3%A9.pdf</t>
  </si>
  <si>
    <t>Rapport sur l'exécution du budget de l'Etat à fin décembre 2018</t>
  </si>
  <si>
    <t>https://mbudget.gov.gn/rapports-sur-lexecution-du-budget-de-letat/</t>
  </si>
  <si>
    <t>Rapport sur l'exécution du budget de l'Etat à fin septembre 2019</t>
  </si>
  <si>
    <t>Rapport annuel exécution 2019 décembre</t>
  </si>
  <si>
    <t>Rapport annuel exécution 2020 septembre</t>
  </si>
  <si>
    <t>Recettes base TOFE 2016</t>
  </si>
  <si>
    <t>Tableau 1 pages 17-18</t>
  </si>
  <si>
    <t>Tableau 3 page 23</t>
  </si>
  <si>
    <t>Recettes base TOFE 2017</t>
  </si>
  <si>
    <t>estimé sur base exécution septembre</t>
  </si>
  <si>
    <t>page 55</t>
  </si>
  <si>
    <t>Table 60 p 47</t>
  </si>
  <si>
    <t>Article 2, p.1-2</t>
  </si>
  <si>
    <t>p14 pdf</t>
  </si>
  <si>
    <t>p58 pdf</t>
  </si>
  <si>
    <t>p66</t>
  </si>
  <si>
    <t xml:space="preserve"> page 27</t>
  </si>
  <si>
    <t>p18 pdf</t>
  </si>
  <si>
    <t>FINEX</t>
  </si>
  <si>
    <t>p31-32 pdf</t>
  </si>
  <si>
    <t>Coopération  UE</t>
  </si>
  <si>
    <t>Budget d'affectation spécial FDL/ANAFIC</t>
  </si>
  <si>
    <t>Hors BAS</t>
  </si>
  <si>
    <t>Situation exécution fin 2016</t>
  </si>
  <si>
    <t>Tableau 2 page 21</t>
  </si>
  <si>
    <t>Tableau 8 pge 28</t>
  </si>
  <si>
    <t>Situation exécution fin 2017</t>
  </si>
  <si>
    <t>crédits actuels</t>
  </si>
  <si>
    <t>paiements</t>
  </si>
  <si>
    <t>Tableau 1, page 9 &amp; Tableau 20</t>
  </si>
  <si>
    <t>p 29 pdf</t>
  </si>
  <si>
    <t>p26 pdf</t>
  </si>
  <si>
    <t>Investissement BND (budget national de développement)</t>
  </si>
  <si>
    <t>Page 29</t>
  </si>
  <si>
    <t>Article 3, p.3-4</t>
  </si>
  <si>
    <t>Investissement Finex (Financement extérieur)</t>
  </si>
  <si>
    <t>Page 30</t>
  </si>
  <si>
    <t>p30 pdf</t>
  </si>
  <si>
    <t>p33</t>
  </si>
  <si>
    <t>Page 27, Titre I</t>
  </si>
  <si>
    <t>Article 3, p.2</t>
  </si>
  <si>
    <t>Coopération UE</t>
  </si>
  <si>
    <t>p35</t>
  </si>
  <si>
    <t>p36</t>
  </si>
  <si>
    <t>Page 35</t>
  </si>
  <si>
    <t>estimation sur base taux exécution 2019</t>
  </si>
  <si>
    <t>Page 27, Titre II</t>
  </si>
  <si>
    <t>p26</t>
  </si>
  <si>
    <t>p27</t>
  </si>
  <si>
    <r>
      <t>Fichier Excel budget secteur éducation pour CDMT</t>
    </r>
    <r>
      <rPr>
        <sz val="9"/>
        <color rgb="FF00B050"/>
        <rFont val="Calibri"/>
        <family val="2"/>
        <scheme val="minor"/>
      </rPr>
      <t>+ LFI pour FINEX</t>
    </r>
  </si>
  <si>
    <t>Fichier Excel budget secteur éducation pour CDMT</t>
  </si>
  <si>
    <r>
      <t xml:space="preserve">Fichier Excel budget secteur éducation pour CDMT + </t>
    </r>
    <r>
      <rPr>
        <sz val="9"/>
        <color rgb="FF00B050"/>
        <rFont val="Calibri"/>
        <family val="2"/>
        <scheme val="minor"/>
      </rPr>
      <t>LFI pour FINEX</t>
    </r>
  </si>
  <si>
    <t>fichier section Education PLF 2016</t>
  </si>
  <si>
    <t>Estimation avec taux d'exécution 2015</t>
  </si>
  <si>
    <t>Rapport d'exécution fin septembre 2017
http://www.mbudget.gov.gn/index.php/rapports-dexecution-budgetaire/</t>
  </si>
  <si>
    <t>https://mbudget.gov.gn/lois-de-finances/</t>
  </si>
  <si>
    <t>Tableau 14 Pages 52-54</t>
  </si>
  <si>
    <t>p50</t>
  </si>
  <si>
    <t>p7 pdf</t>
  </si>
  <si>
    <t>Enseignement pré-universitaire et Alphabétisation</t>
  </si>
  <si>
    <t>Table 17</t>
  </si>
  <si>
    <t>P.7</t>
  </si>
  <si>
    <t>LFR p7</t>
  </si>
  <si>
    <t>p51</t>
  </si>
  <si>
    <t>Investissement BND</t>
  </si>
  <si>
    <t>page 36</t>
  </si>
  <si>
    <t>Projets FINEX</t>
  </si>
  <si>
    <t>Enseinement supérieur</t>
  </si>
  <si>
    <t>Page 39</t>
  </si>
  <si>
    <t>P.9</t>
  </si>
  <si>
    <t>LFR p9</t>
  </si>
  <si>
    <t>Enseignement technique formation professionnelle Travail</t>
  </si>
  <si>
    <t>MASPFE/Division de la petite enfance</t>
  </si>
  <si>
    <t>estimation années antérieures</t>
  </si>
  <si>
    <t>Pas d'infos sur les budgets de l'Agence service civique (formation pro)</t>
  </si>
  <si>
    <t>LFR p7 pdf</t>
  </si>
  <si>
    <t>Rapport 2019 p51 pdf</t>
  </si>
  <si>
    <t>https://www.anafic-gn.org/</t>
  </si>
  <si>
    <t>Pas de données sur  les dépenses décentralisées via l l'ANAFIC</t>
  </si>
  <si>
    <t>LFI 2016</t>
  </si>
  <si>
    <t>Ministères de l'Education hors FINEX</t>
  </si>
  <si>
    <t>Hors ANAFIC</t>
  </si>
  <si>
    <t xml:space="preserve">L'indicateur est calculé sans les dépenses d'investissement sur financements extérieurs
pas de détail permettant de rechercher des dépenses d'éducation dans d'autres ministères
pas clair sur le système de pension
</t>
  </si>
  <si>
    <t>Dollar Guyana</t>
  </si>
  <si>
    <t>Budget 2013 Volume 1</t>
  </si>
  <si>
    <t>Budget 2015 Volume 1</t>
  </si>
  <si>
    <t>Budget 2016 Volume 1</t>
  </si>
  <si>
    <t>Budget 2016 Volume 1, finance.gov.gy/images/uploads/documents/budget_2016_vol_1_website_copy_opt.pdf</t>
  </si>
  <si>
    <t>Current and Capital Revenue and expenditure for the year 2017</t>
  </si>
  <si>
    <t xml:space="preserve">finance.gov.gy/images/uploads/documents/budget_2017_volume_1_compressed.pdf </t>
  </si>
  <si>
    <t>"Revised 2016" column in  2017 budget</t>
  </si>
  <si>
    <t>finance.gov.gy/images/uploads/documents/budget_2017_volume_1_compressed.pdf</t>
  </si>
  <si>
    <t>Budget 2017</t>
  </si>
  <si>
    <t xml:space="preserve">finance.gov.gy/images/uploads/documents/budget_2018_volume_1_compressed.pdf </t>
  </si>
  <si>
    <t>Revised 2017</t>
  </si>
  <si>
    <t>Actual 2017</t>
  </si>
  <si>
    <t>Budget 2018</t>
  </si>
  <si>
    <t>https://finance.gov.gy/wp-content/uploads/Volume_1_2019_resized.pdf</t>
  </si>
  <si>
    <t>Revised 2018</t>
  </si>
  <si>
    <t>https://finance.gov.gy/budget/budget-estimates/</t>
  </si>
  <si>
    <t>Budget 2019</t>
  </si>
  <si>
    <t>Actual 2019
within Budget book 2021</t>
  </si>
  <si>
    <t>Revised 2020</t>
  </si>
  <si>
    <t>2019 budget table 1 page 26</t>
  </si>
  <si>
    <t>within Budget- Estimate -2021</t>
  </si>
  <si>
    <t>Table 5 page 41</t>
  </si>
  <si>
    <t>Current revenue + capital miscellaneous revenue</t>
  </si>
  <si>
    <t>Table 1 Section 1.1</t>
  </si>
  <si>
    <t>Table1 PDF page 26</t>
  </si>
  <si>
    <t>Table 4 page 26</t>
  </si>
  <si>
    <t>Grants</t>
  </si>
  <si>
    <t>Table 5 page 37</t>
  </si>
  <si>
    <t>Table 3 page 6</t>
  </si>
  <si>
    <t>PDF Page 34</t>
  </si>
  <si>
    <t>Table 4 page 30</t>
  </si>
  <si>
    <t>Table 4 page 230</t>
  </si>
  <si>
    <t>not including loans</t>
  </si>
  <si>
    <t>Table 4 page 231</t>
  </si>
  <si>
    <t>Budget 2016, p43 (pdf)</t>
  </si>
  <si>
    <t>Budget 2019, vol 1, table 1 page 26</t>
  </si>
  <si>
    <t>Budget 2017, p38 (pdf)</t>
  </si>
  <si>
    <t>3.1.1 Employment Cost and Other Charges</t>
  </si>
  <si>
    <t>Table 1 PDF page 26</t>
  </si>
  <si>
    <t>Table 1 PDF page 22</t>
  </si>
  <si>
    <t>3.2 Capital Expenditure</t>
  </si>
  <si>
    <t>Table 1 PDF page 23</t>
  </si>
  <si>
    <t>Financing &amp; debt service / Debt interests</t>
  </si>
  <si>
    <t>3.1.2 Public Debt (under current expenditure)</t>
  </si>
  <si>
    <t>Table 1 PDF page 24</t>
  </si>
  <si>
    <t>3 Total Expenditure</t>
  </si>
  <si>
    <t>Budget 2017, p57 (pdf)</t>
  </si>
  <si>
    <t>6011 + 611 wages &amp; salaries</t>
  </si>
  <si>
    <t>Table 9 Section 1.2</t>
  </si>
  <si>
    <t>Table 7- pag 21 (pdf)</t>
  </si>
  <si>
    <t>Table 1 PDF page 43</t>
  </si>
  <si>
    <t>Table 7 PDF page 41</t>
  </si>
  <si>
    <t>Budget 2016, p63 (PDF); Budget 2017, p58 (pdf)</t>
  </si>
  <si>
    <t>Budget 2017, p58 (pdf)</t>
  </si>
  <si>
    <t xml:space="preserve"> 634 Pensions ; not including statutory pensions neither Military</t>
  </si>
  <si>
    <t>Table 1 PDF page 34 Pension contributions</t>
  </si>
  <si>
    <t>Table 4 PDF page 30 receipts pensions contributions</t>
  </si>
  <si>
    <t>PDF page  44</t>
  </si>
  <si>
    <t>Table 7 PDF page 42</t>
  </si>
  <si>
    <t>Ministry of Education (#40 and #41)</t>
  </si>
  <si>
    <t>Budget 2017, p60 (pdf)</t>
  </si>
  <si>
    <t>Ministry of Edu #40 and #41 (Edu ministry #41 seems discontinued in 2016)</t>
  </si>
  <si>
    <t>Table 8 Section 1.2</t>
  </si>
  <si>
    <t>Table 6 page 18 (pdf)</t>
  </si>
  <si>
    <t>PDF page  179</t>
  </si>
  <si>
    <t>PDF page  300</t>
  </si>
  <si>
    <r>
      <t xml:space="preserve">Education sector </t>
    </r>
    <r>
      <rPr>
        <sz val="9"/>
        <color rgb="FFFF0000"/>
        <rFont val="Calibri"/>
        <family val="2"/>
        <scheme val="minor"/>
      </rPr>
      <t>- Development</t>
    </r>
  </si>
  <si>
    <t>Budget 2017, p61, 62 (pdf)</t>
  </si>
  <si>
    <t>Budget 2017, 62 (pdf)</t>
  </si>
  <si>
    <t>Teaching Service Commission</t>
  </si>
  <si>
    <t>PDF page  113</t>
  </si>
  <si>
    <t>PDF page  158</t>
  </si>
  <si>
    <t>Deductions for non education areas</t>
  </si>
  <si>
    <t>p286</t>
  </si>
  <si>
    <t>Ministry of Education (Programme: 407 Conservation) - Operation</t>
  </si>
  <si>
    <t>Budget 2017, p290 (pdf)</t>
  </si>
  <si>
    <t>Culture, sport, youth</t>
  </si>
  <si>
    <t xml:space="preserve"> - Development</t>
  </si>
  <si>
    <t>Ministry of Education (Programme: 408 Youth) - Operation</t>
  </si>
  <si>
    <t>p244</t>
  </si>
  <si>
    <t>p254</t>
  </si>
  <si>
    <t>Ministry of Education (Programme: 409 - Sport) - Operation</t>
  </si>
  <si>
    <t>p245</t>
  </si>
  <si>
    <t>Ministry of Health  (Programme 435) - Operational</t>
  </si>
  <si>
    <t>Budget 2016, p323, 343 (pdf)</t>
  </si>
  <si>
    <t>Budget 2017, p347 (pdf)</t>
  </si>
  <si>
    <t>programme 435 Health Sciencs Education, Seems discontinued programme</t>
  </si>
  <si>
    <t>page 212</t>
  </si>
  <si>
    <t>page 187</t>
  </si>
  <si>
    <t>PDF page  212</t>
  </si>
  <si>
    <t>PDF page  4347</t>
  </si>
  <si>
    <t>Page 347</t>
  </si>
  <si>
    <r>
      <t xml:space="preserve">Ministry of Public Health (Programme 435) - </t>
    </r>
    <r>
      <rPr>
        <sz val="9"/>
        <color rgb="FFFF0000"/>
        <rFont val="Calibri"/>
        <family val="2"/>
        <scheme val="minor"/>
      </rPr>
      <t>Development</t>
    </r>
  </si>
  <si>
    <t>Budget 2017, p327 (pdf)</t>
  </si>
  <si>
    <t>PDF page  213</t>
  </si>
  <si>
    <t>Ministry of Health  (Programme 475) - Operational</t>
  </si>
  <si>
    <t>p291</t>
  </si>
  <si>
    <t>Seems discontinued programme</t>
  </si>
  <si>
    <t>Page 368</t>
  </si>
  <si>
    <r>
      <t xml:space="preserve">Ministry of Health (Programme 475) - </t>
    </r>
    <r>
      <rPr>
        <sz val="9"/>
        <color rgb="FFFF0000"/>
        <rFont val="Calibri"/>
        <family val="2"/>
        <scheme val="minor"/>
      </rPr>
      <t>Development</t>
    </r>
  </si>
  <si>
    <t>Ministry of indegeneous people (School Uniform Assistance Programme )</t>
  </si>
  <si>
    <t>Budget 2016, p163 (pdf)</t>
  </si>
  <si>
    <t>Budget 2017, p161 (pdf)</t>
  </si>
  <si>
    <t>education subvention and grants$ (Does not disaggregate by operational, capital and salaries)</t>
  </si>
  <si>
    <t>page 437</t>
  </si>
  <si>
    <t>page 99 (pdf)</t>
  </si>
  <si>
    <t>PDF page  454</t>
  </si>
  <si>
    <t>Page 468</t>
  </si>
  <si>
    <t>Ministry of Agriculture- Guyana School of Agriculture</t>
  </si>
  <si>
    <t>Budget 2016, p618 (pdf)</t>
  </si>
  <si>
    <t>Budget 2017, p853 (pdf)</t>
  </si>
  <si>
    <t>page 439</t>
  </si>
  <si>
    <t>page 431</t>
  </si>
  <si>
    <t>Ministry of Agriculture- Guyana School of Agriculture  Capital</t>
  </si>
  <si>
    <t>page 470</t>
  </si>
  <si>
    <t>page 463</t>
  </si>
  <si>
    <t>PDF page  654</t>
  </si>
  <si>
    <t>Page 844</t>
  </si>
  <si>
    <t>Ministry of Finance - Public service Management</t>
  </si>
  <si>
    <t>Budget 2016, p647(pdf)</t>
  </si>
  <si>
    <t>Budget 2017, p153 (pdf)</t>
  </si>
  <si>
    <t>6302 Training including scholarships</t>
  </si>
  <si>
    <t>Ministry of the Presidency - Public service Management</t>
  </si>
  <si>
    <t>Budget 2016, p95(pdf)</t>
  </si>
  <si>
    <t>Budget 2017, p89 (pdf)</t>
  </si>
  <si>
    <t>6303 Training including scholarships</t>
  </si>
  <si>
    <t>page 32 section 2</t>
  </si>
  <si>
    <t xml:space="preserve">page 32 </t>
  </si>
  <si>
    <t>Student Loan Fund</t>
  </si>
  <si>
    <t>Budget 2016,  p155(pdf)</t>
  </si>
  <si>
    <t>Basic Needs Trust Fund</t>
  </si>
  <si>
    <t>Budget 2017, p645 (pdf)</t>
  </si>
  <si>
    <t>page 460</t>
  </si>
  <si>
    <t>page 452 (pdf)</t>
  </si>
  <si>
    <t>PDF page 481</t>
  </si>
  <si>
    <t>Page 645</t>
  </si>
  <si>
    <t>p256, p282</t>
  </si>
  <si>
    <t>Budget 2016</t>
  </si>
  <si>
    <t>Ministry of Education #41 - 411 - Main Office</t>
  </si>
  <si>
    <t>p215</t>
  </si>
  <si>
    <t>Ministry of Education #41 - 412 -  National Education Policy</t>
  </si>
  <si>
    <t xml:space="preserve">Ministry of Education #41 - 413 -  Ministry Administration </t>
  </si>
  <si>
    <t>p216</t>
  </si>
  <si>
    <t>p226</t>
  </si>
  <si>
    <t xml:space="preserve">Ministry of Education #41 - 414 -  Training and  Development </t>
  </si>
  <si>
    <t>Ministry of Education #41 - 415 -  Education Delivery</t>
  </si>
  <si>
    <t>p217</t>
  </si>
  <si>
    <t>p227</t>
  </si>
  <si>
    <t xml:space="preserve">Ministry of Education #40 - 401 -  Policy Development and Administration </t>
  </si>
  <si>
    <t>p241</t>
  </si>
  <si>
    <t>p251</t>
  </si>
  <si>
    <t>Budget 2017, p169 (pdf)</t>
  </si>
  <si>
    <t>p160 (pdf)</t>
  </si>
  <si>
    <t>PDF page  180</t>
  </si>
  <si>
    <t>PDF page  301</t>
  </si>
  <si>
    <t xml:space="preserve">Ministry of Education #40 - 402 -  Training and Development </t>
  </si>
  <si>
    <t xml:space="preserve">Ministry of Education #40 - 403 -  Nursery Education </t>
  </si>
  <si>
    <t>p242</t>
  </si>
  <si>
    <t>Budget 2017, p170 (pdf)</t>
  </si>
  <si>
    <t>Budget 2019, p164 (pdf)</t>
  </si>
  <si>
    <t>PDF page  181</t>
  </si>
  <si>
    <t>PDF page  302</t>
  </si>
  <si>
    <t xml:space="preserve">Ministry of Education #40 - 404 -  Primary Education </t>
  </si>
  <si>
    <t>Budget 2017, p166 (pdf)</t>
  </si>
  <si>
    <t xml:space="preserve">Ministry of Education #40 - 405 -  Secondary Education </t>
  </si>
  <si>
    <t>p243</t>
  </si>
  <si>
    <t>p253</t>
  </si>
  <si>
    <t>Budget 2017, p171 (pdf)</t>
  </si>
  <si>
    <t>Budget 2017, p168 (pdf)</t>
  </si>
  <si>
    <t>PDF page  182</t>
  </si>
  <si>
    <t>PDF page  303</t>
  </si>
  <si>
    <t xml:space="preserve">Ministry of Education #40 - 406 -  Post-Secondary/Tertiary Education </t>
  </si>
  <si>
    <t xml:space="preserve">Ministry of Public Health (Programme 435) </t>
  </si>
  <si>
    <t>p301</t>
  </si>
  <si>
    <t>p311</t>
  </si>
  <si>
    <t>table 10 , page 24</t>
  </si>
  <si>
    <t>PDF page  223</t>
  </si>
  <si>
    <t>PDF page  347</t>
  </si>
  <si>
    <t xml:space="preserve">Ministry of Health (Programme 475) </t>
  </si>
  <si>
    <t>p281 (p323 PDF)</t>
  </si>
  <si>
    <t>Seems discontinued</t>
  </si>
  <si>
    <t>PDF page  368</t>
  </si>
  <si>
    <t>Region 1 (#71)</t>
  </si>
  <si>
    <t>p432</t>
  </si>
  <si>
    <t>p442</t>
  </si>
  <si>
    <t>page 296</t>
  </si>
  <si>
    <t>page 282</t>
  </si>
  <si>
    <t>PDF page  307</t>
  </si>
  <si>
    <t>PDF page  468</t>
  </si>
  <si>
    <t>Region 2 (#72)</t>
  </si>
  <si>
    <t>p444</t>
  </si>
  <si>
    <t>p454</t>
  </si>
  <si>
    <t>page 308</t>
  </si>
  <si>
    <t>PDF page  321</t>
  </si>
  <si>
    <t>PDF page  482</t>
  </si>
  <si>
    <t>Region 3 (#73)</t>
  </si>
  <si>
    <t>p458</t>
  </si>
  <si>
    <t>p468</t>
  </si>
  <si>
    <t>page 330</t>
  </si>
  <si>
    <t>page 318</t>
  </si>
  <si>
    <t>PDF page  335</t>
  </si>
  <si>
    <t>PDF page  496</t>
  </si>
  <si>
    <t>Region 4 (#74)</t>
  </si>
  <si>
    <t>p472</t>
  </si>
  <si>
    <t>p482</t>
  </si>
  <si>
    <t>Page 344</t>
  </si>
  <si>
    <t>Page 332</t>
  </si>
  <si>
    <t>PDF page  349</t>
  </si>
  <si>
    <t>PDF page  510</t>
  </si>
  <si>
    <t>Region 5 (#75)</t>
  </si>
  <si>
    <t>p486</t>
  </si>
  <si>
    <t>p496</t>
  </si>
  <si>
    <t>page 350</t>
  </si>
  <si>
    <t>page 346</t>
  </si>
  <si>
    <t>PDF page  363</t>
  </si>
  <si>
    <t>PDF page  524</t>
  </si>
  <si>
    <t>Region 6 (#76)</t>
  </si>
  <si>
    <t>p500</t>
  </si>
  <si>
    <t>p510</t>
  </si>
  <si>
    <t>page 364</t>
  </si>
  <si>
    <t>page 360</t>
  </si>
  <si>
    <t>PDF page  377</t>
  </si>
  <si>
    <t>PDF page  538</t>
  </si>
  <si>
    <t>Region 7 (#77)</t>
  </si>
  <si>
    <t>p514</t>
  </si>
  <si>
    <t>p524</t>
  </si>
  <si>
    <t>Page 378</t>
  </si>
  <si>
    <t>Page 366</t>
  </si>
  <si>
    <t>PDF page  391</t>
  </si>
  <si>
    <t>PDF page  552</t>
  </si>
  <si>
    <t>Region 8 (#78)</t>
  </si>
  <si>
    <t>p526</t>
  </si>
  <si>
    <t>p536</t>
  </si>
  <si>
    <t xml:space="preserve">Page 390 </t>
  </si>
  <si>
    <t xml:space="preserve">Page 380 </t>
  </si>
  <si>
    <t>PDF page  405</t>
  </si>
  <si>
    <t>PDF page  566</t>
  </si>
  <si>
    <t>Region 9 (#79)</t>
  </si>
  <si>
    <t>p540</t>
  </si>
  <si>
    <t>p550</t>
  </si>
  <si>
    <t>Page 412</t>
  </si>
  <si>
    <t>Page 402</t>
  </si>
  <si>
    <t>PDF page  419</t>
  </si>
  <si>
    <t>PDF page  580</t>
  </si>
  <si>
    <t>Region 10 (#80)</t>
  </si>
  <si>
    <t>p554</t>
  </si>
  <si>
    <t>p564</t>
  </si>
  <si>
    <t>Page 418</t>
  </si>
  <si>
    <t>Page 408</t>
  </si>
  <si>
    <t>PDF page  433</t>
  </si>
  <si>
    <t>PDF page  594</t>
  </si>
  <si>
    <t>Teaching commission</t>
  </si>
  <si>
    <t>p91</t>
  </si>
  <si>
    <t>p95</t>
  </si>
  <si>
    <t>School of Agriculture</t>
  </si>
  <si>
    <t>Page 439</t>
  </si>
  <si>
    <t>2016 budget</t>
  </si>
  <si>
    <t>2017 budget</t>
  </si>
  <si>
    <t>2019 budget</t>
  </si>
  <si>
    <t>Education service delivery #71</t>
  </si>
  <si>
    <t>Sum 10 Regions, programme education delivery</t>
  </si>
  <si>
    <t>Page296</t>
  </si>
  <si>
    <t>Page288</t>
  </si>
  <si>
    <r>
      <t xml:space="preserve">Education service delivery - </t>
    </r>
    <r>
      <rPr>
        <sz val="9"/>
        <color rgb="FFFF0000"/>
        <rFont val="Calibri"/>
        <family val="2"/>
        <scheme val="minor"/>
      </rPr>
      <t>Development</t>
    </r>
  </si>
  <si>
    <t>Education service delivery #72</t>
  </si>
  <si>
    <t>Page 308</t>
  </si>
  <si>
    <t>Page 296</t>
  </si>
  <si>
    <t>Education service delivery #73</t>
  </si>
  <si>
    <t>Page 322</t>
  </si>
  <si>
    <t>Page 310</t>
  </si>
  <si>
    <t>Education service delivery #74</t>
  </si>
  <si>
    <t>Page 336</t>
  </si>
  <si>
    <t>Page 324</t>
  </si>
  <si>
    <t>Education service delivery #75</t>
  </si>
  <si>
    <t>Page 350</t>
  </si>
  <si>
    <t>Page 338</t>
  </si>
  <si>
    <t>Education service delivery #76</t>
  </si>
  <si>
    <t xml:space="preserve">Page 364 </t>
  </si>
  <si>
    <t xml:space="preserve">Page 352 </t>
  </si>
  <si>
    <t>Education service delivery #77</t>
  </si>
  <si>
    <t>Education service delivery #78</t>
  </si>
  <si>
    <t>Page 390</t>
  </si>
  <si>
    <t>Page 380</t>
  </si>
  <si>
    <t>Education service delivery #79</t>
  </si>
  <si>
    <t>Page 404</t>
  </si>
  <si>
    <t>Page 394</t>
  </si>
  <si>
    <t>Education service delivery #80</t>
  </si>
  <si>
    <t>Pre-primary - Recurrent</t>
  </si>
  <si>
    <t>Page 170</t>
  </si>
  <si>
    <t>Page 156</t>
  </si>
  <si>
    <t>The number of pages for 2018 Exercise is taken from the printed version, taken from the bottom of each page.</t>
  </si>
  <si>
    <t>Assumption ! Pensions are paid by MOF for all staff, including staff paid by Local Governments. % calculated take into account statutory pensions
Actual rxpenditure for 2014 in budget document for 2016, is equal to revised budget in the 2015 documents. Revised budgets were ignored in this table, budgets refer to initial budgets</t>
  </si>
  <si>
    <t>OK</t>
  </si>
  <si>
    <t>Mise à jour à depenses</t>
  </si>
  <si>
    <t>Année budgétaire achevée</t>
  </si>
  <si>
    <t>2010-2011</t>
  </si>
  <si>
    <t>2013-2014</t>
  </si>
  <si>
    <t>2015 - 2016</t>
  </si>
  <si>
    <t>2016 - 2017</t>
  </si>
  <si>
    <t>2017 - 2018</t>
  </si>
  <si>
    <t>2018 - 2019</t>
  </si>
  <si>
    <t>2019 - 2020</t>
  </si>
  <si>
    <t>Gourde</t>
  </si>
  <si>
    <t>Octobre</t>
  </si>
  <si>
    <t>Depenses reeelles</t>
  </si>
  <si>
    <t>Depenses réelles</t>
  </si>
  <si>
    <t>le Moniteur octobre 2013</t>
  </si>
  <si>
    <t>TOFE 2014-15 septembre 2015</t>
  </si>
  <si>
    <t>le Moniteur  septembre 2014</t>
  </si>
  <si>
    <t>le Moniteur Special N°3 - Octobre 2014 P14</t>
  </si>
  <si>
    <t>référence  voté</t>
  </si>
  <si>
    <t>le Moniteur Special N°4 - Octobre 2015 P14</t>
  </si>
  <si>
    <t>http://www.mef.gouv.ht/upload/doc/Copie%20de%20ETOFE%2015-16%20Septembre%2016.xls</t>
  </si>
  <si>
    <t>TOFE 2015-16 septembre 2016</t>
  </si>
  <si>
    <t>Le Moniteur N° spécial Lundi 3 octobre 2016</t>
  </si>
  <si>
    <t>mef.gouv.ht/upload/doc/Budget-2016-2017.pdf</t>
  </si>
  <si>
    <t>ETOFE 2016-17 Etat juin 2017 (3ème trimestre)</t>
  </si>
  <si>
    <t>LFR 2016-17 le Moniteur Special N°10 - 26 juin 2017 P14</t>
  </si>
  <si>
    <t>http://www.mef.gouv.ht/index.php?page=A%20la%20une...</t>
  </si>
  <si>
    <t>LFI 2017-18 le Moniteur Special N°27 - 19 septembre 2017 P14</t>
  </si>
  <si>
    <t xml:space="preserve">TOFE 2017-18 </t>
  </si>
  <si>
    <t>LF 2017-18 le Moniteur Special N°27 - 19 septembre 2017 P13</t>
  </si>
  <si>
    <t>http://mef.gouv.ht/index.php?page=Derni%C3%A8res%20donn%C3%A9es</t>
  </si>
  <si>
    <t xml:space="preserve">Budget 2017-18 rectifié reconduit pour 18-19 </t>
  </si>
  <si>
    <t>TOFE 2018 -19
sur 11 mois Octobre-août</t>
  </si>
  <si>
    <t>Dans budget 2019-20</t>
  </si>
  <si>
    <t>Budget 2019-2020</t>
  </si>
  <si>
    <t>http://mef.gouv.ht/</t>
  </si>
  <si>
    <t>TOFE 2019-2020</t>
  </si>
  <si>
    <t>http://www.mef.gouv.ht/index.php?page=A%20la%20une…</t>
  </si>
  <si>
    <t>http://www.finances.gouv.ci/images/pdf/loi-ndeg2015-840-du-18-decembre-2015-portant-budget-2016.pdf</t>
  </si>
  <si>
    <t>Tableau d'équilibre pages 13-14</t>
  </si>
  <si>
    <t>Page 16 Tableau d'équilibre</t>
  </si>
  <si>
    <t>Estimation pour l'année</t>
  </si>
  <si>
    <t>http://www.mef.gouv.ht/index.php?page=Budget1617</t>
  </si>
  <si>
    <t>Page 5</t>
  </si>
  <si>
    <t>Page 14 Tableau d'équilibre</t>
  </si>
  <si>
    <t>Tableau des Operations financières 2017-18 (Excel)</t>
  </si>
  <si>
    <t>dans budget 2019-20</t>
  </si>
  <si>
    <t>redressé x 12/11</t>
  </si>
  <si>
    <t>Tableau d'équilibre page 10</t>
  </si>
  <si>
    <t>TOFE</t>
  </si>
  <si>
    <t>PAGE 14</t>
  </si>
  <si>
    <t xml:space="preserve">Recettes domestiques </t>
  </si>
  <si>
    <t xml:space="preserve">Ressourceses domestiques </t>
  </si>
  <si>
    <t>Autres financements internes des projets</t>
  </si>
  <si>
    <t>Appui budgétaire + Aide Projets</t>
  </si>
  <si>
    <t>Dons + tirages sur emprunts projets</t>
  </si>
  <si>
    <t>Appui budgétaire et aide projets</t>
  </si>
  <si>
    <t>Bons du trésor non inclus</t>
  </si>
  <si>
    <t>Page 6 Tableau d'équilibre</t>
  </si>
  <si>
    <t>Exécution budgétaire (Excel)</t>
  </si>
  <si>
    <t>Exel - exécution sur 11 mois x 12/11</t>
  </si>
  <si>
    <t>Page 12-15</t>
  </si>
  <si>
    <t>Exel - exécution Trésor Public  7 mois redressé</t>
  </si>
  <si>
    <t>Dépenses courantes moins intérêts</t>
  </si>
  <si>
    <t>Dépenses courantes (yc immobilisations sur budget de fonctionnement) moins intérêts</t>
  </si>
  <si>
    <t>PAGE 15 Programmes et projets Dons et emprunts</t>
  </si>
  <si>
    <t>Immobilisations + Programmes Trésor Public</t>
  </si>
  <si>
    <t>Immobilisations + Trésor</t>
  </si>
  <si>
    <t>Autres sources internes</t>
  </si>
  <si>
    <t>annulation dette et autres internes</t>
  </si>
  <si>
    <t>Autres Programmes et projets</t>
  </si>
  <si>
    <t>Investissements Dons et emprunts</t>
  </si>
  <si>
    <t>Dons et emprunts</t>
  </si>
  <si>
    <t>Intérêts</t>
  </si>
  <si>
    <t>Dette publique dans fonctionnement</t>
  </si>
  <si>
    <t>Intérêtes dette</t>
  </si>
  <si>
    <t>Ammortissement de la dette</t>
  </si>
  <si>
    <t>Dette publique dans investissements</t>
  </si>
  <si>
    <t>Dette sur dépenses investissement</t>
  </si>
  <si>
    <t>Service dette</t>
  </si>
  <si>
    <t>page 15</t>
  </si>
  <si>
    <t>page 14</t>
  </si>
  <si>
    <t>Annexes page 262</t>
  </si>
  <si>
    <t>page 162</t>
  </si>
  <si>
    <t>Doute</t>
  </si>
  <si>
    <t>Loi de Règlement 2012</t>
  </si>
  <si>
    <t>Etat d'éxécution des dépenses budgétaires (par institutions et par secteurs) à partir du Trésor Public - Oct à Août x 12/11</t>
  </si>
  <si>
    <t>le Moniteur Special N°3 - Octobre 2014 P18</t>
  </si>
  <si>
    <t>http://www.mef.gouv.ht/upload/doc/Budget%20Execution%202015-2016%20Octobre%20-Septembre2016.xls</t>
  </si>
  <si>
    <t>Exécution 2015-2016 fichier excel</t>
  </si>
  <si>
    <t>le Moniteur octobre 2015</t>
  </si>
  <si>
    <t>estimation avec le taux d'exécution</t>
  </si>
  <si>
    <t>Exécution 2016-2017 fichier excel</t>
  </si>
  <si>
    <t>LFR 2017-18 le Moniteur Special N°27 - 19 septembre 2017 P13</t>
  </si>
  <si>
    <t>Exécution 2017-2018 Trésor Public
+ fichier suivi FNE</t>
  </si>
  <si>
    <t xml:space="preserve">Budget 2017-18 reconduit pour 18-19 </t>
  </si>
  <si>
    <t>Exécution 2018-2019 Trésor 11mois 
+ suivi FNE</t>
  </si>
  <si>
    <t>Exécution 2019-20 Trésor + suivi FNE + estimation financements externes</t>
  </si>
  <si>
    <t>y compris extérieur</t>
  </si>
  <si>
    <t>Dépenses du Trésor seulement</t>
  </si>
  <si>
    <t>redressement pour 11 mois</t>
  </si>
  <si>
    <t>pages 13-15</t>
  </si>
  <si>
    <t>Education Nationale fonctionnement</t>
  </si>
  <si>
    <t>PAGE 18</t>
  </si>
  <si>
    <t>page 18</t>
  </si>
  <si>
    <t>Education Nationale Investissements financement interne</t>
  </si>
  <si>
    <t>page 73</t>
  </si>
  <si>
    <t>Fichier annexes page 101</t>
  </si>
  <si>
    <t>Investissement source Trésor</t>
  </si>
  <si>
    <t>Trésor public</t>
  </si>
  <si>
    <t>Autres sources internes FNE</t>
  </si>
  <si>
    <t>FNE</t>
  </si>
  <si>
    <t>Suivi FNE</t>
  </si>
  <si>
    <t>Education Nationale Investissements financement externe</t>
  </si>
  <si>
    <t>Universite Haiti  fonctionnement</t>
  </si>
  <si>
    <t>PAGE 20</t>
  </si>
  <si>
    <t>Universite Haiti  Investissements financement interne</t>
  </si>
  <si>
    <t>Fichier annexes page 117</t>
  </si>
  <si>
    <t>Universite Haiti  Investissements financement externe</t>
  </si>
  <si>
    <t>BOOST fonction enseignement + autres que MEN, Université</t>
  </si>
  <si>
    <t>estimation à partir du taux d'exécution</t>
  </si>
  <si>
    <t xml:space="preserve">Egal au budget </t>
  </si>
  <si>
    <t>LFI 2017-2018</t>
  </si>
  <si>
    <t xml:space="preserve">Pages 19 </t>
  </si>
  <si>
    <t>1111 MINISTERE DE LA PLANIFICATION ET DE LA COOPERATION EXTERNE (MPCE)</t>
  </si>
  <si>
    <t>1111213 CENTRE DE TECHNIQUES DE PLANIFICATION ET D'ECONOMIE APPLIQUEE (CTPEA)</t>
  </si>
  <si>
    <t>Pages 20</t>
  </si>
  <si>
    <t>page 19</t>
  </si>
  <si>
    <t>1111113 CENTRE DE TECHNIQUES DE PLANIFICATION ET D'ECONOMIE APPLIQUEE (CTPEA)</t>
  </si>
  <si>
    <t>1112 MINISTERE DE L'ECONOMIE ET DES FINANCES (MEF)</t>
  </si>
  <si>
    <t>1112222 ECOLE NATIONALE D'ADMINISTRATION FINANCIERE (ENAF)</t>
  </si>
  <si>
    <t>page 71</t>
  </si>
  <si>
    <t>1112122 ECOLE NATIONALE D'ADMINISTRATION FINANCIERE (ENAF)</t>
  </si>
  <si>
    <t>1117 MINISTERE DU TOURISME</t>
  </si>
  <si>
    <t>1117112 DIRECTION GENERALE DES SERVICES INTERNES</t>
  </si>
  <si>
    <t>1117213 ECOLE HOTELIERE</t>
  </si>
  <si>
    <t>page 92</t>
  </si>
  <si>
    <t>1211 MINISTERE DE LA JUSTICE (MJSP)</t>
  </si>
  <si>
    <t>1211221 ECOLE DE LA MAGISTRATURE</t>
  </si>
  <si>
    <t>page 25</t>
  </si>
  <si>
    <t>page 98</t>
  </si>
  <si>
    <t>1215 BUREAU DU PREMIER MINISTRE</t>
  </si>
  <si>
    <t>1215123 APPUI A LA FORMATION</t>
  </si>
  <si>
    <t>page 114</t>
  </si>
  <si>
    <t>1215214 CENTRE DE FORMATION ET DE PERFECTIONNEMENT DES AGENTS DE LA FONCTION PUBLIQUE (CEFOPAFOP)</t>
  </si>
  <si>
    <t>1313 MINISTERE DE LA SANTE PUBLIQUE ET DE LA POPULATION (MSPP)</t>
  </si>
  <si>
    <t>1313112 DIRECTION GENERALE DES SERVICES INTERNES</t>
  </si>
  <si>
    <t>1412 MINISTERE DE LA CULTURE</t>
  </si>
  <si>
    <t>1412213 ECOLE NATIONALE DES ARTS (ENARTS)</t>
  </si>
  <si>
    <t>page 30</t>
  </si>
  <si>
    <t>page 154</t>
  </si>
  <si>
    <t>1412113 ECOLE NATIONALE DES ARTS (ENARTS)</t>
  </si>
  <si>
    <t>1511 INTERVENTIONS PUBLIQUES</t>
  </si>
  <si>
    <t>1511149 AUTRES INTERVENTIONS PUBLIQUES</t>
  </si>
  <si>
    <t>4411 ACADEMIE DU CREOLE HAITIEN</t>
  </si>
  <si>
    <t>4411111 SECRETARIAT DE L'ACADEMIE DU CREOLE HAITIEN</t>
  </si>
  <si>
    <t>1113 MINISTERE DE L'AGRICULTURE, DES RESSOURCES NATURELLES ET DU DEVELOPPEMENT RURAL (MARNDR)</t>
  </si>
  <si>
    <t>1113112 DIRECTION GENERALE DES SERVICES INTERNES</t>
  </si>
  <si>
    <t>1216 MINISTERE DE L'INTERIEUR &amp; DES COLLECTIVITÉS TERRITORIALES (MICT)</t>
  </si>
  <si>
    <t>1216112 DIRECTION GENERALE DES SERVICES INTERNES</t>
  </si>
  <si>
    <t>1217 MINISTERE DE LA DEFENSE NATIONALE (MDN)</t>
  </si>
  <si>
    <t>1217112 DIRECTION GENERALE</t>
  </si>
  <si>
    <t>BOOST  Econ3 Rémunérations principales seules</t>
  </si>
  <si>
    <t>LFR 2017-18</t>
  </si>
  <si>
    <t>Fichier Excel Exécution</t>
  </si>
  <si>
    <t>page 16 LFR</t>
  </si>
  <si>
    <t>Source : MENFP par direction</t>
  </si>
  <si>
    <t>page 13</t>
  </si>
  <si>
    <t>Universite Haiti</t>
  </si>
  <si>
    <t>page 18 LFR</t>
  </si>
  <si>
    <t>Université</t>
  </si>
  <si>
    <t>0910 ENSEIGNEMENT PREELEMENTAIRE</t>
  </si>
  <si>
    <t>0912 ENSEIGNEMENT  PRIMAIRE</t>
  </si>
  <si>
    <t>manque l'exécution budgétaire de 2013-14
Les apports extérieurs semblent inscrits dans les lois de finances, mais ne figurent pas dans l'exécution budgétaire</t>
  </si>
  <si>
    <t>http://www.sefin.gob.hn/wp-content/uploads/Presupuesto/2015/liquidacion/Liquidaci%C3%B3n%202015.pdf</t>
  </si>
  <si>
    <t>Lempira</t>
  </si>
  <si>
    <t>Devengado</t>
  </si>
  <si>
    <t>Vigente</t>
  </si>
  <si>
    <t>Devengado/Recaudado</t>
  </si>
  <si>
    <t>Informe de la LIQUIDACION DEL PRESUPUESTO GENERAL DE INGRESOS Y EGRESOS - ejercicio Fiscal 2011</t>
  </si>
  <si>
    <t>LIQUIDACION DEL PRESUPUESTO GENERAL DE INGRESOS Y EGRESOS - 2014</t>
  </si>
  <si>
    <t>LIQUIDACION DEL PRESUPUESTO GENERAL DE INGRESOS Y EGRESOS - 2015</t>
  </si>
  <si>
    <t>LIQUIDACION DEL PRESUPUESTO GENERAL DE INGRESOS Y EGRESOS - 2016</t>
  </si>
  <si>
    <t>http://www.sefin.gob.hn/wp-content/uploads/Presupuesto/2016/liquidacion/Liquidaci%C3%B3n%202016.pdf</t>
  </si>
  <si>
    <t>Informe Tomo 1 IV trimestre 2017</t>
  </si>
  <si>
    <t>http://www.sefin.gob.hn/wp-content/uploads/2017/presupuesto/04-trim/principal.html</t>
  </si>
  <si>
    <t>Presupuesto General de Ingresos y Egresos de la República y las Normas de Ejecución Presupuestarias 2018</t>
  </si>
  <si>
    <t>http://congresonacional.hn/wp-content/uploads/2017/11/Disposiciones-2018.pdf</t>
  </si>
  <si>
    <t>http://www.sefin.gob.hn/wp-content/uploads/2018/presupuesto/04-trim/Informe%20Tomo%20I%20SP%20-%20IV%20Trimestre%202018.pdf</t>
  </si>
  <si>
    <t>Informe de liquidacion presupuestaria 2018</t>
  </si>
  <si>
    <t>http://www.sefin.gob.hn/download_file.php?download_file=/wp-content/uploads/2019/liquidacion2018/Informe_de_Liquidacion_del_Presupuesto_2018.pdf</t>
  </si>
  <si>
    <t>Informe TOMO 1 sector publico - IV Trimestre</t>
  </si>
  <si>
    <t>http://www.sefin.gob.hn/download_file.php?download_file=/wp-content/uploads/2019/presupuesto/04-trim/InformeTomoISP-IVTrimestre2019.pdf</t>
  </si>
  <si>
    <t>Informe de liquidacion presupuestaria 2019 - Annexo 1</t>
  </si>
  <si>
    <t>https://www.sefin.gob.hn/liquidacion-presupuestaria/</t>
  </si>
  <si>
    <t>Informe de liquidacion presupuestaria 2020 - Annexo 1</t>
  </si>
  <si>
    <t>DE LA REPÚBLICA</t>
  </si>
  <si>
    <t>Recaudado</t>
  </si>
  <si>
    <t>Anexo 1 page 14 Pdf</t>
  </si>
  <si>
    <t>Cuadro 1 page 9 + Annex 04 page 34</t>
  </si>
  <si>
    <t>Ingresos Corrientes</t>
  </si>
  <si>
    <t>page 12 Recaudado</t>
  </si>
  <si>
    <t>Ingresos corrientes</t>
  </si>
  <si>
    <t>Administracion Centralizada y Decentralizada</t>
  </si>
  <si>
    <r>
      <rPr>
        <sz val="11"/>
        <color theme="1"/>
        <rFont val="Calibri"/>
        <family val="2"/>
      </rPr>
      <t xml:space="preserve">←P. 29/31, </t>
    </r>
    <r>
      <rPr>
        <sz val="11"/>
        <color theme="1"/>
        <rFont val="Calibri"/>
        <family val="2"/>
        <scheme val="minor"/>
      </rPr>
      <t xml:space="preserve">source: </t>
    </r>
    <r>
      <rPr>
        <sz val="8"/>
        <color theme="1"/>
        <rFont val="Calibri"/>
        <family val="2"/>
        <scheme val="minor"/>
      </rPr>
      <t>http://www.sefin.gob.hn/wp-content/uploads/2018/presupuesto/04-trim/Informe%20Tomo%20I%20SP%20-%20IV%20Trimestre%202018.pdf</t>
    </r>
    <r>
      <rPr>
        <sz val="11"/>
        <color theme="1"/>
        <rFont val="Calibri"/>
        <family val="2"/>
        <scheme val="minor"/>
      </rPr>
      <t xml:space="preserve"> →</t>
    </r>
  </si>
  <si>
    <t>p3</t>
  </si>
  <si>
    <t>Central + Decentralizada</t>
  </si>
  <si>
    <t>incluido Contributions Social Security</t>
  </si>
  <si>
    <t>incluido contribuciones a la seguridad social</t>
  </si>
  <si>
    <t>page 34 contribuciones Segiridad Social</t>
  </si>
  <si>
    <t>Ingresos de Capial</t>
  </si>
  <si>
    <t>page 13 Recaudado</t>
  </si>
  <si>
    <t>ingresos de capital</t>
  </si>
  <si>
    <t>incluido donaciones del sector externo</t>
  </si>
  <si>
    <t>page 35 Donaciones del sector externo</t>
  </si>
  <si>
    <t>Fuentes de financiamento</t>
  </si>
  <si>
    <t>Fuentes de Financiamiento</t>
  </si>
  <si>
    <t>Ingresos totales</t>
  </si>
  <si>
    <t>Administración Central + Descentralizada</t>
  </si>
  <si>
    <t>Anexo 2 page 16 &amp; 17 Pdf</t>
  </si>
  <si>
    <t>Cuadro 6 page 17</t>
  </si>
  <si>
    <t>Pagado</t>
  </si>
  <si>
    <t>Gasto corriente - sin servicio deuda</t>
  </si>
  <si>
    <t>page 13 vigente/Devengado, menos intereses de deuda</t>
  </si>
  <si>
    <t>page 16 vigente/Devengado, menos intereses de deuda</t>
  </si>
  <si>
    <t xml:space="preserve"> menos intereses de deuda</t>
  </si>
  <si>
    <r>
      <rPr>
        <sz val="11"/>
        <color theme="1"/>
        <rFont val="Calibri"/>
        <family val="2"/>
      </rPr>
      <t xml:space="preserve">←P. 17, </t>
    </r>
    <r>
      <rPr>
        <sz val="11"/>
        <color theme="1"/>
        <rFont val="Calibri"/>
        <family val="2"/>
        <scheme val="minor"/>
      </rPr>
      <t xml:space="preserve">source: </t>
    </r>
    <r>
      <rPr>
        <sz val="8"/>
        <color theme="1"/>
        <rFont val="Calibri"/>
        <family val="2"/>
        <scheme val="minor"/>
      </rPr>
      <t>http://www.sefin.gob.hn/wp-content/uploads/2018/presupuesto/04-trim/Informe%20Tomo%20I%20SP%20-%20IV%20Trimestre%202018.pdf</t>
    </r>
    <r>
      <rPr>
        <sz val="11"/>
        <color theme="1"/>
        <rFont val="Calibri"/>
        <family val="2"/>
        <scheme val="minor"/>
      </rPr>
      <t xml:space="preserve"> →</t>
    </r>
  </si>
  <si>
    <t>p18 (annexo 2)</t>
  </si>
  <si>
    <t>Gasto de capital</t>
  </si>
  <si>
    <t>page 13 vigente/Devengado, gasto de capital</t>
  </si>
  <si>
    <t>page 16 vigente/Devengado, gasto de capital</t>
  </si>
  <si>
    <t>gasto de capital</t>
  </si>
  <si>
    <t>Servicio de la deuda</t>
  </si>
  <si>
    <t>page 13 vigente/Devengadoi ntereses de deuda</t>
  </si>
  <si>
    <t>page 16 vigente/Devengadoi ntereses de deuda</t>
  </si>
  <si>
    <t>Intereses de deuda</t>
  </si>
  <si>
    <t>2130000 - Renta de la propiedad</t>
  </si>
  <si>
    <t>Applicaciones financieras</t>
  </si>
  <si>
    <t>Page 14 Applicaciones Financieras</t>
  </si>
  <si>
    <t>Page 17 Applicaciones Financieras</t>
  </si>
  <si>
    <t>Applicaciones Financieras</t>
  </si>
  <si>
    <t xml:space="preserve">P. 14/303 </t>
  </si>
  <si>
    <t>p19 (annexo 2)</t>
  </si>
  <si>
    <t>2300000 - Aplicaciones Financieras</t>
  </si>
  <si>
    <t>incluido Empresas y Bancos/Seguros publicos + Institucions de seguridad social</t>
  </si>
  <si>
    <t>p120 (ou 141/142)</t>
  </si>
  <si>
    <t>p48 pdf</t>
  </si>
  <si>
    <t>p130 pdf</t>
  </si>
  <si>
    <t>Gestos en "servicio de deuda" del sector decentralizado</t>
  </si>
  <si>
    <t>p136</t>
  </si>
  <si>
    <t>estimation base 2018</t>
  </si>
  <si>
    <t>En 2019, montant estimé sur base proportion 2018</t>
  </si>
  <si>
    <t>p144</t>
  </si>
  <si>
    <t>Gastos en "applicaciones financieras" del sector decentralizado</t>
  </si>
  <si>
    <t>p137</t>
  </si>
  <si>
    <t>p13 pdf</t>
  </si>
  <si>
    <t>p145</t>
  </si>
  <si>
    <t>Remuneraciones</t>
  </si>
  <si>
    <t>page 13 vigente/Devengado, sueldos y salarios</t>
  </si>
  <si>
    <t>page 16 vigente/Devengado, sueldos y salarios</t>
  </si>
  <si>
    <t>Cuadro 7 page 18</t>
  </si>
  <si>
    <t>p34 (annexe 4)</t>
  </si>
  <si>
    <t>incluso</t>
  </si>
  <si>
    <t>Sueldos y salarios</t>
  </si>
  <si>
    <t>Beneficios y Compensaciones</t>
  </si>
  <si>
    <t>2121400 - Beneficios y Compensaciones</t>
  </si>
  <si>
    <t>Ejecutado</t>
  </si>
  <si>
    <t>Annexo 3 page 18-20 Pdf</t>
  </si>
  <si>
    <t>Fuente nacional + Externo</t>
  </si>
  <si>
    <t>Annexo 3</t>
  </si>
  <si>
    <t>Secretaria de Educacion</t>
  </si>
  <si>
    <t>page 16 includes capital</t>
  </si>
  <si>
    <t>page 19 includes capital</t>
  </si>
  <si>
    <t>Secretaria Educacion page 37</t>
  </si>
  <si>
    <r>
      <rPr>
        <sz val="11"/>
        <color theme="1"/>
        <rFont val="Calibri"/>
        <family val="2"/>
      </rPr>
      <t xml:space="preserve">←P.35: </t>
    </r>
    <r>
      <rPr>
        <sz val="11"/>
        <color theme="1"/>
        <rFont val="Calibri"/>
        <family val="2"/>
        <scheme val="minor"/>
      </rPr>
      <t xml:space="preserve">source: </t>
    </r>
    <r>
      <rPr>
        <sz val="8"/>
        <color theme="1"/>
        <rFont val="Calibri"/>
        <family val="2"/>
        <scheme val="minor"/>
      </rPr>
      <t>http://www.sefin.gob.hn/wp-content/uploads/2018/presupuesto/04-trim/Informe%20Tomo%20I%20SP%20-%20IV%20Trimestre%202018.pdf</t>
    </r>
    <r>
      <rPr>
        <sz val="11"/>
        <color theme="1"/>
        <rFont val="Calibri"/>
        <family val="2"/>
        <scheme val="minor"/>
      </rPr>
      <t xml:space="preserve"> →</t>
    </r>
  </si>
  <si>
    <t>p21 (annexo 3)</t>
  </si>
  <si>
    <t>p37</t>
  </si>
  <si>
    <t>Instituto de Crédito Educativo</t>
  </si>
  <si>
    <t>Decentralizado</t>
  </si>
  <si>
    <t>includes capital</t>
  </si>
  <si>
    <t>Fuente nacional + Externa</t>
  </si>
  <si>
    <t>Universidades Nacionales</t>
  </si>
  <si>
    <t>Page 18, Universidad Nacional Autónoma de Honduras, Universidad Pedagógica Nacional Francisco Morazán, Universidad Nacional de Agricultura</t>
  </si>
  <si>
    <t>Page 36, Universidad Nacional Autónoma de Honduras, Universidad Pedagógica Nacional Francisco Morazán, Universidad Nacional de Agricultura</t>
  </si>
  <si>
    <r>
      <rPr>
        <sz val="11"/>
        <color theme="1"/>
        <rFont val="Calibri"/>
        <family val="2"/>
      </rPr>
      <t xml:space="preserve">←P.34: </t>
    </r>
    <r>
      <rPr>
        <sz val="11"/>
        <color theme="1"/>
        <rFont val="Calibri"/>
        <family val="2"/>
        <scheme val="minor"/>
      </rPr>
      <t xml:space="preserve">source: </t>
    </r>
    <r>
      <rPr>
        <sz val="8"/>
        <color theme="1"/>
        <rFont val="Calibri"/>
        <family val="2"/>
        <scheme val="minor"/>
      </rPr>
      <t>http://www.sefin.gob.hn/wp-content/uploads/2018/presupuesto/04-trim/Informe%20Tomo%20I%20SP%20-%20IV%20Trimestre%202018.pdf</t>
    </r>
    <r>
      <rPr>
        <sz val="11"/>
        <color theme="1"/>
        <rFont val="Calibri"/>
        <family val="2"/>
        <scheme val="minor"/>
      </rPr>
      <t xml:space="preserve"> →</t>
    </r>
  </si>
  <si>
    <t>Instituto Nacional de Formación Profesional</t>
  </si>
  <si>
    <t>Page 19</t>
  </si>
  <si>
    <t>page 36 Instituto Nacional de Formación Profesional</t>
  </si>
  <si>
    <t>p22</t>
  </si>
  <si>
    <t>Universidad/ Escuela de Ciencias Forestales</t>
  </si>
  <si>
    <t xml:space="preserve">page 18, </t>
  </si>
  <si>
    <t>Page 37 Universidad/ Escuela de Ciencias Forestales</t>
  </si>
  <si>
    <t>Instituto de credito educativo</t>
  </si>
  <si>
    <t>Page 36 Instituto de credito educativo</t>
  </si>
  <si>
    <t xml:space="preserve">Secretaria de Educacion </t>
  </si>
  <si>
    <t>Fuente Externa</t>
  </si>
  <si>
    <t>Uniquement investissement</t>
  </si>
  <si>
    <t>Universidades</t>
  </si>
  <si>
    <t>Page 73 Annexo 5</t>
  </si>
  <si>
    <t>page 42 Universidades</t>
  </si>
  <si>
    <t>p119</t>
  </si>
  <si>
    <t>p43</t>
  </si>
  <si>
    <t>p155</t>
  </si>
  <si>
    <t>p170</t>
  </si>
  <si>
    <t>Page 42 Secretaria de Educacion</t>
  </si>
  <si>
    <t>p101</t>
  </si>
  <si>
    <t>2,075,306,100</t>
  </si>
  <si>
    <t>Page 83 Annexo n°6</t>
  </si>
  <si>
    <t>Page 49 Ensenanza Preescolar y Primaria</t>
  </si>
  <si>
    <t>"Empresas y Bancos/seguros publicos, Insituciones de Seguro social" exclues des dépenses générales, sauf les dépenses relatives à "Applicaciones financieras" et "Servicio deuda" du secteur décentralisé dans son ensemble (montant par groupe d'institution non disponible) car déjà soustraites des dépenses générales.</t>
  </si>
  <si>
    <t>Informe de liquidacion for 2011 doe not include decentralized structures</t>
  </si>
  <si>
    <t>2019-20</t>
  </si>
  <si>
    <t>Kenya Shilling</t>
  </si>
  <si>
    <t>KSh</t>
  </si>
  <si>
    <t>billion KSh</t>
  </si>
  <si>
    <t>Billion Shillings</t>
  </si>
  <si>
    <t>Actual expenditure (Preliminary)</t>
  </si>
  <si>
    <t>Budget Policy Statement, February 2016, Annex 2, Actual</t>
  </si>
  <si>
    <t>Budget Policy Statement, February 2016, Annex 2, revised budget</t>
  </si>
  <si>
    <t xml:space="preserve">Budget Policy Statement, February 2016, Annex 2, preliminary </t>
  </si>
  <si>
    <t>Statistical Annex to 2017-2018 budget speech</t>
  </si>
  <si>
    <t>http://www.treasury.go.ke/component/jdownloads/send/178-statistical-annex/517-statistical-annex-2017-budget.html</t>
  </si>
  <si>
    <t>2016 Budget Review and outlook paper, September 2016</t>
  </si>
  <si>
    <t>http://www.treasury.go.ke/component/jdownloads/send/23-budget-review-outlook-paper/389-2016-budget-review-and-outlook-paper.html</t>
  </si>
  <si>
    <t>2017 BUDGET REVIEW
AND OUTLOOK PAPER, September 2017</t>
  </si>
  <si>
    <t>2017 Budget Review and outlook paper, September 2017</t>
  </si>
  <si>
    <t>http://www.treasury.go.ke/2017-budget-review-and-outlook-paper/send/180-budget-review-outlook-paper/693-2017-budget-review-and-outlook-paper.html</t>
  </si>
  <si>
    <t>http://www.treasury.go.ke/budget.html</t>
  </si>
  <si>
    <t>Quaterly economic and budgetary review 2017/18 for period ending 30 June 2018; Programme based budget 2017/18</t>
  </si>
  <si>
    <t>Provisional estimate</t>
  </si>
  <si>
    <t>Quaterly economic and budgetary review 2017/18 for period ending 30 June 2018; Programme based budget 2017/19</t>
  </si>
  <si>
    <t>annual estimates based on Q3 trimester report</t>
  </si>
  <si>
    <t>Table 1: Government Revenue and External Grants, 2015/16</t>
  </si>
  <si>
    <t>QER-3rd quarter 2019-2020Table 8-PDF page 28</t>
  </si>
  <si>
    <t xml:space="preserve">Page 12, Ordinary revenue </t>
  </si>
  <si>
    <t>Quaterly economic and budgetary review. Table 3-page 16</t>
  </si>
  <si>
    <t>including AIA Table 8-PDF page 31</t>
  </si>
  <si>
    <t>Table 8-PDF page 31</t>
  </si>
  <si>
    <t>Table 4- QEBR-4th-quarter-2019-2020-ending-31st-June-2020</t>
  </si>
  <si>
    <t>Appropriation in aid (cost recovery)</t>
  </si>
  <si>
    <t>Page 12, A in A</t>
  </si>
  <si>
    <t>Page 12 External grants</t>
  </si>
  <si>
    <t>Foreign funding of development budget</t>
  </si>
  <si>
    <t>Quaterly economic and budgetary review. Table 8-page 23</t>
  </si>
  <si>
    <t>Includes appropriation in aid</t>
  </si>
  <si>
    <t>Page 12, Total Revenues and External Grants</t>
  </si>
  <si>
    <t>Hors prêts projets</t>
  </si>
  <si>
    <t>Table 2: Expenditure and Net Lending,</t>
  </si>
  <si>
    <t>Total minus others</t>
  </si>
  <si>
    <t>Quaterly economic and budgetary review. Table 4-page 18</t>
  </si>
  <si>
    <t>Table 5- QEBR-4th-quarter-2019-2020-ending-31st-June-2020</t>
  </si>
  <si>
    <t>Recurrent minus interest</t>
  </si>
  <si>
    <t>Page 13, Total development minus Foreign Financed</t>
  </si>
  <si>
    <t>Table 5- QEBR-4th-quarter-2019-2020-ending-31st-June-2021</t>
  </si>
  <si>
    <t>Page 13, Development, Foreign Financed</t>
  </si>
  <si>
    <t>Page 13, Domestic interest + Foreign interest</t>
  </si>
  <si>
    <t>external repayments</t>
  </si>
  <si>
    <t>Table 5- QEBR-4th-quarter-2019-2020-ending-31st-June-2023</t>
  </si>
  <si>
    <t>Page 13 Total Revenue + Development expenditure</t>
  </si>
  <si>
    <t>Annex Table 2: Government Operations</t>
  </si>
  <si>
    <t>Page 40, Wages and Salaries</t>
  </si>
  <si>
    <t>Page 40, Pensions etc</t>
  </si>
  <si>
    <t>Page 13 County allocation</t>
  </si>
  <si>
    <t>Statement of actual revenue &amp; net exchequer issued as at 30 June 2014</t>
  </si>
  <si>
    <t>Recurrent budget 2014-15 &amp; development budget 2014-15</t>
  </si>
  <si>
    <t>Statement of consolidated fund account for the year ended 30 June 2015, unaudited version August 2016</t>
  </si>
  <si>
    <t>http://www.treasury.go.ke/financial-reporting-templates/consolidated-financial-statements/send/121-consolidated-financial-statements/301-statement-of-consolidated-funds-fy-2014-2015-unaudited-version-aug-2016.html</t>
  </si>
  <si>
    <t>Billion shillings</t>
  </si>
  <si>
    <t>Table 3 Ministerial expenditures</t>
  </si>
  <si>
    <r>
      <t xml:space="preserve">Teachers Service Cmmission </t>
    </r>
    <r>
      <rPr>
        <sz val="11"/>
        <color indexed="10"/>
        <rFont val="Calibri"/>
        <family val="2"/>
      </rPr>
      <t>-Net Recurrent</t>
    </r>
  </si>
  <si>
    <t>Quaterly economic and budgetary review. Table 6 page 28</t>
  </si>
  <si>
    <t>Table 6- QEBR-4th-quarter-2019-2020-ending-31st-June-2023</t>
  </si>
  <si>
    <t>QER-3rd quarter 2019-2020Table 6-PDF page 25</t>
  </si>
  <si>
    <t>Net Capital</t>
  </si>
  <si>
    <t>Table 6- QEBR-4th-quarter-2019-2020-ending-31st-June-2024</t>
  </si>
  <si>
    <r>
      <t xml:space="preserve">Stae Departement for basic education </t>
    </r>
    <r>
      <rPr>
        <sz val="11"/>
        <color indexed="10"/>
        <rFont val="Calibri"/>
        <family val="2"/>
      </rPr>
      <t>-Net Recurrent</t>
    </r>
  </si>
  <si>
    <t>Page 21 Appendix 1.1 National Government Recurrent Budget</t>
  </si>
  <si>
    <t>Page 15</t>
  </si>
  <si>
    <t>Quaterly economic and budgetary review. Table 5-page 20</t>
  </si>
  <si>
    <t>Table 6- QEBR-4th-quarter-2019-2020-ending-31st-June-2025</t>
  </si>
  <si>
    <t>Page 22 Appendix 1.2 National Government Development Budget</t>
  </si>
  <si>
    <t>Table 6- QEBR-4th-quarter-2019-2020-ending-31st-June-2026</t>
  </si>
  <si>
    <t>Appropriation in aid</t>
  </si>
  <si>
    <r>
      <t xml:space="preserve">State Department for Vocational And Technical Training </t>
    </r>
    <r>
      <rPr>
        <sz val="11"/>
        <color indexed="10"/>
        <rFont val="Calibri"/>
        <family val="2"/>
      </rPr>
      <t>-Net Recurrent</t>
    </r>
  </si>
  <si>
    <t>Page 20 Appendix 1.1 National Government Recurrent Budget</t>
  </si>
  <si>
    <t>Includes 3 departments: Basic education, vocational and technical training, and university education</t>
  </si>
  <si>
    <r>
      <t xml:space="preserve">State Department for University Education </t>
    </r>
    <r>
      <rPr>
        <sz val="11"/>
        <color indexed="10"/>
        <rFont val="Calibri"/>
        <family val="2"/>
      </rPr>
      <t>-Net Recurrent</t>
    </r>
  </si>
  <si>
    <t>State Department for Science &amp; Technology</t>
  </si>
  <si>
    <t>http://www.treasury.go.ke/component/jdownloads/send/20-budget/221-recurrent-budget-2015-2016.html</t>
  </si>
  <si>
    <t>http://www.treasury.go.ke/component/jdownloads/send/20-budget/217-development-budget-2015-2016.html</t>
  </si>
  <si>
    <t>http://www.treasury.go.ke/component/jdownloads/send/6-budget/226-recurrent-budget-2016-17-book-volume-i.html</t>
  </si>
  <si>
    <t>Budget volume 1</t>
  </si>
  <si>
    <t>Not completed for 2013-14</t>
  </si>
  <si>
    <r>
      <t xml:space="preserve">Agriculture </t>
    </r>
    <r>
      <rPr>
        <sz val="11"/>
        <color rgb="FFFF0000"/>
        <rFont val="Calibri"/>
        <family val="2"/>
        <scheme val="minor"/>
      </rPr>
      <t>recurrent</t>
    </r>
  </si>
  <si>
    <t>Recurrent page 535</t>
  </si>
  <si>
    <t>equal to previous</t>
  </si>
  <si>
    <t>Agricultural college</t>
  </si>
  <si>
    <t>Development page 829-832</t>
  </si>
  <si>
    <r>
      <t>Commerce &amp; Tourism</t>
    </r>
    <r>
      <rPr>
        <sz val="11"/>
        <color rgb="FFFF0000"/>
        <rFont val="Calibri"/>
        <family val="2"/>
        <scheme val="minor"/>
      </rPr>
      <t xml:space="preserve"> recurrent</t>
    </r>
  </si>
  <si>
    <t>Recurrent page 641</t>
  </si>
  <si>
    <t>Sub-proramme 0306040 Tourism Training&amp; Capacity Building page 671</t>
  </si>
  <si>
    <t>Kenya Utalii College</t>
  </si>
  <si>
    <t>Development page 968</t>
  </si>
  <si>
    <r>
      <t xml:space="preserve">Interior </t>
    </r>
    <r>
      <rPr>
        <sz val="11"/>
        <color rgb="FFFF0000"/>
        <rFont val="Calibri"/>
        <family val="2"/>
        <scheme val="minor"/>
      </rPr>
      <t>recurrent</t>
    </r>
  </si>
  <si>
    <t>Recurrent page 104</t>
  </si>
  <si>
    <t>Police college, Emali College, Embakasi, page 49 et suivantes</t>
  </si>
  <si>
    <t>Police college, Emali College, Embakasi,</t>
  </si>
  <si>
    <t>Development page 36-39</t>
  </si>
  <si>
    <r>
      <t>Coordination Nl Government</t>
    </r>
    <r>
      <rPr>
        <sz val="11"/>
        <color rgb="FFFF0000"/>
        <rFont val="Calibri"/>
        <family val="2"/>
        <scheme val="minor"/>
      </rPr>
      <t xml:space="preserve"> recurrent</t>
    </r>
  </si>
  <si>
    <t>Prisons Staff Training College</t>
  </si>
  <si>
    <t>Development page 56</t>
  </si>
  <si>
    <r>
      <t xml:space="preserve">Environment &amp; natural resources </t>
    </r>
    <r>
      <rPr>
        <sz val="11"/>
        <color rgb="FFFF0000"/>
        <rFont val="Calibri"/>
        <family val="2"/>
        <scheme val="minor"/>
      </rPr>
      <t>recurrent</t>
    </r>
  </si>
  <si>
    <t>Forestry college</t>
  </si>
  <si>
    <t>Development page 488</t>
  </si>
  <si>
    <r>
      <t xml:space="preserve"> State Department of Planning-</t>
    </r>
    <r>
      <rPr>
        <sz val="11"/>
        <color rgb="FFFF0000"/>
        <rFont val="Calibri"/>
        <family val="2"/>
        <scheme val="minor"/>
      </rPr>
      <t>recurrent</t>
    </r>
  </si>
  <si>
    <t>Teachers Service Commission</t>
  </si>
  <si>
    <t>Teacher Service Commission</t>
  </si>
  <si>
    <t>Recurrent page 768 &amp; 769</t>
  </si>
  <si>
    <t>Programme based budget 2017/18</t>
  </si>
  <si>
    <t>Includes compensation for employees of State department of basic education, State dpt for  TVET and Teachers service commission</t>
  </si>
  <si>
    <t>PBB-Supplementary-2019/2020</t>
  </si>
  <si>
    <t>State department of education</t>
  </si>
  <si>
    <t>State department for Science and Technology</t>
  </si>
  <si>
    <t>no expenditure for education from Gvt transfers</t>
  </si>
  <si>
    <t xml:space="preserve">State Department of Education </t>
  </si>
  <si>
    <t>recurrent</t>
  </si>
  <si>
    <t>2017 Budget Policy statement-Annex Table 4. page 93</t>
  </si>
  <si>
    <t>Initial figure includes budget for basic education that covers primary and secondary general education. Expenditures for Pre-primary are under county governments. Estimate is based on prorata of enrollments in primary and secondary education (EMIS 2015). Multiplier of 0.7977 was applied to expenditures under Department of basic education and Teacher service commission (TSC)</t>
  </si>
  <si>
    <t>Same as last year</t>
  </si>
  <si>
    <t>Salaries Teaching service commission include secondary</t>
  </si>
  <si>
    <t>Includes budget for basic education that covers primary and secondary general education. Expenditures for Pre-primary are under county governments</t>
  </si>
  <si>
    <t>Global figures of Government revenue and expenditures are extracted from the Budget Policy Statement of February 2016
Recurrent &amp; Development budgets for 2013-14 are not available on the Nl Treasury website. Data for 2013-14 are coming from Exchequers reports andit was not possible to get all detailed information</t>
  </si>
  <si>
    <t>Fiscal Year</t>
  </si>
  <si>
    <t>Comments</t>
  </si>
  <si>
    <t>LAK</t>
  </si>
  <si>
    <t>Billion Lak</t>
  </si>
  <si>
    <t>(Billion Lak)</t>
  </si>
  <si>
    <t xml:space="preserve"> Budget</t>
  </si>
  <si>
    <t>source Reference</t>
  </si>
  <si>
    <t>Expenditure Plan</t>
  </si>
  <si>
    <t>Annual Economic Report (https://www.bol.gov.la/together_use/Annual%20Report%202016_Eng.pdf)</t>
  </si>
  <si>
    <t>http://www.mof.gov.la//sites/default/files/docs/kom_ngop_pa_man/planngop2017/State%20Bedget%20Plan%20FY%202017.pdf</t>
  </si>
  <si>
    <t>https://www.mof.gov.la/wp-content/uploads/2018/11/5.2-%E0%BA%9B%E0%BA%B7%E0%BB%89%E0%BA%A1-2018-%E0%BA%AA%E0%BA%B1%E0%BA%87%E0%BA%A5%E0%BA%A7%E0%BA%A1%E0%BA%97%E0%BB%89%E0%BA%AD%E0%BA%87%E0%BA%96%E0%BA%B4%E0%BB%88%E0%BA%99%E0%BB%81%E0%BA%A5%E0%BA%B0%E0%BA%AA%E0%BA%B9%E0%BA%99%E0%BA%81%E0%BA%B2%E0%BA%87.pdf</t>
  </si>
  <si>
    <t>State budget Plan for 2018</t>
  </si>
  <si>
    <t>https://www.mof.gov.la/index.php/en/publications-and-statistics/</t>
  </si>
  <si>
    <t>Excel file CGO updated october 2019 (implementation)
ຂໍ້ມູນການຈັດຕັ້ງປະຕິບັດງົບປະມານ ສົກປີ 2010-2018</t>
  </si>
  <si>
    <t>State budget Plan for 2019</t>
  </si>
  <si>
    <t>https://www.mof.gov.la/</t>
  </si>
  <si>
    <t>Gvt finance statistics annual report 2019</t>
  </si>
  <si>
    <t>Taux exec.</t>
  </si>
  <si>
    <t>State budget Plan for 2020</t>
  </si>
  <si>
    <t>Government Finance Statistics semi annual report 2020</t>
  </si>
  <si>
    <t>name on the website : ຂໍ້ມູນການຈັດຕັ້ງປະຕິບັດງົບປະມານ ສົກປີ 2010-2018</t>
  </si>
  <si>
    <t>Estimation sur base exécution 6 mois</t>
  </si>
  <si>
    <t>Budget 2017-2020</t>
  </si>
  <si>
    <t>Expenditure plan  2018</t>
  </si>
  <si>
    <t>Domestic ressources</t>
  </si>
  <si>
    <t>Foreign sources</t>
  </si>
  <si>
    <t>Financial charges</t>
  </si>
  <si>
    <t>estimate as 2019</t>
  </si>
  <si>
    <t>Debt payment</t>
  </si>
  <si>
    <t>not included in total</t>
  </si>
  <si>
    <t xml:space="preserve">  Salaries and pensions</t>
  </si>
  <si>
    <t>Grants to Regional Governments</t>
  </si>
  <si>
    <t>Central Gvt + Provinces</t>
  </si>
  <si>
    <t xml:space="preserve">Tableau page 5 </t>
  </si>
  <si>
    <t>Ministry of education and Sports</t>
  </si>
  <si>
    <t>Social Sector - Education &amp; Sports</t>
  </si>
  <si>
    <t>The spending also incldue the amount for sports. Pag 4</t>
  </si>
  <si>
    <t>Regional Governments</t>
  </si>
  <si>
    <t>Expenditure in education - recurrent</t>
  </si>
  <si>
    <t xml:space="preserve">Inlcude budget for sports as well </t>
  </si>
  <si>
    <t>Exp. Education as % Domestic resources</t>
  </si>
  <si>
    <t>Education excluding external as % domestic resources</t>
  </si>
  <si>
    <t>Difficulties encountered or estimates made</t>
  </si>
  <si>
    <t>2015-16</t>
  </si>
  <si>
    <t>2016-17</t>
  </si>
  <si>
    <t>Maloti</t>
  </si>
  <si>
    <t>million Maloti</t>
  </si>
  <si>
    <t>April</t>
  </si>
  <si>
    <t>Budget speech 2015</t>
  </si>
  <si>
    <t>http://www.finance.gov.ls/documents/budget%20speeches/budget_speech_2015_16.pdf</t>
  </si>
  <si>
    <t>Budget speech 2015-16 references as for previous year</t>
  </si>
  <si>
    <t>references in 2016-17 budget speech</t>
  </si>
  <si>
    <t>http://www.finance.gov.ls/documents/budget%20speeches/budget_speech_2016_17.pdf</t>
  </si>
  <si>
    <t>Budget speech 2018-19  Final</t>
  </si>
  <si>
    <t>http://www.finance.gov.ls/official_documents.php?id=budget_documents&amp;div=budget_speeches</t>
  </si>
  <si>
    <t xml:space="preserve">Budget speech 2017-18 </t>
  </si>
  <si>
    <t>Budget speech 2019-20</t>
  </si>
  <si>
    <t>Budget speech 2018-19  Final (annexe 1, p24-32)</t>
  </si>
  <si>
    <t>Budget speech 2019-20 Lesotho Final (annexe 1, p16)</t>
  </si>
  <si>
    <t>Budget Speech 2020 Final (annexe 1, p21)</t>
  </si>
  <si>
    <t>Budget Speech 2020-21 
annex 1 p 27</t>
  </si>
  <si>
    <t>Budget speech 2020-21 Lesotho Final (annexe 1, p16)</t>
  </si>
  <si>
    <t>Budget Speech 2021-22
annex 1 page 38</t>
  </si>
  <si>
    <t>references in 2018-19 budget speech</t>
  </si>
  <si>
    <t>Annex 1 page 32, Total minus grants</t>
  </si>
  <si>
    <t>Annex 1 page 24, Total minus grants</t>
  </si>
  <si>
    <t>Annex 1 page 32, grants</t>
  </si>
  <si>
    <t>Annex 1 page 24, grants</t>
  </si>
  <si>
    <t>external loans</t>
  </si>
  <si>
    <t>Annex 1 page 32, Total</t>
  </si>
  <si>
    <t>Annex 1 page 24, Total</t>
  </si>
  <si>
    <t>Budget book 2019-2020</t>
  </si>
  <si>
    <t>Budget book page 5 and 6</t>
  </si>
  <si>
    <t>Annex 1 page 32, Total minus interest payments</t>
  </si>
  <si>
    <t>Annex 2 page 44</t>
  </si>
  <si>
    <t>Annex 1 page 24, Total minus interest payments</t>
  </si>
  <si>
    <t>p1</t>
  </si>
  <si>
    <t>Recurrent expenditure (=Expenses en 2020) minus Interest payments</t>
  </si>
  <si>
    <t>Annex 1 page 32, capital budget GOL</t>
  </si>
  <si>
    <t>GOL</t>
  </si>
  <si>
    <t>Annex 1 page 32, capital budget Donor grants + loans</t>
  </si>
  <si>
    <t>p2</t>
  </si>
  <si>
    <t>Donor Loans &amp; Grant</t>
  </si>
  <si>
    <t>Interast Debt</t>
  </si>
  <si>
    <t>Annex 1 page 32, Interest payments</t>
  </si>
  <si>
    <t>Annex 2 page 43</t>
  </si>
  <si>
    <t>Other debt service</t>
  </si>
  <si>
    <t>budget speech 2018-19 (annexe 1 - p16)</t>
  </si>
  <si>
    <t>budget speech 2019-20 (annexe 1 - p21)</t>
  </si>
  <si>
    <t>Budget book 2019-20</t>
  </si>
  <si>
    <t>Annex 1 page 32, Compensation of employees</t>
  </si>
  <si>
    <t>Annex 1 page 24, Compensation of employees</t>
  </si>
  <si>
    <t>Annex 1 page 32, wages and salaries</t>
  </si>
  <si>
    <t>Annex 1 page 24, wages and salaries</t>
  </si>
  <si>
    <t>pour réél, estimation sur base proportion salaire dans compensation total 2016/17</t>
  </si>
  <si>
    <t>estimation sur base proportion 2017-18</t>
  </si>
  <si>
    <t>Annex 5 page 36, pensions and gratuities</t>
  </si>
  <si>
    <t>Annex 5</t>
  </si>
  <si>
    <t>Budget book page 366 GOL pensions + gratuities</t>
  </si>
  <si>
    <t>budget book 2019-20 p190 &amp; budget book 2018-2019 p92</t>
  </si>
  <si>
    <t>p190 - réél estimé sur  base exécution 2017-18</t>
  </si>
  <si>
    <t>GOL pensions + gratuities</t>
  </si>
  <si>
    <t>p190 GOL pensions + gratuities</t>
  </si>
  <si>
    <t>GoL pensions + gratuities</t>
  </si>
  <si>
    <t>Budget sppech 2015-16</t>
  </si>
  <si>
    <t>2017-18 Budget Estimates book</t>
  </si>
  <si>
    <t>Budget sppech 2017-18</t>
  </si>
  <si>
    <t>http://www.finance.gov.ls/official_documents.php?id=budget_documents&amp;div=budget_book</t>
  </si>
  <si>
    <t>Draft Budget Book 2018-2019</t>
  </si>
  <si>
    <t>2018-19 Budget Estimates book</t>
  </si>
  <si>
    <t>estimate with implementation rate</t>
  </si>
  <si>
    <t>Budget Book 2018-19</t>
  </si>
  <si>
    <t>Budget Book 2019-20</t>
  </si>
  <si>
    <t>Estimation with implementation rate</t>
  </si>
  <si>
    <t>Annex 5 page 36</t>
  </si>
  <si>
    <t>Col Actual 2015/2016</t>
  </si>
  <si>
    <t>Annex 5, page 32</t>
  </si>
  <si>
    <t>col Actual 2016/17</t>
  </si>
  <si>
    <t>Annex 5, page 24</t>
  </si>
  <si>
    <t>Col Actual 2016/2017</t>
  </si>
  <si>
    <t>Annex 5, page 28</t>
  </si>
  <si>
    <t>BOOST figures rather than budget book 20-21 for better comparison with 2019-20</t>
  </si>
  <si>
    <t>Education and training - recurent</t>
  </si>
  <si>
    <t>Annex 6 page 36</t>
  </si>
  <si>
    <t>page 76</t>
  </si>
  <si>
    <t>Total recurrent page 52</t>
  </si>
  <si>
    <t>p53 /// p56</t>
  </si>
  <si>
    <t>p56</t>
  </si>
  <si>
    <t>Education and training - capital</t>
  </si>
  <si>
    <t>Annex 6 page 37</t>
  </si>
  <si>
    <t>Total capital page 131</t>
  </si>
  <si>
    <t>BB 2017-18 - p492 /// BB 2019-20 p254</t>
  </si>
  <si>
    <t>Education and training - capital GOL</t>
  </si>
  <si>
    <t>BB 2017-18 - p492 /// BB 2019-20 p255</t>
  </si>
  <si>
    <t>page 259</t>
  </si>
  <si>
    <t>Education and training - capital Donors</t>
  </si>
  <si>
    <t>BB 2017-18 - p492 /// BB 2019-20 p256/257</t>
  </si>
  <si>
    <t>p256/57</t>
  </si>
  <si>
    <t>Pages 260 et 261</t>
  </si>
  <si>
    <t>p54 BB 2018-19</t>
  </si>
  <si>
    <t>p57 BB 2019-20</t>
  </si>
  <si>
    <t>Estimation taux  2017-18</t>
  </si>
  <si>
    <t>Budget book page 61</t>
  </si>
  <si>
    <t>Budget book 2020-21 page 55</t>
  </si>
  <si>
    <t>estimate</t>
  </si>
  <si>
    <t>page 80</t>
  </si>
  <si>
    <t>Salaries &amp; Wages page 52</t>
  </si>
  <si>
    <t>Compensation of Employees</t>
  </si>
  <si>
    <t>Annex 5 page 32</t>
  </si>
  <si>
    <t>Consolidated BFP 2015-16 page 18 &amp; 19</t>
  </si>
  <si>
    <t>Consolidated BFP 2016-17 page 12 &amp; 13</t>
  </si>
  <si>
    <t>BFP consolidé (budget initiaux)</t>
  </si>
  <si>
    <t>Programme Early Childhood Care &amp; development - Recurrent</t>
  </si>
  <si>
    <t>Ventilation des coûts transversaux incertaine</t>
  </si>
  <si>
    <t>Primary Education - Recurrent</t>
  </si>
  <si>
    <t>Programme Early Childhood Care &amp; development - Capital</t>
  </si>
  <si>
    <t>Primary Education -Capital</t>
  </si>
  <si>
    <t>page 506</t>
  </si>
  <si>
    <t>Basic Education quality page 137</t>
  </si>
  <si>
    <t>Free Primary Education (classrooms) page 138</t>
  </si>
  <si>
    <t>Free Primary Education (classrooms) page 137</t>
  </si>
  <si>
    <t>Actual expenditure for education was not collected from available documents
Not clear how local authorities could be involved
The pension scheme for civil servant has been converted into % employer contribution</t>
  </si>
  <si>
    <t>2012/2013</t>
  </si>
  <si>
    <t>2013/2014</t>
  </si>
  <si>
    <t>2014/2015</t>
  </si>
  <si>
    <t>2015/2016</t>
  </si>
  <si>
    <t>2016/2017</t>
  </si>
  <si>
    <t>2017/2018</t>
  </si>
  <si>
    <t>US$</t>
  </si>
  <si>
    <t>US $ millions</t>
  </si>
  <si>
    <t>Liberia National Budget 2014/2015</t>
  </si>
  <si>
    <t xml:space="preserve">Liberia National Budget 2015/2016 </t>
  </si>
  <si>
    <t>Liberia National Budget 2015/2016</t>
  </si>
  <si>
    <t>Year end estimate from Liberia National Budget 2015/2016 (Projected Outturn)</t>
  </si>
  <si>
    <t>National Budget 2015/2016</t>
  </si>
  <si>
    <t>National Budget 2016/2017
Actual 2014-15</t>
  </si>
  <si>
    <t>Liberia National Budget 2016/2017</t>
  </si>
  <si>
    <t>Year end estimate from Liberia National Budget 2016/2017 (Projected Outturn)</t>
  </si>
  <si>
    <t>Liberia National Budget 2017/2018</t>
  </si>
  <si>
    <t>https://www.mfdp.gov.lr/index.php/docs/the-national-budget</t>
  </si>
  <si>
    <t>Liberia National Budget 2018/2019</t>
  </si>
  <si>
    <t>Liberia National Budget 2020/2021</t>
  </si>
  <si>
    <t>Liberia National Recast Budget 2019/2020</t>
  </si>
  <si>
    <t>2018-19 budget, page 15</t>
  </si>
  <si>
    <t>column Revised 2017-18</t>
  </si>
  <si>
    <t>Column  Year End</t>
  </si>
  <si>
    <t>page 20 Table 4.1 Grand Summary</t>
  </si>
  <si>
    <t>2013/2014 Revenue includes tax, non tax revenue, borrowed money and contigent borrowed money</t>
  </si>
  <si>
    <t xml:space="preserve">Approved Recast Budget FY2017/18 (pag 8) </t>
  </si>
  <si>
    <t>page 30  1.4 Revenue Table</t>
  </si>
  <si>
    <t>Grants +Contigent grants for 2014 revised budget.</t>
  </si>
  <si>
    <t>Page xxiv</t>
  </si>
  <si>
    <t>Grants +Contigent grants for 2017/2018 revised budget.</t>
  </si>
  <si>
    <t>Table 1 page 26</t>
  </si>
  <si>
    <t>2018-19 budget, page 17</t>
  </si>
  <si>
    <t>recurrent minus debt servicing</t>
  </si>
  <si>
    <t>recurrent minus interest liabilities</t>
  </si>
  <si>
    <t>Page 33</t>
  </si>
  <si>
    <t>PSIP</t>
  </si>
  <si>
    <t>Debt servicing</t>
  </si>
  <si>
    <t>Interest</t>
  </si>
  <si>
    <t>Liabilities</t>
  </si>
  <si>
    <t>page 31  1.5 Fiscal Table</t>
  </si>
  <si>
    <t>Compensation of employees in 2013/2014 varies between both budget documents --  2014/2015 and 2015/2016 budgets. Used 2015/2016 for actual expenditure column</t>
  </si>
  <si>
    <t>Page 525</t>
  </si>
  <si>
    <t>Includes MOE+University+institutions in the list on the right</t>
  </si>
  <si>
    <t>Education sector</t>
  </si>
  <si>
    <t>page 29 Table 1.3</t>
  </si>
  <si>
    <t>PSIP 4 millions not clear if included</t>
  </si>
  <si>
    <t>Page XXXii</t>
  </si>
  <si>
    <t>Page 40 1.10 Summary by Spending Sector</t>
  </si>
  <si>
    <t>Page 311</t>
  </si>
  <si>
    <t>Donor financing through off-budget projects</t>
  </si>
  <si>
    <t>Actual Book 2021 page 311</t>
  </si>
  <si>
    <t>not included in education sector</t>
  </si>
  <si>
    <t>MINISTRY OF HEALTH</t>
  </si>
  <si>
    <t>schools of nursing with hospitals</t>
  </si>
  <si>
    <t>page 255</t>
  </si>
  <si>
    <t>LIBERIA COLLEGE OF PHYSICIANS AND SURGEONS</t>
  </si>
  <si>
    <t>Page 236 : Summary by Spending Entity</t>
  </si>
  <si>
    <t>P266 College of surgeons</t>
  </si>
  <si>
    <t>MINISTRY OF YOUTH AND SPORTS</t>
  </si>
  <si>
    <t>page 314</t>
  </si>
  <si>
    <t>Monrovia Vocational Training Center ; Agricultural Training Center</t>
  </si>
  <si>
    <t>P282 Monrovia Voc Training Center</t>
  </si>
  <si>
    <t>NATIONAL CLAIMS</t>
  </si>
  <si>
    <t>page 550</t>
  </si>
  <si>
    <t>Education Recovery Fund</t>
  </si>
  <si>
    <t>LIBERIA INSTITUTE OF PUBLIC ADMINISTRATION</t>
  </si>
  <si>
    <t>page 126</t>
  </si>
  <si>
    <t>112 Liberia Institute of Public Administration</t>
  </si>
  <si>
    <t>Page 46 : Summary by Spending Entity</t>
  </si>
  <si>
    <t>P46</t>
  </si>
  <si>
    <t>we estimate the 100%</t>
  </si>
  <si>
    <t>Page 266 College of surgeons</t>
  </si>
  <si>
    <t>ok</t>
  </si>
  <si>
    <t>Off budget funding by DPs is very high
for Education 60.7m$ in 2014-15budget out of 853m$
Not clear if Counties are spending for education from the grants received</t>
  </si>
  <si>
    <t>Ariary</t>
  </si>
  <si>
    <t>milliers Ariary</t>
  </si>
  <si>
    <t>Thousand Ariary</t>
  </si>
  <si>
    <r>
      <t xml:space="preserve">dépenses réelles </t>
    </r>
    <r>
      <rPr>
        <b/>
        <sz val="9"/>
        <color indexed="10"/>
        <rFont val="Calibri"/>
        <family val="2"/>
      </rPr>
      <t>est</t>
    </r>
  </si>
  <si>
    <t>Loi de règlement 2011</t>
  </si>
  <si>
    <t>Loi de finance rectificative 2014</t>
  </si>
  <si>
    <t>INSTAT tableau de bord de l'économie 
réalisation 2014</t>
  </si>
  <si>
    <t>Loi de finances rectificative 2015</t>
  </si>
  <si>
    <t>INSTAT tableau de bord de l'économie 
réalisation octobre*1,2</t>
  </si>
  <si>
    <t>INSTAT tableau de bord de l'économie 
janvier 2017</t>
  </si>
  <si>
    <t>http://www.instat.mg/wp-content/uploads/2017/02/INSTAT_tbe26-01-2017.pdf</t>
  </si>
  <si>
    <t>INSTAT tableau de bord de l'économie 
janvier 2018</t>
  </si>
  <si>
    <t>http://www.instat.mg/wp-content/uploads/2018/02/instat_tbe30-01-2018.pdf</t>
  </si>
  <si>
    <t>Loi de Règlement 2017</t>
  </si>
  <si>
    <t>Loi des Finances 2019</t>
  </si>
  <si>
    <t>Ministry of economy and finance</t>
  </si>
  <si>
    <t>http://www.mefb.gov.mg/assets/vendor/ckeditor/plugins/kcfinder/upload/files/TOME_1_plf2019.pdf</t>
  </si>
  <si>
    <t>http://www.dgfag.mg/wp-content/uploads/2020/01/ANNEXE_TOME-I-DOCUMENT-DE-PERFORMANCE.pdf</t>
  </si>
  <si>
    <t>LFI 2019</t>
  </si>
  <si>
    <t>2019 Réalisé dans Tome 1LFI 2021</t>
  </si>
  <si>
    <t>LFR2020 dans tome 1 LFI 2021</t>
  </si>
  <si>
    <t>http://www.mefb.gov.mg/page_personnalisee/index/menu/17</t>
  </si>
  <si>
    <t>Tableau A3 page 38 dans Volume 1 2020</t>
  </si>
  <si>
    <t>Tableau 58, Page 78</t>
  </si>
  <si>
    <t>Loi des Finances Revise 2018  (LFR 2018) /Annexe Tome 2 : Document budgétaire-Annex 3&amp;12</t>
  </si>
  <si>
    <t>Tableau A- 3, Page 38</t>
  </si>
  <si>
    <t>Tableau A3 page 52 dans LFI_2021_Tome1</t>
  </si>
  <si>
    <t>Appui budgétaire courant et dons investissement</t>
  </si>
  <si>
    <t>Loi des Finances Revise 2018/Annexe Tome 2 : Document budgétaire-Annex 13</t>
  </si>
  <si>
    <t>Loi des Finances Revise 2018/Annexe Tome 2 : Document budgétaire-Annex 12</t>
  </si>
  <si>
    <t>Loi des Finances 2019/Annexe Tome 2 : Document budgétaire-Annex 3</t>
  </si>
  <si>
    <t>Engagements</t>
  </si>
  <si>
    <t>Compte rendu d'exécution 4e trimestre 2018</t>
  </si>
  <si>
    <t>LF 2019- Tome 2-Annex 4</t>
  </si>
  <si>
    <t>Annexe 1 page 57</t>
  </si>
  <si>
    <t>Tableau A- 3, Page 39</t>
  </si>
  <si>
    <t>Tableau A- 3, Page 40</t>
  </si>
  <si>
    <t>Tableau A- 3, Page 41</t>
  </si>
  <si>
    <t>Tableau 62 page 87</t>
  </si>
  <si>
    <t>Tableau A- 3, Page 42</t>
  </si>
  <si>
    <t>Tableau A- 3, Page 43</t>
  </si>
  <si>
    <t>Tableau A- 3, Page 44</t>
  </si>
  <si>
    <t>INSTAT tableau de bord de l'économie</t>
  </si>
  <si>
    <t>20 340 000 000</t>
  </si>
  <si>
    <t>LFR2017- Page 482</t>
  </si>
  <si>
    <t>Exécution budgétaire 4ème trimestre 2014 Documents par ministère -Données LFR et engagements</t>
  </si>
  <si>
    <t>Exécution budgétaire 4ème trimestre 2015 Documents par ministère -Données LFR et engagements</t>
  </si>
  <si>
    <t>Compte rendu de la revue de l'exécution budgétaire 12 mois 4e trimestre 2016</t>
  </si>
  <si>
    <t>http://www.mefb.gov.mg/textes_lois/dgb/COMPTE%20RENDU%204T2016.pdf</t>
  </si>
  <si>
    <t>Exécution budgétaire 4ème trimestre 2016 Documents par ministère -Données LFR et engagements</t>
  </si>
  <si>
    <t>Compte rendu de la revue de l'exécution budgétaire 12 mois 4e trimestre 2017</t>
  </si>
  <si>
    <t>LF 2019 tome 2</t>
  </si>
  <si>
    <t>Compte Rendu de la revue de l'exécution budgétaire - 4ème trimestre 2018</t>
  </si>
  <si>
    <t>http://www.dgfag.mg/index.php/execution-budgetaire/</t>
  </si>
  <si>
    <t>estimé avec le taux d'exécution</t>
  </si>
  <si>
    <t>L'exécution budgétaire par ministère n'est disponible que pour le 2ème trimestre 2019
Les estimations sur l'année entière sont trop fragiles. Il a été préféré d'utiliser les taux d'exécution de l'ensemble de l'Etat</t>
  </si>
  <si>
    <t>LFR2020</t>
  </si>
  <si>
    <t>Engagé</t>
  </si>
  <si>
    <t>Annexes 2, 3, 4 à partir de page 60</t>
  </si>
  <si>
    <t>LF 2020-Tome 2-Annexe 6</t>
  </si>
  <si>
    <t>Annexes 2, 3, 4 à partir de page 56</t>
  </si>
  <si>
    <t>http://www.dgbudget.mg/images/stories/pdf/Rapports/DocSEB-4T2015/04_SOCIAL_81_MEN_4T_2015.pdf</t>
  </si>
  <si>
    <t>http://www.mefb.gov.mg/textes_lois/dgb/3T-2016/04%20SOCIAL%2081%20MEN%203eme%20trim.pdf</t>
  </si>
  <si>
    <t>LF 2019-Tome 2-Annexe 6</t>
  </si>
  <si>
    <t>Includes all Ministries in charge (Education nationale, enseignement technique et formation professionnelle, Enseignement superieur</t>
  </si>
  <si>
    <t>Page 65</t>
  </si>
  <si>
    <t>LFI_2021_Tome2 Page 66</t>
  </si>
  <si>
    <t>solde page 40 et hors solde page 41</t>
  </si>
  <si>
    <t>capital sur financement interne</t>
  </si>
  <si>
    <t>PIP page 44 et doc exécution 3ème trimestre MEN page 14</t>
  </si>
  <si>
    <t xml:space="preserve">capital </t>
  </si>
  <si>
    <t>capital sur financement externe</t>
  </si>
  <si>
    <t>Enseignement Technique et formation professionelle</t>
  </si>
  <si>
    <t>http://www.dgbudget.mg/images/stories/pdf/Rapports/DocSEB-4T2015/04_SOCIAL_83_MEETFP_4T_2015.pdf</t>
  </si>
  <si>
    <t>http://www.mefb.gov.mg/textes_lois/dgb/3T-2016/04%20SOCIAL%2083%20MEETFPREVUE_T3_2016.pdf</t>
  </si>
  <si>
    <t>Enseignement superieur</t>
  </si>
  <si>
    <t>Page 80</t>
  </si>
  <si>
    <t>LFI_2021_Tome2 Page 82</t>
  </si>
  <si>
    <t>LFI_2021_Tome2 Page 84</t>
  </si>
  <si>
    <t>Enseignement Supérieur</t>
  </si>
  <si>
    <t>http://www.dgbudget.mg/images/stories/pdf/Rapports/DocSEB-4T2015/04_SOCIAL_84_MESUPRES_4T_2015.pdf</t>
  </si>
  <si>
    <t>http://www.mefb.gov.mg/textes_lois/dgb/3T-2016/04%20SOCIAL%2084%20MESUPRES_3T2016.pdf</t>
  </si>
  <si>
    <t>estimation base LFR</t>
  </si>
  <si>
    <t>http://www.mefb.gov.mg/textes_lois/PLR2015/ETAT%20RECAPITULATIF%20DES%20DEPENSES%20PAR%20MIN-MISS-PROG-FIN%202015.pdf</t>
  </si>
  <si>
    <t>Etat récapitulatif des dépenses par ministère</t>
  </si>
  <si>
    <t>page 13 mission 330 Emploi</t>
  </si>
  <si>
    <t>Direction de l'emploi</t>
  </si>
  <si>
    <t>estimation voir formule</t>
  </si>
  <si>
    <t>Tome 2</t>
  </si>
  <si>
    <t xml:space="preserve">LFI 2018: http://www.dgbudget.mg/lois/LFI </t>
  </si>
  <si>
    <t>LF</t>
  </si>
  <si>
    <t>Ministère de la sécurité publique</t>
  </si>
  <si>
    <t>page 143</t>
  </si>
  <si>
    <t>Tome 2 page 161 PDF</t>
  </si>
  <si>
    <t>Tome 2 page 167 PDF</t>
  </si>
  <si>
    <t>LFI_2021_Tome2 Page 164</t>
  </si>
  <si>
    <t>SE Gendarmerie</t>
  </si>
  <si>
    <t>Tome 2 page 155 Pdf</t>
  </si>
  <si>
    <t>Ecoles de la gendarmerie</t>
  </si>
  <si>
    <t>Tome 2 page 92 et 235 Pdf</t>
  </si>
  <si>
    <t>LFI_2021_Tome2 Page 238</t>
  </si>
  <si>
    <t>Défense</t>
  </si>
  <si>
    <t>page 133</t>
  </si>
  <si>
    <t>Tome 2 page 151 Pdf</t>
  </si>
  <si>
    <t>Académie militaire</t>
  </si>
  <si>
    <t>Tome 2 page 142Pdf</t>
  </si>
  <si>
    <t>LFI_2021_Tome2 Page 141</t>
  </si>
  <si>
    <t>CR_2T_2019 page  56</t>
  </si>
  <si>
    <t>LFI_2021_Tome2 Page 179</t>
  </si>
  <si>
    <t>voir Ministères Education plus haut</t>
  </si>
  <si>
    <t>Il n'a pas été possible de déterminer à partir des documents s'il convenait d'ajouter des contributions pour pension
Impossible aussi de déterminer à partir des documents si les collectivités décentralisées effectuent des dépenses d'éducation sur leurs subventions globales</t>
  </si>
  <si>
    <t>review Serge note - why not execution rate??</t>
  </si>
  <si>
    <t>Update last fiscal year completed</t>
  </si>
  <si>
    <t xml:space="preserve">Update </t>
  </si>
  <si>
    <t>2011-12</t>
  </si>
  <si>
    <t>Kwacha</t>
  </si>
  <si>
    <t>million K</t>
  </si>
  <si>
    <t xml:space="preserve">Approved </t>
  </si>
  <si>
    <t>2014-15 Financial statement</t>
  </si>
  <si>
    <t>2015-16 Financial statement</t>
  </si>
  <si>
    <t>2014-15 Approved estimates &amp; 2014-15 Outturn
in 2016-17 Financial Statement</t>
  </si>
  <si>
    <t>http://www.finance.gov.mw/</t>
  </si>
  <si>
    <t>http://www.finance.gov.mw/index.php/documents/cat_view/97-budget-documents</t>
  </si>
  <si>
    <t>2015-16 Revised  in 2016-17 Financial statement</t>
  </si>
  <si>
    <t>2015-16 outturn  in 2017-18 Financial statement</t>
  </si>
  <si>
    <t>2016-17 in 2017-18 Financial statement</t>
  </si>
  <si>
    <t>2016-17 Revised  in 2016-17 Financial statement</t>
  </si>
  <si>
    <t xml:space="preserve"> 2017-18 Financial statement</t>
  </si>
  <si>
    <t>https://www.cabri-sbo.org/en/documents/the-2017-2018-mid-year-budget-review</t>
  </si>
  <si>
    <t xml:space="preserve"> 2017-18 Revised Financial statement</t>
  </si>
  <si>
    <r>
      <rPr>
        <b/>
        <i/>
        <u/>
        <sz val="11"/>
        <color theme="1"/>
        <rFont val="Calibri"/>
        <family val="2"/>
        <scheme val="minor"/>
      </rPr>
      <t>Serge Peano:</t>
    </r>
    <r>
      <rPr>
        <sz val="11"/>
        <color theme="1"/>
        <rFont val="Calibri"/>
        <family val="2"/>
        <scheme val="minor"/>
      </rPr>
      <t xml:space="preserve"> It seems that budget table are counting some salaries and spending that are made by disctict assemblies in execution report, maybe some decentralisation measures were taken
I suggest to limit 2017-18 to the voted budget column only, and to use the attached file (I have made the changes)
</t>
    </r>
  </si>
  <si>
    <t>2019 annual economic report</t>
  </si>
  <si>
    <t>https://finance.gov.mw/</t>
  </si>
  <si>
    <t>Draft Financial statement 2020</t>
  </si>
  <si>
    <t xml:space="preserve">Table 1 2014-15 Budget performance page 7 </t>
  </si>
  <si>
    <t>p 19/20</t>
  </si>
  <si>
    <t>p179</t>
  </si>
  <si>
    <t>revised</t>
  </si>
  <si>
    <t>Preliminary outturn</t>
  </si>
  <si>
    <t>Revised estmates</t>
  </si>
  <si>
    <t>Table 2 page 13</t>
  </si>
  <si>
    <t>Table 1 page 8-9</t>
  </si>
  <si>
    <t>page20</t>
  </si>
  <si>
    <t>p179 du document</t>
  </si>
  <si>
    <t>Pages 9-10 (14-15 in PdF)</t>
  </si>
  <si>
    <t>Expenditure data Quarter 4</t>
  </si>
  <si>
    <t>p183</t>
  </si>
  <si>
    <t>Table 2 page 14</t>
  </si>
  <si>
    <t>Table 2 page 13-14</t>
  </si>
  <si>
    <t>Total Statutory + voted</t>
  </si>
  <si>
    <t>Development Domestic resources</t>
  </si>
  <si>
    <t>development external ressources</t>
  </si>
  <si>
    <t>Interests on debt</t>
  </si>
  <si>
    <t>other debt service</t>
  </si>
  <si>
    <t>Expenditure &amp; net lending</t>
  </si>
  <si>
    <t>hors arriérés</t>
  </si>
  <si>
    <t>Annex 3</t>
  </si>
  <si>
    <t>Page 183 (PDF 185)</t>
  </si>
  <si>
    <t>compensation of employees</t>
  </si>
  <si>
    <t>wages and salaries</t>
  </si>
  <si>
    <t>File Expenditure data as of june 2016 page 3</t>
  </si>
  <si>
    <t>pensions &amp; gratuities; Annex 4</t>
  </si>
  <si>
    <t>pensions and gratuities</t>
  </si>
  <si>
    <t>2014-15 Revided budget</t>
  </si>
  <si>
    <t>page 45</t>
  </si>
  <si>
    <t>Table 4 page 25</t>
  </si>
  <si>
    <t>Table 4</t>
  </si>
  <si>
    <t>Current</t>
  </si>
  <si>
    <t>page 31 Tableau Annex 2 Total Local councils</t>
  </si>
  <si>
    <t>Total Local councils</t>
  </si>
  <si>
    <t>2014-15 Approved in 2015-16 Financial Statement</t>
  </si>
  <si>
    <t>2014-15 Revised in 2015-16 Financial Statement</t>
  </si>
  <si>
    <t>File Expenditure data as of june 2016</t>
  </si>
  <si>
    <t>THE 2017/18 MID-YEAR BUDGET REVIEW</t>
  </si>
  <si>
    <t>Social spending tracker 2017-18 Q3</t>
  </si>
  <si>
    <t>social spending tracker 2018-19 Q4</t>
  </si>
  <si>
    <t>Social spending tracker 2018-19 Q4</t>
  </si>
  <si>
    <t>social spending tracker 2019-20 Q4</t>
  </si>
  <si>
    <t>2017 Mid Term Review</t>
  </si>
  <si>
    <t>File Expenditure data Q4 (Domestic only)</t>
  </si>
  <si>
    <t>current &amp; domestic development</t>
  </si>
  <si>
    <t>do not include Subvented organization &amp; Local Assemblies</t>
  </si>
  <si>
    <t>page 145</t>
  </si>
  <si>
    <t>page 40 &amp; 44</t>
  </si>
  <si>
    <t>wages</t>
  </si>
  <si>
    <t>ORT</t>
  </si>
  <si>
    <t>Development Domestic funding</t>
  </si>
  <si>
    <t>page 145, Capital part 0</t>
  </si>
  <si>
    <t>page 62  column Part 2</t>
  </si>
  <si>
    <t>development (domesticallya financed)</t>
  </si>
  <si>
    <t>development (domestically financed)</t>
  </si>
  <si>
    <t>only domestically financed investments</t>
  </si>
  <si>
    <t>Development Donor funding</t>
  </si>
  <si>
    <t>page 145, Capital part 1</t>
  </si>
  <si>
    <t>page 62  column Part 1</t>
  </si>
  <si>
    <t>Approved 2014-15</t>
  </si>
  <si>
    <t>Revised 2014-15</t>
  </si>
  <si>
    <t>Annex 5, 2015-16  Financial Statement</t>
  </si>
  <si>
    <t>page 46 &amp; 47</t>
  </si>
  <si>
    <t>Social Spending tracker</t>
  </si>
  <si>
    <t>Subvented  Organizations</t>
  </si>
  <si>
    <t>total</t>
  </si>
  <si>
    <t>University of Malawi</t>
  </si>
  <si>
    <t>page  37</t>
  </si>
  <si>
    <t>Malawi College of Health Sciences</t>
  </si>
  <si>
    <t>page  38</t>
  </si>
  <si>
    <t>Malawi Institute of Education</t>
  </si>
  <si>
    <t>National Unesco Commission</t>
  </si>
  <si>
    <t>Malawi National Examination Board</t>
  </si>
  <si>
    <t>Mzuzu University</t>
  </si>
  <si>
    <t>Malawi Universities Development Programme</t>
  </si>
  <si>
    <t>Lilongwe University of Agriculture and Natural Resources</t>
  </si>
  <si>
    <t>Malawi University of Science and Technology</t>
  </si>
  <si>
    <t>National Council for Higher Education</t>
  </si>
  <si>
    <t>Technical Vocational Education Training</t>
  </si>
  <si>
    <t>2016-17 Mid Term Review</t>
  </si>
  <si>
    <t>Page 45</t>
  </si>
  <si>
    <t>Page 49</t>
  </si>
  <si>
    <t>estimate with national execution of salary</t>
  </si>
  <si>
    <t>page 156</t>
  </si>
  <si>
    <t>Annex 6</t>
  </si>
  <si>
    <t>Part 1 (Donor funded)</t>
  </si>
  <si>
    <t>financial statement 2017-18 annexe 6</t>
  </si>
  <si>
    <t>basic</t>
  </si>
  <si>
    <t>include contribution on local gov wages</t>
  </si>
  <si>
    <t>année de référence</t>
  </si>
  <si>
    <t>mise à jour réelle des depenses</t>
  </si>
  <si>
    <t>Franc CFA</t>
  </si>
  <si>
    <t>référence des sources</t>
  </si>
  <si>
    <t>impl rate</t>
  </si>
  <si>
    <t>http://www.finances.gouv.ml/lois-des-finances</t>
  </si>
  <si>
    <t>http://www.finances.gouv.ml/rapportdexecution</t>
  </si>
  <si>
    <t>Tableau des recetes Sept 2014 + BOOST</t>
  </si>
  <si>
    <t>Rapport d'exécution 31 décembre 2015</t>
  </si>
  <si>
    <t>Rapport situation décembre 2016</t>
  </si>
  <si>
    <t>http://www.finances.gouv.ml/Documents/budget</t>
  </si>
  <si>
    <t>Rapport situation décembre 2017</t>
  </si>
  <si>
    <t>Rapport situation décembre 2018</t>
  </si>
  <si>
    <t>Rapport situation décembre 2019</t>
  </si>
  <si>
    <t>Rapport situation décembre 2020</t>
  </si>
  <si>
    <t>Objectif annuel révisé</t>
  </si>
  <si>
    <t>Réalisations 30/12/16</t>
  </si>
  <si>
    <t>Réalisation 31/12/2017</t>
  </si>
  <si>
    <r>
      <t xml:space="preserve">Réalisations </t>
    </r>
    <r>
      <rPr>
        <b/>
        <sz val="11"/>
        <color rgb="FFFF0000"/>
        <rFont val="Calibri"/>
        <family val="2"/>
        <scheme val="minor"/>
      </rPr>
      <t>30/12/17</t>
    </r>
  </si>
  <si>
    <r>
      <t xml:space="preserve">Réalisations </t>
    </r>
    <r>
      <rPr>
        <b/>
        <sz val="11"/>
        <color indexed="10"/>
        <rFont val="Calibri"/>
        <family val="2"/>
      </rPr>
      <t>30/12/18</t>
    </r>
  </si>
  <si>
    <t>Réalisation 31/12/2019</t>
  </si>
  <si>
    <t>Recettes budgétaires page 4</t>
  </si>
  <si>
    <t>Recettes budgétaires et exceptionnelles page 4</t>
  </si>
  <si>
    <t>LF 2018 26Dec2017 (Budget général: Dons projets et legs, Recettes fiscales nettes, Recettes non fiscales, Dons programmes et legs, Recettes exceptionnelles, Produits financiers)</t>
  </si>
  <si>
    <t>Tableau1. Page  7</t>
  </si>
  <si>
    <t>Tableau1. Page 9</t>
  </si>
  <si>
    <t>Tableau1. Page  9</t>
  </si>
  <si>
    <t>Tableau2. Page 10</t>
  </si>
  <si>
    <t>Appui budggétaire</t>
  </si>
  <si>
    <t>page 6</t>
  </si>
  <si>
    <t>Appuis budgétaires page 4</t>
  </si>
  <si>
    <t>Appuis budgétaires et ressouces PPTEpage 4</t>
  </si>
  <si>
    <t>BSI sur financement extérieur</t>
  </si>
  <si>
    <t>LFI 2016 Tableau recettes page 2 http://www.finances.gouv.ml/sites/default/files/LoiFinances/ldf2016-2/index.html</t>
  </si>
  <si>
    <t>LFR 2017 page 10</t>
  </si>
  <si>
    <t>RECETTES EXCEPTIONNELLES (18.993); RECETTES DES COMPTES SPECIAUX DU TRESOR (65.240);RECETTES DES BUDGETS ANNEXES (6,697)</t>
  </si>
  <si>
    <t>Dotations budgétaires</t>
  </si>
  <si>
    <t>Crédits Liquidés</t>
  </si>
  <si>
    <t>Hors BSI sur financement extérieur</t>
  </si>
  <si>
    <t>Page 22 Total budget Général  sauf dette et BSI</t>
  </si>
  <si>
    <t>Page 27 Total budget Général  sauf dette et BSI</t>
  </si>
  <si>
    <t>Dépenses ordinaires</t>
  </si>
  <si>
    <t>Tableau 16. Page 27</t>
  </si>
  <si>
    <t>Tableau13. Page 46</t>
  </si>
  <si>
    <t>Tableau 13. Page 46</t>
  </si>
  <si>
    <t>Investissement sur ressources intérieures</t>
  </si>
  <si>
    <t>Page 22 BSI Financement intérieur</t>
  </si>
  <si>
    <t>Page 27 BSI Financement intérieur</t>
  </si>
  <si>
    <t>Dépenses d’investissements exécutés par l'Etat</t>
  </si>
  <si>
    <t>comme ressources</t>
  </si>
  <si>
    <t>Budget Spécial d’Investissement (financement extérieur): Les crédits de paiement des dépenses du BSI financement extérieur, représentent 250,000 milliards de FCFA dans le budget 2018 sur lesquels 53,78% ont été exécutés au 31 décembre 2018, soit 134,451 milliards de FCFA. (page 30)</t>
  </si>
  <si>
    <t>Page 22 Dette</t>
  </si>
  <si>
    <t>Page 27 Dette</t>
  </si>
  <si>
    <t>Article 17: Amortissement de la dette à court, moyen et long termes,Page 11</t>
  </si>
  <si>
    <t>Article 9 : Pour 2018, le plafond des dépenses budgétaires de l’Etat est de 2 330 778 938 000 FCFA pag 7</t>
  </si>
  <si>
    <t>Budget général (1)-1 769,906;Budgets annexes (2)-2,170;Comptes spéciaux du Trésor (3)-69,438 milliards de FCFA</t>
  </si>
  <si>
    <t>Dépenses de personnel page 8</t>
  </si>
  <si>
    <t>PLF 2018 Etat Caisse CMSS</t>
  </si>
  <si>
    <t xml:space="preserve">261100 Personnel </t>
  </si>
  <si>
    <t>4-631-37 Subvention Etat page 36</t>
  </si>
  <si>
    <t>463137 Subvention Caisse de Sécurité</t>
  </si>
  <si>
    <t>Transferts et subventions (Tableau 16. Situation d’exécution des dépenses budgétaires par budget et par nature économique. Page 27)</t>
  </si>
  <si>
    <t>Tableau 16 page 27 Subvention CMSS</t>
  </si>
  <si>
    <t>pas disponible dans le rapport</t>
  </si>
  <si>
    <t>% as in 2017</t>
  </si>
  <si>
    <t>% as in 2018</t>
  </si>
  <si>
    <t>Courant &amp; Capital</t>
  </si>
  <si>
    <t>410 MINISTERE DE L'EDUCATION NATIONALE</t>
  </si>
  <si>
    <t xml:space="preserve"> page 45 fonction education sans BSI extérieur</t>
  </si>
  <si>
    <t>page 41fonction hors BSI extérieur</t>
  </si>
  <si>
    <t>page 50 fonction hors BSI extérieur</t>
  </si>
  <si>
    <t>LF 2018 26Dec2017 page 37</t>
  </si>
  <si>
    <t>ANNEXE 2 page 47
Enseignement-341,915milliards de FCFA (Tableau 20. Situation d’exécution des charges budgétaires par classification fonctionnelle, sans le financement extérieur du BSI). l’enseignement préélémentaire et primaire
(44,98%), l’enseignement secondaire (27,96%) et l’enseignement supérieur (16,62%).</t>
  </si>
  <si>
    <t>Fonction Education (Ministère Education et autres ministères)</t>
  </si>
  <si>
    <t>Page 68 Hors BSI extérieur fonction enseignement, comprend les autres ministères</t>
  </si>
  <si>
    <t>Page 98, hors BSI extérieur</t>
  </si>
  <si>
    <t>Fonction Education page 98Page 69</t>
  </si>
  <si>
    <t>Page 100, hors BSI extérieur (fonction enseignement)</t>
  </si>
  <si>
    <t>BSI sur financement interne</t>
  </si>
  <si>
    <t>412 MINIST. ENSEIG. SUPERIEUR &amp; RECH.SCIENTIFIQUE</t>
  </si>
  <si>
    <t>BSI Extérieur</t>
  </si>
  <si>
    <t>2.045 Développement de l'Enseignement Supérieur</t>
  </si>
  <si>
    <t>BSI extérieur page 82</t>
  </si>
  <si>
    <t>Page 110</t>
  </si>
  <si>
    <t>Etablissements autonomes et autres ministères</t>
  </si>
  <si>
    <t>Les dépenses des autres ministères sont comprises dans la fonction éducation, et sont visibles dans les tableaux pages 69 à 78</t>
  </si>
  <si>
    <t>Les dépenses des autres ministères sont comprises dans la fonction éducation, et sont visibles dans les tableaux pages 99 à 109</t>
  </si>
  <si>
    <t>222 INSTITUT NATIONAL DE FORMATION JUDICIAIRE</t>
  </si>
  <si>
    <t>411 ECOLE NORMALE SUPERIEURE (ENSUP)</t>
  </si>
  <si>
    <t>413 ECOLE NATIONALE D'INGENIEURS (ENI)</t>
  </si>
  <si>
    <t>414 INSTITUT POLYTECH. RURAL FORM.  RECH. APPL. K.</t>
  </si>
  <si>
    <t>415 UNIVERSITE DE BAMAKO</t>
  </si>
  <si>
    <t>416 CENTRE DES OEUVRES UNIVERSITAIRES</t>
  </si>
  <si>
    <t>417 CENTRE NAT. DE RECHERCHE SCIENTIFIQUE &amp; TECH.</t>
  </si>
  <si>
    <t>418 ECOLE NATIONALE D'ADMINISTRATION</t>
  </si>
  <si>
    <t>419 UNITE FORMAT. APPUI ENTREPRISES (UFAE-GCMI)</t>
  </si>
  <si>
    <t>420 ECOLE NORMALE D'ENSEIG. TECHN. PROFES.</t>
  </si>
  <si>
    <t>421 UNITE FORMAT. APPUI ENTREPRISES (UFEA-MB)</t>
  </si>
  <si>
    <t>422 UNIVERSITE DE SEGOU</t>
  </si>
  <si>
    <t>423 UNITE FORMAT. APPUI ENTREPRISES (UFAE-GO)</t>
  </si>
  <si>
    <t>424 UNIVERSITE LETTRES SCIENCES HUMAINES BKO</t>
  </si>
  <si>
    <t>425 INSTITUT DES SCIENCES HUMAINES</t>
  </si>
  <si>
    <t>426 UNIVERSITE SCIENCES TECHN. TECHNOLOGIES BKO</t>
  </si>
  <si>
    <t>427 INSTITUT DES LANGUES ABDOULAYE BARRY</t>
  </si>
  <si>
    <t>428 CENTRE NAT. RESS. EDUC. NON FORMELLE</t>
  </si>
  <si>
    <t>429 UNIVERSITE SCIENCES SOCIALES GESTION BKO</t>
  </si>
  <si>
    <t>430 INST. HAUTES ETUDES RECH. ISLAM. AHMED BABA</t>
  </si>
  <si>
    <t>431 UNIVERSITE SCIENCES JURIDIQUES POLITIQUES BKO</t>
  </si>
  <si>
    <t>432 ACADEMIE MALIENNE DES LANGUES</t>
  </si>
  <si>
    <t>433 ECOLE SUP. JOURNALISME &amp; SCIENCES COM..</t>
  </si>
  <si>
    <t>434 CENTRE FORMAT° PERFECTIONNEMENT STATISTIQUE</t>
  </si>
  <si>
    <t>518 CONSERV.ARTS METIERS MULTI.BALLA FASSEKE K.</t>
  </si>
  <si>
    <t>631 INSTITUT NAT. FORMAT0 SCIENCE DE LA SANTE</t>
  </si>
  <si>
    <t>674 INTITUT NAT.FORMATION TRAVAILLEURS SOCIAUX</t>
  </si>
  <si>
    <t>Page 78</t>
  </si>
  <si>
    <t>Page 58</t>
  </si>
  <si>
    <t>estimation en % de la fonction éducation</t>
  </si>
  <si>
    <t>MEN</t>
  </si>
  <si>
    <t>MESRS</t>
  </si>
  <si>
    <t>ETABLISSEMENTS</t>
  </si>
  <si>
    <t>REGIONS</t>
  </si>
  <si>
    <t>Régions</t>
  </si>
  <si>
    <t>page 67</t>
  </si>
  <si>
    <t>page 97</t>
  </si>
  <si>
    <t>page 99</t>
  </si>
  <si>
    <t>estimation</t>
  </si>
  <si>
    <t>Mauritanie</t>
  </si>
  <si>
    <t>Année référence indicateur</t>
  </si>
  <si>
    <t>Ouguiya</t>
  </si>
  <si>
    <t>millions Ouguiya</t>
  </si>
  <si>
    <t>http://www.tresor.mr/fr/afficher.php?tb=p6Geng==&amp;id=ZGlu</t>
  </si>
  <si>
    <t>http://www.tresor.mr/fr/afficher.php?tb=p6Geng==&amp;id=ZWJo</t>
  </si>
  <si>
    <t>http://www.tresor.mr</t>
  </si>
  <si>
    <t>TOFE 2017 13/02/2018</t>
  </si>
  <si>
    <t>TOFE 2017 13/02/2019</t>
  </si>
  <si>
    <t>http://www.tresor.mr/fr/</t>
  </si>
  <si>
    <t>Colonne LFR 2017</t>
  </si>
  <si>
    <t>colonne TOFE 2017</t>
  </si>
  <si>
    <t>Colonne LFR 2018</t>
  </si>
  <si>
    <t>http://www.tresor.mr/fr/afficher.php?tb=p6Geng==&amp;id=Zglu</t>
  </si>
  <si>
    <t>colonne TOFE 2018</t>
  </si>
  <si>
    <t>Colonne LFR 2019</t>
  </si>
  <si>
    <t>colonne TOFE 2019</t>
  </si>
  <si>
    <t>Colonne LFR 2020</t>
  </si>
  <si>
    <t>TOFE Novembre 2020</t>
  </si>
  <si>
    <t>colonne TOFE 2016</t>
  </si>
  <si>
    <t>Colonne TOFE 2017</t>
  </si>
  <si>
    <t>Colonne TOFE 2018</t>
  </si>
  <si>
    <t>Colonne TOFE 2019</t>
  </si>
  <si>
    <t>estimation 11 mois x 12/11</t>
  </si>
  <si>
    <t>Les montants provenant du TOFE 2018 et 2019 ont ete ramene a l'unite monetaire actuelle</t>
  </si>
  <si>
    <t>P 16</t>
  </si>
  <si>
    <t>TOFE 2019 (Page 2)</t>
  </si>
  <si>
    <t>Dons (projets et appuis budgétaires)</t>
  </si>
  <si>
    <t>TOFE 2019 (Page 1)</t>
  </si>
  <si>
    <t>Recettes totales</t>
  </si>
  <si>
    <t>P 24</t>
  </si>
  <si>
    <t>Investissement total</t>
  </si>
  <si>
    <t>Investissement sur financement intérieur</t>
  </si>
  <si>
    <t>Investissement sur financement extérieur</t>
  </si>
  <si>
    <t>CBMT PAGE 84</t>
  </si>
  <si>
    <t>CBMT 2015/2017</t>
  </si>
  <si>
    <t>Projet de loi de finances 2018</t>
  </si>
  <si>
    <t>Loi de finances 2019</t>
  </si>
  <si>
    <t>Loi de règlement 2019</t>
  </si>
  <si>
    <t>Suivi exécution sur site web</t>
  </si>
  <si>
    <t>https://www.tresor.mr/fr/suivi.php</t>
  </si>
  <si>
    <t>not avalable</t>
  </si>
  <si>
    <t>Autorisations</t>
  </si>
  <si>
    <t>Payé</t>
  </si>
  <si>
    <t>MINISTERE DE L EDUCATION NATIONALE</t>
  </si>
  <si>
    <t>CBMT PAGE 104</t>
  </si>
  <si>
    <t>page 68</t>
  </si>
  <si>
    <t>Page 59</t>
  </si>
  <si>
    <t>Page 51</t>
  </si>
  <si>
    <t>investissements</t>
  </si>
  <si>
    <t>Page 61 et 111</t>
  </si>
  <si>
    <t>Mtre Ens Fondamental et de la réforme</t>
  </si>
  <si>
    <t>Nouveau</t>
  </si>
  <si>
    <t>Ministère secondaire et formation professionnelle</t>
  </si>
  <si>
    <t>MINISTERE DE L EMPLOI DE LA FORMATION PROFESSIONNELLE ET DES NOUVELLES TECHNOLOGIQUES</t>
  </si>
  <si>
    <t>page 144</t>
  </si>
  <si>
    <t>Page 135</t>
  </si>
  <si>
    <t>page 83</t>
  </si>
  <si>
    <t>page 149, 150</t>
  </si>
  <si>
    <t>Page 135-141</t>
  </si>
  <si>
    <t>MINISTERE DE L ENSEIGNEMENT SUPERIEUR ET DE LA RECHERCHE SCIENTIFIQUE</t>
  </si>
  <si>
    <t>page 106</t>
  </si>
  <si>
    <t>page 101</t>
  </si>
  <si>
    <t>Page 92</t>
  </si>
  <si>
    <t>Page 72</t>
  </si>
  <si>
    <t>page 109</t>
  </si>
  <si>
    <t>pages 603, 604</t>
  </si>
  <si>
    <t>Page 94-95</t>
  </si>
  <si>
    <t>Page 75 et 112</t>
  </si>
  <si>
    <t>ENAJM</t>
  </si>
  <si>
    <t>Direction des Projets Education</t>
  </si>
  <si>
    <t>ENFVA</t>
  </si>
  <si>
    <t>LFR 2015</t>
  </si>
  <si>
    <t>CNFCJS</t>
  </si>
  <si>
    <t>1er Ministre</t>
  </si>
  <si>
    <t>ENAJM page 49</t>
  </si>
  <si>
    <t>Enseignement originel et alphabétisation</t>
  </si>
  <si>
    <t>Affaires économiques et développement</t>
  </si>
  <si>
    <t>Page 40</t>
  </si>
  <si>
    <t>DPEF page 128</t>
  </si>
  <si>
    <t>ENSP, ENSPK, Ecoles de santé de Nema,  Seilibaly, Rosso</t>
  </si>
  <si>
    <t>Agriculture</t>
  </si>
  <si>
    <t>page 84</t>
  </si>
  <si>
    <t>Page 75</t>
  </si>
  <si>
    <t>ENFVA page 159</t>
  </si>
  <si>
    <t>Centre de formation pour la petite enfance et centre de formation des enfants handicapés</t>
  </si>
  <si>
    <t>Jeunesse et sports</t>
  </si>
  <si>
    <t>page 75</t>
  </si>
  <si>
    <t>page 90</t>
  </si>
  <si>
    <t>Page 81</t>
  </si>
  <si>
    <t>Page 64</t>
  </si>
  <si>
    <t>CNFCJ page 204</t>
  </si>
  <si>
    <t>Affaires Islamiques et enseignement originel</t>
  </si>
  <si>
    <t>pages 99, 100</t>
  </si>
  <si>
    <t>Page 89 - 92</t>
  </si>
  <si>
    <t>Page 71</t>
  </si>
  <si>
    <t>pages 222 et 223</t>
  </si>
  <si>
    <t>page 89, 90</t>
  </si>
  <si>
    <t>pages 116 à 118</t>
  </si>
  <si>
    <t>Page 95-109</t>
  </si>
  <si>
    <t>Page 83 et 84</t>
  </si>
  <si>
    <t>pages 258-261</t>
  </si>
  <si>
    <t>Affaires sociales</t>
  </si>
  <si>
    <t>page 137</t>
  </si>
  <si>
    <t>Page 128</t>
  </si>
  <si>
    <t xml:space="preserve">Page 98 </t>
  </si>
  <si>
    <t>Page 108</t>
  </si>
  <si>
    <t>Projets éducation sur financement extérieur</t>
  </si>
  <si>
    <t>page 103</t>
  </si>
  <si>
    <t>page 157</t>
  </si>
  <si>
    <t>Page 158 'Enseignement préprimaire et primaire'</t>
  </si>
  <si>
    <t>Fonction Education</t>
  </si>
  <si>
    <t>Dépenses Education</t>
  </si>
  <si>
    <t>Fonction enseignement (Ministère Education et autres ministères) Page 127</t>
  </si>
  <si>
    <t>dont financement extérieur</t>
  </si>
  <si>
    <t>sous-fonction Enseignement primaire</t>
  </si>
  <si>
    <t>page 118</t>
  </si>
  <si>
    <t>page 119</t>
  </si>
  <si>
    <t>Direction des projets Education page 157</t>
  </si>
  <si>
    <t>page 127</t>
  </si>
  <si>
    <t>Lei</t>
  </si>
  <si>
    <t>lei</t>
  </si>
  <si>
    <t>Adjusted budget</t>
  </si>
  <si>
    <t>LEGEA BS 2014</t>
  </si>
  <si>
    <t>Legea 2015</t>
  </si>
  <si>
    <t>Raportul privind executarea bugetului de stat pe venituri, cheltuieli,deficit si surse de finanfare pe toate componentele</t>
  </si>
  <si>
    <t xml:space="preserve">http://www.mf.gov.md/files/reports/Formular%20nr.%201.pdf </t>
  </si>
  <si>
    <t>L E G E A bugetului de stat pe anul 2016
nr. 154 din 01.07.2016</t>
  </si>
  <si>
    <t xml:space="preserve">http://www.mf.gov.md/files/files/Legea%20bugetului%20de%20stat%20pe%20anul%202016%20nr_154%20din%2001%20iulie%202016%20(ro).pdf </t>
  </si>
  <si>
    <t>Estimate using implementation rate</t>
  </si>
  <si>
    <t>H_CAST~1\AppData\Local\Temp\7zO0225322B\Raport%20privind%20executarea%20bugetului%20de%20stat%20pe%20anul%202016.doc</t>
  </si>
  <si>
    <t xml:space="preserve"> http://demo.weblex.md/item/view/iddbtype/1/id/LPLP20161216279/specialview/1/ref/mf</t>
  </si>
  <si>
    <t>\\uissv3\teams\ES\Projects\EDF\Funding proposals and strategies\GPE Ancillary agreement_finance\2019 data collection\2018 template\Country_Folder\NADIA\Moldova\ExecutedBudget2017.xls</t>
  </si>
  <si>
    <t>http://demo.weblex.md/item/view/iddbtype/1/id/36155e3103ab5f8c21e5f7e6a1ac75dd</t>
  </si>
  <si>
    <t>http://mf.gov.md/ro/trezorerie/rapoarte-privind-executarea-bugetului/rapoarte-lunare</t>
  </si>
  <si>
    <t>Raport privind executarea bugetului de stat în anul 2018  - Excel file</t>
  </si>
  <si>
    <t>http://mf.gov.md/ro/trezorerie/rapoarte-privind-executarea-bugetului/rapoarte-anuale</t>
  </si>
  <si>
    <t>Raport privind executarea bugetului de stat la 31.12.2019  - Excel file</t>
  </si>
  <si>
    <t>Raport privind executarea bugetului de stat în anul 2019  - Excel file</t>
  </si>
  <si>
    <t>Raport privind executarea bugetului de stat la 31.12.2020  - Excel file</t>
  </si>
  <si>
    <t>Formularul nr.1</t>
  </si>
  <si>
    <t>Anexa 2 Componenţa veniturilor bugetului de stat</t>
  </si>
  <si>
    <t>Anexa 2</t>
  </si>
  <si>
    <t xml:space="preserve">Anexa 1 </t>
  </si>
  <si>
    <t>Anexa nr.2 Legea bugetului de stat pentru 2018</t>
  </si>
  <si>
    <t>Precizat column X</t>
  </si>
  <si>
    <t>Executat Column Y</t>
  </si>
  <si>
    <t>Budgetul de Stat columns X and Y</t>
  </si>
  <si>
    <t>Precizzat</t>
  </si>
  <si>
    <t>Executat</t>
  </si>
  <si>
    <t>Precizat column D</t>
  </si>
  <si>
    <t>Executat Column E</t>
  </si>
  <si>
    <t>Budgetul de Stat columns C and D</t>
  </si>
  <si>
    <t>Difference</t>
  </si>
  <si>
    <t>Page 6</t>
  </si>
  <si>
    <t>Page 6 (difference venituri - granturi rimiti)</t>
  </si>
  <si>
    <t>Page 8 (difference venituri - granturi primite)</t>
  </si>
  <si>
    <t>Granturi externe</t>
  </si>
  <si>
    <t>row GRANTURI PRIMITE</t>
  </si>
  <si>
    <t>granturi externe</t>
  </si>
  <si>
    <t>Granturi externe (43.1% executed pag 23)</t>
  </si>
  <si>
    <t xml:space="preserve">Granturi primite/Grants received </t>
  </si>
  <si>
    <t>row GRANTURI PRIMITE (13)</t>
  </si>
  <si>
    <t xml:space="preserve">Row 50 Granturi primite/Grants received </t>
  </si>
  <si>
    <t xml:space="preserve">Row 48 Granturi primite/Grants received </t>
  </si>
  <si>
    <t>Venituri total</t>
  </si>
  <si>
    <t xml:space="preserve"> row VENITURI</t>
  </si>
  <si>
    <t>Page 6 (Venituri) executat</t>
  </si>
  <si>
    <t>22.2  Execution of state budget, in 2017</t>
  </si>
  <si>
    <t>Row 9 Venituri</t>
  </si>
  <si>
    <t>Row 10 Venituri</t>
  </si>
  <si>
    <t>Anexa 3 Bugetele autorităţilor publice centrale</t>
  </si>
  <si>
    <t>row 77 Cheltuieli minus row 80</t>
  </si>
  <si>
    <t>row 70 Cheltuieli minus row 73</t>
  </si>
  <si>
    <t>row 70 Cheltuieli minus row 80</t>
  </si>
  <si>
    <t>page 27 Anexa 4</t>
  </si>
  <si>
    <t>Capital investments by central public authorities "Investiţiile capitale pe autorităţile publice centrale" Anexa 4</t>
  </si>
  <si>
    <t>Anexa 4 Investiţiile capitale pe autorităţile publice centrale</t>
  </si>
  <si>
    <t>row 94 Active nefinanciare</t>
  </si>
  <si>
    <t>row 86 Active nefinanciare</t>
  </si>
  <si>
    <t>Interest Debt</t>
  </si>
  <si>
    <t>Serviciul datoriei de stat</t>
  </si>
  <si>
    <t>page 25 Acţiuni generale "Datoria de stat internă" and "Datoria de stat externă"</t>
  </si>
  <si>
    <t xml:space="preserve">Debt servicing </t>
  </si>
  <si>
    <t>Serviciul datoriei de stat (pag 44)</t>
  </si>
  <si>
    <t>Acţiuni generale Code 1701 'Datoria de stat internă' + Code 1702 'Datoria de stat externă' Anexa 3</t>
  </si>
  <si>
    <t>Acţiuni generale (code 0799) "Datoria de stat internă" (code 1701) and "Datoria de stat externă" (Code 1702)</t>
  </si>
  <si>
    <t>row 80 Dobînzi</t>
  </si>
  <si>
    <t>row 73 Dobânzi</t>
  </si>
  <si>
    <t>Cheltuieli,total</t>
  </si>
  <si>
    <t>page 6 II. CHELTUIELI ŞI ACTIVE NEFINANCIARE</t>
  </si>
  <si>
    <t>Central Government, including transfers to local Governments</t>
  </si>
  <si>
    <t>Page 6 (Cheltuieli) executat</t>
  </si>
  <si>
    <t>Expenditures and non-financial assets</t>
  </si>
  <si>
    <t>II. CHELTUIELI ŞI ACTIVE NEFINANCIARE Anexa nr. 1</t>
  </si>
  <si>
    <t>row 75 Cheltuieli și active nefinanciare</t>
  </si>
  <si>
    <t>row 68 Cheltuieli și active nefinanciare</t>
  </si>
  <si>
    <t>not necessary</t>
  </si>
  <si>
    <t>row 78 Cheltueli de personal</t>
  </si>
  <si>
    <t>row 71 Cheltueli de personal</t>
  </si>
  <si>
    <t>sélection BOOST: "func1=06 Education" ; Admin1= "Central" &amp;" Local" ; econ1= All except 117,133, 138, 273 (Social Security, see Boost manual page 6) ; fin-source= All ; transfer= "excluding transfers"</t>
  </si>
  <si>
    <t>See file BOOST</t>
  </si>
  <si>
    <t>L E G E A bugetului de stat pe anul 2017
nr. 154 din 01.01.2016</t>
  </si>
  <si>
    <t>L E G E A bugetului de stat pe anul 2018
nr. 289  din  15.12.2017</t>
  </si>
  <si>
    <t>L E G E A bugetului de stat pe anul 2019</t>
  </si>
  <si>
    <t>BOOST 2019 Function Învăţămînt  / admin 1</t>
  </si>
  <si>
    <t>L E G E A bugetului de stat pe anul 2020</t>
  </si>
  <si>
    <t>Approuved budget</t>
  </si>
  <si>
    <t>Executed</t>
  </si>
  <si>
    <t>Legea Bugetului</t>
  </si>
  <si>
    <t>execution rate of the function</t>
  </si>
  <si>
    <t xml:space="preserve">Legea Bugetului Annex 4 </t>
  </si>
  <si>
    <r>
      <t xml:space="preserve">0220 Ministry of Education, Culture and Research - total recurente expenditure (code </t>
    </r>
    <r>
      <rPr>
        <u/>
        <sz val="11"/>
        <color rgb="FF00B050"/>
        <rFont val="Calibri"/>
        <family val="2"/>
        <scheme val="minor"/>
      </rPr>
      <t>(2+3)-3192</t>
    </r>
    <r>
      <rPr>
        <sz val="11"/>
        <color theme="1"/>
        <rFont val="Calibri"/>
        <family val="2"/>
        <scheme val="minor"/>
      </rPr>
      <t xml:space="preserve"> - 2542233.7*1000)
Total Capital investments in material assets of the ministry (code 3192) - 156294*1000</t>
    </r>
  </si>
  <si>
    <t xml:space="preserve">Recurrent </t>
  </si>
  <si>
    <t xml:space="preserve">Pag 62. it comes from the substraction of Cheltuieli curente - inclusiv transferuri curente acordate cu destinație specială către bugetele unităților administrativ-teritoriale
</t>
  </si>
  <si>
    <t>Education Sector
conform clasificației funcționale
Învățămînt</t>
  </si>
  <si>
    <t>Spent on education only</t>
  </si>
  <si>
    <t>Ministerul Educaţiei, Culturii şi Cercetării</t>
  </si>
  <si>
    <t>Function Învătământ</t>
  </si>
  <si>
    <t>Pag 62 Cheltuieli capitale</t>
  </si>
  <si>
    <t>Function Învăţămînt</t>
  </si>
  <si>
    <t>Other functions</t>
  </si>
  <si>
    <t>Excel Precizat col  X</t>
  </si>
  <si>
    <t>Excel Executat Col Y</t>
  </si>
  <si>
    <t>function Învăţămînt - Central</t>
  </si>
  <si>
    <t>Excel Precizat</t>
  </si>
  <si>
    <t>Excel Executat</t>
  </si>
  <si>
    <t>estimate = 2015</t>
  </si>
  <si>
    <t>Row 124 Education function, Central level</t>
  </si>
  <si>
    <t>104 State Office (Chancellery)</t>
  </si>
  <si>
    <t>0201 Cancelaria de Stat / State Chancellery</t>
  </si>
  <si>
    <t>0205 Ministry of Internal Affairs - 59123.1*1000</t>
  </si>
  <si>
    <t>125 Ministry of Agriculture and Food Industry</t>
  </si>
  <si>
    <t>0219 Ministerul Agriculturii, Dezvoltării Regionale şi Mediului</t>
  </si>
  <si>
    <t>128 Ministry of Health</t>
  </si>
  <si>
    <t>0221 Ministerul Sănătăţii, Muncii şi Protecţiei Sociale</t>
  </si>
  <si>
    <t>130 Ministry of Culture</t>
  </si>
  <si>
    <t>ministry of culture and ministry of education are merged</t>
  </si>
  <si>
    <t>it seems now ministry of culture and ministry of education are merged</t>
  </si>
  <si>
    <t>147 Ministry of Constructions and Regional Development</t>
  </si>
  <si>
    <t>Legea Buugetului</t>
  </si>
  <si>
    <t>All sections "Învăţămînt"</t>
  </si>
  <si>
    <t>157 Academy of Sciences of Moldova</t>
  </si>
  <si>
    <t>0501 Academia de Ştiinţe a Moldovei</t>
  </si>
  <si>
    <t>Page 10 0201 Cancelaria de Stat / State Chancellery</t>
  </si>
  <si>
    <t>Cancelaria de Stat / State Chancellery</t>
  </si>
  <si>
    <t>158 Public Administration Academy under the Republic of Moldova Presidency</t>
  </si>
  <si>
    <t>Pqge 14 0219 Ministerul Agriculturii, Dezvoltării Regionale şi Mediului</t>
  </si>
  <si>
    <t>Pqge 19 0219 Ministerul Agriculturii, Dezvoltării Regionale şi Mediului</t>
  </si>
  <si>
    <t>Ministerul Agriculturii, Dezvoltării Regionale şi Mediului</t>
  </si>
  <si>
    <t>200 General actions</t>
  </si>
  <si>
    <t>0799 General Actions (Acţiuni generale) - 09 Education (Învăţămînt)</t>
  </si>
  <si>
    <t>page 17 0221 Ministerul Sănătăţii, Muncii şi Protecţiei Sociale</t>
  </si>
  <si>
    <t>Ministerul Sănătăţii, Muncii şi Protecţiei Sociale</t>
  </si>
  <si>
    <t>460 National Agency for Quality Assurance in Professional Education</t>
  </si>
  <si>
    <t>0276 Agenţia Naţională de Asigurare a Calităţii în Învăţămîntul Profesional - 605.4*1000</t>
  </si>
  <si>
    <t>Page 16  205 Ministerul Afacerilor Interne</t>
  </si>
  <si>
    <t>Ministerul Afacerilor Interne</t>
  </si>
  <si>
    <t>Social Investment</t>
  </si>
  <si>
    <t>Page 17 0207 Ministerul Apărării</t>
  </si>
  <si>
    <t>Ministerul Apărării</t>
  </si>
  <si>
    <r>
      <t xml:space="preserve">Social programmes are under the Ministry of Health (Ministry of Health, Labor and </t>
    </r>
    <r>
      <rPr>
        <u/>
        <sz val="11"/>
        <color theme="1"/>
        <rFont val="Calibri"/>
        <family val="2"/>
        <scheme val="minor"/>
      </rPr>
      <t>Social Protection</t>
    </r>
    <r>
      <rPr>
        <sz val="11"/>
        <color theme="1"/>
        <rFont val="Calibri"/>
        <family val="2"/>
        <scheme val="minor"/>
      </rPr>
      <t xml:space="preserve"> /Ministerul Sănătăţii, Muncii şi Protecţiei Sociale)</t>
    </r>
  </si>
  <si>
    <t>page 24 0501 Academia de Ştiinţe a Moldovei</t>
  </si>
  <si>
    <t>Academia de Ştiinţe a Moldovei</t>
  </si>
  <si>
    <t>0219 Ministry of Agriculture (Ministerul Agriculturii, Dezvoltării Regionale şi Mediului) - 8809 Post-Secondary Technical Vocational Education (Învăţămînt profesional tehnic postsecundar)</t>
  </si>
  <si>
    <t>0221 Ministry og Health (Ministerul Sănătăţii, Muncii şi Protecţiei Sociale) - 8809 Post-Secondary Technical Vocational Education (Învăţămînt profesionaltehnic postsecundar)</t>
  </si>
  <si>
    <t>Page 26 0799 Acţiuni generale - 09 Education (Învăţămînt) except transfer to local</t>
  </si>
  <si>
    <t>Page 29 0799 Acţiuni generale - 09 Education (Învăţămînt) except transfer to local</t>
  </si>
  <si>
    <t>Acţiuni generale - 09 Education (Învăţămînt) except transfer to local</t>
  </si>
  <si>
    <t xml:space="preserve">Page 20 0276 Agenţia Naţională de Asigurare a Calităţii în Învăţămîntul Profesional </t>
  </si>
  <si>
    <t xml:space="preserve">Agenţia Naţională de Asigurare a Calităţii în Învăţămîntul Profesional </t>
  </si>
  <si>
    <t>0301 Superior Council of Magistracy (Consiliul Superior al Magistraturii) - 8806 Upper Secondary (Învăţământ liceal - Construcţia clădirii grădiniţei de copii din oraşul Călăraşi) - 1180.0*1000</t>
  </si>
  <si>
    <t>Page 25 0504 Fondul de Investiţii Sociale</t>
  </si>
  <si>
    <t>Page 27 0504 Fondul de Investiţii Sociale</t>
  </si>
  <si>
    <t>Fondul de Investiţii Sociale</t>
  </si>
  <si>
    <t>Page 29 0219 Ministry of Agriculture (Ministerul Agriculturii, Dezvoltării Regionale şi Mediului) - 8809 Post-Secondary Technical Vocational Education (Învăţămînt profesional tehnic postsecundar)</t>
  </si>
  <si>
    <t>Ministry of Agriculture (Ministerul Agriculturii, Dezvoltării Regionale şi Mediului) - 8809 Post-Secondary Technical Vocational Education (Învăţămînt profesional tehnic postsecundar)</t>
  </si>
  <si>
    <t>Page 30 0221 Ministry og Health (Ministerul Sănătăţii, Muncii şi Protecţiei Sociale) - 8809 Post-Secondary Technical Vocational Education (Învăţămînt profesionaltehnic postsecundar)</t>
  </si>
  <si>
    <t>Ministry og Health (Ministerul Sănătăţii, Muncii şi Protecţiei Sociale) - 8809 Post-Secondary Technical Vocational Education (Învăţămînt profesionaltehnic postsecundar)</t>
  </si>
  <si>
    <t>Capital investments by central public authorities - General actions = total Capital investments done by all ministryes and agencies on Education
Code - 88 - Education (Învăţămînt)
Code 8806 - Upper secondary education (Învăţămînt liceal)
Code 8808 - Secondary vocational education (Învăţămînt profesional tehnic secundar)
Code 8809 - Non-tertiary post-secondary (Învăţămînt profesional tehnic postsecundar)
Code 8810 - Tertiary education (Învăţămînt superior)
8814 Educaţia extraşcolară şi susţinerea elevilor dotaţi</t>
  </si>
  <si>
    <t>Page 4é 0504 Fondul de Investiţii Sociale</t>
  </si>
  <si>
    <t>*Apărării</t>
  </si>
  <si>
    <t>Asigurarea de catre stat a solilor sportive la nivel local</t>
  </si>
  <si>
    <t>129 Ministry of Education</t>
  </si>
  <si>
    <t>Districts</t>
  </si>
  <si>
    <t>LEGEA Bugetului de stat pentru anul 2017 nr 279 din 16.12.2016</t>
  </si>
  <si>
    <t>LEGEA Bugetului de stat pentru anul 2018 nr 289 din 15.12.2017</t>
  </si>
  <si>
    <t xml:space="preserve">page 39 </t>
  </si>
  <si>
    <t>Anexa 5 (transfer from state budget to local budget for education)</t>
  </si>
  <si>
    <t>The school equipment and furniture within the project "Education reform in Moldova"</t>
  </si>
  <si>
    <t>Econ2 = 291.00 &amp; fin_source= investment projects</t>
  </si>
  <si>
    <t>Precizat col  X</t>
  </si>
  <si>
    <t>Executat Col Y</t>
  </si>
  <si>
    <t>Precizat</t>
  </si>
  <si>
    <t>Adjusted</t>
  </si>
  <si>
    <t>BOOST Admin 1 = Locale</t>
  </si>
  <si>
    <t>Function 06 Education  - share external grants</t>
  </si>
  <si>
    <t>Econ2= "291.02 share external grants"</t>
  </si>
  <si>
    <t>Function 06 Education  - share external loans</t>
  </si>
  <si>
    <t>Econ2= "291.03 share external loans"</t>
  </si>
  <si>
    <t>row 125  inclusiv transferuri între BS și BL</t>
  </si>
  <si>
    <t>recurrent Cheltuieli</t>
  </si>
  <si>
    <t>Active ne financiare</t>
  </si>
  <si>
    <t>Function Education</t>
  </si>
  <si>
    <t>(include local &amp; other Mtries)</t>
  </si>
  <si>
    <t>Not clear if expenditures by Local Governments are fully funded from transfers received from Central Government
It seems that social contributions are all include in the staff costs paid  by the various departments</t>
  </si>
  <si>
    <t>Metical</t>
  </si>
  <si>
    <t>CONTA GERAL DO ESTADO
ANO 2011</t>
  </si>
  <si>
    <t>CONTA GERAL DO ESTADO
ANO 2014 VOLUME I</t>
  </si>
  <si>
    <t>RELATÓRIO DE EXECUÇÃO DO ORÇAMENTO DO ESTADO  ANO 2015 JANEIRO A SETEMBRO</t>
  </si>
  <si>
    <t>CONTA GERAL DO ESTADO
ANO 2015 VOLUME I</t>
  </si>
  <si>
    <t>http://www.dno.gov.mz/#nogo</t>
  </si>
  <si>
    <t>http://www.dno.gov.mz/docs/OE2016REV/BR_91_I_SERIE_SUPLEMENTO_2016.pdf</t>
  </si>
  <si>
    <t>CONTA GERAL DO ESTADO
ANO 2016 VOLUME I</t>
  </si>
  <si>
    <t>Orçamento Geral do Estado OGE 2017</t>
  </si>
  <si>
    <t>relatorio de execuçao do orçamento janeiro a setembro (9 months)</t>
  </si>
  <si>
    <t>Orçamento do Estado para 2018</t>
  </si>
  <si>
    <t>Orçamento do Estado para 2020</t>
  </si>
  <si>
    <t>Relatorio de execuçao do orçamento do estado 2020</t>
  </si>
  <si>
    <t>https://www.mef.gov.mz/index.php/documentos/instrumentos-de-gestao/-21</t>
  </si>
  <si>
    <t>Quadro 7 Equilibrio Orçamental</t>
  </si>
  <si>
    <t>Tabela 7 - Equilíbrio Orçamental</t>
  </si>
  <si>
    <t>Tabela 2 - Equilíbrio Orçamental</t>
  </si>
  <si>
    <t>Oramento final</t>
  </si>
  <si>
    <t>Realização</t>
  </si>
  <si>
    <t>CGE-VOLUME-I.pdf Tabela 7 - Equilíbrio Orçamental</t>
  </si>
  <si>
    <t>Mapa de Equilíbrio Orçàmental</t>
  </si>
  <si>
    <t>Orçamento actualizado</t>
  </si>
  <si>
    <t>page 48 Tabela 7 - Equilíbrio Orçamental</t>
  </si>
  <si>
    <t>Mapa A de Equilíbrio Orçàmental</t>
  </si>
  <si>
    <t>estimate from 9 months implementation</t>
  </si>
  <si>
    <t>Lei 11/2020</t>
  </si>
  <si>
    <t>Receitas do Estado</t>
  </si>
  <si>
    <t>Receitas do Estado y Donativos internos</t>
  </si>
  <si>
    <t>Quadro 7 page 20</t>
  </si>
  <si>
    <t>p8</t>
  </si>
  <si>
    <t>Mais valias</t>
  </si>
  <si>
    <t>Empréstimos Internos</t>
  </si>
  <si>
    <t>Emprestimos internos</t>
  </si>
  <si>
    <t>Donativos externos</t>
  </si>
  <si>
    <t>Quadro 9 page 23</t>
  </si>
  <si>
    <t>Emprestimos externos</t>
  </si>
  <si>
    <t>Quadro 9 page 24</t>
  </si>
  <si>
    <t>Page 92 Mapa III RESULTADOS GLOBAIS DA EXECUÇÃO ORÇAMENTAL</t>
  </si>
  <si>
    <t>MAPA A</t>
  </si>
  <si>
    <t>Page 60 Tabela 14</t>
  </si>
  <si>
    <t>Quadro 10 page 35</t>
  </si>
  <si>
    <t>2. DESPESAS DE FUNCIONAMENTO minus Encargos da Dívida</t>
  </si>
  <si>
    <t>Encargos da Dívida</t>
  </si>
  <si>
    <t>page 61 Encargos da Dívida</t>
  </si>
  <si>
    <t>Operaç. Financeiras</t>
  </si>
  <si>
    <t>p35 / execution estimée</t>
  </si>
  <si>
    <t>p26 (orçamento actualizado)</t>
  </si>
  <si>
    <t>Operações Financeiras</t>
  </si>
  <si>
    <t>Mapa III</t>
  </si>
  <si>
    <t>Mapas III- Despesa Total e Operações Financeiras</t>
  </si>
  <si>
    <t xml:space="preserve">CGE-VOLUME-I.pdf </t>
  </si>
  <si>
    <t>page 141</t>
  </si>
  <si>
    <t>Despesas com o Pessoal</t>
  </si>
  <si>
    <t>p26 (despesas com o Pess.)</t>
  </si>
  <si>
    <t>na</t>
  </si>
  <si>
    <t>Salários e Remunerações Pessoal civil</t>
  </si>
  <si>
    <t>p26 (salarios e remune.)</t>
  </si>
  <si>
    <t>page 142</t>
  </si>
  <si>
    <t>PENSÕES CIVIS</t>
  </si>
  <si>
    <t>p71 pdf (pensões civis)</t>
  </si>
  <si>
    <t>p70 pdf</t>
  </si>
  <si>
    <t>as in 2017</t>
  </si>
  <si>
    <t>calculated from basic salaries of civil staff</t>
  </si>
  <si>
    <t>Fundamentacao_do_OE_2017</t>
  </si>
  <si>
    <t>Fundamentacao_do_OE_2018</t>
  </si>
  <si>
    <t>Despesas por funçao 2018</t>
  </si>
  <si>
    <t>Estimée avec le taux de 2017</t>
  </si>
  <si>
    <t>Despesas por funçao 2019</t>
  </si>
  <si>
    <t>Relatorio de execuçao do orçamento do estado 2019</t>
  </si>
  <si>
    <t>Quadro 17- Despesa Segundo a Classificação Funcional</t>
  </si>
  <si>
    <t>Tabela 24 - Despesa dos Sectores Prioritários</t>
  </si>
  <si>
    <t>Tabela 30 - Despesas nos Sectores Económicos e Sociais</t>
  </si>
  <si>
    <t>CGE-VOLUME-I.pdf page 94 Mapa I-1-1- Resumo da Despesa Segundo a Classificação Funcional, em Comparação com a Dotação Orçamental</t>
  </si>
  <si>
    <t>Mapa I - 1-1 Resumo da Despesa Segundo a Classificação Funcional,</t>
  </si>
  <si>
    <t>Quadro 14 page 33</t>
  </si>
  <si>
    <t>p79 du pdf</t>
  </si>
  <si>
    <t>p78 du pdf</t>
  </si>
  <si>
    <t>Function Education Recurrent</t>
  </si>
  <si>
    <t>page 31 Quadro 13</t>
  </si>
  <si>
    <t>dépenses courantes</t>
  </si>
  <si>
    <t>Function Education Capirtal</t>
  </si>
  <si>
    <t>dépenses investissement</t>
  </si>
  <si>
    <t>not identified</t>
  </si>
  <si>
    <t>Mapa III-3</t>
  </si>
  <si>
    <t>Education  - share external grants</t>
  </si>
  <si>
    <t>page 94 Mapa I-1-1- Resumo da Despesa Segundo a Classificação Funcional, em Comparação com a Dotação Orçamental</t>
  </si>
  <si>
    <t>page 97 Mapa I-1-1- Resumo da Despesa Segundo a Classificação Funcional, em Comparação com a Dotação Orçamental</t>
  </si>
  <si>
    <t>orçamento estado 2018 - p32 / exécution estimée avec taux 2017</t>
  </si>
  <si>
    <t>orçamento estado 2019 - p47 / exécution estimée avec taux 2017</t>
  </si>
  <si>
    <t>Education  - share external loans</t>
  </si>
  <si>
    <t>Preprimary</t>
  </si>
  <si>
    <t xml:space="preserve">page 61 </t>
  </si>
  <si>
    <t>Primary 1° Grau</t>
  </si>
  <si>
    <t>Primary 2° Grau</t>
  </si>
  <si>
    <t>Primary Completo</t>
  </si>
  <si>
    <t>Salaries of education staff are not easily visibles in the documents used. Contributions for pensions were not included in the expenditure for education</t>
  </si>
  <si>
    <t>Nepalese Roupee</t>
  </si>
  <si>
    <t>000 NRps</t>
  </si>
  <si>
    <t>Initial Budget</t>
  </si>
  <si>
    <t>Budget speech of fiscal year 2013-14, July 2013</t>
  </si>
  <si>
    <t>Budget speech of fiscal year 2014-15, 13 July 2014</t>
  </si>
  <si>
    <t>Budget speech of fiscal year 2015-16, 14 July 2015</t>
  </si>
  <si>
    <t>Budget Speech of Fiscal Year 2016/17</t>
  </si>
  <si>
    <t>http://www.mof.gov.np/uploads/document/file/Budget_Speech_final_2016_20160602105902.pdf</t>
  </si>
  <si>
    <t>Budget Speech of Fiscal Year 2017/18</t>
  </si>
  <si>
    <t>http://www.mof.gov.np/en/archive-documents/budget-speech-17.html?lang=</t>
  </si>
  <si>
    <t>Budget Speech of Fiscal Year 2018/19</t>
  </si>
  <si>
    <t>https://mof.gov.np/uploads/document/file/Red%20Book%20Central%202074-75_20170530083940.pdf</t>
  </si>
  <si>
    <t>Budget Speech of Fiscal Year 2019/20</t>
  </si>
  <si>
    <t xml:space="preserve">estimated with 2017-18 implementation </t>
  </si>
  <si>
    <t>Budget Speech of Fiscal Year 2020/21</t>
  </si>
  <si>
    <t>https://mof.gov.np/en/</t>
  </si>
  <si>
    <t xml:space="preserve">estimated with 2018/19 implementation </t>
  </si>
  <si>
    <t>Annex - 1 Budget Summary</t>
  </si>
  <si>
    <t>in red: equal to budget</t>
  </si>
  <si>
    <t>page 47</t>
  </si>
  <si>
    <t>Budget Speech: 2018-19: Page Annex I</t>
  </si>
  <si>
    <t>Revenue sharing Provinces &amp; Local</t>
  </si>
  <si>
    <t>Page 55</t>
  </si>
  <si>
    <t>not including financing</t>
  </si>
  <si>
    <t>Annex - 7 Budget Summary</t>
  </si>
  <si>
    <t>Internal and external debt</t>
  </si>
  <si>
    <t>Annex-7 Administrative Expenditure Estmates</t>
  </si>
  <si>
    <t>page 54</t>
  </si>
  <si>
    <t>Page 54</t>
  </si>
  <si>
    <t>Page 60-61</t>
  </si>
  <si>
    <t>pages 70-73</t>
  </si>
  <si>
    <t>Page 70-73</t>
  </si>
  <si>
    <t>Page 57</t>
  </si>
  <si>
    <t>Annex - 8 Budget Summary</t>
  </si>
  <si>
    <t>Code 21000 Compensation of employees</t>
  </si>
  <si>
    <t>Code 21111 Employee Salary</t>
  </si>
  <si>
    <t>page 63</t>
  </si>
  <si>
    <t>page 62 Annex 3</t>
  </si>
  <si>
    <t xml:space="preserve">page73 Annex-7 Administrative Expenditure </t>
  </si>
  <si>
    <t>Annex 7</t>
  </si>
  <si>
    <t>page 57 retirement benefits</t>
  </si>
  <si>
    <t>code 27310 retirement benefits</t>
  </si>
  <si>
    <t>civil servants only (not teachers)</t>
  </si>
  <si>
    <t>Redbook page 543 &amp; 544</t>
  </si>
  <si>
    <t>Up to FY2016-17: District and Villages Development Committees, Municipalities. Starting with 2017-18: Shift to Federalism, Povinces and Local Governments are receiving unmarked funding (revenue sharing not part of Federal budget, Equalization grants from Federal Budget) and earmarked funding (conditional grants)</t>
  </si>
  <si>
    <t>Recurrent expenditure/ transfer</t>
  </si>
  <si>
    <t>Unconditional + Conditional Recurrent DDCs +VDCs+Municipalities</t>
  </si>
  <si>
    <t>Equalization grant Province</t>
  </si>
  <si>
    <t>Code 26331 Equalization grants to Localp72</t>
  </si>
  <si>
    <t>Code 26331(Local) &amp; 26511 (State) Equalization grants p72</t>
  </si>
  <si>
    <t>Code 26511 Equalization to States grants p73</t>
  </si>
  <si>
    <t>Unconditional + ConditionalCapital DDCs + Municipalities</t>
  </si>
  <si>
    <t>Equalization grant LGs</t>
  </si>
  <si>
    <t>Revenue Sharing</t>
  </si>
  <si>
    <t>Revenue sharing</t>
  </si>
  <si>
    <t>Estimates of expenditures "Red book" FY 2013-14</t>
  </si>
  <si>
    <t>Estimates of expenditures "Red book" FY 2014-15</t>
  </si>
  <si>
    <t>Estimates of expenditures "Red book"  FY 2015-16</t>
  </si>
  <si>
    <t>Estimates of expenditures "Red book" FY 2015-16</t>
  </si>
  <si>
    <t>Budget speech -Annex-5 Functional Expenditure Estimates</t>
  </si>
  <si>
    <t>Budget speech -Annex-7 Administrative expenditure</t>
  </si>
  <si>
    <t>https://www.globalpartnership.org/sites/default/files/2019-05-nepal-implementation-plan-ssdp.pdf</t>
  </si>
  <si>
    <t>Budget speech -Administrative expenditure</t>
  </si>
  <si>
    <t>Budget speech -Annex 7 Administrative expenditure</t>
  </si>
  <si>
    <t>Page 72 -73</t>
  </si>
  <si>
    <t>Page 67</t>
  </si>
  <si>
    <t>Page 61</t>
  </si>
  <si>
    <t>redbook Pages 442 to 471</t>
  </si>
  <si>
    <t>Conditional grants to provinces</t>
  </si>
  <si>
    <t>ASIP 18 19 Annex 2 Conditional grants to local</t>
  </si>
  <si>
    <t>Conditional grants Annex 4 Education to Local Gvts</t>
  </si>
  <si>
    <t>Annex 4 Education to Local Gvts</t>
  </si>
  <si>
    <t>Conditional grants transfered to LGs and PGs</t>
  </si>
  <si>
    <t>Conditional grants to Local Governments</t>
  </si>
  <si>
    <t>SSDP budget status report</t>
  </si>
  <si>
    <t>ASIP 18 19 Annex 3 Conditional grants to Provinces</t>
  </si>
  <si>
    <t>Conditional Grants Annex 4 Education to Provinces</t>
  </si>
  <si>
    <t>Annex 4 Education to Provinces</t>
  </si>
  <si>
    <t>Name 2</t>
  </si>
  <si>
    <t>Name 3</t>
  </si>
  <si>
    <t>http://www.mof.gov.np/uploads/document/file/Red_Book_English%20Fy2016-17_20160912045153.pdf</t>
  </si>
  <si>
    <t>Red book 2016-17</t>
  </si>
  <si>
    <t>Red book2017-18</t>
  </si>
  <si>
    <t>RedBook 18-19</t>
  </si>
  <si>
    <t>in red equal to budget</t>
  </si>
  <si>
    <t xml:space="preserve">Red book 2019-20 only in Nepalese </t>
  </si>
  <si>
    <t>Health</t>
  </si>
  <si>
    <t>page 582 &amp; 583, 605</t>
  </si>
  <si>
    <t>370102 National Academy of Medical Sciences; 370139 Karnali Health Science Academy; 37000139 Patan Health Science Academy; 37000110 BP Koirala Institute of Health Science + starting with 2018-19 :  Rapti Health Academy ; Pokhara Health Science Academy</t>
  </si>
  <si>
    <t>10,55,09</t>
  </si>
  <si>
    <t>Page 540</t>
  </si>
  <si>
    <t>Turism</t>
  </si>
  <si>
    <t>page 240</t>
  </si>
  <si>
    <t>Page 297</t>
  </si>
  <si>
    <t>page 240 / 339  for 19/20</t>
  </si>
  <si>
    <t>325102 Nepal Tourism and Hotel Management Academy</t>
  </si>
  <si>
    <t>Defence</t>
  </si>
  <si>
    <t>page 411</t>
  </si>
  <si>
    <t>page 399</t>
  </si>
  <si>
    <t xml:space="preserve">345016 Army Command and Staff college </t>
  </si>
  <si>
    <t>page 412</t>
  </si>
  <si>
    <t>Home Affairs</t>
  </si>
  <si>
    <t>page 211</t>
  </si>
  <si>
    <t>page 281</t>
  </si>
  <si>
    <t>314026 National Police Academy</t>
  </si>
  <si>
    <t>page 206</t>
  </si>
  <si>
    <t>Name 6</t>
  </si>
  <si>
    <t>Name 7</t>
  </si>
  <si>
    <t>implementation rate of MOEST current expenditures</t>
  </si>
  <si>
    <t>page 442 to 459</t>
  </si>
  <si>
    <t>page 424 to 459</t>
  </si>
  <si>
    <t>Estimates</t>
  </si>
  <si>
    <t>Name 8</t>
  </si>
  <si>
    <t>SSDP ASIP 2018-19</t>
  </si>
  <si>
    <t>Budget sppech page 46</t>
  </si>
  <si>
    <t>From Education Sector Analysis for SSDP revision, 2020</t>
  </si>
  <si>
    <t>6% equalization LG ; 12% Equalization Provinces</t>
  </si>
  <si>
    <t>Province</t>
  </si>
  <si>
    <t>Province : 12.1% of equalization grant</t>
  </si>
  <si>
    <t>Province : 11.8% of equalization grant</t>
  </si>
  <si>
    <t>Expenditures from non-earmarked resources</t>
  </si>
  <si>
    <t>Local</t>
  </si>
  <si>
    <t>Local Governments: 9.0% of equalization grant</t>
  </si>
  <si>
    <t>% estimated from the work on National Education Accounts</t>
  </si>
  <si>
    <t>average LG and Provinces</t>
  </si>
  <si>
    <t>as for 2017-18 budget</t>
  </si>
  <si>
    <t>page 453 to 471</t>
  </si>
  <si>
    <t>Red book: page 424</t>
  </si>
  <si>
    <t>IDA &amp; ADB</t>
  </si>
  <si>
    <t>Name 4</t>
  </si>
  <si>
    <t>Page 211 Police Academy</t>
  </si>
  <si>
    <t>page 65</t>
  </si>
  <si>
    <t>avalable on budget</t>
  </si>
  <si>
    <t>Total Government : no major difficulty, sufficient information in the annexex to the budget speech
Education budget : Ok for total, 2015-16 budget available only in Nepalese
Local Governments: requiress information that is not in the budget</t>
  </si>
  <si>
    <t>Cordoba</t>
  </si>
  <si>
    <t>ejecucion</t>
  </si>
  <si>
    <t>Presupuesto actualizado</t>
  </si>
  <si>
    <t>Budget executed JAN-SEP 2017</t>
  </si>
  <si>
    <t>Actual expenditure (Jan - Dec 2017)</t>
  </si>
  <si>
    <t>Estimated (internal)</t>
  </si>
  <si>
    <t>www.hacienda.gov.ni not available, another site was used, however budget only and limited information</t>
  </si>
  <si>
    <t>Informe de Liquidación del Presupuesto General de la República 2011</t>
  </si>
  <si>
    <t>Informe de Liquidación del Presupuesto General de la República 2014</t>
  </si>
  <si>
    <t xml:space="preserve">Informe de Liquidación del Presupuesto General de la República 2015 </t>
  </si>
  <si>
    <t>http://www.hacienda.gob.ni/documentos/presupuesto/informes/2015/Informe%20de%20Liquidacion%20del%20Presupuesto%20General%20de%20la%20Republica%202015.pdf/view</t>
  </si>
  <si>
    <t>Informe de la Ejecución Presupuestaria Enero-Septiembre 2016</t>
  </si>
  <si>
    <t>http://www.hacienda.gob.ni/documentos/presupuesto/informes/2016/Informe de Ejecucicion Presupuestaria Ene-Sept 2016</t>
  </si>
  <si>
    <t>Estimates based on Implentation 3 quarters up to September</t>
  </si>
  <si>
    <t>Informe de la Ejecución Presupuestaria Enero-Septiembre 2017</t>
  </si>
  <si>
    <t>http://www.hacienda.gob.ni/documentos/presupuesto/informes/2017/Informe%20de%20Ejecucion%20Presupuestaria%20Enero%20-%20Septiembre%202017.pdf/view</t>
  </si>
  <si>
    <t>http://www.hacienda.gob.ni/documentos/presupuesto/informes/2017/Informe%20de%20Liquidacion%20del%20Presupuesto%20General%20de%20la%20Republica%202017.pdf/view</t>
  </si>
  <si>
    <t>Informe de la Ejecución Presupuestaria 2018</t>
  </si>
  <si>
    <t>http://www.hacienda.gob.ni/documentos/presupuesto/informes/2018/Informe%20de%20Liquidacion%20del%20Presupuesto%20General%20de%20la%20Republica%202018.pdf/view?searchterm=presupuesto%202018</t>
  </si>
  <si>
    <t>execution rate</t>
  </si>
  <si>
    <t>Presupuesto de Ingresos - 2019</t>
  </si>
  <si>
    <t>http://www.nuestropresupuesto.org/ingresos/</t>
  </si>
  <si>
    <t>Page 182 Cuadro N°1 Ingresos, Gastos y Financiamiento</t>
  </si>
  <si>
    <t>Page 64 Cuadro N°1 Ingresos, Gastos y Financiamiento</t>
  </si>
  <si>
    <t>Page 199 Cuadro 1 Classificacion Economica de Gastos</t>
  </si>
  <si>
    <t>Ingesos Totales</t>
  </si>
  <si>
    <t>IV Necessidad de Financiamento - Donaciones Externas</t>
  </si>
  <si>
    <t>4,422,070</t>
  </si>
  <si>
    <t>Donaciones externas</t>
  </si>
  <si>
    <t>n/d</t>
  </si>
  <si>
    <t>See Cuadro 25  page 384</t>
  </si>
  <si>
    <t>Ingresos Totales + Donaciones externos</t>
  </si>
  <si>
    <t>Page 188 Cuadro 4 Classificacion Economica de Gastos</t>
  </si>
  <si>
    <t>Page 70 Cuadro 4 Classificacion Economica de Gastos</t>
  </si>
  <si>
    <t>Presupuesto funcional 2019</t>
  </si>
  <si>
    <t>http://www.nuestropresupuesto.org/presupuestos/funcionales/</t>
  </si>
  <si>
    <t>Gasto Corrientes - Interes</t>
  </si>
  <si>
    <t>Cuadro 1 Anexo 1</t>
  </si>
  <si>
    <t>Gasto Capital</t>
  </si>
  <si>
    <t>Interes</t>
  </si>
  <si>
    <t>Amortizacion Deuda Interna y Externa</t>
  </si>
  <si>
    <t>Cuadro 1</t>
  </si>
  <si>
    <t>Total Gastos +,Amortizacion</t>
  </si>
  <si>
    <t>Page 190 Cuadro 5</t>
  </si>
  <si>
    <t>Page 72 Cuadro 5</t>
  </si>
  <si>
    <t>Titulo 2 y Anexos</t>
  </si>
  <si>
    <t>http://www.hacienda.gob.ni/documentos/presupuesto/informes/201/Informe de Ejecucicion Presupuestaria Ene-Sept 2017</t>
  </si>
  <si>
    <t>Presupuesto funcional2019  - Educacion</t>
  </si>
  <si>
    <t>MINISTERIO DE EDUCACIÓN</t>
  </si>
  <si>
    <t>Page 205  Cuadro 8</t>
  </si>
  <si>
    <t>Educación Primaria</t>
  </si>
  <si>
    <t>Educación Secundaria</t>
  </si>
  <si>
    <t>Actividades Centrales</t>
  </si>
  <si>
    <t>Educación Pre-escolar</t>
  </si>
  <si>
    <t>Formación y Desarrollo Profesional Docente</t>
  </si>
  <si>
    <t>Alfabetización y Educación de Adultos</t>
  </si>
  <si>
    <t>Educación Especial</t>
  </si>
  <si>
    <t>Page 204  Cuadro 8</t>
  </si>
  <si>
    <t>Page 87  Cuadro 8</t>
  </si>
  <si>
    <t>Cuadro 8</t>
  </si>
  <si>
    <t>Page 88  Cuadro 8, Page 100 Cuadro 11</t>
  </si>
  <si>
    <t>Other Ministries/ Subvented organizations</t>
  </si>
  <si>
    <t>Pages 192-194 Cuadro 6-A Asignaciones y Subvenciones</t>
  </si>
  <si>
    <t>Pages 74-76 Cuadro 6-A Asignaciones y Subvenciones</t>
  </si>
  <si>
    <t>Pages 73-75 Cuadro 6-A Asignaciones y Subvenciones</t>
  </si>
  <si>
    <t>Pages 206-211 Cuadro 9 for the detail recurrent/Capital</t>
  </si>
  <si>
    <t>Pages 94-95 Cuadro 9 for the detail recurrent/Capital</t>
  </si>
  <si>
    <t>UNIVERSIDADES (ENERGÍA ELÉCTRICA, AGUA Y TELEFONÍA NACIONAL)</t>
  </si>
  <si>
    <t>UNIVERSIDADES Y CENTROS DE EDUCACIÓN TÉCNICA SUPERIOR2</t>
  </si>
  <si>
    <t>pagina 185</t>
  </si>
  <si>
    <t>CONSEJO NACIONAL DE EVALUACIÓN Y ACREDITACIÓN DEL SISTEMA EDUCATIVO</t>
  </si>
  <si>
    <t>UNICA (PROGRAMA PARA FORMACIÓN MAESTROS EMPÍRICOS)</t>
  </si>
  <si>
    <t>INSTITUTO NACIONAL TECNOLOGICO (INATEC)</t>
  </si>
  <si>
    <t>INSTITUTO TECNOLÓGICO NACIONAL</t>
  </si>
  <si>
    <t>Fundación la Verde Sonrisa</t>
  </si>
  <si>
    <t>Subvenciones a Centros Religiosos, Culturales, Deportivos y Organizaciones Sin Fines de Lucro</t>
  </si>
  <si>
    <t>Ministerio de Salud</t>
  </si>
  <si>
    <t>Policía Nacional</t>
  </si>
  <si>
    <t>Ministerio de la Juventud</t>
  </si>
  <si>
    <t>Ministerio de Gobernación</t>
  </si>
  <si>
    <t>Name 11</t>
  </si>
  <si>
    <t xml:space="preserve">Cuadro 12 </t>
  </si>
  <si>
    <t>Cuadro 12</t>
  </si>
  <si>
    <t>Cuadro 14</t>
  </si>
  <si>
    <t>page 244</t>
  </si>
  <si>
    <t>Page1/5 Cuadro 11</t>
  </si>
  <si>
    <t>Cuadro 20</t>
  </si>
  <si>
    <t>Page 316</t>
  </si>
  <si>
    <t>page 182</t>
  </si>
  <si>
    <t>Seccion II Presupuesto de egresos  (Ministerio de educacion)</t>
  </si>
  <si>
    <t>total Prescolar + Primario</t>
  </si>
  <si>
    <t>y compris service dette</t>
  </si>
  <si>
    <t>source</t>
  </si>
  <si>
    <t>http://www.hacienda.gob.ni/documentos/presupuesto/informes</t>
  </si>
  <si>
    <t>http://www.hacienda.gob.ni/documentos/presupuesto/informes/2017/Informe de Ejecucicion Presupuestaria Ene-Sept 2017</t>
  </si>
  <si>
    <t>RECURRENT EXPENDITURE IS CLEARLY INCORRECT FOR 2018 - LINE 108</t>
  </si>
  <si>
    <t>Colonne remplie en 2018</t>
  </si>
  <si>
    <t>milliards FCFA</t>
  </si>
  <si>
    <t>milliards de FCFA</t>
  </si>
  <si>
    <t>Rapport d'Execution du Budget Fin De cembre 2014 version   16-02-2015</t>
  </si>
  <si>
    <t>Rapport  Provisoire d'Exécution du Budget Général de   l'Etat à Fin dec2015 version du 18_02_2016</t>
  </si>
  <si>
    <t>Journal officiel ( 26 decembre 2014)</t>
  </si>
  <si>
    <t>Niger LF rectificative 2016</t>
  </si>
  <si>
    <t>RAPPORT D’EXECUTION DU BUDGET GENERAL DE L’ETAT AU TITRE DU QUATRIEME TRIMESTRE 2016
Version provisoire, JANVIER 2017</t>
  </si>
  <si>
    <t>http://www.stat-niger.org/statistique/index.php/lois-et-decrets/107-rapport-provisoire-sur-l-execution-du-budget-general-de-l-etat-au-titre-du-quatrieme-trimestre-2016</t>
  </si>
  <si>
    <t>RAPPORT D’EXECUTION DU BUDGET GENERAL DE L’ETAT AU TITRE DU QUATRIEME TRIMESTRE 2017
Version provisoire, JANVIER 2018</t>
  </si>
  <si>
    <t>http://www.stat-niger.org/statistique/index.php</t>
  </si>
  <si>
    <t>LFI 2018 1er cahier</t>
  </si>
  <si>
    <t>http://www.stat-niger.org/statistique/index.php/lois-et-decrets/114-version-journal-officiel-de-la-loi-de-finances-2018</t>
  </si>
  <si>
    <t>Estimation taux d'exécution</t>
  </si>
  <si>
    <t>Rapport d'execution 2018</t>
  </si>
  <si>
    <t>http://www.finances.gouv.ne</t>
  </si>
  <si>
    <t>Rapport provisoire d'execution 2019</t>
  </si>
  <si>
    <t>http://www.finances.gouv.ne/</t>
  </si>
  <si>
    <t>Rapport provisoire d'execution décembre 2019</t>
  </si>
  <si>
    <t>Rapport provisoire d'execution Septembre 2020</t>
  </si>
  <si>
    <t>Rapport execution Septembre 2020</t>
  </si>
  <si>
    <t>tableau page 11</t>
  </si>
  <si>
    <t>tableau page 9</t>
  </si>
  <si>
    <t>tableau page 48</t>
  </si>
  <si>
    <t xml:space="preserve">Rapport d'execution 4e trimestre 2018 </t>
  </si>
  <si>
    <t xml:space="preserve">Rapport provisoire d'execution 4e trimestre 2019 </t>
  </si>
  <si>
    <t>Estimation sur base 9 mois</t>
  </si>
  <si>
    <t>Ressources internes</t>
  </si>
  <si>
    <t>P 729</t>
  </si>
  <si>
    <t>P 1058</t>
  </si>
  <si>
    <t>Tableau 5 (Page 12)</t>
  </si>
  <si>
    <t>Tableau 6 (Page 11)</t>
  </si>
  <si>
    <t>Tableau 6 (Page 13)</t>
  </si>
  <si>
    <t>Subventions Extérieur</t>
  </si>
  <si>
    <t>Prêts Extérieur</t>
  </si>
  <si>
    <t>non compris obligations du trésor</t>
  </si>
  <si>
    <t>Tableau page 13</t>
  </si>
  <si>
    <t>Tableau page 11</t>
  </si>
  <si>
    <t>Tableau page 48</t>
  </si>
  <si>
    <t>Tableau 6 (Page 15)</t>
  </si>
  <si>
    <t>Tableau 8(Page 15)</t>
  </si>
  <si>
    <t>Tableau 8 (Pages 15 et 16)</t>
  </si>
  <si>
    <t>article 43 page 48</t>
  </si>
  <si>
    <t>sur ressources internes</t>
  </si>
  <si>
    <t>sur ressources externes</t>
  </si>
  <si>
    <t>Amortissement de la Dette (Page 9)</t>
  </si>
  <si>
    <t>Dette publique principal et intérêts</t>
  </si>
  <si>
    <t>page 20 Compte spécial Subvention au FNR</t>
  </si>
  <si>
    <t>Fichier BOOST</t>
  </si>
  <si>
    <t>Estimations avec taux d'exécution</t>
  </si>
  <si>
    <t>Rapport provisoire d'execution du budget general de l'etat en fin Decembre 2019</t>
  </si>
  <si>
    <t>courant + capital</t>
  </si>
  <si>
    <t>utilisation de taux moyens pour l'ensemble des 4 ministères</t>
  </si>
  <si>
    <t>Parie entourée de jaune : Utilise une répartition par programme</t>
  </si>
  <si>
    <t>Par ministère</t>
  </si>
  <si>
    <t>Annexes</t>
  </si>
  <si>
    <t>MINISTERE DE L'ENSEIGNEMENT PRIMAIRE, DE L'ALPHABETISATION, DE LA PROMOTION DES LANGUES NATIONALES ET DE L'EDUCATION CIV</t>
  </si>
  <si>
    <t>108 :Développement de l'enseignement supérieur</t>
  </si>
  <si>
    <t>109:Développement de la recherche et de l'innovation</t>
  </si>
  <si>
    <t>Pages 39-43</t>
  </si>
  <si>
    <t>110:Pilotage et administration de l'enseignement supérieur, de la recherche et de
l'innovation</t>
  </si>
  <si>
    <t>MINISTERE DES ENSEIGNEMENTS SECONDAIRES</t>
  </si>
  <si>
    <t>117:Développement et modernisation de l'enseignement et formation technique et
professionnel (EFTP)</t>
  </si>
  <si>
    <t>118:Insertion et accompagnement des sortants de l'enseignement et formation
technique et professionnel (EFTP)</t>
  </si>
  <si>
    <t>Pages 59-60</t>
  </si>
  <si>
    <t>119:Pilotage et Administration de l'enseignement et formation technique et
professionnel (EFTP)</t>
  </si>
  <si>
    <t>MINISTERE DES ENSEIGNEMENTS PROFESSIONNELS ET TECHNIQUES</t>
  </si>
  <si>
    <t>149:Pilotage et administration de la politique des enseignements secondaires</t>
  </si>
  <si>
    <t>150:Développement de l'accès et de l'équité aux cycles de base 2 et moyen</t>
  </si>
  <si>
    <t>Pages 58-59</t>
  </si>
  <si>
    <t>151:Amélioration de la qualité des enseignements</t>
  </si>
  <si>
    <t>MINISTERE DES ENSEIGNEMENTS  SUPERIEUR ,DE LA RECHERCHE ET DE L'INNOVATION</t>
  </si>
  <si>
    <t>210:Accés et équité de l'éducation primaire</t>
  </si>
  <si>
    <t>211:Qualité de l'éducation</t>
  </si>
  <si>
    <t>Pages 43-45</t>
  </si>
  <si>
    <t>212:Alphabétisation et éducation non formelle</t>
  </si>
  <si>
    <t>213:Pilotage et administration de la politique de l'enseignement primaire</t>
  </si>
  <si>
    <t>estimé comme 2017</t>
  </si>
  <si>
    <t>La   nomenclature par programme ne permet plus d'isoler ces structure</t>
  </si>
  <si>
    <t xml:space="preserve">Evaluation à partir du total </t>
  </si>
  <si>
    <t>MINISTERE DE LA DEFENSE NATIONALE</t>
  </si>
  <si>
    <t>ECOLE GENDARMERIE NATIONALE</t>
  </si>
  <si>
    <t>Tous ministères</t>
  </si>
  <si>
    <t>ECOLE DE FORMATION DES OFFICIERS DE FAN</t>
  </si>
  <si>
    <t>PRYTANEE MILITAIRE DE NIAMEY</t>
  </si>
  <si>
    <t>MINISTERE DE L'INTERIEUR, DE LA SECURITE PUBLIQUE</t>
  </si>
  <si>
    <t>ECOLE NATIONALE DE POLICE</t>
  </si>
  <si>
    <t>MINISTERE DE LA SANTE PUBLIQUE</t>
  </si>
  <si>
    <t>ECOLE NATIONALE DE LA SANTE PUBLIQUE (ENSP) ZINDER</t>
  </si>
  <si>
    <t>ECOLE NATIONALE DE LA SANTE PUBLIQUE (ENSP) NIAMEY</t>
  </si>
  <si>
    <t>Institut de Santé Publique</t>
  </si>
  <si>
    <t>Centre de formation des mèdecins de Ouallam</t>
  </si>
  <si>
    <t>ENAM</t>
  </si>
  <si>
    <t>Ecole Nationale d'Administration</t>
  </si>
  <si>
    <t>Dépenses en capital</t>
  </si>
  <si>
    <t>Rapport d'execution 2019</t>
  </si>
  <si>
    <t>Rapport provisoire d'execution septembre 2020</t>
  </si>
  <si>
    <t>MINISTERE DE L'ENSEIGNEMENT SUPERIEUR, DE LA RECHERCHE ET DE L'INNOVATION</t>
  </si>
  <si>
    <t>programmes (210,211,212,213): Categorie 2</t>
  </si>
  <si>
    <t>programmes (149,150,151): categorie 2</t>
  </si>
  <si>
    <t xml:space="preserve">MINISTERE DES ENSEIGNEMENTS SECONDAIRES
                                                                                                                                                                                                                                                                                                                                                                                                                                                                                                                         </t>
  </si>
  <si>
    <t>programmes (117,118,119): categorie 2</t>
  </si>
  <si>
    <t>MINISTERE DE L'ENSEIGNEMENT PRIMAIRE, DE L'ALPHABETISATION , DE LA PROMOTION DES LANGUES NATIONALES ET DE L'EDUCATION CIVIQUE</t>
  </si>
  <si>
    <t>programmes (108,109,110): categorie 2</t>
  </si>
  <si>
    <t>Enseignement préscolaire et primaire</t>
  </si>
  <si>
    <t>Ministère primaire sauf alphabétisation/non formel</t>
  </si>
  <si>
    <t>Jigawa State</t>
  </si>
  <si>
    <t>Fiscal year</t>
  </si>
  <si>
    <t>Naira</t>
  </si>
  <si>
    <t>2018 Full Year Implementation Report</t>
  </si>
  <si>
    <t>http://www.jigawastate.gov.ng/budget.php</t>
  </si>
  <si>
    <t>2019 Full Year Implementation Report</t>
  </si>
  <si>
    <t>2020 Full Year Implementation Report</t>
  </si>
  <si>
    <t>Table 2 page 7 and Appendix 3 page 26</t>
  </si>
  <si>
    <t>Table 4 page 8 and Appendix 3 page 21</t>
  </si>
  <si>
    <t>Recurrent income + capital except external</t>
  </si>
  <si>
    <t>External list inappendix 3 page 21</t>
  </si>
  <si>
    <t>Appendix page 16 External grants</t>
  </si>
  <si>
    <t>Appendix page 16 External loans</t>
  </si>
  <si>
    <t>Total except 2019 opening balance and Internal loans</t>
  </si>
  <si>
    <t>Table 3 page 9</t>
  </si>
  <si>
    <t>Table 5 page 10</t>
  </si>
  <si>
    <t>Table page 12</t>
  </si>
  <si>
    <t>Including stabilization fund</t>
  </si>
  <si>
    <t>Table 4 page 10</t>
  </si>
  <si>
    <t>Appendix page 22 row 21</t>
  </si>
  <si>
    <t>page 17 org code 012500100406</t>
  </si>
  <si>
    <t>List of codes "0517" considered for Education Ministry</t>
  </si>
  <si>
    <t>All codes "0517" see list at the right</t>
  </si>
  <si>
    <t>Education Ministry of Education - recurrent</t>
  </si>
  <si>
    <t>Table 3 page 9 (personnel) + page 31 (other recurrent)</t>
  </si>
  <si>
    <t>Appendix page 23 (personnel), page 25 (other recurrent)</t>
  </si>
  <si>
    <t>Appendix page 18 (personnel), page 20 (other recurrent- Overhead)</t>
  </si>
  <si>
    <t>051700100100 Ministry of Education, Science &amp; Technology</t>
  </si>
  <si>
    <t>Education Ministry of Education - Capital</t>
  </si>
  <si>
    <t>Table 6 page 12</t>
  </si>
  <si>
    <t>Table 7 page 12 (or from list page 30)</t>
  </si>
  <si>
    <t>Table page 24-25</t>
  </si>
  <si>
    <t>051700100200 State Educational Inspectorate &amp; Monitoring Unit</t>
  </si>
  <si>
    <t>051700300100 State Universal Basic Education Board</t>
  </si>
  <si>
    <t xml:space="preserve">051700300103 Inspectorate Headquarters &amp; Zones </t>
  </si>
  <si>
    <t>051700400100 Local Education Authority</t>
  </si>
  <si>
    <t>051700800100 Library Board</t>
  </si>
  <si>
    <t>051701000100 Agency for Mass Education</t>
  </si>
  <si>
    <t>051701100100 Nomadic Education Agency</t>
  </si>
  <si>
    <t>Appendix page 29 (personnel), page 3é (other recurrent)</t>
  </si>
  <si>
    <t>Appendix page 23 (personnel), page 26 (other recurrent)</t>
  </si>
  <si>
    <t>Schools of nursing + school of health technology</t>
  </si>
  <si>
    <t>051701800100 Jigawa State Polytechnic</t>
  </si>
  <si>
    <t>051701800200 Bilyaminu Usman Polytechnic Hadejia</t>
  </si>
  <si>
    <t>Capital Table page 25</t>
  </si>
  <si>
    <t xml:space="preserve">051701900100 Jigawa State College of Education </t>
  </si>
  <si>
    <t>051702100100 Sule Lamido University</t>
  </si>
  <si>
    <t>051705500100 Science &amp; Technical Education Board</t>
  </si>
  <si>
    <t>051705600100 Jigawa State Scholarship Board</t>
  </si>
  <si>
    <t>051705600200 Dutse Model / Capital School</t>
  </si>
  <si>
    <t>051706000100 Jigawa State College of Islamic Legal Studies</t>
  </si>
  <si>
    <t>051706100100 Institute of Information Technology</t>
  </si>
  <si>
    <t>051706300100 Islamic Education Bureau</t>
  </si>
  <si>
    <t>appendix page 29</t>
  </si>
  <si>
    <t>School of Nursing Birnin Kudu; Midwifery Birnin Kudu; Hadejia; School of Health Technology</t>
  </si>
  <si>
    <t>051706400100 Bamaina Academy</t>
  </si>
  <si>
    <t xml:space="preserve">051706500100 Jigawa State College of Remedial Studies </t>
  </si>
  <si>
    <t>Kaduna State</t>
  </si>
  <si>
    <t>Approved Budget</t>
  </si>
  <si>
    <t>Report of the Accountant General
IPSAS Financial statements for the yrear ended 31 Decemner 2018</t>
  </si>
  <si>
    <t>https://finance.kdsg.gov.ng/</t>
  </si>
  <si>
    <t>Financial Statements 2019</t>
  </si>
  <si>
    <t>Approved Budget 2020</t>
  </si>
  <si>
    <t>Final Budget 2018</t>
  </si>
  <si>
    <t>Actual 2018</t>
  </si>
  <si>
    <t>Page 23 PDF Comparison of budget and actual amounts</t>
  </si>
  <si>
    <t>Statement n°5 page 7</t>
  </si>
  <si>
    <t>Total minus Aids and Grants</t>
  </si>
  <si>
    <t>Aids and grants</t>
  </si>
  <si>
    <t>Total revenue A+B</t>
  </si>
  <si>
    <t>Page 24 PDF Comparison of budget and actual amounts</t>
  </si>
  <si>
    <t>Total recurrent minius interest</t>
  </si>
  <si>
    <t>Total Capital</t>
  </si>
  <si>
    <t>Interest on loans</t>
  </si>
  <si>
    <t>Page 195</t>
  </si>
  <si>
    <t>Page 152</t>
  </si>
  <si>
    <t>Page 132 (Mtry Finance)</t>
  </si>
  <si>
    <t>Page 133 Contribution 8%(Mtry Finance)</t>
  </si>
  <si>
    <t xml:space="preserve">2020 Approved budget </t>
  </si>
  <si>
    <t>Revised 2019 in 2020 Approved budget</t>
  </si>
  <si>
    <t>not available on website</t>
  </si>
  <si>
    <t>Column 2019 revised</t>
  </si>
  <si>
    <t>Ministry of Education Science Technology</t>
  </si>
  <si>
    <t>Page 164 PDF</t>
  </si>
  <si>
    <t>page 85 Pdf</t>
  </si>
  <si>
    <t>State Universal Basic Education Board</t>
  </si>
  <si>
    <t>Kaduna State Library Board</t>
  </si>
  <si>
    <t>Page 165 PDF</t>
  </si>
  <si>
    <t>page 86 Pdf</t>
  </si>
  <si>
    <t>Kaduns State Agency for Mass Literacy</t>
  </si>
  <si>
    <t>Nuhu Bamalli Polytechnic</t>
  </si>
  <si>
    <t>Page 166PDF</t>
  </si>
  <si>
    <t>College of Education Gidan Waya</t>
  </si>
  <si>
    <t>Page 167PDF</t>
  </si>
  <si>
    <t>Kaduna State University</t>
  </si>
  <si>
    <t>Page 169PDF</t>
  </si>
  <si>
    <t>Kaduna capital school</t>
  </si>
  <si>
    <t>Barewa College Zaria</t>
  </si>
  <si>
    <t>Page 170PDF</t>
  </si>
  <si>
    <t>Alhudahuda College Zaria</t>
  </si>
  <si>
    <t>Page 171PDF</t>
  </si>
  <si>
    <t>Sardauna Memorial College</t>
  </si>
  <si>
    <t>Page 172PDF</t>
  </si>
  <si>
    <t>Government College Kaduna</t>
  </si>
  <si>
    <t>Page 173PDF</t>
  </si>
  <si>
    <t>Queen Amina College Kaduna</t>
  </si>
  <si>
    <t>Government Secondary school Kagoro</t>
  </si>
  <si>
    <t>Page 174PDF</t>
  </si>
  <si>
    <t>page 87 Pdf</t>
  </si>
  <si>
    <t>Government Secondary School Fadan Kaje</t>
  </si>
  <si>
    <t>Rimi College Kaduna</t>
  </si>
  <si>
    <t>Page 175PDF</t>
  </si>
  <si>
    <t>Government Girls College Zonkwa</t>
  </si>
  <si>
    <t>Page 176PDF</t>
  </si>
  <si>
    <t>Teachers Service Board</t>
  </si>
  <si>
    <t>Science and technical schools management Board</t>
  </si>
  <si>
    <t>Page 177PDF</t>
  </si>
  <si>
    <t>Science Secondary School Kufena</t>
  </si>
  <si>
    <t>Page 178PDF</t>
  </si>
  <si>
    <t>Gov Girl Science Secondary school Soba</t>
  </si>
  <si>
    <t>GGSS Kwoi</t>
  </si>
  <si>
    <t>Page 179PDF</t>
  </si>
  <si>
    <t>Science Sec School Ikara</t>
  </si>
  <si>
    <t>GSS B Gwary</t>
  </si>
  <si>
    <t>Page 180 PDF</t>
  </si>
  <si>
    <t>page 88 Pdf</t>
  </si>
  <si>
    <t>Government College Kagoro</t>
  </si>
  <si>
    <t>Page 181 PDF</t>
  </si>
  <si>
    <t>Kaduna State Scholarship Board</t>
  </si>
  <si>
    <t>Kaduna State Quality Schools Assurance Authority</t>
  </si>
  <si>
    <t>Page 182 PDF</t>
  </si>
  <si>
    <t>page 221</t>
  </si>
  <si>
    <t>Kaduna State Universal Education Board</t>
  </si>
  <si>
    <t>Shehu College of Health sciences</t>
  </si>
  <si>
    <t>Page 186 Pdf</t>
  </si>
  <si>
    <t>page 88</t>
  </si>
  <si>
    <t>Kaduna State college of nursing Kafanchan</t>
  </si>
  <si>
    <t>Page 185 Pdf</t>
  </si>
  <si>
    <t>College of Midwifery Kaduna</t>
  </si>
  <si>
    <t>Page 187 Pdf</t>
  </si>
  <si>
    <t>page 211 Pdf</t>
  </si>
  <si>
    <t>page 222</t>
  </si>
  <si>
    <t>page 212 Pdf</t>
  </si>
  <si>
    <t>Kano State</t>
  </si>
  <si>
    <t>New website</t>
  </si>
  <si>
    <t>Kano State Financial Statement 2018</t>
  </si>
  <si>
    <t>https://kanofinance.org/2019/09/26/2018-audited-financial-statement/</t>
  </si>
  <si>
    <t>Kano State approved budget 2019</t>
  </si>
  <si>
    <t>https://kanobudget.org/budget/</t>
  </si>
  <si>
    <t>Estimates using 2018 implementation rate</t>
  </si>
  <si>
    <t>2019 Financial Statement</t>
  </si>
  <si>
    <t>https://budget.kn.gov.ng/</t>
  </si>
  <si>
    <t>2020-KANO-STATE-APPROVED-BUDGET-COVID-19- REVIEW</t>
  </si>
  <si>
    <t>2019 Full Year Performance Report</t>
  </si>
  <si>
    <t>Final Budget</t>
  </si>
  <si>
    <t>Page 19 Comparison Budget-Actual</t>
  </si>
  <si>
    <t>Page 1</t>
  </si>
  <si>
    <t>https://budget.kn.gov.ng/budget/</t>
  </si>
  <si>
    <t>https://budget.kn.gov.ng/financial-statement/</t>
  </si>
  <si>
    <t>Page 24 Comparison Budget-Actual</t>
  </si>
  <si>
    <t>minus recurrent loan</t>
  </si>
  <si>
    <t>Total Recurrent revenue + Miscellaneous</t>
  </si>
  <si>
    <t>Receips from grants</t>
  </si>
  <si>
    <t>PAGE 1</t>
  </si>
  <si>
    <t>2020 Full Year Performance Report</t>
  </si>
  <si>
    <t>Personnel + overhead + IGR</t>
  </si>
  <si>
    <t xml:space="preserve">Page 8 (personnel) et </t>
  </si>
  <si>
    <t>Capital expenditures</t>
  </si>
  <si>
    <t>Page 16 (capital)</t>
  </si>
  <si>
    <t>Debt charges</t>
  </si>
  <si>
    <t>Page 9</t>
  </si>
  <si>
    <t>Kano State Pension fund is autonomous. Employees and emloyers contributions are included with Compensation of staff (page 40-41 of the report)</t>
  </si>
  <si>
    <t>revised budget</t>
  </si>
  <si>
    <t>Education code 31xxx</t>
  </si>
  <si>
    <t>Revised estimate (Covid response)</t>
  </si>
  <si>
    <t>Schedule 6b page 71-74 (personnel) + Schedule 7a page 75 (overhead) + schedule 7b page 77-78 (subventions)</t>
  </si>
  <si>
    <t>Page 195, 202, 205, 209, 212, 214, 217, 220, 222, 227, 231, 234, 236, 239, 244, 247</t>
  </si>
  <si>
    <t>page 10 (personnel) + page 15-16 (overhead )</t>
  </si>
  <si>
    <t>page 8-9 (personnel) + page 12-13 (overhead )</t>
  </si>
  <si>
    <t>Schedule 8 pages 80-82 (unclassified assets</t>
  </si>
  <si>
    <t>same pages</t>
  </si>
  <si>
    <t>pages 22-23 Capital</t>
  </si>
  <si>
    <t>pages 15-16 Capital</t>
  </si>
  <si>
    <t>Healt</t>
  </si>
  <si>
    <t>Schools of hygiene and Colleges of nursing under Code 30</t>
  </si>
  <si>
    <t>Schools and Colleges under Health Sector</t>
  </si>
  <si>
    <t>Page 318, 320, 325, 326, 327</t>
  </si>
  <si>
    <t>page 7 (personnel) + page 12 (overhead )</t>
  </si>
  <si>
    <t>pages 21-22 Capital</t>
  </si>
  <si>
    <t>pages 15 Capital</t>
  </si>
  <si>
    <t>Education</t>
  </si>
  <si>
    <t>Sotoko State</t>
  </si>
  <si>
    <t>2018 Final Accounts</t>
  </si>
  <si>
    <t>https://mofsokoto.finance/resources/</t>
  </si>
  <si>
    <t>2020 Budget table</t>
  </si>
  <si>
    <t>2020 Budget tables 
column actual Han- September</t>
  </si>
  <si>
    <t>Report of the Accountant General 
2019 Final Accounts</t>
  </si>
  <si>
    <t>2021 approved budget</t>
  </si>
  <si>
    <t>2021 Budget tables 
column actual Jan- September 20</t>
  </si>
  <si>
    <t>Statement n°3 page 5</t>
  </si>
  <si>
    <t>estimate 9 months x 12/9</t>
  </si>
  <si>
    <t>col 2020 revised budget</t>
  </si>
  <si>
    <t>not clear</t>
  </si>
  <si>
    <t>Statement n°3 page 19</t>
  </si>
  <si>
    <t>Recurrent + Capial receipts</t>
  </si>
  <si>
    <t>total not including loans</t>
  </si>
  <si>
    <t>Statement 3 pages 19-20</t>
  </si>
  <si>
    <t>Capital expenditure</t>
  </si>
  <si>
    <t>Statement 4 page 21</t>
  </si>
  <si>
    <t>Statement 3 Repayments &amp; interests</t>
  </si>
  <si>
    <t>Statement 3 page 19</t>
  </si>
  <si>
    <t>Page 365</t>
  </si>
  <si>
    <t>Page 27 pensions &amp; gratuities</t>
  </si>
  <si>
    <t>From Exel Recap 2018 budget</t>
  </si>
  <si>
    <t>Education  - recurrent</t>
  </si>
  <si>
    <t xml:space="preserve">Summary Personnel and overhead </t>
  </si>
  <si>
    <t>Table summary of personnel and overhead</t>
  </si>
  <si>
    <t>Personnel page 42, overhead page 46, subventions page 48</t>
  </si>
  <si>
    <t>Personnel page 22 and overhead page 24</t>
  </si>
  <si>
    <t>Education - Capital</t>
  </si>
  <si>
    <t>Capital exp by fiunction</t>
  </si>
  <si>
    <t>Capital page 51</t>
  </si>
  <si>
    <t>Capital Page 25</t>
  </si>
  <si>
    <t>College of nursing sciences overhead page 24</t>
  </si>
  <si>
    <t>Page 22</t>
  </si>
  <si>
    <t>page 42</t>
  </si>
  <si>
    <t>Ministry Higher education</t>
  </si>
  <si>
    <t>College of nursing sciences</t>
  </si>
  <si>
    <t xml:space="preserve">2016 Exercise </t>
  </si>
  <si>
    <t>Balochistan</t>
  </si>
  <si>
    <t>Roupee</t>
  </si>
  <si>
    <t>Education at a glance 2011-12</t>
  </si>
  <si>
    <t>White paper 2014-15</t>
  </si>
  <si>
    <t>White paper</t>
  </si>
  <si>
    <t>Wite Paper Budget 2015-16</t>
  </si>
  <si>
    <t>http://balochistan.gov.pk/index.php?option=com_docman&amp;task=search_result&amp;Itemid=754&amp;search_phrase=white+paper&amp;catid=0&amp;ordering=newest&amp;search_mode=any&amp;search_where%5B%5D=search_name&amp;search_where%5B%5D=search_description</t>
  </si>
  <si>
    <t>Wite Paper Budget 2016-17</t>
  </si>
  <si>
    <t>ABS Budget statement 2017-18</t>
  </si>
  <si>
    <t>Annual Budget statement 
2017-18</t>
  </si>
  <si>
    <t>estimates usig execution rate</t>
  </si>
  <si>
    <t>ABS Budget statement 2018-19</t>
  </si>
  <si>
    <t>Annual Budget statement 
2018-19</t>
  </si>
  <si>
    <t>Annual Budget statement 
2020-21</t>
  </si>
  <si>
    <t>http://balochistan.gov.pk/</t>
  </si>
  <si>
    <t>Table 1.2</t>
  </si>
  <si>
    <t>Table 1.2 page 14</t>
  </si>
  <si>
    <t>Table 1.2 page 16</t>
  </si>
  <si>
    <t xml:space="preserve"> page 1</t>
  </si>
  <si>
    <t>Table page 1</t>
  </si>
  <si>
    <t>Overall Summary page 1</t>
  </si>
  <si>
    <t>Overall Summary page 4</t>
  </si>
  <si>
    <t>Table page 4</t>
  </si>
  <si>
    <t>Revised budget estimates</t>
  </si>
  <si>
    <t>All except D) Federal Grants - Dev Grants from Foreign Gvts</t>
  </si>
  <si>
    <t>All except Foreign Project assistance</t>
  </si>
  <si>
    <t>Revenue receipts</t>
  </si>
  <si>
    <t>D) Federal Grants - Dev Grants from Foreign Gvts</t>
  </si>
  <si>
    <t>Federal and foreign grants</t>
  </si>
  <si>
    <t>White paper not accessible</t>
  </si>
  <si>
    <t>Table 2.1</t>
  </si>
  <si>
    <t>Table 2.1 page 34</t>
  </si>
  <si>
    <t>Table 2.1 page 33</t>
  </si>
  <si>
    <t>Estimates of expenditures (object of expenditure summary) page 15</t>
  </si>
  <si>
    <t>Table 2.3 page 34</t>
  </si>
  <si>
    <t>in red budget figures</t>
  </si>
  <si>
    <t>Table page 15</t>
  </si>
  <si>
    <t xml:space="preserve">Tablepage 15 </t>
  </si>
  <si>
    <t>Table page '</t>
  </si>
  <si>
    <t>A Current except Debt servicing</t>
  </si>
  <si>
    <t>Page 15 total except debt items</t>
  </si>
  <si>
    <t>Current except Debt servicing</t>
  </si>
  <si>
    <t>current except debt servicing</t>
  </si>
  <si>
    <t>B Debelopment</t>
  </si>
  <si>
    <t>page 1 Development Provincial PSDP</t>
  </si>
  <si>
    <t>evelopment Provincial PSDP</t>
  </si>
  <si>
    <t>Page 1 Foreign assistance Projects</t>
  </si>
  <si>
    <t>Foreign assistance Projects</t>
  </si>
  <si>
    <t>A Current Debt service</t>
  </si>
  <si>
    <t>page 15 row A07Interest payment</t>
  </si>
  <si>
    <t>page 19 row A07Interest payment</t>
  </si>
  <si>
    <t>page 15 row A10  Principal repayment of loans</t>
  </si>
  <si>
    <t>page 19 row A10  Principal repayment of loans</t>
  </si>
  <si>
    <t>page 15 Employees related expenses</t>
  </si>
  <si>
    <t>not estimated, % of contribution as previous year</t>
  </si>
  <si>
    <t>page 19 Employees related expenses</t>
  </si>
  <si>
    <t>not estimated, % of contribution as following year</t>
  </si>
  <si>
    <t>page 15 A04 Employees'retirement benefits</t>
  </si>
  <si>
    <t>page 19 A04 Employees'retirement benefits</t>
  </si>
  <si>
    <t>Source BC 21006</t>
  </si>
  <si>
    <t>page 8 Receipts contributions of pensions and gratuities</t>
  </si>
  <si>
    <t>page 11 Receipts contributions of pension and gratuities</t>
  </si>
  <si>
    <t>Annual Budget Statement 2015-16</t>
  </si>
  <si>
    <t xml:space="preserve">http://balochistan.gov.pk/index.php?option=com_docman&amp;task=search_result&amp;Itemid=754&amp;search_phrase=ABS&amp;catid=835&amp;ordering=newest&amp;search_mode=any&amp;search_where%5B%5D=search_name&amp;search_where%5B%5D=search_description </t>
  </si>
  <si>
    <t>Annual Budget Statement 
2016-17</t>
  </si>
  <si>
    <t>Annual Budget Statement 
2017-18</t>
  </si>
  <si>
    <t>Annual Budget statement 
2018--19</t>
  </si>
  <si>
    <t>ABS 2014_15</t>
  </si>
  <si>
    <t>I Detailed statement of revenue expenditures page 7 ; II Detailed Statement of Dev expenditure page 17</t>
  </si>
  <si>
    <t>Estimates of expenditures, A current Revenue expenditure, page 19 ; Estimates of Development expenditures, page 29</t>
  </si>
  <si>
    <t>revised estimates 2017-18</t>
  </si>
  <si>
    <t>Education function</t>
  </si>
  <si>
    <t>revised estimates</t>
  </si>
  <si>
    <r>
      <t xml:space="preserve">Education </t>
    </r>
    <r>
      <rPr>
        <sz val="11"/>
        <color rgb="FFFF0000"/>
        <rFont val="Calibri"/>
        <family val="2"/>
        <scheme val="minor"/>
      </rPr>
      <t>Recurrent</t>
    </r>
  </si>
  <si>
    <t>I Detailed statement of revenue expenditures page 7</t>
  </si>
  <si>
    <t>page 14 (17pdf)</t>
  </si>
  <si>
    <t>"Education sector has been the most favored sector by the presen Government. Accordingly, for FY 2014-15 allocations for this sector was Rs 28,937.226 Million, the estimates for financial year 2015-16 are pitched at Rs 38,327.000 representing an increase of 32.44%" page 41</t>
  </si>
  <si>
    <r>
      <t xml:space="preserve">Education </t>
    </r>
    <r>
      <rPr>
        <sz val="11"/>
        <color rgb="FFFF0000"/>
        <rFont val="Calibri"/>
        <family val="2"/>
        <scheme val="minor"/>
      </rPr>
      <t>Development</t>
    </r>
  </si>
  <si>
    <t>II Detailed Statement of Dev expenditure page 17</t>
  </si>
  <si>
    <t>Vol IV</t>
  </si>
  <si>
    <t>Vol IV 2016-17</t>
  </si>
  <si>
    <t xml:space="preserve">http://balochistan.gov.pk/index.php?option=com_docman&amp;task=search_result&amp;Itemid=754&amp;search_phrase=Vol&amp;catid=835&amp;ordering=newest&amp;search_mode=any&amp;search_where%5B%5D=search_name&amp;search_where%5B%5D=search_description </t>
  </si>
  <si>
    <r>
      <t xml:space="preserve">Agriculture </t>
    </r>
    <r>
      <rPr>
        <sz val="11"/>
        <color rgb="FFFF0000"/>
        <rFont val="Calibri"/>
        <family val="2"/>
        <scheme val="minor"/>
      </rPr>
      <t>Development</t>
    </r>
  </si>
  <si>
    <t>page 323</t>
  </si>
  <si>
    <t>Development Vol IV 2017-18 page 368</t>
  </si>
  <si>
    <t>Agriculture college,+ Training centers</t>
  </si>
  <si>
    <t>Agriculture recurrent</t>
  </si>
  <si>
    <t xml:space="preserve">Vol III BC21026 Agriculture page 15 </t>
  </si>
  <si>
    <t>Vol III BC21026 Agriculture page 15 or 815</t>
  </si>
  <si>
    <r>
      <t xml:space="preserve">Health </t>
    </r>
    <r>
      <rPr>
        <sz val="11"/>
        <color rgb="FFFF0000"/>
        <rFont val="Calibri"/>
        <family val="2"/>
        <scheme val="minor"/>
      </rPr>
      <t>Development</t>
    </r>
  </si>
  <si>
    <t>page 367</t>
  </si>
  <si>
    <t>Development Vol IV 2017-18 page 417</t>
  </si>
  <si>
    <t xml:space="preserve">included with education affairs </t>
  </si>
  <si>
    <t>included with education function</t>
  </si>
  <si>
    <t>Medical college + Training center</t>
  </si>
  <si>
    <t>Health Recurrent</t>
  </si>
  <si>
    <t>Vol III BC21042 Medical Education</t>
  </si>
  <si>
    <r>
      <t xml:space="preserve">Environment </t>
    </r>
    <r>
      <rPr>
        <sz val="11"/>
        <color rgb="FFFF0000"/>
        <rFont val="Calibri"/>
        <family val="2"/>
        <scheme val="minor"/>
      </rPr>
      <t>Development</t>
    </r>
  </si>
  <si>
    <r>
      <t xml:space="preserve">Economic affairs </t>
    </r>
    <r>
      <rPr>
        <sz val="11"/>
        <color rgb="FFFF0000"/>
        <rFont val="Calibri"/>
        <family val="2"/>
        <scheme val="minor"/>
      </rPr>
      <t>Development</t>
    </r>
  </si>
  <si>
    <t>page 395</t>
  </si>
  <si>
    <t xml:space="preserve">Flood protection </t>
  </si>
  <si>
    <t>VOL III BC21041 Secondary Education page 64</t>
  </si>
  <si>
    <t>VOL III BC21041 Secondary Education page 16</t>
  </si>
  <si>
    <t>VOL III BC21041 Secondary Education page 65</t>
  </si>
  <si>
    <t>VOL III BC21016 Higher education page 65</t>
  </si>
  <si>
    <t>VOL III BC21016 higher Education page 14</t>
  </si>
  <si>
    <t>Higher Education</t>
  </si>
  <si>
    <t xml:space="preserve">VOL III BC21042 Health pages 541 à </t>
  </si>
  <si>
    <t>VOL III BC21042 Medical Education page 3</t>
  </si>
  <si>
    <t>VOL III BC21042 Medical Education page 4</t>
  </si>
  <si>
    <t>Medical colleges</t>
  </si>
  <si>
    <t>VOL III BC21026 Agriculture page 800</t>
  </si>
  <si>
    <t>VOL III BC21026 Agriculture page 808</t>
  </si>
  <si>
    <t>VOL III BC21026 Agriculture page 804</t>
  </si>
  <si>
    <t>Agriculture college</t>
  </si>
  <si>
    <t>current together with secondary</t>
  </si>
  <si>
    <t>not available for current primary</t>
  </si>
  <si>
    <t>Development : Vol IV ; Recurrent</t>
  </si>
  <si>
    <t>page 26 Pre-primary &amp; Primary affairs &amp; services</t>
  </si>
  <si>
    <t>page 19 Pre-primary &amp; Primary affairs &amp; services</t>
  </si>
  <si>
    <t>page 23 Pre-primary &amp; Primary affairs &amp; services</t>
  </si>
  <si>
    <t>actual on page 36</t>
  </si>
  <si>
    <t>page 37 Pre-primary &amp; Primary affairs &amp; services</t>
  </si>
  <si>
    <t>with rate on current expenditures</t>
  </si>
  <si>
    <t xml:space="preserve">no information on actual expenditure </t>
  </si>
  <si>
    <t>Pakistan Sindh</t>
  </si>
  <si>
    <t>2012-2013</t>
  </si>
  <si>
    <t>Pakistan Rupee</t>
  </si>
  <si>
    <t>Revised estimate</t>
  </si>
  <si>
    <t>Outcome</t>
  </si>
  <si>
    <t>Annual budget statement 2014-2015 Vol 1</t>
  </si>
  <si>
    <t>Annual budget statement 2015-2016 Vol 1</t>
  </si>
  <si>
    <t>http://fdsindh.gov.pk/site/userfiles/OTHER%20VOLUMES%202015-16/Volume-1%202015-16.pdf</t>
  </si>
  <si>
    <t>Annual budget statement 2016-2017 Vol 1</t>
  </si>
  <si>
    <t>http://fdsindh.gov.pk/site/userfiles/Budget%202016-17/VOLUME%20I/VOLUME-I_2016-17.pdf</t>
  </si>
  <si>
    <t>Annual budget statement 
2016-2017 Vol 1</t>
  </si>
  <si>
    <t>http://www.fdsindh.gov.pk/site/cms.php?page=Budget_Volumes</t>
  </si>
  <si>
    <t>Annual budget statement 
2017-2018 Vol 1</t>
  </si>
  <si>
    <t>Annual budget statement 
2018-2019 Vol 1</t>
  </si>
  <si>
    <t>https://fd.sindh.gov.pk/budget-volumes</t>
  </si>
  <si>
    <t>Annual budget statement 
2019-2020 Vol 1</t>
  </si>
  <si>
    <t>Quaterly report 30 June 2019</t>
  </si>
  <si>
    <t>Estimates using implentation rate</t>
  </si>
  <si>
    <t>Revised in 2017</t>
  </si>
  <si>
    <t>Page 5 estimate of receipts</t>
  </si>
  <si>
    <t>Table page 7 Pdf</t>
  </si>
  <si>
    <t>Page 7 estimate of receipts</t>
  </si>
  <si>
    <t>Table page 5 Pdf</t>
  </si>
  <si>
    <t>Table page 4 Pdf</t>
  </si>
  <si>
    <t>Budgeted estimates</t>
  </si>
  <si>
    <t>All except foreign</t>
  </si>
  <si>
    <t>Foreign Projects Assistance</t>
  </si>
  <si>
    <t>Development Grants (PSDP and Foreign)</t>
  </si>
  <si>
    <t>Total Consolidated Fund</t>
  </si>
  <si>
    <t>Total revenue</t>
  </si>
  <si>
    <t>Table page 30 Pdf</t>
  </si>
  <si>
    <t>Table page 32 Pdf</t>
  </si>
  <si>
    <t>Table page 3é Pdf</t>
  </si>
  <si>
    <t>Table page 33 Pdf</t>
  </si>
  <si>
    <t xml:space="preserve">Total Current Revenue Expenditure (A) </t>
  </si>
  <si>
    <t>A Total Current +  C State trading minus debt</t>
  </si>
  <si>
    <t>Current minus interest</t>
  </si>
  <si>
    <t>Current revenue expenditure</t>
  </si>
  <si>
    <t>B Development Expenditure</t>
  </si>
  <si>
    <t>Development  Expenditures</t>
  </si>
  <si>
    <t>Development  Expenditures minus Foreign assistance</t>
  </si>
  <si>
    <t>Development expenditure</t>
  </si>
  <si>
    <t>Foreign assistance</t>
  </si>
  <si>
    <t>Page 32 Pdf</t>
  </si>
  <si>
    <t>Interests from page 33</t>
  </si>
  <si>
    <t>Page 33 Pdf</t>
  </si>
  <si>
    <t>Interests from page 32</t>
  </si>
  <si>
    <t>Current capital &amp; State trading</t>
  </si>
  <si>
    <t>Total expenditures Consolidated fund</t>
  </si>
  <si>
    <t xml:space="preserve">Total expenditures </t>
  </si>
  <si>
    <t>Table page 33</t>
  </si>
  <si>
    <t>Table page 5</t>
  </si>
  <si>
    <t>Table page 5 PDF</t>
  </si>
  <si>
    <t>Table page 4 PDF</t>
  </si>
  <si>
    <t>Employees relate expenses</t>
  </si>
  <si>
    <t>Pension payments</t>
  </si>
  <si>
    <t>Employees' retirement benefits</t>
  </si>
  <si>
    <t>% Contribution for pension /recurrent expenditures</t>
  </si>
  <si>
    <t>Rate on total current expenditures</t>
  </si>
  <si>
    <t>Rate on salaries</t>
  </si>
  <si>
    <t>The % is calculated on salaries for 2020 exercise. Before it was on total recurrent expenditures as staff costs for education were difficult to assess</t>
  </si>
  <si>
    <t>The % is calculated on total recurrent expenditures as staff costs for education are difficult to assess</t>
  </si>
  <si>
    <t>Annual budget statement 2017-2018 Vol 1</t>
  </si>
  <si>
    <t>Annual budget statement 2018-2019 Vol 1</t>
  </si>
  <si>
    <t>Annual budget statement 2019-2020 Vol 1</t>
  </si>
  <si>
    <t>Revised Budget 2014-15</t>
  </si>
  <si>
    <t>Accounts 2017-2018</t>
  </si>
  <si>
    <t>school education page 14+College Education page 20 + universities board page 19</t>
  </si>
  <si>
    <t>Education Affairs and Services recurrent</t>
  </si>
  <si>
    <t>Page 38 pdf</t>
  </si>
  <si>
    <t>page31 Pdf</t>
  </si>
  <si>
    <t>Page 41 pdf</t>
  </si>
  <si>
    <t>page41 Pdf</t>
  </si>
  <si>
    <t>page40 Pdf</t>
  </si>
  <si>
    <t>Education Affairs and Services ( Development</t>
  </si>
  <si>
    <t>Page 46 Pdf</t>
  </si>
  <si>
    <t>page50 Pdf</t>
  </si>
  <si>
    <t>Page 44 Pdf</t>
  </si>
  <si>
    <t>page44 Pdf</t>
  </si>
  <si>
    <t>page43 Pdf</t>
  </si>
  <si>
    <t>VOL III fichiers détaillés</t>
  </si>
  <si>
    <t>Equal to budget</t>
  </si>
  <si>
    <t>https://fd.sindh.gov.pk/quarterly-reports</t>
  </si>
  <si>
    <t>Quaterly report June 2018</t>
  </si>
  <si>
    <t>SC21156 Medical Education page 14</t>
  </si>
  <si>
    <t>PAGE 31</t>
  </si>
  <si>
    <t>Medical education</t>
  </si>
  <si>
    <t xml:space="preserve">SC21156 Health Pages 4 et 5 </t>
  </si>
  <si>
    <t>SC21156 Medical Education page 11</t>
  </si>
  <si>
    <t>Vol III page 4389</t>
  </si>
  <si>
    <t>Vol III Medical Education page 4389</t>
  </si>
  <si>
    <t>SC21031Agriculture Pages 9</t>
  </si>
  <si>
    <t>SC 21121 Agriculture, pages 160, 182, 347</t>
  </si>
  <si>
    <t>Vol IV part A Medical education page 1233</t>
  </si>
  <si>
    <t>School Education + Special Education + Universitires Board + College of Education</t>
  </si>
  <si>
    <t>Quaretly report June School Education + Special Education + Universitires Board + College of Education</t>
  </si>
  <si>
    <t>Pages 28 to 39</t>
  </si>
  <si>
    <t>Pages 29 to 40</t>
  </si>
  <si>
    <t>Medical education page 31</t>
  </si>
  <si>
    <t>ABS 18-19</t>
  </si>
  <si>
    <t>ABS 19-20</t>
  </si>
  <si>
    <t>Education Affairs and services</t>
  </si>
  <si>
    <t>PrePrimary &amp; Primary</t>
  </si>
  <si>
    <t>Page 38 Pdf</t>
  </si>
  <si>
    <t>Page 41 Pdf</t>
  </si>
  <si>
    <t>Page 40 Pdf</t>
  </si>
  <si>
    <t>Page 50 Pdf</t>
  </si>
  <si>
    <t>Page 49 Pdf</t>
  </si>
  <si>
    <t>Page 48 Pdf</t>
  </si>
  <si>
    <t>Rate is now based on salaries</t>
  </si>
  <si>
    <t>Beware ; the % is calculated on total recurrent expenditures as staff costs for education are difficult to assess</t>
  </si>
  <si>
    <t>To complement with:
- staff costs to add pensions contributions (it seems that pensions of State employees are paid globally and not accounted for with wages
Estimates were made for staff costs for education based on the % of recurrent costs 
- educational institutions in other Ministries are not visible in the documents used</t>
  </si>
  <si>
    <t>Millions of Kina</t>
  </si>
  <si>
    <t>Kina</t>
  </si>
  <si>
    <t>Supp. Budget</t>
  </si>
  <si>
    <t>FINAL BUDGET OUTCOME 2011</t>
  </si>
  <si>
    <t>FINAL BUDGET OUTCOME 2014</t>
  </si>
  <si>
    <t>FINAL BUDGET OUTCOME 2015</t>
  </si>
  <si>
    <t>http://www.treasury.gov.pg/html/national_budget/files/2012/budget_html/related_budget_documents.htm</t>
  </si>
  <si>
    <t>Papua New Guinea Department of Treasury National Budget 2017</t>
  </si>
  <si>
    <t>http://www.treasury.gov.pg/html/national_budget/files/2013/budget_documents/Related%20Budget%20Documents/2017%20FINAL%20BUDGET%20OUTCOME.pdf</t>
  </si>
  <si>
    <t>Papua New Guinea Department of Treasury National Budget 2017 Outcome</t>
  </si>
  <si>
    <t>Papua New Guinea Department of Treasury National Budget 2018</t>
  </si>
  <si>
    <t>Papua New Guinea Department of Treasury National Budget 2018 Outcome</t>
  </si>
  <si>
    <t>MID-YEAR ECONOMIC AND FISCAL OUTLOOK REPORT 2019</t>
  </si>
  <si>
    <t>FINAL BUDGET OUTCOME 2019</t>
  </si>
  <si>
    <t>MYEFO 2020 - June</t>
  </si>
  <si>
    <t>Table 2 and Table 10</t>
  </si>
  <si>
    <t>Page 19 Table A: General Government Revenue Economic Classification</t>
  </si>
  <si>
    <t>Table A: General Government Revenue Economic Classification</t>
  </si>
  <si>
    <t>p29 pdf</t>
  </si>
  <si>
    <t>estimation with execution rate x2</t>
  </si>
  <si>
    <t>Supplementary budget</t>
  </si>
  <si>
    <t>p35 Table A</t>
  </si>
  <si>
    <t>Estimations du MYEFO</t>
  </si>
  <si>
    <t>Tax and non taxe revenue</t>
  </si>
  <si>
    <t>Difference Total - Grants</t>
  </si>
  <si>
    <t>Total revenue - external grants &amp; loans</t>
  </si>
  <si>
    <t>Les intitulés ont été modifiés pour l'exercice 2021 afin de correspondre à la présentation budgétaire</t>
  </si>
  <si>
    <t>Tax revenue</t>
  </si>
  <si>
    <t>Page 27 Grants</t>
  </si>
  <si>
    <t>Grants from foreign govts and Int. orgs.</t>
  </si>
  <si>
    <t>External Loans</t>
  </si>
  <si>
    <t>..</t>
  </si>
  <si>
    <t>no external loans specified</t>
  </si>
  <si>
    <t>Other revenue</t>
  </si>
  <si>
    <t>Total Revenues and grants</t>
  </si>
  <si>
    <t>Page 27 Total revenue</t>
  </si>
  <si>
    <t>Table 1</t>
  </si>
  <si>
    <t>Page 20 TABLE B: CENTRAL GOVERNMENT EXPENDITURE</t>
  </si>
  <si>
    <t>page 29 to 31 Table B (i) and (ii) General Budgetary Expenditure By Economic Classification</t>
  </si>
  <si>
    <t>p42</t>
  </si>
  <si>
    <t>Others</t>
  </si>
  <si>
    <t>Operational</t>
  </si>
  <si>
    <t>Sum of capital Formation + Infrastructures Tax credits</t>
  </si>
  <si>
    <t>Net Acquisition of Nonfinancial assets</t>
  </si>
  <si>
    <t>Concessional loans + Grants</t>
  </si>
  <si>
    <t>Page 31 Concessional loans + Grants</t>
  </si>
  <si>
    <t>Interest payments</t>
  </si>
  <si>
    <t>Interes payments Table 10</t>
  </si>
  <si>
    <t>Expense (intérêts exclus)</t>
  </si>
  <si>
    <t>Net Acquisition of Non financial assets</t>
  </si>
  <si>
    <t>Total Expenditures &amp; Net Lending</t>
  </si>
  <si>
    <t>p43 pdf</t>
  </si>
  <si>
    <t>p40 table D</t>
  </si>
  <si>
    <t>minus retirements</t>
  </si>
  <si>
    <t>Total expenditure provintial Gov (page 33)</t>
  </si>
  <si>
    <t>Total expenditure provintial Gov (page 23)</t>
  </si>
  <si>
    <t>p95 pdf</t>
  </si>
  <si>
    <t>Attachement D</t>
  </si>
  <si>
    <t>Expense</t>
  </si>
  <si>
    <t>Page 20 Provincial Gvts</t>
  </si>
  <si>
    <t>Page 30 Provincial Gvts</t>
  </si>
  <si>
    <t>Provincial Gov</t>
  </si>
  <si>
    <t>Table (Dii)</t>
  </si>
  <si>
    <t>p41</t>
  </si>
  <si>
    <t>Acquisition of Fixed assets (Buildings and Structures)</t>
  </si>
  <si>
    <t>Page 42 Table 24: Education Sector</t>
  </si>
  <si>
    <t>Page 50 Table 26: Education Sector</t>
  </si>
  <si>
    <t>p81 pdf et suivantes</t>
  </si>
  <si>
    <t>Education sector (Dept of Education from 2019)</t>
  </si>
  <si>
    <t>Department of education + Department of Higher Education + Universities + Maritime college + National Research institute + PNG Science &amp; Technology</t>
  </si>
  <si>
    <t>Publicly funded schooling and TVET education + Publicly funded tertiary education</t>
  </si>
  <si>
    <t>"Education Fee Free Subsidy" sorti du budget du Ministère éducation en cours d'année 2019</t>
  </si>
  <si>
    <t>235 Department of Education</t>
  </si>
  <si>
    <t>Page 42 and 43</t>
  </si>
  <si>
    <t>Pages 50 &amp; 51</t>
  </si>
  <si>
    <t>estimate from 2015</t>
  </si>
  <si>
    <t>estimate from 2017</t>
  </si>
  <si>
    <t>Statutory authorities (included in education sector in 2015)</t>
  </si>
  <si>
    <t>Education Trust fund page 23 (assumption not included with MOE actual)</t>
  </si>
  <si>
    <t>Education Trust fund page 36 (assumption not included with MOE actual)</t>
  </si>
  <si>
    <t>Trust acounts for education ( rehabilitation, fee free)</t>
  </si>
  <si>
    <t>236 Department of Higher Education Research Science &amp; Technology</t>
  </si>
  <si>
    <t>512 University of Papua New Guinea</t>
  </si>
  <si>
    <t>513 University of Technology</t>
  </si>
  <si>
    <t>514 University of Goroka</t>
  </si>
  <si>
    <t>515 University of Environment &amp; Natural Resources</t>
  </si>
  <si>
    <t>518 PNG Maritime College</t>
  </si>
  <si>
    <t>Education Fee Free Subsidy</t>
  </si>
  <si>
    <t>p49 Table 25</t>
  </si>
  <si>
    <t>p80</t>
  </si>
  <si>
    <t>Teachers’ Salaries</t>
  </si>
  <si>
    <t>p48 table 24</t>
  </si>
  <si>
    <t>p73</t>
  </si>
  <si>
    <t>Teachers Leave Fares</t>
  </si>
  <si>
    <t>Contract Officers Education Benefits</t>
  </si>
  <si>
    <t>Incertitude sur besoin de comptabiliser Section 3 = non comptabilisé</t>
  </si>
  <si>
    <t>p63</t>
  </si>
  <si>
    <t>Application taux exécution année passée</t>
  </si>
  <si>
    <t>219 - PNG Institute of Public Administration / Operational</t>
  </si>
  <si>
    <t>Page 41</t>
  </si>
  <si>
    <t>219 - PNG Institute of Public Administration</t>
  </si>
  <si>
    <t>p53</t>
  </si>
  <si>
    <t>p85</t>
  </si>
  <si>
    <t>220 - PNG Institute of Public Administration / Capital</t>
  </si>
  <si>
    <t>237 - PNG National Commission for UNESCO / Ope</t>
  </si>
  <si>
    <t>Page 44</t>
  </si>
  <si>
    <t>237 - PNG National Commission for UNESCO</t>
  </si>
  <si>
    <t>p87</t>
  </si>
  <si>
    <t>510 - Legal Training Institute / Ope</t>
  </si>
  <si>
    <t>510 - Legal Training Institute</t>
  </si>
  <si>
    <t>p67</t>
  </si>
  <si>
    <r>
      <rPr>
        <sz val="11"/>
        <color theme="1"/>
        <rFont val="Calibri"/>
        <family val="2"/>
        <scheme val="minor"/>
      </rPr>
      <t>510 - Legal Training Institute</t>
    </r>
    <r>
      <rPr>
        <sz val="11"/>
        <color rgb="FFFF0000"/>
        <rFont val="Calibri"/>
        <family val="2"/>
        <scheme val="minor"/>
      </rPr>
      <t xml:space="preserve"> / Capital</t>
    </r>
  </si>
  <si>
    <t>506 national training council / Ope</t>
  </si>
  <si>
    <t>p88</t>
  </si>
  <si>
    <t>Education Central</t>
  </si>
  <si>
    <t>Education Provinces</t>
  </si>
  <si>
    <t>Attachment D: 2016 Personnel Emoluments and Goods and Services Expenditure under Provincial Government Grants &amp; Subsidies Transfers</t>
  </si>
  <si>
    <t>Budget estimates - volume 2d</t>
  </si>
  <si>
    <t>estimated with 2018 execution rate</t>
  </si>
  <si>
    <t>Volume 2d Budget 2019</t>
  </si>
  <si>
    <t>Sur base taux exécution fonctionnement Gvt locaux</t>
  </si>
  <si>
    <t>Volume 2d Budget 2020</t>
  </si>
  <si>
    <t>Sur base estimation taux exécution fonctionnement Gvt locaux</t>
  </si>
  <si>
    <t>Education Function Grant</t>
  </si>
  <si>
    <t>pages 81 to 91</t>
  </si>
  <si>
    <t>Education Function grant</t>
  </si>
  <si>
    <t>cf. feuille "Local gov"</t>
  </si>
  <si>
    <t>pages 81 to 92</t>
  </si>
  <si>
    <t>Teachers leave fares</t>
  </si>
  <si>
    <t>included in Education sector</t>
  </si>
  <si>
    <t>Teachers Salaries (TSC)</t>
  </si>
  <si>
    <t>pages 81 to 93</t>
  </si>
  <si>
    <t>Teachers Salaries (TSC) are not separated from other staff in execution figures. Budget figures have been used</t>
  </si>
  <si>
    <t>execution : from 2018 Mid-Year outlook page 45 table 12</t>
  </si>
  <si>
    <t>Budget : from 2018 Mid-Year outlook page 45 table 12 ; Execution from 2019 Midterm table 13 page 43</t>
  </si>
  <si>
    <t>education sector</t>
  </si>
  <si>
    <t>2011-2012</t>
  </si>
  <si>
    <t>2019-2020</t>
  </si>
  <si>
    <t>Franc Rwandais</t>
  </si>
  <si>
    <t>Prov. Act</t>
  </si>
  <si>
    <t>Revised Proj.</t>
  </si>
  <si>
    <t>Annual budget execution report 2011-12 July to March *12/9</t>
  </si>
  <si>
    <t>Annual budget execution report 2013-14</t>
  </si>
  <si>
    <t>Annual budget execution report 2014-15</t>
  </si>
  <si>
    <t>Annual budget execution report 2014-16</t>
  </si>
  <si>
    <t>http://www.minecofin.gov.rw/fileadmin/templates/documents/BUdget_Management_and_Reporting_Unit/Budget_Execution_Reports/2014-2015_Annual_Budget_Execution_Report.pdf</t>
  </si>
  <si>
    <t>MINISTRY OF FINANCE AND ECONOMIC PLANNING BUDGET EXECUTION REPORT FOR FISCAL YEAR 2015/16</t>
  </si>
  <si>
    <t>http://www.minecofin.gov.rw/index.php?id=231&amp;L=data%3A%2F%2Ftext%2Fplain..&amp;tx-filelist-pi1-174%5Bpath%5D=Budget_Execution_Reports%2FBudget_Execution_Report_2015-2016&amp;cHash=37a2c39b6c31cac3ec66a65d9bc97e4e</t>
  </si>
  <si>
    <t>2016-17 BUDGET EXECUTION REPORT</t>
  </si>
  <si>
    <t>http://www.minecofin.gov.rw/index.php?id=231&amp;L=428&amp;tx-filelist-pi1-174%5Bpath%5D=Budget_Execution_Reports%2F2016-2017_Budget_Execution_Report&amp;cHash=63cc770b5b2799ec6e57876fda5cdc51</t>
  </si>
  <si>
    <t xml:space="preserve">2016-17 BUDGET </t>
  </si>
  <si>
    <t>2017-18 BUDGET</t>
  </si>
  <si>
    <t>http://www.minecofin.gov.rw/fileadmin/templates/documents/Budget_Management_and_Reporting_Unit/Budget_Execution_Reports/2017-2018_Budget_Execution_Reports/2017-2018_Annual_Budget_Execution_Report/2017-2018_ANNUAL_BUDGET_EXECUTION_REPORT.pdf</t>
  </si>
  <si>
    <t>2017-18 BUDGET EXECUTION REPORT</t>
  </si>
  <si>
    <t>2017-18 Fiscal Outturn</t>
  </si>
  <si>
    <t>http://www.minecofin.gov.rw/fileadmin/templates/documents/Budget_Management_and_Reporting_Unit/Budget_Execution_Reports/2017-2018_Budget_Execution_Reports/2017-2018_Annual_Budget_Execution_Report/2017_2018_Fiscal_Outturn.pdf</t>
  </si>
  <si>
    <t>2018-19 Fiscal Outturn</t>
  </si>
  <si>
    <t>2019-20 Fiscal Outturn</t>
  </si>
  <si>
    <t>http://www.minecofin.gov.rw/</t>
  </si>
  <si>
    <t>p7</t>
  </si>
  <si>
    <t>sum</t>
  </si>
  <si>
    <t>Already includes interest payments</t>
  </si>
  <si>
    <t>Investment from Domestic sources</t>
  </si>
  <si>
    <t>Investment Foreign sources</t>
  </si>
  <si>
    <t>Domestic and international</t>
  </si>
  <si>
    <t>p11 Net lending</t>
  </si>
  <si>
    <t>p9, plus recalculation</t>
  </si>
  <si>
    <t>Net lending not included</t>
  </si>
  <si>
    <t>page 1</t>
  </si>
  <si>
    <t>included in compensation of staff for each Ministry</t>
  </si>
  <si>
    <t>Already included in current expenditure</t>
  </si>
  <si>
    <t>Estimate</t>
  </si>
  <si>
    <t>Original Budget Law 2014-15</t>
  </si>
  <si>
    <t>2016-17 Budget Execution Prog -SubProg</t>
  </si>
  <si>
    <t>UNICEF Budget brief</t>
  </si>
  <si>
    <t>2017-18 Budget Execution Prog -SubProg</t>
  </si>
  <si>
    <t>2018-19 Budget Execution by sector</t>
  </si>
  <si>
    <t>Budget execution COFOG functions</t>
  </si>
  <si>
    <t>mentionned in the text</t>
  </si>
  <si>
    <t>From figure 20</t>
  </si>
  <si>
    <t>2017-2018 : Budget execution by Cofog</t>
  </si>
  <si>
    <t>from Figure 20</t>
  </si>
  <si>
    <t>2019-20 Budget Execution by sector (COFOG)</t>
  </si>
  <si>
    <r>
      <t xml:space="preserve">Function Education </t>
    </r>
    <r>
      <rPr>
        <sz val="9"/>
        <color rgb="FFFF0000"/>
        <rFont val="Calibri"/>
        <family val="2"/>
        <scheme val="minor"/>
      </rPr>
      <t>- Recurrent</t>
    </r>
  </si>
  <si>
    <t>MINEDUC page 4</t>
  </si>
  <si>
    <t>MINEDUC including WDA REB Univ HEC + Districts</t>
  </si>
  <si>
    <t>https://www.unicef.org/esaro/UNICEF-Rwanda-2018-Education-Budget-Brief.pdf</t>
  </si>
  <si>
    <t>Revized budget : 126,96 MINEDUC and 151,2 for districts</t>
  </si>
  <si>
    <r>
      <t xml:space="preserve">Education </t>
    </r>
    <r>
      <rPr>
        <sz val="9"/>
        <color rgb="FFFF0000"/>
        <rFont val="Calibri"/>
        <family val="2"/>
        <scheme val="minor"/>
      </rPr>
      <t>- Development</t>
    </r>
  </si>
  <si>
    <t>Included in the Education Function</t>
  </si>
  <si>
    <t>2018-19 Revised budget law</t>
  </si>
  <si>
    <t>Included in Education Function</t>
  </si>
  <si>
    <t>Districts - Education page 6</t>
  </si>
  <si>
    <t>Ngoma p 532</t>
  </si>
  <si>
    <t>Bugesera p 533</t>
  </si>
  <si>
    <t>Gatsibo p 534</t>
  </si>
  <si>
    <t>Kayonza p 535</t>
  </si>
  <si>
    <t>Kirehe p 536</t>
  </si>
  <si>
    <t>Nyagatare p 537</t>
  </si>
  <si>
    <t>Rwamagana p 537</t>
  </si>
  <si>
    <t>Huye p 538</t>
  </si>
  <si>
    <t>NyamaGabe p 539</t>
  </si>
  <si>
    <t>Gisagara p 540</t>
  </si>
  <si>
    <t>Muhanga p 541</t>
  </si>
  <si>
    <t>Kamonyi p 542</t>
  </si>
  <si>
    <t>Nyanza p 543</t>
  </si>
  <si>
    <t>Nyaruguru p 544</t>
  </si>
  <si>
    <t>Rusizi p 545</t>
  </si>
  <si>
    <t>Nyabihu p 545</t>
  </si>
  <si>
    <t>Rubavu p 546</t>
  </si>
  <si>
    <t>Kabongi p 547</t>
  </si>
  <si>
    <t>Ngoborero p 548</t>
  </si>
  <si>
    <t>Nyamasheke p 549</t>
  </si>
  <si>
    <t>Rutsiro p 550</t>
  </si>
  <si>
    <t>Bureke p 551</t>
  </si>
  <si>
    <t>Gikumbi p 552</t>
  </si>
  <si>
    <t>Muzance p 553</t>
  </si>
  <si>
    <t>Rurundo p 553</t>
  </si>
  <si>
    <t>Garenke p 554</t>
  </si>
  <si>
    <t>Ruhango p 555</t>
  </si>
  <si>
    <t>Nyarugenge p 556</t>
  </si>
  <si>
    <t>Kicukiro p 557</t>
  </si>
  <si>
    <t>Gasaro p 558</t>
  </si>
  <si>
    <t>2018-19 Budget Execution by sector (COFOG)</t>
  </si>
  <si>
    <t>Pre-primary &amp; Primary</t>
  </si>
  <si>
    <t>p 3 - Annex 2 - Budget Execution Report for 2015-16FY</t>
  </si>
  <si>
    <t>available for executed data only</t>
  </si>
  <si>
    <t>Sao Tomé</t>
  </si>
  <si>
    <t>Tabela das Operaccoes Financeira IV Trimestre 2018</t>
  </si>
  <si>
    <t>Dobra</t>
  </si>
  <si>
    <t>ORÇAMENTO GERAL DO ESTADO PARA 2014</t>
  </si>
  <si>
    <t>PROPOSTA OGE - 2016</t>
  </si>
  <si>
    <t>Lei n.º 1/2015 Lei do Orçamento Geral do Estado para o Ano Económico de 2015</t>
  </si>
  <si>
    <t>Tabela de Operações Financeiras do Estado TOFE 2016 - V2</t>
  </si>
  <si>
    <t>http://www.min-financas.st/index.php/pt/pub-min/publ-oge/file/1312-2-tofe-2016-v2</t>
  </si>
  <si>
    <t>Tabela de Operações Financeiras do Estado - TOFE 2017</t>
  </si>
  <si>
    <t>http://www.min-financas.st/index.php/pt/pub-min/publ-oge/file/1385-3-oge2017-tofe-pdf</t>
  </si>
  <si>
    <t>Tabela de Operações Financeiras do Estado - TOFE 2018</t>
  </si>
  <si>
    <t>https://financas.gov.st/index.php/publicacoes/documentos/file/762-3-oge-2018-tofe</t>
  </si>
  <si>
    <t>TOFE 2019</t>
  </si>
  <si>
    <t>https://www.financas.gov.st/index.php/publicacoes/documentos/file/891-3-oge2019-tofe-pdf</t>
  </si>
  <si>
    <t>TOFE2019</t>
  </si>
  <si>
    <t>TOFE 2020</t>
  </si>
  <si>
    <t>https://www.financas.gov.st/index.php/publicacoes/documentos/category/101-oge</t>
  </si>
  <si>
    <t>TOFE 2019 relatorio IV</t>
  </si>
  <si>
    <t>https://www.financas.gov.st/index.php/publicacoes/documentos/category/162-ano-2019</t>
  </si>
  <si>
    <t>Relatorio  de Execucao Orcamental III Trimestre 2020</t>
  </si>
  <si>
    <t>https://www.financas.gov.st/index.php/publicacoes/documentos/category/176-ano-2020</t>
  </si>
  <si>
    <t>Base Comptabilidad até Dec 2015</t>
  </si>
  <si>
    <t>Col Estimativa 2016</t>
  </si>
  <si>
    <t>Col OGE Rectif. 2017</t>
  </si>
  <si>
    <t>Col Estimativa Dez/2017</t>
  </si>
  <si>
    <t>Col real 2017</t>
  </si>
  <si>
    <t>Col Previsao 2018</t>
  </si>
  <si>
    <t>Col 2018 Estimativa</t>
  </si>
  <si>
    <t>Estimation avec taux année précédente</t>
  </si>
  <si>
    <t>Estimé (x4/3)</t>
  </si>
  <si>
    <t>Receitas corrientes</t>
  </si>
  <si>
    <t>Donativos</t>
  </si>
  <si>
    <t>Receitas effectivas</t>
  </si>
  <si>
    <t>Despesas Corrientes Excluido juros da divida</t>
  </si>
  <si>
    <t>DESPESAS CORRENTES - Juros de divida</t>
  </si>
  <si>
    <t>intérêt dette déjà exclus</t>
  </si>
  <si>
    <t>Inestimentos - Recursos internos</t>
  </si>
  <si>
    <t>Inestimentos - Recursos externos</t>
  </si>
  <si>
    <t>Juros da Divida</t>
  </si>
  <si>
    <t>Juros de divida</t>
  </si>
  <si>
    <t>Despesas Financeiras</t>
  </si>
  <si>
    <t>Despesas Totais</t>
  </si>
  <si>
    <t>TOFE 2021</t>
  </si>
  <si>
    <t>On passe au TOFE 2021 pour avoir détail salaire</t>
  </si>
  <si>
    <t>Despesas c/ pessoal</t>
  </si>
  <si>
    <t>Vencimentos e salários do pessoal civil</t>
  </si>
  <si>
    <t>289.642</t>
  </si>
  <si>
    <t>CONTRIBUIÇÕES DO EMPREGADOR included in Ministries' budgets</t>
  </si>
  <si>
    <t>Quadro 13 - Despesas Pro-Poor de 2011 à 2014</t>
  </si>
  <si>
    <t>Quadro 13 - Despesas Pro-poor programadas 2016</t>
  </si>
  <si>
    <t>OGE - 2016 Quadro 13 - Despesas Pro-poor programadas 2016</t>
  </si>
  <si>
    <t>http://www.min-financas.st/index.php/pt/pub-min/publ-oge/file/1313-1-orcamento-geral-estado-2016</t>
  </si>
  <si>
    <t>oge2017-lei-e-relatorio</t>
  </si>
  <si>
    <t xml:space="preserve">http://www.min-financas.st/index.php/pt/pub-min/publ-oge/file/1386-2-oge2017-lei-e-relatorio-pdf </t>
  </si>
  <si>
    <t>oge2017-lei-e-relatorio
Estimate based on 8 months</t>
  </si>
  <si>
    <t>Relatorio Execuçao Orçamental fim periodo 2017</t>
  </si>
  <si>
    <t>oge2018-lei-e-relatorio</t>
  </si>
  <si>
    <t>https://www.financas.gov.st/index.php/publicacoes/documentos/file/778-relatorio-execucao-orcamental-fim-periodo-2017</t>
  </si>
  <si>
    <t>Relatorio Preliminar de Execucao Orcamental IV Trimestre 2018</t>
  </si>
  <si>
    <t>Relatorio  de Execucao Orcamental IV Trimestre 2018 - Versao final</t>
  </si>
  <si>
    <t>Relatorio  de Execucao Orcamental III Trimestre 2019</t>
  </si>
  <si>
    <t>https://www.financas.gov.st/index.php/publicacoes/documentos/file/944-relatorio-de-execucao-orcamental-iii-trimestre-2019</t>
  </si>
  <si>
    <t>Relatorio  de Execucao Orcamental IV Trimestre 2019</t>
  </si>
  <si>
    <t>Quadro 11 page 49</t>
  </si>
  <si>
    <t>Quadro 13 col Liquidada page 28</t>
  </si>
  <si>
    <t>Quadro 13: Execução por Classificação Funcional</t>
  </si>
  <si>
    <t>Quadro 6 page 49</t>
  </si>
  <si>
    <t>Quadro 14 page 32</t>
  </si>
  <si>
    <t>quadro 6 - p27</t>
  </si>
  <si>
    <t>Liquidada</t>
  </si>
  <si>
    <t>Funcion Educacao</t>
  </si>
  <si>
    <t>Funçao Educaçao</t>
  </si>
  <si>
    <t>p27 Cuadro 14</t>
  </si>
  <si>
    <t>Externo</t>
  </si>
  <si>
    <t>Quadro 7 page 30</t>
  </si>
  <si>
    <t>Interno</t>
  </si>
  <si>
    <t>page 28, col Liquida</t>
  </si>
  <si>
    <t>Col Liquida</t>
  </si>
  <si>
    <t>MIN. DA EDUCAÇÃO NACIONAL</t>
  </si>
  <si>
    <t>0401 - EDUCAÇÃO PRÉ_ESCOLAR</t>
  </si>
  <si>
    <t>Prescolar</t>
  </si>
  <si>
    <t>Primario</t>
  </si>
  <si>
    <t>0402 - ENSINO PRIMÁRIO</t>
  </si>
  <si>
    <t>Segundario</t>
  </si>
  <si>
    <t>Superior</t>
  </si>
  <si>
    <t>Técnico-profissional</t>
  </si>
  <si>
    <t>Educaçao adultos</t>
  </si>
  <si>
    <t>Outros servicios</t>
  </si>
  <si>
    <t>Nao permite ventilaçao por niveis</t>
  </si>
  <si>
    <t>funçao educaçao</t>
  </si>
  <si>
    <t>http://www.min-financas.st/index.php/pt/publ-con/category/286-ano-2016</t>
  </si>
  <si>
    <t>Traitement 2021</t>
  </si>
  <si>
    <t>Loi de Finances rectificative 2014</t>
  </si>
  <si>
    <t>Projet Portant Loi de Finances 2015</t>
  </si>
  <si>
    <t>LFR 2015 SENEGAL</t>
  </si>
  <si>
    <t>2016 dans Loi de Finances 2017</t>
  </si>
  <si>
    <t>http://www.finances.gouv.sn/images/yootheme/demo/LFI_2017.pdf</t>
  </si>
  <si>
    <t>Depense réelle anticipée</t>
  </si>
  <si>
    <t>LFR2017 SENEGAL</t>
  </si>
  <si>
    <t>rapport d'exécution 4ème trimestre: http://www.dgf.finances.gouv.sn/dgf/rapports_trimestriels/rapport_decembre_2016.pdf</t>
  </si>
  <si>
    <t>http://www.finances.gouv.sn/images/yootheme/demo/PLFR_2016.pdf</t>
  </si>
  <si>
    <t>LFI 2017 SENEGAL</t>
  </si>
  <si>
    <t>http://www.budget.gouv.sn/documents/public_download/5b3fa333-18dc-44d1-a303-059d0a610b4d/telechargement</t>
  </si>
  <si>
    <t>LFR2018 SENEGAL</t>
  </si>
  <si>
    <t>Rapport trimestriel 2019 T4</t>
  </si>
  <si>
    <t>Rapport trimestriel 2020 T4</t>
  </si>
  <si>
    <t>Ressources Internes</t>
  </si>
  <si>
    <t>PAGE 12</t>
  </si>
  <si>
    <t>Rapport d'execution budgetaire 2019 page 2</t>
  </si>
  <si>
    <t>dons budgétaires exclus</t>
  </si>
  <si>
    <r>
      <t xml:space="preserve">Dons </t>
    </r>
    <r>
      <rPr>
        <b/>
        <strike/>
        <sz val="11"/>
        <color indexed="8"/>
        <rFont val="Calibri"/>
        <family val="2"/>
      </rPr>
      <t>en Capital</t>
    </r>
  </si>
  <si>
    <t>dons capital + budgétaires</t>
  </si>
  <si>
    <t>Dons  capital+budgétaire</t>
  </si>
  <si>
    <t xml:space="preserve">Tirages sur prets </t>
  </si>
  <si>
    <t>Recettes BUDGET GENERAL</t>
  </si>
  <si>
    <t>moins emprunts</t>
  </si>
  <si>
    <t>http://www.budget.gouv.sn/documents/public_download/5ae30567-98b8-4d16-aac6-589e8ea6b956/telechargement</t>
  </si>
  <si>
    <t>www.budget.gouv.sn_rapport_trimestriel_d_execution_budgetaire_du_quatrieme_trimestre_2018_2019-05-21_18-13</t>
  </si>
  <si>
    <t>Depense de fonctionnement</t>
  </si>
  <si>
    <t>page 4 (personnel) + page 6 (fonctionnement et transfert)</t>
  </si>
  <si>
    <t>page 10 (personnel) + page 12 (fonctionnement et transfert)</t>
  </si>
  <si>
    <t>pages 6 et 9</t>
  </si>
  <si>
    <t>page 2 rapport trimestriel d'execution du quatrieme trimestre_2018_2020_03_15_08_17</t>
  </si>
  <si>
    <t>Depense en Capital ress Interne</t>
  </si>
  <si>
    <t>page 7</t>
  </si>
  <si>
    <t>Depense en capital ress. Ext</t>
  </si>
  <si>
    <t>Interets</t>
  </si>
  <si>
    <t>Amortissement</t>
  </si>
  <si>
    <t>TOTAL Dépenses</t>
  </si>
  <si>
    <t>Dont Salaires et pensions</t>
  </si>
  <si>
    <t>Loi de Finances rectificative</t>
  </si>
  <si>
    <t>LFR 2017 SENEGAL</t>
  </si>
  <si>
    <t>rapport d'exécution 4ème trimestre</t>
  </si>
  <si>
    <t>2eme LFR 2019</t>
  </si>
  <si>
    <t>Rapport trimestriel 2020 T4 - p23/24</t>
  </si>
  <si>
    <t>estimation personnel + exécution fonctionnement</t>
  </si>
  <si>
    <t>www.budget.gouv.sn_loi_de_finances_2019_2019-04-01_08-21</t>
  </si>
  <si>
    <t>LRF-Finale-2018</t>
  </si>
  <si>
    <t>FLR-2019</t>
  </si>
  <si>
    <t>p33-32-37</t>
  </si>
  <si>
    <t>p15-16-17
(crédits pris en charge)</t>
  </si>
  <si>
    <t>Depense de fonctionnement (education Nat)</t>
  </si>
  <si>
    <t>PAGE 79</t>
  </si>
  <si>
    <t>Fonctionnement page 14</t>
  </si>
  <si>
    <t>LFR-Final (Page 54-55)</t>
  </si>
  <si>
    <t>Depense d'investissement(Education Nat)</t>
  </si>
  <si>
    <t>Taux d'exécution des investissements page 7</t>
  </si>
  <si>
    <t>Depense de fonctionnement (Formation Prof apprent...)</t>
  </si>
  <si>
    <t>PAGE 81</t>
  </si>
  <si>
    <t>Fonctionnement page 15</t>
  </si>
  <si>
    <t>LFR-Final (Page 57)</t>
  </si>
  <si>
    <t>Page  59</t>
  </si>
  <si>
    <t>Depense d'investissement (Formation Prof apprent...)</t>
  </si>
  <si>
    <t>Depense de fonctionnement (ens. Supp)</t>
  </si>
  <si>
    <t>PAGE 83</t>
  </si>
  <si>
    <t>LFR-Final (Page 59)</t>
  </si>
  <si>
    <t>Depense d'investissement (ens. Supp)</t>
  </si>
  <si>
    <t>Min Educ Nat</t>
  </si>
  <si>
    <t>Min Emploi, FP et Artisanat</t>
  </si>
  <si>
    <t>Min. Ens Sup</t>
  </si>
  <si>
    <t>p80 et suivantes</t>
  </si>
  <si>
    <t>Secrétariat général gouvernement</t>
  </si>
  <si>
    <t>Ministère des Forces Armées</t>
  </si>
  <si>
    <t>Ministère de l'intérieur</t>
  </si>
  <si>
    <t>Ministère de la Justice</t>
  </si>
  <si>
    <t>Ministère de la Pêche et de l'Economie Maritime</t>
  </si>
  <si>
    <t>Ministère de l'Agriculture et de l'Equipement rural</t>
  </si>
  <si>
    <t>Ministère des Finances et du Budget</t>
  </si>
  <si>
    <t>Ministère du Développement industriel et de la
petite et moyenne industrie</t>
  </si>
  <si>
    <t>Ministère du Tourisme et des transports aérien</t>
  </si>
  <si>
    <t>Ministère des Sports</t>
  </si>
  <si>
    <t>Ministère de la Culture et de la Communication</t>
  </si>
  <si>
    <t>Ministère de la Santé et de l'Action Sociale</t>
  </si>
  <si>
    <t>Ministère de l'Environnement et du
développement durable</t>
  </si>
  <si>
    <t>Ministère de la Femme, de la famille, du genre
et de la protection des enfants</t>
  </si>
  <si>
    <t>Ministère de l'Elevage et des Productions animales</t>
  </si>
  <si>
    <t>Ministère des Mines et de la Géologie</t>
  </si>
  <si>
    <t>estimation avec le taux d'exécution des dépenses de personnel</t>
  </si>
  <si>
    <t>Education National</t>
  </si>
  <si>
    <t>Sources : fichier Excel MEN</t>
  </si>
  <si>
    <t>Emploi et FP</t>
  </si>
  <si>
    <t>Exécution = budget</t>
  </si>
  <si>
    <t>Ensignement superieure</t>
  </si>
  <si>
    <t>Source : Rapport performance MES</t>
  </si>
  <si>
    <t>Récapitulatif secteur éducation</t>
  </si>
  <si>
    <t>p83-crédits paiement</t>
  </si>
  <si>
    <t>Personnel</t>
  </si>
  <si>
    <t>exec. Estimée</t>
  </si>
  <si>
    <t>Biens et services</t>
  </si>
  <si>
    <t>Transferts courants</t>
  </si>
  <si>
    <t>Transfert en capital</t>
  </si>
  <si>
    <t>Leones</t>
  </si>
  <si>
    <t>http://mofed.gov.sl/ACG/Annual%20Report%20version%204.pdf</t>
  </si>
  <si>
    <t>Sierra Leone Budget Profile 2013-2017</t>
  </si>
  <si>
    <t>File Name: FY2014 Monthly Fiscal Tables Q1_Q4_040315.xls (Revised Budget - Column AD)</t>
  </si>
  <si>
    <t>Sierra Leone Budget Profile 2014-2018 (FY2014 Actual)</t>
  </si>
  <si>
    <t>Sierra Leone Budget Profile 2014-2018 (FY2015 Estimate)</t>
  </si>
  <si>
    <t>Budget Profile 2013-2017</t>
  </si>
  <si>
    <t>Budget Profile 2015-2019</t>
  </si>
  <si>
    <t>http://mofed.gov.sl/speeches/Budget%20Profile.pdf</t>
  </si>
  <si>
    <t>Budget Profile 2014-2018</t>
  </si>
  <si>
    <t>http://mofed.gov.sl/PUBLICATIONS/_Budget%20Profile%202016.pdf</t>
  </si>
  <si>
    <t>http://mofed.gov.sl/PUBLICATIONS/April17/Annual%20Accounts%202016%20Final.pdf</t>
  </si>
  <si>
    <t>Annual Accounts 2016</t>
  </si>
  <si>
    <t>Budget Speech &amp; Profile 2017</t>
  </si>
  <si>
    <t>http://www.parliament.gov.sl/ParliamentaryBusiness/BudgetSpeeches.aspx</t>
  </si>
  <si>
    <t>http://mofed.gov.sl/index.php/budget/fiscal-reports</t>
  </si>
  <si>
    <t>Fiscal report November 2017</t>
  </si>
  <si>
    <t>https://mof.gov.sl/annual-budget/</t>
  </si>
  <si>
    <t>Budget Profile for FY2016–2020</t>
  </si>
  <si>
    <t>Annual Accounts 2018</t>
  </si>
  <si>
    <t>Annex 2019 budget</t>
  </si>
  <si>
    <t>implementaion rate</t>
  </si>
  <si>
    <t>https://mof.gov.sl/annual-accounts/</t>
  </si>
  <si>
    <t>Annual Accounts 2020</t>
  </si>
  <si>
    <t>Annual Account 2020</t>
  </si>
  <si>
    <t>Excel file Fiscal Report November</t>
  </si>
  <si>
    <t>Page 1 Annex 1</t>
  </si>
  <si>
    <t>Statement page 13</t>
  </si>
  <si>
    <t>Tax &amp; non tax receipts</t>
  </si>
  <si>
    <t>page 28 Annex 1</t>
  </si>
  <si>
    <t>Total Domestic Refenue</t>
  </si>
  <si>
    <t>Fiscal results page 10</t>
  </si>
  <si>
    <t>Page 18- Annual Account 2020</t>
  </si>
  <si>
    <t>Statement B Page 20</t>
  </si>
  <si>
    <t>direct budgetary support</t>
  </si>
  <si>
    <t>Page 1&amp;2 Annex 1</t>
  </si>
  <si>
    <t>Statement page 16</t>
  </si>
  <si>
    <t>Non Interest Recurrent</t>
  </si>
  <si>
    <t>Wages, goods &amp; services, transfers</t>
  </si>
  <si>
    <t>Page 28-29 Annex 1</t>
  </si>
  <si>
    <t>includes foreign financing</t>
  </si>
  <si>
    <t>from 2016 Budget profile</t>
  </si>
  <si>
    <t>included with Domestic financing</t>
  </si>
  <si>
    <t>Loan interests</t>
  </si>
  <si>
    <t>Interests payments</t>
  </si>
  <si>
    <t>Arrears payments</t>
  </si>
  <si>
    <t>not including arrears</t>
  </si>
  <si>
    <t>Annual Account 2020 Page 20</t>
  </si>
  <si>
    <t>Appendix 2 page 49</t>
  </si>
  <si>
    <t>Pension, Gratuity and Social Security</t>
  </si>
  <si>
    <t>Annual Account 2020 Page 32</t>
  </si>
  <si>
    <t>Annuan accounts 2018</t>
  </si>
  <si>
    <t>Appendix 2 (wages) and 3 (current) pages 50, 52</t>
  </si>
  <si>
    <t>PDF page 42</t>
  </si>
  <si>
    <t>Annual Account 2020 Page 18</t>
  </si>
  <si>
    <t>Page 34</t>
  </si>
  <si>
    <t>Appendix 4 page 54</t>
  </si>
  <si>
    <t>Annual Account 2020 Page 51</t>
  </si>
  <si>
    <t>Mix of the 2 sources above
+ some estimates using 2015 budget to fill the gaps</t>
  </si>
  <si>
    <t>Sierra Leone Budget Profile 2013-2017 (FY2015 without gap)</t>
  </si>
  <si>
    <t>2017 Budget sppeech &amp; Profile</t>
  </si>
  <si>
    <t>Annual accounts 2017</t>
  </si>
  <si>
    <t>Annual Account 2018</t>
  </si>
  <si>
    <t>Appendix 3, 4 &amp; 5 pages 47 to 51</t>
  </si>
  <si>
    <t>Ministry of Education- Teachers</t>
  </si>
  <si>
    <t>Annex 5 Page 26</t>
  </si>
  <si>
    <t>Appendix 2 page 38 All staff</t>
  </si>
  <si>
    <t>Annex 5b Page 24</t>
  </si>
  <si>
    <t>Annex 5b Page 61</t>
  </si>
  <si>
    <t>Workshhet COFOG</t>
  </si>
  <si>
    <t>Annex to 2019 budget page 35</t>
  </si>
  <si>
    <t>Teachers only, other staff not separated from public service</t>
  </si>
  <si>
    <t>Appendix 3 page 48</t>
  </si>
  <si>
    <t>Ministry of Basic Education current</t>
  </si>
  <si>
    <t>Other staff</t>
  </si>
  <si>
    <t>Teaching Commission Current</t>
  </si>
  <si>
    <t>Ministry of Education- current non salary</t>
  </si>
  <si>
    <t>Annex 2 Page 7</t>
  </si>
  <si>
    <t>Appendix 3 page 39</t>
  </si>
  <si>
    <t>Annex 3 Page 8</t>
  </si>
  <si>
    <t>Annex 3a Page 35</t>
  </si>
  <si>
    <t>Appendix 2 page 69</t>
  </si>
  <si>
    <t>Appendix 2 page 52</t>
  </si>
  <si>
    <t>Appendix 4 et 5</t>
  </si>
  <si>
    <t>Ministry of Tecvhnical &amp; Higher Education Current</t>
  </si>
  <si>
    <t>Transfers to educational institutions</t>
  </si>
  <si>
    <t>Statement Revenue &amp; Expenditure page 16</t>
  </si>
  <si>
    <t>page 39 grants to tertiary education</t>
  </si>
  <si>
    <t>worksheet Reprt</t>
  </si>
  <si>
    <t>Budget profile page 2</t>
  </si>
  <si>
    <t>Annual account Page 33</t>
  </si>
  <si>
    <t>Ministry of Basic Education Development</t>
  </si>
  <si>
    <t>Development - domestic</t>
  </si>
  <si>
    <t>Annex 3 Page 13</t>
  </si>
  <si>
    <t>Appendix 4 page 41</t>
  </si>
  <si>
    <t>Annex 4 Page 14</t>
  </si>
  <si>
    <t>Annex 4 Page 50</t>
  </si>
  <si>
    <t>Teaching Commission Development</t>
  </si>
  <si>
    <t>Expenditures from Domestic sources (actual only)</t>
  </si>
  <si>
    <t>Ministry of Tecvhnical &amp; Higher Education Development</t>
  </si>
  <si>
    <t>Development - foreign</t>
  </si>
  <si>
    <t>Budget estimate</t>
  </si>
  <si>
    <t>Appendix 4 page 53</t>
  </si>
  <si>
    <t>PDF page 39</t>
  </si>
  <si>
    <t>Appendix 5 page 50</t>
  </si>
  <si>
    <t>page 50 -51</t>
  </si>
  <si>
    <t>Teaching service commission</t>
  </si>
  <si>
    <t>College of Health</t>
  </si>
  <si>
    <t>Tertiary education commission</t>
  </si>
  <si>
    <t>Civil Service Training College</t>
  </si>
  <si>
    <t>Teaching hospital</t>
  </si>
  <si>
    <t>page 52</t>
  </si>
  <si>
    <t>2020 AccountsAppendix 3 page 48</t>
  </si>
  <si>
    <t>Page 61c</t>
  </si>
  <si>
    <t>Salaries of teacherspage 35</t>
  </si>
  <si>
    <t>Mtry Basic &amp; Secondary Education</t>
  </si>
  <si>
    <t>Teaching service commission page 35</t>
  </si>
  <si>
    <t>Tertiary Education commission</t>
  </si>
  <si>
    <t>Mtry Technical &amp; Higher Education</t>
  </si>
  <si>
    <t>2018 budget profile</t>
  </si>
  <si>
    <t>2020 Budget</t>
  </si>
  <si>
    <t>Annex 2 Page 11</t>
  </si>
  <si>
    <t>Annex 3 Page 12</t>
  </si>
  <si>
    <t>Annex 3a Page 39</t>
  </si>
  <si>
    <t>Annex 3a Page 43</t>
  </si>
  <si>
    <t>Annex 3a Page 13</t>
  </si>
  <si>
    <t>PDF Page 35</t>
  </si>
  <si>
    <t>Grants for devolved function _ Education services</t>
  </si>
  <si>
    <t>p 42 block Education grant</t>
  </si>
  <si>
    <t>page 55 Education services</t>
  </si>
  <si>
    <t>p 43 Indirect grant</t>
  </si>
  <si>
    <t>seems included with Mtry Basic Ed</t>
  </si>
  <si>
    <t>page 55 transfer fee free education</t>
  </si>
  <si>
    <t>Local councils</t>
  </si>
  <si>
    <t>Staff costs are budgeted globally. Data from payroll in the refered document made it possible to identify salary costs for teachers. However orther staff costs are not included and the total expenditure for education is under-estimated.
Further documentation/data are required</t>
  </si>
  <si>
    <t>Donnée 2018/2019 de l'exercice 2020 = OK</t>
  </si>
  <si>
    <t>South Sudanese Pound (SSP)</t>
  </si>
  <si>
    <t>SSP</t>
  </si>
  <si>
    <t>million SSP</t>
  </si>
  <si>
    <t>Historic Budgets and Budget Outturns 2005-2015 and Annual Budget Book 2013/2014</t>
  </si>
  <si>
    <t>Historic Budgets and Budget Outturns 2005-2015 and Annual Budget Book 2014/2015</t>
  </si>
  <si>
    <t>Historic Budgets and Budget Outturns 2005-2015 and Annual Budget Book 2015/2016</t>
  </si>
  <si>
    <t>Both Annual budget book 2015/2016 and Historic Budgets and Budget Outturns 2005-2016</t>
  </si>
  <si>
    <t>Annual budget book 2015/2016 actualJuly to March * 12/9</t>
  </si>
  <si>
    <t>2015/16 Full Year Macro-Fiscal Report, Octobre 2016</t>
  </si>
  <si>
    <t>http://grss-mof.org/documents/?document_cat=9&amp;document_subcat=317&amp;sector=&amp;state=&amp;fiscal_year=201516</t>
  </si>
  <si>
    <t>Q 4 2016/17 Fiscal Report, December, 2017</t>
  </si>
  <si>
    <t>Book final 2017-18</t>
  </si>
  <si>
    <t>not estimated due to high  implementation rates bc of inflation</t>
  </si>
  <si>
    <t>Budget 2018-19 approved page iii</t>
  </si>
  <si>
    <t>Budget 2018-19 column Outturn 17-18</t>
  </si>
  <si>
    <t>http://www.mofep-grss.org/documents/</t>
  </si>
  <si>
    <t>Budget 2019-20 approved page iii</t>
  </si>
  <si>
    <t>Q3 Budget Execution Report FY 2019-2020</t>
  </si>
  <si>
    <t>Table 1 page 3</t>
  </si>
  <si>
    <t>Fiscal Summary, page 4</t>
  </si>
  <si>
    <t>Ouuturn Q2 x 2</t>
  </si>
  <si>
    <t>Estimé au 4/3</t>
  </si>
  <si>
    <t>See next tab</t>
  </si>
  <si>
    <t>Net oil &amp; non oil revenue</t>
  </si>
  <si>
    <t>oil &amp; non oil revenue</t>
  </si>
  <si>
    <t>oil and non oil revenues</t>
  </si>
  <si>
    <t>Net Oil Rev + Total Tax Rev.</t>
  </si>
  <si>
    <t>Donors grants</t>
  </si>
  <si>
    <t>WB &amp; China (reported in the financing part of the table)</t>
  </si>
  <si>
    <t>WB only</t>
  </si>
  <si>
    <t>note : high inflation in Nl currency at Quarter 3 &amp; 4</t>
  </si>
  <si>
    <t>page iv</t>
  </si>
  <si>
    <t>page 6 ; col Q3 Outturn *4/3</t>
  </si>
  <si>
    <t>piii</t>
  </si>
  <si>
    <t>piii Outturn</t>
  </si>
  <si>
    <t>General Fund (except capital) + ARCISS+ Contengency</t>
  </si>
  <si>
    <t>difference Total minus others</t>
  </si>
  <si>
    <t>ARCISS Agreement on Resolution of the Conflict of South Sudan</t>
  </si>
  <si>
    <t>Investment Domestic resources</t>
  </si>
  <si>
    <t>Capital within General Fund</t>
  </si>
  <si>
    <t>Investment External funding</t>
  </si>
  <si>
    <t>On budget donors activity</t>
  </si>
  <si>
    <t>Externally funded grants and loans</t>
  </si>
  <si>
    <t>Interest &amp; Bank charges</t>
  </si>
  <si>
    <t>Total spending</t>
  </si>
  <si>
    <t>Consolidated funds only (excluding off-budget support)</t>
  </si>
  <si>
    <t>Table Expenditure review page 9</t>
  </si>
  <si>
    <t>Page 4 ; col Q3 Outturn *4/3</t>
  </si>
  <si>
    <t>Historical-outturns-and-budgets-SS-05-15.xlsx</t>
  </si>
  <si>
    <t>Gl fund and ARCISS</t>
  </si>
  <si>
    <t xml:space="preserve">employers' contributions included in staff costs </t>
  </si>
  <si>
    <t>Block transfers only. Conditional transfers accounted for with Ministries</t>
  </si>
  <si>
    <t>Appendix 1, page 21</t>
  </si>
  <si>
    <t>Expenditure overview page 9</t>
  </si>
  <si>
    <t>Budget allocations by sector page 22</t>
  </si>
  <si>
    <t>page 4 ; col Q3 Outturn x 4/3</t>
  </si>
  <si>
    <t>page 1 (23 Pdf) 2019-20 budget</t>
  </si>
  <si>
    <t>page4 (26 pdf) 2019-20 budget: Q3 Outturns x 4/3</t>
  </si>
  <si>
    <t>Ministry of General Education &amp; Instruction</t>
  </si>
  <si>
    <t>Gl Education and Higher Education</t>
  </si>
  <si>
    <t>Both education ministries merged in 2013/2014 to one ministry which is now known as Ministry of Education, Science and Technology (MEST)</t>
  </si>
  <si>
    <t>Total 3 Ministries</t>
  </si>
  <si>
    <t>no  capital expenditures from domestic resources</t>
  </si>
  <si>
    <t>Ministry of Higher Education, Science &amp; Technology</t>
  </si>
  <si>
    <t>Ministry of Education, Science &amp; Technology (MEST)</t>
  </si>
  <si>
    <t>Appendix 2, page 24</t>
  </si>
  <si>
    <t>Final 2016-17 budget</t>
  </si>
  <si>
    <t>Wages and salariespage 162</t>
  </si>
  <si>
    <t>Transfers conditional salaries  page  162</t>
  </si>
  <si>
    <t>Higher Education, page 175</t>
  </si>
  <si>
    <t>not clear if block transfers are also used for education</t>
  </si>
  <si>
    <t>Republic of Tajikistan</t>
  </si>
  <si>
    <t>Previous year</t>
  </si>
  <si>
    <t>Somoni (TJS)</t>
  </si>
  <si>
    <t>Millions of som</t>
  </si>
  <si>
    <t>Ministry of Finance (Report: Отчёт по исполнению бюджета
январь – декабрь 2014 г.)</t>
  </si>
  <si>
    <t>Ministry of Finance (Report: Отчёт по исполнению бюджета 4 квартала 2015г)</t>
  </si>
  <si>
    <t>Ministry of Finance, report: Отчёт по исполнению бюджета 4 квартала 2015г</t>
  </si>
  <si>
    <t>http://minfin.tj/downloads/otjet_po_ispolneniy_bydjet_4_kvartala_2015g4.pdf</t>
  </si>
  <si>
    <t>Отчёт по исполнению бюджета январь – сентябрь  2016 г.
Provisional estimate using 3Q actuals reporting</t>
  </si>
  <si>
    <t>Ҳисобот - оиди иҷроиши Буҷети давлатии Ҷумҳурии Тоҷикистон дар соли 2018</t>
  </si>
  <si>
    <t>http://minfin.tj/index.php?do=static&amp;page=budget</t>
  </si>
  <si>
    <t>Ҳисобот
оиди иҷроиши Буҷети давлатии Ҷумҳурии Тоҷикистон дар соли 2019.
оиди иҷроиши Буҷети давлатии Ҷумҳурии Тоҷикистон дар соли 2018</t>
  </si>
  <si>
    <t>See the Process 2015 tab, column K</t>
  </si>
  <si>
    <t xml:space="preserve">V. Грантњо and </t>
  </si>
  <si>
    <t>Грантҳо барои лоиҳаҳои инветитсионӣ</t>
  </si>
  <si>
    <t xml:space="preserve">Программа государственных инвестиций </t>
  </si>
  <si>
    <t>Карзҳо барои лоиҳаҳои инветитсионӣ</t>
  </si>
  <si>
    <t>Special Funds</t>
  </si>
  <si>
    <t xml:space="preserve">специальные средства бюджетных организаций </t>
  </si>
  <si>
    <t>p7, Специальные средства бюджетных учреждений</t>
  </si>
  <si>
    <t>Маблағҳои махсуси ташкилотҳои буҷетӣ</t>
  </si>
  <si>
    <t>28-Амалиётҳо бо дороиҳо ва уҳдадориҳо</t>
  </si>
  <si>
    <t>23-Хароҷоти пардохти фоизҳо</t>
  </si>
  <si>
    <t>2-Хароҷотҳо</t>
  </si>
  <si>
    <t>21 - Пардохти музди меҳнати кормандон ва маблағҷудокуниҳои андозӣ</t>
  </si>
  <si>
    <t>Central pension contributions may be ignored</t>
  </si>
  <si>
    <t>211 - Пардохти музди меҳнати кормандон</t>
  </si>
  <si>
    <t>2722 - Нафақаҳо</t>
  </si>
  <si>
    <t>Same as above</t>
  </si>
  <si>
    <t>Page 5 Иҷрои қисми вазифавии буҷети давлатӣ ба 1 январи соли 2019</t>
  </si>
  <si>
    <t>Иҷрои қисми вазифавии буҷети давлатӣ ба 1 январи соли 2020</t>
  </si>
  <si>
    <r>
      <t xml:space="preserve">Education sector </t>
    </r>
    <r>
      <rPr>
        <sz val="9"/>
        <color rgb="FFFF0000"/>
        <rFont val="Calibri"/>
        <family val="2"/>
        <scheme val="minor"/>
      </rPr>
      <t>- Recurrent</t>
    </r>
  </si>
  <si>
    <t>04. Маориф</t>
  </si>
  <si>
    <t xml:space="preserve">Лоиҳаҳои инвеститсионӣ </t>
  </si>
  <si>
    <t>Nom Ministry 2</t>
  </si>
  <si>
    <t>Nom Ministry 3</t>
  </si>
  <si>
    <t>Nom Ministry 1</t>
  </si>
  <si>
    <t>Stipends</t>
  </si>
  <si>
    <t>2721 - Идрорпулиҳо</t>
  </si>
  <si>
    <t>Institutions for children (social protection)</t>
  </si>
  <si>
    <t>06.2.01. Муассисаҳо барои кӯдакон</t>
  </si>
  <si>
    <t>Nom Ministry 4</t>
  </si>
  <si>
    <t>Nom Ministry 5</t>
  </si>
  <si>
    <t>Nom Ministry 6</t>
  </si>
  <si>
    <t>Nom Ministry 7</t>
  </si>
  <si>
    <t>Nom Ministry 8</t>
  </si>
  <si>
    <t>% Domestic ressources</t>
  </si>
  <si>
    <t>Diificulties encountered or estimates made</t>
  </si>
  <si>
    <t xml:space="preserve">The relationship between tables for "government", "republican" and "local" budgets is unclear, thus the data herein is for government budget to avoid risk of double counting. Budget tables for 2015 are in Tajik and not in Russian language thus requiring Google Translate and increasing risk of errata. Budget presentation is somewhat different in 2014 and 2015 and is quite different from the template format. The costs are by sector and not by ministry. </t>
  </si>
  <si>
    <t>Tanzania Mainland</t>
  </si>
  <si>
    <t>Tanzania Shilling</t>
  </si>
  <si>
    <t>billions</t>
  </si>
  <si>
    <t>Billion</t>
  </si>
  <si>
    <t>Citizen budget 2012-13</t>
  </si>
  <si>
    <t>FULL YEAR BUDGET PERFORMANCE AND ECONOMIC REVIEW 2013-14</t>
  </si>
  <si>
    <t>FULL YEAR BUDGET PERFORMANCE AND ECONOMIC REVIEW MINISTRY OF FIONANCE October 2015</t>
  </si>
  <si>
    <t>BUDGET FOR FISCAL YEAR 2014/15 APRIL – JUNE 2015 FULL YEAR BUDGET PERFORMANCE AND ECONOMIC REVIEW - MINISTRY OF FINANCE OCTOBER, 2015</t>
  </si>
  <si>
    <t>http://www.mof.go.tz/mofdocs/budget/Budget%20Execution%20Report/BER-QT4-2014-15.pdf</t>
  </si>
  <si>
    <t>Budget Execution Report 2015-2016 Final</t>
  </si>
  <si>
    <t>http://www.mof.go.tz/index.php/budget/budget-bookss</t>
  </si>
  <si>
    <t>Budget Execution Report IV Quarter 2016-17</t>
  </si>
  <si>
    <t>Budget Execution Report IV Quarter 2017-18</t>
  </si>
  <si>
    <t xml:space="preserve">http://www.mof.go.tz/index.php/budget/budget-books </t>
  </si>
  <si>
    <t>Budget Execution Report 2017-2018 Final</t>
  </si>
  <si>
    <t>Budget Execution Report IV Quarter 2018-19</t>
  </si>
  <si>
    <t>Citizen Budget 2019-20</t>
  </si>
  <si>
    <t>including Local Government own resources</t>
  </si>
  <si>
    <t>Revenue excluding LGAs own sources</t>
  </si>
  <si>
    <t>Page 24</t>
  </si>
  <si>
    <t>Table Page 9</t>
  </si>
  <si>
    <t>Table page 9</t>
  </si>
  <si>
    <t>LGAs own sources</t>
  </si>
  <si>
    <t>Page 26 Total Grants</t>
  </si>
  <si>
    <t>Text page 9</t>
  </si>
  <si>
    <t>page 26</t>
  </si>
  <si>
    <t>461+2</t>
  </si>
  <si>
    <t>Grants + concessional loans</t>
  </si>
  <si>
    <t>Citizen budgets: including concessional loans</t>
  </si>
  <si>
    <t>Page 26 Programme Loans + Project Loans + Basket Support</t>
  </si>
  <si>
    <t>Citizen bidget</t>
  </si>
  <si>
    <t>page 25 Total recurrent minus transfers to Zanzibar</t>
  </si>
  <si>
    <t>Page 62 Wages and salaries + Ministries</t>
  </si>
  <si>
    <t>Graph/Table page 12</t>
  </si>
  <si>
    <t>page 28 Total recurrent minus debt</t>
  </si>
  <si>
    <t>Total recurrent page 28 minus debt</t>
  </si>
  <si>
    <t>Total recurrent page 29 minus debt</t>
  </si>
  <si>
    <t>Transfer to Zanzibar</t>
  </si>
  <si>
    <t>page 25 transfers to Zanzibar</t>
  </si>
  <si>
    <t>Page 62 Regions</t>
  </si>
  <si>
    <t>Budget speech</t>
  </si>
  <si>
    <t>Transfers to LGAs</t>
  </si>
  <si>
    <t>Page 62 LGAs</t>
  </si>
  <si>
    <t>http://www.mof.go.tz/mofdocs/budget/speech/English Budget speech MOF 2014.pdf</t>
  </si>
  <si>
    <t>exécution</t>
  </si>
  <si>
    <t>Page 25</t>
  </si>
  <si>
    <t>page 62 Development Ministries</t>
  </si>
  <si>
    <t>page 27 Development Local funds</t>
  </si>
  <si>
    <t>page 30 Development Local funds</t>
  </si>
  <si>
    <t>page 30 Total of Development Local funding</t>
  </si>
  <si>
    <t>page 32 Total of Development Local funding</t>
  </si>
  <si>
    <t>page 28 Development Foreign funds</t>
  </si>
  <si>
    <t>page 32 Development Foreign funds</t>
  </si>
  <si>
    <t>page 32 Total of Development Foreign funding</t>
  </si>
  <si>
    <t>page 35 Total of Development Foreign funding</t>
  </si>
  <si>
    <t>Page 25 Interest</t>
  </si>
  <si>
    <t>Consolidated Fund Service (debt) &amp; interests</t>
  </si>
  <si>
    <t>Page 25 CFS Consolidated Fund Services</t>
  </si>
  <si>
    <t>Page 62 Consolidated Fund Services</t>
  </si>
  <si>
    <t>Public debt page 25</t>
  </si>
  <si>
    <t>Public debt page 27</t>
  </si>
  <si>
    <t>Table page 23</t>
  </si>
  <si>
    <t>Page 26 Total Recurrent &amp; Development</t>
  </si>
  <si>
    <t>Page 25 Wages and Salaries</t>
  </si>
  <si>
    <t xml:space="preserve">Page 62 </t>
  </si>
  <si>
    <t xml:space="preserve">Vote 22 Public Debt and General Services </t>
  </si>
  <si>
    <t>Employer Actual Contributions To Social Scheme + Employer Social Benefits In Cash (Defined)</t>
  </si>
  <si>
    <t>Excel Provessing LGAs</t>
  </si>
  <si>
    <t>Transfers to LGAs within Regions</t>
  </si>
  <si>
    <t>Citizen budget page 7</t>
  </si>
  <si>
    <t>Citizen budget page 12</t>
  </si>
  <si>
    <t>Citizen budget page 11</t>
  </si>
  <si>
    <t>page 32 Local domestic + page 35 Foreign</t>
  </si>
  <si>
    <t>Pafe 9</t>
  </si>
  <si>
    <t>http://www.mof.go.tz/mofdocs/budget/Budget%20Books/2015_2016%20As%20passed%20by%20National%20Assembly/VOLUMEI.pdf</t>
  </si>
  <si>
    <t>Citizen budget 2013-14</t>
  </si>
  <si>
    <t>Citizen budget 2014-15</t>
  </si>
  <si>
    <t>http://www.mof.go.tz/mofdocs/budget/Citizens%20Budget/CITIZENS%20BUDGET_%20English_2014_15_Publish%20a5%20shengo.pdf</t>
  </si>
  <si>
    <t>Citizen budget 2015-16</t>
  </si>
  <si>
    <t>http://www.mof.go.tz/mofdocs/budget/Citizens%20Budget/CITIZENS%20BUDGET%202015_2016%20_ENGLISH.pdf</t>
  </si>
  <si>
    <t>https://mof.go.tz/index.php/budget/budget-bookss</t>
  </si>
  <si>
    <t>Citizen budgets</t>
  </si>
  <si>
    <t>Citizen budget</t>
  </si>
  <si>
    <t>all Education sector</t>
  </si>
  <si>
    <t>including LGAs</t>
  </si>
  <si>
    <t>page 8 including Local Governments</t>
  </si>
  <si>
    <t>Citizen budget page 16</t>
  </si>
  <si>
    <t>current</t>
  </si>
  <si>
    <t>Ministry Education page 27</t>
  </si>
  <si>
    <t>Volume II Vote 46 page 280</t>
  </si>
  <si>
    <t>Local financing page 29</t>
  </si>
  <si>
    <t>Vol IV vote 46 Local financing page 99</t>
  </si>
  <si>
    <t>Foreign financing page 31</t>
  </si>
  <si>
    <t>Foreign financing page 34</t>
  </si>
  <si>
    <t>Vol IV vote 46 Forex page 99</t>
  </si>
  <si>
    <t>Ministries</t>
  </si>
  <si>
    <t>Teaching service commission Page 27</t>
  </si>
  <si>
    <t>Volume II Vote 02 page 5</t>
  </si>
  <si>
    <t>UNESCO Commission page 27</t>
  </si>
  <si>
    <t>Volume II Vote 18 page 62</t>
  </si>
  <si>
    <t>http://www.mof.go.tz/mofdocs/budget/Budget%20Books/As%20Passed%20by%20National%20Assembly/Volume%20II-%20As%20Passed%202016-2017.pdf</t>
  </si>
  <si>
    <t>http://www.mof.go.tz/mofdocs/budget/Budget%20Books/2015_2016%20As%20passed%20by%20National%20Assembly/VOLUMEII.pdf</t>
  </si>
  <si>
    <t>Regions</t>
  </si>
  <si>
    <t>http://www.mof.go.tz/mofdocs/budget/Budget%20Books/As%20Passed%20by%20National%20Assembly/Volume%20III%20-As%20Passed%202016-2017.pdf</t>
  </si>
  <si>
    <t>Volume II Ministries 2016-2017</t>
  </si>
  <si>
    <t xml:space="preserve">Volume II Ministries 2018-2019 </t>
  </si>
  <si>
    <t>http://www.mof.go.tz/mofdocs/budget/Budget%20Books/2015_2016%20As%20passed%20by%20National%20Assembly/VOLUMEIII.pdf</t>
  </si>
  <si>
    <t>page 139</t>
  </si>
  <si>
    <t>page 139-140</t>
  </si>
  <si>
    <t>Volume II Vote 28 page 130</t>
  </si>
  <si>
    <t>POLICE COLLEGE</t>
  </si>
  <si>
    <t>page 125</t>
  </si>
  <si>
    <t>Police Moshi College</t>
  </si>
  <si>
    <t>page 155</t>
  </si>
  <si>
    <t>Page 155-156</t>
  </si>
  <si>
    <t>Page 138</t>
  </si>
  <si>
    <t>Volume II Vote 29 page 141</t>
  </si>
  <si>
    <t>PRISONS STAFF COLLEGE</t>
  </si>
  <si>
    <t>development</t>
  </si>
  <si>
    <t>page 268</t>
  </si>
  <si>
    <t>Page 268-269</t>
  </si>
  <si>
    <t>page 247</t>
  </si>
  <si>
    <t>Volume II Vote 43 page 254</t>
  </si>
  <si>
    <t>AGRICULTURE TRAINING INSTITUTE</t>
  </si>
  <si>
    <t>http://www.mof.go.tz/mofdocs/budget/Budget%20Books/As%20Passed%20by%20National%20Assembly/Volume%20IV%20-%20As%20Passed%202016-2017.pdf</t>
  </si>
  <si>
    <t>page 378</t>
  </si>
  <si>
    <t>Page 378-379</t>
  </si>
  <si>
    <t>Page 345</t>
  </si>
  <si>
    <t>Volume II Vote 56 page 352</t>
  </si>
  <si>
    <t>BASIC EDUCATION COORDINATION DIVISION Vote 56 Prime Minister’s Office - Regional Administration and Local Government</t>
  </si>
  <si>
    <t>http://www.mof.go.tz/mofdocs/budget/Budget%20Books/2015_2016%20As%20passed%20by%20National%20Assembly/VOLUMEIV.pdf</t>
  </si>
  <si>
    <t>Regions Education sector</t>
  </si>
  <si>
    <t>Citizen budget 2017-18</t>
  </si>
  <si>
    <t xml:space="preserve">Citizen budget page 12 </t>
  </si>
  <si>
    <t>using implentation rate of LGAs</t>
  </si>
  <si>
    <t>Excel File Processing LGAs</t>
  </si>
  <si>
    <t xml:space="preserve">2015-16 Citizen budget:  transfers to LGA 2,663.75 for education out of 4,692.53 </t>
  </si>
  <si>
    <t>included with MOE</t>
  </si>
  <si>
    <t>Citizen budget page 10</t>
  </si>
  <si>
    <t>Excel file processing LGAs</t>
  </si>
  <si>
    <t>BER IV Quarter report</t>
  </si>
  <si>
    <t>Expenditures for education made by LGAs are not visible in the budget documents.
Government spending for education are from the Citizens' budgeys. It is not clear if this include other Ministries
Employer's Social contributions seems to be paid on vote 22 General services, for all Ministries. However it was not possible to identify the salary vcosts for staff in Education sector</t>
  </si>
  <si>
    <t>Zanzibar</t>
  </si>
  <si>
    <t>2012 - 2013</t>
  </si>
  <si>
    <t>Shilling</t>
  </si>
  <si>
    <t>million TSH</t>
  </si>
  <si>
    <t>Million TSH</t>
  </si>
  <si>
    <t>http://www.zanzibar.go.tz/admin/uploads/Hotuba-ya-Bajeti-13-Mei-2015(3).pdf</t>
  </si>
  <si>
    <t>KUHUSU MAPENDEKEZO YA BAJETI YA SERIKALI (MAKADIRIO YA MAPATO NA MATUMIZI) KWA MWAKA WA FEDHA 2017/2018 KATIKA BARAZA LA WAWAKILISHI</t>
  </si>
  <si>
    <t>www.zanzibar.go.tz/admin/uploads/bajetyaserikali.pdf</t>
  </si>
  <si>
    <t>Budget speech 2017-18</t>
  </si>
  <si>
    <t xml:space="preserve">Budget sppech </t>
  </si>
  <si>
    <t>Budget sppech 2018-19</t>
  </si>
  <si>
    <t>Budget speech 2018-19</t>
  </si>
  <si>
    <t>http://www.mofeaznz.org/folder/</t>
  </si>
  <si>
    <t>Budget speech 2019-20
SMZBajetieng2019</t>
  </si>
  <si>
    <t>2020 
File Ministry2020.pdf</t>
  </si>
  <si>
    <t>Budget speech 2020-21
SMZBajetieng2019</t>
  </si>
  <si>
    <t>http://zanzibarassembly.go.tz/ministerial-budgets.php</t>
  </si>
  <si>
    <t>Makisio 2016-17</t>
  </si>
  <si>
    <t>Table page 53</t>
  </si>
  <si>
    <t>Matarajio 2016-17</t>
  </si>
  <si>
    <t>estimates from 9 montths implementation</t>
  </si>
  <si>
    <t>Makisio 2017-18</t>
  </si>
  <si>
    <t>Halisi Julai- Machi 2018 x 12/9</t>
  </si>
  <si>
    <t>Page 63 Likely Outurn</t>
  </si>
  <si>
    <t>Makadirio 2018/2019</t>
  </si>
  <si>
    <t>Ukusanyaji Halis 9 months July-March</t>
  </si>
  <si>
    <t>Page 68 pdf</t>
  </si>
  <si>
    <t>Page 77 Makisio 2019/20</t>
  </si>
  <si>
    <t>Page 77 Matarajio (expectations)2019/20</t>
  </si>
  <si>
    <t>Table page 42 MFUMO WA BAJETI 2015/16</t>
  </si>
  <si>
    <t>Mapato ya ndani</t>
  </si>
  <si>
    <t>Jum</t>
  </si>
  <si>
    <t>Mikopo na Ruzuku</t>
  </si>
  <si>
    <t>http://www.mofzanzibar.go.tz/</t>
  </si>
  <si>
    <t>domestic loans not included</t>
  </si>
  <si>
    <t>page 53</t>
  </si>
  <si>
    <t>Not available, use of implementation rate 2018/19</t>
  </si>
  <si>
    <t>Page 68</t>
  </si>
  <si>
    <t>page77</t>
  </si>
  <si>
    <t>Matumizi ya Kawaida</t>
  </si>
  <si>
    <t>Budget support + debt relief + Programme Loans and Grants</t>
  </si>
  <si>
    <t>Matumizi ya Maendeleo - Mchango wa Serikali</t>
  </si>
  <si>
    <t>Mchango wa Serikali</t>
  </si>
  <si>
    <t>Fedha za SMZ</t>
  </si>
  <si>
    <t>Matumizi ya Maendeleo - Mikopo na Ruzuku</t>
  </si>
  <si>
    <t>ODA</t>
  </si>
  <si>
    <t>Page 77</t>
  </si>
  <si>
    <t>Emploment costs</t>
  </si>
  <si>
    <t>Mishahara (Wizara) + (Ruzuku)</t>
  </si>
  <si>
    <t>Mishahara</t>
  </si>
  <si>
    <t>minus income of pension scheme</t>
  </si>
  <si>
    <t>Budget sppech 2015-16 of Ministry of education</t>
  </si>
  <si>
    <t>9 months from 2016 Estimate of expenditures</t>
  </si>
  <si>
    <t>Budget speech MOEVT 2014-15</t>
  </si>
  <si>
    <t>http://www.zanzibar.go.tz/admin/uploads/Bajeti-WEMA-Final.pdf</t>
  </si>
  <si>
    <t>Budget speech MOEVT 2016-17</t>
  </si>
  <si>
    <t>http://www.zanzibar.go.tz/admin/uploads/HOTUBA%20YA%20WAZIRI%20WA%20ELIMU%20NA%20MAFUNZO%20YA%20AMALI%20.pdf</t>
  </si>
  <si>
    <t>estimates based on execution 11 months</t>
  </si>
  <si>
    <t>Budget speech MOEVT 2017-18</t>
  </si>
  <si>
    <t>HOTUBA YA WAZIRI WA ELIMU NA MAFUNZO YA AMALI</t>
  </si>
  <si>
    <t>Budget speech MOEVT 2018-19</t>
  </si>
  <si>
    <t>Doc Budget speech 2019-20 not found</t>
  </si>
  <si>
    <t>Budget speech MOEVT 2020-21</t>
  </si>
  <si>
    <t>estimates from actual 10 months July-April</t>
  </si>
  <si>
    <t>Bajeti</t>
  </si>
  <si>
    <t>KILICHOPATIKANA 11 months  page 107</t>
  </si>
  <si>
    <t>RIPOTI YA UPATIKANAJI WA FEDHA KWA PROGRAMU NA PROGRAMU NDOGO KWA KIPINDI CHA JULAI 2017 HADI APRILI 2018</t>
  </si>
  <si>
    <t>Estimate from 11 months</t>
  </si>
  <si>
    <t>https://moez.go.tz/</t>
  </si>
  <si>
    <t>Estimate from 10 months July-April</t>
  </si>
  <si>
    <r>
      <rPr>
        <sz val="8"/>
        <color theme="1"/>
        <rFont val="Calibri"/>
        <family val="2"/>
        <scheme val="minor"/>
      </rPr>
      <t>Text Page 56:</t>
    </r>
    <r>
      <rPr>
        <sz val="8"/>
        <color rgb="FFFF0000"/>
        <rFont val="Calibri"/>
        <family val="2"/>
        <scheme val="minor"/>
      </rPr>
      <t xml:space="preserve"> </t>
    </r>
    <r>
      <rPr>
        <i/>
        <sz val="8"/>
        <color rgb="FFFF0000"/>
        <rFont val="Calibri"/>
        <family val="2"/>
        <scheme val="minor"/>
      </rPr>
      <t>all primary and primary school teachers and other staff will be transferred to local. Total of TSh. 55,259,299,000 / - have been allocated and transferred Ministry of State, Regional Administration,</t>
    </r>
  </si>
  <si>
    <t>MOEVT</t>
  </si>
  <si>
    <t>Table 10 page 101</t>
  </si>
  <si>
    <t>Table 10 pages 97 à 101</t>
  </si>
  <si>
    <t>page 85</t>
  </si>
  <si>
    <t>Table 10 page 80</t>
  </si>
  <si>
    <t>Speech page 40 § 61</t>
  </si>
  <si>
    <t>page 89 doc (93 Pdf)</t>
  </si>
  <si>
    <t>Development Domestic sourse</t>
  </si>
  <si>
    <t>Table 10 page 81</t>
  </si>
  <si>
    <t>page 198 Mchango Wa</t>
  </si>
  <si>
    <t>Jumla ya Maendeleo (SMZ)</t>
  </si>
  <si>
    <t>Developmentexternal funding</t>
  </si>
  <si>
    <t>page 198 Ruzuku + Mkopo</t>
  </si>
  <si>
    <t xml:space="preserve">Jumla ya Maendeleo (WAHISANI) </t>
  </si>
  <si>
    <t>Ministry of Primary &amp; Secondary Education</t>
  </si>
  <si>
    <r>
      <t>Defence</t>
    </r>
    <r>
      <rPr>
        <sz val="11"/>
        <color rgb="FFFF0000"/>
        <rFont val="Calibri"/>
        <family val="2"/>
        <scheme val="minor"/>
      </rPr>
      <t xml:space="preserve"> Recurrent</t>
    </r>
  </si>
  <si>
    <r>
      <t>Agriculture</t>
    </r>
    <r>
      <rPr>
        <sz val="11"/>
        <color rgb="FFFF0000"/>
        <rFont val="Calibri"/>
        <family val="2"/>
        <scheme val="minor"/>
      </rPr>
      <t xml:space="preserve"> recurrent</t>
    </r>
  </si>
  <si>
    <r>
      <t>Mines</t>
    </r>
    <r>
      <rPr>
        <sz val="11"/>
        <color rgb="FFFF0000"/>
        <rFont val="Calibri"/>
        <family val="2"/>
        <scheme val="minor"/>
      </rPr>
      <t xml:space="preserve"> recurrent</t>
    </r>
  </si>
  <si>
    <r>
      <t>Youth</t>
    </r>
    <r>
      <rPr>
        <sz val="11"/>
        <color rgb="FFFF0000"/>
        <rFont val="Calibri"/>
        <family val="2"/>
        <scheme val="minor"/>
      </rPr>
      <t xml:space="preserve"> recurrent</t>
    </r>
  </si>
  <si>
    <t>Mines</t>
  </si>
  <si>
    <t>Youth</t>
  </si>
  <si>
    <t>Text page 56 Salaries of Primary Teachers transferred to local</t>
  </si>
  <si>
    <t>ELIMU YA MAANDALIZI NA MSINGI</t>
  </si>
  <si>
    <t>Preprimary and primary</t>
  </si>
  <si>
    <t>page 83 MAANDALIZI NA MSINGI</t>
  </si>
  <si>
    <t>page 97 program P01</t>
  </si>
  <si>
    <t>page 97 MAANDALIZI NA MSINGI</t>
  </si>
  <si>
    <t>Text page 9 &amp; 10 MAANDALIZI NA MSINGI</t>
  </si>
  <si>
    <t>Text page 54 MAANDALIZI NA MSINGI</t>
  </si>
  <si>
    <t>Maendeleo</t>
  </si>
  <si>
    <t>Page 236 Maendeleo</t>
  </si>
  <si>
    <t>all primary and primary school teachers and other staff will be transferred to local. Total
of TSh. 55,259,299,000 / - have been allocated and transferred
Ministry of State, Regional Administration,</t>
  </si>
  <si>
    <t>Billion USD</t>
  </si>
  <si>
    <t>USD</t>
  </si>
  <si>
    <t>US $</t>
  </si>
  <si>
    <t>000</t>
  </si>
  <si>
    <t>Relatório Intermédio de Execução Orçamental
referente ao Ano Financeiro anterior 2011</t>
  </si>
  <si>
    <r>
      <rPr>
        <sz val="11"/>
        <color theme="1"/>
        <rFont val="Calibri"/>
        <family val="2"/>
        <scheme val="minor"/>
      </rPr>
      <t>Budget Transparency Portal</t>
    </r>
    <r>
      <rPr>
        <u/>
        <sz val="11"/>
        <color theme="10"/>
        <rFont val="Calibri"/>
        <family val="2"/>
        <scheme val="minor"/>
      </rPr>
      <t xml:space="preserve"> http://www.budgettransparency.gov.tl/publicTransparency</t>
    </r>
  </si>
  <si>
    <t>Transparency Portal data : only Domestic financing; 
data on Petrol Fund from Budget books; 
Seems DPs include only Loans</t>
  </si>
  <si>
    <t>Budget Transparency Portal http://www.budgettransparency.gov.tl/publicTransparency</t>
  </si>
  <si>
    <t>https://www.mof.gov.tl/budget-spending/budget-execution/?lang=en</t>
  </si>
  <si>
    <t>http://www.budgettransparency.gov.tl/publicTransparency</t>
  </si>
  <si>
    <t>Processing from Portal except Fundo Petroleo</t>
  </si>
  <si>
    <t>All sources except external loans</t>
  </si>
  <si>
    <t>Receitas não petrolíferas incluindo receitas próprias dos serviços e fundos</t>
  </si>
  <si>
    <t>extraction portail</t>
  </si>
  <si>
    <t>Tax, Non Tax, Retention agency</t>
  </si>
  <si>
    <t>Fundo Petrolifero</t>
  </si>
  <si>
    <t>Budget book BB1 2015 (budget) &amp; 2017 (actual), Tabela 2.1.3.1: Tabela Fiscal com Itens do Memorando, page26 Pdf 2015, p20 Pdf 2017</t>
  </si>
  <si>
    <t>Budget Book 1 2016, Anexo 1, page 102 Pdf</t>
  </si>
  <si>
    <t>Budget Book 1 2016, Anexo 1,Tabela 1.2 Financiamento das Despesas,  page 92 Pdf</t>
  </si>
  <si>
    <t>Budget Book 1 2018, Anexo 1,Tabela 1.2 Financiamento das Despesas,  page 92 Pdf</t>
  </si>
  <si>
    <t>Financiamento das despesas</t>
  </si>
  <si>
    <t>Transferências do Fundo Petrolífero</t>
  </si>
  <si>
    <t>Book1, p83 Transferencias</t>
  </si>
  <si>
    <t>Book1 --- portail transp.</t>
  </si>
  <si>
    <t>Pour 2020 : budget identifié dans Book1 / exécution identifiée dans portail transparency</t>
  </si>
  <si>
    <t>Grants &amp; contribution</t>
  </si>
  <si>
    <t>Infrastructure Fund from external</t>
  </si>
  <si>
    <t>Empréstimos</t>
  </si>
  <si>
    <t>aligned wit BB1 2016 anexo 1 page 102 Pdf</t>
  </si>
  <si>
    <t>aligned wit BB1 2018 anexo 1 page 102 Pdf</t>
  </si>
  <si>
    <t>Budget book 2019
Anexo I - Tabela II (p86 pdf)</t>
  </si>
  <si>
    <t>Salary+Good+Transfers+contingencias (hors minor capital)</t>
  </si>
  <si>
    <t xml:space="preserve">Investment </t>
  </si>
  <si>
    <t>Capital menor + desenvolvimento</t>
  </si>
  <si>
    <t>Capital minus from external loans</t>
  </si>
  <si>
    <t>Capital &amp; Development</t>
  </si>
  <si>
    <t>Includ. Minor Capital + CapitalDev (+Minor capital dans contingencias)</t>
  </si>
  <si>
    <t>tabela 2.5.3.2 (p59 pdf)</t>
  </si>
  <si>
    <t>Inclus dans les transferts</t>
  </si>
  <si>
    <t>Remboursement principal</t>
  </si>
  <si>
    <t xml:space="preserve">codigo 600 Salários </t>
  </si>
  <si>
    <t>DOTAÇÕES PARA TODO O GOVERNO - DTG-PENSÃO AOS EX-TITULARES</t>
  </si>
  <si>
    <t>Appcat Transfers + personnel benefits +   Prov.Reforma ex-Titulares Carg</t>
  </si>
  <si>
    <t>Budget book 2019</t>
  </si>
  <si>
    <t>Quaterly bulletin - Exp &amp; revuenues - Q3 2019</t>
  </si>
  <si>
    <t>En 2018, création du Ministère Ensino superior</t>
  </si>
  <si>
    <t xml:space="preserve">Processing from Portal </t>
  </si>
  <si>
    <t>MINISTÉRIO EDUCAÇÃO</t>
  </si>
  <si>
    <t>Le "Minor capital" inclus dans les investissement à partir de l'exercice 2020</t>
  </si>
  <si>
    <t>and Mtry of Higher Education</t>
  </si>
  <si>
    <t>Capital &amp; Development + Minor</t>
  </si>
  <si>
    <t>Ministério do Ensino Superior, Ciência e Cultura,</t>
  </si>
  <si>
    <t>UNIVERSIDADE NACIONAL DE TIMOR LOROSAE</t>
  </si>
  <si>
    <t>Secretariat of State for Vocational Training Policy and Employment</t>
  </si>
  <si>
    <t>MINISTÉRIO EDUCAÇÃO E CULTURA</t>
  </si>
  <si>
    <t xml:space="preserve">SECRETARIA DE ESTADO DA CULTURA </t>
  </si>
  <si>
    <t>MINISTÉRIO DA DEFESA E SEGURANÇA</t>
  </si>
  <si>
    <t>CENTRO DA FORMAÇÃO DA POLICIA</t>
  </si>
  <si>
    <t>MINISTÉRIO DA JUSTIÇA</t>
  </si>
  <si>
    <t>Judicial Training Center All recurrent</t>
  </si>
  <si>
    <t>CENTRO DE FORMAÇÃO JURÍDICA</t>
  </si>
  <si>
    <t>MINISTÉRIO DA ADMINISTRAÇÃO ESTATAL E ORDENAMENTO DO TERRITORIO</t>
  </si>
  <si>
    <t>INSTITUTO NACIONAL ADMINISTRAÇÃO PÚBLICA</t>
  </si>
  <si>
    <t>Fundo de Desenvolvimento de Capital Humano</t>
  </si>
  <si>
    <t>Scholarships</t>
  </si>
  <si>
    <t>Fundo recursos humanos</t>
  </si>
  <si>
    <t>Bolsas de Estudo</t>
  </si>
  <si>
    <t>Professional training and Technical training</t>
  </si>
  <si>
    <t>Technical training</t>
  </si>
  <si>
    <t>Formação Técnica</t>
  </si>
  <si>
    <t>Instituto de Ciências da Saúde</t>
  </si>
  <si>
    <t>with scholarships ?</t>
  </si>
  <si>
    <t>?</t>
  </si>
  <si>
    <t>Formação em Saúde e Medicina</t>
  </si>
  <si>
    <t>Agência Nacional para Avaliação e Acreditação Académica</t>
  </si>
  <si>
    <t>Fundo das Infra - estruturas</t>
  </si>
  <si>
    <t>Schools + Universities, Capital</t>
  </si>
  <si>
    <t>Educaçao</t>
  </si>
  <si>
    <t>Fundo de infra-estruturas Educaçao Escolas e Universidades</t>
  </si>
  <si>
    <t>and Ministry Higher Education</t>
  </si>
  <si>
    <t>600 Salários excluding overtime &amp; allowances</t>
  </si>
  <si>
    <r>
      <t xml:space="preserve">Ministério do Ensino Superior, Ciência </t>
    </r>
    <r>
      <rPr>
        <strike/>
        <sz val="11"/>
        <rFont val="Calibri"/>
        <family val="2"/>
        <scheme val="minor"/>
      </rPr>
      <t>e Cultura,</t>
    </r>
  </si>
  <si>
    <t>Sec. Cultura exclue</t>
  </si>
  <si>
    <t>only goods &amp; services</t>
  </si>
  <si>
    <t>Servicios municipal de educaçao</t>
  </si>
  <si>
    <t>Bacau</t>
  </si>
  <si>
    <t>Bobonaro</t>
  </si>
  <si>
    <t>Dili</t>
  </si>
  <si>
    <t>Ermera</t>
  </si>
  <si>
    <t>Aileu</t>
  </si>
  <si>
    <t>Ainaro</t>
  </si>
  <si>
    <t>Covalima</t>
  </si>
  <si>
    <t>Lautem</t>
  </si>
  <si>
    <t>Liquiça</t>
  </si>
  <si>
    <t>Manufahi</t>
  </si>
  <si>
    <t>Manatuto</t>
  </si>
  <si>
    <t>Viqueqe</t>
  </si>
  <si>
    <t xml:space="preserve">Mise à jour des dépenses réelles </t>
  </si>
  <si>
    <t>dépense réelle estimée</t>
  </si>
  <si>
    <t>LOI DE FINANCES RECTIFICATIVE - GESTION 2015 - DEPENSES</t>
  </si>
  <si>
    <t>boost</t>
  </si>
  <si>
    <t>http://wbi.worldbank.org/boost/country/togo</t>
  </si>
  <si>
    <t>http://finances.gouv.tg/sites/default/files/documents/tofe_2016_valeurs_du_08_mars_2017x.pdf</t>
  </si>
  <si>
    <t>Ministere de l'economie et des finances (rapport Decembre 2017)</t>
  </si>
  <si>
    <t>Rapport d'executionn Gestion 2017 (Ministere de l'economie et des Finances</t>
  </si>
  <si>
    <t>LFI</t>
  </si>
  <si>
    <t>http://www.togoreforme.com/fr/index.php?option=com_docman&amp;task=search_result&amp;Itemid=65</t>
  </si>
  <si>
    <t>https://finances.gouv.tg/listing-documents</t>
  </si>
  <si>
    <t>Ministere de l'economie et des finances (rapport Decembre 2018)</t>
  </si>
  <si>
    <t>Rapport d'executionn Gestion 2019 (Ministere de l'economie et des Finances</t>
  </si>
  <si>
    <t>Ministere de l'economie et des finances (rapport Decembre 2019)</t>
  </si>
  <si>
    <t>Recettes intérieures fiscales et non fiscales</t>
  </si>
  <si>
    <t>LFI 2016 Tableau d'équilibre page 27</t>
  </si>
  <si>
    <t>tableau 2 page 10. rapport budget etat , gestion 2017 au 31 decembre 2017</t>
  </si>
  <si>
    <t xml:space="preserve">tableau 1 page 8. rapport budget etat , gestion 2018 </t>
  </si>
  <si>
    <t>tableau 2 page 9. rapport Execution Du budget de l'Etat, Gestion 2018 a la fin decembre 2018</t>
  </si>
  <si>
    <t>tableau 1 page 9. rapport budget etat , gestion 2019</t>
  </si>
  <si>
    <t>tableau 2 page 10. rapport Execution Du budget de l'Etat, Gestion 2019 a la fin decembre 2019</t>
  </si>
  <si>
    <t>tableau 1 page 11. rapport budget etat , gestion 2020</t>
  </si>
  <si>
    <t>tableau 2 page 10. rapport budget etat , gestion 2017 au 31 decembre 2018</t>
  </si>
  <si>
    <t>tableau 1 page 11. rapport budget etat , gestion 2021</t>
  </si>
  <si>
    <t>tableau 2 page 10. rapport budget etat , gestion 2017 au 31 decembre 2019</t>
  </si>
  <si>
    <t>tableau 1 page 11. rapport budget etat , gestion 2022</t>
  </si>
  <si>
    <t>tableau 1 page 11. rapport budget etat , gestion 2023</t>
  </si>
  <si>
    <t xml:space="preserve">                                                                                                                                                                                                                                                                                                                                                                                                                                                      </t>
  </si>
  <si>
    <t>Fonctionnement hors dette (intérêts et  principal)</t>
  </si>
  <si>
    <t xml:space="preserve">tableau 13 (page 21).Rappoprt d'execution du budget gestion 2017; au 31 decembre 2017. </t>
  </si>
  <si>
    <t xml:space="preserve">tableau 12 page 19. rapport budget etat , gestion 2018 </t>
  </si>
  <si>
    <t xml:space="preserve">tableau 12 (page 20).Rappoprt d'execution du budget gestion 2018; au 31 decembre 2018. </t>
  </si>
  <si>
    <t xml:space="preserve">tableau 12 (page 21).Rappoprt d'execution du budget gestion 2019; au 31 decembre 2019. </t>
  </si>
  <si>
    <t>tableau 12 page 21. rapport budget etat , gestion 2020</t>
  </si>
  <si>
    <t>Investissement/Développement</t>
  </si>
  <si>
    <t>tableau 12 page 19. rapport budget etat , gestion 2019</t>
  </si>
  <si>
    <t>tableau 12 page 21. rapport budget etat , gestion 2021</t>
  </si>
  <si>
    <t>tableau 12 page 19. rapport budget etat , gestion 2020</t>
  </si>
  <si>
    <t>tableau 12 page 21. rapport budget etat , gestion 2022</t>
  </si>
  <si>
    <t>Autre dépenses sevice de la dette</t>
  </si>
  <si>
    <t>tableau 12 page 19. rapport budget etat , gestion 2021</t>
  </si>
  <si>
    <t>tableau 12 page 21. rapport budget etat , gestion 2023</t>
  </si>
  <si>
    <t>tableau 12 page 19. rapport budget etat , gestion 2022</t>
  </si>
  <si>
    <t>2018 ( Depenses en attenuation de recettes (Page 19)=98,32)) pris en compte (voir LFI gestion 2018 page 19)</t>
  </si>
  <si>
    <t>tableau 12 page 21. rapport budget etat , gestion 2024</t>
  </si>
  <si>
    <t>Contributions sociales des employeurs incluses dans les budgets des ministères</t>
  </si>
  <si>
    <t>http://finances.gouv.tg/sites/default/files/documents/budget_depense_2016_1_0.pdf</t>
  </si>
  <si>
    <r>
      <t xml:space="preserve">510 Enseignement Primaire, Secondaire et de l'Alphabétisation - </t>
    </r>
    <r>
      <rPr>
        <sz val="11"/>
        <color rgb="FFFF0000"/>
        <rFont val="Calibri"/>
        <family val="2"/>
        <scheme val="minor"/>
      </rPr>
      <t>Fonctionnement</t>
    </r>
  </si>
  <si>
    <t>inclut formation professionnelle</t>
  </si>
  <si>
    <t>Budget , Gestion 2017 par secteurs/sous secteur. Page 216</t>
  </si>
  <si>
    <t>Budget , Gestion 2018 par secteurs/sous secteur. Page 226</t>
  </si>
  <si>
    <t>Enseignements Primaire, Secondaire et de la Formation Professionnelle</t>
  </si>
  <si>
    <t>Loi rectificative par ministère, page 217</t>
  </si>
  <si>
    <t>Budget , Gestion 2019 par secteurs/sous secteur. Page 65</t>
  </si>
  <si>
    <t>LFR_Gestion_2020 Page 215</t>
  </si>
  <si>
    <r>
      <t>511 Enseignement Primaire, Secondaire et de l'Alphabétisation -</t>
    </r>
    <r>
      <rPr>
        <sz val="11"/>
        <color rgb="FFFF0000"/>
        <rFont val="Calibri"/>
        <family val="2"/>
        <scheme val="minor"/>
      </rPr>
      <t xml:space="preserve"> Investissement</t>
    </r>
  </si>
  <si>
    <t>Ministere Delegue aupres du MEN</t>
  </si>
  <si>
    <t>LFR_Gestion_2020 Page 216</t>
  </si>
  <si>
    <r>
      <t xml:space="preserve">520 Enseignement Technique et Formation Professionnelle - </t>
    </r>
    <r>
      <rPr>
        <sz val="11"/>
        <color rgb="FFFF0000"/>
        <rFont val="Calibri"/>
        <family val="2"/>
        <scheme val="minor"/>
      </rPr>
      <t>Fonctionnement</t>
    </r>
  </si>
  <si>
    <t>Section 520 du budget, Ministre délégué auprès du MEN</t>
  </si>
  <si>
    <t>Budget , Gestion 2017 par secteurs/sous secteur. Page 319</t>
  </si>
  <si>
    <t>Budget , Gestion 2018 par secteurs/sous secteur. Page 319</t>
  </si>
  <si>
    <t>Loi rectificative par ministère, page 305</t>
  </si>
  <si>
    <t>Budget , Gestion 2018 par secteurs/sous secteur. Page 84</t>
  </si>
  <si>
    <t>LFR_Gestion_2020 Page 295</t>
  </si>
  <si>
    <r>
      <t xml:space="preserve">521 Enseignement Technique et Formation Professionnelle - </t>
    </r>
    <r>
      <rPr>
        <sz val="11"/>
        <color rgb="FFFF0000"/>
        <rFont val="Calibri"/>
        <family val="2"/>
        <scheme val="minor"/>
      </rPr>
      <t>Investissement</t>
    </r>
  </si>
  <si>
    <t>LFR_Gestion_2020 Page 296</t>
  </si>
  <si>
    <r>
      <t xml:space="preserve">530 Enseignement Supérieur et de la Recherche - </t>
    </r>
    <r>
      <rPr>
        <sz val="11"/>
        <color rgb="FFFF0000"/>
        <rFont val="Calibri"/>
        <family val="2"/>
        <scheme val="minor"/>
      </rPr>
      <t>Fonctionnement</t>
    </r>
  </si>
  <si>
    <t>Budget , Gestion 2017 par secteurs/sous secteur. Page 332</t>
  </si>
  <si>
    <t>Budget , Gestion 2018 par secteurs/sous secteur. Page 332</t>
  </si>
  <si>
    <t>Loi rectificative par ministère, page 317</t>
  </si>
  <si>
    <t>Budget , Gestion 2019 par secteurs/sous secteur. Page 87</t>
  </si>
  <si>
    <t>LFR_Gestion_2020 Page 219</t>
  </si>
  <si>
    <r>
      <t xml:space="preserve">531 Enseignement Supérieur et de la Recherche - </t>
    </r>
    <r>
      <rPr>
        <sz val="11"/>
        <color rgb="FFFF0000"/>
        <rFont val="Calibri"/>
        <family val="2"/>
        <scheme val="minor"/>
      </rPr>
      <t>Investissement</t>
    </r>
  </si>
  <si>
    <t xml:space="preserve"> Ministère de l'Enseignement Supérieur et de la Recherche</t>
  </si>
  <si>
    <t>LFR_Gestion_2020 Page 220</t>
  </si>
  <si>
    <t>Name 1</t>
  </si>
  <si>
    <t>http://finances.gouv.tg/sites/default/files/documents/budget_depense_2017.pdf</t>
  </si>
  <si>
    <t>Budget par ministère</t>
  </si>
  <si>
    <r>
      <t xml:space="preserve">Défense Nationale </t>
    </r>
    <r>
      <rPr>
        <sz val="11"/>
        <color rgb="FFFF0000"/>
        <rFont val="Calibri"/>
        <family val="2"/>
        <scheme val="minor"/>
      </rPr>
      <t>- Fonctionnement</t>
    </r>
  </si>
  <si>
    <t>pages 141, 142</t>
  </si>
  <si>
    <t xml:space="preserve"> Ecole de Service de Santé de Lomé; Ecole de Formation des Sous- Officiers des FAT;Ecole de Formation des Officiers des FAT; Collège Militaire Eyadéma</t>
  </si>
  <si>
    <t>pages 38</t>
  </si>
  <si>
    <r>
      <t>Défense Nationale -</t>
    </r>
    <r>
      <rPr>
        <sz val="11"/>
        <color rgb="FFFF0000"/>
        <rFont val="Calibri"/>
        <family val="2"/>
        <scheme val="minor"/>
      </rPr>
      <t xml:space="preserve"> Investissement</t>
    </r>
  </si>
  <si>
    <r>
      <t>Justice</t>
    </r>
    <r>
      <rPr>
        <sz val="11"/>
        <color rgb="FFFF0000"/>
        <rFont val="Calibri"/>
        <family val="2"/>
        <scheme val="minor"/>
      </rPr>
      <t>- Fonctionnement</t>
    </r>
  </si>
  <si>
    <t>Centre de formation des professions de justice</t>
  </si>
  <si>
    <t>page60</t>
  </si>
  <si>
    <r>
      <t>Justice-</t>
    </r>
    <r>
      <rPr>
        <sz val="11"/>
        <color rgb="FFFF0000"/>
        <rFont val="Calibri"/>
        <family val="2"/>
        <scheme val="minor"/>
      </rPr>
      <t xml:space="preserve"> Investissement</t>
    </r>
  </si>
  <si>
    <r>
      <t>Santé</t>
    </r>
    <r>
      <rPr>
        <sz val="11"/>
        <color rgb="FFFF0000"/>
        <rFont val="Calibri"/>
        <family val="2"/>
        <scheme val="minor"/>
      </rPr>
      <t>- Fonctionnement</t>
    </r>
  </si>
  <si>
    <t>pages 374, 375</t>
  </si>
  <si>
    <t xml:space="preserve">Centre formation santé publique; ENAM, ENSF; ENAS; </t>
  </si>
  <si>
    <t>pages 92 à 103</t>
  </si>
  <si>
    <r>
      <t>Santé-</t>
    </r>
    <r>
      <rPr>
        <sz val="11"/>
        <color rgb="FFFF0000"/>
        <rFont val="Calibri"/>
        <family val="2"/>
        <scheme val="minor"/>
      </rPr>
      <t xml:space="preserve"> Investissement</t>
    </r>
  </si>
  <si>
    <t>page 107</t>
  </si>
  <si>
    <r>
      <t>Fonction Publique</t>
    </r>
    <r>
      <rPr>
        <sz val="11"/>
        <color rgb="FFFF0000"/>
        <rFont val="Calibri"/>
        <family val="2"/>
        <scheme val="minor"/>
      </rPr>
      <t>- Fonctionnement</t>
    </r>
  </si>
  <si>
    <t>page 435</t>
  </si>
  <si>
    <r>
      <t>Fonction Publique-</t>
    </r>
    <r>
      <rPr>
        <sz val="11"/>
        <color rgb="FFFF0000"/>
        <rFont val="Calibri"/>
        <family val="2"/>
        <scheme val="minor"/>
      </rPr>
      <t xml:space="preserve"> Investissement</t>
    </r>
  </si>
  <si>
    <r>
      <t>Action sociale</t>
    </r>
    <r>
      <rPr>
        <sz val="11"/>
        <color rgb="FFFF0000"/>
        <rFont val="Calibri"/>
        <family val="2"/>
        <scheme val="minor"/>
      </rPr>
      <t>- Fonctionnement</t>
    </r>
  </si>
  <si>
    <t>page 494</t>
  </si>
  <si>
    <t>Ecole Nationale de Formation Sociale</t>
  </si>
  <si>
    <r>
      <t>Action sociale -</t>
    </r>
    <r>
      <rPr>
        <sz val="11"/>
        <color rgb="FFFF0000"/>
        <rFont val="Calibri"/>
        <family val="2"/>
        <scheme val="minor"/>
      </rPr>
      <t xml:space="preserve"> Investissement</t>
    </r>
  </si>
  <si>
    <t>page 224</t>
  </si>
  <si>
    <t>Ecole Nationale de police</t>
  </si>
  <si>
    <t>510 Enseignement Primaire, Secondaire et de l'Alphabétisation</t>
  </si>
  <si>
    <t>Données inutiles car les contributions sociales employeurs sont incluses dans les budgets</t>
  </si>
  <si>
    <t>520 Enseignement Technique et Formation Professionnelle</t>
  </si>
  <si>
    <t>530 Enseignement Supérieur et de la Recherche</t>
  </si>
  <si>
    <t>Fonction Publique</t>
  </si>
  <si>
    <t>Action sociale</t>
  </si>
  <si>
    <t>Dépenses d'éducation courantes</t>
  </si>
  <si>
    <t>Dépenses d'éducation investissement</t>
  </si>
  <si>
    <r>
      <t xml:space="preserve">510 Enseignement Primaire, Secondaire et de l'Alphabétisation </t>
    </r>
    <r>
      <rPr>
        <sz val="12"/>
        <color rgb="FFFF0000"/>
        <rFont val="Times New Roman"/>
        <family val="1"/>
      </rPr>
      <t>Capital</t>
    </r>
  </si>
  <si>
    <r>
      <t xml:space="preserve">520 Enseignement Technique et Formation Professionnelle </t>
    </r>
    <r>
      <rPr>
        <sz val="12"/>
        <color rgb="FFFF0000"/>
        <rFont val="Times New Roman"/>
        <family val="1"/>
      </rPr>
      <t>Capital</t>
    </r>
  </si>
  <si>
    <r>
      <t xml:space="preserve">530 Enseignement Supérieur et de la Recherche </t>
    </r>
    <r>
      <rPr>
        <sz val="12"/>
        <color rgb="FFFF0000"/>
        <rFont val="Times New Roman"/>
        <family val="1"/>
      </rPr>
      <t>Capital</t>
    </r>
  </si>
  <si>
    <t xml:space="preserve">
Collectivités décentralisées : où trouver les transferts de l'Etat. Font elles des dépenses d'éducation ?</t>
  </si>
  <si>
    <t>Uganda Shilling</t>
  </si>
  <si>
    <t>Annual Budget Performance Report FY 2010-11</t>
  </si>
  <si>
    <t>Annual Budget Performance Report FY 2013-14</t>
  </si>
  <si>
    <t>Annual Budget Performance Report FY 2014-15</t>
  </si>
  <si>
    <t>Annual Budget Performance Report FY 2015-16</t>
  </si>
  <si>
    <t>http://www.budget.go.ug/budget/national-budget-performance-reports?field_document_typeperformance_tid=47&amp;field_financial_yearperformance_tid=All&amp;field_periodperformance_tid=500</t>
  </si>
  <si>
    <t>http://budget.go.ug/budget/sites/default/files/National%20Budget%20docs/Annual%20Budget%20Performance%20Report%20FY%202015-16.pdf</t>
  </si>
  <si>
    <t>Annual Budget Performance Report FY 2016-17</t>
  </si>
  <si>
    <t>http://budget.go.ug/budget/sites/default/files/National%20Budget%20docs/ANNUAL%20BUDGET%20PERFORMANCE%20REPORT%20FY%2020116-17.pdf</t>
  </si>
  <si>
    <t>Annual budget performance report 2017/18</t>
  </si>
  <si>
    <t>https://budget.go.ug/sites/default/files/National%20Budget%20docs/Annual%20Budget%20Performance%20Report%20%28ABPR%29%20FY%202017-18.pdf</t>
  </si>
  <si>
    <t>Annual budget performance report 2018/19</t>
  </si>
  <si>
    <t>Annual budget performance report 2019/20</t>
  </si>
  <si>
    <t>http://budget.go.ug/</t>
  </si>
  <si>
    <t>Part 1 Overall Fiscal and Resource Performance</t>
  </si>
  <si>
    <t>page 79</t>
  </si>
  <si>
    <t>page 96 Table 2</t>
  </si>
  <si>
    <t>Table 1- page 44</t>
  </si>
  <si>
    <t>table 1 - p69 pdf</t>
  </si>
  <si>
    <t>Oil revenues included</t>
  </si>
  <si>
    <t>programme loans</t>
  </si>
  <si>
    <t>page 86</t>
  </si>
  <si>
    <t>interest excluded</t>
  </si>
  <si>
    <t>Other arrears</t>
  </si>
  <si>
    <t>Net lending &amp; arrears</t>
  </si>
  <si>
    <t>transffers to LG Wage bill</t>
  </si>
  <si>
    <t>page 958</t>
  </si>
  <si>
    <t>page 105</t>
  </si>
  <si>
    <t>Reform of the pension scheme. Pensions are included in each ministry budget starting with 2015-16</t>
  </si>
  <si>
    <t>Table V2.6- page56</t>
  </si>
  <si>
    <t>p1014</t>
  </si>
  <si>
    <t>equal to 2014-15</t>
  </si>
  <si>
    <t>page 1690</t>
  </si>
  <si>
    <t>transfer to LG (Local Gvt grants releases)</t>
  </si>
  <si>
    <t>table V2.6 p82 pdf</t>
  </si>
  <si>
    <t>p93</t>
  </si>
  <si>
    <t>ALL SECTOR</t>
  </si>
  <si>
    <t>Secteur Education</t>
  </si>
  <si>
    <t>Development Domestic Financing</t>
  </si>
  <si>
    <t>Development External Financing</t>
  </si>
  <si>
    <t>Vote 13 Ministry of Education and Sports</t>
  </si>
  <si>
    <t>page 363</t>
  </si>
  <si>
    <t>Vote 013 page 377</t>
  </si>
  <si>
    <t>Vote: 111 Busitema University</t>
  </si>
  <si>
    <t>page 388</t>
  </si>
  <si>
    <t>Vote 111 page 398</t>
  </si>
  <si>
    <t>ote: 122 Kampala Capital City Authority</t>
  </si>
  <si>
    <t>page 394</t>
  </si>
  <si>
    <t>Vote 122 page 404</t>
  </si>
  <si>
    <t>Vote: 127 Muni University</t>
  </si>
  <si>
    <t>page 400</t>
  </si>
  <si>
    <t>Vote 127 page 420</t>
  </si>
  <si>
    <t>Vote: 128 Uganda National Examination Board</t>
  </si>
  <si>
    <t>Vote 128 page 425</t>
  </si>
  <si>
    <t>Vote: 132 Education Service Commission</t>
  </si>
  <si>
    <t>page 404</t>
  </si>
  <si>
    <t>Vote 132 page 430</t>
  </si>
  <si>
    <t>Vote: 136 Makerere University</t>
  </si>
  <si>
    <t>page 408</t>
  </si>
  <si>
    <t>Vote 136 page 434</t>
  </si>
  <si>
    <t>Vote: 137 Mbarara University</t>
  </si>
  <si>
    <t>page 413</t>
  </si>
  <si>
    <t>Vote 137 page 439</t>
  </si>
  <si>
    <t>Vote: 138 Makerere University Business School</t>
  </si>
  <si>
    <t>page 418</t>
  </si>
  <si>
    <t>Vote 138 page 444</t>
  </si>
  <si>
    <t>Vote: 139 Kyambogo University</t>
  </si>
  <si>
    <t>page 422</t>
  </si>
  <si>
    <t>Vote 139 page 451</t>
  </si>
  <si>
    <t>Vote: 140 Uganda Management Institute</t>
  </si>
  <si>
    <t>page 426</t>
  </si>
  <si>
    <t>Vote 140 page 456</t>
  </si>
  <si>
    <t>Vote: 149 Gulu University</t>
  </si>
  <si>
    <t>page 429</t>
  </si>
  <si>
    <t>Vote 149 page 459</t>
  </si>
  <si>
    <t>Vote: 301 Lira University</t>
  </si>
  <si>
    <t>Vote: 303 Ntional curriculum dvt</t>
  </si>
  <si>
    <t>Vote: 307 kabale University</t>
  </si>
  <si>
    <t>Vote: 308 Soroti University</t>
  </si>
  <si>
    <t>page 379</t>
  </si>
  <si>
    <t>Ministry of Gender, Labour &amp; Social Development</t>
  </si>
  <si>
    <t>estimaters from source NEA</t>
  </si>
  <si>
    <t>Ministry of Water and Environment</t>
  </si>
  <si>
    <t>source NEA</t>
  </si>
  <si>
    <t>Name Ministry 9</t>
  </si>
  <si>
    <t>Name Ministry 10</t>
  </si>
  <si>
    <t>Annex A1.1 pages 892-894</t>
  </si>
  <si>
    <t>Annex A1.1 page 980 pdf</t>
  </si>
  <si>
    <t>Vote 013 page377</t>
  </si>
  <si>
    <t>Vote 111page 398</t>
  </si>
  <si>
    <t>Vote 301: Lira unmiversity</t>
  </si>
  <si>
    <t>Vote 303: National Curriculum dvt</t>
  </si>
  <si>
    <t>Vote 307: Kabale university</t>
  </si>
  <si>
    <t>Vote 308: Soroti university</t>
  </si>
  <si>
    <t>page 102</t>
  </si>
  <si>
    <t>Annex A1.1 page 982 pdf</t>
  </si>
  <si>
    <t>p1015</t>
  </si>
  <si>
    <t>page 108 &amp; 109</t>
  </si>
  <si>
    <t>V2.6page 56</t>
  </si>
  <si>
    <t>Déjà inclus dans Secteur global</t>
  </si>
  <si>
    <t>page 107 Table Education Sector</t>
  </si>
  <si>
    <t>Annex A1.1</t>
  </si>
  <si>
    <t>Annex A1.1, Pages 892-94</t>
  </si>
  <si>
    <t>p93/94</t>
  </si>
  <si>
    <t>page 941</t>
  </si>
  <si>
    <t>Page 1024</t>
  </si>
  <si>
    <t>Pre-primary &amp; Primary education</t>
  </si>
  <si>
    <t>Annex A1.1 page 894</t>
  </si>
  <si>
    <t>local gvt</t>
  </si>
  <si>
    <t>Special Needs education</t>
  </si>
  <si>
    <t>Quality &amp; Standards</t>
  </si>
  <si>
    <t>expenditures under ministry of education, not primary and pre-primary only</t>
  </si>
  <si>
    <t>Local Gvt</t>
  </si>
  <si>
    <t>Assess=ment of Education expenditure</t>
  </si>
  <si>
    <t>Republic of Uzbekistan</t>
  </si>
  <si>
    <t>Uzbekistan som (UZS)</t>
  </si>
  <si>
    <t>Billions som</t>
  </si>
  <si>
    <t>Billions of som</t>
  </si>
  <si>
    <t>"Prelimenary" Actual</t>
  </si>
  <si>
    <t>Ministry of Finance (ИСПОЛНЕНИЕ ГОСУДАРСТВЕННОГО БЮДЖЕТА РЕСПУБЛИКИ УЗБЕКИСТАН за 2013 год)</t>
  </si>
  <si>
    <t>Ministry of Finance (ИСПОЛНЕНИЕ ГОСУДАРСТВЕННОГО БЮДЖЕТА РЕСПУБЛИКИ УЗБЕКИСТАН за 2014 год)</t>
  </si>
  <si>
    <t>Ministry of Finance (ИСПОЛНЕНИЕ ГОСУДАРСТВЕННОГО БЮДЖЕТА РЕСПУБЛИКИ УЗБЕКИСТАН за 2015 год)</t>
  </si>
  <si>
    <t>ИСПОЛНЕНИЕ ГОСУДАРСТВЕННОГО БЮДЖЕТА РЕСПУБЛИКИ УЗБЕКИСТАН за 2015 год</t>
  </si>
  <si>
    <t>https://www.mf.uz/home/deyatelnost/gosudarstvennyj-byudzhet.html</t>
  </si>
  <si>
    <t>Preliminary actuals, ИСПОЛНЕНИЕ ОСНОВНЫХ ПАРАМЕТРОВ ГОСУДАРСТВЕННОГО БЮДЖЕТА РЕСПУБЛИКИ УЗБЕКИСТАН за 2016 год</t>
  </si>
  <si>
    <t>Source data spreadsheet cell address is indicated in parenthesis. Please note the multiple tabs in the original file.</t>
  </si>
  <si>
    <t>https://www.mf.uz/</t>
  </si>
  <si>
    <r>
      <t xml:space="preserve">Execution of the State Budgetof the Republic of Uzbekistan </t>
    </r>
    <r>
      <rPr>
        <b/>
        <sz val="9"/>
        <color theme="1"/>
        <rFont val="Calibri"/>
        <family val="2"/>
        <scheme val="minor"/>
      </rPr>
      <t>year 2017</t>
    </r>
  </si>
  <si>
    <t>Ministry of Finance</t>
  </si>
  <si>
    <t>Ministry of Finance (see note for links)</t>
  </si>
  <si>
    <t>As a difference between "total revenue" and "other revenue", Sum of budget lines 1+2+3</t>
  </si>
  <si>
    <t>As a difference between "total revenue" and "other revenue", Lines 1+2+3</t>
  </si>
  <si>
    <t>4. Прочие доходы</t>
  </si>
  <si>
    <t>Other income, this could be grants</t>
  </si>
  <si>
    <t>5. Прочие доходы и другие неналоговые поступления</t>
  </si>
  <si>
    <t>I. ДОХОДЫ (БЕЗ ЦЕЛЕВЫХ ФОНДОВ) - ВСЕГО</t>
  </si>
  <si>
    <t>I. REVENUES (excluding STATE TARGETED FUNDS) — TOTAL</t>
  </si>
  <si>
    <t>I. Доходы без государственных целевых фондов - всего</t>
  </si>
  <si>
    <t>Synthetic value</t>
  </si>
  <si>
    <t>4. Расходы на финансирование централизованных инвестиций</t>
  </si>
  <si>
    <t xml:space="preserve">4. Расходы на финансирование централизованных инвестиций </t>
  </si>
  <si>
    <t xml:space="preserve">"Expenditure on financing centralized investments" </t>
  </si>
  <si>
    <t>4. Expenditures for centralized investments</t>
  </si>
  <si>
    <t>II. РАСХОДЫ (БЕЗ ЦЕЛЕВЫХ ФОНДОВ) - ВСЕГО</t>
  </si>
  <si>
    <t>II. EXPENDITURES (excluding STATE TARGETED FUNDS) — TOTAL</t>
  </si>
  <si>
    <t>Расходы без государственных целевых фондов - всего</t>
  </si>
  <si>
    <t>Ministry of Statistics (Расходы государственного бюджета)</t>
  </si>
  <si>
    <t>1.1 Просвещение</t>
  </si>
  <si>
    <t>The budget makes no distinction or mention this being recurrent or development</t>
  </si>
  <si>
    <t>1.1 Expenditures Education</t>
  </si>
  <si>
    <t>Uzbekistan has the most "minimal" budget documentation confined to one page - one table data. Thus little details can be gleaned about education sector budget, or specifics of government expenses. The 2016 actual numbers are still prelimenary figures and subject to change as of March 2017</t>
  </si>
  <si>
    <t>Viet Nam</t>
  </si>
  <si>
    <t>Update for actual 2019</t>
  </si>
  <si>
    <t>Dong (VND)</t>
  </si>
  <si>
    <t>more details for 2015</t>
  </si>
  <si>
    <t>https://thuvienphapluat.vn/van-ban/Tai-chinh-nha-nuoc/Nghi-quyet-37-2017-QH14-phe-chuan-quyet-toan-ngan-sach-nha-nuoc-2015-353830.aspx</t>
  </si>
  <si>
    <t>https://www.mof.gov.vn/webcenter/portal/btc/r/lvtc/slnsnn/slqt/slqt_chitiet?dDocName=UCMDR118236&amp;dID=128649&amp;_afrLoop=63092833716603596#!%40%40%3FdID%3D128649%26_afrLoop%3D63092833716603596%26dDocName%3DUCMDR118236%26_adf.ctrl-state%3Ddbqiyhepd_86</t>
  </si>
  <si>
    <t>https://www.mof.gov.vn/webcenter/portal/btc/r/lvtc/slnsnn/slqt/slqt_chitiet?dDocName=MOFUCM142926&amp;dID=149140&amp;_afrLoop=63092613299646674#!%40%40%3FdID%3D149140%26_afrLoop%3D63092613299646674%26dDocName%3DMOFUCM142926%26_adf.ctrl-state%3Ddbqiyhepd_45</t>
  </si>
  <si>
    <t xml:space="preserve">https://www.mof.gov.vn/webcenter/portal/btc/r/lvtc/slnsnn/slqt/slqt_chitiet?dDocName=MOFUCM142934&amp;dID=149149&amp;_afrLoop=63093757429791116#!%40%40%3FdID%3D149149%26_afrLoop%3D63093757429791116%26dDocName%3DMOFUCM142934%26_adf.ctrl-state%3Ddbqiyhepd_378 </t>
  </si>
  <si>
    <t>https://www.mof.gov.vn/webcenter/portal/btc/r/lvtc/slnsnn/slqt/slqt_chitiet?dDocName=MOFUCM169811&amp;_afrLoop=63093548674916782#!%40%40%3F_afrLoop%3D63093548674916782%26dDocName%3DMOFUCM169811%26_adf.ctrl-state%3Ddbqiyhepd_337</t>
  </si>
  <si>
    <t>https://www.mof.gov.vn/webcenter/portal/mof/r/lvtc/nsnn/solieutrongnuoc/dutoan80?_afrLoop=6356436075168609#%40%3F_afrLoop%3D6356436075168609%26centerWidth%3D670px%26leftWidth%3D286px%26rightWidth%3D0%26showFooter%3Dfalse%26showHeader%3Dfalse%26_adf.ctrl-state%3Dlpu3zirg1_631</t>
  </si>
  <si>
    <t>https://www.mof.gov.vn/webcenter/portal/mof/r/lvtc/nsnn?_afrLoop=6356031478631445#%40%3F_afrLoop%3D6356031478631445%26centerWidth%3D670px%26leftWidth%3D286px%26rightWidth%3D0%26showFooter%3Dfalse%26showHeader%3Dfalse%26_adf.ctrl-state%3Dlpu3zirg1_490</t>
  </si>
  <si>
    <t>http://www.mof.gov.vn/webcenter/portal/mof/r/lvtc/nsnn/exstaticis/exstaticis_chitiet?dDocName=MOFUCM109256&amp;dID=105529&amp;_afrLoop=33517188438555255#!%40%40%3F_afrLoop%3D33517188438555255%26dDocName%3DMOFUCM109256%26dID%3D105529%26showFooter%3Dfalse%26showHeader%3Dfalse%26_adf.ctrl-state%3Df1816818t_4</t>
  </si>
  <si>
    <t>http://www.mof.gov.vn/webcenter/portal/mof/r/lvtc/nsnn/exstaticis/exstaticis_chitiet?dDocName=MOFUCM094413&amp;dID=11852&amp;_afrLoop=33516521341755600#!%40%40%3F_afrLoop%3D33516521341755600%26dDocName%3DMOFUCM094413%26dID%3D11852%26showFooter%3Dfalse%26showHeader%3Dfalse%26_adf.ctrl-state%3Dlqkkax9qk_174</t>
  </si>
  <si>
    <t>http://www.mof.gov.vn/webcenter/portal/btc/r/lvtc/slnsnn/slqt/slqt_chitiet?dDocName=UCMDR118236&amp;_adf.ctrl-state=1duchb7f5v_930&amp;_afrLoop=28594233614893969#!%40%40%3F_afrLoop%3D28594233614893969%26dDocName%3DUCMDR118236%26_adf.ctrl-state%3Duocjxad8u_4</t>
  </si>
  <si>
    <t>http://www.mof.gov.vn/webcenter/portal/btc/r/lvtc/slnsnn/slqt/slqt_chitiet?dDocName=MOFUCM142926&amp;_adf.ctrl-state=1duchb7f5v_802&amp;_afrLoop=28595251226288159#!%40%40%3F_afrLoop%3D28595251226288159%26dDocName%3DMOFUCM142926%26_adf.ctrl-state%3D96jf8kuia_4</t>
  </si>
  <si>
    <t>Dự toán NSNN năm 2018 (Plan)</t>
  </si>
  <si>
    <t>Ước thực hiện NSNN năm 2018 (lần 1) 1rst estimate 17 December 2018</t>
  </si>
  <si>
    <t xml:space="preserve">Implentation rate </t>
  </si>
  <si>
    <t>Dự toán NSNN năm 2019 (Plan)</t>
  </si>
  <si>
    <t>Ước thực hiện NSNN năm 2019 (lần 1) 1rst estimate 26 December 2019</t>
  </si>
  <si>
    <t>Data tables  for FY 2019 (Excel)</t>
  </si>
  <si>
    <t>Uoc thuc hien NSNN 6 thang dau nam 2020.xls
(6 months)</t>
  </si>
  <si>
    <t>Government budget balance, 2018</t>
  </si>
  <si>
    <t>Government budget balance, 2019</t>
  </si>
  <si>
    <t>Worksheet Can Döi Government budget balance, 2020</t>
  </si>
  <si>
    <t>6 months x 2</t>
  </si>
  <si>
    <t>Taxes and Fee + Capital revenue</t>
  </si>
  <si>
    <t>Government Budget Balance 2018</t>
  </si>
  <si>
    <t xml:space="preserve">Additional source: </t>
  </si>
  <si>
    <t>MOF Annual Report 2015; statistical tables begins on page 156</t>
  </si>
  <si>
    <t>http://www.mof.gov.vn/webcenter/portal/mof/r/k/statis/statis_chitiet?dDocName=MOFUCM092092&amp;showFooter=false&amp;showHeader=false&amp;_adf.ctrl-state=f1816818t_173&amp;_afrLoop=33519220605274462#!%40%40%3F_afrLoop%3D33519220605274462%26dDocName%3DMOFUCM092092%26showFooter%3Dfalse%26showHeader%3Dfalse%26_adf.ctrl-state%3Dwretxni01_98</t>
  </si>
  <si>
    <t>Financing and debt service</t>
  </si>
  <si>
    <t>Principal repayment</t>
  </si>
  <si>
    <t>Interest payments see sheet Chi NSNN (Functional classification)</t>
  </si>
  <si>
    <t>Interest payments (from worksheet Chi NSNN)</t>
  </si>
  <si>
    <t>Uoc thuc hien NSNN nam 2019 (lan 2).xls</t>
  </si>
  <si>
    <t>Table Functional classification of expenditure</t>
  </si>
  <si>
    <t>Worksheet Table Functional classification of expenditure (Chi NSNN)</t>
  </si>
  <si>
    <t>http://www.mof.gov.vn/webcenter/portal/btc/r/lvtc/slnsnn/slqt/slqt_chitiet?dDocName=MOFUCM142926&amp;_adf.ctrl-state=1duchb7f5v_802&amp;_afrLoop=28750655737223553#!%40%40%3F_afrLoop%3D28750655737223553%26dDocName%3DMOFUCM142926%26_adf.ctrl-state%3D6uvwkt8qe_45</t>
  </si>
  <si>
    <t>Estimate using NEA</t>
  </si>
  <si>
    <t>…</t>
  </si>
  <si>
    <t>Source : vietnam-nea-report.pdf</t>
  </si>
  <si>
    <t>Expenditure for Education by Central and Local Gvt</t>
  </si>
  <si>
    <t>% recurrent</t>
  </si>
  <si>
    <t xml:space="preserve">% Capial </t>
  </si>
  <si>
    <t>update</t>
  </si>
  <si>
    <t xml:space="preserve">ZMK </t>
  </si>
  <si>
    <t>ZMW new Kwacha = 1000 old ZMK</t>
  </si>
  <si>
    <t xml:space="preserve">ZMW </t>
  </si>
  <si>
    <t>ZMW</t>
  </si>
  <si>
    <t>Financial report 2011</t>
  </si>
  <si>
    <t>Financial report 2013 &amp; Yellow book 2013</t>
  </si>
  <si>
    <t>Financial report 2013</t>
  </si>
  <si>
    <t>Citizen budget 2014 &amp; Yellow Book 2015</t>
  </si>
  <si>
    <t>Citizen budget 2015 &amp; Yellow Book 2015</t>
  </si>
  <si>
    <t>Financial report 2014</t>
  </si>
  <si>
    <t>http://www.mofnp.gov.zm/index.php/publicfinancialmanagement/viewcategory/91-detailed-annual-financial-reports</t>
  </si>
  <si>
    <t>http://www.mofnp.gov.zm/index.php/budgetdata/viewcategory/17-budget-yellow-book</t>
  </si>
  <si>
    <t>Budget speech
http://www.mof.gov.zm/jdownloads/Budget/Budget%20Speeches/2016_budget_speech_-_9_october_2015.pdf</t>
  </si>
  <si>
    <t>Financial report 2015</t>
  </si>
  <si>
    <t>http://zambiamf.opendataforafrica.org/zimnugb</t>
  </si>
  <si>
    <t>MTEF 2018-2020  column 2017 Approved Budget</t>
  </si>
  <si>
    <t>MTEF 2019-21</t>
  </si>
  <si>
    <t xml:space="preserve">Green Paper 
MTEF 2019-21 </t>
  </si>
  <si>
    <t>http://www.parliament.gov.zm/publications/</t>
  </si>
  <si>
    <t>www.mof.gov.zm/wp-content/uploads/2018/09/2019-2021-Green-Paper-Merged.pdf</t>
  </si>
  <si>
    <t xml:space="preserve">Green Paper 
MTEF 2019-2021 </t>
  </si>
  <si>
    <t>Not available</t>
  </si>
  <si>
    <t>https://www.mof.gov.zm/2019-2021-medium-term-expenditure-framework/</t>
  </si>
  <si>
    <t>www.mof.gov.zm/</t>
  </si>
  <si>
    <t>Annual Economic Report 2020</t>
  </si>
  <si>
    <t>Budget speech page 19</t>
  </si>
  <si>
    <t>2017 Budget approved</t>
  </si>
  <si>
    <t>Table page 32, col 2018</t>
  </si>
  <si>
    <t>2018 Budget approved</t>
  </si>
  <si>
    <t>Table page 29 (Pdf 32)</t>
  </si>
  <si>
    <t>2019 Projection</t>
  </si>
  <si>
    <t>P 43 Table 4.1 Revrnue performance</t>
  </si>
  <si>
    <t>Statement A page 16 Taxation + non tax revenue</t>
  </si>
  <si>
    <t>Table page 30</t>
  </si>
  <si>
    <t>Revenues and budget support</t>
  </si>
  <si>
    <t>Domestic revenue</t>
  </si>
  <si>
    <t>Statement A page 16 Other grants and aid</t>
  </si>
  <si>
    <t>controlled by Government only</t>
  </si>
  <si>
    <t>Financing, programmes &amp; projects</t>
  </si>
  <si>
    <t>Domestic borrowing</t>
  </si>
  <si>
    <t>Statement A Receipts + External Assistance</t>
  </si>
  <si>
    <t>MTEF 2019-21 Table page 3é</t>
  </si>
  <si>
    <t>P45 Table 4.2 Expenditure performance</t>
  </si>
  <si>
    <t>Statement D page 51</t>
  </si>
  <si>
    <t>including capital</t>
  </si>
  <si>
    <t>Development Domestic financing</t>
  </si>
  <si>
    <t>Non financial assets</t>
  </si>
  <si>
    <t>Assets</t>
  </si>
  <si>
    <t>Non Financial assets</t>
  </si>
  <si>
    <t>Development Foreign financing</t>
  </si>
  <si>
    <t>Assets Foreign financed</t>
  </si>
  <si>
    <t>Statement B page 17 Financial charges</t>
  </si>
  <si>
    <t>Budget speech page 16</t>
  </si>
  <si>
    <t>interest payments</t>
  </si>
  <si>
    <t>Interests</t>
  </si>
  <si>
    <t>Expenditure excluding amortization</t>
  </si>
  <si>
    <t>Statement B page 17 Personal Emoluments</t>
  </si>
  <si>
    <t>2015 budget figure</t>
  </si>
  <si>
    <t>MTEF 2019-21 Table 4 page 24</t>
  </si>
  <si>
    <t>Personal Emoluments</t>
  </si>
  <si>
    <t>Basic Emoluments</t>
  </si>
  <si>
    <t>Detailed report page 461 Public service pensiion fund</t>
  </si>
  <si>
    <t>27/01 PUBLIC SERVICE MANAGEMENT DIVISION - ADMINISTRATION ; 018 Public Service Pension Fund</t>
  </si>
  <si>
    <t>Detailed report page 461  Public service pensiion fund financing gap</t>
  </si>
  <si>
    <t>Social benefits</t>
  </si>
  <si>
    <t>010 Public Service Pension Fund -</t>
  </si>
  <si>
    <t>Pension Fund</t>
  </si>
  <si>
    <t>Public service pension fund+ Pension fund financing gap</t>
  </si>
  <si>
    <t>yellow book 2015</t>
  </si>
  <si>
    <t>Exp by Head, end 2014</t>
  </si>
  <si>
    <t>Yellow book 2016</t>
  </si>
  <si>
    <t>http://www.mof.gov.zm/jdownloads/Budget/Budget%20Yellow%20Book/yellow_book_2016.pdf</t>
  </si>
  <si>
    <t>Estimate from Report end Qarter 3</t>
  </si>
  <si>
    <t>Yellow book 2020</t>
  </si>
  <si>
    <t>This part is uncomplete.Ministries are not visible in the document available online
The indicator is rather based on the education function as in the budget speech (below row 131)</t>
  </si>
  <si>
    <t>Exenditure by head September</t>
  </si>
  <si>
    <t>Budget sppech page 18</t>
  </si>
  <si>
    <t>Head 80 missing in the yellow book downloaded</t>
  </si>
  <si>
    <t>MTEF page 41</t>
  </si>
  <si>
    <t>MTEF 2019-21 Page 40-41</t>
  </si>
  <si>
    <t>HEAD 80 MINISTRY OF EDUCATION, SCIENCE VOCATIONAL TRAINING AND EARLY EDUCATION</t>
  </si>
  <si>
    <t>Page 37</t>
  </si>
  <si>
    <t>2015 expenditures by head</t>
  </si>
  <si>
    <t>Ministry of General Education</t>
  </si>
  <si>
    <t>not visible</t>
  </si>
  <si>
    <t>no distiction recurrent - capital</t>
  </si>
  <si>
    <t>Education function in the budget speech</t>
  </si>
  <si>
    <t xml:space="preserve">Education function </t>
  </si>
  <si>
    <t>Teaching Service commission</t>
  </si>
  <si>
    <t>not visible in the yellow book</t>
  </si>
  <si>
    <t>MINISTRY OF SCIENCE, TECHNOLOGY AND VOCATIONAL TRAINING</t>
  </si>
  <si>
    <t>DEPARTMENT OF VOCATIONAL EDUCATION AND TRAINING</t>
  </si>
  <si>
    <t>Detailed financial report 2014</t>
  </si>
  <si>
    <t>Yellow book</t>
  </si>
  <si>
    <t>Estimates as 2017</t>
  </si>
  <si>
    <t>Yellow book not available</t>
  </si>
  <si>
    <t>2019 Yellow Book 2019</t>
  </si>
  <si>
    <t>https://www.mof.gov.zm/yellow-for-the-2019-budget/</t>
  </si>
  <si>
    <t>2020 Yellow book</t>
  </si>
  <si>
    <t>All colleges for nursing are mentionned, however only with 2019 et 0 in 2020</t>
  </si>
  <si>
    <t>HEAD 31/01 MINISTRY OF JUSTICE - HEADQUARTERS</t>
  </si>
  <si>
    <t>page 488</t>
  </si>
  <si>
    <t>Page 485</t>
  </si>
  <si>
    <t>016 Zambia Institute of Advanced Legal Education</t>
  </si>
  <si>
    <t>Page 429</t>
  </si>
  <si>
    <t>p426</t>
  </si>
  <si>
    <t>MINISTRY OF HOME AFFAIRS</t>
  </si>
  <si>
    <t>page 274</t>
  </si>
  <si>
    <t>Page 242</t>
  </si>
  <si>
    <t>TRAINING SCHOOL</t>
  </si>
  <si>
    <t>P187</t>
  </si>
  <si>
    <t>Zambia Correctional TRAINING SCHOOL</t>
  </si>
  <si>
    <t>Page 199</t>
  </si>
  <si>
    <t>LILAYI POLICE TRAINING SCHOOL</t>
  </si>
  <si>
    <t>Page 102</t>
  </si>
  <si>
    <t>page 477</t>
  </si>
  <si>
    <t>Page 477</t>
  </si>
  <si>
    <t>Page 432</t>
  </si>
  <si>
    <t>CHALIMBANA LOCAL GOVERNMENT TRAINING SCHOOL</t>
  </si>
  <si>
    <t>Page 420</t>
  </si>
  <si>
    <t>p379</t>
  </si>
  <si>
    <t>MINISTRY OF TOURISM, ENVIRONMENT AND NATURAL RESOURCES</t>
  </si>
  <si>
    <t>page 914</t>
  </si>
  <si>
    <t>Page 976</t>
  </si>
  <si>
    <t>ZAMBIA FORESTRY COLLEGE</t>
  </si>
  <si>
    <t>Page 959</t>
  </si>
  <si>
    <t>MINISTRY OF LIVESTOCK AND FISHERIES DEVELOPMENT</t>
  </si>
  <si>
    <t>Page 932</t>
  </si>
  <si>
    <t>TRAINING INSTITUTIONS</t>
  </si>
  <si>
    <t>Page 1208</t>
  </si>
  <si>
    <t>AGRICULTURE</t>
  </si>
  <si>
    <t>Page 1316</t>
  </si>
  <si>
    <t>Page122</t>
  </si>
  <si>
    <t>Page 933</t>
  </si>
  <si>
    <t>AGRICULTURAL TRAINING INSTITUTIONS</t>
  </si>
  <si>
    <t>Page 1574</t>
  </si>
  <si>
    <t>P1804</t>
  </si>
  <si>
    <t>MINISTRY OF COMMUNITY DEVELOPMENT,</t>
  </si>
  <si>
    <t>page 578</t>
  </si>
  <si>
    <t>Page 627</t>
  </si>
  <si>
    <t>Page 576</t>
  </si>
  <si>
    <t>Kitwe community college</t>
  </si>
  <si>
    <t>Monze community college</t>
  </si>
  <si>
    <t>Page 578</t>
  </si>
  <si>
    <t>Rehabilitation of school / college infrastructure</t>
  </si>
  <si>
    <t>Page 1319</t>
  </si>
  <si>
    <t>page 576</t>
  </si>
  <si>
    <t>Page 625</t>
  </si>
  <si>
    <t>Page 574</t>
  </si>
  <si>
    <t>Nakambala Training School</t>
  </si>
  <si>
    <t>page 658</t>
  </si>
  <si>
    <t>Page 718</t>
  </si>
  <si>
    <t>Page 617</t>
  </si>
  <si>
    <t>Mwachisompola Community Health Assistant Training School</t>
  </si>
  <si>
    <t>p594</t>
  </si>
  <si>
    <t>page 662</t>
  </si>
  <si>
    <t>Page 728</t>
  </si>
  <si>
    <t>Ndola Community Health Assistant Training School</t>
  </si>
  <si>
    <t>p614</t>
  </si>
  <si>
    <t>Page 753</t>
  </si>
  <si>
    <t>Page 669</t>
  </si>
  <si>
    <t>UTH School of Nursing</t>
  </si>
  <si>
    <t>Page 683</t>
  </si>
  <si>
    <t>p650</t>
  </si>
  <si>
    <t>page 661</t>
  </si>
  <si>
    <t>Page 727</t>
  </si>
  <si>
    <t>Page 632</t>
  </si>
  <si>
    <t>Kitwe School of Nursing</t>
  </si>
  <si>
    <t>Page 641</t>
  </si>
  <si>
    <t>p610</t>
  </si>
  <si>
    <t>Mufulira School of Nursing</t>
  </si>
  <si>
    <t>Page 633</t>
  </si>
  <si>
    <t>Ndola School of Nursing</t>
  </si>
  <si>
    <t>p611</t>
  </si>
  <si>
    <t>Roan School of Nursing</t>
  </si>
  <si>
    <t>p613</t>
  </si>
  <si>
    <t>Page 646</t>
  </si>
  <si>
    <t>p615</t>
  </si>
  <si>
    <t>Arthur Davison Peadiatric School of nursing</t>
  </si>
  <si>
    <t>NchangaSchool of Nursing</t>
  </si>
  <si>
    <t>P614</t>
  </si>
  <si>
    <t>Ndola School of Laboratory Sciences</t>
  </si>
  <si>
    <t>page 666</t>
  </si>
  <si>
    <t>Page 737</t>
  </si>
  <si>
    <t>Page 643</t>
  </si>
  <si>
    <t>Mwami School of Nursing</t>
  </si>
  <si>
    <t>Page 654</t>
  </si>
  <si>
    <t>St. Francis School of Nursing</t>
  </si>
  <si>
    <t>Page 738</t>
  </si>
  <si>
    <t>Page 644</t>
  </si>
  <si>
    <t>Chipata School of Nursing</t>
  </si>
  <si>
    <t>Page 655</t>
  </si>
  <si>
    <t>page 668</t>
  </si>
  <si>
    <t>Page 744</t>
  </si>
  <si>
    <t>Mansa School of Nursing</t>
  </si>
  <si>
    <t>Page 668</t>
  </si>
  <si>
    <t>St Paul' School of Nursing</t>
  </si>
  <si>
    <t>UTH School of Anesthesia</t>
  </si>
  <si>
    <t>Page 690</t>
  </si>
  <si>
    <t>Kafue school of nursing</t>
  </si>
  <si>
    <t>Chilenje school of nursing</t>
  </si>
  <si>
    <t>Page 691</t>
  </si>
  <si>
    <t>Matero school of nursing</t>
  </si>
  <si>
    <t>page 675</t>
  </si>
  <si>
    <t>Page 762</t>
  </si>
  <si>
    <t>Page 681</t>
  </si>
  <si>
    <t>Mukinge School of Nursing</t>
  </si>
  <si>
    <t>Page 699</t>
  </si>
  <si>
    <t>Solwezi School of Nursing</t>
  </si>
  <si>
    <t>Page 763</t>
  </si>
  <si>
    <t>Page 682</t>
  </si>
  <si>
    <t>Kaleni School of Nursing</t>
  </si>
  <si>
    <t>Page 700</t>
  </si>
  <si>
    <t>page 678</t>
  </si>
  <si>
    <t>Page 770</t>
  </si>
  <si>
    <t xml:space="preserve">Page </t>
  </si>
  <si>
    <t>Kasama School of Nursing</t>
  </si>
  <si>
    <t>Page 709</t>
  </si>
  <si>
    <t>Mbala school of nursing</t>
  </si>
  <si>
    <t>page 682</t>
  </si>
  <si>
    <t>Page 780</t>
  </si>
  <si>
    <t>Page 707</t>
  </si>
  <si>
    <t>Chikankata School of Nursing</t>
  </si>
  <si>
    <t>Page 720</t>
  </si>
  <si>
    <t>page 683</t>
  </si>
  <si>
    <t>Livingstone School of Nursing</t>
  </si>
  <si>
    <t>Page 781</t>
  </si>
  <si>
    <t>Page 708</t>
  </si>
  <si>
    <t>Macha School of Nursing</t>
  </si>
  <si>
    <t>Page 721</t>
  </si>
  <si>
    <t>Monze School of Nursing</t>
  </si>
  <si>
    <t>Page 723</t>
  </si>
  <si>
    <t>Choma school of nursing</t>
  </si>
  <si>
    <t>page 686</t>
  </si>
  <si>
    <t>Page 791</t>
  </si>
  <si>
    <t>Page 725</t>
  </si>
  <si>
    <t>Lewanika School of Nursing</t>
  </si>
  <si>
    <t>Page 740</t>
  </si>
  <si>
    <t>Kaoma school of nursing</t>
  </si>
  <si>
    <t>page 689</t>
  </si>
  <si>
    <t>Page 802</t>
  </si>
  <si>
    <t>Page 745</t>
  </si>
  <si>
    <t>Chilonga School of Nursing</t>
  </si>
  <si>
    <t>Page 754</t>
  </si>
  <si>
    <t>Chainama College of Health Sciences</t>
  </si>
  <si>
    <t>Dental training school</t>
  </si>
  <si>
    <t>Page 589</t>
  </si>
  <si>
    <t>Construction of a National Training School</t>
  </si>
  <si>
    <t>Page 610</t>
  </si>
  <si>
    <t>029 Zambia Institute of Advanced Legal Education - Capital</t>
  </si>
  <si>
    <t>page 659</t>
  </si>
  <si>
    <t>Central province rehabilitation of training schools</t>
  </si>
  <si>
    <t>Page 626</t>
  </si>
  <si>
    <t>page 663</t>
  </si>
  <si>
    <t>Page 730</t>
  </si>
  <si>
    <t>Page 635</t>
  </si>
  <si>
    <t>Copperbelt province rehabilitation of training schools</t>
  </si>
  <si>
    <t>Page 647</t>
  </si>
  <si>
    <t>page 667</t>
  </si>
  <si>
    <t>Eastern province rehabilitation of training schools</t>
  </si>
  <si>
    <t>Page 656</t>
  </si>
  <si>
    <t>page 669</t>
  </si>
  <si>
    <t>Page 746</t>
  </si>
  <si>
    <t>Luapula province rehabilitation of training schools</t>
  </si>
  <si>
    <t>Page 670</t>
  </si>
  <si>
    <t>page 672</t>
  </si>
  <si>
    <t>Page 755</t>
  </si>
  <si>
    <t>Page 671</t>
  </si>
  <si>
    <t>Lusaka province rehabilitation of training schools</t>
  </si>
  <si>
    <t>Page 692</t>
  </si>
  <si>
    <t>Northern province rehabilitation of training schools</t>
  </si>
  <si>
    <t>Page 701</t>
  </si>
  <si>
    <t>page 679</t>
  </si>
  <si>
    <t>Page 771</t>
  </si>
  <si>
    <t>Page 694</t>
  </si>
  <si>
    <t>Northwestern province rehabilitation of training schools</t>
  </si>
  <si>
    <t>Page 710</t>
  </si>
  <si>
    <t>page 685</t>
  </si>
  <si>
    <t>Page 783</t>
  </si>
  <si>
    <t>Southern province rehabilitation of training schools</t>
  </si>
  <si>
    <t>Page 724</t>
  </si>
  <si>
    <t>page 687</t>
  </si>
  <si>
    <t>Page 793</t>
  </si>
  <si>
    <t>Western province rehabilitation of training schools</t>
  </si>
  <si>
    <t>Page 741</t>
  </si>
  <si>
    <t>page 690</t>
  </si>
  <si>
    <t>Page 803</t>
  </si>
  <si>
    <t>Muchinga province rehabilitation of training schools</t>
  </si>
  <si>
    <t>page 903</t>
  </si>
  <si>
    <t>Page 962</t>
  </si>
  <si>
    <t>Page 912</t>
  </si>
  <si>
    <t>Page 949</t>
  </si>
  <si>
    <t>Infrastructure Development at Zambia Forestry College</t>
  </si>
  <si>
    <t>Health- rehabilitation of training schools</t>
  </si>
  <si>
    <t>MTEF page 3'</t>
  </si>
  <si>
    <t>Table  pages 33-34 Personal Emoluments</t>
  </si>
  <si>
    <t>use of 2019 data for the calculation of contribution for pension</t>
  </si>
  <si>
    <t>Ministry of General education</t>
  </si>
  <si>
    <t>Ministry of Higher education</t>
  </si>
  <si>
    <t>Functional classification</t>
  </si>
  <si>
    <t>Total Education identified upper</t>
  </si>
  <si>
    <t>Table by function page 41</t>
  </si>
  <si>
    <t>Budget Speech p 19</t>
  </si>
  <si>
    <t>Early Childhood</t>
  </si>
  <si>
    <t xml:space="preserve">Basic schools available by province </t>
  </si>
  <si>
    <t>Yellow book 2015 Head 80</t>
  </si>
  <si>
    <t>Budget summary page 10</t>
  </si>
  <si>
    <t>Primary</t>
  </si>
  <si>
    <t>Taking the higher amount between Sum Ministries and Education function</t>
  </si>
  <si>
    <t>Presumably included in the function</t>
  </si>
  <si>
    <t>no distinction recurrent - capital</t>
  </si>
  <si>
    <t>Changement de devise en juin 2019 : actualisation 2019 impossible</t>
  </si>
  <si>
    <t>2013 Outturns</t>
  </si>
  <si>
    <t>2015 Estimate of expenditures</t>
  </si>
  <si>
    <t>2015 Estimate of expenditures
actual from 10 months</t>
  </si>
  <si>
    <t xml:space="preserve">2016 Budget Statement </t>
  </si>
  <si>
    <t xml:space="preserve">http://www.zimtreasury.gov.zw/index.php/budget-policy-statements </t>
  </si>
  <si>
    <t>2017 Budget Statement estimates based on 10 months</t>
  </si>
  <si>
    <t>2017 Budget Statement</t>
  </si>
  <si>
    <t>Annual Budget Review for 2016 &amp; 2017 outlook</t>
  </si>
  <si>
    <t>2018 National Budget Statement estimates based on 9months</t>
  </si>
  <si>
    <t>2018  Budget Statement</t>
  </si>
  <si>
    <t>2018 Estimates with  col exp up to Sept 2017</t>
  </si>
  <si>
    <t>http://www.zimtreasury.gov.zw/index.php/resources/downloads/category/20-budget-policy-statements</t>
  </si>
  <si>
    <t>2019  Budget Statement</t>
  </si>
  <si>
    <t>2019 National Budget Statement estimates based on 9months</t>
  </si>
  <si>
    <t>2019Revenues and expenditures Tables Blue Book</t>
  </si>
  <si>
    <t>2019 statement 9 months(col projected Dec)</t>
  </si>
  <si>
    <t>Excel File 2019 September fiscal outturn</t>
  </si>
  <si>
    <t>Blue book 2021</t>
  </si>
  <si>
    <t>http://www.zimtreasury.gov.zw/</t>
  </si>
  <si>
    <t>Projected outurn to December</t>
  </si>
  <si>
    <t>Annexure 1: Budget Framework, page 300</t>
  </si>
  <si>
    <t>Annexure 5 page 239</t>
  </si>
  <si>
    <t>Estimates of expenditures</t>
  </si>
  <si>
    <t>Annexure 5: 2016 Revenue Collections</t>
  </si>
  <si>
    <t>Table Revenue performance page 33</t>
  </si>
  <si>
    <t>Table V</t>
  </si>
  <si>
    <t>Table Expenditure outturn page 41</t>
  </si>
  <si>
    <t>2018 budget estimates</t>
  </si>
  <si>
    <t>estimates from implementation rate</t>
  </si>
  <si>
    <t>Estimate of expenditures</t>
  </si>
  <si>
    <t>2019 budget estimates</t>
  </si>
  <si>
    <t>Approved Budget estimates 2021</t>
  </si>
  <si>
    <t>remaining balance</t>
  </si>
  <si>
    <t>including capital for 2014 and 15</t>
  </si>
  <si>
    <t>Données recalculées: cf. onglet Blue Book du Template 2021</t>
  </si>
  <si>
    <t>estimated as 2016</t>
  </si>
  <si>
    <t xml:space="preserve">Excel file row </t>
  </si>
  <si>
    <t>page 38 on statutory funds</t>
  </si>
  <si>
    <t>Excel file row 257</t>
  </si>
  <si>
    <t>Total Expenditure and Net lending</t>
  </si>
  <si>
    <t>Excel file row 556</t>
  </si>
  <si>
    <t>Table Employment cost bill for 2016, page 44</t>
  </si>
  <si>
    <t>Annexure 5 page 239 for employment costs</t>
  </si>
  <si>
    <t>Excel file 2017 Fiscal Outturn</t>
  </si>
  <si>
    <t>Employment cost except pension</t>
  </si>
  <si>
    <t>Pensions</t>
  </si>
  <si>
    <t>Pensions inExcel file 2017 Fiscal Outturn</t>
  </si>
  <si>
    <t xml:space="preserve">MOPSE, MOHE, estimates 2013 </t>
  </si>
  <si>
    <t xml:space="preserve">MOPSE, MOHE, estimates 2014 </t>
  </si>
  <si>
    <t>MOPSE, MOHE, estimates "blue book" 2015</t>
  </si>
  <si>
    <t>2016 Estimates</t>
  </si>
  <si>
    <t>http://www.zimtreasury.gov.zw/index.php/estimates-of-expenditure</t>
  </si>
  <si>
    <t>2017 Budget Estimates</t>
  </si>
  <si>
    <t>2018 Budget Estimates</t>
  </si>
  <si>
    <t>2018 Budget estimates based on 9 months</t>
  </si>
  <si>
    <t>2018 Estimates of expenditure</t>
  </si>
  <si>
    <t>2019 Budget Estimates</t>
  </si>
  <si>
    <t xml:space="preserve"> based on 9 months</t>
  </si>
  <si>
    <t>2019 Revised Estimates</t>
  </si>
  <si>
    <t>2021 Approved budget estimate</t>
  </si>
  <si>
    <t>Exécution estimée sur base 9 mois</t>
  </si>
  <si>
    <t>2018 Budget estimates, excel file</t>
  </si>
  <si>
    <t>2019 Budget estimates</t>
  </si>
  <si>
    <t>2020 proposed Budget estimates</t>
  </si>
  <si>
    <t>page 9 total 653021146 for 10 months</t>
  </si>
  <si>
    <t>Vote 15 page 191</t>
  </si>
  <si>
    <t>Table 8 Appropriations vs Outturn page 180</t>
  </si>
  <si>
    <t>Excel file row 6730</t>
  </si>
  <si>
    <t>page163</t>
  </si>
  <si>
    <t>pdf 229</t>
  </si>
  <si>
    <t>Vote 15</t>
  </si>
  <si>
    <t>ligne 7257</t>
  </si>
  <si>
    <t>Excel file row 6735</t>
  </si>
  <si>
    <t>ligne 7263</t>
  </si>
  <si>
    <t>page 9 total 229056942 for 10 months</t>
  </si>
  <si>
    <t>Vote 16 page 222</t>
  </si>
  <si>
    <t>Vote 16 page 223</t>
  </si>
  <si>
    <t>Excel file row 7403</t>
  </si>
  <si>
    <t>page 239</t>
  </si>
  <si>
    <t>page 180</t>
  </si>
  <si>
    <t>pdf252</t>
  </si>
  <si>
    <t>Vote 16</t>
  </si>
  <si>
    <t>ligne 7983</t>
  </si>
  <si>
    <t>Excel file row 7408</t>
  </si>
  <si>
    <t>ligne 7989</t>
  </si>
  <si>
    <t>Sport, Arts &amp; Culture</t>
  </si>
  <si>
    <t>Science &amp; Technology</t>
  </si>
  <si>
    <t>2017 estimates of expenditure</t>
  </si>
  <si>
    <t>Vote 4 page 48</t>
  </si>
  <si>
    <t>Excel file row 1839</t>
  </si>
  <si>
    <t>National Defence college/ Zimbabwe National Defence University</t>
  </si>
  <si>
    <t>Vote 8 page 351</t>
  </si>
  <si>
    <t>Excel file row 3266</t>
  </si>
  <si>
    <t>Vote 8 page 126</t>
  </si>
  <si>
    <t>page 72</t>
  </si>
  <si>
    <t>pdf123 vote 8 prg2</t>
  </si>
  <si>
    <t>Agricultural colleges</t>
  </si>
  <si>
    <t>lignes 3336…</t>
  </si>
  <si>
    <t>Agricultural Education</t>
  </si>
  <si>
    <t>Excel file row 3271</t>
  </si>
  <si>
    <t>pdf123</t>
  </si>
  <si>
    <t>Vote 9 page 97</t>
  </si>
  <si>
    <t>Zimbabwe School of Mines</t>
  </si>
  <si>
    <t>p170 - 2020 Blue book</t>
  </si>
  <si>
    <t>Vote 9 page 98</t>
  </si>
  <si>
    <t>Excel file row 4151</t>
  </si>
  <si>
    <t>Vote 17 page 397</t>
  </si>
  <si>
    <t>Excel file row 8095</t>
  </si>
  <si>
    <t>Vote 17 page 260prog Vocational Training</t>
  </si>
  <si>
    <t>pdf325</t>
  </si>
  <si>
    <t>Vocational Training Centres</t>
  </si>
  <si>
    <t>ligne 10248</t>
  </si>
  <si>
    <t>Vocational Training and Skills Development</t>
  </si>
  <si>
    <t>Excel file row 6726</t>
  </si>
  <si>
    <t>Vote 15 page 221</t>
  </si>
  <si>
    <t>page 163</t>
  </si>
  <si>
    <t>Excel file row 7399</t>
  </si>
  <si>
    <t>Vote 16 page 239</t>
  </si>
  <si>
    <t>pdf122</t>
  </si>
  <si>
    <t>Vote 17 page 260 prog Vocational training</t>
  </si>
  <si>
    <t>Ventilation non disponible</t>
  </si>
  <si>
    <t>Annexure 9: Sectoral Disbursements</t>
  </si>
  <si>
    <t>2016 Estimates of expenditures</t>
  </si>
  <si>
    <t>2018 Estimates of expenditures</t>
  </si>
  <si>
    <t>Junior Education</t>
  </si>
  <si>
    <t>Vote 15 page 180-191</t>
  </si>
  <si>
    <t>2018 Budget estimates</t>
  </si>
  <si>
    <t>Excel file row 6993</t>
  </si>
  <si>
    <t>page 229</t>
  </si>
  <si>
    <t>page 171</t>
  </si>
  <si>
    <t>pdf240</t>
  </si>
  <si>
    <t>Junior education = Grades 1-7 up to 2015, grades 3 -7 starting w ith 201</t>
  </si>
  <si>
    <t>Dépenses générales (Policy, Research) non incluses/ventilées</t>
  </si>
  <si>
    <t>Excel file row 6997</t>
  </si>
  <si>
    <t>Infant Education</t>
  </si>
  <si>
    <t>Excel file row 6925</t>
  </si>
  <si>
    <t>page 227</t>
  </si>
  <si>
    <t>page 169</t>
  </si>
  <si>
    <t>pdf238</t>
  </si>
  <si>
    <t>Infant education = ECE up to 2015, ECE + grades 1 &amp; 2 starting with 2016</t>
  </si>
  <si>
    <t>Excel file row 6929</t>
  </si>
  <si>
    <t>The last budget outurn document on the website is for 2013. % contributions for pension was calculated on 20013; the same % was used for other years
the PDF file for 2017 estimates book  has many blank pages and specifically vote 15 Pimary and secondary is not visible</t>
  </si>
  <si>
    <t/>
  </si>
  <si>
    <t>Congo, Republic of</t>
  </si>
  <si>
    <t>Congo, Democratic Republic of</t>
  </si>
  <si>
    <t>Sao Tome and Principe</t>
  </si>
  <si>
    <t>Source: GPE</t>
  </si>
  <si>
    <t>Nigeria (Jigawa)</t>
  </si>
  <si>
    <t>Nigeria (Kaduna)</t>
  </si>
  <si>
    <t>Nigeria (Kano)</t>
  </si>
  <si>
    <t>Nigeria (Sotoko)</t>
  </si>
  <si>
    <t>The Gambia</t>
  </si>
  <si>
    <t>Total including debt servicing</t>
  </si>
  <si>
    <t>Total excluding debt servicing</t>
  </si>
  <si>
    <t>Recurrent including debt servicing</t>
  </si>
  <si>
    <t>Recurrent excluding Debt servicing</t>
  </si>
  <si>
    <t>Capital (calculated)</t>
  </si>
  <si>
    <t>as in the RF10 folder as at 05/2021</t>
  </si>
  <si>
    <t>Master database - Domestic finance - GPE’s Results Framework Indicator 10</t>
  </si>
  <si>
    <t>Source: GPE, Partner Countries national budget (for 2020; as available in May 2021);  International Monetary Fund's World Economic Outlook (WEO) (October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</si>
</sst>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_-* #,##0.00_-;\-* #,##0.00_-;_-* &quot;-&quot;??_-;_-@_-"/>
    <numFmt numFmtId="165" formatCode="0.0%"/>
    <numFmt numFmtId="166" formatCode="#,##0.0"/>
    <numFmt numFmtId="167" formatCode="_(* #,##0_);_(* \(#,##0\);_(* &quot;-&quot;??_);_(@_)"/>
    <numFmt numFmtId="168" formatCode="_(* #,##0.000_);_(* \(#,##0.000\);_(* &quot;-&quot;??_);_(@_)"/>
    <numFmt numFmtId="169" formatCode="#,##0.0000"/>
    <numFmt numFmtId="170" formatCode="#,##0.000"/>
    <numFmt numFmtId="171" formatCode="#,##0.0000000000"/>
    <numFmt numFmtId="172" formatCode="#,##0.00000"/>
    <numFmt numFmtId="173" formatCode="_(* #,##0.0_);_(* \(#,##0.0\);_(* &quot;-&quot;??_);_(@_)"/>
    <numFmt numFmtId="174" formatCode="_-* #,##0_-;\-* #,##0_-;_-* &quot;-&quot;??_-;_-@_-"/>
    <numFmt numFmtId="175" formatCode="_-* #,##0.000_-;\-* #,##0.000_-;_-* &quot;-&quot;???_-;_-@_-"/>
    <numFmt numFmtId="176" formatCode="0.000%"/>
    <numFmt numFmtId="177" formatCode="#,##0.0000000"/>
    <numFmt numFmtId="178" formatCode="#,##0.00000000000000000000000000"/>
    <numFmt numFmtId="179" formatCode="0.00000%"/>
    <numFmt numFmtId="180" formatCode="0.0000000%"/>
    <numFmt numFmtId="181" formatCode="_-* #,##0.00\ _€_-;\-* #,##0.00\ _€_-;_-* &quot;-&quot;??\ _€_-;_-@_-"/>
    <numFmt numFmtId="182" formatCode="#,##0_ ;\-#,##0\ "/>
    <numFmt numFmtId="183" formatCode="_-* #,##0.0_-;\-* #,##0.0_-;_-* &quot;-&quot;??_-;_-@_-"/>
    <numFmt numFmtId="184" formatCode="#,##0.0_ ;\-#,##0.0\ "/>
  </numFmts>
  <fonts count="21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9"/>
      <color theme="1"/>
      <name val="Calibri"/>
      <family val="2"/>
      <scheme val="minor"/>
    </font>
    <font>
      <b/>
      <sz val="24"/>
      <color theme="1"/>
      <name val="Calibri"/>
      <family val="2"/>
      <scheme val="minor"/>
    </font>
    <font>
      <b/>
      <sz val="16"/>
      <color theme="1"/>
      <name val="Calibri"/>
      <family val="2"/>
      <scheme val="minor"/>
    </font>
    <font>
      <b/>
      <sz val="9"/>
      <color indexed="8"/>
      <name val="Calibri"/>
      <family val="2"/>
      <scheme val="minor"/>
    </font>
    <font>
      <sz val="9"/>
      <color rgb="FF002060"/>
      <name val="Calibri"/>
      <family val="2"/>
      <scheme val="minor"/>
    </font>
    <font>
      <b/>
      <sz val="9"/>
      <color rgb="FF002060"/>
      <name val="Calibri"/>
      <family val="2"/>
      <scheme val="minor"/>
    </font>
    <font>
      <b/>
      <sz val="14"/>
      <color rgb="FF002060"/>
      <name val="Calibri"/>
      <family val="2"/>
      <scheme val="minor"/>
    </font>
    <font>
      <sz val="9"/>
      <color theme="1"/>
      <name val="Calibri"/>
      <family val="2"/>
      <scheme val="minor"/>
    </font>
    <font>
      <b/>
      <i/>
      <sz val="9"/>
      <color rgb="FF002060"/>
      <name val="Calibri"/>
      <family val="2"/>
      <scheme val="minor"/>
    </font>
    <font>
      <sz val="11"/>
      <color rgb="FFC00000"/>
      <name val="Calibri"/>
      <family val="2"/>
      <scheme val="minor"/>
    </font>
    <font>
      <i/>
      <sz val="9"/>
      <color rgb="FF002060"/>
      <name val="Calibri"/>
      <family val="2"/>
      <scheme val="minor"/>
    </font>
    <font>
      <i/>
      <sz val="11"/>
      <color theme="1"/>
      <name val="Calibri"/>
      <family val="2"/>
      <scheme val="minor"/>
    </font>
    <font>
      <b/>
      <sz val="11"/>
      <color indexed="8"/>
      <name val="Calibri"/>
      <family val="2"/>
      <scheme val="minor"/>
    </font>
    <font>
      <sz val="11"/>
      <color rgb="FF002060"/>
      <name val="Calibri"/>
      <family val="2"/>
      <scheme val="minor"/>
    </font>
    <font>
      <i/>
      <sz val="11"/>
      <color indexed="56"/>
      <name val="Calibri"/>
      <family val="2"/>
      <scheme val="minor"/>
    </font>
    <font>
      <i/>
      <sz val="11"/>
      <color rgb="FF002060"/>
      <name val="Calibri"/>
      <family val="2"/>
      <scheme val="minor"/>
    </font>
    <font>
      <i/>
      <sz val="9"/>
      <color theme="1"/>
      <name val="Calibri"/>
      <family val="2"/>
      <scheme val="minor"/>
    </font>
    <font>
      <b/>
      <sz val="11"/>
      <color rgb="FFC00000"/>
      <name val="Calibri"/>
      <family val="2"/>
      <scheme val="minor"/>
    </font>
    <font>
      <sz val="11"/>
      <color theme="9" tint="-0.249977111117893"/>
      <name val="Calibri"/>
      <family val="2"/>
      <scheme val="minor"/>
    </font>
    <font>
      <b/>
      <sz val="11"/>
      <color rgb="FF002060"/>
      <name val="Calibri"/>
      <family val="2"/>
      <scheme val="minor"/>
    </font>
    <font>
      <b/>
      <i/>
      <sz val="12"/>
      <color rgb="FF002060"/>
      <name val="Calibri"/>
      <family val="2"/>
      <scheme val="minor"/>
    </font>
    <font>
      <i/>
      <sz val="9"/>
      <color indexed="56"/>
      <name val="Calibri"/>
      <family val="2"/>
      <scheme val="minor"/>
    </font>
    <font>
      <sz val="9"/>
      <color indexed="56"/>
      <name val="Calibri"/>
      <family val="2"/>
      <scheme val="minor"/>
    </font>
    <font>
      <b/>
      <sz val="12"/>
      <color rgb="FFFF0000"/>
      <name val="Calibri"/>
      <family val="2"/>
      <scheme val="minor"/>
    </font>
    <font>
      <sz val="8"/>
      <color theme="1"/>
      <name val="Calibri"/>
      <family val="2"/>
      <scheme val="minor"/>
    </font>
    <font>
      <b/>
      <i/>
      <sz val="9"/>
      <color rgb="FFFF0000"/>
      <name val="Calibri"/>
      <family val="2"/>
      <scheme val="minor"/>
    </font>
    <font>
      <b/>
      <sz val="10"/>
      <color theme="1"/>
      <name val="Calibri"/>
      <family val="2"/>
      <scheme val="minor"/>
    </font>
    <font>
      <b/>
      <sz val="8"/>
      <color theme="1"/>
      <name val="Calibri"/>
      <family val="2"/>
      <scheme val="minor"/>
    </font>
    <font>
      <b/>
      <sz val="7"/>
      <color rgb="FFC00000"/>
      <name val="Calibri"/>
      <family val="2"/>
      <scheme val="minor"/>
    </font>
    <font>
      <b/>
      <sz val="14"/>
      <color rgb="FFC00000"/>
      <name val="Calibri"/>
      <family val="2"/>
      <scheme val="minor"/>
    </font>
    <font>
      <sz val="10"/>
      <color theme="1"/>
      <name val="Calibri"/>
      <family val="2"/>
      <scheme val="minor"/>
    </font>
    <font>
      <b/>
      <i/>
      <sz val="9"/>
      <color rgb="FFC00000"/>
      <name val="Calibri"/>
      <family val="2"/>
      <scheme val="minor"/>
    </font>
    <font>
      <sz val="10"/>
      <color rgb="FFFF0000"/>
      <name val="Calibri"/>
      <family val="2"/>
      <scheme val="minor"/>
    </font>
    <font>
      <sz val="9"/>
      <color rgb="FFFF0000"/>
      <name val="Calibri"/>
      <family val="2"/>
      <scheme val="minor"/>
    </font>
    <font>
      <u/>
      <sz val="9"/>
      <color theme="10"/>
      <name val="Calibri"/>
      <family val="2"/>
      <scheme val="minor"/>
    </font>
    <font>
      <sz val="9"/>
      <color theme="9" tint="-0.249977111117893"/>
      <name val="Calibri"/>
      <family val="2"/>
      <scheme val="minor"/>
    </font>
    <font>
      <b/>
      <sz val="14"/>
      <color rgb="FFFF0000"/>
      <name val="Calibri"/>
      <family val="2"/>
      <scheme val="minor"/>
    </font>
    <font>
      <i/>
      <sz val="9"/>
      <color rgb="FFFF0000"/>
      <name val="Calibri"/>
      <family val="2"/>
      <scheme val="minor"/>
    </font>
    <font>
      <b/>
      <sz val="9"/>
      <color indexed="81"/>
      <name val="Tahoma"/>
      <family val="2"/>
    </font>
    <font>
      <sz val="9"/>
      <color indexed="81"/>
      <name val="Tahoma"/>
      <family val="2"/>
    </font>
    <font>
      <b/>
      <sz val="11"/>
      <color rgb="FFFF0000"/>
      <name val="Calibri"/>
      <family val="2"/>
      <scheme val="minor"/>
    </font>
    <font>
      <b/>
      <sz val="9"/>
      <color rgb="FFFF0000"/>
      <name val="Calibri"/>
      <family val="2"/>
      <scheme val="minor"/>
    </font>
    <font>
      <b/>
      <i/>
      <sz val="11"/>
      <color rgb="FFFF0000"/>
      <name val="Calibri"/>
      <family val="2"/>
      <scheme val="minor"/>
    </font>
    <font>
      <sz val="10"/>
      <color rgb="FF002060"/>
      <name val="Calibri"/>
      <family val="2"/>
      <scheme val="minor"/>
    </font>
    <font>
      <b/>
      <i/>
      <sz val="9"/>
      <color theme="1"/>
      <name val="Calibri"/>
      <family val="2"/>
      <scheme val="minor"/>
    </font>
    <font>
      <sz val="8"/>
      <color rgb="FF002060"/>
      <name val="Calibri"/>
      <family val="2"/>
      <scheme val="minor"/>
    </font>
    <font>
      <b/>
      <sz val="11"/>
      <color theme="5" tint="-0.249977111117893"/>
      <name val="Calibri"/>
      <family val="2"/>
      <scheme val="minor"/>
    </font>
    <font>
      <u/>
      <sz val="8"/>
      <color theme="10"/>
      <name val="Calibri"/>
      <family val="2"/>
      <scheme val="minor"/>
    </font>
    <font>
      <sz val="9"/>
      <name val="Calibri"/>
      <family val="2"/>
      <scheme val="minor"/>
    </font>
    <font>
      <sz val="9"/>
      <color rgb="FFC00000"/>
      <name val="Calibri"/>
      <family val="2"/>
      <scheme val="minor"/>
    </font>
    <font>
      <b/>
      <i/>
      <sz val="9"/>
      <name val="Calibri"/>
      <family val="2"/>
      <scheme val="minor"/>
    </font>
    <font>
      <sz val="11"/>
      <name val="Calibri"/>
      <family val="2"/>
      <scheme val="minor"/>
    </font>
    <font>
      <sz val="10"/>
      <name val="Calibri"/>
      <family val="2"/>
      <scheme val="minor"/>
    </font>
    <font>
      <b/>
      <sz val="10"/>
      <color rgb="FF002060"/>
      <name val="Calibri"/>
      <family val="2"/>
      <scheme val="minor"/>
    </font>
    <font>
      <b/>
      <i/>
      <sz val="11"/>
      <color rgb="FF002060"/>
      <name val="Calibri"/>
      <family val="2"/>
      <scheme val="minor"/>
    </font>
    <font>
      <b/>
      <i/>
      <sz val="11"/>
      <color rgb="FFC00000"/>
      <name val="Calibri"/>
      <family val="2"/>
      <scheme val="minor"/>
    </font>
    <font>
      <b/>
      <i/>
      <sz val="10"/>
      <color rgb="FFC00000"/>
      <name val="Calibri"/>
      <family val="2"/>
      <scheme val="minor"/>
    </font>
    <font>
      <i/>
      <sz val="9"/>
      <name val="Calibri"/>
      <family val="2"/>
      <scheme val="minor"/>
    </font>
    <font>
      <sz val="11"/>
      <color indexed="8"/>
      <name val="Calibri"/>
      <family val="2"/>
      <scheme val="minor"/>
    </font>
    <font>
      <sz val="6"/>
      <color theme="1"/>
      <name val="Calibri"/>
      <family val="2"/>
      <scheme val="minor"/>
    </font>
    <font>
      <b/>
      <sz val="8"/>
      <color rgb="FFFF0000"/>
      <name val="Calibri"/>
      <family val="2"/>
      <scheme val="minor"/>
    </font>
    <font>
      <i/>
      <sz val="10"/>
      <color theme="1"/>
      <name val="Calibri"/>
      <family val="2"/>
      <scheme val="minor"/>
    </font>
    <font>
      <b/>
      <sz val="11"/>
      <name val="Calibri"/>
      <family val="2"/>
      <scheme val="minor"/>
    </font>
    <font>
      <sz val="12"/>
      <color theme="1"/>
      <name val="Times New Roman"/>
      <family val="2"/>
    </font>
    <font>
      <sz val="12"/>
      <color theme="0"/>
      <name val="Times New Roman"/>
      <family val="2"/>
    </font>
    <font>
      <sz val="9"/>
      <color theme="1"/>
      <name val="Times New Roman"/>
      <family val="2"/>
    </font>
    <font>
      <sz val="12"/>
      <color rgb="FFFF0000"/>
      <name val="Times New Roman"/>
      <family val="2"/>
    </font>
    <font>
      <b/>
      <sz val="12"/>
      <color theme="1"/>
      <name val="Times New Roman"/>
      <family val="1"/>
    </font>
    <font>
      <b/>
      <sz val="12"/>
      <name val="Times New Roman"/>
      <family val="1"/>
    </font>
    <font>
      <sz val="12"/>
      <color theme="1"/>
      <name val="Times New Roman"/>
      <family val="1"/>
    </font>
    <font>
      <sz val="12"/>
      <color rgb="FF0000FF"/>
      <name val="Times New Roman"/>
      <family val="2"/>
    </font>
    <font>
      <b/>
      <sz val="12"/>
      <color rgb="FFFF0000"/>
      <name val="Times New Roman"/>
      <family val="1"/>
    </font>
    <font>
      <sz val="9"/>
      <color rgb="FF0000FF"/>
      <name val="Calibri"/>
      <family val="2"/>
      <scheme val="minor"/>
    </font>
    <font>
      <b/>
      <sz val="12"/>
      <color rgb="FF0000FF"/>
      <name val="Times New Roman"/>
      <family val="1"/>
    </font>
    <font>
      <sz val="11"/>
      <color rgb="FF0000FF"/>
      <name val="Calibri"/>
      <family val="2"/>
      <scheme val="minor"/>
    </font>
    <font>
      <sz val="12"/>
      <color rgb="FFFF0000"/>
      <name val="Times New Roman"/>
      <family val="1"/>
    </font>
    <font>
      <b/>
      <sz val="12"/>
      <name val="Times New Roman"/>
      <family val="2"/>
    </font>
    <font>
      <b/>
      <sz val="14"/>
      <color theme="1"/>
      <name val="Calibri"/>
      <family val="2"/>
      <scheme val="minor"/>
    </font>
    <font>
      <b/>
      <sz val="9"/>
      <name val="Calibri"/>
      <family val="2"/>
      <scheme val="minor"/>
    </font>
    <font>
      <b/>
      <sz val="9"/>
      <color theme="9" tint="-0.249977111117893"/>
      <name val="Calibri"/>
      <family val="2"/>
      <scheme val="minor"/>
    </font>
    <font>
      <b/>
      <sz val="9"/>
      <color rgb="FFC00000"/>
      <name val="Calibri"/>
      <family val="2"/>
      <scheme val="minor"/>
    </font>
    <font>
      <sz val="11"/>
      <color rgb="FF0070C0"/>
      <name val="Calibri"/>
      <family val="2"/>
      <scheme val="minor"/>
    </font>
    <font>
      <i/>
      <sz val="11"/>
      <color rgb="FFFF0000"/>
      <name val="Calibri"/>
      <family val="2"/>
      <scheme val="minor"/>
    </font>
    <font>
      <i/>
      <sz val="11"/>
      <name val="Calibri"/>
      <family val="2"/>
      <scheme val="minor"/>
    </font>
    <font>
      <b/>
      <sz val="11"/>
      <color theme="9" tint="-0.249977111117893"/>
      <name val="Calibri"/>
      <family val="2"/>
      <scheme val="minor"/>
    </font>
    <font>
      <sz val="9"/>
      <color rgb="FF00B050"/>
      <name val="Calibri"/>
      <family val="2"/>
      <scheme val="minor"/>
    </font>
    <font>
      <sz val="11"/>
      <color rgb="FF00B050"/>
      <name val="Calibri"/>
      <family val="2"/>
      <scheme val="minor"/>
    </font>
    <font>
      <i/>
      <sz val="10"/>
      <color indexed="56"/>
      <name val="Calibri"/>
      <family val="2"/>
      <scheme val="minor"/>
    </font>
    <font>
      <sz val="10"/>
      <color indexed="56"/>
      <name val="Calibri"/>
      <family val="2"/>
      <scheme val="minor"/>
    </font>
    <font>
      <sz val="11"/>
      <color theme="1"/>
      <name val="Calibri"/>
      <family val="2"/>
    </font>
    <font>
      <sz val="11"/>
      <color theme="9" tint="-0.499984740745262"/>
      <name val="Calibri"/>
      <family val="2"/>
      <scheme val="minor"/>
    </font>
    <font>
      <sz val="11"/>
      <color rgb="FF000000"/>
      <name val="Arial"/>
      <family val="2"/>
    </font>
    <font>
      <u/>
      <sz val="11"/>
      <color rgb="FF00B050"/>
      <name val="Calibri"/>
      <family val="2"/>
      <scheme val="minor"/>
    </font>
    <font>
      <u/>
      <sz val="11"/>
      <color theme="1"/>
      <name val="Calibri"/>
      <family val="2"/>
      <scheme val="minor"/>
    </font>
    <font>
      <i/>
      <sz val="8"/>
      <color rgb="FF002060"/>
      <name val="Calibri"/>
      <family val="2"/>
      <scheme val="minor"/>
    </font>
    <font>
      <b/>
      <u/>
      <sz val="9"/>
      <color indexed="81"/>
      <name val="Tahoma"/>
      <family val="2"/>
    </font>
    <font>
      <i/>
      <sz val="9"/>
      <color indexed="81"/>
      <name val="Tahoma"/>
      <family val="2"/>
    </font>
    <font>
      <sz val="8"/>
      <color rgb="FF0070C0"/>
      <name val="Calibri"/>
      <family val="2"/>
      <scheme val="minor"/>
    </font>
    <font>
      <b/>
      <sz val="11"/>
      <color rgb="FF0070C0"/>
      <name val="Calibri"/>
      <family val="2"/>
      <scheme val="minor"/>
    </font>
    <font>
      <sz val="11"/>
      <color theme="2"/>
      <name val="Calibri"/>
      <family val="2"/>
      <scheme val="minor"/>
    </font>
    <font>
      <b/>
      <sz val="11"/>
      <color theme="9" tint="-0.499984740745262"/>
      <name val="Calibri"/>
      <family val="2"/>
      <scheme val="minor"/>
    </font>
    <font>
      <u/>
      <sz val="4"/>
      <color theme="10"/>
      <name val="Calibri"/>
      <family val="2"/>
      <scheme val="minor"/>
    </font>
    <font>
      <i/>
      <sz val="10"/>
      <name val="Calibri"/>
      <family val="2"/>
      <scheme val="minor"/>
    </font>
    <font>
      <b/>
      <i/>
      <sz val="11"/>
      <name val="Calibri"/>
      <family val="2"/>
      <scheme val="minor"/>
    </font>
    <font>
      <b/>
      <i/>
      <sz val="14"/>
      <color rgb="FF002060"/>
      <name val="Calibri"/>
      <family val="2"/>
      <scheme val="minor"/>
    </font>
    <font>
      <sz val="14"/>
      <color theme="1"/>
      <name val="Calibri"/>
      <family val="2"/>
      <scheme val="minor"/>
    </font>
    <font>
      <sz val="11"/>
      <color rgb="FF9C0006"/>
      <name val="Calibri"/>
      <family val="2"/>
      <scheme val="minor"/>
    </font>
    <font>
      <sz val="11"/>
      <color rgb="FF3F3F76"/>
      <name val="Calibri"/>
      <family val="2"/>
      <scheme val="minor"/>
    </font>
    <font>
      <sz val="11"/>
      <color rgb="FF0033CC"/>
      <name val="Calibri"/>
      <family val="2"/>
      <scheme val="minor"/>
    </font>
    <font>
      <sz val="11"/>
      <color rgb="FF9C6500"/>
      <name val="Calibri"/>
      <family val="2"/>
      <scheme val="minor"/>
    </font>
    <font>
      <b/>
      <u/>
      <sz val="9"/>
      <color theme="1"/>
      <name val="Calibri"/>
      <family val="2"/>
      <scheme val="minor"/>
    </font>
    <font>
      <sz val="11"/>
      <color theme="10"/>
      <name val="Calibri"/>
      <family val="2"/>
      <scheme val="minor"/>
    </font>
    <font>
      <b/>
      <i/>
      <sz val="9"/>
      <color theme="9" tint="-0.249977111117893"/>
      <name val="Calibri"/>
      <family val="2"/>
      <scheme val="minor"/>
    </font>
    <font>
      <sz val="10"/>
      <color rgb="FF006D21"/>
      <name val="Arial"/>
      <family val="2"/>
    </font>
    <font>
      <b/>
      <sz val="10"/>
      <color rgb="FF006D21"/>
      <name val="Arial"/>
      <family val="2"/>
    </font>
    <font>
      <sz val="8"/>
      <name val="Calibri"/>
      <family val="2"/>
      <scheme val="minor"/>
    </font>
    <font>
      <b/>
      <sz val="10"/>
      <name val="Calibri"/>
      <family val="2"/>
      <scheme val="minor"/>
    </font>
    <font>
      <b/>
      <i/>
      <sz val="11"/>
      <color theme="1"/>
      <name val="Calibri"/>
      <family val="2"/>
      <scheme val="minor"/>
    </font>
    <font>
      <b/>
      <i/>
      <sz val="10"/>
      <name val="Calibri"/>
      <family val="2"/>
      <scheme val="minor"/>
    </font>
    <font>
      <sz val="8"/>
      <color rgb="FF0000FF"/>
      <name val="Calibri"/>
      <family val="2"/>
      <scheme val="minor"/>
    </font>
    <font>
      <sz val="12"/>
      <color rgb="FFFF0000"/>
      <name val="Calibri"/>
      <family val="2"/>
      <scheme val="minor"/>
    </font>
    <font>
      <b/>
      <sz val="12"/>
      <color theme="3"/>
      <name val="Calibri"/>
      <family val="2"/>
      <scheme val="minor"/>
    </font>
    <font>
      <sz val="11"/>
      <color theme="3"/>
      <name val="Calibri"/>
      <family val="2"/>
      <scheme val="minor"/>
    </font>
    <font>
      <b/>
      <i/>
      <sz val="10"/>
      <color theme="3"/>
      <name val="Calibri"/>
      <family val="2"/>
      <scheme val="minor"/>
    </font>
    <font>
      <b/>
      <u/>
      <sz val="11"/>
      <color theme="10"/>
      <name val="Calibri"/>
      <family val="2"/>
      <scheme val="minor"/>
    </font>
    <font>
      <sz val="8"/>
      <color rgb="FFFF0000"/>
      <name val="Calibri"/>
      <family val="2"/>
      <scheme val="minor"/>
    </font>
    <font>
      <b/>
      <u/>
      <sz val="8"/>
      <color theme="1"/>
      <name val="Calibri"/>
      <family val="2"/>
      <scheme val="minor"/>
    </font>
    <font>
      <b/>
      <sz val="9"/>
      <color indexed="81"/>
      <name val="Calibri"/>
      <family val="2"/>
    </font>
    <font>
      <sz val="9"/>
      <color indexed="81"/>
      <name val="Calibri"/>
      <family val="2"/>
    </font>
    <font>
      <b/>
      <i/>
      <sz val="12"/>
      <color rgb="FFFF0000"/>
      <name val="Calibri"/>
      <family val="2"/>
      <scheme val="minor"/>
    </font>
    <font>
      <b/>
      <i/>
      <u/>
      <sz val="11"/>
      <color theme="1"/>
      <name val="Calibri"/>
      <family val="2"/>
      <scheme val="minor"/>
    </font>
    <font>
      <b/>
      <i/>
      <sz val="8"/>
      <color rgb="FFC00000"/>
      <name val="Calibri"/>
      <family val="2"/>
      <scheme val="minor"/>
    </font>
    <font>
      <sz val="10"/>
      <color rgb="FF0000FF"/>
      <name val="Calibri"/>
      <family val="2"/>
      <scheme val="minor"/>
    </font>
    <font>
      <b/>
      <i/>
      <sz val="8"/>
      <color theme="1"/>
      <name val="Calibri"/>
      <family val="2"/>
      <scheme val="minor"/>
    </font>
    <font>
      <b/>
      <i/>
      <sz val="8"/>
      <color rgb="FF002060"/>
      <name val="Calibri"/>
      <family val="2"/>
      <scheme val="minor"/>
    </font>
    <font>
      <sz val="8"/>
      <color rgb="FFC00000"/>
      <name val="Calibri"/>
      <family val="2"/>
      <scheme val="minor"/>
    </font>
    <font>
      <b/>
      <sz val="8"/>
      <color rgb="FFC00000"/>
      <name val="Calibri"/>
      <family val="2"/>
      <scheme val="minor"/>
    </font>
    <font>
      <b/>
      <sz val="24"/>
      <name val="Calibri"/>
      <family val="2"/>
      <scheme val="minor"/>
    </font>
    <font>
      <b/>
      <i/>
      <sz val="12"/>
      <color theme="1"/>
      <name val="Calibri"/>
      <family val="2"/>
      <scheme val="minor"/>
    </font>
    <font>
      <sz val="11"/>
      <color theme="0"/>
      <name val="Calibri"/>
      <family val="2"/>
      <scheme val="minor"/>
    </font>
    <font>
      <sz val="10"/>
      <color theme="1"/>
      <name val="Arial"/>
      <family val="2"/>
    </font>
    <font>
      <b/>
      <sz val="8"/>
      <color theme="9" tint="-0.249977111117893"/>
      <name val="Calibri"/>
      <family val="2"/>
      <scheme val="minor"/>
    </font>
    <font>
      <u/>
      <sz val="8"/>
      <color theme="1"/>
      <name val="Calibri"/>
      <family val="2"/>
      <scheme val="minor"/>
    </font>
    <font>
      <b/>
      <sz val="12"/>
      <color rgb="FF002060"/>
      <name val="Calibri"/>
      <family val="2"/>
      <scheme val="minor"/>
    </font>
    <font>
      <sz val="12"/>
      <color theme="1"/>
      <name val="Calibri"/>
      <family val="2"/>
      <scheme val="minor"/>
    </font>
    <font>
      <b/>
      <sz val="12"/>
      <color indexed="8"/>
      <name val="Calibri"/>
      <family val="2"/>
      <scheme val="minor"/>
    </font>
    <font>
      <b/>
      <sz val="12"/>
      <color theme="1"/>
      <name val="Calibri"/>
      <family val="2"/>
      <scheme val="minor"/>
    </font>
    <font>
      <sz val="10"/>
      <name val="Arial"/>
      <family val="2"/>
    </font>
    <font>
      <sz val="9"/>
      <color theme="1"/>
      <name val="Calibri Light"/>
      <family val="2"/>
      <scheme val="major"/>
    </font>
    <font>
      <b/>
      <i/>
      <sz val="9"/>
      <color theme="1"/>
      <name val="Calibri Light"/>
      <family val="2"/>
      <scheme val="major"/>
    </font>
    <font>
      <b/>
      <sz val="9"/>
      <color theme="0"/>
      <name val="Calibri Light"/>
      <family val="2"/>
      <scheme val="major"/>
    </font>
    <font>
      <b/>
      <u/>
      <sz val="9"/>
      <color theme="1"/>
      <name val="Calibri Light"/>
      <family val="2"/>
      <scheme val="major"/>
    </font>
    <font>
      <i/>
      <sz val="9"/>
      <color theme="1"/>
      <name val="Calibri Light"/>
      <family val="2"/>
      <scheme val="major"/>
    </font>
    <font>
      <sz val="9"/>
      <color rgb="FFFF0000"/>
      <name val="Calibri Light"/>
      <family val="2"/>
      <scheme val="major"/>
    </font>
    <font>
      <b/>
      <sz val="24"/>
      <color theme="0"/>
      <name val="Calibri"/>
      <family val="2"/>
      <scheme val="minor"/>
    </font>
    <font>
      <b/>
      <i/>
      <sz val="12"/>
      <name val="Calibri"/>
      <family val="2"/>
      <scheme val="minor"/>
    </font>
    <font>
      <sz val="11"/>
      <color indexed="56"/>
      <name val="Calibri"/>
      <family val="2"/>
      <scheme val="minor"/>
    </font>
    <font>
      <i/>
      <sz val="8"/>
      <color theme="1"/>
      <name val="Calibri"/>
      <family val="2"/>
      <scheme val="minor"/>
    </font>
    <font>
      <b/>
      <i/>
      <sz val="8"/>
      <name val="Calibri"/>
      <family val="2"/>
      <scheme val="minor"/>
    </font>
    <font>
      <i/>
      <sz val="8"/>
      <name val="Calibri"/>
      <family val="2"/>
      <scheme val="minor"/>
    </font>
    <font>
      <b/>
      <sz val="8"/>
      <name val="Calibri"/>
      <family val="2"/>
      <scheme val="minor"/>
    </font>
    <font>
      <b/>
      <i/>
      <sz val="14"/>
      <name val="Calibri"/>
      <family val="2"/>
      <scheme val="minor"/>
    </font>
    <font>
      <b/>
      <sz val="9"/>
      <color indexed="8"/>
      <name val="Calibri"/>
      <family val="2"/>
    </font>
    <font>
      <sz val="9"/>
      <color indexed="8"/>
      <name val="Calibri"/>
      <family val="2"/>
    </font>
    <font>
      <sz val="9"/>
      <color indexed="10"/>
      <name val="Calibri"/>
      <family val="2"/>
    </font>
    <font>
      <b/>
      <i/>
      <sz val="9"/>
      <color theme="5" tint="-0.249977111117893"/>
      <name val="Calibri"/>
      <family val="2"/>
      <scheme val="minor"/>
    </font>
    <font>
      <b/>
      <i/>
      <sz val="10"/>
      <color theme="1"/>
      <name val="Calibri"/>
      <family val="2"/>
      <scheme val="minor"/>
    </font>
    <font>
      <sz val="11"/>
      <color indexed="10"/>
      <name val="Calibri"/>
      <family val="2"/>
    </font>
    <font>
      <sz val="12"/>
      <color rgb="FF002060"/>
      <name val="Calibri"/>
      <family val="2"/>
      <scheme val="minor"/>
    </font>
    <font>
      <b/>
      <sz val="11"/>
      <color indexed="10"/>
      <name val="Calibri"/>
      <family val="2"/>
    </font>
    <font>
      <i/>
      <sz val="8"/>
      <color rgb="FFFF0000"/>
      <name val="Calibri"/>
      <family val="2"/>
      <scheme val="minor"/>
    </font>
    <font>
      <u/>
      <sz val="6"/>
      <color theme="10"/>
      <name val="Calibri"/>
      <family val="2"/>
      <scheme val="minor"/>
    </font>
    <font>
      <b/>
      <sz val="14"/>
      <color theme="5" tint="-0.249977111117893"/>
      <name val="Calibri"/>
      <family val="2"/>
      <scheme val="minor"/>
    </font>
    <font>
      <b/>
      <i/>
      <sz val="11"/>
      <color theme="5" tint="-0.249977111117893"/>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i/>
      <sz val="9"/>
      <color rgb="FFC00000"/>
      <name val="Calibri"/>
      <family val="2"/>
      <scheme val="minor"/>
    </font>
    <font>
      <i/>
      <sz val="11"/>
      <color rgb="FFC00000"/>
      <name val="Calibri"/>
      <family val="2"/>
      <scheme val="minor"/>
    </font>
    <font>
      <b/>
      <i/>
      <sz val="24"/>
      <color theme="1"/>
      <name val="Calibri"/>
      <family val="2"/>
      <scheme val="minor"/>
    </font>
    <font>
      <b/>
      <i/>
      <sz val="11"/>
      <color theme="9" tint="-0.249977111117893"/>
      <name val="Calibri"/>
      <family val="2"/>
      <scheme val="minor"/>
    </font>
    <font>
      <sz val="10"/>
      <name val="Roboto"/>
    </font>
    <font>
      <b/>
      <strike/>
      <sz val="11"/>
      <color indexed="8"/>
      <name val="Calibri"/>
      <family val="2"/>
    </font>
    <font>
      <sz val="11"/>
      <color rgb="FF000000"/>
      <name val="Calibri"/>
      <family val="2"/>
      <scheme val="minor"/>
    </font>
    <font>
      <b/>
      <sz val="9"/>
      <color indexed="10"/>
      <name val="Calibri"/>
      <family val="2"/>
    </font>
    <font>
      <sz val="10"/>
      <color theme="5" tint="-0.249977111117893"/>
      <name val="Calibri"/>
      <family val="2"/>
      <scheme val="minor"/>
    </font>
    <font>
      <b/>
      <sz val="10"/>
      <color theme="5" tint="-0.249977111117893"/>
      <name val="Calibri"/>
      <family val="2"/>
      <scheme val="minor"/>
    </font>
    <font>
      <b/>
      <i/>
      <sz val="10"/>
      <color theme="5" tint="-0.249977111117893"/>
      <name val="Calibri"/>
      <family val="2"/>
      <scheme val="minor"/>
    </font>
    <font>
      <strike/>
      <sz val="11"/>
      <name val="Calibri"/>
      <family val="2"/>
      <scheme val="minor"/>
    </font>
    <font>
      <sz val="11"/>
      <color theme="1"/>
      <name val="Poppins Regular"/>
    </font>
    <font>
      <b/>
      <sz val="11"/>
      <color rgb="FF062172"/>
      <name val="Poppins Regular"/>
    </font>
    <font>
      <b/>
      <sz val="11"/>
      <color theme="0"/>
      <name val="Poppins Regular"/>
    </font>
    <font>
      <b/>
      <sz val="11"/>
      <color theme="1"/>
      <name val="Poppins Regular"/>
    </font>
    <font>
      <i/>
      <sz val="11"/>
      <color theme="1"/>
      <name val="Poppins Regular"/>
    </font>
    <font>
      <b/>
      <sz val="14"/>
      <color theme="1"/>
      <name val="Poppins Regular"/>
    </font>
    <font>
      <sz val="9"/>
      <color theme="1"/>
      <name val="Poppins Regular"/>
    </font>
    <font>
      <b/>
      <u/>
      <sz val="11"/>
      <color theme="1"/>
      <name val="Poppins Regular"/>
    </font>
    <font>
      <sz val="11"/>
      <color rgb="FFFF0000"/>
      <name val="Poppins Regular"/>
    </font>
    <font>
      <b/>
      <sz val="11"/>
      <color rgb="FFFF0000"/>
      <name val="Poppins Regular"/>
    </font>
    <font>
      <b/>
      <sz val="10"/>
      <color rgb="FF062172"/>
      <name val="Poppins Regular"/>
    </font>
    <font>
      <b/>
      <sz val="9"/>
      <color rgb="FF062172"/>
      <name val="Poppins Regular"/>
    </font>
    <font>
      <b/>
      <sz val="10"/>
      <color theme="0"/>
      <name val="Poppins Regular"/>
    </font>
    <font>
      <sz val="10"/>
      <color theme="1"/>
      <name val="Poppins Regular"/>
    </font>
  </fonts>
  <fills count="82">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rgb="FF92D050"/>
        <bgColor indexed="64"/>
      </patternFill>
    </fill>
    <fill>
      <patternFill patternType="solid">
        <fgColor rgb="FF00B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3999450666829432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theme="7" tint="0.39997558519241921"/>
        <bgColor indexed="64"/>
      </patternFill>
    </fill>
    <fill>
      <patternFill patternType="solid">
        <fgColor rgb="FFF2DCDB"/>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2"/>
        <bgColor indexed="64"/>
      </patternFill>
    </fill>
    <fill>
      <patternFill patternType="solid">
        <fgColor theme="1"/>
        <bgColor indexed="64"/>
      </patternFill>
    </fill>
    <fill>
      <patternFill patternType="solid">
        <fgColor theme="2" tint="-0.249977111117893"/>
        <bgColor indexed="64"/>
      </patternFill>
    </fill>
    <fill>
      <patternFill patternType="solid">
        <fgColor rgb="FFFF0000"/>
        <bgColor indexed="64"/>
      </patternFill>
    </fill>
    <fill>
      <patternFill patternType="solid">
        <fgColor rgb="FF002060"/>
        <bgColor indexed="64"/>
      </patternFill>
    </fill>
    <fill>
      <patternFill patternType="solid">
        <fgColor theme="8" tint="-0.49998474074526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8" tint="-0.249977111117893"/>
        <bgColor indexed="64"/>
      </patternFill>
    </fill>
    <fill>
      <patternFill patternType="solid">
        <fgColor theme="7"/>
        <bgColor indexed="64"/>
      </patternFill>
    </fill>
    <fill>
      <patternFill patternType="solid">
        <fgColor rgb="FFC6EF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5" tint="-0.249977111117893"/>
        <bgColor indexed="64"/>
      </patternFill>
    </fill>
    <fill>
      <patternFill patternType="solid">
        <fgColor rgb="FFC9C9C9"/>
        <bgColor rgb="FF000000"/>
      </patternFill>
    </fill>
    <fill>
      <patternFill patternType="solid">
        <fgColor theme="9" tint="-0.249977111117893"/>
        <bgColor indexed="64"/>
      </patternFill>
    </fill>
    <fill>
      <patternFill patternType="solid">
        <fgColor theme="9"/>
        <bgColor indexed="64"/>
      </patternFill>
    </fill>
    <fill>
      <patternFill patternType="solid">
        <fgColor rgb="FF43D596"/>
        <bgColor indexed="64"/>
      </patternFill>
    </fill>
    <fill>
      <patternFill patternType="solid">
        <fgColor rgb="FF062172"/>
        <bgColor indexed="64"/>
      </patternFill>
    </fill>
    <fill>
      <patternFill patternType="solid">
        <fgColor rgb="FFD8D9DC"/>
        <bgColor indexed="64"/>
      </patternFill>
    </fill>
    <fill>
      <patternFill patternType="solid">
        <fgColor rgb="FFCACFE0"/>
        <bgColor indexed="64"/>
      </patternFill>
    </fill>
    <fill>
      <patternFill patternType="solid">
        <fgColor rgb="FF61D697"/>
        <bgColor indexed="64"/>
      </patternFill>
    </fill>
    <fill>
      <patternFill patternType="solid">
        <fgColor rgb="FFB1EDD3"/>
        <bgColor indexed="64"/>
      </patternFill>
    </fill>
  </fills>
  <borders count="17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theme="0"/>
      </bottom>
      <diagonal/>
    </border>
    <border>
      <left style="thin">
        <color auto="1"/>
      </left>
      <right style="thin">
        <color auto="1"/>
      </right>
      <top/>
      <bottom style="thin">
        <color auto="1"/>
      </bottom>
      <diagonal/>
    </border>
    <border>
      <left/>
      <right/>
      <top style="thin">
        <color theme="0"/>
      </top>
      <bottom style="thin">
        <color theme="0"/>
      </bottom>
      <diagonal/>
    </border>
    <border>
      <left/>
      <right/>
      <top style="thin">
        <color theme="0"/>
      </top>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auto="1"/>
      </right>
      <top style="thin">
        <color auto="1"/>
      </top>
      <bottom style="thin">
        <color theme="0"/>
      </bottom>
      <diagonal/>
    </border>
    <border>
      <left/>
      <right/>
      <top style="thin">
        <color indexed="64"/>
      </top>
      <bottom style="thin">
        <color theme="0"/>
      </bottom>
      <diagonal/>
    </border>
    <border>
      <left/>
      <right style="thin">
        <color auto="1"/>
      </right>
      <top style="thin">
        <color auto="1"/>
      </top>
      <bottom/>
      <diagonal/>
    </border>
    <border>
      <left style="thin">
        <color auto="1"/>
      </left>
      <right/>
      <top/>
      <bottom style="thin">
        <color theme="0"/>
      </bottom>
      <diagonal/>
    </border>
    <border>
      <left style="thin">
        <color auto="1"/>
      </left>
      <right/>
      <top/>
      <bottom/>
      <diagonal/>
    </border>
    <border>
      <left/>
      <right style="thin">
        <color theme="0"/>
      </right>
      <top/>
      <bottom/>
      <diagonal/>
    </border>
    <border>
      <left style="thin">
        <color indexed="64"/>
      </left>
      <right style="thin">
        <color theme="0"/>
      </right>
      <top style="thin">
        <color indexed="64"/>
      </top>
      <bottom/>
      <diagonal/>
    </border>
    <border>
      <left style="thin">
        <color auto="1"/>
      </left>
      <right/>
      <top style="thin">
        <color theme="0"/>
      </top>
      <bottom style="thin">
        <color theme="0"/>
      </bottom>
      <diagonal/>
    </border>
    <border>
      <left/>
      <right style="thin">
        <color auto="1"/>
      </right>
      <top style="thin">
        <color theme="0"/>
      </top>
      <bottom style="thin">
        <color theme="0"/>
      </bottom>
      <diagonal/>
    </border>
    <border>
      <left style="thin">
        <color auto="1"/>
      </left>
      <right style="thin">
        <color auto="1"/>
      </right>
      <top style="thin">
        <color theme="0"/>
      </top>
      <bottom style="thin">
        <color theme="0"/>
      </bottom>
      <diagonal/>
    </border>
    <border>
      <left style="thin">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theme="0"/>
      </top>
      <bottom/>
      <diagonal/>
    </border>
    <border>
      <left/>
      <right style="thin">
        <color auto="1"/>
      </right>
      <top style="thin">
        <color theme="0"/>
      </top>
      <bottom/>
      <diagonal/>
    </border>
    <border>
      <left style="thin">
        <color auto="1"/>
      </left>
      <right style="thin">
        <color auto="1"/>
      </right>
      <top style="thin">
        <color theme="0"/>
      </top>
      <bottom/>
      <diagonal/>
    </border>
    <border>
      <left style="thin">
        <color auto="1"/>
      </left>
      <right style="thin">
        <color theme="0"/>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auto="1"/>
      </left>
      <right/>
      <top style="thin">
        <color theme="0"/>
      </top>
      <bottom style="thin">
        <color auto="1"/>
      </bottom>
      <diagonal/>
    </border>
    <border>
      <left/>
      <right style="thin">
        <color auto="1"/>
      </right>
      <top style="thin">
        <color theme="0"/>
      </top>
      <bottom style="thin">
        <color auto="1"/>
      </bottom>
      <diagonal/>
    </border>
    <border>
      <left style="thin">
        <color auto="1"/>
      </left>
      <right style="thin">
        <color auto="1"/>
      </right>
      <top style="thin">
        <color theme="0"/>
      </top>
      <bottom style="thin">
        <color auto="1"/>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right style="thin">
        <color auto="1"/>
      </right>
      <top/>
      <bottom style="thin">
        <color auto="1"/>
      </bottom>
      <diagonal/>
    </border>
    <border>
      <left/>
      <right style="thin">
        <color theme="0"/>
      </right>
      <top style="thin">
        <color theme="0"/>
      </top>
      <bottom style="thin">
        <color indexed="64"/>
      </bottom>
      <diagonal/>
    </border>
    <border>
      <left/>
      <right style="thin">
        <color theme="0"/>
      </right>
      <top/>
      <bottom style="thin">
        <color indexed="64"/>
      </bottom>
      <diagonal/>
    </border>
    <border>
      <left/>
      <right/>
      <top style="thin">
        <color theme="0"/>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theme="0"/>
      </right>
      <top style="thin">
        <color indexed="64"/>
      </top>
      <bottom/>
      <diagonal/>
    </border>
    <border>
      <left style="thin">
        <color auto="1"/>
      </left>
      <right style="thin">
        <color auto="1"/>
      </right>
      <top/>
      <bottom style="thin">
        <color theme="0"/>
      </bottom>
      <diagonal/>
    </border>
    <border>
      <left style="thin">
        <color auto="1"/>
      </left>
      <right style="thin">
        <color theme="0"/>
      </right>
      <top/>
      <bottom style="thin">
        <color theme="0"/>
      </bottom>
      <diagonal/>
    </border>
    <border>
      <left style="thin">
        <color theme="0"/>
      </left>
      <right style="thin">
        <color theme="0"/>
      </right>
      <top/>
      <bottom style="thin">
        <color theme="0"/>
      </bottom>
      <diagonal/>
    </border>
    <border>
      <left style="thin">
        <color auto="1"/>
      </left>
      <right style="thin">
        <color theme="0"/>
      </right>
      <top/>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theme="0"/>
      </left>
      <right/>
      <top/>
      <bottom/>
      <diagonal/>
    </border>
    <border>
      <left style="thin">
        <color auto="1"/>
      </left>
      <right/>
      <top/>
      <bottom style="thin">
        <color auto="1"/>
      </bottom>
      <diagonal/>
    </border>
    <border diagonalDown="1">
      <left style="thin">
        <color theme="0"/>
      </left>
      <right style="thin">
        <color theme="0"/>
      </right>
      <top/>
      <bottom style="thin">
        <color indexed="64"/>
      </bottom>
      <diagonal style="thin">
        <color theme="0"/>
      </diagonal>
    </border>
    <border diagonalDown="1">
      <left style="thin">
        <color indexed="64"/>
      </left>
      <right style="thin">
        <color indexed="64"/>
      </right>
      <top/>
      <bottom style="thin">
        <color indexed="64"/>
      </bottom>
      <diagonal style="thin">
        <color theme="0"/>
      </diagonal>
    </border>
    <border diagonalDown="1">
      <left style="thin">
        <color theme="0"/>
      </left>
      <right/>
      <top/>
      <bottom style="thin">
        <color indexed="64"/>
      </bottom>
      <diagonal style="thin">
        <color theme="0"/>
      </diagonal>
    </border>
    <border>
      <left style="thin">
        <color theme="0"/>
      </left>
      <right style="thin">
        <color theme="0"/>
      </right>
      <top style="thin">
        <color indexed="64"/>
      </top>
      <bottom/>
      <diagonal/>
    </border>
    <border>
      <left style="thin">
        <color indexed="64"/>
      </left>
      <right style="thin">
        <color theme="0"/>
      </right>
      <top/>
      <bottom style="thin">
        <color indexed="64"/>
      </bottom>
      <diagonal/>
    </border>
    <border>
      <left/>
      <right style="thin">
        <color theme="0"/>
      </right>
      <top/>
      <bottom style="thin">
        <color theme="0"/>
      </bottom>
      <diagonal/>
    </border>
    <border>
      <left/>
      <right style="thin">
        <color theme="1"/>
      </right>
      <top/>
      <bottom/>
      <diagonal/>
    </border>
    <border>
      <left style="thin">
        <color theme="0"/>
      </left>
      <right style="thin">
        <color theme="0"/>
      </right>
      <top/>
      <bottom style="thin">
        <color theme="1"/>
      </bottom>
      <diagonal/>
    </border>
    <border>
      <left/>
      <right style="thin">
        <color auto="1"/>
      </right>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theme="0"/>
      </left>
      <right/>
      <top/>
      <bottom style="thin">
        <color theme="0"/>
      </bottom>
      <diagonal/>
    </border>
    <border>
      <left style="thin">
        <color theme="0"/>
      </left>
      <right/>
      <top style="thin">
        <color theme="0"/>
      </top>
      <bottom style="thin">
        <color auto="1"/>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bottom/>
      <diagonal/>
    </border>
    <border>
      <left style="thin">
        <color theme="0"/>
      </left>
      <right style="thin">
        <color theme="1"/>
      </right>
      <top style="thin">
        <color theme="0"/>
      </top>
      <bottom/>
      <diagonal/>
    </border>
    <border>
      <left style="thin">
        <color theme="0"/>
      </left>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theme="0"/>
      </bottom>
      <diagonal/>
    </border>
    <border>
      <left style="thin">
        <color theme="0"/>
      </left>
      <right style="thin">
        <color theme="1"/>
      </right>
      <top style="thin">
        <color theme="0"/>
      </top>
      <bottom style="thin">
        <color theme="1"/>
      </bottom>
      <diagonal/>
    </border>
    <border>
      <left style="thin">
        <color theme="0"/>
      </left>
      <right/>
      <top style="thin">
        <color theme="0"/>
      </top>
      <bottom style="thin">
        <color theme="1"/>
      </bottom>
      <diagonal/>
    </border>
    <border>
      <left style="thin">
        <color theme="0"/>
      </left>
      <right style="thin">
        <color indexed="64"/>
      </right>
      <top/>
      <bottom style="thin">
        <color theme="0"/>
      </bottom>
      <diagonal/>
    </border>
    <border>
      <left style="thin">
        <color theme="0"/>
      </left>
      <right/>
      <top style="thin">
        <color indexed="64"/>
      </top>
      <bottom/>
      <diagonal/>
    </border>
    <border>
      <left style="thin">
        <color theme="0"/>
      </left>
      <right style="thin">
        <color indexed="64"/>
      </right>
      <top style="thin">
        <color theme="0"/>
      </top>
      <bottom/>
      <diagonal/>
    </border>
    <border>
      <left style="thin">
        <color theme="0"/>
      </left>
      <right style="thin">
        <color theme="0"/>
      </right>
      <top/>
      <bottom style="thin">
        <color auto="1"/>
      </bottom>
      <diagonal/>
    </border>
    <border>
      <left/>
      <right style="thin">
        <color theme="0"/>
      </right>
      <top style="thin">
        <color indexed="64"/>
      </top>
      <bottom style="thin">
        <color indexed="64"/>
      </bottom>
      <diagonal/>
    </border>
    <border>
      <left style="thin">
        <color theme="0"/>
      </left>
      <right/>
      <top/>
      <bottom style="thin">
        <color indexed="64"/>
      </bottom>
      <diagonal/>
    </border>
    <border>
      <left style="thin">
        <color theme="0"/>
      </left>
      <right style="thin">
        <color indexed="64"/>
      </right>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thin">
        <color theme="1"/>
      </left>
      <right style="thin">
        <color theme="0"/>
      </right>
      <top style="thin">
        <color theme="0"/>
      </top>
      <bottom style="thin">
        <color theme="0"/>
      </bottom>
      <diagonal/>
    </border>
    <border>
      <left style="thin">
        <color theme="0"/>
      </left>
      <right/>
      <top/>
      <bottom style="thin">
        <color theme="1"/>
      </bottom>
      <diagonal/>
    </border>
    <border>
      <left style="thin">
        <color theme="0"/>
      </left>
      <right/>
      <top style="thin">
        <color auto="1"/>
      </top>
      <bottom style="thin">
        <color auto="1"/>
      </bottom>
      <diagonal/>
    </border>
    <border diagonalUp="1">
      <left/>
      <right/>
      <top/>
      <bottom style="thin">
        <color auto="1"/>
      </bottom>
      <diagonal style="thin">
        <color theme="0"/>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theme="0"/>
      </bottom>
      <diagonal/>
    </border>
    <border>
      <left style="thin">
        <color rgb="FF7F7F7F"/>
      </left>
      <right style="thin">
        <color rgb="FF7F7F7F"/>
      </right>
      <top style="thin">
        <color rgb="FF7F7F7F"/>
      </top>
      <bottom style="thin">
        <color rgb="FF7F7F7F"/>
      </bottom>
      <diagonal/>
    </border>
    <border diagonalUp="1">
      <left style="thin">
        <color auto="1"/>
      </left>
      <right style="thin">
        <color theme="0"/>
      </right>
      <top/>
      <bottom style="thin">
        <color theme="0"/>
      </bottom>
      <diagonal style="thin">
        <color theme="0"/>
      </diagonal>
    </border>
    <border>
      <left style="thin">
        <color theme="0"/>
      </left>
      <right style="thin">
        <color theme="0"/>
      </right>
      <top style="thin">
        <color indexed="64"/>
      </top>
      <bottom style="thin">
        <color theme="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theme="0"/>
      </bottom>
      <diagonal/>
    </border>
    <border>
      <left/>
      <right style="medium">
        <color indexed="64"/>
      </right>
      <top style="thin">
        <color indexed="64"/>
      </top>
      <bottom/>
      <diagonal/>
    </border>
    <border>
      <left style="medium">
        <color indexed="64"/>
      </left>
      <right style="thin">
        <color indexed="64"/>
      </right>
      <top style="thin">
        <color theme="0"/>
      </top>
      <bottom style="thin">
        <color theme="0"/>
      </bottom>
      <diagonal/>
    </border>
    <border>
      <left style="medium">
        <color indexed="64"/>
      </left>
      <right style="thin">
        <color indexed="64"/>
      </right>
      <top style="thin">
        <color theme="0"/>
      </top>
      <bottom/>
      <diagonal/>
    </border>
    <border>
      <left style="medium">
        <color indexed="64"/>
      </left>
      <right style="thin">
        <color indexed="64"/>
      </right>
      <top style="thin">
        <color theme="0"/>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theme="0"/>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theme="0"/>
      </bottom>
      <diagonal/>
    </border>
    <border>
      <left style="thin">
        <color indexed="64"/>
      </left>
      <right style="medium">
        <color indexed="64"/>
      </right>
      <top style="thin">
        <color theme="0"/>
      </top>
      <bottom style="thin">
        <color theme="0"/>
      </bottom>
      <diagonal/>
    </border>
    <border>
      <left style="thin">
        <color indexed="64"/>
      </left>
      <right style="medium">
        <color indexed="64"/>
      </right>
      <top style="thin">
        <color theme="0"/>
      </top>
      <bottom style="thin">
        <color indexed="64"/>
      </bottom>
      <diagonal/>
    </border>
    <border>
      <left style="medium">
        <color indexed="64"/>
      </left>
      <right style="thin">
        <color indexed="64"/>
      </right>
      <top style="thin">
        <color theme="0"/>
      </top>
      <bottom style="medium">
        <color indexed="64"/>
      </bottom>
      <diagonal/>
    </border>
    <border>
      <left/>
      <right/>
      <top style="thin">
        <color theme="0"/>
      </top>
      <bottom style="medium">
        <color indexed="64"/>
      </bottom>
      <diagonal/>
    </border>
    <border>
      <left style="thin">
        <color indexed="64"/>
      </left>
      <right style="thin">
        <color theme="0"/>
      </right>
      <top style="thin">
        <color theme="0"/>
      </top>
      <bottom style="medium">
        <color indexed="64"/>
      </bottom>
      <diagonal/>
    </border>
    <border>
      <left style="thin">
        <color theme="0"/>
      </left>
      <right/>
      <top style="thin">
        <color theme="0"/>
      </top>
      <bottom style="medium">
        <color indexed="64"/>
      </bottom>
      <diagonal/>
    </border>
    <border>
      <left/>
      <right style="thin">
        <color indexed="64"/>
      </right>
      <top/>
      <bottom style="medium">
        <color indexed="64"/>
      </bottom>
      <diagonal/>
    </border>
    <border>
      <left style="thin">
        <color indexed="64"/>
      </left>
      <right/>
      <top style="thin">
        <color theme="0"/>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diagonalDown="1">
      <left/>
      <right style="thin">
        <color indexed="64"/>
      </right>
      <top/>
      <bottom/>
      <diagonal style="thin">
        <color theme="0"/>
      </diagonal>
    </border>
    <border diagonalDown="1">
      <left/>
      <right style="thin">
        <color indexed="64"/>
      </right>
      <top/>
      <bottom style="thin">
        <color indexed="64"/>
      </bottom>
      <diagonal style="thin">
        <color theme="0"/>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indexed="64"/>
      </bottom>
      <diagonal/>
    </border>
    <border>
      <left style="thin">
        <color theme="1"/>
      </left>
      <right style="thin">
        <color theme="1"/>
      </right>
      <top style="thin">
        <color theme="0"/>
      </top>
      <bottom style="thin">
        <color theme="0"/>
      </bottom>
      <diagonal/>
    </border>
    <border>
      <left style="thin">
        <color theme="1"/>
      </left>
      <right style="thin">
        <color theme="1"/>
      </right>
      <top style="thin">
        <color theme="0"/>
      </top>
      <bottom style="thin">
        <color theme="1"/>
      </bottom>
      <diagonal/>
    </border>
    <border>
      <left style="thin">
        <color theme="1"/>
      </left>
      <right style="thin">
        <color theme="0"/>
      </right>
      <top style="thin">
        <color theme="0"/>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top style="thin">
        <color theme="2"/>
      </top>
      <bottom style="thin">
        <color auto="1"/>
      </bottom>
      <diagonal/>
    </border>
    <border>
      <left/>
      <right/>
      <top style="thin">
        <color theme="2"/>
      </top>
      <bottom style="thin">
        <color auto="1"/>
      </bottom>
      <diagonal/>
    </border>
    <border>
      <left/>
      <right style="thin">
        <color auto="1"/>
      </right>
      <top style="thin">
        <color theme="2"/>
      </top>
      <bottom style="thin">
        <color auto="1"/>
      </bottom>
      <diagonal/>
    </border>
    <border>
      <left style="thin">
        <color auto="1"/>
      </left>
      <right style="thin">
        <color theme="2"/>
      </right>
      <top/>
      <bottom style="thin">
        <color theme="0"/>
      </bottom>
      <diagonal/>
    </border>
    <border>
      <left style="thin">
        <color auto="1"/>
      </left>
      <right style="thin">
        <color theme="2"/>
      </right>
      <top style="thin">
        <color theme="0"/>
      </top>
      <bottom style="thin">
        <color theme="0"/>
      </bottom>
      <diagonal/>
    </border>
    <border>
      <left style="thin">
        <color auto="1"/>
      </left>
      <right style="thin">
        <color theme="2"/>
      </right>
      <top style="thin">
        <color theme="0"/>
      </top>
      <bottom style="thin">
        <color auto="1"/>
      </bottom>
      <diagonal/>
    </border>
    <border>
      <left/>
      <right/>
      <top style="thin">
        <color theme="0"/>
      </top>
      <bottom style="thin">
        <color theme="1"/>
      </bottom>
      <diagonal/>
    </border>
    <border>
      <left style="thin">
        <color theme="1"/>
      </left>
      <right style="thin">
        <color theme="0"/>
      </right>
      <top/>
      <bottom style="thin">
        <color theme="0"/>
      </bottom>
      <diagonal/>
    </border>
    <border>
      <left/>
      <right style="medium">
        <color indexed="64"/>
      </right>
      <top style="thin">
        <color indexed="64"/>
      </top>
      <bottom style="thin">
        <color theme="0"/>
      </bottom>
      <diagonal/>
    </border>
    <border>
      <left/>
      <right style="medium">
        <color indexed="64"/>
      </right>
      <top style="thin">
        <color theme="0"/>
      </top>
      <bottom style="thin">
        <color theme="0"/>
      </bottom>
      <diagonal/>
    </border>
    <border>
      <left/>
      <right style="medium">
        <color indexed="64"/>
      </right>
      <top style="thin">
        <color theme="0"/>
      </top>
      <bottom style="thin">
        <color indexed="64"/>
      </bottom>
      <diagonal/>
    </border>
    <border>
      <left style="thin">
        <color theme="0"/>
      </left>
      <right style="thin">
        <color indexed="64"/>
      </right>
      <top style="thin">
        <color theme="0"/>
      </top>
      <bottom style="thin">
        <color theme="1"/>
      </bottom>
      <diagonal/>
    </border>
    <border>
      <left style="thin">
        <color auto="1"/>
      </left>
      <right style="thin">
        <color theme="0"/>
      </right>
      <top style="thin">
        <color theme="0"/>
      </top>
      <bottom style="thin">
        <color theme="1"/>
      </bottom>
      <diagonal/>
    </border>
    <border>
      <left style="thin">
        <color theme="0" tint="-0.14996795556505021"/>
      </left>
      <right style="thin">
        <color auto="1"/>
      </right>
      <top style="thin">
        <color auto="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medium">
        <color indexed="64"/>
      </bottom>
      <diagonal/>
    </border>
    <border diagonalUp="1" diagonalDown="1">
      <left/>
      <right style="thin">
        <color auto="1"/>
      </right>
      <top/>
      <bottom style="thin">
        <color auto="1"/>
      </bottom>
      <diagonal style="thin">
        <color theme="0"/>
      </diagonal>
    </border>
    <border>
      <left/>
      <right style="thin">
        <color indexed="64"/>
      </right>
      <top/>
      <bottom style="thin">
        <color rgb="FFFFFFFF"/>
      </bottom>
      <diagonal/>
    </border>
  </borders>
  <cellStyleXfs count="53">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68" fillId="0" borderId="0"/>
    <xf numFmtId="43" fontId="1" fillId="0" borderId="0" applyFont="0" applyFill="0" applyBorder="0" applyAlignment="0" applyProtection="0"/>
    <xf numFmtId="9" fontId="68" fillId="0" borderId="0" applyFont="0" applyFill="0" applyBorder="0" applyAlignment="0" applyProtection="0"/>
    <xf numFmtId="0" fontId="111" fillId="24" borderId="0" applyNumberFormat="0" applyBorder="0" applyAlignment="0" applyProtection="0"/>
    <xf numFmtId="0" fontId="112" fillId="26" borderId="95" applyNumberFormat="0" applyAlignment="0" applyProtection="0"/>
    <xf numFmtId="0" fontId="114" fillId="25" borderId="0" applyNumberFormat="0" applyBorder="0" applyAlignment="0" applyProtection="0"/>
    <xf numFmtId="181" fontId="1" fillId="0" borderId="0" applyFont="0" applyFill="0" applyBorder="0" applyAlignment="0" applyProtection="0"/>
    <xf numFmtId="43" fontId="1" fillId="0" borderId="0" applyFont="0" applyFill="0" applyBorder="0" applyAlignment="0" applyProtection="0"/>
    <xf numFmtId="0" fontId="152" fillId="0" borderId="0"/>
    <xf numFmtId="165" fontId="1" fillId="0" borderId="0" applyFont="0" applyFill="0" applyBorder="0" applyAlignment="0" applyProtection="0"/>
    <xf numFmtId="0" fontId="179" fillId="0" borderId="0" applyNumberFormat="0" applyFill="0" applyBorder="0" applyAlignment="0" applyProtection="0"/>
    <xf numFmtId="0" fontId="180" fillId="0" borderId="164" applyNumberFormat="0" applyFill="0" applyAlignment="0" applyProtection="0"/>
    <xf numFmtId="0" fontId="181" fillId="0" borderId="165" applyNumberFormat="0" applyFill="0" applyAlignment="0" applyProtection="0"/>
    <xf numFmtId="0" fontId="182" fillId="0" borderId="166" applyNumberFormat="0" applyFill="0" applyAlignment="0" applyProtection="0"/>
    <xf numFmtId="0" fontId="182" fillId="0" borderId="0" applyNumberFormat="0" applyFill="0" applyBorder="0" applyAlignment="0" applyProtection="0"/>
    <xf numFmtId="0" fontId="183" fillId="43" borderId="0" applyNumberFormat="0" applyBorder="0" applyAlignment="0" applyProtection="0"/>
    <xf numFmtId="0" fontId="184" fillId="25" borderId="0" applyNumberFormat="0" applyBorder="0" applyAlignment="0" applyProtection="0"/>
    <xf numFmtId="0" fontId="185" fillId="44" borderId="167" applyNumberFormat="0" applyAlignment="0" applyProtection="0"/>
    <xf numFmtId="0" fontId="186" fillId="44" borderId="95" applyNumberFormat="0" applyAlignment="0" applyProtection="0"/>
    <xf numFmtId="0" fontId="187" fillId="0" borderId="168" applyNumberFormat="0" applyFill="0" applyAlignment="0" applyProtection="0"/>
    <xf numFmtId="0" fontId="188" fillId="45" borderId="169" applyNumberFormat="0" applyAlignment="0" applyProtection="0"/>
    <xf numFmtId="0" fontId="2" fillId="0" borderId="0" applyNumberFormat="0" applyFill="0" applyBorder="0" applyAlignment="0" applyProtection="0"/>
    <xf numFmtId="0" fontId="1" fillId="46" borderId="170" applyNumberFormat="0" applyFont="0" applyAlignment="0" applyProtection="0"/>
    <xf numFmtId="0" fontId="189" fillId="0" borderId="0" applyNumberFormat="0" applyFill="0" applyBorder="0" applyAlignment="0" applyProtection="0"/>
    <xf numFmtId="0" fontId="3" fillId="0" borderId="171" applyNumberFormat="0" applyFill="0" applyAlignment="0" applyProtection="0"/>
    <xf numFmtId="0" fontId="144"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44"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44"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44"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44"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44"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cellStyleXfs>
  <cellXfs count="9601">
    <xf numFmtId="0" fontId="0" fillId="0" borderId="0" xfId="0"/>
    <xf numFmtId="0" fontId="0" fillId="0" borderId="0" xfId="0" applyAlignment="1">
      <alignment horizontal="right"/>
    </xf>
    <xf numFmtId="0" fontId="5" fillId="0" borderId="0" xfId="0" applyFont="1" applyAlignment="1">
      <alignment horizontal="center"/>
    </xf>
    <xf numFmtId="0" fontId="6" fillId="3" borderId="0" xfId="0" applyFont="1" applyFill="1" applyAlignment="1">
      <alignment horizontal="center"/>
    </xf>
    <xf numFmtId="0" fontId="7" fillId="4" borderId="0" xfId="0" applyFont="1" applyFill="1" applyAlignment="1">
      <alignment horizontal="center"/>
    </xf>
    <xf numFmtId="0" fontId="8" fillId="0" borderId="0" xfId="0" applyFont="1" applyAlignment="1">
      <alignment horizontal="center"/>
    </xf>
    <xf numFmtId="0" fontId="0" fillId="0" borderId="0" xfId="0" applyAlignment="1">
      <alignment horizontal="center"/>
    </xf>
    <xf numFmtId="165" fontId="9" fillId="0" borderId="0" xfId="0" applyNumberFormat="1" applyFont="1" applyAlignment="1">
      <alignment horizontal="center"/>
    </xf>
    <xf numFmtId="0" fontId="3" fillId="0" borderId="0" xfId="0" applyFont="1" applyAlignment="1">
      <alignment horizontal="center" vertical="center" wrapText="1"/>
    </xf>
    <xf numFmtId="3" fontId="8" fillId="0" borderId="0" xfId="0" applyNumberFormat="1" applyFont="1" applyAlignment="1">
      <alignment horizontal="center" vertical="center" wrapText="1"/>
    </xf>
    <xf numFmtId="0" fontId="3" fillId="0" borderId="5" xfId="0" applyFont="1" applyBorder="1" applyAlignment="1">
      <alignment horizontal="center" vertical="center" wrapText="1"/>
    </xf>
    <xf numFmtId="0" fontId="0" fillId="4" borderId="6" xfId="0" applyFill="1" applyBorder="1" applyAlignment="1">
      <alignment horizontal="center"/>
    </xf>
    <xf numFmtId="0" fontId="3" fillId="0" borderId="0" xfId="0" applyFont="1" applyAlignment="1">
      <alignment horizontal="right" vertical="center"/>
    </xf>
    <xf numFmtId="0" fontId="3" fillId="4" borderId="7" xfId="0" applyFont="1" applyFill="1" applyBorder="1" applyAlignment="1">
      <alignment horizontal="center" vertical="center"/>
    </xf>
    <xf numFmtId="0" fontId="0" fillId="0" borderId="0" xfId="0" applyAlignment="1">
      <alignment horizontal="center" vertical="center"/>
    </xf>
    <xf numFmtId="0" fontId="0" fillId="4" borderId="8" xfId="0" applyFill="1" applyBorder="1" applyAlignment="1">
      <alignment horizontal="center"/>
    </xf>
    <xf numFmtId="0" fontId="0" fillId="4" borderId="5" xfId="0" quotePrefix="1" applyFill="1" applyBorder="1" applyAlignment="1">
      <alignment horizontal="center"/>
    </xf>
    <xf numFmtId="0" fontId="0" fillId="4" borderId="5" xfId="0" quotePrefix="1" applyFill="1" applyBorder="1" applyAlignment="1">
      <alignment horizontal="center" vertical="center"/>
    </xf>
    <xf numFmtId="0" fontId="0" fillId="0" borderId="5" xfId="0" applyBorder="1"/>
    <xf numFmtId="0" fontId="0" fillId="4" borderId="9" xfId="0" applyFill="1" applyBorder="1" applyAlignment="1">
      <alignment horizontal="center"/>
    </xf>
    <xf numFmtId="0" fontId="0" fillId="0" borderId="4" xfId="0" applyBorder="1" applyAlignment="1">
      <alignment horizontal="center"/>
    </xf>
    <xf numFmtId="0" fontId="0" fillId="0" borderId="4" xfId="0" applyBorder="1" applyAlignment="1">
      <alignment horizontal="center" vertical="center"/>
    </xf>
    <xf numFmtId="0" fontId="0" fillId="0" borderId="7" xfId="0" applyBorder="1" applyAlignment="1">
      <alignment horizontal="center"/>
    </xf>
    <xf numFmtId="0" fontId="0" fillId="0" borderId="1" xfId="0" applyBorder="1" applyAlignment="1">
      <alignment horizontal="center"/>
    </xf>
    <xf numFmtId="0" fontId="0" fillId="0" borderId="7" xfId="0" applyBorder="1"/>
    <xf numFmtId="165" fontId="9" fillId="0" borderId="0" xfId="0" applyNumberFormat="1" applyFont="1"/>
    <xf numFmtId="0" fontId="0" fillId="0" borderId="10" xfId="0" applyBorder="1"/>
    <xf numFmtId="0" fontId="11" fillId="0" borderId="1" xfId="0" applyFont="1" applyBorder="1" applyAlignment="1">
      <alignment horizontal="center" vertical="center" textRotation="90" wrapText="1"/>
    </xf>
    <xf numFmtId="0" fontId="0" fillId="0" borderId="3" xfId="0" applyBorder="1" applyAlignment="1">
      <alignment horizontal="right" vertical="center"/>
    </xf>
    <xf numFmtId="0" fontId="8" fillId="0" borderId="4" xfId="0" applyFont="1" applyBorder="1" applyAlignment="1">
      <alignment horizontal="center" vertical="center"/>
    </xf>
    <xf numFmtId="0" fontId="0" fillId="0" borderId="0" xfId="0" applyAlignment="1">
      <alignment horizontal="right" vertical="center"/>
    </xf>
    <xf numFmtId="0" fontId="12" fillId="4" borderId="5" xfId="0" applyFont="1" applyFill="1" applyBorder="1" applyAlignment="1">
      <alignment horizontal="center" vertical="center" wrapText="1"/>
    </xf>
    <xf numFmtId="165" fontId="9" fillId="0" borderId="5" xfId="0" applyNumberFormat="1" applyFont="1" applyBorder="1" applyAlignment="1">
      <alignment horizontal="center" vertical="center" wrapText="1"/>
    </xf>
    <xf numFmtId="0" fontId="0" fillId="0" borderId="11" xfId="0" applyBorder="1" applyAlignment="1">
      <alignment horizontal="right" vertical="center"/>
    </xf>
    <xf numFmtId="0" fontId="12" fillId="0" borderId="4" xfId="0" applyFont="1" applyBorder="1" applyAlignment="1">
      <alignment horizontal="center" vertical="center" wrapText="1"/>
    </xf>
    <xf numFmtId="0" fontId="4" fillId="0" borderId="4" xfId="3" applyFill="1" applyBorder="1" applyAlignment="1">
      <alignment horizontal="center" vertical="center" wrapText="1"/>
    </xf>
    <xf numFmtId="0" fontId="12" fillId="4" borderId="4" xfId="0" applyFont="1" applyFill="1" applyBorder="1" applyAlignment="1">
      <alignment horizontal="center" vertical="center" wrapText="1"/>
    </xf>
    <xf numFmtId="0" fontId="1" fillId="0" borderId="4" xfId="3" applyFont="1" applyFill="1" applyBorder="1" applyAlignment="1">
      <alignment horizontal="center" vertical="center" wrapText="1"/>
    </xf>
    <xf numFmtId="0" fontId="0" fillId="4" borderId="3" xfId="3" applyFont="1" applyFill="1" applyBorder="1" applyAlignment="1">
      <alignment vertical="center" wrapText="1"/>
    </xf>
    <xf numFmtId="0" fontId="0" fillId="0" borderId="4" xfId="0" applyBorder="1"/>
    <xf numFmtId="0" fontId="3" fillId="6" borderId="12" xfId="0" applyFont="1" applyFill="1" applyBorder="1" applyAlignment="1">
      <alignment horizontal="left" vertical="center"/>
    </xf>
    <xf numFmtId="0" fontId="0" fillId="6" borderId="13" xfId="0" applyFill="1" applyBorder="1"/>
    <xf numFmtId="0" fontId="8" fillId="0" borderId="5" xfId="0" applyFont="1" applyBorder="1" applyAlignment="1">
      <alignment horizontal="center" vertical="center"/>
    </xf>
    <xf numFmtId="0" fontId="3" fillId="0" borderId="0" xfId="0" applyFont="1" applyAlignment="1">
      <alignment horizontal="left" vertical="center"/>
    </xf>
    <xf numFmtId="0" fontId="0" fillId="6" borderId="14" xfId="0" applyFill="1" applyBorder="1" applyAlignment="1">
      <alignment vertical="center" wrapText="1"/>
    </xf>
    <xf numFmtId="0" fontId="0" fillId="6" borderId="12" xfId="0" applyFill="1" applyBorder="1" applyAlignment="1">
      <alignment vertical="center" wrapText="1"/>
    </xf>
    <xf numFmtId="0" fontId="0" fillId="6" borderId="15" xfId="0" applyFill="1" applyBorder="1" applyAlignment="1">
      <alignment vertical="center" wrapText="1"/>
    </xf>
    <xf numFmtId="165" fontId="9" fillId="0" borderId="16" xfId="0" applyNumberFormat="1" applyFont="1" applyBorder="1" applyAlignment="1">
      <alignment vertical="center" wrapText="1"/>
    </xf>
    <xf numFmtId="0" fontId="3" fillId="0" borderId="17" xfId="0" applyFont="1" applyBorder="1" applyAlignment="1">
      <alignment horizontal="left" vertical="center"/>
    </xf>
    <xf numFmtId="0" fontId="0" fillId="0" borderId="16" xfId="0" applyBorder="1"/>
    <xf numFmtId="0" fontId="3" fillId="0" borderId="18" xfId="0" applyFont="1" applyBorder="1" applyAlignment="1">
      <alignment horizontal="left" vertical="center"/>
    </xf>
    <xf numFmtId="0" fontId="0" fillId="6" borderId="12" xfId="0" applyFill="1" applyBorder="1" applyAlignment="1">
      <alignment horizontal="left" vertical="center"/>
    </xf>
    <xf numFmtId="0" fontId="0" fillId="6" borderId="15" xfId="0" applyFill="1" applyBorder="1" applyAlignment="1">
      <alignment horizontal="left" vertical="center"/>
    </xf>
    <xf numFmtId="3" fontId="0" fillId="0" borderId="19" xfId="0" applyNumberFormat="1" applyBorder="1" applyAlignment="1">
      <alignment horizontal="left"/>
    </xf>
    <xf numFmtId="0" fontId="0" fillId="0" borderId="15" xfId="0" applyBorder="1" applyAlignment="1">
      <alignment vertical="center" wrapText="1"/>
    </xf>
    <xf numFmtId="3" fontId="0" fillId="0" borderId="10" xfId="0" applyNumberFormat="1" applyBorder="1" applyAlignment="1">
      <alignment horizontal="left"/>
    </xf>
    <xf numFmtId="0" fontId="0" fillId="0" borderId="20" xfId="0" applyBorder="1" applyAlignment="1">
      <alignment horizontal="center" vertical="center" wrapText="1"/>
    </xf>
    <xf numFmtId="3" fontId="0" fillId="0" borderId="0" xfId="0" applyNumberFormat="1" applyAlignment="1">
      <alignment horizontal="left"/>
    </xf>
    <xf numFmtId="0" fontId="11" fillId="6" borderId="21" xfId="0" applyFont="1" applyFill="1" applyBorder="1" applyAlignment="1">
      <alignment horizontal="center" vertical="center" textRotation="90" wrapText="1"/>
    </xf>
    <xf numFmtId="0" fontId="0" fillId="6" borderId="22" xfId="0" applyFill="1" applyBorder="1" applyAlignment="1">
      <alignment horizontal="right"/>
    </xf>
    <xf numFmtId="0" fontId="8" fillId="0" borderId="10" xfId="0" applyFont="1" applyBorder="1" applyAlignment="1">
      <alignment horizontal="center"/>
    </xf>
    <xf numFmtId="3" fontId="0" fillId="6" borderId="23" xfId="0" applyNumberFormat="1" applyFill="1" applyBorder="1" applyAlignment="1">
      <alignment horizontal="right" indent="2"/>
    </xf>
    <xf numFmtId="3" fontId="0" fillId="6" borderId="24" xfId="0" applyNumberFormat="1" applyFill="1" applyBorder="1" applyAlignment="1">
      <alignment horizontal="right" indent="2"/>
    </xf>
    <xf numFmtId="3" fontId="0" fillId="6" borderId="25" xfId="0" applyNumberFormat="1" applyFill="1" applyBorder="1" applyAlignment="1">
      <alignment horizontal="right" indent="2"/>
    </xf>
    <xf numFmtId="165" fontId="13" fillId="0" borderId="11" xfId="2" applyNumberFormat="1" applyFont="1" applyFill="1" applyBorder="1" applyAlignment="1"/>
    <xf numFmtId="0" fontId="0" fillId="0" borderId="21" xfId="0" applyBorder="1" applyAlignment="1">
      <alignment horizontal="right"/>
    </xf>
    <xf numFmtId="3" fontId="0" fillId="0" borderId="11" xfId="0" applyNumberFormat="1" applyBorder="1" applyAlignment="1">
      <alignment horizontal="right" indent="2"/>
    </xf>
    <xf numFmtId="0" fontId="0" fillId="0" borderId="18" xfId="0" applyBorder="1" applyAlignment="1">
      <alignment horizontal="right"/>
    </xf>
    <xf numFmtId="166" fontId="0" fillId="6" borderId="21" xfId="0" applyNumberFormat="1" applyFill="1" applyBorder="1" applyAlignment="1">
      <alignment horizontal="right" indent="2"/>
    </xf>
    <xf numFmtId="166" fontId="0" fillId="6" borderId="26" xfId="0" applyNumberFormat="1" applyFill="1" applyBorder="1" applyAlignment="1">
      <alignment horizontal="right" indent="2"/>
    </xf>
    <xf numFmtId="0" fontId="0" fillId="0" borderId="0" xfId="0" applyAlignment="1">
      <alignment horizontal="left"/>
    </xf>
    <xf numFmtId="3" fontId="0" fillId="6" borderId="21" xfId="0" applyNumberFormat="1" applyFill="1" applyBorder="1" applyAlignment="1">
      <alignment horizontal="right" indent="2"/>
    </xf>
    <xf numFmtId="3" fontId="0" fillId="6" borderId="8" xfId="0" applyNumberFormat="1" applyFill="1" applyBorder="1" applyAlignment="1">
      <alignment horizontal="right" indent="2"/>
    </xf>
    <xf numFmtId="165" fontId="13" fillId="0" borderId="11" xfId="0" applyNumberFormat="1" applyFont="1" applyBorder="1"/>
    <xf numFmtId="3" fontId="0" fillId="6" borderId="26" xfId="0" applyNumberFormat="1" applyFill="1" applyBorder="1" applyAlignment="1">
      <alignment horizontal="right" indent="2"/>
    </xf>
    <xf numFmtId="0" fontId="11" fillId="6" borderId="27" xfId="0" applyFont="1" applyFill="1" applyBorder="1" applyAlignment="1">
      <alignment horizontal="center" vertical="center" textRotation="90" wrapText="1"/>
    </xf>
    <xf numFmtId="0" fontId="14" fillId="6" borderId="28" xfId="0" applyFont="1" applyFill="1" applyBorder="1" applyAlignment="1">
      <alignment horizontal="right"/>
    </xf>
    <xf numFmtId="3" fontId="0" fillId="6" borderId="29" xfId="0" applyNumberFormat="1" applyFill="1" applyBorder="1" applyAlignment="1">
      <alignment horizontal="right" indent="2"/>
    </xf>
    <xf numFmtId="3" fontId="0" fillId="6" borderId="30" xfId="0" applyNumberFormat="1" applyFill="1" applyBorder="1" applyAlignment="1">
      <alignment horizontal="right" indent="2"/>
    </xf>
    <xf numFmtId="3" fontId="0" fillId="6" borderId="31" xfId="0" applyNumberFormat="1" applyFill="1" applyBorder="1" applyAlignment="1">
      <alignment horizontal="right" indent="2"/>
    </xf>
    <xf numFmtId="0" fontId="0" fillId="0" borderId="27" xfId="0" applyBorder="1" applyAlignment="1">
      <alignment horizontal="right"/>
    </xf>
    <xf numFmtId="166" fontId="0" fillId="6" borderId="27" xfId="0" applyNumberFormat="1" applyFill="1" applyBorder="1" applyAlignment="1">
      <alignment horizontal="right" indent="2"/>
    </xf>
    <xf numFmtId="166" fontId="0" fillId="6" borderId="32" xfId="0" applyNumberFormat="1" applyFill="1" applyBorder="1" applyAlignment="1">
      <alignment horizontal="right" indent="2"/>
    </xf>
    <xf numFmtId="3" fontId="0" fillId="6" borderId="9" xfId="0" applyNumberFormat="1" applyFill="1" applyBorder="1" applyAlignment="1">
      <alignment horizontal="right" indent="2"/>
    </xf>
    <xf numFmtId="3" fontId="0" fillId="6" borderId="32" xfId="0" applyNumberFormat="1" applyFill="1" applyBorder="1" applyAlignment="1">
      <alignment horizontal="right" indent="2"/>
    </xf>
    <xf numFmtId="0" fontId="11" fillId="6" borderId="33" xfId="0" applyFont="1" applyFill="1" applyBorder="1" applyAlignment="1">
      <alignment horizontal="center" vertical="center" textRotation="90" wrapText="1"/>
    </xf>
    <xf numFmtId="0" fontId="0" fillId="6" borderId="34" xfId="0" applyFill="1" applyBorder="1" applyAlignment="1">
      <alignment horizontal="right"/>
    </xf>
    <xf numFmtId="0" fontId="8" fillId="0" borderId="7" xfId="0" applyFont="1" applyBorder="1" applyAlignment="1">
      <alignment horizontal="center"/>
    </xf>
    <xf numFmtId="3" fontId="0" fillId="6" borderId="35" xfId="0" applyNumberFormat="1" applyFill="1" applyBorder="1" applyAlignment="1">
      <alignment horizontal="right" indent="2"/>
    </xf>
    <xf numFmtId="3" fontId="0" fillId="6" borderId="36" xfId="0" applyNumberFormat="1" applyFill="1" applyBorder="1" applyAlignment="1">
      <alignment horizontal="right" indent="2"/>
    </xf>
    <xf numFmtId="3" fontId="0" fillId="6" borderId="37" xfId="0" applyNumberFormat="1" applyFill="1" applyBorder="1" applyAlignment="1">
      <alignment horizontal="right" indent="2"/>
    </xf>
    <xf numFmtId="165" fontId="13" fillId="0" borderId="38" xfId="0" applyNumberFormat="1" applyFont="1" applyBorder="1"/>
    <xf numFmtId="3" fontId="0" fillId="0" borderId="38" xfId="0" applyNumberFormat="1" applyBorder="1" applyAlignment="1">
      <alignment horizontal="right" indent="2"/>
    </xf>
    <xf numFmtId="166" fontId="0" fillId="6" borderId="33" xfId="0" applyNumberFormat="1" applyFill="1" applyBorder="1" applyAlignment="1">
      <alignment horizontal="right" indent="2"/>
    </xf>
    <xf numFmtId="166" fontId="0" fillId="6" borderId="39" xfId="0" applyNumberFormat="1" applyFill="1" applyBorder="1" applyAlignment="1">
      <alignment horizontal="right" indent="2"/>
    </xf>
    <xf numFmtId="3" fontId="0" fillId="0" borderId="40" xfId="0" applyNumberFormat="1" applyBorder="1" applyAlignment="1">
      <alignment horizontal="left"/>
    </xf>
    <xf numFmtId="3" fontId="0" fillId="0" borderId="41" xfId="0" applyNumberFormat="1" applyBorder="1" applyAlignment="1">
      <alignment horizontal="right" indent="2"/>
    </xf>
    <xf numFmtId="3" fontId="0" fillId="0" borderId="7" xfId="0" applyNumberFormat="1" applyBorder="1" applyAlignment="1">
      <alignment horizontal="left"/>
    </xf>
    <xf numFmtId="3" fontId="0" fillId="0" borderId="42" xfId="0" applyNumberFormat="1" applyBorder="1" applyAlignment="1">
      <alignment horizontal="left"/>
    </xf>
    <xf numFmtId="3" fontId="0" fillId="6" borderId="39" xfId="0" applyNumberFormat="1" applyFill="1" applyBorder="1" applyAlignment="1">
      <alignment horizontal="right" indent="2"/>
    </xf>
    <xf numFmtId="0" fontId="3" fillId="0" borderId="43" xfId="0" applyFont="1" applyBorder="1" applyAlignment="1">
      <alignment horizontal="left" vertical="center"/>
    </xf>
    <xf numFmtId="3" fontId="0" fillId="0" borderId="5" xfId="0" applyNumberFormat="1" applyBorder="1" applyAlignment="1">
      <alignment horizontal="right"/>
    </xf>
    <xf numFmtId="3" fontId="0" fillId="0" borderId="43" xfId="0" applyNumberFormat="1" applyBorder="1" applyAlignment="1">
      <alignment horizontal="right" indent="2"/>
    </xf>
    <xf numFmtId="3" fontId="0" fillId="0" borderId="44" xfId="0" applyNumberFormat="1" applyBorder="1" applyAlignment="1">
      <alignment horizontal="right" indent="2"/>
    </xf>
    <xf numFmtId="165" fontId="13" fillId="0" borderId="16" xfId="0" applyNumberFormat="1" applyFont="1" applyBorder="1"/>
    <xf numFmtId="3" fontId="0" fillId="0" borderId="16" xfId="0" applyNumberFormat="1" applyBorder="1" applyAlignment="1">
      <alignment horizontal="right" indent="2"/>
    </xf>
    <xf numFmtId="3" fontId="0" fillId="0" borderId="0" xfId="0" applyNumberFormat="1" applyAlignment="1">
      <alignment horizontal="right" indent="2"/>
    </xf>
    <xf numFmtId="3" fontId="0" fillId="0" borderId="20" xfId="0" applyNumberFormat="1" applyBorder="1" applyAlignment="1">
      <alignment horizontal="left" indent="2"/>
    </xf>
    <xf numFmtId="0" fontId="0" fillId="0" borderId="5" xfId="0" applyBorder="1" applyAlignment="1">
      <alignment horizontal="left" vertical="center"/>
    </xf>
    <xf numFmtId="3" fontId="0" fillId="0" borderId="45" xfId="0" applyNumberFormat="1" applyBorder="1" applyAlignment="1">
      <alignment horizontal="left"/>
    </xf>
    <xf numFmtId="0" fontId="0" fillId="0" borderId="11" xfId="0" applyBorder="1" applyAlignment="1">
      <alignment horizontal="right"/>
    </xf>
    <xf numFmtId="3" fontId="0" fillId="4" borderId="46" xfId="0" applyNumberFormat="1" applyFill="1" applyBorder="1" applyAlignment="1">
      <alignment horizontal="right" indent="2"/>
    </xf>
    <xf numFmtId="3" fontId="0" fillId="4" borderId="47" xfId="0" applyNumberFormat="1" applyFill="1" applyBorder="1" applyAlignment="1">
      <alignment horizontal="right" indent="2"/>
    </xf>
    <xf numFmtId="3" fontId="0" fillId="4" borderId="48" xfId="0" applyNumberFormat="1" applyFill="1" applyBorder="1" applyAlignment="1">
      <alignment horizontal="right" indent="2"/>
    </xf>
    <xf numFmtId="3" fontId="0" fillId="4" borderId="49" xfId="0" applyNumberFormat="1" applyFill="1" applyBorder="1" applyAlignment="1">
      <alignment horizontal="right" indent="2"/>
    </xf>
    <xf numFmtId="3" fontId="0" fillId="4" borderId="25" xfId="0" applyNumberFormat="1" applyFill="1" applyBorder="1" applyAlignment="1">
      <alignment horizontal="right" indent="2"/>
    </xf>
    <xf numFmtId="3" fontId="0" fillId="0" borderId="50" xfId="0" applyNumberFormat="1" applyBorder="1" applyAlignment="1">
      <alignment horizontal="left"/>
    </xf>
    <xf numFmtId="3" fontId="0" fillId="4" borderId="24" xfId="0" applyNumberFormat="1" applyFill="1" applyBorder="1" applyAlignment="1">
      <alignment horizontal="right" indent="2"/>
    </xf>
    <xf numFmtId="3" fontId="0" fillId="0" borderId="51" xfId="0" applyNumberFormat="1" applyBorder="1" applyAlignment="1">
      <alignment horizontal="right" indent="2"/>
    </xf>
    <xf numFmtId="3" fontId="0" fillId="0" borderId="52" xfId="0" applyNumberFormat="1" applyBorder="1" applyAlignment="1">
      <alignment horizontal="left"/>
    </xf>
    <xf numFmtId="3" fontId="0" fillId="0" borderId="19" xfId="0" applyNumberFormat="1" applyBorder="1" applyAlignment="1">
      <alignment horizontal="right" indent="2"/>
    </xf>
    <xf numFmtId="0" fontId="2" fillId="0" borderId="11" xfId="0" applyFont="1" applyBorder="1" applyAlignment="1">
      <alignment horizontal="right"/>
    </xf>
    <xf numFmtId="3" fontId="0" fillId="4" borderId="10" xfId="0" applyNumberFormat="1" applyFill="1" applyBorder="1" applyAlignment="1">
      <alignment horizontal="right" indent="2"/>
    </xf>
    <xf numFmtId="3" fontId="0" fillId="4" borderId="50" xfId="0" applyNumberFormat="1" applyFill="1" applyBorder="1" applyAlignment="1">
      <alignment horizontal="right" indent="2"/>
    </xf>
    <xf numFmtId="3" fontId="14" fillId="0" borderId="24" xfId="0" applyNumberFormat="1" applyFont="1" applyBorder="1" applyAlignment="1">
      <alignment horizontal="right" indent="2"/>
    </xf>
    <xf numFmtId="3" fontId="14" fillId="0" borderId="19" xfId="0" applyNumberFormat="1" applyFont="1" applyBorder="1" applyAlignment="1">
      <alignment horizontal="right" indent="2"/>
    </xf>
    <xf numFmtId="165" fontId="15" fillId="0" borderId="11" xfId="2" applyNumberFormat="1" applyFont="1" applyFill="1" applyBorder="1" applyAlignment="1"/>
    <xf numFmtId="3" fontId="0" fillId="0" borderId="50" xfId="0" applyNumberFormat="1" applyBorder="1" applyAlignment="1">
      <alignment horizontal="right" indent="2"/>
    </xf>
    <xf numFmtId="0" fontId="11" fillId="0" borderId="53" xfId="0" applyFont="1" applyBorder="1" applyAlignment="1">
      <alignment horizontal="center" vertical="center" textRotation="90" wrapText="1"/>
    </xf>
    <xf numFmtId="0" fontId="0" fillId="0" borderId="38" xfId="0" applyBorder="1" applyAlignment="1">
      <alignment horizontal="right"/>
    </xf>
    <xf numFmtId="3" fontId="0" fillId="4" borderId="35" xfId="0" applyNumberFormat="1" applyFill="1" applyBorder="1" applyAlignment="1">
      <alignment horizontal="right" indent="2"/>
    </xf>
    <xf numFmtId="3" fontId="0" fillId="4" borderId="36" xfId="0" applyNumberFormat="1" applyFill="1" applyBorder="1" applyAlignment="1">
      <alignment horizontal="right" indent="2"/>
    </xf>
    <xf numFmtId="3" fontId="0" fillId="4" borderId="37" xfId="0" applyNumberFormat="1" applyFill="1" applyBorder="1" applyAlignment="1">
      <alignment horizontal="right" indent="2"/>
    </xf>
    <xf numFmtId="165" fontId="13" fillId="0" borderId="38" xfId="2" applyNumberFormat="1" applyFont="1" applyFill="1" applyBorder="1" applyAlignment="1"/>
    <xf numFmtId="3" fontId="0" fillId="0" borderId="54" xfId="0" applyNumberFormat="1" applyBorder="1" applyAlignment="1">
      <alignment horizontal="left"/>
    </xf>
    <xf numFmtId="3" fontId="0" fillId="4" borderId="41" xfId="0" applyNumberFormat="1" applyFill="1" applyBorder="1" applyAlignment="1">
      <alignment horizontal="right" indent="2"/>
    </xf>
    <xf numFmtId="3" fontId="0" fillId="0" borderId="55" xfId="0" applyNumberFormat="1" applyBorder="1" applyAlignment="1">
      <alignment horizontal="left"/>
    </xf>
    <xf numFmtId="3" fontId="0" fillId="0" borderId="56" xfId="0" applyNumberFormat="1" applyBorder="1" applyAlignment="1">
      <alignment horizontal="left"/>
    </xf>
    <xf numFmtId="3" fontId="0" fillId="0" borderId="40" xfId="0" applyNumberFormat="1" applyBorder="1" applyAlignment="1">
      <alignment horizontal="right" indent="2"/>
    </xf>
    <xf numFmtId="0" fontId="3" fillId="0" borderId="43" xfId="0" applyFont="1" applyBorder="1" applyAlignment="1">
      <alignment horizontal="left"/>
    </xf>
    <xf numFmtId="0" fontId="8" fillId="0" borderId="5" xfId="0" applyFont="1" applyBorder="1" applyAlignment="1">
      <alignment horizontal="center"/>
    </xf>
    <xf numFmtId="0" fontId="3" fillId="0" borderId="0" xfId="0" applyFont="1" applyAlignment="1">
      <alignment horizontal="left"/>
    </xf>
    <xf numFmtId="0" fontId="0" fillId="0" borderId="5" xfId="0" applyBorder="1" applyAlignment="1">
      <alignment horizontal="right" vertical="center" wrapText="1"/>
    </xf>
    <xf numFmtId="0" fontId="3" fillId="0" borderId="0" xfId="0" applyFont="1" applyAlignment="1">
      <alignment horizontal="right"/>
    </xf>
    <xf numFmtId="0" fontId="0" fillId="0" borderId="43" xfId="0" applyBorder="1" applyAlignment="1">
      <alignment horizontal="right" vertical="center" wrapText="1"/>
    </xf>
    <xf numFmtId="0" fontId="0" fillId="0" borderId="44" xfId="0" applyBorder="1" applyAlignment="1">
      <alignment horizontal="right" vertical="center" wrapText="1"/>
    </xf>
    <xf numFmtId="165" fontId="13" fillId="0" borderId="16" xfId="2" applyNumberFormat="1" applyFont="1" applyFill="1" applyBorder="1" applyAlignment="1">
      <alignment vertical="center" wrapText="1"/>
    </xf>
    <xf numFmtId="0" fontId="3" fillId="0" borderId="43" xfId="0" applyFont="1" applyBorder="1" applyAlignment="1">
      <alignment horizontal="center" vertical="center" wrapText="1"/>
    </xf>
    <xf numFmtId="3" fontId="0" fillId="0" borderId="16" xfId="0" applyNumberFormat="1" applyBorder="1" applyAlignment="1">
      <alignment horizontal="right" vertical="center" wrapText="1" indent="2"/>
    </xf>
    <xf numFmtId="3" fontId="0" fillId="0" borderId="43" xfId="0" applyNumberFormat="1" applyBorder="1" applyAlignment="1">
      <alignment horizontal="left" vertical="center"/>
    </xf>
    <xf numFmtId="3" fontId="0" fillId="0" borderId="44" xfId="0" applyNumberFormat="1" applyBorder="1" applyAlignment="1">
      <alignment horizontal="right" vertical="center" wrapText="1"/>
    </xf>
    <xf numFmtId="0" fontId="3" fillId="0" borderId="20" xfId="0" applyFont="1" applyBorder="1" applyAlignment="1">
      <alignment horizontal="center" vertical="center" wrapText="1"/>
    </xf>
    <xf numFmtId="3" fontId="0" fillId="0" borderId="44" xfId="0" applyNumberFormat="1" applyBorder="1" applyAlignment="1">
      <alignment horizontal="right" vertical="center" wrapText="1" indent="2"/>
    </xf>
    <xf numFmtId="0" fontId="0" fillId="0" borderId="45" xfId="0" applyBorder="1" applyAlignment="1">
      <alignment horizontal="left" vertical="center" wrapText="1"/>
    </xf>
    <xf numFmtId="0" fontId="0" fillId="0" borderId="12" xfId="0" applyBorder="1" applyAlignment="1">
      <alignment vertical="center" wrapText="1"/>
    </xf>
    <xf numFmtId="3" fontId="0" fillId="4" borderId="23" xfId="0" applyNumberFormat="1" applyFill="1" applyBorder="1" applyAlignment="1">
      <alignment horizontal="right" indent="2"/>
    </xf>
    <xf numFmtId="3" fontId="0" fillId="4" borderId="24" xfId="0" applyNumberFormat="1" applyFill="1" applyBorder="1" applyAlignment="1">
      <alignment horizontal="right" vertical="center" wrapText="1" indent="2"/>
    </xf>
    <xf numFmtId="3" fontId="0" fillId="0" borderId="11" xfId="0" applyNumberFormat="1" applyBorder="1" applyAlignment="1">
      <alignment horizontal="right" vertical="center" wrapText="1" indent="2"/>
    </xf>
    <xf numFmtId="3" fontId="0" fillId="4" borderId="26" xfId="0" applyNumberFormat="1" applyFill="1" applyBorder="1" applyAlignment="1">
      <alignment horizontal="right" vertical="center" wrapText="1" indent="2"/>
    </xf>
    <xf numFmtId="3" fontId="0" fillId="4" borderId="21" xfId="0" applyNumberFormat="1" applyFill="1" applyBorder="1" applyAlignment="1">
      <alignment horizontal="right" vertical="center" wrapText="1" indent="2"/>
    </xf>
    <xf numFmtId="3" fontId="0" fillId="4" borderId="8" xfId="0" applyNumberFormat="1" applyFill="1" applyBorder="1" applyAlignment="1">
      <alignment horizontal="right" vertical="center" wrapText="1" indent="2"/>
    </xf>
    <xf numFmtId="0" fontId="0" fillId="0" borderId="11" xfId="0" quotePrefix="1" applyBorder="1" applyAlignment="1">
      <alignment horizontal="right"/>
    </xf>
    <xf numFmtId="0" fontId="8" fillId="0" borderId="10" xfId="0" quotePrefix="1" applyFont="1" applyBorder="1" applyAlignment="1">
      <alignment horizontal="center"/>
    </xf>
    <xf numFmtId="3" fontId="0" fillId="4" borderId="29" xfId="0" applyNumberFormat="1" applyFill="1" applyBorder="1" applyAlignment="1">
      <alignment horizontal="right" indent="2"/>
    </xf>
    <xf numFmtId="3" fontId="0" fillId="4" borderId="27" xfId="0" applyNumberFormat="1" applyFill="1" applyBorder="1" applyAlignment="1">
      <alignment horizontal="right" indent="2"/>
    </xf>
    <xf numFmtId="3" fontId="0" fillId="4" borderId="9" xfId="0" applyNumberFormat="1" applyFill="1" applyBorder="1" applyAlignment="1">
      <alignment horizontal="right" indent="2"/>
    </xf>
    <xf numFmtId="3" fontId="0" fillId="4" borderId="27" xfId="0" applyNumberFormat="1" applyFill="1" applyBorder="1" applyAlignment="1">
      <alignment horizontal="right" vertical="center" wrapText="1" indent="2"/>
    </xf>
    <xf numFmtId="3" fontId="0" fillId="0" borderId="9" xfId="0" applyNumberFormat="1" applyBorder="1" applyAlignment="1">
      <alignment horizontal="right" indent="2"/>
    </xf>
    <xf numFmtId="3" fontId="0" fillId="0" borderId="10" xfId="0" applyNumberFormat="1" applyBorder="1" applyAlignment="1">
      <alignment horizontal="right" indent="2"/>
    </xf>
    <xf numFmtId="165" fontId="13" fillId="0" borderId="35" xfId="2" applyNumberFormat="1" applyFont="1" applyFill="1" applyBorder="1" applyAlignment="1">
      <alignment horizontal="right" indent="2"/>
    </xf>
    <xf numFmtId="0" fontId="15" fillId="0" borderId="0" xfId="0" applyFont="1" applyAlignment="1">
      <alignment horizontal="right"/>
    </xf>
    <xf numFmtId="165" fontId="13" fillId="0" borderId="33" xfId="2" applyNumberFormat="1" applyFont="1" applyFill="1" applyBorder="1" applyAlignment="1">
      <alignment horizontal="right" indent="2"/>
    </xf>
    <xf numFmtId="165" fontId="13" fillId="0" borderId="41" xfId="2" applyNumberFormat="1" applyFont="1" applyFill="1" applyBorder="1" applyAlignment="1">
      <alignment horizontal="right" indent="2"/>
    </xf>
    <xf numFmtId="165" fontId="13" fillId="0" borderId="38" xfId="2" applyNumberFormat="1" applyFont="1" applyFill="1" applyBorder="1" applyAlignment="1">
      <alignment horizontal="right" indent="2"/>
    </xf>
    <xf numFmtId="165" fontId="13" fillId="0" borderId="33" xfId="2" applyNumberFormat="1" applyFont="1" applyFill="1" applyBorder="1" applyAlignment="1">
      <alignment horizontal="center" vertical="center" wrapText="1"/>
    </xf>
    <xf numFmtId="165" fontId="13" fillId="0" borderId="38" xfId="2" applyNumberFormat="1" applyFont="1" applyFill="1" applyBorder="1" applyAlignment="1">
      <alignment horizontal="center" vertical="center" wrapText="1"/>
    </xf>
    <xf numFmtId="0" fontId="16" fillId="0" borderId="0" xfId="0" applyFont="1" applyAlignment="1">
      <alignment horizontal="right"/>
    </xf>
    <xf numFmtId="165" fontId="13" fillId="0" borderId="42" xfId="2" applyNumberFormat="1" applyFont="1" applyFill="1" applyBorder="1" applyAlignment="1">
      <alignment horizontal="right" indent="2"/>
    </xf>
    <xf numFmtId="165" fontId="13" fillId="0" borderId="42" xfId="2" applyNumberFormat="1" applyFont="1" applyFill="1" applyBorder="1" applyAlignment="1">
      <alignment horizontal="center" vertical="center" wrapText="1"/>
    </xf>
    <xf numFmtId="165" fontId="13" fillId="0" borderId="7" xfId="2" applyNumberFormat="1" applyFont="1" applyFill="1" applyBorder="1" applyAlignment="1">
      <alignment horizontal="right" indent="2"/>
    </xf>
    <xf numFmtId="165" fontId="13" fillId="0" borderId="41" xfId="2" applyNumberFormat="1" applyFont="1" applyFill="1" applyBorder="1" applyAlignment="1">
      <alignment horizontal="center" vertical="center" wrapText="1"/>
    </xf>
    <xf numFmtId="165" fontId="13" fillId="2" borderId="42" xfId="2" applyNumberFormat="1" applyFont="1" applyFill="1" applyBorder="1" applyAlignment="1">
      <alignment horizontal="right" indent="2"/>
    </xf>
    <xf numFmtId="165" fontId="13" fillId="2" borderId="33" xfId="2" applyNumberFormat="1" applyFont="1" applyFill="1" applyBorder="1" applyAlignment="1">
      <alignment horizontal="center" vertical="center" wrapText="1"/>
    </xf>
    <xf numFmtId="165" fontId="13" fillId="2" borderId="41" xfId="2" applyNumberFormat="1" applyFont="1" applyFill="1" applyBorder="1" applyAlignment="1">
      <alignment horizontal="center" vertical="center" wrapText="1"/>
    </xf>
    <xf numFmtId="0" fontId="5" fillId="0" borderId="5" xfId="0" applyFont="1" applyBorder="1" applyAlignment="1">
      <alignment horizontal="center"/>
    </xf>
    <xf numFmtId="3" fontId="0" fillId="4" borderId="5" xfId="0" applyNumberFormat="1" applyFill="1" applyBorder="1" applyAlignment="1">
      <alignment horizontal="right" indent="2"/>
    </xf>
    <xf numFmtId="3" fontId="0" fillId="4" borderId="20" xfId="0" applyNumberFormat="1" applyFill="1" applyBorder="1" applyAlignment="1">
      <alignment horizontal="right" indent="2"/>
    </xf>
    <xf numFmtId="3" fontId="0" fillId="4" borderId="57" xfId="0" applyNumberFormat="1" applyFill="1" applyBorder="1" applyAlignment="1">
      <alignment horizontal="right" indent="2"/>
    </xf>
    <xf numFmtId="165" fontId="13" fillId="0" borderId="16" xfId="2" applyNumberFormat="1" applyFont="1" applyFill="1" applyBorder="1" applyAlignment="1"/>
    <xf numFmtId="165" fontId="13" fillId="0" borderId="43" xfId="2" applyNumberFormat="1" applyFont="1" applyFill="1" applyBorder="1" applyAlignment="1">
      <alignment horizontal="right" indent="2"/>
    </xf>
    <xf numFmtId="165" fontId="13" fillId="0" borderId="44" xfId="2" applyNumberFormat="1" applyFont="1" applyFill="1" applyBorder="1" applyAlignment="1">
      <alignment horizontal="right" indent="2"/>
    </xf>
    <xf numFmtId="165" fontId="13" fillId="0" borderId="16" xfId="2" applyNumberFormat="1" applyFont="1" applyFill="1" applyBorder="1" applyAlignment="1">
      <alignment horizontal="right" indent="2"/>
    </xf>
    <xf numFmtId="165" fontId="13" fillId="0" borderId="43" xfId="2" applyNumberFormat="1" applyFont="1" applyFill="1" applyBorder="1" applyAlignment="1">
      <alignment horizontal="center" vertical="center" wrapText="1"/>
    </xf>
    <xf numFmtId="165" fontId="13" fillId="0" borderId="44" xfId="2" applyNumberFormat="1" applyFont="1" applyFill="1" applyBorder="1" applyAlignment="1">
      <alignment horizontal="center" vertical="center" wrapText="1"/>
    </xf>
    <xf numFmtId="165" fontId="13" fillId="0" borderId="5" xfId="2" applyNumberFormat="1" applyFont="1" applyFill="1" applyBorder="1" applyAlignment="1">
      <alignment horizontal="right" indent="2"/>
    </xf>
    <xf numFmtId="0" fontId="17" fillId="0" borderId="5" xfId="0" applyFont="1" applyBorder="1"/>
    <xf numFmtId="0" fontId="3" fillId="0" borderId="18" xfId="0" applyFont="1" applyBorder="1" applyAlignment="1">
      <alignment horizontal="left"/>
    </xf>
    <xf numFmtId="0" fontId="5" fillId="0" borderId="10" xfId="0" applyFont="1" applyBorder="1" applyAlignment="1">
      <alignment horizontal="center"/>
    </xf>
    <xf numFmtId="3" fontId="0" fillId="4" borderId="18" xfId="0" applyNumberFormat="1" applyFill="1" applyBorder="1" applyAlignment="1">
      <alignment horizontal="right" indent="2"/>
    </xf>
    <xf numFmtId="3" fontId="0" fillId="4" borderId="0" xfId="0" applyNumberFormat="1" applyFill="1" applyAlignment="1">
      <alignment horizontal="right" indent="2"/>
    </xf>
    <xf numFmtId="3" fontId="0" fillId="4" borderId="21" xfId="0" applyNumberFormat="1" applyFill="1" applyBorder="1" applyAlignment="1">
      <alignment horizontal="right" indent="2"/>
    </xf>
    <xf numFmtId="3" fontId="0" fillId="4" borderId="26" xfId="0" applyNumberFormat="1" applyFill="1" applyBorder="1" applyAlignment="1">
      <alignment horizontal="right" indent="2"/>
    </xf>
    <xf numFmtId="165" fontId="13" fillId="0" borderId="0" xfId="2" applyNumberFormat="1" applyFont="1" applyFill="1" applyBorder="1" applyAlignment="1">
      <alignment horizontal="right" indent="2"/>
    </xf>
    <xf numFmtId="165" fontId="13" fillId="0" borderId="11" xfId="2" applyNumberFormat="1" applyFont="1" applyFill="1" applyBorder="1" applyAlignment="1">
      <alignment horizontal="right" indent="2"/>
    </xf>
    <xf numFmtId="3" fontId="0" fillId="4" borderId="8" xfId="0" applyNumberFormat="1" applyFill="1" applyBorder="1" applyAlignment="1">
      <alignment horizontal="right" indent="2"/>
    </xf>
    <xf numFmtId="165" fontId="13" fillId="0" borderId="10" xfId="2" applyNumberFormat="1" applyFont="1" applyFill="1" applyBorder="1" applyAlignment="1">
      <alignment horizontal="right" indent="2"/>
    </xf>
    <xf numFmtId="0" fontId="17" fillId="0" borderId="10" xfId="0" applyFont="1" applyBorder="1"/>
    <xf numFmtId="0" fontId="3" fillId="0" borderId="53" xfId="0" applyFont="1" applyBorder="1" applyAlignment="1">
      <alignment horizontal="left"/>
    </xf>
    <xf numFmtId="0" fontId="2" fillId="0" borderId="38" xfId="0" applyFont="1" applyBorder="1" applyAlignment="1">
      <alignment horizontal="right"/>
    </xf>
    <xf numFmtId="0" fontId="5" fillId="0" borderId="7" xfId="0" applyFont="1" applyBorder="1" applyAlignment="1">
      <alignment horizontal="center"/>
    </xf>
    <xf numFmtId="3" fontId="0" fillId="4" borderId="7" xfId="0" applyNumberFormat="1" applyFill="1" applyBorder="1" applyAlignment="1">
      <alignment horizontal="right" indent="2"/>
    </xf>
    <xf numFmtId="3" fontId="0" fillId="4" borderId="53" xfId="0" applyNumberFormat="1" applyFill="1" applyBorder="1" applyAlignment="1">
      <alignment horizontal="right" indent="2"/>
    </xf>
    <xf numFmtId="3" fontId="0" fillId="4" borderId="42" xfId="0" applyNumberFormat="1" applyFill="1" applyBorder="1" applyAlignment="1">
      <alignment horizontal="right" indent="2"/>
    </xf>
    <xf numFmtId="3" fontId="0" fillId="0" borderId="38" xfId="0" applyNumberFormat="1" applyBorder="1" applyAlignment="1">
      <alignment horizontal="right" vertical="center" wrapText="1" indent="2"/>
    </xf>
    <xf numFmtId="3" fontId="0" fillId="4" borderId="33" xfId="0" applyNumberFormat="1" applyFill="1" applyBorder="1" applyAlignment="1">
      <alignment horizontal="right" indent="2"/>
    </xf>
    <xf numFmtId="3" fontId="0" fillId="4" borderId="39" xfId="0" applyNumberFormat="1" applyFill="1" applyBorder="1" applyAlignment="1">
      <alignment horizontal="right" indent="2"/>
    </xf>
    <xf numFmtId="3" fontId="0" fillId="0" borderId="42" xfId="0" applyNumberFormat="1" applyBorder="1" applyAlignment="1">
      <alignment horizontal="right" indent="2"/>
    </xf>
    <xf numFmtId="3" fontId="0" fillId="4" borderId="58" xfId="0" applyNumberFormat="1" applyFill="1" applyBorder="1" applyAlignment="1">
      <alignment horizontal="right" indent="2"/>
    </xf>
    <xf numFmtId="3" fontId="0" fillId="0" borderId="7" xfId="0" applyNumberFormat="1" applyBorder="1" applyAlignment="1">
      <alignment horizontal="right" indent="2"/>
    </xf>
    <xf numFmtId="0" fontId="17" fillId="0" borderId="7" xfId="0" applyFont="1" applyBorder="1"/>
    <xf numFmtId="0" fontId="18" fillId="0" borderId="0" xfId="0" applyFont="1"/>
    <xf numFmtId="165" fontId="9" fillId="0" borderId="0" xfId="0" applyNumberFormat="1" applyFont="1" applyAlignment="1">
      <alignment horizontal="right" indent="2"/>
    </xf>
    <xf numFmtId="0" fontId="12" fillId="4" borderId="4" xfId="0" applyFont="1" applyFill="1" applyBorder="1" applyAlignment="1">
      <alignment vertical="center" wrapText="1"/>
    </xf>
    <xf numFmtId="0" fontId="12" fillId="0" borderId="0" xfId="0" applyFont="1" applyAlignment="1">
      <alignment horizontal="right" vertical="center"/>
    </xf>
    <xf numFmtId="165" fontId="9" fillId="0" borderId="4" xfId="0" applyNumberFormat="1" applyFont="1" applyBorder="1" applyAlignment="1">
      <alignment vertical="center" wrapText="1"/>
    </xf>
    <xf numFmtId="165" fontId="4" fillId="0" borderId="4" xfId="3" applyNumberFormat="1" applyFill="1" applyBorder="1" applyAlignment="1">
      <alignment vertical="center" wrapText="1"/>
    </xf>
    <xf numFmtId="0" fontId="0" fillId="4" borderId="4" xfId="3" applyFont="1" applyFill="1" applyBorder="1" applyAlignment="1">
      <alignment horizontal="center" vertical="center" wrapText="1"/>
    </xf>
    <xf numFmtId="3" fontId="0" fillId="0" borderId="5" xfId="0" applyNumberFormat="1" applyBorder="1" applyAlignment="1">
      <alignment horizontal="right" indent="2"/>
    </xf>
    <xf numFmtId="165" fontId="9" fillId="0" borderId="16" xfId="0" applyNumberFormat="1" applyFont="1" applyBorder="1" applyAlignment="1">
      <alignment horizontal="right" indent="2"/>
    </xf>
    <xf numFmtId="0" fontId="0" fillId="0" borderId="11" xfId="0" applyBorder="1"/>
    <xf numFmtId="3" fontId="0" fillId="0" borderId="43" xfId="0" applyNumberFormat="1" applyBorder="1" applyAlignment="1">
      <alignment horizontal="left"/>
    </xf>
    <xf numFmtId="3" fontId="0" fillId="0" borderId="44" xfId="0" applyNumberFormat="1" applyBorder="1" applyAlignment="1">
      <alignment horizontal="left"/>
    </xf>
    <xf numFmtId="0" fontId="0" fillId="4" borderId="6" xfId="0" applyFill="1" applyBorder="1" applyAlignment="1">
      <alignment horizontal="right"/>
    </xf>
    <xf numFmtId="3" fontId="0" fillId="4" borderId="59" xfId="0" applyNumberFormat="1" applyFill="1" applyBorder="1" applyAlignment="1">
      <alignment horizontal="right" indent="2"/>
    </xf>
    <xf numFmtId="3" fontId="13" fillId="0" borderId="11" xfId="2" applyNumberFormat="1" applyFont="1" applyFill="1" applyBorder="1" applyAlignment="1"/>
    <xf numFmtId="3" fontId="0" fillId="0" borderId="0" xfId="0" applyNumberFormat="1" applyAlignment="1">
      <alignment horizontal="right"/>
    </xf>
    <xf numFmtId="3" fontId="0" fillId="0" borderId="60" xfId="0" applyNumberFormat="1" applyBorder="1" applyAlignment="1">
      <alignment horizontal="right" indent="2"/>
    </xf>
    <xf numFmtId="3" fontId="0" fillId="0" borderId="11" xfId="0" applyNumberFormat="1" applyBorder="1" applyAlignment="1">
      <alignment horizontal="left"/>
    </xf>
    <xf numFmtId="0" fontId="2" fillId="4" borderId="6" xfId="0" applyFont="1" applyFill="1" applyBorder="1" applyAlignment="1">
      <alignment horizontal="right"/>
    </xf>
    <xf numFmtId="3" fontId="2" fillId="0" borderId="60" xfId="0" applyNumberFormat="1" applyFont="1" applyBorder="1" applyAlignment="1">
      <alignment horizontal="right" indent="2"/>
    </xf>
    <xf numFmtId="0" fontId="0" fillId="4" borderId="8" xfId="0" applyFill="1" applyBorder="1" applyAlignment="1">
      <alignment horizontal="right"/>
    </xf>
    <xf numFmtId="0" fontId="0" fillId="4" borderId="9" xfId="0" applyFill="1" applyBorder="1" applyAlignment="1">
      <alignment horizontal="right"/>
    </xf>
    <xf numFmtId="3" fontId="0" fillId="4" borderId="30" xfId="0" applyNumberFormat="1" applyFill="1" applyBorder="1" applyAlignment="1">
      <alignment horizontal="right" indent="2"/>
    </xf>
    <xf numFmtId="3" fontId="0" fillId="4" borderId="31" xfId="0" applyNumberFormat="1" applyFill="1" applyBorder="1" applyAlignment="1">
      <alignment horizontal="right" indent="2"/>
    </xf>
    <xf numFmtId="3" fontId="0" fillId="4" borderId="32" xfId="0" applyNumberFormat="1" applyFill="1" applyBorder="1" applyAlignment="1">
      <alignment horizontal="right" indent="2"/>
    </xf>
    <xf numFmtId="3" fontId="0" fillId="0" borderId="18" xfId="0" applyNumberFormat="1" applyBorder="1" applyAlignment="1">
      <alignment horizontal="right" indent="2"/>
    </xf>
    <xf numFmtId="165" fontId="9" fillId="0" borderId="11" xfId="0" applyNumberFormat="1" applyFont="1" applyBorder="1" applyAlignment="1">
      <alignment horizontal="right" indent="2"/>
    </xf>
    <xf numFmtId="3" fontId="0" fillId="0" borderId="11" xfId="0" applyNumberFormat="1" applyBorder="1"/>
    <xf numFmtId="3" fontId="0" fillId="4" borderId="17" xfId="0" applyNumberFormat="1" applyFill="1" applyBorder="1" applyAlignment="1">
      <alignment horizontal="right" indent="2"/>
    </xf>
    <xf numFmtId="0" fontId="2" fillId="4" borderId="9" xfId="0" applyFont="1" applyFill="1" applyBorder="1" applyAlignment="1">
      <alignment horizontal="right"/>
    </xf>
    <xf numFmtId="0" fontId="0" fillId="4" borderId="41" xfId="0" applyFill="1" applyBorder="1" applyAlignment="1">
      <alignment horizontal="right"/>
    </xf>
    <xf numFmtId="0" fontId="2" fillId="4" borderId="41" xfId="0" applyFont="1" applyFill="1" applyBorder="1" applyAlignment="1">
      <alignment horizontal="right"/>
    </xf>
    <xf numFmtId="165" fontId="9" fillId="0" borderId="16" xfId="2" applyNumberFormat="1" applyFont="1" applyFill="1" applyBorder="1" applyAlignment="1">
      <alignment horizontal="right" indent="2"/>
    </xf>
    <xf numFmtId="3" fontId="0" fillId="0" borderId="0" xfId="0" applyNumberFormat="1" applyAlignment="1">
      <alignment horizontal="center"/>
    </xf>
    <xf numFmtId="3" fontId="0" fillId="0" borderId="0" xfId="0" applyNumberFormat="1"/>
    <xf numFmtId="3" fontId="0" fillId="2" borderId="59" xfId="0" applyNumberFormat="1" applyFill="1" applyBorder="1" applyAlignment="1">
      <alignment horizontal="right" indent="2"/>
    </xf>
    <xf numFmtId="3" fontId="0" fillId="2" borderId="47" xfId="0" applyNumberFormat="1" applyFill="1" applyBorder="1" applyAlignment="1">
      <alignment horizontal="right" indent="2"/>
    </xf>
    <xf numFmtId="0" fontId="0" fillId="0" borderId="10" xfId="0" applyBorder="1" applyAlignment="1">
      <alignment wrapText="1"/>
    </xf>
    <xf numFmtId="166" fontId="0" fillId="4" borderId="31" xfId="0" applyNumberFormat="1" applyFill="1" applyBorder="1" applyAlignment="1">
      <alignment horizontal="right" vertical="center" wrapText="1" indent="2"/>
    </xf>
    <xf numFmtId="3" fontId="2" fillId="0" borderId="0" xfId="0" applyNumberFormat="1" applyFont="1" applyAlignment="1">
      <alignment horizontal="right" indent="2"/>
    </xf>
    <xf numFmtId="166" fontId="0" fillId="4" borderId="50" xfId="0" applyNumberFormat="1" applyFill="1" applyBorder="1" applyAlignment="1">
      <alignment horizontal="right" vertical="center" wrapText="1" indent="2"/>
    </xf>
    <xf numFmtId="166" fontId="2" fillId="4" borderId="50" xfId="0" applyNumberFormat="1" applyFont="1" applyFill="1" applyBorder="1" applyAlignment="1">
      <alignment horizontal="right" vertical="center" wrapText="1" indent="2"/>
    </xf>
    <xf numFmtId="3" fontId="2" fillId="4" borderId="47" xfId="0" applyNumberFormat="1" applyFont="1" applyFill="1" applyBorder="1" applyAlignment="1">
      <alignment horizontal="right" indent="2"/>
    </xf>
    <xf numFmtId="3" fontId="2" fillId="4" borderId="59" xfId="0" applyNumberFormat="1" applyFont="1" applyFill="1" applyBorder="1" applyAlignment="1">
      <alignment horizontal="right" indent="2"/>
    </xf>
    <xf numFmtId="166" fontId="0" fillId="4" borderId="61" xfId="0" applyNumberFormat="1" applyFill="1" applyBorder="1" applyAlignment="1">
      <alignment horizontal="right" vertical="center" wrapText="1" indent="2"/>
    </xf>
    <xf numFmtId="3" fontId="0" fillId="0" borderId="42" xfId="0" applyNumberFormat="1" applyBorder="1" applyAlignment="1">
      <alignment horizontal="center"/>
    </xf>
    <xf numFmtId="0" fontId="3" fillId="0" borderId="44" xfId="0" applyFont="1" applyBorder="1" applyAlignment="1">
      <alignment horizontal="right"/>
    </xf>
    <xf numFmtId="165" fontId="9" fillId="0" borderId="11" xfId="2" applyNumberFormat="1" applyFont="1" applyFill="1" applyBorder="1" applyAlignment="1">
      <alignment horizontal="right" indent="2"/>
    </xf>
    <xf numFmtId="3" fontId="0" fillId="0" borderId="16" xfId="0" applyNumberFormat="1" applyBorder="1"/>
    <xf numFmtId="3" fontId="14" fillId="0" borderId="59" xfId="0" applyNumberFormat="1" applyFont="1" applyBorder="1" applyAlignment="1">
      <alignment horizontal="right" indent="2"/>
    </xf>
    <xf numFmtId="3" fontId="14" fillId="0" borderId="26" xfId="0" applyNumberFormat="1" applyFont="1" applyBorder="1" applyAlignment="1">
      <alignment horizontal="right" indent="2"/>
    </xf>
    <xf numFmtId="0" fontId="3" fillId="0" borderId="44" xfId="0" applyFont="1" applyBorder="1" applyAlignment="1">
      <alignment horizontal="left"/>
    </xf>
    <xf numFmtId="0" fontId="0" fillId="0" borderId="8" xfId="0" applyBorder="1" applyAlignment="1">
      <alignment horizontal="right"/>
    </xf>
    <xf numFmtId="3" fontId="0" fillId="4" borderId="22" xfId="0" applyNumberFormat="1" applyFill="1" applyBorder="1" applyAlignment="1">
      <alignment horizontal="right" indent="2"/>
    </xf>
    <xf numFmtId="0" fontId="0" fillId="0" borderId="9" xfId="0" applyBorder="1" applyAlignment="1">
      <alignment horizontal="right"/>
    </xf>
    <xf numFmtId="0" fontId="2" fillId="0" borderId="9" xfId="0" applyFont="1" applyBorder="1" applyAlignment="1">
      <alignment horizontal="right"/>
    </xf>
    <xf numFmtId="3" fontId="0" fillId="4" borderId="28" xfId="0" applyNumberFormat="1" applyFill="1" applyBorder="1" applyAlignment="1">
      <alignment horizontal="right" indent="2"/>
    </xf>
    <xf numFmtId="0" fontId="0" fillId="0" borderId="41" xfId="0" applyBorder="1" applyAlignment="1">
      <alignment horizontal="right"/>
    </xf>
    <xf numFmtId="165" fontId="19" fillId="4" borderId="35" xfId="2" applyNumberFormat="1" applyFont="1" applyFill="1" applyBorder="1" applyAlignment="1">
      <alignment horizontal="right" indent="2"/>
    </xf>
    <xf numFmtId="0" fontId="19" fillId="0" borderId="0" xfId="0" applyFont="1" applyAlignment="1">
      <alignment horizontal="right"/>
    </xf>
    <xf numFmtId="165" fontId="19" fillId="4" borderId="36" xfId="2" applyNumberFormat="1" applyFont="1" applyFill="1" applyBorder="1" applyAlignment="1">
      <alignment horizontal="right" indent="2"/>
    </xf>
    <xf numFmtId="165" fontId="19" fillId="4" borderId="37" xfId="2" applyNumberFormat="1" applyFont="1" applyFill="1" applyBorder="1" applyAlignment="1">
      <alignment horizontal="right" indent="2"/>
    </xf>
    <xf numFmtId="165" fontId="19" fillId="0" borderId="38" xfId="2" applyNumberFormat="1" applyFont="1" applyBorder="1" applyAlignment="1">
      <alignment horizontal="right" vertical="center" wrapText="1" indent="2"/>
    </xf>
    <xf numFmtId="165" fontId="20" fillId="4" borderId="36" xfId="2" applyNumberFormat="1" applyFont="1" applyFill="1" applyBorder="1" applyAlignment="1">
      <alignment horizontal="right" indent="2"/>
    </xf>
    <xf numFmtId="165" fontId="20" fillId="0" borderId="42" xfId="2" applyNumberFormat="1" applyFont="1" applyFill="1" applyBorder="1" applyAlignment="1">
      <alignment horizontal="right" indent="2"/>
    </xf>
    <xf numFmtId="165" fontId="20" fillId="4" borderId="34" xfId="2" applyNumberFormat="1" applyFont="1" applyFill="1" applyBorder="1" applyAlignment="1">
      <alignment horizontal="right" indent="2"/>
    </xf>
    <xf numFmtId="165" fontId="20" fillId="0" borderId="7" xfId="2" applyNumberFormat="1" applyFont="1" applyFill="1" applyBorder="1" applyAlignment="1">
      <alignment horizontal="right" indent="2"/>
    </xf>
    <xf numFmtId="0" fontId="3" fillId="6" borderId="43" xfId="0" applyFont="1" applyFill="1" applyBorder="1" applyAlignment="1">
      <alignment horizontal="left"/>
    </xf>
    <xf numFmtId="0" fontId="3" fillId="6" borderId="16" xfId="0" applyFont="1" applyFill="1" applyBorder="1" applyAlignment="1">
      <alignment horizontal="left"/>
    </xf>
    <xf numFmtId="3" fontId="0" fillId="6" borderId="14" xfId="0" applyNumberFormat="1" applyFill="1" applyBorder="1" applyAlignment="1">
      <alignment horizontal="right" indent="2"/>
    </xf>
    <xf numFmtId="0" fontId="3" fillId="0" borderId="6" xfId="0" applyFont="1" applyBorder="1" applyAlignment="1">
      <alignment horizontal="right"/>
    </xf>
    <xf numFmtId="3" fontId="0" fillId="6" borderId="12" xfId="0" applyNumberFormat="1" applyFill="1" applyBorder="1" applyAlignment="1">
      <alignment horizontal="right" indent="2"/>
    </xf>
    <xf numFmtId="3" fontId="0" fillId="6" borderId="15" xfId="0" applyNumberFormat="1" applyFill="1" applyBorder="1" applyAlignment="1">
      <alignment horizontal="right" indent="2"/>
    </xf>
    <xf numFmtId="165" fontId="9" fillId="0" borderId="13" xfId="0" applyNumberFormat="1" applyFont="1" applyBorder="1" applyAlignment="1">
      <alignment horizontal="right" indent="2"/>
    </xf>
    <xf numFmtId="3" fontId="0" fillId="6" borderId="13" xfId="0" applyNumberFormat="1" applyFill="1" applyBorder="1" applyAlignment="1">
      <alignment horizontal="right" indent="2"/>
    </xf>
    <xf numFmtId="0" fontId="0" fillId="6" borderId="17" xfId="0" applyFill="1" applyBorder="1" applyAlignment="1">
      <alignment horizontal="right"/>
    </xf>
    <xf numFmtId="0" fontId="0" fillId="6" borderId="62" xfId="0" applyFill="1" applyBorder="1" applyAlignment="1">
      <alignment horizontal="right"/>
    </xf>
    <xf numFmtId="165" fontId="13" fillId="0" borderId="22" xfId="2" applyNumberFormat="1" applyFont="1" applyFill="1" applyBorder="1" applyAlignment="1"/>
    <xf numFmtId="166" fontId="0" fillId="6" borderId="24" xfId="0" applyNumberFormat="1" applyFill="1" applyBorder="1" applyAlignment="1">
      <alignment horizontal="right" indent="2"/>
    </xf>
    <xf numFmtId="166" fontId="0" fillId="6" borderId="8" xfId="0" applyNumberFormat="1" applyFill="1" applyBorder="1" applyAlignment="1">
      <alignment horizontal="right" indent="2"/>
    </xf>
    <xf numFmtId="165" fontId="21" fillId="0" borderId="22" xfId="2" applyNumberFormat="1" applyFont="1" applyFill="1" applyBorder="1" applyAlignment="1"/>
    <xf numFmtId="3" fontId="0" fillId="6" borderId="63" xfId="0" applyNumberFormat="1" applyFill="1" applyBorder="1" applyAlignment="1">
      <alignment horizontal="right" indent="2"/>
    </xf>
    <xf numFmtId="0" fontId="0" fillId="6" borderId="21" xfId="0" applyFill="1" applyBorder="1" applyAlignment="1">
      <alignment horizontal="right"/>
    </xf>
    <xf numFmtId="3" fontId="22" fillId="6" borderId="8" xfId="0" applyNumberFormat="1" applyFont="1" applyFill="1" applyBorder="1" applyAlignment="1">
      <alignment horizontal="right" indent="2"/>
    </xf>
    <xf numFmtId="3" fontId="23" fillId="6" borderId="24" xfId="0" applyNumberFormat="1" applyFont="1" applyFill="1" applyBorder="1" applyAlignment="1">
      <alignment horizontal="right" indent="2"/>
    </xf>
    <xf numFmtId="0" fontId="0" fillId="6" borderId="27" xfId="0" applyFill="1" applyBorder="1" applyAlignment="1">
      <alignment horizontal="right"/>
    </xf>
    <xf numFmtId="0" fontId="0" fillId="6" borderId="33" xfId="0" applyFill="1" applyBorder="1" applyAlignment="1">
      <alignment horizontal="right"/>
    </xf>
    <xf numFmtId="165" fontId="13" fillId="0" borderId="34" xfId="2" applyNumberFormat="1" applyFont="1" applyFill="1" applyBorder="1" applyAlignment="1"/>
    <xf numFmtId="3" fontId="0" fillId="6" borderId="41" xfId="0" applyNumberFormat="1" applyFill="1" applyBorder="1" applyAlignment="1">
      <alignment horizontal="right" indent="2"/>
    </xf>
    <xf numFmtId="3" fontId="0" fillId="6" borderId="64" xfId="0" applyNumberFormat="1" applyFill="1" applyBorder="1" applyAlignment="1">
      <alignment horizontal="right" indent="2"/>
    </xf>
    <xf numFmtId="0" fontId="24" fillId="0" borderId="0" xfId="0" applyFont="1" applyAlignment="1">
      <alignment horizontal="center" vertical="center" textRotation="90" wrapText="1"/>
    </xf>
    <xf numFmtId="165" fontId="13" fillId="0" borderId="0" xfId="2" applyNumberFormat="1" applyFont="1" applyFill="1" applyBorder="1" applyAlignment="1"/>
    <xf numFmtId="3" fontId="0" fillId="0" borderId="0" xfId="0" applyNumberFormat="1" applyAlignment="1">
      <alignment horizontal="right" vertical="center" wrapText="1" indent="2"/>
    </xf>
    <xf numFmtId="3" fontId="0" fillId="0" borderId="0" xfId="0" applyNumberFormat="1" applyAlignment="1">
      <alignment horizontal="left" indent="2"/>
    </xf>
    <xf numFmtId="3" fontId="0" fillId="7" borderId="12" xfId="0" applyNumberFormat="1" applyFill="1" applyBorder="1" applyAlignment="1">
      <alignment horizontal="center"/>
    </xf>
    <xf numFmtId="3" fontId="0" fillId="7" borderId="13" xfId="0" applyNumberFormat="1" applyFill="1" applyBorder="1" applyAlignment="1">
      <alignment horizontal="right" indent="1"/>
    </xf>
    <xf numFmtId="3" fontId="0" fillId="7" borderId="14" xfId="0" applyNumberFormat="1" applyFill="1" applyBorder="1" applyAlignment="1">
      <alignment horizontal="right" indent="2"/>
    </xf>
    <xf numFmtId="3" fontId="0" fillId="7" borderId="12" xfId="0" applyNumberFormat="1" applyFill="1" applyBorder="1" applyAlignment="1">
      <alignment horizontal="right" indent="2"/>
    </xf>
    <xf numFmtId="3" fontId="0" fillId="7" borderId="13" xfId="0" applyNumberFormat="1" applyFill="1" applyBorder="1" applyAlignment="1">
      <alignment horizontal="right" indent="2"/>
    </xf>
    <xf numFmtId="165" fontId="13" fillId="0" borderId="5" xfId="2" applyNumberFormat="1" applyFont="1" applyFill="1" applyBorder="1" applyAlignment="1"/>
    <xf numFmtId="166" fontId="0" fillId="7" borderId="12" xfId="0" applyNumberFormat="1" applyFill="1" applyBorder="1" applyAlignment="1">
      <alignment horizontal="right" indent="2"/>
    </xf>
    <xf numFmtId="166" fontId="0" fillId="7" borderId="15" xfId="0" applyNumberFormat="1" applyFill="1" applyBorder="1" applyAlignment="1">
      <alignment horizontal="right" indent="2"/>
    </xf>
    <xf numFmtId="3" fontId="23" fillId="0" borderId="44" xfId="0" applyNumberFormat="1" applyFont="1" applyBorder="1" applyAlignment="1">
      <alignment horizontal="right" indent="2"/>
    </xf>
    <xf numFmtId="3" fontId="0" fillId="7" borderId="16" xfId="0" applyNumberFormat="1" applyFill="1" applyBorder="1"/>
    <xf numFmtId="3" fontId="0" fillId="0" borderId="5" xfId="0" applyNumberFormat="1" applyBorder="1" applyAlignment="1">
      <alignment horizontal="left"/>
    </xf>
    <xf numFmtId="3" fontId="23" fillId="7" borderId="24" xfId="0" applyNumberFormat="1" applyFont="1" applyFill="1" applyBorder="1" applyAlignment="1">
      <alignment horizontal="right" indent="2"/>
    </xf>
    <xf numFmtId="3" fontId="0" fillId="7" borderId="22" xfId="0" applyNumberFormat="1" applyFill="1" applyBorder="1" applyAlignment="1">
      <alignment horizontal="right" indent="1"/>
    </xf>
    <xf numFmtId="3" fontId="23" fillId="7" borderId="23" xfId="0" applyNumberFormat="1" applyFont="1" applyFill="1" applyBorder="1" applyAlignment="1">
      <alignment horizontal="right" indent="2"/>
    </xf>
    <xf numFmtId="3" fontId="23" fillId="7" borderId="22" xfId="0" applyNumberFormat="1" applyFont="1" applyFill="1" applyBorder="1" applyAlignment="1">
      <alignment horizontal="right" indent="2"/>
    </xf>
    <xf numFmtId="165" fontId="13" fillId="0" borderId="10" xfId="2" applyNumberFormat="1" applyFont="1" applyFill="1" applyBorder="1" applyAlignment="1"/>
    <xf numFmtId="3" fontId="0" fillId="7" borderId="24" xfId="0" applyNumberFormat="1" applyFill="1" applyBorder="1" applyAlignment="1">
      <alignment horizontal="right" indent="2"/>
    </xf>
    <xf numFmtId="3" fontId="0" fillId="7" borderId="8" xfId="0" applyNumberFormat="1" applyFill="1" applyBorder="1" applyAlignment="1">
      <alignment horizontal="right" indent="2"/>
    </xf>
    <xf numFmtId="3" fontId="23" fillId="0" borderId="0" xfId="0" applyNumberFormat="1" applyFont="1" applyAlignment="1">
      <alignment horizontal="right" indent="2"/>
    </xf>
    <xf numFmtId="3" fontId="0" fillId="7" borderId="11" xfId="0" applyNumberFormat="1" applyFill="1" applyBorder="1" applyAlignment="1">
      <alignment horizontal="right" vertical="center" wrapText="1" indent="2"/>
    </xf>
    <xf numFmtId="3" fontId="23" fillId="0" borderId="10" xfId="0" applyNumberFormat="1" applyFont="1" applyBorder="1" applyAlignment="1">
      <alignment horizontal="right" indent="2"/>
    </xf>
    <xf numFmtId="3" fontId="0" fillId="7" borderId="24" xfId="0" applyNumberFormat="1" applyFill="1" applyBorder="1" applyAlignment="1">
      <alignment horizontal="left"/>
    </xf>
    <xf numFmtId="3" fontId="0" fillId="7" borderId="23" xfId="0" applyNumberFormat="1" applyFill="1" applyBorder="1" applyAlignment="1">
      <alignment horizontal="right" indent="2"/>
    </xf>
    <xf numFmtId="3" fontId="0" fillId="7" borderId="22" xfId="0" applyNumberFormat="1" applyFill="1" applyBorder="1" applyAlignment="1">
      <alignment horizontal="right" indent="2"/>
    </xf>
    <xf numFmtId="3" fontId="2" fillId="7" borderId="8" xfId="0" applyNumberFormat="1" applyFont="1" applyFill="1" applyBorder="1" applyAlignment="1">
      <alignment horizontal="right" indent="2"/>
    </xf>
    <xf numFmtId="166" fontId="0" fillId="7" borderId="24" xfId="0" applyNumberFormat="1" applyFill="1" applyBorder="1" applyAlignment="1">
      <alignment horizontal="right" indent="2"/>
    </xf>
    <xf numFmtId="166" fontId="0" fillId="7" borderId="8" xfId="0" applyNumberFormat="1" applyFill="1" applyBorder="1" applyAlignment="1">
      <alignment horizontal="right" indent="2"/>
    </xf>
    <xf numFmtId="3" fontId="0" fillId="7" borderId="36" xfId="0" applyNumberFormat="1" applyFill="1" applyBorder="1" applyAlignment="1">
      <alignment horizontal="right" indent="2"/>
    </xf>
    <xf numFmtId="3" fontId="0" fillId="7" borderId="34" xfId="0" applyNumberFormat="1" applyFill="1" applyBorder="1" applyAlignment="1">
      <alignment horizontal="right" indent="2"/>
    </xf>
    <xf numFmtId="3" fontId="0" fillId="7" borderId="35" xfId="0" applyNumberFormat="1" applyFill="1" applyBorder="1" applyAlignment="1">
      <alignment horizontal="right" indent="2"/>
    </xf>
    <xf numFmtId="165" fontId="13" fillId="0" borderId="7" xfId="2" applyNumberFormat="1" applyFont="1" applyFill="1" applyBorder="1" applyAlignment="1"/>
    <xf numFmtId="166" fontId="0" fillId="7" borderId="36" xfId="0" applyNumberFormat="1" applyFill="1" applyBorder="1" applyAlignment="1">
      <alignment horizontal="right" indent="2"/>
    </xf>
    <xf numFmtId="166" fontId="0" fillId="7" borderId="41" xfId="0" applyNumberFormat="1" applyFill="1" applyBorder="1" applyAlignment="1">
      <alignment horizontal="right" indent="2"/>
    </xf>
    <xf numFmtId="3" fontId="0" fillId="7" borderId="38" xfId="0" applyNumberFormat="1" applyFill="1" applyBorder="1" applyAlignment="1">
      <alignment horizontal="right" vertical="center" wrapText="1" indent="2"/>
    </xf>
    <xf numFmtId="0" fontId="0" fillId="0" borderId="44" xfId="0" applyBorder="1"/>
    <xf numFmtId="3" fontId="18" fillId="0" borderId="10" xfId="0" applyNumberFormat="1" applyFont="1" applyBorder="1" applyAlignment="1">
      <alignment horizontal="right" indent="2"/>
    </xf>
    <xf numFmtId="0" fontId="18" fillId="0" borderId="0" xfId="0" applyFont="1" applyAlignment="1">
      <alignment horizontal="right"/>
    </xf>
    <xf numFmtId="3" fontId="18" fillId="0" borderId="18" xfId="0" applyNumberFormat="1" applyFont="1" applyBorder="1" applyAlignment="1">
      <alignment horizontal="right" indent="2"/>
    </xf>
    <xf numFmtId="3" fontId="18" fillId="0" borderId="0" xfId="0" applyNumberFormat="1" applyFont="1" applyAlignment="1">
      <alignment horizontal="right" indent="2"/>
    </xf>
    <xf numFmtId="3" fontId="18" fillId="0" borderId="11" xfId="0" applyNumberFormat="1" applyFont="1" applyBorder="1" applyAlignment="1">
      <alignment horizontal="right" indent="2"/>
    </xf>
    <xf numFmtId="166" fontId="18" fillId="0" borderId="18" xfId="0" applyNumberFormat="1" applyFont="1" applyBorder="1" applyAlignment="1">
      <alignment horizontal="right" indent="2"/>
    </xf>
    <xf numFmtId="166" fontId="18" fillId="0" borderId="0" xfId="0" applyNumberFormat="1" applyFont="1" applyAlignment="1">
      <alignment horizontal="right" indent="2"/>
    </xf>
    <xf numFmtId="0" fontId="3" fillId="0" borderId="11" xfId="0" applyFont="1" applyBorder="1" applyAlignment="1">
      <alignment horizontal="right"/>
    </xf>
    <xf numFmtId="3" fontId="24" fillId="0" borderId="10" xfId="0" applyNumberFormat="1" applyFont="1" applyBorder="1" applyAlignment="1">
      <alignment horizontal="right" indent="2"/>
    </xf>
    <xf numFmtId="0" fontId="24" fillId="0" borderId="0" xfId="0" applyFont="1" applyAlignment="1">
      <alignment horizontal="right"/>
    </xf>
    <xf numFmtId="3" fontId="24" fillId="0" borderId="18" xfId="0" applyNumberFormat="1" applyFont="1" applyBorder="1" applyAlignment="1">
      <alignment horizontal="right" indent="2"/>
    </xf>
    <xf numFmtId="3" fontId="24" fillId="0" borderId="0" xfId="0" applyNumberFormat="1" applyFont="1" applyAlignment="1">
      <alignment horizontal="right" indent="2"/>
    </xf>
    <xf numFmtId="165" fontId="10" fillId="0" borderId="11" xfId="0" applyNumberFormat="1" applyFont="1" applyBorder="1" applyAlignment="1">
      <alignment horizontal="right" indent="2"/>
    </xf>
    <xf numFmtId="3" fontId="24" fillId="0" borderId="11" xfId="0" applyNumberFormat="1" applyFont="1" applyBorder="1" applyAlignment="1">
      <alignment horizontal="right" indent="2"/>
    </xf>
    <xf numFmtId="166" fontId="24" fillId="0" borderId="18" xfId="0" applyNumberFormat="1" applyFont="1" applyBorder="1" applyAlignment="1">
      <alignment horizontal="right" indent="2"/>
    </xf>
    <xf numFmtId="166" fontId="24" fillId="0" borderId="0" xfId="0" applyNumberFormat="1" applyFont="1" applyAlignment="1">
      <alignment horizontal="right" indent="2"/>
    </xf>
    <xf numFmtId="0" fontId="17" fillId="0" borderId="11" xfId="0" applyFont="1" applyBorder="1" applyAlignment="1">
      <alignment horizontal="right"/>
    </xf>
    <xf numFmtId="165" fontId="25" fillId="0" borderId="10" xfId="2" applyNumberFormat="1" applyFont="1" applyFill="1" applyBorder="1" applyAlignment="1">
      <alignment horizontal="right" indent="2"/>
    </xf>
    <xf numFmtId="165" fontId="25" fillId="0" borderId="0" xfId="2" applyNumberFormat="1" applyFont="1" applyFill="1" applyBorder="1" applyAlignment="1">
      <alignment horizontal="right"/>
    </xf>
    <xf numFmtId="165" fontId="25" fillId="0" borderId="18" xfId="2" applyNumberFormat="1" applyFont="1" applyFill="1" applyBorder="1" applyAlignment="1">
      <alignment horizontal="right" indent="2"/>
    </xf>
    <xf numFmtId="165" fontId="25" fillId="0" borderId="0" xfId="2" applyNumberFormat="1" applyFont="1" applyFill="1" applyBorder="1" applyAlignment="1">
      <alignment horizontal="right" indent="2"/>
    </xf>
    <xf numFmtId="165" fontId="25" fillId="0" borderId="11" xfId="2" applyNumberFormat="1" applyFont="1" applyFill="1" applyBorder="1" applyAlignment="1">
      <alignment horizontal="right" indent="2"/>
    </xf>
    <xf numFmtId="0" fontId="11" fillId="6" borderId="17" xfId="0" applyFont="1" applyFill="1" applyBorder="1" applyAlignment="1">
      <alignment horizontal="center" vertical="center" textRotation="90" wrapText="1"/>
    </xf>
    <xf numFmtId="0" fontId="0" fillId="6" borderId="6" xfId="0" applyFill="1" applyBorder="1"/>
    <xf numFmtId="3" fontId="0" fillId="6" borderId="62" xfId="2" applyNumberFormat="1" applyFont="1" applyFill="1" applyBorder="1" applyAlignment="1">
      <alignment horizontal="right"/>
    </xf>
    <xf numFmtId="0" fontId="0" fillId="0" borderId="6" xfId="0" applyBorder="1" applyAlignment="1">
      <alignment horizontal="right"/>
    </xf>
    <xf numFmtId="165" fontId="26" fillId="6" borderId="46" xfId="2" applyNumberFormat="1" applyFont="1" applyFill="1" applyBorder="1" applyAlignment="1">
      <alignment horizontal="right" indent="2"/>
    </xf>
    <xf numFmtId="165" fontId="26" fillId="0" borderId="6" xfId="2" applyNumberFormat="1" applyFont="1" applyFill="1" applyBorder="1" applyAlignment="1">
      <alignment horizontal="right"/>
    </xf>
    <xf numFmtId="165" fontId="26" fillId="6" borderId="47" xfId="2" applyNumberFormat="1" applyFont="1" applyFill="1" applyBorder="1" applyAlignment="1">
      <alignment horizontal="right" indent="2"/>
    </xf>
    <xf numFmtId="165" fontId="26" fillId="6" borderId="65" xfId="2" applyNumberFormat="1" applyFont="1" applyFill="1" applyBorder="1" applyAlignment="1">
      <alignment horizontal="right" indent="2"/>
    </xf>
    <xf numFmtId="165" fontId="26" fillId="0" borderId="11" xfId="2" applyNumberFormat="1" applyFont="1" applyFill="1" applyBorder="1" applyAlignment="1">
      <alignment horizontal="right" indent="2"/>
    </xf>
    <xf numFmtId="165" fontId="26" fillId="6" borderId="17" xfId="2" applyNumberFormat="1" applyFont="1" applyFill="1" applyBorder="1" applyAlignment="1">
      <alignment horizontal="right" indent="2"/>
    </xf>
    <xf numFmtId="3" fontId="15" fillId="6" borderId="47" xfId="2" applyNumberFormat="1" applyFont="1" applyFill="1" applyBorder="1" applyAlignment="1">
      <alignment horizontal="right" indent="2"/>
    </xf>
    <xf numFmtId="3" fontId="15" fillId="6" borderId="65" xfId="2" applyNumberFormat="1" applyFont="1" applyFill="1" applyBorder="1" applyAlignment="1">
      <alignment horizontal="right" indent="2"/>
    </xf>
    <xf numFmtId="3" fontId="15" fillId="0" borderId="0" xfId="2" applyNumberFormat="1" applyFont="1" applyFill="1" applyBorder="1" applyAlignment="1">
      <alignment horizontal="right" indent="2"/>
    </xf>
    <xf numFmtId="3" fontId="15" fillId="0" borderId="11" xfId="2" applyNumberFormat="1" applyFont="1" applyFill="1" applyBorder="1" applyAlignment="1">
      <alignment horizontal="right" indent="2"/>
    </xf>
    <xf numFmtId="3" fontId="15" fillId="0" borderId="6" xfId="2" applyNumberFormat="1" applyFont="1" applyFill="1" applyBorder="1" applyAlignment="1">
      <alignment horizontal="right"/>
    </xf>
    <xf numFmtId="3" fontId="15" fillId="6" borderId="17" xfId="2" applyNumberFormat="1" applyFont="1" applyFill="1" applyBorder="1" applyAlignment="1">
      <alignment horizontal="right" indent="2"/>
    </xf>
    <xf numFmtId="3" fontId="15" fillId="6" borderId="11" xfId="2" applyNumberFormat="1" applyFont="1" applyFill="1" applyBorder="1" applyAlignment="1">
      <alignment horizontal="right" indent="2"/>
    </xf>
    <xf numFmtId="3" fontId="15" fillId="6" borderId="62" xfId="2" applyNumberFormat="1" applyFont="1" applyFill="1" applyBorder="1" applyAlignment="1">
      <alignment horizontal="right" indent="2"/>
    </xf>
    <xf numFmtId="0" fontId="2" fillId="6" borderId="62" xfId="0" applyFont="1" applyFill="1" applyBorder="1" applyAlignment="1">
      <alignment horizontal="right"/>
    </xf>
    <xf numFmtId="0" fontId="0" fillId="6" borderId="8" xfId="0" applyFill="1" applyBorder="1"/>
    <xf numFmtId="165" fontId="0" fillId="6" borderId="62" xfId="2" applyNumberFormat="1" applyFont="1" applyFill="1" applyBorder="1" applyAlignment="1">
      <alignment horizontal="right"/>
    </xf>
    <xf numFmtId="0" fontId="0" fillId="0" borderId="8" xfId="0" applyBorder="1"/>
    <xf numFmtId="0" fontId="0" fillId="6" borderId="23" xfId="0" applyFill="1" applyBorder="1"/>
    <xf numFmtId="0" fontId="0" fillId="6" borderId="24" xfId="0" applyFill="1" applyBorder="1"/>
    <xf numFmtId="0" fontId="0" fillId="6" borderId="51" xfId="0" applyFill="1" applyBorder="1"/>
    <xf numFmtId="0" fontId="0" fillId="6" borderId="21" xfId="0" applyFill="1" applyBorder="1"/>
    <xf numFmtId="165" fontId="0" fillId="6" borderId="24" xfId="2" applyNumberFormat="1" applyFont="1" applyFill="1" applyBorder="1" applyAlignment="1">
      <alignment horizontal="right" indent="2"/>
    </xf>
    <xf numFmtId="165" fontId="0" fillId="6" borderId="51" xfId="2" applyNumberFormat="1" applyFont="1" applyFill="1" applyBorder="1" applyAlignment="1">
      <alignment horizontal="right" indent="2"/>
    </xf>
    <xf numFmtId="165" fontId="0" fillId="0" borderId="0" xfId="2" applyNumberFormat="1" applyFont="1" applyFill="1" applyBorder="1" applyAlignment="1">
      <alignment horizontal="right" indent="2"/>
    </xf>
    <xf numFmtId="165" fontId="0" fillId="0" borderId="11" xfId="2" applyNumberFormat="1" applyFont="1" applyFill="1" applyBorder="1" applyAlignment="1">
      <alignment horizontal="right" indent="2"/>
    </xf>
    <xf numFmtId="165" fontId="0" fillId="0" borderId="8" xfId="2" applyNumberFormat="1" applyFont="1" applyFill="1" applyBorder="1" applyAlignment="1">
      <alignment horizontal="right" indent="2"/>
    </xf>
    <xf numFmtId="165" fontId="0" fillId="6" borderId="21" xfId="2" applyNumberFormat="1" applyFont="1" applyFill="1" applyBorder="1" applyAlignment="1">
      <alignment horizontal="right" indent="2"/>
    </xf>
    <xf numFmtId="165" fontId="0" fillId="6" borderId="11" xfId="2" applyNumberFormat="1" applyFont="1" applyFill="1" applyBorder="1" applyAlignment="1">
      <alignment horizontal="right" indent="2"/>
    </xf>
    <xf numFmtId="165" fontId="0" fillId="6" borderId="22" xfId="2" applyNumberFormat="1" applyFont="1" applyFill="1" applyBorder="1" applyAlignment="1">
      <alignment horizontal="right" indent="2"/>
    </xf>
    <xf numFmtId="165" fontId="0" fillId="6" borderId="24" xfId="2" applyNumberFormat="1" applyFont="1" applyFill="1" applyBorder="1"/>
    <xf numFmtId="165" fontId="0" fillId="6" borderId="51" xfId="2" applyNumberFormat="1" applyFont="1" applyFill="1" applyBorder="1"/>
    <xf numFmtId="165" fontId="0" fillId="0" borderId="0" xfId="2" applyNumberFormat="1" applyFont="1" applyFill="1" applyBorder="1"/>
    <xf numFmtId="165" fontId="0" fillId="0" borderId="11" xfId="2" applyNumberFormat="1" applyFont="1" applyFill="1" applyBorder="1"/>
    <xf numFmtId="165" fontId="0" fillId="0" borderId="8" xfId="2" applyNumberFormat="1" applyFont="1" applyFill="1" applyBorder="1"/>
    <xf numFmtId="165" fontId="0" fillId="6" borderId="21" xfId="2" applyNumberFormat="1" applyFont="1" applyFill="1" applyBorder="1"/>
    <xf numFmtId="165" fontId="0" fillId="6" borderId="11" xfId="2" applyNumberFormat="1" applyFont="1" applyFill="1" applyBorder="1"/>
    <xf numFmtId="165" fontId="0" fillId="6" borderId="22" xfId="2" applyNumberFormat="1" applyFont="1" applyFill="1" applyBorder="1"/>
    <xf numFmtId="165" fontId="0" fillId="6" borderId="23" xfId="2" applyNumberFormat="1" applyFont="1" applyFill="1" applyBorder="1"/>
    <xf numFmtId="3" fontId="0" fillId="6" borderId="22" xfId="2" applyNumberFormat="1" applyFont="1" applyFill="1" applyBorder="1" applyAlignment="1">
      <alignment horizontal="right"/>
    </xf>
    <xf numFmtId="3" fontId="0" fillId="6" borderId="24" xfId="2" applyNumberFormat="1" applyFont="1" applyFill="1" applyBorder="1" applyAlignment="1">
      <alignment horizontal="right" indent="2"/>
    </xf>
    <xf numFmtId="3" fontId="0" fillId="6" borderId="51" xfId="2" applyNumberFormat="1" applyFont="1" applyFill="1" applyBorder="1" applyAlignment="1">
      <alignment horizontal="right" indent="2"/>
    </xf>
    <xf numFmtId="3" fontId="0" fillId="0" borderId="0" xfId="2" applyNumberFormat="1" applyFont="1" applyFill="1" applyBorder="1" applyAlignment="1">
      <alignment horizontal="right" indent="2"/>
    </xf>
    <xf numFmtId="3" fontId="0" fillId="0" borderId="11" xfId="2" applyNumberFormat="1" applyFont="1" applyFill="1" applyBorder="1" applyAlignment="1">
      <alignment horizontal="right" indent="2"/>
    </xf>
    <xf numFmtId="3" fontId="0" fillId="0" borderId="8" xfId="2" applyNumberFormat="1" applyFont="1" applyFill="1" applyBorder="1" applyAlignment="1">
      <alignment horizontal="right" indent="2"/>
    </xf>
    <xf numFmtId="3" fontId="0" fillId="6" borderId="21" xfId="2" applyNumberFormat="1" applyFont="1" applyFill="1" applyBorder="1" applyAlignment="1">
      <alignment horizontal="right" indent="2"/>
    </xf>
    <xf numFmtId="3" fontId="0" fillId="6" borderId="11" xfId="2" applyNumberFormat="1" applyFont="1" applyFill="1" applyBorder="1" applyAlignment="1">
      <alignment horizontal="right" indent="2"/>
    </xf>
    <xf numFmtId="3" fontId="0" fillId="6" borderId="22" xfId="2" applyNumberFormat="1" applyFont="1" applyFill="1" applyBorder="1" applyAlignment="1">
      <alignment horizontal="right" indent="2"/>
    </xf>
    <xf numFmtId="165" fontId="0" fillId="6" borderId="11" xfId="2" applyNumberFormat="1" applyFont="1" applyFill="1" applyBorder="1" applyAlignment="1">
      <alignment horizontal="right"/>
    </xf>
    <xf numFmtId="0" fontId="3" fillId="0" borderId="8" xfId="0" applyFont="1" applyBorder="1" applyAlignment="1">
      <alignment horizontal="right"/>
    </xf>
    <xf numFmtId="3" fontId="27" fillId="6" borderId="23" xfId="0" applyNumberFormat="1" applyFont="1" applyFill="1" applyBorder="1" applyAlignment="1">
      <alignment horizontal="right" indent="2"/>
    </xf>
    <xf numFmtId="0" fontId="27" fillId="0" borderId="8" xfId="0" applyFont="1" applyBorder="1" applyAlignment="1">
      <alignment horizontal="right"/>
    </xf>
    <xf numFmtId="3" fontId="27" fillId="6" borderId="24" xfId="0" applyNumberFormat="1" applyFont="1" applyFill="1" applyBorder="1" applyAlignment="1">
      <alignment horizontal="right" indent="2"/>
    </xf>
    <xf numFmtId="3" fontId="27" fillId="6" borderId="51" xfId="0" applyNumberFormat="1" applyFont="1" applyFill="1" applyBorder="1" applyAlignment="1">
      <alignment horizontal="right" indent="2"/>
    </xf>
    <xf numFmtId="165" fontId="27" fillId="0" borderId="11" xfId="0" applyNumberFormat="1" applyFont="1" applyBorder="1" applyAlignment="1">
      <alignment horizontal="right" indent="2"/>
    </xf>
    <xf numFmtId="3" fontId="27" fillId="6" borderId="21" xfId="0" applyNumberFormat="1" applyFont="1" applyFill="1" applyBorder="1" applyAlignment="1">
      <alignment horizontal="right" indent="2"/>
    </xf>
    <xf numFmtId="3" fontId="27" fillId="0" borderId="11" xfId="0" applyNumberFormat="1" applyFont="1" applyBorder="1" applyAlignment="1">
      <alignment horizontal="right" indent="2"/>
    </xf>
    <xf numFmtId="0" fontId="0" fillId="6" borderId="41" xfId="0" applyFill="1" applyBorder="1"/>
    <xf numFmtId="165" fontId="0" fillId="6" borderId="34" xfId="2" applyNumberFormat="1" applyFont="1" applyFill="1" applyBorder="1" applyAlignment="1">
      <alignment horizontal="right"/>
    </xf>
    <xf numFmtId="165" fontId="26" fillId="6" borderId="35" xfId="2" applyNumberFormat="1" applyFont="1" applyFill="1" applyBorder="1" applyAlignment="1">
      <alignment horizontal="right" indent="2"/>
    </xf>
    <xf numFmtId="0" fontId="27" fillId="0" borderId="9" xfId="0" applyFont="1" applyBorder="1" applyAlignment="1">
      <alignment horizontal="right"/>
    </xf>
    <xf numFmtId="165" fontId="26" fillId="6" borderId="36" xfId="2" applyNumberFormat="1" applyFont="1" applyFill="1" applyBorder="1" applyAlignment="1">
      <alignment horizontal="right" indent="2"/>
    </xf>
    <xf numFmtId="165" fontId="26" fillId="6" borderId="66" xfId="2" applyNumberFormat="1" applyFont="1" applyFill="1" applyBorder="1" applyAlignment="1">
      <alignment horizontal="right" indent="2"/>
    </xf>
    <xf numFmtId="165" fontId="27" fillId="0" borderId="38" xfId="2" applyNumberFormat="1" applyFont="1" applyFill="1" applyBorder="1" applyAlignment="1">
      <alignment horizontal="right" indent="2"/>
    </xf>
    <xf numFmtId="165" fontId="26" fillId="6" borderId="33" xfId="2" applyNumberFormat="1" applyFont="1" applyFill="1" applyBorder="1" applyAlignment="1">
      <alignment horizontal="right" indent="2"/>
    </xf>
    <xf numFmtId="165" fontId="26" fillId="0" borderId="38" xfId="2" applyNumberFormat="1" applyFont="1" applyFill="1" applyBorder="1" applyAlignment="1">
      <alignment horizontal="right" indent="2"/>
    </xf>
    <xf numFmtId="165" fontId="9" fillId="6" borderId="36" xfId="2" applyNumberFormat="1" applyFont="1" applyFill="1" applyBorder="1" applyAlignment="1">
      <alignment horizontal="right" indent="4"/>
    </xf>
    <xf numFmtId="165" fontId="9" fillId="6" borderId="66" xfId="2" applyNumberFormat="1" applyFont="1" applyFill="1" applyBorder="1" applyAlignment="1">
      <alignment horizontal="right" indent="4"/>
    </xf>
    <xf numFmtId="165" fontId="9" fillId="0" borderId="42" xfId="2" applyNumberFormat="1" applyFont="1" applyFill="1" applyBorder="1" applyAlignment="1">
      <alignment horizontal="right" indent="4"/>
    </xf>
    <xf numFmtId="165" fontId="9" fillId="0" borderId="38" xfId="2" applyNumberFormat="1" applyFont="1" applyFill="1" applyBorder="1" applyAlignment="1">
      <alignment horizontal="right" indent="4"/>
    </xf>
    <xf numFmtId="165" fontId="9" fillId="0" borderId="8" xfId="2" applyNumberFormat="1" applyFont="1" applyFill="1" applyBorder="1" applyAlignment="1">
      <alignment horizontal="right" indent="2"/>
    </xf>
    <xf numFmtId="165" fontId="9" fillId="6" borderId="33" xfId="2" applyNumberFormat="1" applyFont="1" applyFill="1" applyBorder="1" applyAlignment="1">
      <alignment horizontal="right" indent="4"/>
    </xf>
    <xf numFmtId="165" fontId="9" fillId="6" borderId="38" xfId="2" applyNumberFormat="1" applyFont="1" applyFill="1" applyBorder="1" applyAlignment="1">
      <alignment horizontal="right" indent="4"/>
    </xf>
    <xf numFmtId="165" fontId="9" fillId="6" borderId="34" xfId="2" applyNumberFormat="1" applyFont="1" applyFill="1" applyBorder="1" applyAlignment="1">
      <alignment horizontal="right" indent="4"/>
    </xf>
    <xf numFmtId="0" fontId="28" fillId="0" borderId="0" xfId="0" applyFont="1"/>
    <xf numFmtId="0" fontId="28" fillId="0" borderId="0" xfId="0" applyFont="1" applyAlignment="1">
      <alignment horizontal="right"/>
    </xf>
    <xf numFmtId="165" fontId="28" fillId="0" borderId="0" xfId="2" applyNumberFormat="1" applyFont="1" applyAlignment="1">
      <alignment horizontal="right"/>
    </xf>
    <xf numFmtId="0" fontId="28" fillId="0" borderId="0" xfId="0" applyFont="1" applyAlignment="1">
      <alignment horizontal="center"/>
    </xf>
    <xf numFmtId="0" fontId="28" fillId="0" borderId="8" xfId="0" applyFont="1" applyBorder="1" applyAlignment="1">
      <alignment horizontal="right"/>
    </xf>
    <xf numFmtId="0" fontId="28" fillId="0" borderId="44" xfId="0" applyFont="1" applyBorder="1" applyAlignment="1">
      <alignment horizontal="left" vertical="top" wrapText="1"/>
    </xf>
    <xf numFmtId="0" fontId="5" fillId="0" borderId="0" xfId="0" applyFont="1"/>
    <xf numFmtId="0" fontId="12" fillId="0" borderId="0" xfId="0" applyFont="1" applyAlignment="1">
      <alignment horizontal="right"/>
    </xf>
    <xf numFmtId="0" fontId="5" fillId="0" borderId="0" xfId="0" applyFont="1" applyAlignment="1">
      <alignment horizontal="right"/>
    </xf>
    <xf numFmtId="0" fontId="2" fillId="0" borderId="0" xfId="0" applyFont="1" applyAlignment="1">
      <alignment horizontal="right"/>
    </xf>
    <xf numFmtId="0" fontId="12" fillId="0" borderId="0" xfId="0" applyFont="1" applyAlignment="1">
      <alignment horizontal="center"/>
    </xf>
    <xf numFmtId="0" fontId="9" fillId="0" borderId="9" xfId="0" applyFont="1" applyBorder="1" applyAlignment="1">
      <alignment horizontal="right"/>
    </xf>
    <xf numFmtId="0" fontId="12" fillId="0" borderId="0" xfId="0" applyFont="1" applyAlignment="1">
      <alignment horizontal="left" vertical="top" wrapText="1"/>
    </xf>
    <xf numFmtId="0" fontId="12" fillId="0" borderId="0" xfId="0" applyFont="1"/>
    <xf numFmtId="0" fontId="12" fillId="0" borderId="0" xfId="0" applyFont="1" applyAlignment="1">
      <alignment horizontal="right" vertical="top" indent="1"/>
    </xf>
    <xf numFmtId="0" fontId="12" fillId="0" borderId="0" xfId="0" applyFont="1" applyAlignment="1">
      <alignment horizontal="left" vertical="top"/>
    </xf>
    <xf numFmtId="0" fontId="8" fillId="0" borderId="0" xfId="0" applyFont="1" applyAlignment="1">
      <alignment horizontal="center" vertical="top"/>
    </xf>
    <xf numFmtId="0" fontId="12" fillId="0" borderId="0" xfId="0" applyFont="1" applyAlignment="1">
      <alignment vertical="top"/>
    </xf>
    <xf numFmtId="165" fontId="9" fillId="0" borderId="0" xfId="0" applyNumberFormat="1" applyFont="1" applyAlignment="1">
      <alignment vertical="top"/>
    </xf>
    <xf numFmtId="0" fontId="12" fillId="0" borderId="0" xfId="0" applyFont="1" applyAlignment="1">
      <alignment horizontal="right" indent="1"/>
    </xf>
    <xf numFmtId="0" fontId="12" fillId="0" borderId="0" xfId="0" applyFont="1" applyAlignment="1">
      <alignment horizontal="left"/>
    </xf>
    <xf numFmtId="0" fontId="6" fillId="0" borderId="0" xfId="0" applyFont="1"/>
    <xf numFmtId="0" fontId="8" fillId="0" borderId="0" xfId="0" applyFont="1" applyAlignment="1">
      <alignment horizontal="center" vertical="center" wrapText="1"/>
    </xf>
    <xf numFmtId="0" fontId="12" fillId="0" borderId="5" xfId="0" applyFont="1" applyBorder="1" applyAlignment="1">
      <alignment horizontal="center" vertical="center" wrapText="1"/>
    </xf>
    <xf numFmtId="0" fontId="4" fillId="0" borderId="5" xfId="3" applyBorder="1" applyAlignment="1">
      <alignment horizontal="center" vertical="center" wrapText="1"/>
    </xf>
    <xf numFmtId="0" fontId="0" fillId="0" borderId="44" xfId="0" applyBorder="1" applyAlignment="1">
      <alignment vertical="center" wrapText="1"/>
    </xf>
    <xf numFmtId="0" fontId="0" fillId="6" borderId="44" xfId="0" applyFill="1" applyBorder="1" applyAlignment="1">
      <alignment vertical="center" wrapText="1"/>
    </xf>
    <xf numFmtId="165" fontId="13" fillId="0" borderId="11" xfId="2" applyNumberFormat="1" applyFont="1" applyBorder="1"/>
    <xf numFmtId="3" fontId="0" fillId="6" borderId="0" xfId="0" applyNumberFormat="1" applyFill="1" applyAlignment="1">
      <alignment horizontal="right" indent="2"/>
    </xf>
    <xf numFmtId="3" fontId="0" fillId="0" borderId="42" xfId="0" applyNumberFormat="1" applyBorder="1" applyAlignment="1">
      <alignment horizontal="left" indent="2"/>
    </xf>
    <xf numFmtId="3" fontId="0" fillId="6" borderId="42" xfId="0" applyNumberFormat="1" applyFill="1" applyBorder="1" applyAlignment="1">
      <alignment horizontal="right" indent="2"/>
    </xf>
    <xf numFmtId="3" fontId="0" fillId="9" borderId="38" xfId="0" applyNumberFormat="1" applyFill="1" applyBorder="1" applyAlignment="1">
      <alignment horizontal="right" indent="2"/>
    </xf>
    <xf numFmtId="3" fontId="0" fillId="0" borderId="44" xfId="0" applyNumberFormat="1" applyBorder="1" applyAlignment="1">
      <alignment horizontal="left" indent="2"/>
    </xf>
    <xf numFmtId="3" fontId="0" fillId="4" borderId="11" xfId="0" applyNumberFormat="1" applyFill="1" applyBorder="1" applyAlignment="1">
      <alignment horizontal="right" indent="2"/>
    </xf>
    <xf numFmtId="0" fontId="14" fillId="0" borderId="11" xfId="0" applyFont="1" applyBorder="1" applyAlignment="1">
      <alignment horizontal="right"/>
    </xf>
    <xf numFmtId="165" fontId="13" fillId="0" borderId="38" xfId="2" applyNumberFormat="1" applyFont="1" applyBorder="1"/>
    <xf numFmtId="3" fontId="0" fillId="4" borderId="38" xfId="0" applyNumberFormat="1" applyFill="1" applyBorder="1" applyAlignment="1">
      <alignment horizontal="right" indent="2"/>
    </xf>
    <xf numFmtId="165" fontId="13" fillId="0" borderId="16" xfId="2" applyNumberFormat="1" applyFont="1" applyBorder="1" applyAlignment="1">
      <alignment vertical="center" wrapText="1"/>
    </xf>
    <xf numFmtId="0" fontId="0" fillId="0" borderId="44" xfId="0" applyBorder="1" applyAlignment="1">
      <alignment horizontal="left" vertical="center" wrapText="1"/>
    </xf>
    <xf numFmtId="3" fontId="0" fillId="4" borderId="24" xfId="0" applyNumberFormat="1" applyFill="1" applyBorder="1" applyAlignment="1">
      <alignment horizontal="right" vertical="center" indent="2"/>
    </xf>
    <xf numFmtId="3" fontId="0" fillId="4" borderId="25" xfId="0" applyNumberFormat="1" applyFill="1" applyBorder="1" applyAlignment="1">
      <alignment horizontal="right" vertical="center" indent="2"/>
    </xf>
    <xf numFmtId="3" fontId="0" fillId="0" borderId="0" xfId="0" applyNumberFormat="1" applyAlignment="1">
      <alignment horizontal="right" vertical="center" indent="2"/>
    </xf>
    <xf numFmtId="165" fontId="13" fillId="0" borderId="35" xfId="2" applyNumberFormat="1" applyFont="1" applyBorder="1" applyAlignment="1">
      <alignment horizontal="right" indent="2"/>
    </xf>
    <xf numFmtId="165" fontId="13" fillId="0" borderId="33" xfId="2" applyNumberFormat="1" applyFont="1" applyBorder="1" applyAlignment="1">
      <alignment horizontal="right" indent="2"/>
    </xf>
    <xf numFmtId="165" fontId="13" fillId="0" borderId="41" xfId="2" applyNumberFormat="1" applyFont="1" applyBorder="1" applyAlignment="1">
      <alignment horizontal="right" indent="2"/>
    </xf>
    <xf numFmtId="165" fontId="13" fillId="0" borderId="38" xfId="2" applyNumberFormat="1" applyFont="1" applyBorder="1" applyAlignment="1">
      <alignment horizontal="right" indent="2"/>
    </xf>
    <xf numFmtId="165" fontId="13" fillId="0" borderId="33" xfId="2" applyNumberFormat="1" applyFont="1" applyBorder="1" applyAlignment="1">
      <alignment horizontal="center" vertical="center" wrapText="1"/>
    </xf>
    <xf numFmtId="165" fontId="13" fillId="0" borderId="38" xfId="2" applyNumberFormat="1" applyFont="1" applyBorder="1" applyAlignment="1">
      <alignment horizontal="center" vertical="center" wrapText="1"/>
    </xf>
    <xf numFmtId="165" fontId="13" fillId="0" borderId="42" xfId="2" applyNumberFormat="1" applyFont="1" applyBorder="1" applyAlignment="1">
      <alignment horizontal="right" indent="2"/>
    </xf>
    <xf numFmtId="165" fontId="13" fillId="0" borderId="42" xfId="2" applyNumberFormat="1" applyFont="1" applyBorder="1" applyAlignment="1">
      <alignment horizontal="center" vertical="center" wrapText="1"/>
    </xf>
    <xf numFmtId="0" fontId="17" fillId="0" borderId="1" xfId="0" applyFont="1" applyBorder="1" applyAlignment="1">
      <alignment horizontal="left"/>
    </xf>
    <xf numFmtId="0" fontId="0" fillId="0" borderId="3" xfId="0" applyBorder="1"/>
    <xf numFmtId="0" fontId="8" fillId="0" borderId="4" xfId="0" applyFont="1" applyBorder="1" applyAlignment="1">
      <alignment horizontal="center"/>
    </xf>
    <xf numFmtId="3" fontId="0" fillId="4" borderId="4" xfId="0" applyNumberFormat="1" applyFill="1" applyBorder="1" applyAlignment="1">
      <alignment horizontal="right" indent="2"/>
    </xf>
    <xf numFmtId="3" fontId="0" fillId="4" borderId="67" xfId="0" applyNumberFormat="1" applyFill="1" applyBorder="1" applyAlignment="1">
      <alignment horizontal="right" indent="2"/>
    </xf>
    <xf numFmtId="3" fontId="0" fillId="4" borderId="68" xfId="0" applyNumberFormat="1" applyFill="1" applyBorder="1" applyAlignment="1">
      <alignment horizontal="right" indent="2"/>
    </xf>
    <xf numFmtId="165" fontId="13" fillId="0" borderId="3" xfId="2" applyNumberFormat="1" applyFont="1" applyBorder="1"/>
    <xf numFmtId="3" fontId="0" fillId="0" borderId="3" xfId="0" applyNumberFormat="1" applyBorder="1" applyAlignment="1">
      <alignment horizontal="right" vertical="center" wrapText="1" indent="2"/>
    </xf>
    <xf numFmtId="3" fontId="0" fillId="0" borderId="68" xfId="0" applyNumberFormat="1" applyBorder="1" applyAlignment="1">
      <alignment horizontal="right" indent="2"/>
    </xf>
    <xf numFmtId="3" fontId="0" fillId="0" borderId="2" xfId="0" applyNumberFormat="1" applyBorder="1" applyAlignment="1">
      <alignment horizontal="right" indent="2"/>
    </xf>
    <xf numFmtId="0" fontId="17" fillId="0" borderId="4" xfId="0" applyFont="1" applyBorder="1"/>
    <xf numFmtId="0" fontId="12" fillId="0" borderId="11" xfId="0" applyFont="1" applyBorder="1" applyAlignment="1">
      <alignment horizontal="right" vertical="center"/>
    </xf>
    <xf numFmtId="0" fontId="12" fillId="0" borderId="4" xfId="0" applyFont="1" applyBorder="1"/>
    <xf numFmtId="0" fontId="4" fillId="0" borderId="4" xfId="3" applyBorder="1" applyAlignment="1">
      <alignment vertical="center" wrapText="1"/>
    </xf>
    <xf numFmtId="0" fontId="14" fillId="4" borderId="6" xfId="0" applyFont="1" applyFill="1" applyBorder="1" applyAlignment="1">
      <alignment horizontal="right"/>
    </xf>
    <xf numFmtId="0" fontId="0" fillId="0" borderId="0" xfId="0" applyAlignment="1">
      <alignment horizontal="left" indent="2"/>
    </xf>
    <xf numFmtId="167" fontId="0" fillId="0" borderId="0" xfId="0" applyNumberFormat="1"/>
    <xf numFmtId="165" fontId="9" fillId="0" borderId="16" xfId="2" applyNumberFormat="1" applyFont="1" applyBorder="1" applyAlignment="1">
      <alignment horizontal="right" indent="2"/>
    </xf>
    <xf numFmtId="3" fontId="0" fillId="0" borderId="43" xfId="0" applyNumberFormat="1" applyBorder="1" applyAlignment="1">
      <alignment horizontal="left" indent="2"/>
    </xf>
    <xf numFmtId="165" fontId="9" fillId="0" borderId="11" xfId="2" applyNumberFormat="1" applyFont="1" applyBorder="1" applyAlignment="1">
      <alignment horizontal="right" indent="2"/>
    </xf>
    <xf numFmtId="165" fontId="19" fillId="0" borderId="42" xfId="2" applyNumberFormat="1" applyFont="1" applyBorder="1" applyAlignment="1">
      <alignment horizontal="right" indent="2"/>
    </xf>
    <xf numFmtId="3" fontId="0" fillId="0" borderId="15" xfId="0" applyNumberFormat="1" applyBorder="1" applyAlignment="1">
      <alignment horizontal="right" indent="2"/>
    </xf>
    <xf numFmtId="3" fontId="23" fillId="6" borderId="23" xfId="0" applyNumberFormat="1" applyFont="1" applyFill="1" applyBorder="1" applyAlignment="1">
      <alignment horizontal="right" indent="2"/>
    </xf>
    <xf numFmtId="3" fontId="23" fillId="6" borderId="25" xfId="0" applyNumberFormat="1" applyFont="1" applyFill="1" applyBorder="1" applyAlignment="1">
      <alignment horizontal="right" indent="2"/>
    </xf>
    <xf numFmtId="165" fontId="13" fillId="0" borderId="22" xfId="2" applyNumberFormat="1" applyFont="1" applyBorder="1"/>
    <xf numFmtId="3" fontId="23" fillId="0" borderId="8" xfId="0" applyNumberFormat="1" applyFont="1" applyBorder="1" applyAlignment="1">
      <alignment horizontal="right" indent="2"/>
    </xf>
    <xf numFmtId="3" fontId="0" fillId="0" borderId="8" xfId="0" applyNumberFormat="1" applyBorder="1" applyAlignment="1">
      <alignment horizontal="right" indent="2"/>
    </xf>
    <xf numFmtId="0" fontId="0" fillId="6" borderId="28" xfId="0" applyFill="1" applyBorder="1" applyAlignment="1">
      <alignment horizontal="right"/>
    </xf>
    <xf numFmtId="165" fontId="13" fillId="0" borderId="34" xfId="2" applyNumberFormat="1" applyFont="1" applyBorder="1"/>
    <xf numFmtId="3" fontId="11" fillId="0" borderId="43" xfId="0" applyNumberFormat="1" applyFont="1" applyBorder="1" applyAlignment="1">
      <alignment horizontal="center" vertical="center" textRotation="90" wrapText="1"/>
    </xf>
    <xf numFmtId="3" fontId="0" fillId="5" borderId="12" xfId="0" applyNumberFormat="1" applyFill="1" applyBorder="1" applyAlignment="1">
      <alignment horizontal="right"/>
    </xf>
    <xf numFmtId="3" fontId="0" fillId="5" borderId="13" xfId="0" applyNumberFormat="1" applyFill="1" applyBorder="1" applyAlignment="1">
      <alignment horizontal="right"/>
    </xf>
    <xf numFmtId="3" fontId="8" fillId="0" borderId="16" xfId="0" applyNumberFormat="1" applyFont="1" applyBorder="1" applyAlignment="1">
      <alignment horizontal="center"/>
    </xf>
    <xf numFmtId="3" fontId="0" fillId="5" borderId="5" xfId="0" applyNumberFormat="1" applyFill="1" applyBorder="1" applyAlignment="1">
      <alignment horizontal="right" indent="2"/>
    </xf>
    <xf numFmtId="3" fontId="13" fillId="0" borderId="16" xfId="2" applyNumberFormat="1" applyFont="1" applyBorder="1"/>
    <xf numFmtId="3" fontId="0" fillId="5" borderId="43" xfId="0" applyNumberFormat="1" applyFill="1" applyBorder="1" applyAlignment="1">
      <alignment horizontal="right" indent="2"/>
    </xf>
    <xf numFmtId="3" fontId="0" fillId="5" borderId="69" xfId="0" applyNumberFormat="1" applyFill="1" applyBorder="1" applyAlignment="1">
      <alignment horizontal="right"/>
    </xf>
    <xf numFmtId="3" fontId="0" fillId="5" borderId="70" xfId="0" applyNumberFormat="1" applyFill="1" applyBorder="1" applyAlignment="1">
      <alignment horizontal="right"/>
    </xf>
    <xf numFmtId="3" fontId="0" fillId="5" borderId="71" xfId="0" applyNumberFormat="1" applyFill="1" applyBorder="1" applyAlignment="1">
      <alignment horizontal="right"/>
    </xf>
    <xf numFmtId="3" fontId="11" fillId="0" borderId="18" xfId="0" applyNumberFormat="1" applyFont="1" applyBorder="1" applyAlignment="1">
      <alignment horizontal="center" vertical="center" textRotation="90" wrapText="1"/>
    </xf>
    <xf numFmtId="3" fontId="0" fillId="5" borderId="21" xfId="0" applyNumberFormat="1" applyFill="1" applyBorder="1" applyAlignment="1">
      <alignment horizontal="right"/>
    </xf>
    <xf numFmtId="3" fontId="0" fillId="5" borderId="22" xfId="0" applyNumberFormat="1" applyFill="1" applyBorder="1" applyAlignment="1">
      <alignment horizontal="right"/>
    </xf>
    <xf numFmtId="3" fontId="8" fillId="0" borderId="11" xfId="0" applyNumberFormat="1" applyFont="1" applyBorder="1" applyAlignment="1">
      <alignment horizontal="center"/>
    </xf>
    <xf numFmtId="3" fontId="0" fillId="5" borderId="10" xfId="0" applyNumberFormat="1" applyFill="1" applyBorder="1" applyAlignment="1">
      <alignment horizontal="right" indent="2"/>
    </xf>
    <xf numFmtId="3" fontId="13" fillId="0" borderId="11" xfId="2" applyNumberFormat="1" applyFont="1" applyBorder="1"/>
    <xf numFmtId="3" fontId="0" fillId="5" borderId="18" xfId="0" applyNumberFormat="1" applyFill="1" applyBorder="1" applyAlignment="1">
      <alignment horizontal="right" indent="2"/>
    </xf>
    <xf numFmtId="3" fontId="0" fillId="5" borderId="24" xfId="0" applyNumberFormat="1" applyFill="1" applyBorder="1" applyAlignment="1">
      <alignment horizontal="right"/>
    </xf>
    <xf numFmtId="3" fontId="0" fillId="5" borderId="51" xfId="0" applyNumberFormat="1" applyFill="1" applyBorder="1" applyAlignment="1">
      <alignment horizontal="right"/>
    </xf>
    <xf numFmtId="3" fontId="0" fillId="5" borderId="63" xfId="0" applyNumberFormat="1" applyFill="1" applyBorder="1" applyAlignment="1">
      <alignment horizontal="right"/>
    </xf>
    <xf numFmtId="3" fontId="11" fillId="0" borderId="53" xfId="0" applyNumberFormat="1" applyFont="1" applyBorder="1" applyAlignment="1">
      <alignment horizontal="center" vertical="center" textRotation="90" wrapText="1"/>
    </xf>
    <xf numFmtId="3" fontId="0" fillId="5" borderId="33" xfId="0" applyNumberFormat="1" applyFill="1" applyBorder="1" applyAlignment="1">
      <alignment horizontal="right"/>
    </xf>
    <xf numFmtId="3" fontId="0" fillId="5" borderId="34" xfId="0" applyNumberFormat="1" applyFill="1" applyBorder="1" applyAlignment="1">
      <alignment horizontal="right"/>
    </xf>
    <xf numFmtId="3" fontId="8" fillId="0" borderId="38" xfId="0" applyNumberFormat="1" applyFont="1" applyBorder="1" applyAlignment="1">
      <alignment horizontal="center"/>
    </xf>
    <xf numFmtId="3" fontId="0" fillId="5" borderId="7" xfId="0" applyNumberFormat="1" applyFill="1" applyBorder="1" applyAlignment="1">
      <alignment horizontal="right" indent="2"/>
    </xf>
    <xf numFmtId="3" fontId="13" fillId="0" borderId="38" xfId="2" applyNumberFormat="1" applyFont="1" applyBorder="1"/>
    <xf numFmtId="3" fontId="0" fillId="5" borderId="53" xfId="0" applyNumberFormat="1" applyFill="1" applyBorder="1" applyAlignment="1">
      <alignment horizontal="right" indent="2"/>
    </xf>
    <xf numFmtId="3" fontId="0" fillId="5" borderId="36" xfId="0" applyNumberFormat="1" applyFill="1" applyBorder="1" applyAlignment="1">
      <alignment horizontal="right"/>
    </xf>
    <xf numFmtId="3" fontId="0" fillId="5" borderId="66" xfId="0" applyNumberFormat="1" applyFill="1" applyBorder="1" applyAlignment="1">
      <alignment horizontal="right"/>
    </xf>
    <xf numFmtId="3" fontId="0" fillId="5" borderId="64" xfId="0" applyNumberFormat="1" applyFill="1" applyBorder="1" applyAlignment="1">
      <alignment horizontal="right"/>
    </xf>
    <xf numFmtId="165" fontId="13" fillId="0" borderId="0" xfId="2" applyNumberFormat="1" applyFont="1"/>
    <xf numFmtId="165" fontId="25" fillId="0" borderId="10" xfId="2" applyNumberFormat="1" applyFont="1" applyBorder="1" applyAlignment="1">
      <alignment horizontal="right" indent="2"/>
    </xf>
    <xf numFmtId="165" fontId="25" fillId="0" borderId="0" xfId="2" applyNumberFormat="1" applyFont="1" applyAlignment="1">
      <alignment horizontal="right"/>
    </xf>
    <xf numFmtId="165" fontId="25" fillId="0" borderId="18" xfId="2" applyNumberFormat="1" applyFont="1" applyBorder="1" applyAlignment="1">
      <alignment horizontal="right" indent="2"/>
    </xf>
    <xf numFmtId="165" fontId="25" fillId="0" borderId="0" xfId="2" applyNumberFormat="1" applyFont="1" applyAlignment="1">
      <alignment horizontal="right" indent="2"/>
    </xf>
    <xf numFmtId="165" fontId="25" fillId="0" borderId="11" xfId="2" applyNumberFormat="1" applyFont="1" applyBorder="1" applyAlignment="1">
      <alignment horizontal="right" indent="2"/>
    </xf>
    <xf numFmtId="165" fontId="26" fillId="0" borderId="6" xfId="2" applyNumberFormat="1" applyFont="1" applyBorder="1" applyAlignment="1">
      <alignment horizontal="right"/>
    </xf>
    <xf numFmtId="165" fontId="26" fillId="0" borderId="11" xfId="2" applyNumberFormat="1" applyFont="1" applyBorder="1" applyAlignment="1">
      <alignment horizontal="right" indent="2"/>
    </xf>
    <xf numFmtId="3" fontId="26" fillId="6" borderId="47" xfId="2" applyNumberFormat="1" applyFont="1" applyFill="1" applyBorder="1" applyAlignment="1">
      <alignment horizontal="right" indent="2"/>
    </xf>
    <xf numFmtId="3" fontId="26" fillId="6" borderId="65" xfId="2" applyNumberFormat="1" applyFont="1" applyFill="1" applyBorder="1" applyAlignment="1">
      <alignment horizontal="right" indent="2"/>
    </xf>
    <xf numFmtId="3" fontId="26" fillId="0" borderId="0" xfId="2" applyNumberFormat="1" applyFont="1" applyAlignment="1">
      <alignment horizontal="right" indent="2"/>
    </xf>
    <xf numFmtId="3" fontId="26" fillId="0" borderId="11" xfId="2" applyNumberFormat="1" applyFont="1" applyBorder="1" applyAlignment="1">
      <alignment horizontal="right" indent="2"/>
    </xf>
    <xf numFmtId="3" fontId="26" fillId="0" borderId="6" xfId="2" applyNumberFormat="1" applyFont="1" applyBorder="1" applyAlignment="1">
      <alignment horizontal="right"/>
    </xf>
    <xf numFmtId="3" fontId="26" fillId="6" borderId="17" xfId="2" applyNumberFormat="1" applyFont="1" applyFill="1" applyBorder="1" applyAlignment="1">
      <alignment horizontal="right" indent="2"/>
    </xf>
    <xf numFmtId="3" fontId="0" fillId="6" borderId="24" xfId="0" applyNumberFormat="1" applyFill="1" applyBorder="1"/>
    <xf numFmtId="165" fontId="27" fillId="0" borderId="38" xfId="2" applyNumberFormat="1" applyFont="1" applyBorder="1" applyAlignment="1">
      <alignment horizontal="right" indent="2"/>
    </xf>
    <xf numFmtId="165" fontId="26" fillId="0" borderId="38" xfId="2" applyNumberFormat="1" applyFont="1" applyBorder="1" applyAlignment="1">
      <alignment horizontal="right" indent="2"/>
    </xf>
    <xf numFmtId="165" fontId="26" fillId="0" borderId="42" xfId="2" applyNumberFormat="1" applyFont="1" applyBorder="1" applyAlignment="1">
      <alignment horizontal="right" indent="2"/>
    </xf>
    <xf numFmtId="0" fontId="8" fillId="0" borderId="0" xfId="0" applyFont="1"/>
    <xf numFmtId="0" fontId="12" fillId="0" borderId="0" xfId="0" applyFont="1" applyAlignment="1">
      <alignment vertical="top" wrapText="1"/>
    </xf>
    <xf numFmtId="0" fontId="7" fillId="4" borderId="0" xfId="0" applyFont="1" applyFill="1" applyAlignment="1">
      <alignment horizontal="center" wrapText="1"/>
    </xf>
    <xf numFmtId="0" fontId="5" fillId="0" borderId="0" xfId="0" applyFont="1" applyAlignment="1">
      <alignment horizontal="center" vertical="center" wrapText="1"/>
    </xf>
    <xf numFmtId="0" fontId="5" fillId="0" borderId="4" xfId="0" applyFont="1" applyBorder="1" applyAlignment="1">
      <alignment horizontal="center" vertical="center"/>
    </xf>
    <xf numFmtId="0" fontId="4" fillId="0" borderId="5" xfId="3" applyFill="1" applyBorder="1" applyAlignment="1">
      <alignment horizontal="center" vertical="center" wrapText="1"/>
    </xf>
    <xf numFmtId="0" fontId="4" fillId="4" borderId="4" xfId="3" applyFill="1" applyBorder="1" applyAlignment="1">
      <alignment horizontal="center" vertical="center" wrapText="1"/>
    </xf>
    <xf numFmtId="0" fontId="29" fillId="0" borderId="3" xfId="3" applyFont="1" applyFill="1" applyBorder="1" applyAlignment="1">
      <alignment vertical="center" wrapText="1"/>
    </xf>
    <xf numFmtId="0" fontId="4" fillId="0" borderId="3" xfId="3" applyFill="1" applyBorder="1" applyAlignment="1">
      <alignment vertical="center" wrapText="1"/>
    </xf>
    <xf numFmtId="0" fontId="5" fillId="0" borderId="5" xfId="0" applyFont="1" applyBorder="1" applyAlignment="1">
      <alignment horizontal="center" vertical="center"/>
    </xf>
    <xf numFmtId="0" fontId="0" fillId="0" borderId="13" xfId="0" applyBorder="1" applyAlignment="1">
      <alignment vertical="center" wrapText="1"/>
    </xf>
    <xf numFmtId="0" fontId="2" fillId="6" borderId="22" xfId="0" applyFont="1" applyFill="1" applyBorder="1" applyAlignment="1">
      <alignment horizontal="right"/>
    </xf>
    <xf numFmtId="166" fontId="0" fillId="6" borderId="30" xfId="0" applyNumberFormat="1" applyFill="1" applyBorder="1" applyAlignment="1">
      <alignment horizontal="right" indent="2"/>
    </xf>
    <xf numFmtId="166" fontId="0" fillId="6" borderId="9" xfId="0" applyNumberFormat="1" applyFill="1" applyBorder="1" applyAlignment="1">
      <alignment horizontal="right" indent="2"/>
    </xf>
    <xf numFmtId="166" fontId="0" fillId="6" borderId="36" xfId="0" applyNumberFormat="1" applyFill="1" applyBorder="1" applyAlignment="1">
      <alignment horizontal="right" indent="2"/>
    </xf>
    <xf numFmtId="166" fontId="0" fillId="6" borderId="41" xfId="0" applyNumberFormat="1" applyFill="1" applyBorder="1" applyAlignment="1">
      <alignment horizontal="right" indent="2"/>
    </xf>
    <xf numFmtId="0" fontId="0" fillId="0" borderId="44" xfId="0" applyBorder="1" applyAlignment="1">
      <alignment horizontal="left" vertical="center"/>
    </xf>
    <xf numFmtId="166" fontId="0" fillId="4" borderId="47" xfId="0" applyNumberFormat="1" applyFill="1" applyBorder="1" applyAlignment="1">
      <alignment horizontal="right" indent="2"/>
    </xf>
    <xf numFmtId="166" fontId="0" fillId="4" borderId="25" xfId="0" applyNumberFormat="1" applyFill="1" applyBorder="1" applyAlignment="1">
      <alignment horizontal="right" indent="2"/>
    </xf>
    <xf numFmtId="166" fontId="0" fillId="4" borderId="24" xfId="0" applyNumberFormat="1" applyFill="1" applyBorder="1" applyAlignment="1">
      <alignment horizontal="right" indent="2"/>
    </xf>
    <xf numFmtId="166" fontId="0" fillId="4" borderId="63" xfId="0" applyNumberFormat="1" applyFill="1" applyBorder="1" applyAlignment="1">
      <alignment horizontal="right" indent="2"/>
    </xf>
    <xf numFmtId="166" fontId="0" fillId="4" borderId="51" xfId="0" applyNumberFormat="1" applyFill="1" applyBorder="1" applyAlignment="1">
      <alignment horizontal="right" indent="2"/>
    </xf>
    <xf numFmtId="166" fontId="0" fillId="4" borderId="49" xfId="0" applyNumberFormat="1" applyFill="1" applyBorder="1" applyAlignment="1">
      <alignment horizontal="right" indent="2"/>
    </xf>
    <xf numFmtId="166" fontId="0" fillId="4" borderId="50" xfId="0" applyNumberFormat="1" applyFill="1" applyBorder="1" applyAlignment="1">
      <alignment horizontal="right" indent="2"/>
    </xf>
    <xf numFmtId="166" fontId="0" fillId="4" borderId="72" xfId="0" applyNumberFormat="1" applyFill="1" applyBorder="1" applyAlignment="1">
      <alignment horizontal="right" indent="2"/>
    </xf>
    <xf numFmtId="166" fontId="0" fillId="4" borderId="52" xfId="0" applyNumberFormat="1" applyFill="1" applyBorder="1" applyAlignment="1">
      <alignment horizontal="right" indent="2"/>
    </xf>
    <xf numFmtId="166" fontId="0" fillId="4" borderId="36" xfId="0" applyNumberFormat="1" applyFill="1" applyBorder="1" applyAlignment="1">
      <alignment horizontal="right" indent="2"/>
    </xf>
    <xf numFmtId="166" fontId="0" fillId="4" borderId="37" xfId="0" applyNumberFormat="1" applyFill="1" applyBorder="1" applyAlignment="1">
      <alignment horizontal="right" indent="2"/>
    </xf>
    <xf numFmtId="166" fontId="0" fillId="4" borderId="34" xfId="0" applyNumberFormat="1" applyFill="1" applyBorder="1" applyAlignment="1">
      <alignment horizontal="right" indent="2"/>
    </xf>
    <xf numFmtId="166" fontId="0" fillId="4" borderId="41" xfId="0" applyNumberFormat="1" applyFill="1" applyBorder="1" applyAlignment="1">
      <alignment horizontal="right" indent="2"/>
    </xf>
    <xf numFmtId="166" fontId="0" fillId="0" borderId="43" xfId="0" applyNumberFormat="1" applyBorder="1" applyAlignment="1">
      <alignment horizontal="left" vertical="center"/>
    </xf>
    <xf numFmtId="166" fontId="0" fillId="4" borderId="24" xfId="0" applyNumberFormat="1" applyFill="1" applyBorder="1" applyAlignment="1">
      <alignment horizontal="right" vertical="center" wrapText="1" indent="2"/>
    </xf>
    <xf numFmtId="166" fontId="0" fillId="4" borderId="22" xfId="0" applyNumberFormat="1" applyFill="1" applyBorder="1" applyAlignment="1">
      <alignment horizontal="right" indent="2"/>
    </xf>
    <xf numFmtId="166" fontId="0" fillId="4" borderId="8" xfId="0" applyNumberFormat="1" applyFill="1" applyBorder="1" applyAlignment="1">
      <alignment horizontal="right" indent="2"/>
    </xf>
    <xf numFmtId="0" fontId="5" fillId="0" borderId="10" xfId="0" quotePrefix="1" applyFont="1" applyBorder="1" applyAlignment="1">
      <alignment horizontal="center"/>
    </xf>
    <xf numFmtId="3" fontId="0" fillId="4" borderId="11" xfId="0" applyNumberFormat="1" applyFill="1" applyBorder="1" applyAlignment="1">
      <alignment horizontal="right" vertical="center" wrapText="1" indent="2"/>
    </xf>
    <xf numFmtId="166" fontId="0" fillId="4" borderId="27" xfId="0" applyNumberFormat="1" applyFill="1" applyBorder="1" applyAlignment="1">
      <alignment horizontal="right" indent="2"/>
    </xf>
    <xf numFmtId="166" fontId="0" fillId="4" borderId="9" xfId="0" applyNumberFormat="1" applyFill="1" applyBorder="1" applyAlignment="1">
      <alignment horizontal="right" indent="2"/>
    </xf>
    <xf numFmtId="166" fontId="0" fillId="4" borderId="28" xfId="0" applyNumberFormat="1" applyFill="1" applyBorder="1" applyAlignment="1">
      <alignment horizontal="right" indent="2"/>
    </xf>
    <xf numFmtId="165" fontId="13" fillId="0" borderId="33" xfId="2" applyNumberFormat="1" applyFont="1" applyFill="1" applyBorder="1" applyAlignment="1">
      <alignment horizontal="right" vertical="center" wrapText="1" indent="2"/>
    </xf>
    <xf numFmtId="165" fontId="13" fillId="0" borderId="16" xfId="2" applyNumberFormat="1" applyFont="1" applyFill="1" applyBorder="1" applyAlignment="1">
      <alignment horizontal="center" vertical="center" wrapText="1"/>
    </xf>
    <xf numFmtId="0" fontId="3" fillId="0" borderId="4" xfId="0" applyFont="1" applyBorder="1"/>
    <xf numFmtId="165" fontId="9" fillId="0" borderId="0" xfId="2" applyNumberFormat="1" applyFont="1" applyFill="1" applyBorder="1" applyAlignment="1">
      <alignment horizontal="left"/>
    </xf>
    <xf numFmtId="166" fontId="0" fillId="0" borderId="11" xfId="0" applyNumberFormat="1" applyBorder="1" applyAlignment="1">
      <alignment horizontal="right" indent="2"/>
    </xf>
    <xf numFmtId="3" fontId="2" fillId="4" borderId="21" xfId="0" applyNumberFormat="1" applyFont="1" applyFill="1" applyBorder="1" applyAlignment="1">
      <alignment horizontal="right" indent="2"/>
    </xf>
    <xf numFmtId="3" fontId="2" fillId="4" borderId="26" xfId="0" applyNumberFormat="1" applyFont="1" applyFill="1" applyBorder="1" applyAlignment="1">
      <alignment horizontal="right" indent="2"/>
    </xf>
    <xf numFmtId="165" fontId="30" fillId="0" borderId="0" xfId="2" applyNumberFormat="1" applyFont="1" applyFill="1" applyBorder="1" applyAlignment="1">
      <alignment horizontal="right" indent="2"/>
    </xf>
    <xf numFmtId="166" fontId="0" fillId="4" borderId="62" xfId="0" applyNumberFormat="1" applyFill="1" applyBorder="1" applyAlignment="1">
      <alignment horizontal="right" indent="2"/>
    </xf>
    <xf numFmtId="166" fontId="0" fillId="4" borderId="6" xfId="0" applyNumberFormat="1" applyFill="1" applyBorder="1" applyAlignment="1">
      <alignment horizontal="right" indent="2"/>
    </xf>
    <xf numFmtId="0" fontId="3" fillId="0" borderId="0" xfId="0" applyFont="1"/>
    <xf numFmtId="166" fontId="0" fillId="4" borderId="58" xfId="0" applyNumberFormat="1" applyFill="1" applyBorder="1" applyAlignment="1">
      <alignment horizontal="right" indent="2"/>
    </xf>
    <xf numFmtId="3" fontId="0" fillId="0" borderId="42" xfId="0" applyNumberFormat="1" applyBorder="1"/>
    <xf numFmtId="166" fontId="0" fillId="0" borderId="38" xfId="0" applyNumberFormat="1" applyBorder="1" applyAlignment="1">
      <alignment horizontal="right" indent="2"/>
    </xf>
    <xf numFmtId="3" fontId="2" fillId="4" borderId="33" xfId="0" applyNumberFormat="1" applyFont="1" applyFill="1" applyBorder="1" applyAlignment="1">
      <alignment horizontal="right" indent="2"/>
    </xf>
    <xf numFmtId="3" fontId="2" fillId="4" borderId="39" xfId="0" applyNumberFormat="1" applyFont="1" applyFill="1" applyBorder="1" applyAlignment="1">
      <alignment horizontal="right" indent="2"/>
    </xf>
    <xf numFmtId="3" fontId="2" fillId="0" borderId="42" xfId="0" applyNumberFormat="1" applyFont="1" applyBorder="1" applyAlignment="1">
      <alignment horizontal="right" indent="2"/>
    </xf>
    <xf numFmtId="0" fontId="12" fillId="4" borderId="4" xfId="0" applyFont="1" applyFill="1" applyBorder="1"/>
    <xf numFmtId="0" fontId="12" fillId="0" borderId="1" xfId="0" applyFont="1" applyBorder="1" applyAlignment="1">
      <alignment horizontal="center" vertical="center" wrapText="1"/>
    </xf>
    <xf numFmtId="3" fontId="0" fillId="0" borderId="43" xfId="0" applyNumberFormat="1" applyBorder="1"/>
    <xf numFmtId="3" fontId="4" fillId="0" borderId="44" xfId="3" applyNumberFormat="1" applyBorder="1" applyAlignment="1">
      <alignment horizontal="left" indent="2"/>
    </xf>
    <xf numFmtId="166" fontId="0" fillId="4" borderId="48" xfId="0" applyNumberFormat="1" applyFill="1" applyBorder="1" applyAlignment="1">
      <alignment horizontal="right" indent="2"/>
    </xf>
    <xf numFmtId="3" fontId="0" fillId="4" borderId="73" xfId="0" applyNumberFormat="1" applyFill="1" applyBorder="1" applyAlignment="1">
      <alignment horizontal="right" indent="2"/>
    </xf>
    <xf numFmtId="3" fontId="0" fillId="4" borderId="74" xfId="0" applyNumberFormat="1" applyFill="1" applyBorder="1" applyAlignment="1">
      <alignment horizontal="right" indent="2"/>
    </xf>
    <xf numFmtId="0" fontId="2" fillId="4" borderId="8" xfId="0" applyFont="1" applyFill="1" applyBorder="1" applyAlignment="1">
      <alignment horizontal="right"/>
    </xf>
    <xf numFmtId="166" fontId="0" fillId="4" borderId="73" xfId="0" applyNumberFormat="1" applyFill="1" applyBorder="1" applyAlignment="1">
      <alignment horizontal="right" indent="2"/>
    </xf>
    <xf numFmtId="166" fontId="0" fillId="4" borderId="74" xfId="0" applyNumberFormat="1" applyFill="1" applyBorder="1" applyAlignment="1">
      <alignment horizontal="right" indent="2"/>
    </xf>
    <xf numFmtId="166" fontId="0" fillId="4" borderId="59" xfId="0" applyNumberFormat="1" applyFill="1" applyBorder="1" applyAlignment="1">
      <alignment horizontal="right" indent="2"/>
    </xf>
    <xf numFmtId="166" fontId="0" fillId="4" borderId="26" xfId="0" applyNumberFormat="1" applyFill="1" applyBorder="1" applyAlignment="1">
      <alignment horizontal="right" indent="2"/>
    </xf>
    <xf numFmtId="166" fontId="0" fillId="4" borderId="31" xfId="0" applyNumberFormat="1" applyFill="1" applyBorder="1" applyAlignment="1">
      <alignment horizontal="right" indent="2"/>
    </xf>
    <xf numFmtId="166" fontId="0" fillId="0" borderId="0" xfId="0" applyNumberFormat="1" applyAlignment="1">
      <alignment horizontal="right" indent="2"/>
    </xf>
    <xf numFmtId="3" fontId="0" fillId="4" borderId="75" xfId="0" applyNumberFormat="1" applyFill="1" applyBorder="1" applyAlignment="1">
      <alignment horizontal="right" indent="2"/>
    </xf>
    <xf numFmtId="3" fontId="0" fillId="4" borderId="65" xfId="0" applyNumberFormat="1" applyFill="1" applyBorder="1" applyAlignment="1">
      <alignment horizontal="right" indent="2"/>
    </xf>
    <xf numFmtId="3" fontId="0" fillId="4" borderId="76" xfId="0" applyNumberFormat="1" applyFill="1" applyBorder="1" applyAlignment="1">
      <alignment horizontal="right" indent="2"/>
    </xf>
    <xf numFmtId="3" fontId="0" fillId="4" borderId="51" xfId="0" applyNumberFormat="1" applyFill="1" applyBorder="1" applyAlignment="1">
      <alignment horizontal="right" indent="2"/>
    </xf>
    <xf numFmtId="3" fontId="0" fillId="4" borderId="77" xfId="0" applyNumberFormat="1" applyFill="1" applyBorder="1" applyAlignment="1">
      <alignment horizontal="right" indent="2"/>
    </xf>
    <xf numFmtId="3" fontId="0" fillId="4" borderId="78" xfId="0" applyNumberFormat="1" applyFill="1" applyBorder="1" applyAlignment="1">
      <alignment horizontal="right" indent="2"/>
    </xf>
    <xf numFmtId="0" fontId="4" fillId="0" borderId="0" xfId="3"/>
    <xf numFmtId="166" fontId="0" fillId="0" borderId="44" xfId="0" applyNumberFormat="1" applyBorder="1" applyAlignment="1">
      <alignment horizontal="right" indent="2"/>
    </xf>
    <xf numFmtId="3" fontId="0" fillId="0" borderId="18" xfId="0" applyNumberFormat="1" applyBorder="1" applyAlignment="1">
      <alignment horizontal="left"/>
    </xf>
    <xf numFmtId="166" fontId="2" fillId="0" borderId="11" xfId="0" applyNumberFormat="1" applyFont="1" applyBorder="1"/>
    <xf numFmtId="3" fontId="0" fillId="4" borderId="0" xfId="0" applyNumberFormat="1" applyFill="1" applyAlignment="1">
      <alignment horizontal="right" vertical="center" wrapText="1" indent="2"/>
    </xf>
    <xf numFmtId="166" fontId="2" fillId="4" borderId="11" xfId="0" applyNumberFormat="1" applyFont="1" applyFill="1" applyBorder="1" applyAlignment="1">
      <alignment horizontal="right" vertical="center" wrapText="1" indent="2"/>
    </xf>
    <xf numFmtId="3" fontId="0" fillId="4" borderId="34" xfId="0" applyNumberFormat="1" applyFill="1" applyBorder="1" applyAlignment="1">
      <alignment horizontal="right" indent="2"/>
    </xf>
    <xf numFmtId="3" fontId="0" fillId="0" borderId="12" xfId="0" applyNumberFormat="1" applyBorder="1" applyAlignment="1">
      <alignment horizontal="left" indent="2"/>
    </xf>
    <xf numFmtId="3" fontId="2" fillId="0" borderId="16" xfId="0" applyNumberFormat="1" applyFont="1" applyBorder="1" applyAlignment="1">
      <alignment horizontal="right" indent="2"/>
    </xf>
    <xf numFmtId="0" fontId="2" fillId="0" borderId="8" xfId="0" applyFont="1" applyBorder="1" applyAlignment="1">
      <alignment horizontal="left"/>
    </xf>
    <xf numFmtId="3" fontId="2" fillId="4" borderId="22" xfId="0" applyNumberFormat="1" applyFont="1" applyFill="1" applyBorder="1" applyAlignment="1">
      <alignment horizontal="right" indent="2"/>
    </xf>
    <xf numFmtId="0" fontId="2" fillId="0" borderId="9" xfId="0" applyFont="1" applyBorder="1" applyAlignment="1">
      <alignment horizontal="left"/>
    </xf>
    <xf numFmtId="3" fontId="2" fillId="4" borderId="28" xfId="0" applyNumberFormat="1" applyFont="1" applyFill="1" applyBorder="1" applyAlignment="1">
      <alignment horizontal="right" indent="2"/>
    </xf>
    <xf numFmtId="165" fontId="20" fillId="4" borderId="35" xfId="2" applyNumberFormat="1" applyFont="1" applyFill="1" applyBorder="1" applyAlignment="1">
      <alignment horizontal="right" indent="2"/>
    </xf>
    <xf numFmtId="0" fontId="20" fillId="0" borderId="0" xfId="0" applyFont="1" applyAlignment="1">
      <alignment horizontal="right"/>
    </xf>
    <xf numFmtId="165" fontId="20" fillId="4" borderId="37" xfId="2" applyNumberFormat="1" applyFont="1" applyFill="1" applyBorder="1" applyAlignment="1">
      <alignment horizontal="right" indent="2"/>
    </xf>
    <xf numFmtId="165" fontId="20" fillId="0" borderId="38" xfId="2" applyNumberFormat="1" applyFont="1" applyBorder="1" applyAlignment="1">
      <alignment horizontal="right" vertical="center" wrapText="1" indent="2"/>
    </xf>
    <xf numFmtId="165" fontId="20" fillId="4" borderId="41" xfId="2" applyNumberFormat="1" applyFont="1" applyFill="1" applyBorder="1" applyAlignment="1">
      <alignment horizontal="right" indent="2"/>
    </xf>
    <xf numFmtId="165" fontId="0" fillId="0" borderId="7" xfId="2" applyNumberFormat="1" applyFont="1" applyBorder="1" applyAlignment="1">
      <alignment horizontal="left"/>
    </xf>
    <xf numFmtId="3" fontId="0" fillId="6" borderId="51" xfId="0" applyNumberFormat="1" applyFill="1" applyBorder="1" applyAlignment="1">
      <alignment horizontal="right" indent="2"/>
    </xf>
    <xf numFmtId="3" fontId="0" fillId="6" borderId="66" xfId="0" applyNumberFormat="1" applyFill="1" applyBorder="1" applyAlignment="1">
      <alignment horizontal="right" indent="2"/>
    </xf>
    <xf numFmtId="3" fontId="0" fillId="7" borderId="12" xfId="0" applyNumberFormat="1" applyFill="1" applyBorder="1" applyAlignment="1">
      <alignment horizontal="left"/>
    </xf>
    <xf numFmtId="166" fontId="23" fillId="7" borderId="24" xfId="0" applyNumberFormat="1" applyFont="1" applyFill="1" applyBorder="1" applyAlignment="1">
      <alignment horizontal="right" indent="2"/>
    </xf>
    <xf numFmtId="166" fontId="23" fillId="7" borderId="8" xfId="0" applyNumberFormat="1" applyFont="1" applyFill="1" applyBorder="1" applyAlignment="1">
      <alignment horizontal="right" indent="2"/>
    </xf>
    <xf numFmtId="3" fontId="11" fillId="6" borderId="17" xfId="2" applyNumberFormat="1" applyFont="1" applyFill="1" applyBorder="1" applyAlignment="1">
      <alignment horizontal="center" vertical="center" textRotation="90" wrapText="1"/>
    </xf>
    <xf numFmtId="3" fontId="0" fillId="6" borderId="6" xfId="2" applyNumberFormat="1" applyFont="1" applyFill="1" applyBorder="1"/>
    <xf numFmtId="3" fontId="0" fillId="0" borderId="6" xfId="2" applyNumberFormat="1" applyFont="1" applyFill="1" applyBorder="1" applyAlignment="1">
      <alignment horizontal="right"/>
    </xf>
    <xf numFmtId="3" fontId="15" fillId="6" borderId="46" xfId="2" applyNumberFormat="1" applyFont="1" applyFill="1" applyBorder="1" applyAlignment="1">
      <alignment horizontal="right" indent="2"/>
    </xf>
    <xf numFmtId="3" fontId="15" fillId="6" borderId="79" xfId="2" applyNumberFormat="1" applyFont="1" applyFill="1" applyBorder="1" applyAlignment="1">
      <alignment horizontal="right" indent="2"/>
    </xf>
    <xf numFmtId="165" fontId="11" fillId="6" borderId="21" xfId="2" applyNumberFormat="1" applyFont="1" applyFill="1" applyBorder="1" applyAlignment="1">
      <alignment horizontal="center" vertical="center" textRotation="90" wrapText="1"/>
    </xf>
    <xf numFmtId="165" fontId="0" fillId="6" borderId="8" xfId="2" applyNumberFormat="1" applyFont="1" applyFill="1" applyBorder="1"/>
    <xf numFmtId="165" fontId="0" fillId="6" borderId="23" xfId="2" applyNumberFormat="1" applyFont="1" applyFill="1" applyBorder="1" applyAlignment="1">
      <alignment horizontal="right" indent="2"/>
    </xf>
    <xf numFmtId="165" fontId="0" fillId="6" borderId="63" xfId="2" applyNumberFormat="1" applyFont="1" applyFill="1" applyBorder="1" applyAlignment="1">
      <alignment horizontal="right" indent="2"/>
    </xf>
    <xf numFmtId="3" fontId="11" fillId="6" borderId="21" xfId="2" applyNumberFormat="1" applyFont="1" applyFill="1" applyBorder="1" applyAlignment="1">
      <alignment horizontal="center" vertical="center" textRotation="90" wrapText="1"/>
    </xf>
    <xf numFmtId="3" fontId="0" fillId="6" borderId="8" xfId="2" applyNumberFormat="1" applyFont="1" applyFill="1" applyBorder="1"/>
    <xf numFmtId="3" fontId="0" fillId="0" borderId="8" xfId="2" applyNumberFormat="1" applyFont="1" applyFill="1" applyBorder="1"/>
    <xf numFmtId="3" fontId="0" fillId="6" borderId="23" xfId="2" applyNumberFormat="1" applyFont="1" applyFill="1" applyBorder="1" applyAlignment="1">
      <alignment horizontal="right" indent="2"/>
    </xf>
    <xf numFmtId="3" fontId="0" fillId="0" borderId="11" xfId="2" applyNumberFormat="1" applyFont="1" applyFill="1" applyBorder="1"/>
    <xf numFmtId="3" fontId="0" fillId="6" borderId="63" xfId="2" applyNumberFormat="1" applyFont="1" applyFill="1" applyBorder="1" applyAlignment="1">
      <alignment horizontal="right" indent="2"/>
    </xf>
    <xf numFmtId="165" fontId="0" fillId="6" borderId="63" xfId="2" applyNumberFormat="1" applyFont="1" applyFill="1" applyBorder="1"/>
    <xf numFmtId="165" fontId="3" fillId="0" borderId="8" xfId="2" applyNumberFormat="1" applyFont="1" applyFill="1" applyBorder="1" applyAlignment="1">
      <alignment horizontal="right"/>
    </xf>
    <xf numFmtId="165" fontId="9" fillId="6" borderId="23" xfId="2" applyNumberFormat="1" applyFont="1" applyFill="1" applyBorder="1" applyAlignment="1">
      <alignment horizontal="right" indent="2"/>
    </xf>
    <xf numFmtId="165" fontId="9" fillId="0" borderId="8" xfId="2" applyNumberFormat="1" applyFont="1" applyFill="1" applyBorder="1" applyAlignment="1">
      <alignment horizontal="right"/>
    </xf>
    <xf numFmtId="165" fontId="9" fillId="6" borderId="24" xfId="2" applyNumberFormat="1" applyFont="1" applyFill="1" applyBorder="1" applyAlignment="1">
      <alignment horizontal="right" indent="2"/>
    </xf>
    <xf numFmtId="165" fontId="9" fillId="6" borderId="51" xfId="2" applyNumberFormat="1" applyFont="1" applyFill="1" applyBorder="1" applyAlignment="1">
      <alignment horizontal="right" indent="2"/>
    </xf>
    <xf numFmtId="165" fontId="9" fillId="6" borderId="21" xfId="2" applyNumberFormat="1" applyFont="1" applyFill="1" applyBorder="1" applyAlignment="1">
      <alignment horizontal="right" indent="2"/>
    </xf>
    <xf numFmtId="165" fontId="9" fillId="6" borderId="63" xfId="2" applyNumberFormat="1" applyFont="1" applyFill="1" applyBorder="1" applyAlignment="1">
      <alignment horizontal="right" indent="2"/>
    </xf>
    <xf numFmtId="165" fontId="11" fillId="6" borderId="33" xfId="2" applyNumberFormat="1" applyFont="1" applyFill="1" applyBorder="1" applyAlignment="1">
      <alignment horizontal="center" vertical="center" textRotation="90" wrapText="1"/>
    </xf>
    <xf numFmtId="165" fontId="0" fillId="6" borderId="41" xfId="2" applyNumberFormat="1" applyFont="1" applyFill="1" applyBorder="1"/>
    <xf numFmtId="165" fontId="0" fillId="0" borderId="9" xfId="2" applyNumberFormat="1" applyFont="1" applyFill="1" applyBorder="1" applyAlignment="1">
      <alignment horizontal="right"/>
    </xf>
    <xf numFmtId="165" fontId="15" fillId="6" borderId="35" xfId="2" applyNumberFormat="1" applyFont="1" applyFill="1" applyBorder="1" applyAlignment="1">
      <alignment horizontal="right" indent="2"/>
    </xf>
    <xf numFmtId="165" fontId="9" fillId="0" borderId="9" xfId="2" applyNumberFormat="1" applyFont="1" applyFill="1" applyBorder="1" applyAlignment="1">
      <alignment horizontal="right"/>
    </xf>
    <xf numFmtId="165" fontId="15" fillId="6" borderId="36" xfId="2" applyNumberFormat="1" applyFont="1" applyFill="1" applyBorder="1" applyAlignment="1">
      <alignment horizontal="right" indent="2"/>
    </xf>
    <xf numFmtId="165" fontId="15" fillId="6" borderId="66" xfId="2" applyNumberFormat="1" applyFont="1" applyFill="1" applyBorder="1" applyAlignment="1">
      <alignment horizontal="right" indent="2"/>
    </xf>
    <xf numFmtId="165" fontId="9" fillId="0" borderId="38" xfId="2" applyNumberFormat="1" applyFont="1" applyFill="1" applyBorder="1" applyAlignment="1">
      <alignment horizontal="right" indent="2"/>
    </xf>
    <xf numFmtId="165" fontId="15" fillId="6" borderId="33" xfId="2" applyNumberFormat="1" applyFont="1" applyFill="1" applyBorder="1" applyAlignment="1">
      <alignment horizontal="right" indent="2"/>
    </xf>
    <xf numFmtId="165" fontId="15" fillId="6" borderId="64" xfId="2" applyNumberFormat="1" applyFont="1" applyFill="1" applyBorder="1" applyAlignment="1">
      <alignment horizontal="right" indent="2"/>
    </xf>
    <xf numFmtId="0" fontId="5" fillId="0" borderId="0" xfId="0" applyFont="1" applyAlignment="1">
      <alignment horizontal="center" vertical="top"/>
    </xf>
    <xf numFmtId="0" fontId="6" fillId="0" borderId="0" xfId="0" applyFont="1" applyAlignment="1">
      <alignment horizontal="right"/>
    </xf>
    <xf numFmtId="0" fontId="29" fillId="0" borderId="0" xfId="0" applyFont="1"/>
    <xf numFmtId="0" fontId="31" fillId="0" borderId="0" xfId="0" applyFont="1" applyAlignment="1">
      <alignment horizontal="center" vertical="center" wrapText="1"/>
    </xf>
    <xf numFmtId="0" fontId="32" fillId="0" borderId="18" xfId="0" applyFont="1" applyBorder="1" applyAlignment="1">
      <alignment horizontal="center" vertical="center"/>
    </xf>
    <xf numFmtId="0" fontId="12" fillId="4" borderId="0" xfId="0" applyFont="1" applyFill="1" applyAlignment="1">
      <alignment horizontal="center"/>
    </xf>
    <xf numFmtId="0" fontId="12" fillId="0" borderId="0" xfId="0" applyFont="1" applyAlignment="1">
      <alignment horizontal="center" vertical="center"/>
    </xf>
    <xf numFmtId="0" fontId="29" fillId="0" borderId="0" xfId="0" applyFont="1" applyAlignment="1">
      <alignment horizontal="center"/>
    </xf>
    <xf numFmtId="0" fontId="12" fillId="4" borderId="4" xfId="0" quotePrefix="1" applyFont="1" applyFill="1" applyBorder="1" applyAlignment="1">
      <alignment horizontal="center" vertical="center"/>
    </xf>
    <xf numFmtId="0" fontId="29" fillId="0" borderId="5" xfId="0" applyFont="1" applyBorder="1"/>
    <xf numFmtId="0" fontId="29" fillId="0" borderId="18" xfId="0" applyFont="1" applyBorder="1"/>
    <xf numFmtId="0" fontId="12" fillId="0" borderId="4" xfId="0" applyFont="1" applyBorder="1" applyAlignment="1">
      <alignment horizontal="center"/>
    </xf>
    <xf numFmtId="0" fontId="12" fillId="0" borderId="4" xfId="0" applyFont="1" applyBorder="1" applyAlignment="1">
      <alignment horizontal="center" vertical="center"/>
    </xf>
    <xf numFmtId="0" fontId="29" fillId="0" borderId="7" xfId="0" applyFont="1" applyBorder="1"/>
    <xf numFmtId="0" fontId="29" fillId="0" borderId="10" xfId="0" applyFont="1" applyBorder="1"/>
    <xf numFmtId="0" fontId="34" fillId="0" borderId="43" xfId="0" applyFont="1" applyBorder="1" applyAlignment="1">
      <alignment horizontal="center" vertical="center" textRotation="90" wrapText="1"/>
    </xf>
    <xf numFmtId="0" fontId="12" fillId="0" borderId="3" xfId="0" applyFont="1" applyBorder="1" applyAlignment="1">
      <alignment horizontal="right" vertical="center"/>
    </xf>
    <xf numFmtId="0" fontId="0" fillId="0" borderId="4" xfId="0" applyBorder="1" applyAlignment="1">
      <alignment wrapText="1"/>
    </xf>
    <xf numFmtId="0" fontId="4" fillId="4" borderId="5" xfId="3" applyFill="1" applyBorder="1" applyAlignment="1">
      <alignment horizontal="center" vertical="center" wrapText="1"/>
    </xf>
    <xf numFmtId="0" fontId="35" fillId="6" borderId="13" xfId="0" applyFont="1" applyFill="1" applyBorder="1"/>
    <xf numFmtId="0" fontId="5" fillId="0" borderId="0" xfId="0" applyFont="1" applyAlignment="1">
      <alignment horizontal="left" vertical="center"/>
    </xf>
    <xf numFmtId="0" fontId="12" fillId="6" borderId="5" xfId="0" applyFont="1" applyFill="1" applyBorder="1" applyAlignment="1">
      <alignment vertical="center" wrapText="1"/>
    </xf>
    <xf numFmtId="0" fontId="5" fillId="0" borderId="18" xfId="0" applyFont="1" applyBorder="1" applyAlignment="1">
      <alignment horizontal="left" vertical="center"/>
    </xf>
    <xf numFmtId="0" fontId="12" fillId="6" borderId="69" xfId="0" applyFont="1" applyFill="1" applyBorder="1" applyAlignment="1">
      <alignment vertical="center" wrapText="1"/>
    </xf>
    <xf numFmtId="0" fontId="12" fillId="6" borderId="70" xfId="0" applyFont="1" applyFill="1" applyBorder="1" applyAlignment="1">
      <alignment vertical="center" wrapText="1"/>
    </xf>
    <xf numFmtId="0" fontId="12" fillId="0" borderId="16" xfId="0" applyFont="1" applyBorder="1" applyAlignment="1">
      <alignment vertical="center" wrapText="1"/>
    </xf>
    <xf numFmtId="0" fontId="12" fillId="6" borderId="71" xfId="0" applyFont="1" applyFill="1" applyBorder="1"/>
    <xf numFmtId="0" fontId="0" fillId="6" borderId="69" xfId="0" applyFill="1" applyBorder="1" applyAlignment="1">
      <alignment vertical="center" wrapText="1"/>
    </xf>
    <xf numFmtId="0" fontId="0" fillId="6" borderId="70" xfId="0" applyFill="1" applyBorder="1" applyAlignment="1">
      <alignment vertical="center" wrapText="1"/>
    </xf>
    <xf numFmtId="0" fontId="0" fillId="6" borderId="13" xfId="0" applyFill="1" applyBorder="1" applyAlignment="1">
      <alignment vertical="center" wrapText="1"/>
    </xf>
    <xf numFmtId="0" fontId="3" fillId="0" borderId="6" xfId="0" applyFont="1" applyBorder="1" applyAlignment="1">
      <alignment horizontal="left" vertical="center"/>
    </xf>
    <xf numFmtId="0" fontId="0" fillId="0" borderId="69" xfId="0" applyBorder="1" applyAlignment="1">
      <alignment vertical="center" wrapText="1"/>
    </xf>
    <xf numFmtId="0" fontId="0" fillId="0" borderId="70" xfId="0" applyBorder="1" applyAlignment="1">
      <alignment vertical="center" wrapText="1"/>
    </xf>
    <xf numFmtId="0" fontId="0" fillId="0" borderId="80" xfId="0" applyBorder="1" applyAlignment="1">
      <alignment vertical="center" wrapText="1"/>
    </xf>
    <xf numFmtId="0" fontId="35" fillId="6" borderId="22" xfId="0" applyFont="1" applyFill="1" applyBorder="1" applyAlignment="1">
      <alignment horizontal="right"/>
    </xf>
    <xf numFmtId="3" fontId="12" fillId="6" borderId="46" xfId="0" applyNumberFormat="1" applyFont="1" applyFill="1" applyBorder="1" applyAlignment="1">
      <alignment horizontal="right" indent="2"/>
    </xf>
    <xf numFmtId="0" fontId="12" fillId="0" borderId="18" xfId="0" applyFont="1" applyBorder="1" applyAlignment="1">
      <alignment horizontal="right"/>
    </xf>
    <xf numFmtId="3" fontId="12" fillId="6" borderId="24" xfId="0" applyNumberFormat="1" applyFont="1" applyFill="1" applyBorder="1" applyAlignment="1">
      <alignment horizontal="right" indent="2"/>
    </xf>
    <xf numFmtId="3" fontId="12" fillId="6" borderId="25" xfId="0" applyNumberFormat="1" applyFont="1" applyFill="1" applyBorder="1" applyAlignment="1">
      <alignment horizontal="right" indent="2"/>
    </xf>
    <xf numFmtId="10" fontId="36" fillId="0" borderId="11" xfId="2" applyNumberFormat="1" applyFont="1" applyBorder="1"/>
    <xf numFmtId="3" fontId="12" fillId="6" borderId="63" xfId="0" applyNumberFormat="1" applyFont="1" applyFill="1" applyBorder="1" applyAlignment="1">
      <alignment horizontal="right" indent="2"/>
    </xf>
    <xf numFmtId="3" fontId="0" fillId="7" borderId="21" xfId="0" applyNumberFormat="1" applyFill="1" applyBorder="1" applyAlignment="1">
      <alignment horizontal="right" indent="2"/>
    </xf>
    <xf numFmtId="3" fontId="2" fillId="12" borderId="26" xfId="0" applyNumberFormat="1" applyFont="1" applyFill="1" applyBorder="1" applyAlignment="1">
      <alignment horizontal="right" indent="2"/>
    </xf>
    <xf numFmtId="0" fontId="37" fillId="6" borderId="22" xfId="0" applyFont="1" applyFill="1" applyBorder="1" applyAlignment="1">
      <alignment horizontal="right"/>
    </xf>
    <xf numFmtId="3" fontId="12" fillId="6" borderId="23" xfId="0" applyNumberFormat="1" applyFont="1" applyFill="1" applyBorder="1" applyAlignment="1">
      <alignment horizontal="right" indent="2"/>
    </xf>
    <xf numFmtId="10" fontId="36" fillId="0" borderId="11" xfId="0" applyNumberFormat="1" applyFont="1" applyBorder="1"/>
    <xf numFmtId="0" fontId="37" fillId="6" borderId="28" xfId="0" applyFont="1" applyFill="1" applyBorder="1" applyAlignment="1">
      <alignment horizontal="right"/>
    </xf>
    <xf numFmtId="3" fontId="12" fillId="6" borderId="29" xfId="0" applyNumberFormat="1" applyFont="1" applyFill="1" applyBorder="1" applyAlignment="1">
      <alignment horizontal="right" indent="2"/>
    </xf>
    <xf numFmtId="3" fontId="12" fillId="6" borderId="30" xfId="0" applyNumberFormat="1" applyFont="1" applyFill="1" applyBorder="1" applyAlignment="1">
      <alignment horizontal="right" indent="2"/>
    </xf>
    <xf numFmtId="3" fontId="12" fillId="6" borderId="31" xfId="0" applyNumberFormat="1" applyFont="1" applyFill="1" applyBorder="1" applyAlignment="1">
      <alignment horizontal="right" indent="2"/>
    </xf>
    <xf numFmtId="3" fontId="0" fillId="6" borderId="81" xfId="0" applyNumberFormat="1" applyFill="1" applyBorder="1" applyAlignment="1">
      <alignment horizontal="right" indent="2"/>
    </xf>
    <xf numFmtId="3" fontId="0" fillId="6" borderId="27" xfId="0" applyNumberFormat="1" applyFill="1" applyBorder="1" applyAlignment="1">
      <alignment horizontal="right" indent="2"/>
    </xf>
    <xf numFmtId="3" fontId="0" fillId="7" borderId="27" xfId="0" applyNumberFormat="1" applyFill="1" applyBorder="1" applyAlignment="1">
      <alignment horizontal="right" indent="2"/>
    </xf>
    <xf numFmtId="0" fontId="35" fillId="6" borderId="34" xfId="0" applyFont="1" applyFill="1" applyBorder="1" applyAlignment="1">
      <alignment horizontal="right"/>
    </xf>
    <xf numFmtId="3" fontId="12" fillId="6" borderId="35" xfId="0" applyNumberFormat="1" applyFont="1" applyFill="1" applyBorder="1" applyAlignment="1">
      <alignment horizontal="right" indent="2"/>
    </xf>
    <xf numFmtId="3" fontId="12" fillId="6" borderId="36" xfId="0" applyNumberFormat="1" applyFont="1" applyFill="1" applyBorder="1" applyAlignment="1">
      <alignment horizontal="right" indent="2"/>
    </xf>
    <xf numFmtId="3" fontId="12" fillId="6" borderId="37" xfId="0" applyNumberFormat="1" applyFont="1" applyFill="1" applyBorder="1" applyAlignment="1">
      <alignment horizontal="right" indent="2"/>
    </xf>
    <xf numFmtId="10" fontId="36" fillId="0" borderId="38" xfId="0" applyNumberFormat="1" applyFont="1" applyBorder="1"/>
    <xf numFmtId="3" fontId="12" fillId="6" borderId="64" xfId="0" applyNumberFormat="1" applyFont="1" applyFill="1" applyBorder="1" applyAlignment="1">
      <alignment horizontal="right" indent="2"/>
    </xf>
    <xf numFmtId="3" fontId="0" fillId="6" borderId="33" xfId="0" applyNumberFormat="1" applyFill="1" applyBorder="1" applyAlignment="1">
      <alignment horizontal="right" indent="2"/>
    </xf>
    <xf numFmtId="3" fontId="0" fillId="7" borderId="33" xfId="0" applyNumberFormat="1" applyFill="1" applyBorder="1" applyAlignment="1">
      <alignment horizontal="right" indent="2"/>
    </xf>
    <xf numFmtId="3" fontId="2" fillId="12" borderId="39" xfId="0" applyNumberFormat="1" applyFont="1" applyFill="1" applyBorder="1" applyAlignment="1">
      <alignment horizontal="right" indent="2"/>
    </xf>
    <xf numFmtId="0" fontId="35" fillId="0" borderId="16" xfId="0" applyFont="1" applyBorder="1"/>
    <xf numFmtId="3" fontId="12" fillId="0" borderId="5" xfId="0" applyNumberFormat="1" applyFont="1" applyBorder="1" applyAlignment="1">
      <alignment horizontal="right"/>
    </xf>
    <xf numFmtId="3" fontId="12" fillId="0" borderId="43" xfId="0" applyNumberFormat="1" applyFont="1" applyBorder="1" applyAlignment="1">
      <alignment horizontal="right" indent="2"/>
    </xf>
    <xf numFmtId="3" fontId="12" fillId="0" borderId="44" xfId="0" applyNumberFormat="1" applyFont="1" applyBorder="1" applyAlignment="1">
      <alignment horizontal="right" indent="2"/>
    </xf>
    <xf numFmtId="3" fontId="36" fillId="0" borderId="16" xfId="0" applyNumberFormat="1" applyFont="1" applyBorder="1"/>
    <xf numFmtId="3" fontId="12" fillId="0" borderId="16" xfId="0" applyNumberFormat="1" applyFont="1" applyBorder="1" applyAlignment="1">
      <alignment horizontal="right" indent="2"/>
    </xf>
    <xf numFmtId="3" fontId="0" fillId="0" borderId="20" xfId="0" applyNumberFormat="1" applyBorder="1" applyAlignment="1">
      <alignment horizontal="right" indent="2"/>
    </xf>
    <xf numFmtId="0" fontId="35" fillId="0" borderId="11" xfId="0" applyFont="1" applyBorder="1" applyAlignment="1">
      <alignment horizontal="right"/>
    </xf>
    <xf numFmtId="3" fontId="12" fillId="4" borderId="46" xfId="0" applyNumberFormat="1" applyFont="1" applyFill="1" applyBorder="1" applyAlignment="1">
      <alignment horizontal="right" indent="2"/>
    </xf>
    <xf numFmtId="3" fontId="12" fillId="4" borderId="47" xfId="0" applyNumberFormat="1" applyFont="1" applyFill="1" applyBorder="1" applyAlignment="1">
      <alignment horizontal="right" indent="2"/>
    </xf>
    <xf numFmtId="3" fontId="12" fillId="4" borderId="48" xfId="0" applyNumberFormat="1" applyFont="1" applyFill="1" applyBorder="1" applyAlignment="1">
      <alignment horizontal="right" indent="2"/>
    </xf>
    <xf numFmtId="165" fontId="36" fillId="0" borderId="11" xfId="2" applyNumberFormat="1" applyFont="1" applyBorder="1"/>
    <xf numFmtId="3" fontId="12" fillId="4" borderId="79" xfId="0" applyNumberFormat="1" applyFont="1" applyFill="1" applyBorder="1" applyAlignment="1">
      <alignment horizontal="right" indent="2"/>
    </xf>
    <xf numFmtId="3" fontId="0" fillId="7" borderId="50" xfId="0" applyNumberFormat="1" applyFill="1" applyBorder="1" applyAlignment="1">
      <alignment horizontal="right" indent="2"/>
    </xf>
    <xf numFmtId="3" fontId="12" fillId="4" borderId="24" xfId="0" applyNumberFormat="1" applyFont="1" applyFill="1" applyBorder="1" applyAlignment="1">
      <alignment horizontal="right" indent="2"/>
    </xf>
    <xf numFmtId="3" fontId="12" fillId="4" borderId="25" xfId="0" applyNumberFormat="1" applyFont="1" applyFill="1" applyBorder="1" applyAlignment="1">
      <alignment horizontal="right" indent="2"/>
    </xf>
    <xf numFmtId="0" fontId="37" fillId="0" borderId="11" xfId="0" applyFont="1" applyBorder="1" applyAlignment="1">
      <alignment horizontal="right"/>
    </xf>
    <xf numFmtId="3" fontId="12" fillId="4" borderId="23" xfId="0" applyNumberFormat="1" applyFont="1" applyFill="1" applyBorder="1" applyAlignment="1">
      <alignment horizontal="right" indent="2"/>
    </xf>
    <xf numFmtId="3" fontId="0" fillId="0" borderId="52" xfId="0" applyNumberFormat="1" applyBorder="1" applyAlignment="1">
      <alignment horizontal="right" indent="2"/>
    </xf>
    <xf numFmtId="3" fontId="12" fillId="4" borderId="29" xfId="0" applyNumberFormat="1" applyFont="1" applyFill="1" applyBorder="1" applyAlignment="1">
      <alignment horizontal="right" indent="2"/>
    </xf>
    <xf numFmtId="3" fontId="12" fillId="4" borderId="30" xfId="0" applyNumberFormat="1" applyFont="1" applyFill="1" applyBorder="1" applyAlignment="1">
      <alignment horizontal="right" indent="2"/>
    </xf>
    <xf numFmtId="3" fontId="12" fillId="4" borderId="31" xfId="0" applyNumberFormat="1" applyFont="1" applyFill="1" applyBorder="1" applyAlignment="1">
      <alignment horizontal="right" indent="2"/>
    </xf>
    <xf numFmtId="3" fontId="0" fillId="7" borderId="49" xfId="0" applyNumberFormat="1" applyFill="1" applyBorder="1" applyAlignment="1">
      <alignment horizontal="right" indent="2"/>
    </xf>
    <xf numFmtId="0" fontId="35" fillId="0" borderId="38" xfId="0" applyFont="1" applyBorder="1" applyAlignment="1">
      <alignment horizontal="right"/>
    </xf>
    <xf numFmtId="3" fontId="12" fillId="4" borderId="35" xfId="0" applyNumberFormat="1" applyFont="1" applyFill="1" applyBorder="1" applyAlignment="1">
      <alignment horizontal="right" indent="2"/>
    </xf>
    <xf numFmtId="3" fontId="12" fillId="4" borderId="36" xfId="0" applyNumberFormat="1" applyFont="1" applyFill="1" applyBorder="1" applyAlignment="1">
      <alignment horizontal="right" indent="2"/>
    </xf>
    <xf numFmtId="3" fontId="12" fillId="4" borderId="37" xfId="0" applyNumberFormat="1" applyFont="1" applyFill="1" applyBorder="1" applyAlignment="1">
      <alignment horizontal="right" indent="2"/>
    </xf>
    <xf numFmtId="165" fontId="36" fillId="0" borderId="38" xfId="2" applyNumberFormat="1" applyFont="1" applyBorder="1"/>
    <xf numFmtId="3" fontId="12" fillId="4" borderId="64" xfId="0" applyNumberFormat="1" applyFont="1" applyFill="1" applyBorder="1" applyAlignment="1">
      <alignment horizontal="right" indent="2"/>
    </xf>
    <xf numFmtId="3" fontId="0" fillId="0" borderId="82" xfId="0" applyNumberFormat="1" applyBorder="1" applyAlignment="1">
      <alignment horizontal="right" indent="2"/>
    </xf>
    <xf numFmtId="0" fontId="5" fillId="0" borderId="0" xfId="0" applyFont="1" applyAlignment="1">
      <alignment horizontal="left"/>
    </xf>
    <xf numFmtId="0" fontId="12" fillId="0" borderId="5" xfId="0" applyFont="1" applyBorder="1" applyAlignment="1">
      <alignment vertical="center" wrapText="1"/>
    </xf>
    <xf numFmtId="0" fontId="12" fillId="0" borderId="43" xfId="0" applyFont="1" applyBorder="1" applyAlignment="1">
      <alignment vertical="center" wrapText="1"/>
    </xf>
    <xf numFmtId="0" fontId="12" fillId="0" borderId="44" xfId="0" applyFont="1" applyBorder="1" applyAlignment="1">
      <alignment vertical="center" wrapText="1"/>
    </xf>
    <xf numFmtId="165" fontId="36" fillId="0" borderId="16" xfId="2" applyNumberFormat="1" applyFont="1" applyBorder="1" applyAlignment="1">
      <alignment vertical="center" wrapText="1"/>
    </xf>
    <xf numFmtId="3" fontId="12" fillId="0" borderId="16" xfId="0" applyNumberFormat="1" applyFont="1" applyBorder="1" applyAlignment="1">
      <alignment horizontal="right" vertical="center" wrapText="1" indent="2"/>
    </xf>
    <xf numFmtId="3" fontId="12" fillId="4" borderId="24" xfId="0" applyNumberFormat="1" applyFont="1" applyFill="1" applyBorder="1" applyAlignment="1">
      <alignment horizontal="right" vertical="center" wrapText="1" indent="2"/>
    </xf>
    <xf numFmtId="3" fontId="12" fillId="4" borderId="81" xfId="0" applyNumberFormat="1" applyFont="1" applyFill="1" applyBorder="1" applyAlignment="1">
      <alignment horizontal="right" vertical="center" wrapText="1" indent="2"/>
    </xf>
    <xf numFmtId="3" fontId="0" fillId="2" borderId="24" xfId="0" applyNumberFormat="1" applyFill="1" applyBorder="1" applyAlignment="1">
      <alignment horizontal="right" indent="2"/>
    </xf>
    <xf numFmtId="3" fontId="0" fillId="2" borderId="25" xfId="0" applyNumberFormat="1" applyFill="1" applyBorder="1" applyAlignment="1">
      <alignment horizontal="right" indent="2"/>
    </xf>
    <xf numFmtId="166" fontId="0" fillId="2" borderId="24" xfId="0" applyNumberFormat="1" applyFill="1" applyBorder="1" applyAlignment="1">
      <alignment horizontal="right" vertical="center" wrapText="1" indent="2"/>
    </xf>
    <xf numFmtId="3" fontId="0" fillId="13" borderId="50" xfId="0" applyNumberFormat="1" applyFill="1" applyBorder="1" applyAlignment="1">
      <alignment horizontal="right" indent="2"/>
    </xf>
    <xf numFmtId="3" fontId="0" fillId="2" borderId="50" xfId="0" applyNumberFormat="1" applyFill="1" applyBorder="1" applyAlignment="1">
      <alignment horizontal="right" indent="2"/>
    </xf>
    <xf numFmtId="3" fontId="38" fillId="4" borderId="81" xfId="0" applyNumberFormat="1" applyFont="1" applyFill="1" applyBorder="1" applyAlignment="1">
      <alignment horizontal="right" vertical="center" wrapText="1" indent="2"/>
    </xf>
    <xf numFmtId="3" fontId="2" fillId="2" borderId="25" xfId="0" applyNumberFormat="1" applyFont="1" applyFill="1" applyBorder="1" applyAlignment="1">
      <alignment horizontal="right" indent="2"/>
    </xf>
    <xf numFmtId="3" fontId="0" fillId="2" borderId="24" xfId="0" applyNumberFormat="1" applyFill="1" applyBorder="1" applyAlignment="1">
      <alignment horizontal="right" vertical="center" wrapText="1" indent="2"/>
    </xf>
    <xf numFmtId="0" fontId="35" fillId="0" borderId="11" xfId="0" quotePrefix="1" applyFont="1" applyBorder="1" applyAlignment="1">
      <alignment horizontal="right"/>
    </xf>
    <xf numFmtId="3" fontId="12" fillId="4" borderId="27" xfId="0" applyNumberFormat="1" applyFont="1" applyFill="1" applyBorder="1" applyAlignment="1">
      <alignment horizontal="right" indent="2"/>
    </xf>
    <xf numFmtId="3" fontId="12" fillId="4" borderId="9" xfId="0" applyNumberFormat="1" applyFont="1" applyFill="1" applyBorder="1" applyAlignment="1">
      <alignment horizontal="right" indent="2"/>
    </xf>
    <xf numFmtId="3" fontId="12" fillId="4" borderId="30" xfId="0" applyNumberFormat="1" applyFont="1" applyFill="1" applyBorder="1" applyAlignment="1">
      <alignment horizontal="right" vertical="center" wrapText="1" indent="2"/>
    </xf>
    <xf numFmtId="3" fontId="0" fillId="2" borderId="9" xfId="0" applyNumberFormat="1" applyFill="1" applyBorder="1" applyAlignment="1">
      <alignment horizontal="right" indent="2"/>
    </xf>
    <xf numFmtId="165" fontId="36" fillId="0" borderId="35" xfId="2" applyNumberFormat="1" applyFont="1" applyBorder="1" applyAlignment="1">
      <alignment horizontal="right" indent="2"/>
    </xf>
    <xf numFmtId="0" fontId="21" fillId="0" borderId="0" xfId="0" applyFont="1" applyAlignment="1">
      <alignment horizontal="right"/>
    </xf>
    <xf numFmtId="165" fontId="36" fillId="0" borderId="33" xfId="2" applyNumberFormat="1" applyFont="1" applyBorder="1" applyAlignment="1">
      <alignment horizontal="right" indent="2"/>
    </xf>
    <xf numFmtId="165" fontId="36" fillId="0" borderId="41" xfId="2" applyNumberFormat="1" applyFont="1" applyBorder="1" applyAlignment="1">
      <alignment horizontal="right" indent="2"/>
    </xf>
    <xf numFmtId="165" fontId="36" fillId="0" borderId="38" xfId="2" applyNumberFormat="1" applyFont="1" applyBorder="1" applyAlignment="1">
      <alignment horizontal="right" indent="2"/>
    </xf>
    <xf numFmtId="165" fontId="36" fillId="0" borderId="33" xfId="2" applyNumberFormat="1" applyFont="1" applyBorder="1" applyAlignment="1">
      <alignment horizontal="center" vertical="center" wrapText="1"/>
    </xf>
    <xf numFmtId="165" fontId="36" fillId="0" borderId="38" xfId="2" applyNumberFormat="1" applyFont="1" applyBorder="1" applyAlignment="1">
      <alignment horizontal="center" vertical="center" wrapText="1"/>
    </xf>
    <xf numFmtId="165" fontId="13" fillId="0" borderId="53" xfId="2" applyNumberFormat="1" applyFont="1" applyBorder="1" applyAlignment="1">
      <alignment horizontal="right" indent="2"/>
    </xf>
    <xf numFmtId="165" fontId="13" fillId="0" borderId="7" xfId="2" applyNumberFormat="1" applyFont="1" applyBorder="1" applyAlignment="1">
      <alignment horizontal="right" indent="2"/>
    </xf>
    <xf numFmtId="0" fontId="0" fillId="0" borderId="16" xfId="0" applyBorder="1" applyAlignment="1">
      <alignment horizontal="right"/>
    </xf>
    <xf numFmtId="165" fontId="13" fillId="0" borderId="10" xfId="2" applyNumberFormat="1" applyFont="1" applyBorder="1" applyAlignment="1">
      <alignment horizontal="right" indent="2"/>
    </xf>
    <xf numFmtId="165" fontId="13" fillId="0" borderId="18" xfId="2" applyNumberFormat="1" applyFont="1" applyBorder="1" applyAlignment="1">
      <alignment horizontal="right" indent="2"/>
    </xf>
    <xf numFmtId="165" fontId="13" fillId="0" borderId="0" xfId="2" applyNumberFormat="1" applyFont="1" applyAlignment="1">
      <alignment horizontal="right" indent="2"/>
    </xf>
    <xf numFmtId="165" fontId="13" fillId="0" borderId="11" xfId="2" applyNumberFormat="1" applyFont="1" applyBorder="1" applyAlignment="1">
      <alignment horizontal="right" indent="2"/>
    </xf>
    <xf numFmtId="165" fontId="13" fillId="0" borderId="18" xfId="2" applyNumberFormat="1" applyFont="1" applyBorder="1" applyAlignment="1">
      <alignment horizontal="center" vertical="center" wrapText="1"/>
    </xf>
    <xf numFmtId="165" fontId="13" fillId="0" borderId="11" xfId="2" applyNumberFormat="1" applyFont="1" applyBorder="1" applyAlignment="1">
      <alignment horizontal="center" vertical="center" wrapText="1"/>
    </xf>
    <xf numFmtId="165" fontId="13" fillId="0" borderId="43" xfId="2" applyNumberFormat="1" applyFont="1" applyBorder="1" applyAlignment="1">
      <alignment horizontal="right" indent="2"/>
    </xf>
    <xf numFmtId="165" fontId="13" fillId="0" borderId="44" xfId="2" applyNumberFormat="1" applyFont="1" applyBorder="1" applyAlignment="1">
      <alignment horizontal="right" indent="2"/>
    </xf>
    <xf numFmtId="165" fontId="13" fillId="0" borderId="16" xfId="2" applyNumberFormat="1" applyFont="1" applyBorder="1" applyAlignment="1">
      <alignment horizontal="right" indent="2"/>
    </xf>
    <xf numFmtId="165" fontId="13" fillId="4" borderId="46" xfId="2" applyNumberFormat="1" applyFont="1" applyFill="1" applyBorder="1" applyAlignment="1">
      <alignment horizontal="right" indent="2"/>
    </xf>
    <xf numFmtId="3" fontId="0" fillId="4" borderId="79" xfId="0" applyNumberFormat="1" applyFill="1" applyBorder="1" applyAlignment="1">
      <alignment horizontal="right" vertical="center" wrapText="1" indent="2"/>
    </xf>
    <xf numFmtId="165" fontId="13" fillId="0" borderId="11" xfId="2" applyNumberFormat="1" applyFont="1" applyBorder="1" applyAlignment="1">
      <alignment horizontal="right"/>
    </xf>
    <xf numFmtId="0" fontId="0" fillId="0" borderId="53" xfId="0" applyBorder="1"/>
    <xf numFmtId="3" fontId="0" fillId="4" borderId="82" xfId="0" applyNumberFormat="1" applyFill="1" applyBorder="1" applyAlignment="1">
      <alignment horizontal="right" indent="2"/>
    </xf>
    <xf numFmtId="3" fontId="0" fillId="4" borderId="64" xfId="0" applyNumberFormat="1" applyFill="1" applyBorder="1" applyAlignment="1">
      <alignment horizontal="right" vertical="center" wrapText="1" indent="2"/>
    </xf>
    <xf numFmtId="3" fontId="12" fillId="0" borderId="0" xfId="0" applyNumberFormat="1" applyFont="1" applyAlignment="1">
      <alignment horizontal="right" indent="2"/>
    </xf>
    <xf numFmtId="0" fontId="34" fillId="0" borderId="2" xfId="0" applyFont="1" applyBorder="1" applyAlignment="1">
      <alignment horizontal="center" vertical="center" textRotation="90" wrapText="1"/>
    </xf>
    <xf numFmtId="0" fontId="39" fillId="0" borderId="4" xfId="3" applyFont="1" applyBorder="1" applyAlignment="1">
      <alignment horizontal="center" vertical="top" wrapText="1"/>
    </xf>
    <xf numFmtId="0" fontId="12" fillId="4" borderId="1" xfId="0" applyFont="1" applyFill="1" applyBorder="1" applyAlignment="1">
      <alignment vertical="center" wrapText="1"/>
    </xf>
    <xf numFmtId="0" fontId="12" fillId="0" borderId="3" xfId="0" applyFont="1" applyBorder="1" applyAlignment="1">
      <alignment vertical="center" wrapText="1"/>
    </xf>
    <xf numFmtId="3" fontId="29" fillId="4" borderId="1" xfId="0" applyNumberFormat="1" applyFont="1" applyFill="1" applyBorder="1" applyAlignment="1">
      <alignment horizontal="right" wrapText="1" indent="2"/>
    </xf>
    <xf numFmtId="3" fontId="29" fillId="4" borderId="83" xfId="0" applyNumberFormat="1" applyFont="1" applyFill="1" applyBorder="1" applyAlignment="1">
      <alignment horizontal="right" wrapText="1" indent="2"/>
    </xf>
    <xf numFmtId="165" fontId="13" fillId="0" borderId="2" xfId="2" applyNumberFormat="1" applyFont="1" applyBorder="1" applyAlignment="1">
      <alignment horizontal="right" indent="2"/>
    </xf>
    <xf numFmtId="165" fontId="13" fillId="0" borderId="3" xfId="2" applyNumberFormat="1" applyFont="1" applyBorder="1" applyAlignment="1">
      <alignment horizontal="right" indent="2"/>
    </xf>
    <xf numFmtId="3" fontId="29" fillId="4" borderId="67" xfId="0" applyNumberFormat="1" applyFont="1" applyFill="1" applyBorder="1" applyAlignment="1">
      <alignment horizontal="right" wrapText="1" indent="2"/>
    </xf>
    <xf numFmtId="3" fontId="13" fillId="0" borderId="3" xfId="2" applyNumberFormat="1" applyFont="1" applyBorder="1" applyAlignment="1">
      <alignment horizontal="right" indent="2"/>
    </xf>
    <xf numFmtId="0" fontId="29" fillId="0" borderId="4" xfId="0" applyFont="1" applyBorder="1"/>
    <xf numFmtId="3" fontId="29" fillId="4" borderId="4" xfId="0" applyNumberFormat="1" applyFont="1" applyFill="1" applyBorder="1" applyAlignment="1">
      <alignment horizontal="right" wrapText="1" indent="2"/>
    </xf>
    <xf numFmtId="3" fontId="29" fillId="4" borderId="1" xfId="0" applyNumberFormat="1" applyFont="1" applyFill="1" applyBorder="1" applyAlignment="1">
      <alignment horizontal="left" indent="2"/>
    </xf>
    <xf numFmtId="165" fontId="9" fillId="0" borderId="2" xfId="2" applyNumberFormat="1" applyFont="1" applyBorder="1" applyAlignment="1">
      <alignment horizontal="center" vertical="center" wrapText="1"/>
    </xf>
    <xf numFmtId="3" fontId="29" fillId="4" borderId="1" xfId="0" applyNumberFormat="1" applyFont="1" applyFill="1" applyBorder="1" applyAlignment="1">
      <alignment vertical="center"/>
    </xf>
    <xf numFmtId="0" fontId="5" fillId="0" borderId="5" xfId="0" applyFont="1" applyBorder="1" applyAlignment="1">
      <alignment horizontal="left"/>
    </xf>
    <xf numFmtId="0" fontId="12" fillId="0" borderId="16" xfId="0" applyFont="1" applyBorder="1"/>
    <xf numFmtId="3" fontId="12" fillId="0" borderId="10" xfId="0" applyNumberFormat="1" applyFont="1" applyBorder="1" applyAlignment="1">
      <alignment horizontal="right" indent="2"/>
    </xf>
    <xf numFmtId="3" fontId="12" fillId="0" borderId="18" xfId="0" applyNumberFormat="1" applyFont="1" applyBorder="1" applyAlignment="1">
      <alignment horizontal="right" indent="2"/>
    </xf>
    <xf numFmtId="0" fontId="12" fillId="0" borderId="11" xfId="0" applyFont="1" applyBorder="1"/>
    <xf numFmtId="0" fontId="12" fillId="0" borderId="44" xfId="0" applyFont="1" applyBorder="1"/>
    <xf numFmtId="165" fontId="13" fillId="0" borderId="16" xfId="2" applyNumberFormat="1" applyFont="1" applyBorder="1"/>
    <xf numFmtId="3" fontId="12" fillId="0" borderId="5" xfId="0" applyNumberFormat="1" applyFont="1" applyBorder="1" applyAlignment="1">
      <alignment horizontal="right" indent="2"/>
    </xf>
    <xf numFmtId="3" fontId="12" fillId="0" borderId="43" xfId="0" applyNumberFormat="1" applyFont="1" applyBorder="1" applyAlignment="1">
      <alignment horizontal="left" vertical="center" indent="2"/>
    </xf>
    <xf numFmtId="0" fontId="12" fillId="0" borderId="43" xfId="0" applyFont="1" applyBorder="1"/>
    <xf numFmtId="0" fontId="0" fillId="4" borderId="21" xfId="0" applyFill="1" applyBorder="1" applyAlignment="1">
      <alignment horizontal="right"/>
    </xf>
    <xf numFmtId="0" fontId="12" fillId="4" borderId="22" xfId="0" applyFont="1" applyFill="1" applyBorder="1" applyAlignment="1">
      <alignment horizontal="right"/>
    </xf>
    <xf numFmtId="3" fontId="12" fillId="4" borderId="79" xfId="0" applyNumberFormat="1" applyFont="1" applyFill="1" applyBorder="1" applyAlignment="1">
      <alignment horizontal="right" vertical="center" wrapText="1" indent="2"/>
    </xf>
    <xf numFmtId="3" fontId="12" fillId="4" borderId="6" xfId="0" applyNumberFormat="1" applyFont="1" applyFill="1" applyBorder="1" applyAlignment="1">
      <alignment horizontal="right" vertical="center" wrapText="1" indent="2"/>
    </xf>
    <xf numFmtId="165" fontId="9" fillId="0" borderId="11" xfId="0" applyNumberFormat="1" applyFont="1" applyBorder="1"/>
    <xf numFmtId="3" fontId="12" fillId="4" borderId="17" xfId="0" applyNumberFormat="1" applyFont="1" applyFill="1" applyBorder="1" applyAlignment="1">
      <alignment horizontal="right" indent="2"/>
    </xf>
    <xf numFmtId="3" fontId="12" fillId="7" borderId="47" xfId="0" applyNumberFormat="1" applyFont="1" applyFill="1" applyBorder="1" applyAlignment="1">
      <alignment horizontal="right" indent="2"/>
    </xf>
    <xf numFmtId="3" fontId="12" fillId="7" borderId="8" xfId="0" applyNumberFormat="1" applyFont="1" applyFill="1" applyBorder="1" applyAlignment="1">
      <alignment horizontal="right" vertical="center" wrapText="1" indent="2"/>
    </xf>
    <xf numFmtId="3" fontId="12" fillId="4" borderId="63" xfId="0" applyNumberFormat="1" applyFont="1" applyFill="1" applyBorder="1" applyAlignment="1">
      <alignment horizontal="right" vertical="center" wrapText="1" indent="2"/>
    </xf>
    <xf numFmtId="3" fontId="12" fillId="4" borderId="8" xfId="0" applyNumberFormat="1" applyFont="1" applyFill="1" applyBorder="1" applyAlignment="1">
      <alignment horizontal="right" vertical="center" wrapText="1" indent="2"/>
    </xf>
    <xf numFmtId="165" fontId="9" fillId="0" borderId="11" xfId="0" applyNumberFormat="1" applyFont="1" applyBorder="1" applyAlignment="1">
      <alignment vertical="center" wrapText="1"/>
    </xf>
    <xf numFmtId="3" fontId="12" fillId="2" borderId="21" xfId="0" applyNumberFormat="1" applyFont="1" applyFill="1" applyBorder="1" applyAlignment="1">
      <alignment horizontal="right" indent="2"/>
    </xf>
    <xf numFmtId="0" fontId="0" fillId="4" borderId="27" xfId="0" applyFill="1" applyBorder="1" applyAlignment="1">
      <alignment horizontal="right"/>
    </xf>
    <xf numFmtId="0" fontId="12" fillId="4" borderId="28" xfId="0" applyFont="1" applyFill="1" applyBorder="1" applyAlignment="1">
      <alignment horizontal="right"/>
    </xf>
    <xf numFmtId="3" fontId="12" fillId="4" borderId="74" xfId="0" applyNumberFormat="1" applyFont="1" applyFill="1" applyBorder="1" applyAlignment="1">
      <alignment horizontal="right" vertical="center" wrapText="1" indent="2"/>
    </xf>
    <xf numFmtId="3" fontId="12" fillId="2" borderId="27" xfId="0" applyNumberFormat="1" applyFont="1" applyFill="1" applyBorder="1" applyAlignment="1">
      <alignment horizontal="right" indent="2"/>
    </xf>
    <xf numFmtId="0" fontId="5" fillId="0" borderId="11" xfId="0" applyFont="1" applyBorder="1" applyAlignment="1">
      <alignment horizontal="right"/>
    </xf>
    <xf numFmtId="3" fontId="12" fillId="0" borderId="11" xfId="0" applyNumberFormat="1" applyFont="1" applyBorder="1" applyAlignment="1">
      <alignment horizontal="right" indent="2"/>
    </xf>
    <xf numFmtId="3" fontId="12" fillId="0" borderId="11" xfId="0" applyNumberFormat="1" applyFont="1" applyBorder="1"/>
    <xf numFmtId="3" fontId="12" fillId="0" borderId="0" xfId="0" applyNumberFormat="1" applyFont="1"/>
    <xf numFmtId="0" fontId="12" fillId="0" borderId="10" xfId="0" applyFont="1" applyBorder="1"/>
    <xf numFmtId="0" fontId="12" fillId="0" borderId="18" xfId="0" applyFont="1" applyBorder="1"/>
    <xf numFmtId="0" fontId="0" fillId="4" borderId="33" xfId="0" applyFill="1" applyBorder="1" applyAlignment="1">
      <alignment horizontal="right"/>
    </xf>
    <xf numFmtId="0" fontId="12" fillId="4" borderId="34" xfId="0" applyFont="1" applyFill="1" applyBorder="1" applyAlignment="1">
      <alignment horizontal="right"/>
    </xf>
    <xf numFmtId="3" fontId="12" fillId="4" borderId="64" xfId="0" applyNumberFormat="1" applyFont="1" applyFill="1" applyBorder="1" applyAlignment="1">
      <alignment horizontal="right" vertical="center" wrapText="1" indent="2"/>
    </xf>
    <xf numFmtId="3" fontId="12" fillId="4" borderId="41" xfId="0" applyNumberFormat="1" applyFont="1" applyFill="1" applyBorder="1" applyAlignment="1">
      <alignment horizontal="right" vertical="center" wrapText="1" indent="2"/>
    </xf>
    <xf numFmtId="0" fontId="5" fillId="0" borderId="16" xfId="0" applyFont="1" applyBorder="1" applyAlignment="1">
      <alignment horizontal="left"/>
    </xf>
    <xf numFmtId="165" fontId="12" fillId="0" borderId="16" xfId="2" applyNumberFormat="1" applyFont="1" applyBorder="1" applyAlignment="1">
      <alignment horizontal="right" indent="2"/>
    </xf>
    <xf numFmtId="3" fontId="9" fillId="0" borderId="11" xfId="0" applyNumberFormat="1" applyFont="1" applyBorder="1"/>
    <xf numFmtId="3" fontId="12" fillId="4" borderId="62" xfId="0" applyNumberFormat="1" applyFont="1" applyFill="1" applyBorder="1" applyAlignment="1">
      <alignment horizontal="right" vertical="center" wrapText="1" indent="2"/>
    </xf>
    <xf numFmtId="0" fontId="29" fillId="0" borderId="10" xfId="0" applyFont="1" applyBorder="1" applyAlignment="1">
      <alignment wrapText="1"/>
    </xf>
    <xf numFmtId="0" fontId="29" fillId="0" borderId="18" xfId="0" applyFont="1" applyBorder="1" applyAlignment="1">
      <alignment wrapText="1"/>
    </xf>
    <xf numFmtId="3" fontId="12" fillId="4" borderId="22" xfId="0" applyNumberFormat="1" applyFont="1" applyFill="1" applyBorder="1" applyAlignment="1">
      <alignment horizontal="right" vertical="center" wrapText="1" indent="2"/>
    </xf>
    <xf numFmtId="3" fontId="12" fillId="4" borderId="28" xfId="0" applyNumberFormat="1" applyFont="1" applyFill="1" applyBorder="1" applyAlignment="1">
      <alignment horizontal="right" vertical="center" wrapText="1" indent="2"/>
    </xf>
    <xf numFmtId="3" fontId="12" fillId="4" borderId="9" xfId="0" applyNumberFormat="1" applyFont="1" applyFill="1" applyBorder="1" applyAlignment="1">
      <alignment horizontal="right" vertical="center" wrapText="1" indent="2"/>
    </xf>
    <xf numFmtId="0" fontId="3" fillId="0" borderId="16" xfId="0" applyFont="1" applyBorder="1" applyAlignment="1">
      <alignment horizontal="left"/>
    </xf>
    <xf numFmtId="165" fontId="12" fillId="0" borderId="11" xfId="2" applyNumberFormat="1" applyFont="1" applyBorder="1" applyAlignment="1">
      <alignment horizontal="right" indent="2"/>
    </xf>
    <xf numFmtId="3" fontId="12" fillId="0" borderId="16" xfId="0" applyNumberFormat="1" applyFont="1" applyBorder="1"/>
    <xf numFmtId="3" fontId="29" fillId="0" borderId="43" xfId="0" applyNumberFormat="1" applyFont="1" applyBorder="1" applyAlignment="1">
      <alignment horizontal="left"/>
    </xf>
    <xf numFmtId="3" fontId="12" fillId="0" borderId="44" xfId="0" applyNumberFormat="1" applyFont="1" applyBorder="1"/>
    <xf numFmtId="3" fontId="29" fillId="0" borderId="5" xfId="0" applyNumberFormat="1" applyFont="1" applyBorder="1" applyAlignment="1">
      <alignment horizontal="left"/>
    </xf>
    <xf numFmtId="0" fontId="0" fillId="4" borderId="22" xfId="0" applyFill="1" applyBorder="1" applyAlignment="1">
      <alignment horizontal="right"/>
    </xf>
    <xf numFmtId="3" fontId="12" fillId="7" borderId="30" xfId="0" applyNumberFormat="1" applyFont="1" applyFill="1" applyBorder="1" applyAlignment="1">
      <alignment horizontal="right" indent="2"/>
    </xf>
    <xf numFmtId="3" fontId="12" fillId="2" borderId="8" xfId="0" applyNumberFormat="1" applyFont="1" applyFill="1" applyBorder="1" applyAlignment="1">
      <alignment horizontal="right" vertical="center" wrapText="1" indent="2"/>
    </xf>
    <xf numFmtId="0" fontId="0" fillId="4" borderId="34" xfId="0" applyFill="1" applyBorder="1" applyAlignment="1">
      <alignment horizontal="right"/>
    </xf>
    <xf numFmtId="3" fontId="12" fillId="7" borderId="36" xfId="0" applyNumberFormat="1" applyFont="1" applyFill="1" applyBorder="1" applyAlignment="1">
      <alignment horizontal="right" indent="2"/>
    </xf>
    <xf numFmtId="3" fontId="0" fillId="0" borderId="49" xfId="0" applyNumberFormat="1" applyBorder="1" applyAlignment="1">
      <alignment horizontal="right" indent="2"/>
    </xf>
    <xf numFmtId="3" fontId="0" fillId="0" borderId="59" xfId="0" applyNumberFormat="1" applyBorder="1" applyAlignment="1">
      <alignment horizontal="right" indent="2"/>
    </xf>
    <xf numFmtId="0" fontId="0" fillId="0" borderId="22" xfId="0" applyBorder="1" applyAlignment="1">
      <alignment horizontal="right"/>
    </xf>
    <xf numFmtId="0" fontId="0" fillId="0" borderId="33" xfId="0" applyBorder="1" applyAlignment="1">
      <alignment horizontal="right"/>
    </xf>
    <xf numFmtId="0" fontId="0" fillId="0" borderId="34" xfId="0" applyBorder="1" applyAlignment="1">
      <alignment horizontal="right"/>
    </xf>
    <xf numFmtId="165" fontId="40" fillId="4" borderId="35" xfId="2" applyNumberFormat="1" applyFont="1" applyFill="1" applyBorder="1" applyAlignment="1">
      <alignment horizontal="right" indent="2"/>
    </xf>
    <xf numFmtId="165" fontId="40" fillId="4" borderId="36" xfId="2" applyNumberFormat="1" applyFont="1" applyFill="1" applyBorder="1" applyAlignment="1">
      <alignment horizontal="right" indent="2"/>
    </xf>
    <xf numFmtId="165" fontId="40" fillId="4" borderId="37" xfId="2" applyNumberFormat="1" applyFont="1" applyFill="1" applyBorder="1" applyAlignment="1">
      <alignment horizontal="right" indent="2"/>
    </xf>
    <xf numFmtId="165" fontId="12" fillId="4" borderId="34" xfId="2" applyNumberFormat="1" applyFont="1" applyFill="1" applyBorder="1" applyAlignment="1">
      <alignment horizontal="right" vertical="center" wrapText="1" indent="2"/>
    </xf>
    <xf numFmtId="3" fontId="0" fillId="6" borderId="69" xfId="0" applyNumberFormat="1" applyFill="1" applyBorder="1" applyAlignment="1">
      <alignment horizontal="right" indent="2"/>
    </xf>
    <xf numFmtId="3" fontId="0" fillId="6" borderId="70" xfId="0" applyNumberFormat="1" applyFill="1" applyBorder="1" applyAlignment="1">
      <alignment horizontal="right" indent="2"/>
    </xf>
    <xf numFmtId="165" fontId="36" fillId="0" borderId="16" xfId="2" applyNumberFormat="1" applyFont="1" applyBorder="1"/>
    <xf numFmtId="3" fontId="12" fillId="6" borderId="71" xfId="0" applyNumberFormat="1" applyFont="1" applyFill="1" applyBorder="1" applyAlignment="1">
      <alignment horizontal="right" vertical="center" wrapText="1" indent="2"/>
    </xf>
    <xf numFmtId="3" fontId="23" fillId="6" borderId="8" xfId="0" applyNumberFormat="1" applyFont="1" applyFill="1" applyBorder="1" applyAlignment="1">
      <alignment horizontal="right" indent="2"/>
    </xf>
    <xf numFmtId="3" fontId="12" fillId="6" borderId="22" xfId="0" applyNumberFormat="1" applyFont="1" applyFill="1" applyBorder="1"/>
    <xf numFmtId="3" fontId="12" fillId="6" borderId="22" xfId="0" applyNumberFormat="1" applyFont="1" applyFill="1" applyBorder="1" applyAlignment="1">
      <alignment horizontal="right" vertical="center" wrapText="1" indent="2"/>
    </xf>
    <xf numFmtId="3" fontId="12" fillId="6" borderId="34" xfId="0" applyNumberFormat="1" applyFont="1" applyFill="1" applyBorder="1" applyAlignment="1">
      <alignment horizontal="right" vertical="center" wrapText="1" indent="2"/>
    </xf>
    <xf numFmtId="0" fontId="34" fillId="0" borderId="0" xfId="0" applyFont="1" applyAlignment="1">
      <alignment horizontal="center" vertical="center" textRotation="90" wrapText="1"/>
    </xf>
    <xf numFmtId="165" fontId="36" fillId="0" borderId="0" xfId="2" applyNumberFormat="1" applyFont="1"/>
    <xf numFmtId="3" fontId="12" fillId="0" borderId="0" xfId="0" applyNumberFormat="1" applyFont="1" applyAlignment="1">
      <alignment horizontal="right" vertical="center" wrapText="1" indent="2"/>
    </xf>
    <xf numFmtId="0" fontId="24" fillId="7" borderId="43" xfId="0" applyFont="1" applyFill="1" applyBorder="1" applyAlignment="1">
      <alignment horizontal="left" vertical="center"/>
    </xf>
    <xf numFmtId="0" fontId="0" fillId="7" borderId="16" xfId="0" applyFill="1" applyBorder="1" applyAlignment="1">
      <alignment horizontal="right"/>
    </xf>
    <xf numFmtId="3" fontId="0" fillId="7" borderId="69" xfId="0" applyNumberFormat="1" applyFill="1" applyBorder="1" applyAlignment="1">
      <alignment horizontal="right" indent="2"/>
    </xf>
    <xf numFmtId="3" fontId="0" fillId="7" borderId="70" xfId="0" applyNumberFormat="1" applyFill="1" applyBorder="1" applyAlignment="1">
      <alignment horizontal="right" indent="2"/>
    </xf>
    <xf numFmtId="0" fontId="0" fillId="0" borderId="18" xfId="0" applyBorder="1"/>
    <xf numFmtId="0" fontId="24" fillId="7" borderId="18" xfId="0" applyFont="1" applyFill="1" applyBorder="1" applyAlignment="1">
      <alignment horizontal="center" vertical="center" textRotation="90" wrapText="1"/>
    </xf>
    <xf numFmtId="0" fontId="0" fillId="7" borderId="11" xfId="0" applyFill="1" applyBorder="1" applyAlignment="1">
      <alignment horizontal="right"/>
    </xf>
    <xf numFmtId="3" fontId="23" fillId="7" borderId="25" xfId="0" applyNumberFormat="1" applyFont="1" applyFill="1" applyBorder="1" applyAlignment="1">
      <alignment horizontal="right" indent="2"/>
    </xf>
    <xf numFmtId="3" fontId="23" fillId="7" borderId="8" xfId="0" applyNumberFormat="1" applyFont="1" applyFill="1" applyBorder="1" applyAlignment="1">
      <alignment horizontal="right" indent="2"/>
    </xf>
    <xf numFmtId="3" fontId="0" fillId="7" borderId="25" xfId="0" applyNumberFormat="1" applyFill="1" applyBorder="1" applyAlignment="1">
      <alignment horizontal="right" indent="2"/>
    </xf>
    <xf numFmtId="0" fontId="24" fillId="7" borderId="53" xfId="0" applyFont="1" applyFill="1" applyBorder="1" applyAlignment="1">
      <alignment horizontal="center" vertical="center" textRotation="90" wrapText="1"/>
    </xf>
    <xf numFmtId="0" fontId="0" fillId="7" borderId="38" xfId="0" applyFill="1" applyBorder="1" applyAlignment="1">
      <alignment horizontal="right"/>
    </xf>
    <xf numFmtId="3" fontId="0" fillId="7" borderId="37" xfId="0" applyNumberFormat="1" applyFill="1" applyBorder="1" applyAlignment="1">
      <alignment horizontal="right" indent="2"/>
    </xf>
    <xf numFmtId="3" fontId="0" fillId="7" borderId="41" xfId="0" applyNumberFormat="1" applyFill="1" applyBorder="1" applyAlignment="1">
      <alignment horizontal="right" indent="2"/>
    </xf>
    <xf numFmtId="165" fontId="15" fillId="6" borderId="65" xfId="2" applyNumberFormat="1" applyFont="1" applyFill="1" applyBorder="1" applyAlignment="1">
      <alignment horizontal="right" indent="2"/>
    </xf>
    <xf numFmtId="3" fontId="15" fillId="0" borderId="6" xfId="2" applyNumberFormat="1" applyFont="1" applyBorder="1" applyAlignment="1">
      <alignment horizontal="right"/>
    </xf>
    <xf numFmtId="3" fontId="15" fillId="0" borderId="11" xfId="2" applyNumberFormat="1" applyFont="1" applyBorder="1" applyAlignment="1">
      <alignment horizontal="right" indent="2"/>
    </xf>
    <xf numFmtId="3" fontId="15" fillId="0" borderId="0" xfId="2" applyNumberFormat="1" applyFont="1" applyAlignment="1">
      <alignment horizontal="right" indent="2"/>
    </xf>
    <xf numFmtId="3" fontId="15" fillId="0" borderId="19" xfId="2" applyNumberFormat="1" applyFont="1" applyBorder="1" applyAlignment="1">
      <alignment horizontal="right" indent="2"/>
    </xf>
    <xf numFmtId="165" fontId="15" fillId="0" borderId="6" xfId="2" applyNumberFormat="1" applyFont="1" applyBorder="1" applyAlignment="1">
      <alignment horizontal="right"/>
    </xf>
    <xf numFmtId="0" fontId="41" fillId="6" borderId="17" xfId="0" applyFont="1" applyFill="1" applyBorder="1" applyAlignment="1">
      <alignment horizontal="center" vertical="center" textRotation="90" wrapText="1"/>
    </xf>
    <xf numFmtId="165" fontId="42" fillId="6" borderId="65" xfId="2" applyNumberFormat="1" applyFont="1" applyFill="1" applyBorder="1" applyAlignment="1">
      <alignment horizontal="right" indent="2"/>
    </xf>
    <xf numFmtId="0" fontId="2" fillId="0" borderId="6" xfId="0" applyFont="1" applyBorder="1" applyAlignment="1">
      <alignment horizontal="right"/>
    </xf>
    <xf numFmtId="3" fontId="42" fillId="6" borderId="46" xfId="2" applyNumberFormat="1" applyFont="1" applyFill="1" applyBorder="1" applyAlignment="1">
      <alignment horizontal="right" indent="2"/>
    </xf>
    <xf numFmtId="3" fontId="42" fillId="0" borderId="6" xfId="2" applyNumberFormat="1" applyFont="1" applyBorder="1" applyAlignment="1">
      <alignment horizontal="right"/>
    </xf>
    <xf numFmtId="3" fontId="42" fillId="6" borderId="47" xfId="2" applyNumberFormat="1" applyFont="1" applyFill="1" applyBorder="1" applyAlignment="1">
      <alignment horizontal="right" indent="2"/>
    </xf>
    <xf numFmtId="3" fontId="42" fillId="6" borderId="65" xfId="2" applyNumberFormat="1" applyFont="1" applyFill="1" applyBorder="1" applyAlignment="1">
      <alignment horizontal="right" indent="2"/>
    </xf>
    <xf numFmtId="3" fontId="42" fillId="0" borderId="11" xfId="2" applyNumberFormat="1" applyFont="1" applyBorder="1" applyAlignment="1">
      <alignment horizontal="right" indent="2"/>
    </xf>
    <xf numFmtId="3" fontId="42" fillId="6" borderId="79" xfId="2" applyNumberFormat="1" applyFont="1" applyFill="1" applyBorder="1" applyAlignment="1">
      <alignment horizontal="right" indent="2"/>
    </xf>
    <xf numFmtId="3" fontId="42" fillId="0" borderId="0" xfId="2" applyNumberFormat="1" applyFont="1" applyAlignment="1">
      <alignment horizontal="right" indent="2"/>
    </xf>
    <xf numFmtId="3" fontId="42" fillId="6" borderId="17" xfId="2" applyNumberFormat="1" applyFont="1" applyFill="1" applyBorder="1" applyAlignment="1">
      <alignment horizontal="right" indent="2"/>
    </xf>
    <xf numFmtId="3" fontId="42" fillId="0" borderId="19" xfId="2" applyNumberFormat="1" applyFont="1" applyBorder="1" applyAlignment="1">
      <alignment horizontal="right" indent="2"/>
    </xf>
    <xf numFmtId="165" fontId="42" fillId="0" borderId="6" xfId="2" applyNumberFormat="1" applyFont="1" applyBorder="1" applyAlignment="1">
      <alignment horizontal="right"/>
    </xf>
    <xf numFmtId="0" fontId="2" fillId="0" borderId="0" xfId="0" applyFont="1"/>
    <xf numFmtId="165" fontId="0" fillId="0" borderId="8" xfId="2" applyNumberFormat="1" applyFont="1" applyBorder="1" applyAlignment="1">
      <alignment horizontal="right" indent="2"/>
    </xf>
    <xf numFmtId="165" fontId="0" fillId="0" borderId="11" xfId="2" applyNumberFormat="1" applyFont="1" applyBorder="1" applyAlignment="1">
      <alignment horizontal="right" indent="2"/>
    </xf>
    <xf numFmtId="165" fontId="0" fillId="0" borderId="0" xfId="2" applyNumberFormat="1" applyFont="1" applyAlignment="1">
      <alignment horizontal="right" indent="2"/>
    </xf>
    <xf numFmtId="165" fontId="0" fillId="0" borderId="19" xfId="2" applyNumberFormat="1" applyFont="1" applyBorder="1" applyAlignment="1">
      <alignment horizontal="right" indent="2"/>
    </xf>
    <xf numFmtId="0" fontId="0" fillId="6" borderId="63" xfId="0" applyFill="1" applyBorder="1"/>
    <xf numFmtId="0" fontId="0" fillId="0" borderId="19" xfId="0" applyBorder="1"/>
    <xf numFmtId="3" fontId="9" fillId="6" borderId="51" xfId="0" applyNumberFormat="1" applyFont="1" applyFill="1" applyBorder="1" applyAlignment="1">
      <alignment horizontal="right" indent="2"/>
    </xf>
    <xf numFmtId="0" fontId="0" fillId="6" borderId="11" xfId="0" applyFill="1" applyBorder="1" applyAlignment="1">
      <alignment horizontal="right"/>
    </xf>
    <xf numFmtId="3" fontId="9" fillId="6" borderId="23" xfId="0" applyNumberFormat="1" applyFont="1" applyFill="1" applyBorder="1" applyAlignment="1">
      <alignment horizontal="right" indent="2"/>
    </xf>
    <xf numFmtId="0" fontId="9" fillId="0" borderId="8" xfId="0" applyFont="1" applyBorder="1" applyAlignment="1">
      <alignment horizontal="right"/>
    </xf>
    <xf numFmtId="3" fontId="9" fillId="6" borderId="24" xfId="0" applyNumberFormat="1" applyFont="1" applyFill="1" applyBorder="1" applyAlignment="1">
      <alignment horizontal="right" indent="2"/>
    </xf>
    <xf numFmtId="3" fontId="9" fillId="6" borderId="63" xfId="0" applyNumberFormat="1" applyFont="1" applyFill="1" applyBorder="1" applyAlignment="1">
      <alignment horizontal="right" indent="2"/>
    </xf>
    <xf numFmtId="3" fontId="9" fillId="0" borderId="0" xfId="0" applyNumberFormat="1" applyFont="1" applyAlignment="1">
      <alignment horizontal="right" indent="2"/>
    </xf>
    <xf numFmtId="3" fontId="9" fillId="6" borderId="21" xfId="0" applyNumberFormat="1" applyFont="1" applyFill="1" applyBorder="1" applyAlignment="1">
      <alignment horizontal="right" indent="2"/>
    </xf>
    <xf numFmtId="3" fontId="9" fillId="0" borderId="19" xfId="0" applyNumberFormat="1" applyFont="1" applyBorder="1" applyAlignment="1">
      <alignment horizontal="right" indent="2"/>
    </xf>
    <xf numFmtId="165" fontId="9" fillId="0" borderId="38" xfId="2" applyNumberFormat="1" applyFont="1" applyBorder="1" applyAlignment="1">
      <alignment horizontal="right" indent="2"/>
    </xf>
    <xf numFmtId="165" fontId="15" fillId="0" borderId="42" xfId="2" applyNumberFormat="1" applyFont="1" applyBorder="1" applyAlignment="1">
      <alignment horizontal="right" indent="2"/>
    </xf>
    <xf numFmtId="165" fontId="15" fillId="0" borderId="40" xfId="2" applyNumberFormat="1" applyFont="1" applyBorder="1" applyAlignment="1">
      <alignment horizontal="right" indent="2"/>
    </xf>
    <xf numFmtId="0" fontId="12" fillId="0" borderId="1" xfId="0" applyFont="1" applyBorder="1" applyAlignment="1">
      <alignment vertical="top" wrapText="1"/>
    </xf>
    <xf numFmtId="0" fontId="12" fillId="0" borderId="2" xfId="0" applyFont="1" applyBorder="1" applyAlignment="1">
      <alignment vertical="top" wrapText="1"/>
    </xf>
    <xf numFmtId="0" fontId="12" fillId="0" borderId="3" xfId="0" applyFont="1" applyBorder="1" applyAlignment="1">
      <alignment vertical="top" wrapText="1"/>
    </xf>
    <xf numFmtId="0" fontId="12" fillId="4" borderId="43" xfId="0" applyFont="1" applyFill="1" applyBorder="1" applyAlignment="1">
      <alignment horizontal="center" vertical="center" wrapText="1"/>
    </xf>
    <xf numFmtId="0" fontId="12" fillId="4" borderId="44" xfId="0" applyFont="1" applyFill="1" applyBorder="1" applyAlignment="1">
      <alignment horizontal="center" vertical="center" wrapText="1"/>
    </xf>
    <xf numFmtId="0" fontId="4" fillId="0" borderId="16" xfId="3" applyFill="1" applyBorder="1" applyAlignment="1">
      <alignment horizontal="center" vertical="center" wrapText="1"/>
    </xf>
    <xf numFmtId="10" fontId="36" fillId="0" borderId="11" xfId="2" applyNumberFormat="1" applyFont="1" applyFill="1" applyBorder="1" applyAlignment="1"/>
    <xf numFmtId="3" fontId="0" fillId="6" borderId="22" xfId="0" applyNumberFormat="1" applyFill="1" applyBorder="1" applyAlignment="1">
      <alignment horizontal="right" indent="2"/>
    </xf>
    <xf numFmtId="3" fontId="0" fillId="6" borderId="28" xfId="0" applyNumberFormat="1" applyFill="1" applyBorder="1" applyAlignment="1">
      <alignment horizontal="right" indent="2"/>
    </xf>
    <xf numFmtId="3" fontId="0" fillId="0" borderId="84" xfId="0" applyNumberFormat="1" applyBorder="1" applyAlignment="1">
      <alignment horizontal="right" indent="2"/>
    </xf>
    <xf numFmtId="3" fontId="0" fillId="0" borderId="84" xfId="0" applyNumberFormat="1" applyBorder="1" applyAlignment="1">
      <alignment horizontal="left"/>
    </xf>
    <xf numFmtId="3" fontId="0" fillId="6" borderId="34" xfId="0" applyNumberFormat="1" applyFill="1" applyBorder="1" applyAlignment="1">
      <alignment horizontal="right" indent="2"/>
    </xf>
    <xf numFmtId="165" fontId="36" fillId="0" borderId="11" xfId="2" applyNumberFormat="1" applyFont="1" applyFill="1" applyBorder="1" applyAlignment="1"/>
    <xf numFmtId="165" fontId="36" fillId="0" borderId="38" xfId="2" applyNumberFormat="1" applyFont="1" applyFill="1" applyBorder="1" applyAlignment="1"/>
    <xf numFmtId="165" fontId="36" fillId="0" borderId="16" xfId="2" applyNumberFormat="1" applyFont="1" applyFill="1" applyBorder="1" applyAlignment="1">
      <alignment vertical="center" wrapText="1"/>
    </xf>
    <xf numFmtId="0" fontId="3" fillId="0" borderId="44" xfId="0" applyFont="1" applyBorder="1" applyAlignment="1">
      <alignment horizontal="center" vertical="center" wrapText="1"/>
    </xf>
    <xf numFmtId="0" fontId="3" fillId="0" borderId="16" xfId="0" applyFont="1" applyBorder="1" applyAlignment="1">
      <alignment horizontal="center" vertical="center" wrapText="1"/>
    </xf>
    <xf numFmtId="3" fontId="0" fillId="4" borderId="23" xfId="0" applyNumberFormat="1" applyFill="1" applyBorder="1" applyAlignment="1">
      <alignment horizontal="right" vertical="center" wrapText="1" indent="2"/>
    </xf>
    <xf numFmtId="3" fontId="0" fillId="4" borderId="22" xfId="0" applyNumberFormat="1" applyFill="1" applyBorder="1" applyAlignment="1">
      <alignment horizontal="right" vertical="center" wrapText="1" indent="2"/>
    </xf>
    <xf numFmtId="165" fontId="36" fillId="0" borderId="35" xfId="2" applyNumberFormat="1" applyFont="1" applyFill="1" applyBorder="1" applyAlignment="1">
      <alignment horizontal="right" indent="2"/>
    </xf>
    <xf numFmtId="165" fontId="36" fillId="0" borderId="33" xfId="2" applyNumberFormat="1" applyFont="1" applyFill="1" applyBorder="1" applyAlignment="1">
      <alignment horizontal="right" indent="2"/>
    </xf>
    <xf numFmtId="165" fontId="36" fillId="0" borderId="41" xfId="2" applyNumberFormat="1" applyFont="1" applyFill="1" applyBorder="1" applyAlignment="1">
      <alignment horizontal="right" indent="2"/>
    </xf>
    <xf numFmtId="165" fontId="36" fillId="0" borderId="38" xfId="2" applyNumberFormat="1" applyFont="1" applyFill="1" applyBorder="1" applyAlignment="1">
      <alignment horizontal="right" indent="2"/>
    </xf>
    <xf numFmtId="165" fontId="36" fillId="0" borderId="33" xfId="2" applyNumberFormat="1" applyFont="1" applyFill="1" applyBorder="1" applyAlignment="1">
      <alignment horizontal="center" vertical="center" wrapText="1"/>
    </xf>
    <xf numFmtId="165" fontId="36" fillId="0" borderId="38" xfId="2" applyNumberFormat="1" applyFont="1" applyFill="1" applyBorder="1" applyAlignment="1">
      <alignment horizontal="center" vertical="center" wrapText="1"/>
    </xf>
    <xf numFmtId="165" fontId="13" fillId="0" borderId="35" xfId="2" applyNumberFormat="1" applyFont="1" applyFill="1" applyBorder="1" applyAlignment="1">
      <alignment horizontal="center" vertical="center" wrapText="1"/>
    </xf>
    <xf numFmtId="165" fontId="13" fillId="0" borderId="34" xfId="2" applyNumberFormat="1" applyFont="1" applyFill="1" applyBorder="1" applyAlignment="1">
      <alignment horizontal="center" vertical="center" wrapText="1"/>
    </xf>
    <xf numFmtId="165" fontId="13" fillId="0" borderId="18" xfId="2" applyNumberFormat="1" applyFont="1" applyFill="1" applyBorder="1" applyAlignment="1">
      <alignment horizontal="right" indent="2"/>
    </xf>
    <xf numFmtId="165" fontId="13" fillId="0" borderId="18" xfId="2" applyNumberFormat="1" applyFont="1" applyFill="1" applyBorder="1" applyAlignment="1">
      <alignment horizontal="center" vertical="center" wrapText="1"/>
    </xf>
    <xf numFmtId="165" fontId="13" fillId="0" borderId="11" xfId="2" applyNumberFormat="1" applyFont="1" applyFill="1" applyBorder="1" applyAlignment="1">
      <alignment horizontal="center" vertical="center" wrapText="1"/>
    </xf>
    <xf numFmtId="165" fontId="13" fillId="0" borderId="10" xfId="2" applyNumberFormat="1" applyFont="1" applyFill="1" applyBorder="1" applyAlignment="1">
      <alignment horizontal="center" vertical="center" wrapText="1"/>
    </xf>
    <xf numFmtId="165" fontId="13" fillId="0" borderId="0" xfId="2" applyNumberFormat="1" applyFont="1" applyFill="1" applyBorder="1" applyAlignment="1">
      <alignment horizontal="center" vertical="center" wrapText="1"/>
    </xf>
    <xf numFmtId="165" fontId="13" fillId="0" borderId="11" xfId="2" applyNumberFormat="1" applyFont="1" applyFill="1" applyBorder="1" applyAlignment="1">
      <alignment horizontal="right"/>
    </xf>
    <xf numFmtId="3" fontId="0" fillId="4" borderId="1" xfId="0" applyNumberFormat="1" applyFill="1" applyBorder="1" applyAlignment="1">
      <alignment horizontal="right" indent="2"/>
    </xf>
    <xf numFmtId="3" fontId="0" fillId="4" borderId="83" xfId="0" applyNumberFormat="1" applyFill="1" applyBorder="1" applyAlignment="1">
      <alignment horizontal="right" indent="2"/>
    </xf>
    <xf numFmtId="165" fontId="13" fillId="0" borderId="2" xfId="2" applyNumberFormat="1" applyFont="1" applyFill="1" applyBorder="1" applyAlignment="1">
      <alignment horizontal="right" indent="2"/>
    </xf>
    <xf numFmtId="165" fontId="13" fillId="0" borderId="3" xfId="2" applyNumberFormat="1" applyFont="1" applyFill="1" applyBorder="1" applyAlignment="1">
      <alignment horizontal="right" indent="2"/>
    </xf>
    <xf numFmtId="3" fontId="13" fillId="0" borderId="3" xfId="2" applyNumberFormat="1" applyFont="1" applyFill="1" applyBorder="1" applyAlignment="1">
      <alignment horizontal="right" indent="2"/>
    </xf>
    <xf numFmtId="3" fontId="0" fillId="4" borderId="2" xfId="0" applyNumberFormat="1" applyFill="1" applyBorder="1" applyAlignment="1">
      <alignment horizontal="right" indent="2"/>
    </xf>
    <xf numFmtId="3" fontId="0" fillId="4" borderId="3" xfId="0" applyNumberFormat="1" applyFill="1" applyBorder="1" applyAlignment="1">
      <alignment horizontal="right" indent="2"/>
    </xf>
    <xf numFmtId="3" fontId="13" fillId="0" borderId="16" xfId="2" applyNumberFormat="1" applyFont="1" applyFill="1" applyBorder="1" applyAlignment="1"/>
    <xf numFmtId="3" fontId="12" fillId="0" borderId="43" xfId="0" applyNumberFormat="1" applyFont="1" applyBorder="1" applyAlignment="1">
      <alignment horizontal="left" indent="2"/>
    </xf>
    <xf numFmtId="3" fontId="0" fillId="4" borderId="6" xfId="0" applyNumberFormat="1" applyFill="1" applyBorder="1" applyAlignment="1">
      <alignment horizontal="right" indent="2"/>
    </xf>
    <xf numFmtId="3" fontId="0" fillId="4" borderId="62" xfId="0" applyNumberFormat="1" applyFill="1" applyBorder="1" applyAlignment="1">
      <alignment horizontal="right" indent="2"/>
    </xf>
    <xf numFmtId="3" fontId="12" fillId="4" borderId="21" xfId="0" applyNumberFormat="1" applyFont="1" applyFill="1" applyBorder="1" applyAlignment="1">
      <alignment horizontal="right" indent="2"/>
    </xf>
    <xf numFmtId="3" fontId="9" fillId="0" borderId="11" xfId="0" applyNumberFormat="1" applyFont="1" applyBorder="1" applyAlignment="1">
      <alignment vertical="center" wrapText="1"/>
    </xf>
    <xf numFmtId="3" fontId="12" fillId="4" borderId="8" xfId="0" applyNumberFormat="1" applyFont="1" applyFill="1" applyBorder="1" applyAlignment="1">
      <alignment horizontal="right" indent="2"/>
    </xf>
    <xf numFmtId="3" fontId="12" fillId="4" borderId="22" xfId="0" applyNumberFormat="1" applyFont="1" applyFill="1" applyBorder="1" applyAlignment="1">
      <alignment horizontal="right" indent="2"/>
    </xf>
    <xf numFmtId="165" fontId="9" fillId="0" borderId="0" xfId="0" applyNumberFormat="1" applyFont="1" applyAlignment="1">
      <alignment vertical="center" wrapText="1"/>
    </xf>
    <xf numFmtId="3" fontId="12" fillId="4" borderId="28" xfId="0" applyNumberFormat="1" applyFont="1" applyFill="1" applyBorder="1" applyAlignment="1">
      <alignment horizontal="right" indent="2"/>
    </xf>
    <xf numFmtId="3" fontId="12" fillId="4" borderId="6" xfId="0" applyNumberFormat="1" applyFont="1" applyFill="1" applyBorder="1" applyAlignment="1">
      <alignment horizontal="right" indent="2"/>
    </xf>
    <xf numFmtId="3" fontId="12" fillId="4" borderId="62" xfId="0" applyNumberFormat="1" applyFont="1" applyFill="1" applyBorder="1" applyAlignment="1">
      <alignment horizontal="right" indent="2"/>
    </xf>
    <xf numFmtId="3" fontId="13" fillId="0" borderId="38" xfId="2" applyNumberFormat="1" applyFont="1" applyFill="1" applyBorder="1" applyAlignment="1"/>
    <xf numFmtId="3" fontId="12" fillId="4" borderId="33" xfId="0" applyNumberFormat="1" applyFont="1" applyFill="1" applyBorder="1" applyAlignment="1">
      <alignment horizontal="right" indent="2"/>
    </xf>
    <xf numFmtId="3" fontId="12" fillId="4" borderId="41" xfId="0" applyNumberFormat="1" applyFont="1" applyFill="1" applyBorder="1" applyAlignment="1">
      <alignment horizontal="right" indent="2"/>
    </xf>
    <xf numFmtId="3" fontId="12" fillId="4" borderId="34" xfId="0" applyNumberFormat="1" applyFont="1" applyFill="1" applyBorder="1" applyAlignment="1">
      <alignment horizontal="right" indent="2"/>
    </xf>
    <xf numFmtId="165" fontId="12" fillId="0" borderId="16" xfId="2" applyNumberFormat="1" applyFont="1" applyFill="1" applyBorder="1" applyAlignment="1">
      <alignment horizontal="right" indent="2"/>
    </xf>
    <xf numFmtId="165" fontId="12" fillId="0" borderId="11" xfId="2" applyNumberFormat="1" applyFont="1" applyFill="1" applyBorder="1" applyAlignment="1">
      <alignment horizontal="right" indent="2"/>
    </xf>
    <xf numFmtId="165" fontId="36" fillId="0" borderId="16" xfId="2" applyNumberFormat="1" applyFont="1" applyFill="1" applyBorder="1" applyAlignment="1"/>
    <xf numFmtId="3" fontId="23" fillId="6" borderId="21" xfId="0" applyNumberFormat="1" applyFont="1" applyFill="1" applyBorder="1" applyAlignment="1">
      <alignment horizontal="right" indent="2"/>
    </xf>
    <xf numFmtId="3" fontId="23" fillId="6" borderId="22" xfId="0" applyNumberFormat="1" applyFont="1" applyFill="1" applyBorder="1" applyAlignment="1">
      <alignment horizontal="right" indent="2"/>
    </xf>
    <xf numFmtId="165" fontId="36" fillId="0" borderId="0" xfId="2" applyNumberFormat="1" applyFont="1" applyFill="1" applyBorder="1" applyAlignment="1"/>
    <xf numFmtId="0" fontId="0" fillId="6" borderId="6" xfId="0" applyFill="1" applyBorder="1" applyAlignment="1">
      <alignment horizontal="right"/>
    </xf>
    <xf numFmtId="165" fontId="15" fillId="6" borderId="46" xfId="2" applyNumberFormat="1" applyFont="1" applyFill="1" applyBorder="1" applyAlignment="1">
      <alignment horizontal="right" indent="2"/>
    </xf>
    <xf numFmtId="165" fontId="15" fillId="0" borderId="6" xfId="2" applyNumberFormat="1" applyFont="1" applyFill="1" applyBorder="1" applyAlignment="1">
      <alignment horizontal="right"/>
    </xf>
    <xf numFmtId="165" fontId="15" fillId="6" borderId="47" xfId="2" applyNumberFormat="1" applyFont="1" applyFill="1" applyBorder="1" applyAlignment="1">
      <alignment horizontal="right" indent="2"/>
    </xf>
    <xf numFmtId="165" fontId="15" fillId="0" borderId="11" xfId="2" applyNumberFormat="1" applyFont="1" applyFill="1" applyBorder="1" applyAlignment="1">
      <alignment horizontal="right" indent="2"/>
    </xf>
    <xf numFmtId="165" fontId="15" fillId="6" borderId="79" xfId="2" applyNumberFormat="1" applyFont="1" applyFill="1" applyBorder="1" applyAlignment="1">
      <alignment horizontal="right" indent="2"/>
    </xf>
    <xf numFmtId="3" fontId="15" fillId="0" borderId="19" xfId="2" applyNumberFormat="1" applyFont="1" applyFill="1" applyBorder="1" applyAlignment="1">
      <alignment horizontal="right" indent="2"/>
    </xf>
    <xf numFmtId="165" fontId="15" fillId="0" borderId="0" xfId="2" applyNumberFormat="1" applyFont="1" applyFill="1" applyBorder="1" applyAlignment="1">
      <alignment horizontal="right"/>
    </xf>
    <xf numFmtId="165" fontId="0" fillId="0" borderId="19" xfId="2" applyNumberFormat="1" applyFont="1" applyFill="1" applyBorder="1" applyAlignment="1">
      <alignment horizontal="right" indent="2"/>
    </xf>
    <xf numFmtId="166" fontId="0" fillId="6" borderId="24" xfId="2" applyNumberFormat="1" applyFont="1" applyFill="1" applyBorder="1" applyAlignment="1">
      <alignment horizontal="right" indent="2"/>
    </xf>
    <xf numFmtId="166" fontId="0" fillId="6" borderId="51" xfId="2" applyNumberFormat="1" applyFont="1" applyFill="1" applyBorder="1" applyAlignment="1">
      <alignment horizontal="right" indent="2"/>
    </xf>
    <xf numFmtId="166" fontId="0" fillId="0" borderId="0" xfId="2" applyNumberFormat="1" applyFont="1" applyFill="1" applyBorder="1" applyAlignment="1">
      <alignment horizontal="right" indent="2"/>
    </xf>
    <xf numFmtId="166" fontId="0" fillId="0" borderId="11" xfId="2" applyNumberFormat="1" applyFont="1" applyFill="1" applyBorder="1" applyAlignment="1">
      <alignment horizontal="right" indent="2"/>
    </xf>
    <xf numFmtId="166" fontId="0" fillId="0" borderId="8" xfId="2" applyNumberFormat="1" applyFont="1" applyFill="1" applyBorder="1" applyAlignment="1">
      <alignment horizontal="right" indent="2"/>
    </xf>
    <xf numFmtId="166" fontId="0" fillId="6" borderId="21" xfId="2" applyNumberFormat="1" applyFont="1" applyFill="1" applyBorder="1" applyAlignment="1">
      <alignment horizontal="right" indent="2"/>
    </xf>
    <xf numFmtId="166" fontId="0" fillId="0" borderId="19" xfId="2" applyNumberFormat="1" applyFont="1" applyFill="1" applyBorder="1" applyAlignment="1">
      <alignment horizontal="right" indent="2"/>
    </xf>
    <xf numFmtId="166" fontId="0" fillId="6" borderId="63" xfId="2" applyNumberFormat="1" applyFont="1" applyFill="1" applyBorder="1" applyAlignment="1">
      <alignment horizontal="right" indent="2"/>
    </xf>
    <xf numFmtId="0" fontId="0" fillId="6" borderId="8" xfId="0" applyFill="1" applyBorder="1" applyAlignment="1">
      <alignment horizontal="right"/>
    </xf>
    <xf numFmtId="165" fontId="9" fillId="6" borderId="24" xfId="2" applyNumberFormat="1" applyFont="1" applyFill="1" applyBorder="1" applyAlignment="1">
      <alignment horizontal="right" indent="4"/>
    </xf>
    <xf numFmtId="165" fontId="9" fillId="6" borderId="51" xfId="2" applyNumberFormat="1" applyFont="1" applyFill="1" applyBorder="1" applyAlignment="1">
      <alignment horizontal="right" indent="4"/>
    </xf>
    <xf numFmtId="165" fontId="9" fillId="0" borderId="0" xfId="2" applyNumberFormat="1" applyFont="1" applyFill="1" applyBorder="1" applyAlignment="1">
      <alignment horizontal="right" indent="4"/>
    </xf>
    <xf numFmtId="165" fontId="9" fillId="0" borderId="11" xfId="2" applyNumberFormat="1" applyFont="1" applyFill="1" applyBorder="1" applyAlignment="1">
      <alignment horizontal="right" indent="4"/>
    </xf>
    <xf numFmtId="165" fontId="9" fillId="6" borderId="21" xfId="2" applyNumberFormat="1" applyFont="1" applyFill="1" applyBorder="1" applyAlignment="1">
      <alignment horizontal="right" indent="4"/>
    </xf>
    <xf numFmtId="165" fontId="9" fillId="0" borderId="19" xfId="2" applyNumberFormat="1" applyFont="1" applyFill="1" applyBorder="1" applyAlignment="1">
      <alignment horizontal="right" indent="4"/>
    </xf>
    <xf numFmtId="165" fontId="9" fillId="6" borderId="63" xfId="2" applyNumberFormat="1" applyFont="1" applyFill="1" applyBorder="1" applyAlignment="1">
      <alignment horizontal="right" indent="4"/>
    </xf>
    <xf numFmtId="0" fontId="9" fillId="0" borderId="0" xfId="0" applyFont="1" applyAlignment="1">
      <alignment horizontal="right"/>
    </xf>
    <xf numFmtId="0" fontId="0" fillId="6" borderId="41" xfId="0" applyFill="1" applyBorder="1" applyAlignment="1">
      <alignment horizontal="right"/>
    </xf>
    <xf numFmtId="165" fontId="15" fillId="6" borderId="36" xfId="2" applyNumberFormat="1" applyFont="1" applyFill="1" applyBorder="1" applyAlignment="1">
      <alignment horizontal="right" indent="4"/>
    </xf>
    <xf numFmtId="165" fontId="15" fillId="6" borderId="66" xfId="2" applyNumberFormat="1" applyFont="1" applyFill="1" applyBorder="1" applyAlignment="1">
      <alignment horizontal="right" indent="4"/>
    </xf>
    <xf numFmtId="165" fontId="15" fillId="0" borderId="42" xfId="2" applyNumberFormat="1" applyFont="1" applyFill="1" applyBorder="1" applyAlignment="1">
      <alignment horizontal="right" indent="4"/>
    </xf>
    <xf numFmtId="165" fontId="9" fillId="0" borderId="9" xfId="2" applyNumberFormat="1" applyFont="1" applyFill="1" applyBorder="1" applyAlignment="1">
      <alignment horizontal="right" indent="2"/>
    </xf>
    <xf numFmtId="165" fontId="15" fillId="6" borderId="33" xfId="2" applyNumberFormat="1" applyFont="1" applyFill="1" applyBorder="1" applyAlignment="1">
      <alignment horizontal="right" indent="4"/>
    </xf>
    <xf numFmtId="165" fontId="15" fillId="0" borderId="40" xfId="2" applyNumberFormat="1" applyFont="1" applyFill="1" applyBorder="1" applyAlignment="1">
      <alignment horizontal="right" indent="4"/>
    </xf>
    <xf numFmtId="165" fontId="15" fillId="6" borderId="64" xfId="2" applyNumberFormat="1" applyFont="1" applyFill="1" applyBorder="1" applyAlignment="1">
      <alignment horizontal="right" indent="4"/>
    </xf>
    <xf numFmtId="0" fontId="12" fillId="0" borderId="44" xfId="0" applyFont="1" applyBorder="1" applyAlignment="1">
      <alignment horizontal="left" vertical="top" wrapText="1"/>
    </xf>
    <xf numFmtId="0" fontId="22" fillId="6" borderId="14" xfId="0" applyFont="1" applyFill="1" applyBorder="1" applyAlignment="1">
      <alignment vertical="center" wrapText="1"/>
    </xf>
    <xf numFmtId="0" fontId="22" fillId="6" borderId="12" xfId="0" applyFont="1" applyFill="1" applyBorder="1" applyAlignment="1">
      <alignment vertical="center" wrapText="1"/>
    </xf>
    <xf numFmtId="0" fontId="22" fillId="6" borderId="15" xfId="0" applyFont="1" applyFill="1" applyBorder="1" applyAlignment="1">
      <alignment vertical="center" wrapText="1"/>
    </xf>
    <xf numFmtId="3" fontId="22" fillId="6" borderId="23" xfId="0" applyNumberFormat="1" applyFont="1" applyFill="1" applyBorder="1" applyAlignment="1">
      <alignment horizontal="right" indent="2"/>
    </xf>
    <xf numFmtId="3" fontId="22" fillId="6" borderId="24" xfId="0" applyNumberFormat="1" applyFont="1" applyFill="1" applyBorder="1" applyAlignment="1">
      <alignment horizontal="right" indent="2"/>
    </xf>
    <xf numFmtId="3" fontId="22" fillId="6" borderId="25" xfId="0" applyNumberFormat="1" applyFont="1" applyFill="1" applyBorder="1" applyAlignment="1">
      <alignment horizontal="right" indent="2"/>
    </xf>
    <xf numFmtId="3" fontId="22" fillId="6" borderId="21" xfId="0" applyNumberFormat="1" applyFont="1" applyFill="1" applyBorder="1" applyAlignment="1">
      <alignment horizontal="right" indent="2"/>
    </xf>
    <xf numFmtId="3" fontId="45" fillId="0" borderId="11" xfId="0" applyNumberFormat="1" applyFont="1" applyBorder="1" applyAlignment="1">
      <alignment horizontal="right" indent="2"/>
    </xf>
    <xf numFmtId="0" fontId="2" fillId="6" borderId="28" xfId="0" applyFont="1" applyFill="1" applyBorder="1" applyAlignment="1">
      <alignment horizontal="right"/>
    </xf>
    <xf numFmtId="3" fontId="22" fillId="6" borderId="29" xfId="0" applyNumberFormat="1" applyFont="1" applyFill="1" applyBorder="1" applyAlignment="1">
      <alignment horizontal="right" indent="2"/>
    </xf>
    <xf numFmtId="3" fontId="22" fillId="6" borderId="30" xfId="0" applyNumberFormat="1" applyFont="1" applyFill="1" applyBorder="1" applyAlignment="1">
      <alignment horizontal="right" indent="2"/>
    </xf>
    <xf numFmtId="3" fontId="22" fillId="6" borderId="31" xfId="0" applyNumberFormat="1" applyFont="1" applyFill="1" applyBorder="1" applyAlignment="1">
      <alignment horizontal="right" indent="2"/>
    </xf>
    <xf numFmtId="3" fontId="22" fillId="6" borderId="27" xfId="0" applyNumberFormat="1" applyFont="1" applyFill="1" applyBorder="1" applyAlignment="1">
      <alignment horizontal="right" indent="2"/>
    </xf>
    <xf numFmtId="3" fontId="22" fillId="6" borderId="35" xfId="0" applyNumberFormat="1" applyFont="1" applyFill="1" applyBorder="1" applyAlignment="1">
      <alignment horizontal="right" indent="2"/>
    </xf>
    <xf numFmtId="3" fontId="22" fillId="6" borderId="36" xfId="0" applyNumberFormat="1" applyFont="1" applyFill="1" applyBorder="1" applyAlignment="1">
      <alignment horizontal="right" indent="2"/>
    </xf>
    <xf numFmtId="3" fontId="22" fillId="6" borderId="37" xfId="0" applyNumberFormat="1" applyFont="1" applyFill="1" applyBorder="1" applyAlignment="1">
      <alignment horizontal="right" indent="2"/>
    </xf>
    <xf numFmtId="3" fontId="22" fillId="6" borderId="33" xfId="0" applyNumberFormat="1" applyFont="1" applyFill="1" applyBorder="1" applyAlignment="1">
      <alignment horizontal="right" indent="2"/>
    </xf>
    <xf numFmtId="3" fontId="22" fillId="0" borderId="5" xfId="0" applyNumberFormat="1" applyFont="1" applyBorder="1" applyAlignment="1">
      <alignment horizontal="left"/>
    </xf>
    <xf numFmtId="0" fontId="22" fillId="0" borderId="0" xfId="0" applyFont="1" applyAlignment="1">
      <alignment horizontal="left"/>
    </xf>
    <xf numFmtId="3" fontId="22" fillId="0" borderId="43" xfId="0" applyNumberFormat="1" applyFont="1" applyBorder="1" applyAlignment="1">
      <alignment horizontal="left"/>
    </xf>
    <xf numFmtId="3" fontId="22" fillId="0" borderId="44" xfId="0" applyNumberFormat="1" applyFont="1" applyBorder="1" applyAlignment="1">
      <alignment horizontal="left"/>
    </xf>
    <xf numFmtId="0" fontId="0" fillId="0" borderId="0" xfId="0" applyAlignment="1">
      <alignment vertical="center" wrapText="1"/>
    </xf>
    <xf numFmtId="0" fontId="0" fillId="0" borderId="0" xfId="0" applyAlignment="1">
      <alignment horizontal="left" vertical="center"/>
    </xf>
    <xf numFmtId="3" fontId="0" fillId="0" borderId="49" xfId="0" applyNumberFormat="1" applyBorder="1" applyAlignment="1">
      <alignment horizontal="left" indent="2"/>
    </xf>
    <xf numFmtId="4" fontId="0" fillId="0" borderId="0" xfId="0" applyNumberFormat="1"/>
    <xf numFmtId="3" fontId="22" fillId="4" borderId="46" xfId="0" applyNumberFormat="1" applyFont="1" applyFill="1" applyBorder="1" applyAlignment="1">
      <alignment horizontal="right" indent="2"/>
    </xf>
    <xf numFmtId="0" fontId="22" fillId="0" borderId="0" xfId="0" applyFont="1"/>
    <xf numFmtId="3" fontId="22" fillId="4" borderId="47" xfId="0" applyNumberFormat="1" applyFont="1" applyFill="1" applyBorder="1" applyAlignment="1">
      <alignment horizontal="right" indent="2"/>
    </xf>
    <xf numFmtId="3" fontId="22" fillId="4" borderId="48" xfId="0" applyNumberFormat="1" applyFont="1" applyFill="1" applyBorder="1" applyAlignment="1">
      <alignment horizontal="right" indent="2"/>
    </xf>
    <xf numFmtId="3" fontId="22" fillId="4" borderId="21" xfId="0" applyNumberFormat="1" applyFont="1" applyFill="1" applyBorder="1" applyAlignment="1">
      <alignment horizontal="right" indent="2"/>
    </xf>
    <xf numFmtId="3" fontId="22" fillId="4" borderId="10" xfId="0" applyNumberFormat="1" applyFont="1" applyFill="1" applyBorder="1" applyAlignment="1">
      <alignment horizontal="right" indent="2"/>
    </xf>
    <xf numFmtId="3" fontId="22" fillId="4" borderId="49" xfId="0" applyNumberFormat="1" applyFont="1" applyFill="1" applyBorder="1" applyAlignment="1">
      <alignment horizontal="right" indent="2"/>
    </xf>
    <xf numFmtId="3" fontId="22" fillId="4" borderId="50" xfId="0" applyNumberFormat="1" applyFont="1" applyFill="1" applyBorder="1" applyAlignment="1">
      <alignment horizontal="right" indent="2"/>
    </xf>
    <xf numFmtId="0" fontId="22" fillId="0" borderId="0" xfId="0" applyFont="1" applyAlignment="1">
      <alignment horizontal="right"/>
    </xf>
    <xf numFmtId="3" fontId="0" fillId="0" borderId="0" xfId="0" applyNumberFormat="1" applyAlignment="1">
      <alignment horizontal="left" indent="1"/>
    </xf>
    <xf numFmtId="3" fontId="22" fillId="4" borderId="35" xfId="0" applyNumberFormat="1" applyFont="1" applyFill="1" applyBorder="1" applyAlignment="1">
      <alignment horizontal="right" indent="2"/>
    </xf>
    <xf numFmtId="3" fontId="22" fillId="4" borderId="36" xfId="0" applyNumberFormat="1" applyFont="1" applyFill="1" applyBorder="1" applyAlignment="1">
      <alignment horizontal="right" indent="2"/>
    </xf>
    <xf numFmtId="3" fontId="22" fillId="4" borderId="37" xfId="0" applyNumberFormat="1" applyFont="1" applyFill="1" applyBorder="1" applyAlignment="1">
      <alignment horizontal="right" indent="2"/>
    </xf>
    <xf numFmtId="166" fontId="0" fillId="0" borderId="44" xfId="0" applyNumberFormat="1" applyBorder="1" applyAlignment="1">
      <alignment horizontal="left" vertical="center"/>
    </xf>
    <xf numFmtId="166" fontId="0" fillId="0" borderId="44" xfId="0" applyNumberFormat="1" applyBorder="1" applyAlignment="1">
      <alignment horizontal="right" vertical="center" wrapText="1"/>
    </xf>
    <xf numFmtId="3" fontId="0" fillId="0" borderId="26" xfId="0" applyNumberFormat="1" applyBorder="1" applyAlignment="1">
      <alignment horizontal="right" indent="2"/>
    </xf>
    <xf numFmtId="0" fontId="41" fillId="0" borderId="53" xfId="0" applyFont="1" applyBorder="1" applyAlignment="1">
      <alignment horizontal="center" vertical="center" textRotation="90" wrapText="1"/>
    </xf>
    <xf numFmtId="0" fontId="45" fillId="0" borderId="38" xfId="0" applyFont="1" applyBorder="1" applyAlignment="1">
      <alignment horizontal="right"/>
    </xf>
    <xf numFmtId="0" fontId="46" fillId="0" borderId="7" xfId="0" applyFont="1" applyBorder="1" applyAlignment="1">
      <alignment horizontal="center"/>
    </xf>
    <xf numFmtId="0" fontId="45" fillId="0" borderId="0" xfId="0" applyFont="1" applyAlignment="1">
      <alignment horizontal="right"/>
    </xf>
    <xf numFmtId="165" fontId="30" fillId="0" borderId="35" xfId="2" applyNumberFormat="1" applyFont="1" applyFill="1" applyBorder="1" applyAlignment="1">
      <alignment horizontal="right" indent="2"/>
    </xf>
    <xf numFmtId="0" fontId="30" fillId="0" borderId="0" xfId="0" applyFont="1" applyAlignment="1">
      <alignment horizontal="right"/>
    </xf>
    <xf numFmtId="165" fontId="30" fillId="0" borderId="33" xfId="2" applyNumberFormat="1" applyFont="1" applyFill="1" applyBorder="1" applyAlignment="1">
      <alignment horizontal="right" indent="2"/>
    </xf>
    <xf numFmtId="165" fontId="30" fillId="0" borderId="41" xfId="2" applyNumberFormat="1" applyFont="1" applyFill="1" applyBorder="1" applyAlignment="1">
      <alignment horizontal="right" indent="2"/>
    </xf>
    <xf numFmtId="165" fontId="30" fillId="0" borderId="38" xfId="2" applyNumberFormat="1" applyFont="1" applyFill="1" applyBorder="1" applyAlignment="1">
      <alignment horizontal="right" indent="2"/>
    </xf>
    <xf numFmtId="165" fontId="30" fillId="0" borderId="33" xfId="2" applyNumberFormat="1" applyFont="1" applyFill="1" applyBorder="1" applyAlignment="1">
      <alignment horizontal="center" vertical="center" wrapText="1"/>
    </xf>
    <xf numFmtId="165" fontId="30" fillId="0" borderId="38" xfId="2" applyNumberFormat="1" applyFont="1" applyFill="1" applyBorder="1" applyAlignment="1">
      <alignment horizontal="center" vertical="center" wrapText="1"/>
    </xf>
    <xf numFmtId="0" fontId="47" fillId="0" borderId="0" xfId="0" applyFont="1" applyAlignment="1">
      <alignment horizontal="right"/>
    </xf>
    <xf numFmtId="165" fontId="30" fillId="0" borderId="42" xfId="2" applyNumberFormat="1" applyFont="1" applyFill="1" applyBorder="1" applyAlignment="1">
      <alignment horizontal="right" indent="2"/>
    </xf>
    <xf numFmtId="165" fontId="30" fillId="0" borderId="42" xfId="2" applyNumberFormat="1" applyFont="1" applyFill="1" applyBorder="1" applyAlignment="1">
      <alignment horizontal="left"/>
    </xf>
    <xf numFmtId="0" fontId="45" fillId="0" borderId="7" xfId="0" applyFont="1" applyBorder="1"/>
    <xf numFmtId="0" fontId="45" fillId="0" borderId="0" xfId="0" applyFont="1"/>
    <xf numFmtId="0" fontId="0" fillId="0" borderId="5" xfId="0" applyBorder="1" applyAlignment="1">
      <alignment horizontal="right"/>
    </xf>
    <xf numFmtId="0" fontId="0" fillId="0" borderId="43" xfId="0" applyBorder="1" applyAlignment="1">
      <alignment horizontal="center"/>
    </xf>
    <xf numFmtId="0" fontId="0" fillId="0" borderId="44" xfId="0" applyBorder="1" applyAlignment="1">
      <alignment horizontal="center"/>
    </xf>
    <xf numFmtId="165" fontId="9" fillId="0" borderId="16" xfId="0" applyNumberFormat="1" applyFont="1" applyBorder="1" applyAlignment="1">
      <alignment horizontal="center"/>
    </xf>
    <xf numFmtId="0" fontId="0" fillId="0" borderId="44" xfId="0" applyBorder="1" applyAlignment="1">
      <alignment horizontal="right"/>
    </xf>
    <xf numFmtId="0" fontId="0" fillId="0" borderId="43" xfId="0" applyBorder="1"/>
    <xf numFmtId="3" fontId="18" fillId="0" borderId="43" xfId="2" applyNumberFormat="1" applyFont="1" applyFill="1" applyBorder="1" applyAlignment="1">
      <alignment horizontal="right" indent="2"/>
    </xf>
    <xf numFmtId="3" fontId="18" fillId="0" borderId="44" xfId="2" applyNumberFormat="1" applyFont="1" applyFill="1" applyBorder="1" applyAlignment="1">
      <alignment horizontal="right" indent="2"/>
    </xf>
    <xf numFmtId="165" fontId="48" fillId="0" borderId="0" xfId="2" applyNumberFormat="1" applyFont="1" applyFill="1" applyBorder="1" applyAlignment="1">
      <alignment horizontal="left"/>
    </xf>
    <xf numFmtId="166" fontId="0" fillId="4" borderId="21" xfId="0" applyNumberFormat="1" applyFill="1" applyBorder="1" applyAlignment="1">
      <alignment horizontal="right" indent="2"/>
    </xf>
    <xf numFmtId="3" fontId="0" fillId="4" borderId="40" xfId="0" applyNumberFormat="1" applyFill="1" applyBorder="1" applyAlignment="1">
      <alignment horizontal="right" indent="2"/>
    </xf>
    <xf numFmtId="166" fontId="0" fillId="4" borderId="33" xfId="0" applyNumberFormat="1" applyFill="1" applyBorder="1" applyAlignment="1">
      <alignment horizontal="right" indent="2"/>
    </xf>
    <xf numFmtId="166" fontId="0" fillId="0" borderId="41" xfId="0" applyNumberFormat="1" applyBorder="1" applyAlignment="1">
      <alignment horizontal="right" indent="2"/>
    </xf>
    <xf numFmtId="166" fontId="0" fillId="4" borderId="39" xfId="0" applyNumberFormat="1" applyFill="1" applyBorder="1" applyAlignment="1">
      <alignment horizontal="right" indent="2"/>
    </xf>
    <xf numFmtId="3" fontId="29" fillId="0" borderId="42" xfId="0" applyNumberFormat="1" applyFont="1" applyBorder="1" applyAlignment="1">
      <alignment horizontal="left"/>
    </xf>
    <xf numFmtId="166" fontId="29" fillId="0" borderId="42" xfId="0" applyNumberFormat="1" applyFont="1" applyBorder="1" applyAlignment="1">
      <alignment horizontal="left"/>
    </xf>
    <xf numFmtId="166" fontId="0" fillId="0" borderId="0" xfId="0" applyNumberFormat="1" applyAlignment="1">
      <alignment horizontal="left"/>
    </xf>
    <xf numFmtId="3" fontId="2" fillId="0" borderId="44" xfId="0" applyNumberFormat="1" applyFont="1" applyBorder="1" applyAlignment="1">
      <alignment horizontal="right" indent="2"/>
    </xf>
    <xf numFmtId="166" fontId="0" fillId="4" borderId="18" xfId="0" applyNumberFormat="1" applyFill="1" applyBorder="1" applyAlignment="1">
      <alignment horizontal="right" indent="2"/>
    </xf>
    <xf numFmtId="166" fontId="0" fillId="4" borderId="0" xfId="0" applyNumberFormat="1" applyFill="1" applyAlignment="1">
      <alignment horizontal="right" indent="4"/>
    </xf>
    <xf numFmtId="166" fontId="2" fillId="0" borderId="19" xfId="0" applyNumberFormat="1" applyFont="1" applyBorder="1" applyAlignment="1">
      <alignment horizontal="right" indent="2"/>
    </xf>
    <xf numFmtId="166" fontId="0" fillId="0" borderId="59" xfId="0" applyNumberFormat="1" applyBorder="1" applyAlignment="1">
      <alignment horizontal="right" indent="2"/>
    </xf>
    <xf numFmtId="166" fontId="0" fillId="0" borderId="19" xfId="0" applyNumberFormat="1" applyBorder="1" applyAlignment="1">
      <alignment horizontal="right" indent="2"/>
    </xf>
    <xf numFmtId="166" fontId="45" fillId="4" borderId="47" xfId="0" applyNumberFormat="1" applyFont="1" applyFill="1" applyBorder="1" applyAlignment="1">
      <alignment horizontal="right" indent="2"/>
    </xf>
    <xf numFmtId="166" fontId="0" fillId="0" borderId="26" xfId="0" applyNumberFormat="1" applyBorder="1" applyAlignment="1">
      <alignment horizontal="right" indent="2"/>
    </xf>
    <xf numFmtId="166" fontId="0" fillId="4" borderId="47" xfId="0" applyNumberFormat="1" applyFill="1" applyBorder="1" applyAlignment="1">
      <alignment horizontal="right" indent="4"/>
    </xf>
    <xf numFmtId="165" fontId="30" fillId="0" borderId="11" xfId="2" applyNumberFormat="1" applyFont="1" applyFill="1" applyBorder="1" applyAlignment="1"/>
    <xf numFmtId="166" fontId="0" fillId="4" borderId="30" xfId="0" applyNumberFormat="1" applyFill="1" applyBorder="1" applyAlignment="1">
      <alignment horizontal="right" indent="2"/>
    </xf>
    <xf numFmtId="166" fontId="0" fillId="0" borderId="32" xfId="0" applyNumberFormat="1" applyBorder="1" applyAlignment="1">
      <alignment horizontal="right" indent="2"/>
    </xf>
    <xf numFmtId="166" fontId="0" fillId="4" borderId="32" xfId="0" applyNumberFormat="1" applyFill="1" applyBorder="1" applyAlignment="1">
      <alignment horizontal="right" indent="2"/>
    </xf>
    <xf numFmtId="166" fontId="0" fillId="0" borderId="0" xfId="0" applyNumberFormat="1" applyAlignment="1">
      <alignment horizontal="right" indent="4"/>
    </xf>
    <xf numFmtId="166" fontId="2" fillId="4" borderId="47" xfId="0" applyNumberFormat="1" applyFont="1" applyFill="1" applyBorder="1" applyAlignment="1">
      <alignment horizontal="right" indent="4"/>
    </xf>
    <xf numFmtId="166" fontId="0" fillId="0" borderId="39" xfId="0" applyNumberFormat="1" applyBorder="1" applyAlignment="1">
      <alignment horizontal="right" indent="2"/>
    </xf>
    <xf numFmtId="166" fontId="0" fillId="0" borderId="42" xfId="0" applyNumberFormat="1" applyBorder="1" applyAlignment="1">
      <alignment horizontal="right" indent="4"/>
    </xf>
    <xf numFmtId="166" fontId="0" fillId="4" borderId="30" xfId="0" applyNumberFormat="1" applyFill="1" applyBorder="1" applyAlignment="1">
      <alignment horizontal="right" indent="4"/>
    </xf>
    <xf numFmtId="166" fontId="0" fillId="0" borderId="40" xfId="0" applyNumberFormat="1" applyBorder="1" applyAlignment="1">
      <alignment horizontal="right" indent="2"/>
    </xf>
    <xf numFmtId="166" fontId="0" fillId="0" borderId="82" xfId="0" applyNumberFormat="1" applyBorder="1" applyAlignment="1">
      <alignment horizontal="right" indent="2"/>
    </xf>
    <xf numFmtId="3" fontId="14" fillId="4" borderId="46" xfId="0" applyNumberFormat="1" applyFont="1" applyFill="1" applyBorder="1" applyAlignment="1">
      <alignment horizontal="right" indent="2"/>
    </xf>
    <xf numFmtId="3" fontId="14" fillId="4" borderId="48" xfId="0" applyNumberFormat="1" applyFont="1" applyFill="1" applyBorder="1" applyAlignment="1">
      <alignment horizontal="right" indent="2"/>
    </xf>
    <xf numFmtId="3" fontId="22" fillId="0" borderId="11" xfId="0" applyNumberFormat="1" applyFont="1" applyBorder="1" applyAlignment="1">
      <alignment horizontal="right" vertical="center" wrapText="1" indent="2"/>
    </xf>
    <xf numFmtId="3" fontId="22" fillId="0" borderId="59" xfId="0" applyNumberFormat="1" applyFont="1" applyBorder="1" applyAlignment="1">
      <alignment horizontal="right" indent="2"/>
    </xf>
    <xf numFmtId="3" fontId="22" fillId="4" borderId="59" xfId="0" applyNumberFormat="1" applyFont="1" applyFill="1" applyBorder="1" applyAlignment="1">
      <alignment horizontal="right" indent="2"/>
    </xf>
    <xf numFmtId="3" fontId="22" fillId="0" borderId="0" xfId="0" applyNumberFormat="1" applyFont="1" applyAlignment="1">
      <alignment horizontal="right" indent="2"/>
    </xf>
    <xf numFmtId="3" fontId="0" fillId="0" borderId="32" xfId="0" applyNumberFormat="1" applyBorder="1" applyAlignment="1">
      <alignment horizontal="right" indent="2"/>
    </xf>
    <xf numFmtId="3" fontId="14" fillId="4" borderId="26" xfId="0" applyNumberFormat="1" applyFont="1" applyFill="1" applyBorder="1" applyAlignment="1">
      <alignment horizontal="right" indent="2"/>
    </xf>
    <xf numFmtId="165" fontId="20" fillId="0" borderId="39" xfId="2" applyNumberFormat="1" applyFont="1" applyFill="1" applyBorder="1" applyAlignment="1">
      <alignment horizontal="right" indent="2"/>
    </xf>
    <xf numFmtId="165" fontId="14" fillId="4" borderId="39" xfId="2" applyNumberFormat="1" applyFont="1" applyFill="1" applyBorder="1" applyAlignment="1">
      <alignment horizontal="right" indent="2"/>
    </xf>
    <xf numFmtId="3" fontId="0" fillId="6" borderId="17" xfId="0" applyNumberFormat="1" applyFill="1" applyBorder="1" applyAlignment="1">
      <alignment horizontal="right" indent="2"/>
    </xf>
    <xf numFmtId="3" fontId="0" fillId="0" borderId="6" xfId="0" applyNumberFormat="1" applyBorder="1" applyAlignment="1">
      <alignment horizontal="right" indent="2"/>
    </xf>
    <xf numFmtId="3" fontId="0" fillId="6" borderId="6" xfId="0" applyNumberFormat="1" applyFill="1" applyBorder="1" applyAlignment="1">
      <alignment horizontal="right" indent="2"/>
    </xf>
    <xf numFmtId="165" fontId="9" fillId="0" borderId="62" xfId="0" applyNumberFormat="1" applyFont="1" applyBorder="1" applyAlignment="1">
      <alignment horizontal="right" indent="2"/>
    </xf>
    <xf numFmtId="3" fontId="23" fillId="0" borderId="26" xfId="0" applyNumberFormat="1" applyFont="1" applyBorder="1" applyAlignment="1">
      <alignment horizontal="right" indent="2"/>
    </xf>
    <xf numFmtId="3" fontId="0" fillId="0" borderId="39" xfId="0" applyNumberFormat="1" applyBorder="1" applyAlignment="1">
      <alignment horizontal="right" indent="2"/>
    </xf>
    <xf numFmtId="3" fontId="3" fillId="7" borderId="12" xfId="0" applyNumberFormat="1" applyFont="1" applyFill="1" applyBorder="1" applyAlignment="1">
      <alignment horizontal="left"/>
    </xf>
    <xf numFmtId="166" fontId="0" fillId="7" borderId="11" xfId="0" applyNumberFormat="1" applyFill="1" applyBorder="1" applyAlignment="1">
      <alignment horizontal="right" vertical="center" wrapText="1" indent="2"/>
    </xf>
    <xf numFmtId="166" fontId="0" fillId="0" borderId="42" xfId="0" applyNumberFormat="1" applyBorder="1" applyAlignment="1">
      <alignment horizontal="right" indent="2"/>
    </xf>
    <xf numFmtId="166" fontId="18" fillId="0" borderId="11" xfId="0" applyNumberFormat="1" applyFont="1" applyBorder="1" applyAlignment="1">
      <alignment horizontal="right" indent="2"/>
    </xf>
    <xf numFmtId="166" fontId="24" fillId="0" borderId="11" xfId="0" applyNumberFormat="1" applyFont="1" applyBorder="1" applyAlignment="1">
      <alignment horizontal="right" indent="2"/>
    </xf>
    <xf numFmtId="165" fontId="15" fillId="6" borderId="17" xfId="2" applyNumberFormat="1" applyFont="1" applyFill="1" applyBorder="1" applyAlignment="1">
      <alignment horizontal="right" indent="2"/>
    </xf>
    <xf numFmtId="3" fontId="1" fillId="6" borderId="21" xfId="2" applyNumberFormat="1" applyFont="1" applyFill="1" applyBorder="1" applyAlignment="1">
      <alignment horizontal="right" indent="2"/>
    </xf>
    <xf numFmtId="3" fontId="1" fillId="6" borderId="51" xfId="2" applyNumberFormat="1" applyFont="1" applyFill="1" applyBorder="1" applyAlignment="1">
      <alignment horizontal="right" indent="2"/>
    </xf>
    <xf numFmtId="3" fontId="20" fillId="0" borderId="0" xfId="2" applyNumberFormat="1" applyFont="1" applyFill="1" applyBorder="1" applyAlignment="1">
      <alignment horizontal="right" indent="2"/>
    </xf>
    <xf numFmtId="3" fontId="20" fillId="0" borderId="11" xfId="2" applyNumberFormat="1" applyFont="1" applyFill="1" applyBorder="1" applyAlignment="1">
      <alignment horizontal="right" indent="2"/>
    </xf>
    <xf numFmtId="3" fontId="20" fillId="0" borderId="6" xfId="2" applyNumberFormat="1" applyFont="1" applyFill="1" applyBorder="1" applyAlignment="1">
      <alignment horizontal="right"/>
    </xf>
    <xf numFmtId="3" fontId="20" fillId="6" borderId="47" xfId="2" applyNumberFormat="1" applyFont="1" applyFill="1" applyBorder="1" applyAlignment="1">
      <alignment horizontal="right" indent="2"/>
    </xf>
    <xf numFmtId="3" fontId="20" fillId="6" borderId="62" xfId="2" applyNumberFormat="1" applyFont="1" applyFill="1" applyBorder="1" applyAlignment="1">
      <alignment horizontal="right" indent="2"/>
    </xf>
    <xf numFmtId="165" fontId="1" fillId="6" borderId="21" xfId="2" applyNumberFormat="1" applyFont="1" applyFill="1" applyBorder="1" applyAlignment="1">
      <alignment horizontal="right" indent="2"/>
    </xf>
    <xf numFmtId="9" fontId="1" fillId="6" borderId="51" xfId="2" applyFont="1" applyFill="1" applyBorder="1" applyAlignment="1">
      <alignment horizontal="right" indent="2"/>
    </xf>
    <xf numFmtId="9" fontId="1" fillId="0" borderId="0" xfId="2" applyFont="1" applyFill="1" applyBorder="1" applyAlignment="1">
      <alignment horizontal="right" indent="4"/>
    </xf>
    <xf numFmtId="9" fontId="1" fillId="0" borderId="11" xfId="2" applyFont="1" applyFill="1" applyBorder="1" applyAlignment="1">
      <alignment horizontal="right" indent="4"/>
    </xf>
    <xf numFmtId="9" fontId="1" fillId="0" borderId="8" xfId="2" applyFont="1" applyFill="1" applyBorder="1" applyAlignment="1">
      <alignment horizontal="right" indent="4"/>
    </xf>
    <xf numFmtId="9" fontId="1" fillId="6" borderId="24" xfId="2" applyFont="1" applyFill="1" applyBorder="1" applyAlignment="1">
      <alignment horizontal="right" indent="2"/>
    </xf>
    <xf numFmtId="9" fontId="1" fillId="6" borderId="22" xfId="2" applyFont="1" applyFill="1" applyBorder="1" applyAlignment="1">
      <alignment horizontal="right" indent="2"/>
    </xf>
    <xf numFmtId="165" fontId="1" fillId="6" borderId="51" xfId="2" applyNumberFormat="1" applyFont="1" applyFill="1" applyBorder="1" applyAlignment="1">
      <alignment horizontal="right" indent="2"/>
    </xf>
    <xf numFmtId="165" fontId="1" fillId="0" borderId="0" xfId="2" applyNumberFormat="1" applyFont="1" applyFill="1" applyBorder="1" applyAlignment="1">
      <alignment horizontal="right" indent="4"/>
    </xf>
    <xf numFmtId="165" fontId="1" fillId="0" borderId="11" xfId="2" applyNumberFormat="1" applyFont="1" applyFill="1" applyBorder="1" applyAlignment="1">
      <alignment horizontal="right" indent="4"/>
    </xf>
    <xf numFmtId="165" fontId="1" fillId="0" borderId="8" xfId="2" applyNumberFormat="1" applyFont="1" applyFill="1" applyBorder="1" applyAlignment="1">
      <alignment horizontal="right" indent="4"/>
    </xf>
    <xf numFmtId="165" fontId="1" fillId="6" borderId="24" xfId="2" applyNumberFormat="1" applyFont="1" applyFill="1" applyBorder="1" applyAlignment="1">
      <alignment horizontal="right" indent="2"/>
    </xf>
    <xf numFmtId="165" fontId="1" fillId="6" borderId="22" xfId="2" applyNumberFormat="1" applyFont="1" applyFill="1" applyBorder="1" applyAlignment="1">
      <alignment horizontal="right" indent="2"/>
    </xf>
    <xf numFmtId="3" fontId="1" fillId="0" borderId="0" xfId="2" applyNumberFormat="1" applyFont="1" applyFill="1" applyBorder="1" applyAlignment="1">
      <alignment horizontal="right" indent="2"/>
    </xf>
    <xf numFmtId="3" fontId="1" fillId="0" borderId="11" xfId="2" applyNumberFormat="1" applyFont="1" applyFill="1" applyBorder="1" applyAlignment="1">
      <alignment horizontal="right" indent="2"/>
    </xf>
    <xf numFmtId="3" fontId="1" fillId="0" borderId="8" xfId="2" applyNumberFormat="1" applyFont="1" applyFill="1" applyBorder="1" applyAlignment="1">
      <alignment horizontal="right" indent="2"/>
    </xf>
    <xf numFmtId="3" fontId="1" fillId="6" borderId="24" xfId="2" applyNumberFormat="1" applyFont="1" applyFill="1" applyBorder="1" applyAlignment="1">
      <alignment horizontal="right" indent="2"/>
    </xf>
    <xf numFmtId="3" fontId="1" fillId="6" borderId="22" xfId="2" applyNumberFormat="1" applyFont="1" applyFill="1" applyBorder="1" applyAlignment="1">
      <alignment horizontal="right" indent="2"/>
    </xf>
    <xf numFmtId="9" fontId="1" fillId="6" borderId="21" xfId="2" applyFont="1" applyFill="1" applyBorder="1" applyAlignment="1">
      <alignment horizontal="right" indent="2"/>
    </xf>
    <xf numFmtId="9" fontId="1" fillId="0" borderId="0" xfId="2" applyFont="1" applyFill="1" applyBorder="1" applyAlignment="1">
      <alignment horizontal="right" indent="2"/>
    </xf>
    <xf numFmtId="9" fontId="1" fillId="0" borderId="11" xfId="2" applyFont="1" applyFill="1" applyBorder="1" applyAlignment="1">
      <alignment horizontal="right" indent="2"/>
    </xf>
    <xf numFmtId="9" fontId="1" fillId="0" borderId="8" xfId="2" applyFont="1" applyFill="1" applyBorder="1" applyAlignment="1">
      <alignment horizontal="right" indent="2"/>
    </xf>
    <xf numFmtId="3" fontId="9" fillId="0" borderId="11" xfId="0" applyNumberFormat="1" applyFont="1" applyBorder="1" applyAlignment="1">
      <alignment horizontal="right" indent="2"/>
    </xf>
    <xf numFmtId="165" fontId="18" fillId="6" borderId="21" xfId="2" applyNumberFormat="1" applyFont="1" applyFill="1" applyBorder="1" applyAlignment="1">
      <alignment horizontal="right" indent="4"/>
    </xf>
    <xf numFmtId="165" fontId="18" fillId="6" borderId="51" xfId="2" applyNumberFormat="1" applyFont="1" applyFill="1" applyBorder="1" applyAlignment="1">
      <alignment horizontal="right" indent="2"/>
    </xf>
    <xf numFmtId="165" fontId="1" fillId="0" borderId="0" xfId="2" applyNumberFormat="1" applyFont="1" applyFill="1" applyBorder="1" applyAlignment="1">
      <alignment horizontal="right"/>
    </xf>
    <xf numFmtId="165" fontId="1" fillId="0" borderId="11" xfId="2" applyNumberFormat="1" applyFont="1" applyFill="1" applyBorder="1" applyAlignment="1">
      <alignment horizontal="right"/>
    </xf>
    <xf numFmtId="165" fontId="1" fillId="0" borderId="8" xfId="2" applyNumberFormat="1" applyFont="1" applyFill="1" applyBorder="1" applyAlignment="1">
      <alignment horizontal="right"/>
    </xf>
    <xf numFmtId="165" fontId="18" fillId="6" borderId="24" xfId="2" applyNumberFormat="1" applyFont="1" applyFill="1" applyBorder="1" applyAlignment="1">
      <alignment horizontal="right" indent="2"/>
    </xf>
    <xf numFmtId="165" fontId="18" fillId="6" borderId="22" xfId="2" applyNumberFormat="1" applyFont="1" applyFill="1" applyBorder="1" applyAlignment="1">
      <alignment horizontal="right" indent="2"/>
    </xf>
    <xf numFmtId="165" fontId="15" fillId="0" borderId="38" xfId="2" applyNumberFormat="1" applyFont="1" applyFill="1" applyBorder="1" applyAlignment="1">
      <alignment horizontal="right" indent="2"/>
    </xf>
    <xf numFmtId="165" fontId="20" fillId="6" borderId="33" xfId="2" applyNumberFormat="1" applyFont="1" applyFill="1" applyBorder="1" applyAlignment="1">
      <alignment horizontal="right" indent="4"/>
    </xf>
    <xf numFmtId="166" fontId="18" fillId="0" borderId="42" xfId="0" applyNumberFormat="1" applyFont="1" applyBorder="1" applyAlignment="1">
      <alignment horizontal="right" indent="2"/>
    </xf>
    <xf numFmtId="165" fontId="20" fillId="6" borderId="66" xfId="2" applyNumberFormat="1" applyFont="1" applyFill="1" applyBorder="1" applyAlignment="1">
      <alignment horizontal="right" indent="2"/>
    </xf>
    <xf numFmtId="165" fontId="18" fillId="0" borderId="42" xfId="2" applyNumberFormat="1" applyFont="1" applyFill="1" applyBorder="1" applyAlignment="1">
      <alignment horizontal="right" indent="2"/>
    </xf>
    <xf numFmtId="165" fontId="18" fillId="0" borderId="38" xfId="2" applyNumberFormat="1" applyFont="1" applyFill="1" applyBorder="1" applyAlignment="1">
      <alignment horizontal="right" indent="2"/>
    </xf>
    <xf numFmtId="165" fontId="18" fillId="0" borderId="8" xfId="2" applyNumberFormat="1" applyFont="1" applyFill="1" applyBorder="1" applyAlignment="1">
      <alignment horizontal="right"/>
    </xf>
    <xf numFmtId="165" fontId="20" fillId="6" borderId="36" xfId="2" applyNumberFormat="1" applyFont="1" applyFill="1" applyBorder="1" applyAlignment="1">
      <alignment horizontal="right" indent="2"/>
    </xf>
    <xf numFmtId="165" fontId="20" fillId="6" borderId="34" xfId="2" applyNumberFormat="1" applyFont="1" applyFill="1" applyBorder="1" applyAlignment="1">
      <alignment horizontal="right" indent="2"/>
    </xf>
    <xf numFmtId="0" fontId="1" fillId="0" borderId="5" xfId="3" applyFont="1" applyFill="1" applyBorder="1" applyAlignment="1">
      <alignment horizontal="center" vertical="center" wrapText="1"/>
    </xf>
    <xf numFmtId="166" fontId="3" fillId="15" borderId="12" xfId="0" applyNumberFormat="1" applyFont="1" applyFill="1" applyBorder="1" applyAlignment="1">
      <alignment horizontal="left" vertical="center"/>
    </xf>
    <xf numFmtId="166" fontId="0" fillId="15" borderId="13" xfId="0" applyNumberFormat="1" applyFill="1" applyBorder="1"/>
    <xf numFmtId="166" fontId="5" fillId="0" borderId="5" xfId="0" applyNumberFormat="1" applyFont="1" applyBorder="1" applyAlignment="1">
      <alignment horizontal="center" vertical="center"/>
    </xf>
    <xf numFmtId="166" fontId="3" fillId="0" borderId="0" xfId="0" applyNumberFormat="1" applyFont="1" applyAlignment="1">
      <alignment horizontal="left" vertical="center"/>
    </xf>
    <xf numFmtId="166" fontId="0" fillId="15" borderId="14" xfId="0" applyNumberFormat="1" applyFill="1" applyBorder="1" applyAlignment="1">
      <alignment vertical="center" wrapText="1"/>
    </xf>
    <xf numFmtId="166" fontId="0" fillId="0" borderId="0" xfId="0" applyNumberFormat="1"/>
    <xf numFmtId="166" fontId="0" fillId="15" borderId="69" xfId="0" applyNumberFormat="1" applyFill="1" applyBorder="1" applyAlignment="1">
      <alignment vertical="center" wrapText="1"/>
    </xf>
    <xf numFmtId="166" fontId="0" fillId="15" borderId="70" xfId="0" applyNumberFormat="1" applyFill="1" applyBorder="1" applyAlignment="1">
      <alignment vertical="center" wrapText="1"/>
    </xf>
    <xf numFmtId="166" fontId="9" fillId="0" borderId="16" xfId="0" applyNumberFormat="1" applyFont="1" applyBorder="1" applyAlignment="1">
      <alignment vertical="center" wrapText="1"/>
    </xf>
    <xf numFmtId="166" fontId="3" fillId="0" borderId="17" xfId="0" applyNumberFormat="1" applyFont="1" applyBorder="1" applyAlignment="1">
      <alignment horizontal="left" vertical="center"/>
    </xf>
    <xf numFmtId="166" fontId="3" fillId="0" borderId="18" xfId="0" applyNumberFormat="1" applyFont="1" applyBorder="1" applyAlignment="1">
      <alignment horizontal="left" vertical="center"/>
    </xf>
    <xf numFmtId="166" fontId="0" fillId="15" borderId="12" xfId="0" applyNumberFormat="1" applyFill="1" applyBorder="1" applyAlignment="1">
      <alignment horizontal="left" vertical="center"/>
    </xf>
    <xf numFmtId="166" fontId="0" fillId="15" borderId="15" xfId="0" applyNumberFormat="1" applyFill="1" applyBorder="1" applyAlignment="1">
      <alignment vertical="center" wrapText="1"/>
    </xf>
    <xf numFmtId="166" fontId="0" fillId="15" borderId="12" xfId="0" applyNumberFormat="1" applyFill="1" applyBorder="1" applyAlignment="1">
      <alignment vertical="center" wrapText="1"/>
    </xf>
    <xf numFmtId="166" fontId="0" fillId="0" borderId="44" xfId="0" applyNumberFormat="1" applyBorder="1" applyAlignment="1">
      <alignment horizontal="right" vertical="center"/>
    </xf>
    <xf numFmtId="166" fontId="0" fillId="0" borderId="5" xfId="0" applyNumberFormat="1" applyBorder="1"/>
    <xf numFmtId="166" fontId="11" fillId="15" borderId="21" xfId="0" applyNumberFormat="1" applyFont="1" applyFill="1" applyBorder="1" applyAlignment="1">
      <alignment horizontal="center" vertical="center" textRotation="90" wrapText="1"/>
    </xf>
    <xf numFmtId="166" fontId="0" fillId="15" borderId="22" xfId="0" applyNumberFormat="1" applyFill="1" applyBorder="1" applyAlignment="1">
      <alignment horizontal="right"/>
    </xf>
    <xf numFmtId="166" fontId="5" fillId="0" borderId="10" xfId="0" applyNumberFormat="1" applyFont="1" applyBorder="1" applyAlignment="1">
      <alignment horizontal="center"/>
    </xf>
    <xf numFmtId="166" fontId="0" fillId="0" borderId="0" xfId="0" applyNumberFormat="1" applyAlignment="1">
      <alignment horizontal="right"/>
    </xf>
    <xf numFmtId="166" fontId="0" fillId="15" borderId="23" xfId="0" applyNumberFormat="1" applyFill="1" applyBorder="1" applyAlignment="1">
      <alignment horizontal="right" indent="2"/>
    </xf>
    <xf numFmtId="166" fontId="0" fillId="15" borderId="24" xfId="0" applyNumberFormat="1" applyFill="1" applyBorder="1" applyAlignment="1">
      <alignment horizontal="right" indent="2"/>
    </xf>
    <xf numFmtId="166" fontId="0" fillId="15" borderId="25" xfId="0" applyNumberFormat="1" applyFill="1" applyBorder="1" applyAlignment="1">
      <alignment horizontal="right" indent="2"/>
    </xf>
    <xf numFmtId="166" fontId="13" fillId="0" borderId="11" xfId="2" applyNumberFormat="1" applyFont="1" applyFill="1" applyBorder="1" applyAlignment="1"/>
    <xf numFmtId="166" fontId="0" fillId="0" borderId="21" xfId="0" applyNumberFormat="1" applyBorder="1" applyAlignment="1">
      <alignment horizontal="right"/>
    </xf>
    <xf numFmtId="166" fontId="0" fillId="0" borderId="18" xfId="0" applyNumberFormat="1" applyBorder="1" applyAlignment="1">
      <alignment horizontal="right"/>
    </xf>
    <xf numFmtId="166" fontId="0" fillId="15" borderId="21" xfId="0" applyNumberFormat="1" applyFill="1" applyBorder="1" applyAlignment="1">
      <alignment horizontal="right" indent="2"/>
    </xf>
    <xf numFmtId="166" fontId="0" fillId="15" borderId="26" xfId="0" applyNumberFormat="1" applyFill="1" applyBorder="1" applyAlignment="1">
      <alignment horizontal="right" indent="2"/>
    </xf>
    <xf numFmtId="166" fontId="0" fillId="0" borderId="19" xfId="0" applyNumberFormat="1" applyBorder="1" applyAlignment="1">
      <alignment horizontal="left"/>
    </xf>
    <xf numFmtId="166" fontId="0" fillId="0" borderId="19" xfId="0" applyNumberFormat="1" applyBorder="1" applyAlignment="1">
      <alignment horizontal="right"/>
    </xf>
    <xf numFmtId="166" fontId="0" fillId="0" borderId="10" xfId="0" applyNumberFormat="1" applyBorder="1"/>
    <xf numFmtId="166" fontId="2" fillId="15" borderId="22" xfId="0" applyNumberFormat="1" applyFont="1" applyFill="1" applyBorder="1" applyAlignment="1">
      <alignment horizontal="right"/>
    </xf>
    <xf numFmtId="166" fontId="11" fillId="15" borderId="27" xfId="0" applyNumberFormat="1" applyFont="1" applyFill="1" applyBorder="1" applyAlignment="1">
      <alignment horizontal="center" vertical="center" textRotation="90" wrapText="1"/>
    </xf>
    <xf numFmtId="166" fontId="2" fillId="15" borderId="28" xfId="0" applyNumberFormat="1" applyFont="1" applyFill="1" applyBorder="1" applyAlignment="1">
      <alignment horizontal="right"/>
    </xf>
    <xf numFmtId="166" fontId="0" fillId="15" borderId="29" xfId="0" applyNumberFormat="1" applyFill="1" applyBorder="1" applyAlignment="1">
      <alignment horizontal="right" indent="2"/>
    </xf>
    <xf numFmtId="166" fontId="0" fillId="0" borderId="27" xfId="0" applyNumberFormat="1" applyBorder="1" applyAlignment="1">
      <alignment horizontal="right"/>
    </xf>
    <xf numFmtId="166" fontId="11" fillId="15" borderId="33" xfId="0" applyNumberFormat="1" applyFont="1" applyFill="1" applyBorder="1" applyAlignment="1">
      <alignment horizontal="center" vertical="center" textRotation="90" wrapText="1"/>
    </xf>
    <xf numFmtId="166" fontId="0" fillId="15" borderId="34" xfId="0" applyNumberFormat="1" applyFill="1" applyBorder="1" applyAlignment="1">
      <alignment horizontal="right"/>
    </xf>
    <xf numFmtId="166" fontId="5" fillId="0" borderId="7" xfId="0" applyNumberFormat="1" applyFont="1" applyBorder="1" applyAlignment="1">
      <alignment horizontal="center"/>
    </xf>
    <xf numFmtId="166" fontId="0" fillId="15" borderId="35" xfId="0" applyNumberFormat="1" applyFill="1" applyBorder="1" applyAlignment="1">
      <alignment horizontal="right" indent="2"/>
    </xf>
    <xf numFmtId="166" fontId="0" fillId="15" borderId="36" xfId="0" applyNumberFormat="1" applyFill="1" applyBorder="1" applyAlignment="1">
      <alignment horizontal="right" indent="2"/>
    </xf>
    <xf numFmtId="166" fontId="0" fillId="15" borderId="37" xfId="0" applyNumberFormat="1" applyFill="1" applyBorder="1" applyAlignment="1">
      <alignment horizontal="right" indent="2"/>
    </xf>
    <xf numFmtId="166" fontId="0" fillId="15" borderId="33" xfId="0" applyNumberFormat="1" applyFill="1" applyBorder="1" applyAlignment="1">
      <alignment horizontal="right" indent="2"/>
    </xf>
    <xf numFmtId="166" fontId="0" fillId="15" borderId="39" xfId="0" applyNumberFormat="1" applyFill="1" applyBorder="1" applyAlignment="1">
      <alignment horizontal="right" indent="2"/>
    </xf>
    <xf numFmtId="166" fontId="0" fillId="0" borderId="40" xfId="0" applyNumberFormat="1" applyBorder="1" applyAlignment="1">
      <alignment horizontal="left"/>
    </xf>
    <xf numFmtId="166" fontId="0" fillId="0" borderId="40" xfId="0" applyNumberFormat="1" applyBorder="1" applyAlignment="1">
      <alignment horizontal="right"/>
    </xf>
    <xf numFmtId="166" fontId="0" fillId="0" borderId="7" xfId="0" applyNumberFormat="1" applyBorder="1"/>
    <xf numFmtId="0" fontId="0" fillId="0" borderId="44" xfId="0" applyBorder="1" applyAlignment="1">
      <alignment horizontal="right" vertical="center"/>
    </xf>
    <xf numFmtId="166" fontId="11" fillId="0" borderId="18" xfId="0" applyNumberFormat="1" applyFont="1" applyBorder="1" applyAlignment="1">
      <alignment horizontal="center" vertical="center" textRotation="90" wrapText="1"/>
    </xf>
    <xf numFmtId="166" fontId="0" fillId="0" borderId="11" xfId="0" applyNumberFormat="1" applyBorder="1" applyAlignment="1">
      <alignment horizontal="right"/>
    </xf>
    <xf numFmtId="166" fontId="0" fillId="4" borderId="46" xfId="0" applyNumberFormat="1" applyFill="1" applyBorder="1" applyAlignment="1">
      <alignment horizontal="right" indent="2"/>
    </xf>
    <xf numFmtId="166" fontId="0" fillId="4" borderId="79" xfId="0" applyNumberFormat="1" applyFill="1" applyBorder="1" applyAlignment="1">
      <alignment horizontal="right" indent="2"/>
    </xf>
    <xf numFmtId="166" fontId="0" fillId="0" borderId="50" xfId="0" applyNumberFormat="1" applyBorder="1" applyAlignment="1">
      <alignment horizontal="right" indent="2"/>
    </xf>
    <xf numFmtId="166" fontId="0" fillId="4" borderId="11" xfId="0" applyNumberFormat="1" applyFill="1" applyBorder="1" applyAlignment="1">
      <alignment horizontal="right" indent="2"/>
    </xf>
    <xf numFmtId="166" fontId="2" fillId="0" borderId="11" xfId="0" applyNumberFormat="1" applyFont="1" applyBorder="1" applyAlignment="1">
      <alignment horizontal="right"/>
    </xf>
    <xf numFmtId="166" fontId="0" fillId="4" borderId="10" xfId="0" applyNumberFormat="1" applyFill="1" applyBorder="1" applyAlignment="1">
      <alignment horizontal="right" indent="2"/>
    </xf>
    <xf numFmtId="166" fontId="0" fillId="0" borderId="50" xfId="0" applyNumberFormat="1" applyBorder="1" applyAlignment="1">
      <alignment horizontal="right"/>
    </xf>
    <xf numFmtId="166" fontId="45" fillId="4" borderId="63" xfId="0" applyNumberFormat="1" applyFont="1" applyFill="1" applyBorder="1" applyAlignment="1">
      <alignment horizontal="right" indent="2"/>
    </xf>
    <xf numFmtId="166" fontId="0" fillId="0" borderId="50" xfId="0" applyNumberFormat="1" applyBorder="1" applyAlignment="1">
      <alignment horizontal="left"/>
    </xf>
    <xf numFmtId="166" fontId="11" fillId="0" borderId="53" xfId="0" applyNumberFormat="1" applyFont="1" applyBorder="1" applyAlignment="1">
      <alignment horizontal="center" vertical="center" textRotation="90" wrapText="1"/>
    </xf>
    <xf numFmtId="166" fontId="0" fillId="0" borderId="38" xfId="0" applyNumberFormat="1" applyBorder="1" applyAlignment="1">
      <alignment horizontal="right"/>
    </xf>
    <xf numFmtId="166" fontId="0" fillId="4" borderId="35" xfId="0" applyNumberFormat="1" applyFill="1" applyBorder="1" applyAlignment="1">
      <alignment horizontal="right" indent="2"/>
    </xf>
    <xf numFmtId="166" fontId="13" fillId="0" borderId="38" xfId="2" applyNumberFormat="1" applyFont="1" applyFill="1" applyBorder="1" applyAlignment="1"/>
    <xf numFmtId="166" fontId="0" fillId="4" borderId="64" xfId="0" applyNumberFormat="1" applyFill="1" applyBorder="1" applyAlignment="1">
      <alignment horizontal="right" indent="2"/>
    </xf>
    <xf numFmtId="166" fontId="0" fillId="0" borderId="82" xfId="0" applyNumberFormat="1" applyBorder="1" applyAlignment="1">
      <alignment horizontal="right"/>
    </xf>
    <xf numFmtId="166" fontId="3" fillId="0" borderId="43" xfId="0" applyNumberFormat="1" applyFont="1" applyBorder="1" applyAlignment="1">
      <alignment horizontal="left"/>
    </xf>
    <xf numFmtId="166" fontId="0" fillId="0" borderId="16" xfId="0" applyNumberFormat="1" applyBorder="1"/>
    <xf numFmtId="166" fontId="5" fillId="0" borderId="5" xfId="0" applyNumberFormat="1" applyFont="1" applyBorder="1" applyAlignment="1">
      <alignment horizontal="center"/>
    </xf>
    <xf numFmtId="166" fontId="3" fillId="0" borderId="0" xfId="0" applyNumberFormat="1" applyFont="1" applyAlignment="1">
      <alignment horizontal="left"/>
    </xf>
    <xf numFmtId="166" fontId="0" fillId="0" borderId="5" xfId="0" applyNumberFormat="1" applyBorder="1" applyAlignment="1">
      <alignment horizontal="right" vertical="center" wrapText="1"/>
    </xf>
    <xf numFmtId="166" fontId="3" fillId="0" borderId="0" xfId="0" applyNumberFormat="1" applyFont="1" applyAlignment="1">
      <alignment horizontal="right"/>
    </xf>
    <xf numFmtId="166" fontId="0" fillId="0" borderId="43" xfId="0" applyNumberFormat="1" applyBorder="1" applyAlignment="1">
      <alignment horizontal="right" vertical="center" wrapText="1"/>
    </xf>
    <xf numFmtId="166" fontId="13" fillId="0" borderId="16" xfId="2" applyNumberFormat="1" applyFont="1" applyFill="1" applyBorder="1" applyAlignment="1">
      <alignment vertical="center" wrapText="1"/>
    </xf>
    <xf numFmtId="166" fontId="3" fillId="0" borderId="43" xfId="0" applyNumberFormat="1" applyFont="1" applyBorder="1" applyAlignment="1">
      <alignment horizontal="center" vertical="center" wrapText="1"/>
    </xf>
    <xf numFmtId="166" fontId="0" fillId="0" borderId="16" xfId="0" applyNumberFormat="1" applyBorder="1" applyAlignment="1">
      <alignment horizontal="right" vertical="center" wrapText="1" indent="2"/>
    </xf>
    <xf numFmtId="166" fontId="3" fillId="0" borderId="20" xfId="0" applyNumberFormat="1" applyFont="1" applyBorder="1" applyAlignment="1">
      <alignment horizontal="center" vertical="center" wrapText="1"/>
    </xf>
    <xf numFmtId="166" fontId="2" fillId="0" borderId="63" xfId="0" applyNumberFormat="1" applyFont="1" applyBorder="1" applyAlignment="1">
      <alignment horizontal="right" indent="2"/>
    </xf>
    <xf numFmtId="166" fontId="0" fillId="4" borderId="63" xfId="0" applyNumberFormat="1" applyFill="1" applyBorder="1" applyAlignment="1">
      <alignment horizontal="right" vertical="center" wrapText="1" indent="2"/>
    </xf>
    <xf numFmtId="166" fontId="0" fillId="0" borderId="25" xfId="0" applyNumberFormat="1" applyBorder="1" applyAlignment="1">
      <alignment horizontal="right" indent="2"/>
    </xf>
    <xf numFmtId="166" fontId="2" fillId="0" borderId="24" xfId="0" applyNumberFormat="1" applyFont="1" applyBorder="1" applyAlignment="1">
      <alignment horizontal="right" indent="2"/>
    </xf>
    <xf numFmtId="166" fontId="2" fillId="0" borderId="25" xfId="0" applyNumberFormat="1" applyFont="1" applyBorder="1" applyAlignment="1">
      <alignment horizontal="right" indent="2"/>
    </xf>
    <xf numFmtId="166" fontId="2" fillId="0" borderId="24" xfId="0" applyNumberFormat="1" applyFont="1" applyBorder="1" applyAlignment="1">
      <alignment horizontal="right" vertical="center" wrapText="1" indent="2"/>
    </xf>
    <xf numFmtId="166" fontId="0" fillId="0" borderId="11" xfId="0" quotePrefix="1" applyNumberFormat="1" applyBorder="1" applyAlignment="1">
      <alignment horizontal="right"/>
    </xf>
    <xf numFmtId="166" fontId="5" fillId="0" borderId="10" xfId="0" quotePrefix="1" applyNumberFormat="1" applyFont="1" applyBorder="1" applyAlignment="1">
      <alignment horizontal="center"/>
    </xf>
    <xf numFmtId="166" fontId="0" fillId="4" borderId="29" xfId="0" applyNumberFormat="1" applyFill="1" applyBorder="1" applyAlignment="1">
      <alignment horizontal="right" indent="2"/>
    </xf>
    <xf numFmtId="166" fontId="0" fillId="0" borderId="9" xfId="0" applyNumberFormat="1" applyBorder="1" applyAlignment="1">
      <alignment horizontal="right" indent="2"/>
    </xf>
    <xf numFmtId="165" fontId="13" fillId="0" borderId="53" xfId="2" applyNumberFormat="1" applyFont="1" applyFill="1" applyBorder="1" applyAlignment="1">
      <alignment horizontal="center" vertical="center" wrapText="1"/>
    </xf>
    <xf numFmtId="0" fontId="42" fillId="0" borderId="0" xfId="0" applyFont="1" applyAlignment="1">
      <alignment horizontal="right"/>
    </xf>
    <xf numFmtId="165" fontId="49" fillId="0" borderId="33" xfId="2" applyNumberFormat="1" applyFont="1" applyFill="1" applyBorder="1" applyAlignment="1">
      <alignment horizontal="center" vertical="center" wrapText="1"/>
    </xf>
    <xf numFmtId="165" fontId="49" fillId="0" borderId="42" xfId="2" applyNumberFormat="1" applyFont="1" applyFill="1" applyBorder="1" applyAlignment="1">
      <alignment horizontal="right" indent="2"/>
    </xf>
    <xf numFmtId="3" fontId="0" fillId="0" borderId="57" xfId="0" applyNumberFormat="1" applyBorder="1" applyAlignment="1">
      <alignment horizontal="right" indent="2"/>
    </xf>
    <xf numFmtId="0" fontId="45" fillId="0" borderId="13" xfId="0" applyFont="1" applyBorder="1" applyAlignment="1">
      <alignment vertical="center" wrapText="1"/>
    </xf>
    <xf numFmtId="165" fontId="50" fillId="0" borderId="0" xfId="2" applyNumberFormat="1" applyFont="1" applyFill="1" applyBorder="1" applyAlignment="1">
      <alignment horizontal="left"/>
    </xf>
    <xf numFmtId="166" fontId="2" fillId="0" borderId="11" xfId="0" applyNumberFormat="1" applyFont="1" applyBorder="1" applyAlignment="1">
      <alignment horizontal="right" indent="2"/>
    </xf>
    <xf numFmtId="3" fontId="0" fillId="4" borderId="38" xfId="0" applyNumberFormat="1" applyFill="1" applyBorder="1" applyAlignment="1">
      <alignment horizontal="right" vertical="center" wrapText="1" indent="2"/>
    </xf>
    <xf numFmtId="166" fontId="2" fillId="0" borderId="38" xfId="0" applyNumberFormat="1" applyFont="1" applyBorder="1" applyAlignment="1">
      <alignment horizontal="right" indent="2"/>
    </xf>
    <xf numFmtId="165" fontId="9" fillId="0" borderId="5" xfId="0" applyNumberFormat="1" applyFont="1" applyBorder="1" applyAlignment="1">
      <alignment vertical="center" wrapText="1"/>
    </xf>
    <xf numFmtId="0" fontId="38" fillId="4" borderId="4" xfId="0" applyFont="1" applyFill="1" applyBorder="1" applyAlignment="1">
      <alignment horizontal="center" vertical="center" wrapText="1"/>
    </xf>
    <xf numFmtId="0" fontId="0" fillId="0" borderId="16" xfId="0" applyBorder="1" applyAlignment="1">
      <alignment horizontal="center"/>
    </xf>
    <xf numFmtId="0" fontId="2" fillId="0" borderId="16" xfId="0" applyFont="1" applyBorder="1" applyAlignment="1">
      <alignment horizontal="center"/>
    </xf>
    <xf numFmtId="3" fontId="2" fillId="4" borderId="48" xfId="0" applyNumberFormat="1" applyFont="1" applyFill="1" applyBorder="1" applyAlignment="1">
      <alignment horizontal="right" indent="2"/>
    </xf>
    <xf numFmtId="166" fontId="0" fillId="0" borderId="11" xfId="0" applyNumberFormat="1" applyBorder="1" applyAlignment="1">
      <alignment horizontal="right" vertical="center" wrapText="1" indent="2"/>
    </xf>
    <xf numFmtId="166" fontId="0" fillId="4" borderId="17" xfId="0" applyNumberFormat="1" applyFill="1" applyBorder="1" applyAlignment="1">
      <alignment horizontal="right" indent="2"/>
    </xf>
    <xf numFmtId="166" fontId="2" fillId="0" borderId="0" xfId="0" applyNumberFormat="1" applyFont="1" applyAlignment="1">
      <alignment horizontal="right" indent="2"/>
    </xf>
    <xf numFmtId="9" fontId="13" fillId="0" borderId="11" xfId="2" applyFont="1" applyFill="1" applyBorder="1" applyAlignment="1"/>
    <xf numFmtId="9" fontId="15" fillId="0" borderId="11" xfId="2" applyFont="1" applyFill="1" applyBorder="1" applyAlignment="1"/>
    <xf numFmtId="166" fontId="2" fillId="0" borderId="62" xfId="0" applyNumberFormat="1" applyFont="1" applyBorder="1" applyAlignment="1">
      <alignment horizontal="right" indent="2"/>
    </xf>
    <xf numFmtId="166" fontId="0" fillId="4" borderId="0" xfId="0" applyNumberFormat="1" applyFill="1" applyAlignment="1">
      <alignment horizontal="right" indent="2"/>
    </xf>
    <xf numFmtId="166" fontId="2" fillId="0" borderId="22" xfId="0" applyNumberFormat="1" applyFont="1" applyBorder="1" applyAlignment="1">
      <alignment horizontal="right" indent="2"/>
    </xf>
    <xf numFmtId="166" fontId="2" fillId="0" borderId="28" xfId="0" applyNumberFormat="1" applyFont="1" applyBorder="1" applyAlignment="1">
      <alignment horizontal="right" indent="2"/>
    </xf>
    <xf numFmtId="166" fontId="0" fillId="0" borderId="18" xfId="0" applyNumberFormat="1" applyBorder="1" applyAlignment="1">
      <alignment horizontal="right" indent="2"/>
    </xf>
    <xf numFmtId="166" fontId="0" fillId="0" borderId="11" xfId="0" applyNumberFormat="1" applyBorder="1"/>
    <xf numFmtId="166" fontId="9" fillId="0" borderId="11" xfId="0" applyNumberFormat="1" applyFont="1" applyBorder="1" applyAlignment="1">
      <alignment horizontal="right" indent="2"/>
    </xf>
    <xf numFmtId="166" fontId="0" fillId="0" borderId="38" xfId="0" applyNumberFormat="1" applyBorder="1" applyAlignment="1">
      <alignment horizontal="right" vertical="center" wrapText="1" indent="2"/>
    </xf>
    <xf numFmtId="166" fontId="0" fillId="0" borderId="34" xfId="0" applyNumberFormat="1" applyBorder="1" applyAlignment="1">
      <alignment horizontal="right" indent="2"/>
    </xf>
    <xf numFmtId="166" fontId="0" fillId="0" borderId="18" xfId="0" applyNumberFormat="1" applyBorder="1" applyAlignment="1">
      <alignment horizontal="left"/>
    </xf>
    <xf numFmtId="166" fontId="9" fillId="0" borderId="11" xfId="2" applyNumberFormat="1" applyFont="1" applyFill="1" applyBorder="1" applyAlignment="1">
      <alignment horizontal="right" indent="2"/>
    </xf>
    <xf numFmtId="166" fontId="0" fillId="0" borderId="43" xfId="0" applyNumberFormat="1" applyBorder="1" applyAlignment="1">
      <alignment horizontal="left"/>
    </xf>
    <xf numFmtId="166" fontId="45" fillId="0" borderId="13" xfId="0" applyNumberFormat="1" applyFont="1" applyBorder="1" applyAlignment="1">
      <alignment vertical="center" wrapText="1"/>
    </xf>
    <xf numFmtId="166" fontId="0" fillId="0" borderId="16" xfId="0" applyNumberFormat="1" applyBorder="1" applyAlignment="1">
      <alignment horizontal="left"/>
    </xf>
    <xf numFmtId="166" fontId="2" fillId="0" borderId="11" xfId="0" applyNumberFormat="1" applyFont="1" applyBorder="1" applyAlignment="1">
      <alignment horizontal="right" vertical="center" wrapText="1" indent="2"/>
    </xf>
    <xf numFmtId="166" fontId="2" fillId="4" borderId="47" xfId="0" applyNumberFormat="1" applyFont="1" applyFill="1" applyBorder="1" applyAlignment="1">
      <alignment horizontal="right" indent="2"/>
    </xf>
    <xf numFmtId="166" fontId="2" fillId="4" borderId="17" xfId="0" applyNumberFormat="1" applyFont="1" applyFill="1" applyBorder="1" applyAlignment="1">
      <alignment horizontal="right" indent="2"/>
    </xf>
    <xf numFmtId="166" fontId="2" fillId="4" borderId="62" xfId="0" applyNumberFormat="1" applyFont="1" applyFill="1" applyBorder="1" applyAlignment="1">
      <alignment horizontal="right" indent="2"/>
    </xf>
    <xf numFmtId="166" fontId="0" fillId="0" borderId="43" xfId="0" applyNumberFormat="1" applyBorder="1" applyAlignment="1">
      <alignment horizontal="right" indent="2"/>
    </xf>
    <xf numFmtId="166" fontId="9" fillId="0" borderId="16" xfId="2" applyNumberFormat="1" applyFont="1" applyFill="1" applyBorder="1" applyAlignment="1">
      <alignment horizontal="right" indent="2"/>
    </xf>
    <xf numFmtId="166" fontId="0" fillId="0" borderId="16" xfId="0" applyNumberFormat="1" applyBorder="1" applyAlignment="1">
      <alignment horizontal="right" indent="2"/>
    </xf>
    <xf numFmtId="166" fontId="2" fillId="0" borderId="17" xfId="0" applyNumberFormat="1" applyFont="1" applyBorder="1" applyAlignment="1">
      <alignment horizontal="right" indent="2"/>
    </xf>
    <xf numFmtId="166" fontId="9" fillId="0" borderId="16" xfId="0" applyNumberFormat="1" applyFont="1" applyBorder="1" applyAlignment="1">
      <alignment horizontal="right" indent="2"/>
    </xf>
    <xf numFmtId="166" fontId="36" fillId="0" borderId="11" xfId="2" applyNumberFormat="1" applyFont="1" applyFill="1" applyBorder="1" applyAlignment="1"/>
    <xf numFmtId="166" fontId="20" fillId="4" borderId="36" xfId="2" applyNumberFormat="1" applyFont="1" applyFill="1" applyBorder="1" applyAlignment="1">
      <alignment horizontal="right" indent="2"/>
    </xf>
    <xf numFmtId="166" fontId="20" fillId="0" borderId="38" xfId="2" applyNumberFormat="1" applyFont="1" applyBorder="1" applyAlignment="1">
      <alignment horizontal="right" vertical="center" wrapText="1" indent="2"/>
    </xf>
    <xf numFmtId="166" fontId="20" fillId="4" borderId="33" xfId="2" applyNumberFormat="1" applyFont="1" applyFill="1" applyBorder="1" applyAlignment="1">
      <alignment horizontal="right" indent="2"/>
    </xf>
    <xf numFmtId="166" fontId="0" fillId="0" borderId="42" xfId="2" applyNumberFormat="1" applyFont="1" applyFill="1" applyBorder="1" applyAlignment="1">
      <alignment horizontal="right" indent="2"/>
    </xf>
    <xf numFmtId="166" fontId="20" fillId="0" borderId="42" xfId="2" applyNumberFormat="1" applyFont="1" applyFill="1" applyBorder="1" applyAlignment="1">
      <alignment horizontal="right" indent="2"/>
    </xf>
    <xf numFmtId="166" fontId="20" fillId="4" borderId="34" xfId="2" applyNumberFormat="1" applyFont="1" applyFill="1" applyBorder="1" applyAlignment="1">
      <alignment horizontal="right" indent="2"/>
    </xf>
    <xf numFmtId="3" fontId="0" fillId="0" borderId="14" xfId="0" applyNumberFormat="1" applyBorder="1" applyAlignment="1">
      <alignment horizontal="right" indent="2"/>
    </xf>
    <xf numFmtId="3" fontId="0" fillId="0" borderId="12" xfId="0" applyNumberFormat="1" applyBorder="1" applyAlignment="1">
      <alignment horizontal="right" indent="2"/>
    </xf>
    <xf numFmtId="166" fontId="0" fillId="0" borderId="12" xfId="0" applyNumberFormat="1" applyBorder="1" applyAlignment="1">
      <alignment horizontal="right" indent="2"/>
    </xf>
    <xf numFmtId="166" fontId="0" fillId="0" borderId="17" xfId="0" applyNumberFormat="1" applyBorder="1" applyAlignment="1">
      <alignment horizontal="right" indent="2"/>
    </xf>
    <xf numFmtId="166" fontId="0" fillId="0" borderId="6" xfId="0" applyNumberFormat="1" applyBorder="1" applyAlignment="1">
      <alignment horizontal="right" indent="2"/>
    </xf>
    <xf numFmtId="166" fontId="9" fillId="0" borderId="62" xfId="0" applyNumberFormat="1" applyFont="1" applyBorder="1" applyAlignment="1">
      <alignment horizontal="right" indent="2"/>
    </xf>
    <xf numFmtId="166" fontId="0" fillId="0" borderId="16" xfId="0" applyNumberFormat="1" applyBorder="1" applyAlignment="1">
      <alignment horizontal="center"/>
    </xf>
    <xf numFmtId="166" fontId="0" fillId="0" borderId="17" xfId="0" applyNumberFormat="1" applyBorder="1" applyAlignment="1">
      <alignment horizontal="center"/>
    </xf>
    <xf numFmtId="0" fontId="0" fillId="15" borderId="21" xfId="0" applyFill="1" applyBorder="1" applyAlignment="1">
      <alignment horizontal="right"/>
    </xf>
    <xf numFmtId="0" fontId="0" fillId="15" borderId="22" xfId="0" applyFill="1" applyBorder="1" applyAlignment="1">
      <alignment horizontal="right"/>
    </xf>
    <xf numFmtId="3" fontId="23" fillId="15" borderId="23" xfId="0" applyNumberFormat="1" applyFont="1" applyFill="1" applyBorder="1" applyAlignment="1">
      <alignment horizontal="right" indent="2"/>
    </xf>
    <xf numFmtId="3" fontId="23" fillId="15" borderId="24" xfId="0" applyNumberFormat="1" applyFont="1" applyFill="1" applyBorder="1" applyAlignment="1">
      <alignment horizontal="right" indent="2"/>
    </xf>
    <xf numFmtId="3" fontId="23" fillId="15" borderId="25" xfId="0" applyNumberFormat="1" applyFont="1" applyFill="1" applyBorder="1" applyAlignment="1">
      <alignment horizontal="right" indent="2"/>
    </xf>
    <xf numFmtId="166" fontId="23" fillId="15" borderId="24" xfId="0" applyNumberFormat="1" applyFont="1" applyFill="1" applyBorder="1" applyAlignment="1">
      <alignment horizontal="right" indent="2"/>
    </xf>
    <xf numFmtId="166" fontId="51" fillId="15" borderId="24" xfId="0" applyNumberFormat="1" applyFont="1" applyFill="1" applyBorder="1" applyAlignment="1">
      <alignment horizontal="right" indent="2"/>
    </xf>
    <xf numFmtId="166" fontId="22" fillId="15" borderId="8" xfId="0" applyNumberFormat="1" applyFont="1" applyFill="1" applyBorder="1" applyAlignment="1">
      <alignment horizontal="right" indent="2"/>
    </xf>
    <xf numFmtId="166" fontId="13" fillId="0" borderId="22" xfId="2" applyNumberFormat="1" applyFont="1" applyFill="1" applyBorder="1" applyAlignment="1"/>
    <xf numFmtId="166" fontId="23" fillId="0" borderId="0" xfId="0" applyNumberFormat="1" applyFont="1" applyAlignment="1">
      <alignment horizontal="right" indent="2"/>
    </xf>
    <xf numFmtId="166" fontId="2" fillId="0" borderId="8" xfId="0" applyNumberFormat="1" applyFont="1" applyBorder="1" applyAlignment="1">
      <alignment horizontal="right" indent="2"/>
    </xf>
    <xf numFmtId="166" fontId="0" fillId="15" borderId="8" xfId="0" applyNumberFormat="1" applyFill="1" applyBorder="1" applyAlignment="1">
      <alignment horizontal="right" indent="2"/>
    </xf>
    <xf numFmtId="166" fontId="0" fillId="15" borderId="0" xfId="0" applyNumberFormat="1" applyFill="1" applyAlignment="1">
      <alignment horizontal="right" indent="2"/>
    </xf>
    <xf numFmtId="3" fontId="0" fillId="15" borderId="23" xfId="0" applyNumberFormat="1" applyFill="1" applyBorder="1" applyAlignment="1">
      <alignment horizontal="right" indent="2"/>
    </xf>
    <xf numFmtId="3" fontId="0" fillId="15" borderId="24" xfId="0" applyNumberFormat="1" applyFill="1" applyBorder="1" applyAlignment="1">
      <alignment horizontal="right" indent="2"/>
    </xf>
    <xf numFmtId="3" fontId="0" fillId="15" borderId="25" xfId="0" applyNumberFormat="1" applyFill="1" applyBorder="1" applyAlignment="1">
      <alignment horizontal="right" indent="2"/>
    </xf>
    <xf numFmtId="166" fontId="22" fillId="15" borderId="24" xfId="0" applyNumberFormat="1" applyFont="1" applyFill="1" applyBorder="1" applyAlignment="1">
      <alignment horizontal="right" indent="2"/>
    </xf>
    <xf numFmtId="166" fontId="22" fillId="15" borderId="21" xfId="0" applyNumberFormat="1" applyFont="1" applyFill="1" applyBorder="1" applyAlignment="1">
      <alignment horizontal="right" indent="2"/>
    </xf>
    <xf numFmtId="166" fontId="22" fillId="15" borderId="22" xfId="0" applyNumberFormat="1" applyFont="1" applyFill="1" applyBorder="1" applyAlignment="1">
      <alignment horizontal="right" indent="2"/>
    </xf>
    <xf numFmtId="0" fontId="0" fillId="15" borderId="27" xfId="0" applyFill="1" applyBorder="1" applyAlignment="1">
      <alignment horizontal="right"/>
    </xf>
    <xf numFmtId="0" fontId="0" fillId="15" borderId="33" xfId="0" applyFill="1" applyBorder="1" applyAlignment="1">
      <alignment horizontal="right"/>
    </xf>
    <xf numFmtId="0" fontId="0" fillId="15" borderId="34" xfId="0" applyFill="1" applyBorder="1" applyAlignment="1">
      <alignment horizontal="right"/>
    </xf>
    <xf numFmtId="3" fontId="0" fillId="15" borderId="35" xfId="0" applyNumberFormat="1" applyFill="1" applyBorder="1" applyAlignment="1">
      <alignment horizontal="right" indent="2"/>
    </xf>
    <xf numFmtId="3" fontId="0" fillId="15" borderId="36" xfId="0" applyNumberFormat="1" applyFill="1" applyBorder="1" applyAlignment="1">
      <alignment horizontal="right" indent="2"/>
    </xf>
    <xf numFmtId="3" fontId="0" fillId="15" borderId="37" xfId="0" applyNumberFormat="1" applyFill="1" applyBorder="1" applyAlignment="1">
      <alignment horizontal="right" indent="2"/>
    </xf>
    <xf numFmtId="166" fontId="0" fillId="15" borderId="41" xfId="0" applyNumberFormat="1" applyFill="1" applyBorder="1" applyAlignment="1">
      <alignment horizontal="right" indent="2"/>
    </xf>
    <xf numFmtId="166" fontId="13" fillId="0" borderId="34" xfId="2" applyNumberFormat="1" applyFont="1" applyFill="1" applyBorder="1" applyAlignment="1"/>
    <xf numFmtId="166" fontId="0" fillId="15" borderId="34" xfId="0" applyNumberFormat="1" applyFill="1" applyBorder="1" applyAlignment="1">
      <alignment horizontal="right" indent="2"/>
    </xf>
    <xf numFmtId="166" fontId="0" fillId="0" borderId="0" xfId="0" applyNumberFormat="1" applyAlignment="1">
      <alignment horizontal="right" vertical="center" wrapText="1" indent="2"/>
    </xf>
    <xf numFmtId="166" fontId="13" fillId="0" borderId="0" xfId="2" applyNumberFormat="1" applyFont="1" applyFill="1" applyBorder="1" applyAlignment="1"/>
    <xf numFmtId="166" fontId="0" fillId="0" borderId="0" xfId="0" applyNumberFormat="1" applyAlignment="1">
      <alignment horizontal="center"/>
    </xf>
    <xf numFmtId="166" fontId="0" fillId="7" borderId="13" xfId="0" applyNumberFormat="1" applyFill="1" applyBorder="1" applyAlignment="1">
      <alignment horizontal="right" indent="2"/>
    </xf>
    <xf numFmtId="166" fontId="0" fillId="0" borderId="44" xfId="0" applyNumberFormat="1" applyBorder="1" applyAlignment="1">
      <alignment horizontal="left"/>
    </xf>
    <xf numFmtId="166" fontId="9" fillId="0" borderId="13" xfId="0" applyNumberFormat="1" applyFont="1" applyBorder="1" applyAlignment="1">
      <alignment horizontal="right" indent="2"/>
    </xf>
    <xf numFmtId="166" fontId="0" fillId="7" borderId="16" xfId="0" applyNumberFormat="1" applyFill="1" applyBorder="1"/>
    <xf numFmtId="166" fontId="2" fillId="0" borderId="44" xfId="0" applyNumberFormat="1" applyFont="1" applyBorder="1" applyAlignment="1">
      <alignment horizontal="right" indent="2"/>
    </xf>
    <xf numFmtId="166" fontId="0" fillId="0" borderId="44" xfId="0" applyNumberFormat="1" applyBorder="1" applyAlignment="1">
      <alignment horizontal="right"/>
    </xf>
    <xf numFmtId="9" fontId="9" fillId="0" borderId="13" xfId="2" applyFont="1" applyFill="1" applyBorder="1" applyAlignment="1">
      <alignment horizontal="right" indent="2"/>
    </xf>
    <xf numFmtId="166" fontId="2" fillId="0" borderId="13" xfId="0" applyNumberFormat="1" applyFont="1" applyBorder="1" applyAlignment="1">
      <alignment horizontal="right" indent="2"/>
    </xf>
    <xf numFmtId="166" fontId="23" fillId="7" borderId="22" xfId="0" applyNumberFormat="1" applyFont="1" applyFill="1" applyBorder="1" applyAlignment="1">
      <alignment horizontal="right" indent="2"/>
    </xf>
    <xf numFmtId="166" fontId="36" fillId="0" borderId="22" xfId="2" applyNumberFormat="1" applyFont="1" applyFill="1" applyBorder="1" applyAlignment="1"/>
    <xf numFmtId="166" fontId="0" fillId="7" borderId="21" xfId="0" applyNumberFormat="1" applyFill="1" applyBorder="1" applyAlignment="1">
      <alignment horizontal="right" indent="2"/>
    </xf>
    <xf numFmtId="166" fontId="0" fillId="7" borderId="22" xfId="0" applyNumberFormat="1" applyFill="1" applyBorder="1" applyAlignment="1">
      <alignment horizontal="right" indent="2"/>
    </xf>
    <xf numFmtId="9" fontId="36" fillId="0" borderId="22" xfId="2" applyFont="1" applyFill="1" applyBorder="1" applyAlignment="1"/>
    <xf numFmtId="9" fontId="13" fillId="0" borderId="22" xfId="2" applyFont="1" applyFill="1" applyBorder="1" applyAlignment="1"/>
    <xf numFmtId="166" fontId="12" fillId="0" borderId="0" xfId="0" applyNumberFormat="1" applyFont="1" applyAlignment="1">
      <alignment horizontal="right"/>
    </xf>
    <xf numFmtId="166" fontId="45" fillId="7" borderId="21" xfId="0" applyNumberFormat="1" applyFont="1" applyFill="1" applyBorder="1" applyAlignment="1">
      <alignment horizontal="right" indent="2"/>
    </xf>
    <xf numFmtId="166" fontId="0" fillId="7" borderId="34" xfId="0" applyNumberFormat="1" applyFill="1" applyBorder="1" applyAlignment="1">
      <alignment horizontal="right" indent="2"/>
    </xf>
    <xf numFmtId="166" fontId="0" fillId="7" borderId="38" xfId="0" applyNumberFormat="1" applyFill="1" applyBorder="1" applyAlignment="1">
      <alignment horizontal="right" vertical="center" wrapText="1" indent="2"/>
    </xf>
    <xf numFmtId="166" fontId="0" fillId="7" borderId="33" xfId="0" applyNumberFormat="1" applyFill="1" applyBorder="1" applyAlignment="1">
      <alignment horizontal="right" indent="2"/>
    </xf>
    <xf numFmtId="166" fontId="2" fillId="0" borderId="34" xfId="0" applyNumberFormat="1" applyFont="1" applyBorder="1" applyAlignment="1">
      <alignment horizontal="right" indent="2"/>
    </xf>
    <xf numFmtId="166" fontId="18" fillId="0" borderId="0" xfId="0" applyNumberFormat="1" applyFont="1" applyAlignment="1">
      <alignment horizontal="right"/>
    </xf>
    <xf numFmtId="166" fontId="10" fillId="0" borderId="11" xfId="0" applyNumberFormat="1" applyFont="1" applyBorder="1" applyAlignment="1">
      <alignment horizontal="right" indent="2"/>
    </xf>
    <xf numFmtId="166" fontId="24" fillId="0" borderId="0" xfId="0" applyNumberFormat="1" applyFont="1" applyAlignment="1">
      <alignment horizontal="right"/>
    </xf>
    <xf numFmtId="0" fontId="11" fillId="15" borderId="17" xfId="0" applyFont="1" applyFill="1" applyBorder="1" applyAlignment="1">
      <alignment horizontal="center" vertical="center" textRotation="90" wrapText="1"/>
    </xf>
    <xf numFmtId="0" fontId="0" fillId="15" borderId="6" xfId="0" applyFill="1" applyBorder="1"/>
    <xf numFmtId="0" fontId="0" fillId="15" borderId="62" xfId="0" applyFill="1" applyBorder="1" applyAlignment="1">
      <alignment horizontal="right"/>
    </xf>
    <xf numFmtId="166" fontId="26" fillId="15" borderId="46" xfId="2" applyNumberFormat="1" applyFont="1" applyFill="1" applyBorder="1" applyAlignment="1">
      <alignment horizontal="right" indent="2"/>
    </xf>
    <xf numFmtId="166" fontId="26" fillId="15" borderId="47" xfId="2" applyNumberFormat="1" applyFont="1" applyFill="1" applyBorder="1" applyAlignment="1">
      <alignment horizontal="right" indent="2"/>
    </xf>
    <xf numFmtId="166" fontId="26" fillId="15" borderId="65" xfId="2" applyNumberFormat="1" applyFont="1" applyFill="1" applyBorder="1" applyAlignment="1">
      <alignment horizontal="right" indent="2"/>
    </xf>
    <xf numFmtId="166" fontId="26" fillId="0" borderId="11" xfId="2" applyNumberFormat="1" applyFont="1" applyFill="1" applyBorder="1" applyAlignment="1">
      <alignment horizontal="right" indent="2"/>
    </xf>
    <xf numFmtId="166" fontId="26" fillId="0" borderId="6" xfId="2" applyNumberFormat="1" applyFont="1" applyFill="1" applyBorder="1" applyAlignment="1">
      <alignment horizontal="right"/>
    </xf>
    <xf numFmtId="166" fontId="26" fillId="15" borderId="17" xfId="2" applyNumberFormat="1" applyFont="1" applyFill="1" applyBorder="1" applyAlignment="1">
      <alignment horizontal="right" indent="2"/>
    </xf>
    <xf numFmtId="3" fontId="15" fillId="15" borderId="47" xfId="2" applyNumberFormat="1" applyFont="1" applyFill="1" applyBorder="1" applyAlignment="1">
      <alignment horizontal="right" indent="2"/>
    </xf>
    <xf numFmtId="3" fontId="15" fillId="15" borderId="65" xfId="2" applyNumberFormat="1" applyFont="1" applyFill="1" applyBorder="1" applyAlignment="1">
      <alignment horizontal="right" indent="2"/>
    </xf>
    <xf numFmtId="3" fontId="15" fillId="15" borderId="17" xfId="2" applyNumberFormat="1" applyFont="1" applyFill="1" applyBorder="1" applyAlignment="1">
      <alignment horizontal="right" indent="2"/>
    </xf>
    <xf numFmtId="3" fontId="15" fillId="15" borderId="79" xfId="2" applyNumberFormat="1" applyFont="1" applyFill="1" applyBorder="1" applyAlignment="1">
      <alignment horizontal="right" indent="2"/>
    </xf>
    <xf numFmtId="3" fontId="15" fillId="15" borderId="11" xfId="2" applyNumberFormat="1" applyFont="1" applyFill="1" applyBorder="1" applyAlignment="1">
      <alignment horizontal="right" indent="2"/>
    </xf>
    <xf numFmtId="0" fontId="41" fillId="15" borderId="17" xfId="0" applyFont="1" applyFill="1" applyBorder="1" applyAlignment="1">
      <alignment horizontal="center" vertical="center" textRotation="90" wrapText="1"/>
    </xf>
    <xf numFmtId="165" fontId="42" fillId="15" borderId="65" xfId="2" applyNumberFormat="1" applyFont="1" applyFill="1" applyBorder="1" applyAlignment="1">
      <alignment horizontal="right" indent="2"/>
    </xf>
    <xf numFmtId="0" fontId="2" fillId="15" borderId="62" xfId="0" applyFont="1" applyFill="1" applyBorder="1" applyAlignment="1">
      <alignment horizontal="right"/>
    </xf>
    <xf numFmtId="3" fontId="42" fillId="15" borderId="46" xfId="2" applyNumberFormat="1" applyFont="1" applyFill="1" applyBorder="1" applyAlignment="1">
      <alignment horizontal="right" indent="2"/>
    </xf>
    <xf numFmtId="3" fontId="42" fillId="0" borderId="6" xfId="2" applyNumberFormat="1" applyFont="1" applyFill="1" applyBorder="1" applyAlignment="1">
      <alignment horizontal="right"/>
    </xf>
    <xf numFmtId="3" fontId="42" fillId="15" borderId="47" xfId="2" applyNumberFormat="1" applyFont="1" applyFill="1" applyBorder="1" applyAlignment="1">
      <alignment horizontal="right" indent="2"/>
    </xf>
    <xf numFmtId="3" fontId="42" fillId="15" borderId="65" xfId="2" applyNumberFormat="1" applyFont="1" applyFill="1" applyBorder="1" applyAlignment="1">
      <alignment horizontal="right" indent="2"/>
    </xf>
    <xf numFmtId="3" fontId="42" fillId="0" borderId="11" xfId="2" applyNumberFormat="1" applyFont="1" applyFill="1" applyBorder="1" applyAlignment="1">
      <alignment horizontal="right" indent="2"/>
    </xf>
    <xf numFmtId="3" fontId="42" fillId="0" borderId="79" xfId="2" applyNumberFormat="1" applyFont="1" applyFill="1" applyBorder="1" applyAlignment="1">
      <alignment horizontal="right" indent="2"/>
    </xf>
    <xf numFmtId="3" fontId="42" fillId="0" borderId="0" xfId="2" applyNumberFormat="1" applyFont="1" applyFill="1" applyBorder="1" applyAlignment="1">
      <alignment horizontal="right" indent="2"/>
    </xf>
    <xf numFmtId="3" fontId="42" fillId="15" borderId="17" xfId="2" applyNumberFormat="1" applyFont="1" applyFill="1" applyBorder="1" applyAlignment="1">
      <alignment horizontal="right" indent="2"/>
    </xf>
    <xf numFmtId="3" fontId="42" fillId="0" borderId="19" xfId="2" applyNumberFormat="1" applyFont="1" applyFill="1" applyBorder="1" applyAlignment="1">
      <alignment horizontal="right" indent="2"/>
    </xf>
    <xf numFmtId="3" fontId="42" fillId="15" borderId="79" xfId="2" applyNumberFormat="1" applyFont="1" applyFill="1" applyBorder="1" applyAlignment="1">
      <alignment horizontal="right" indent="2"/>
    </xf>
    <xf numFmtId="165" fontId="42" fillId="0" borderId="6" xfId="2" applyNumberFormat="1" applyFont="1" applyFill="1" applyBorder="1" applyAlignment="1">
      <alignment horizontal="right"/>
    </xf>
    <xf numFmtId="165" fontId="42" fillId="0" borderId="0" xfId="2" applyNumberFormat="1" applyFont="1" applyFill="1" applyBorder="1" applyAlignment="1">
      <alignment horizontal="right"/>
    </xf>
    <xf numFmtId="0" fontId="11" fillId="15" borderId="21" xfId="0" applyFont="1" applyFill="1" applyBorder="1" applyAlignment="1">
      <alignment horizontal="center" vertical="center" textRotation="90" wrapText="1"/>
    </xf>
    <xf numFmtId="0" fontId="0" fillId="15" borderId="8" xfId="0" applyFill="1" applyBorder="1"/>
    <xf numFmtId="0" fontId="0" fillId="15" borderId="23" xfId="0" applyFill="1" applyBorder="1"/>
    <xf numFmtId="165" fontId="12" fillId="15" borderId="24" xfId="2" applyNumberFormat="1" applyFont="1" applyFill="1" applyBorder="1" applyAlignment="1">
      <alignment horizontal="right" indent="2"/>
    </xf>
    <xf numFmtId="165" fontId="12" fillId="15" borderId="51" xfId="2" applyNumberFormat="1" applyFont="1" applyFill="1" applyBorder="1" applyAlignment="1">
      <alignment horizontal="right" indent="2"/>
    </xf>
    <xf numFmtId="165" fontId="12" fillId="0" borderId="8" xfId="2" applyNumberFormat="1" applyFont="1" applyFill="1" applyBorder="1" applyAlignment="1">
      <alignment horizontal="right" indent="2"/>
    </xf>
    <xf numFmtId="165" fontId="12" fillId="15" borderId="21" xfId="2" applyNumberFormat="1" applyFont="1" applyFill="1" applyBorder="1" applyAlignment="1">
      <alignment horizontal="right" indent="2"/>
    </xf>
    <xf numFmtId="0" fontId="12" fillId="0" borderId="0" xfId="0" applyFont="1" applyAlignment="1">
      <alignment horizontal="right" indent="2"/>
    </xf>
    <xf numFmtId="165" fontId="12" fillId="0" borderId="0" xfId="2" applyNumberFormat="1" applyFont="1" applyFill="1" applyBorder="1" applyAlignment="1">
      <alignment horizontal="right" indent="2"/>
    </xf>
    <xf numFmtId="165" fontId="12" fillId="15" borderId="63" xfId="2" applyNumberFormat="1" applyFont="1" applyFill="1" applyBorder="1" applyAlignment="1">
      <alignment horizontal="right" indent="2"/>
    </xf>
    <xf numFmtId="165" fontId="12" fillId="15" borderId="11" xfId="2" applyNumberFormat="1" applyFont="1" applyFill="1" applyBorder="1" applyAlignment="1">
      <alignment horizontal="right" indent="2"/>
    </xf>
    <xf numFmtId="0" fontId="0" fillId="15" borderId="24" xfId="0" applyFill="1" applyBorder="1"/>
    <xf numFmtId="0" fontId="12" fillId="15" borderId="51" xfId="0" applyFont="1" applyFill="1" applyBorder="1" applyAlignment="1">
      <alignment horizontal="right" indent="2"/>
    </xf>
    <xf numFmtId="0" fontId="12" fillId="0" borderId="11" xfId="0" applyFont="1" applyBorder="1" applyAlignment="1">
      <alignment horizontal="right" indent="2"/>
    </xf>
    <xf numFmtId="0" fontId="12" fillId="0" borderId="8" xfId="0" applyFont="1" applyBorder="1" applyAlignment="1">
      <alignment horizontal="right" indent="2"/>
    </xf>
    <xf numFmtId="0" fontId="12" fillId="15" borderId="21" xfId="0" applyFont="1" applyFill="1" applyBorder="1" applyAlignment="1">
      <alignment horizontal="right" indent="2"/>
    </xf>
    <xf numFmtId="0" fontId="12" fillId="15" borderId="24" xfId="0" applyFont="1" applyFill="1" applyBorder="1" applyAlignment="1">
      <alignment horizontal="right" indent="2"/>
    </xf>
    <xf numFmtId="0" fontId="12" fillId="15" borderId="63" xfId="0" applyFont="1" applyFill="1" applyBorder="1" applyAlignment="1">
      <alignment horizontal="right" indent="2"/>
    </xf>
    <xf numFmtId="0" fontId="12" fillId="15" borderId="11" xfId="0" applyFont="1" applyFill="1" applyBorder="1" applyAlignment="1">
      <alignment horizontal="right" indent="2"/>
    </xf>
    <xf numFmtId="165" fontId="0" fillId="15" borderId="23" xfId="2" applyNumberFormat="1" applyFont="1" applyFill="1" applyBorder="1"/>
    <xf numFmtId="3" fontId="0" fillId="15" borderId="23" xfId="2" applyNumberFormat="1" applyFont="1" applyFill="1" applyBorder="1"/>
    <xf numFmtId="3" fontId="0" fillId="15" borderId="24" xfId="2" applyNumberFormat="1" applyFont="1" applyFill="1" applyBorder="1"/>
    <xf numFmtId="3" fontId="12" fillId="15" borderId="51" xfId="2" applyNumberFormat="1" applyFont="1" applyFill="1" applyBorder="1" applyAlignment="1">
      <alignment horizontal="right" indent="2"/>
    </xf>
    <xf numFmtId="3" fontId="12" fillId="0" borderId="11" xfId="2" applyNumberFormat="1" applyFont="1" applyFill="1" applyBorder="1" applyAlignment="1">
      <alignment horizontal="right" indent="2"/>
    </xf>
    <xf numFmtId="3" fontId="12" fillId="0" borderId="8" xfId="2" applyNumberFormat="1" applyFont="1" applyFill="1" applyBorder="1" applyAlignment="1">
      <alignment horizontal="right" indent="2"/>
    </xf>
    <xf numFmtId="3" fontId="12" fillId="15" borderId="24" xfId="0" applyNumberFormat="1" applyFont="1" applyFill="1" applyBorder="1" applyAlignment="1">
      <alignment horizontal="right" indent="2"/>
    </xf>
    <xf numFmtId="3" fontId="12" fillId="15" borderId="51" xfId="0" applyNumberFormat="1" applyFont="1" applyFill="1" applyBorder="1" applyAlignment="1">
      <alignment horizontal="right" indent="2"/>
    </xf>
    <xf numFmtId="3" fontId="12" fillId="0" borderId="8" xfId="0" applyNumberFormat="1" applyFont="1" applyBorder="1" applyAlignment="1">
      <alignment horizontal="right" indent="2"/>
    </xf>
    <xf numFmtId="3" fontId="12" fillId="15" borderId="21" xfId="0" applyNumberFormat="1" applyFont="1" applyFill="1" applyBorder="1" applyAlignment="1">
      <alignment horizontal="right" indent="2"/>
    </xf>
    <xf numFmtId="3" fontId="12" fillId="15" borderId="63" xfId="0" applyNumberFormat="1" applyFont="1" applyFill="1" applyBorder="1" applyAlignment="1">
      <alignment horizontal="right" indent="2"/>
    </xf>
    <xf numFmtId="3" fontId="12" fillId="15" borderId="11" xfId="0" applyNumberFormat="1" applyFont="1" applyFill="1" applyBorder="1" applyAlignment="1">
      <alignment horizontal="right" indent="2"/>
    </xf>
    <xf numFmtId="165" fontId="0" fillId="15" borderId="24" xfId="2" applyNumberFormat="1" applyFont="1" applyFill="1" applyBorder="1"/>
    <xf numFmtId="0" fontId="0" fillId="15" borderId="11" xfId="0" applyFill="1" applyBorder="1" applyAlignment="1">
      <alignment horizontal="right"/>
    </xf>
    <xf numFmtId="3" fontId="27" fillId="15" borderId="23" xfId="0" applyNumberFormat="1" applyFont="1" applyFill="1" applyBorder="1" applyAlignment="1">
      <alignment horizontal="right" indent="2"/>
    </xf>
    <xf numFmtId="3" fontId="27" fillId="15" borderId="24" xfId="0" applyNumberFormat="1" applyFont="1" applyFill="1" applyBorder="1" applyAlignment="1">
      <alignment horizontal="right" indent="2"/>
    </xf>
    <xf numFmtId="3" fontId="27" fillId="15" borderId="51" xfId="0" applyNumberFormat="1" applyFont="1" applyFill="1" applyBorder="1" applyAlignment="1">
      <alignment horizontal="right" indent="4"/>
    </xf>
    <xf numFmtId="165" fontId="27" fillId="0" borderId="11" xfId="0" applyNumberFormat="1" applyFont="1" applyBorder="1" applyAlignment="1">
      <alignment horizontal="right" indent="4"/>
    </xf>
    <xf numFmtId="0" fontId="27" fillId="0" borderId="8" xfId="0" applyFont="1" applyBorder="1" applyAlignment="1">
      <alignment horizontal="right" indent="2"/>
    </xf>
    <xf numFmtId="3" fontId="27" fillId="15" borderId="21" xfId="0" applyNumberFormat="1" applyFont="1" applyFill="1" applyBorder="1" applyAlignment="1">
      <alignment horizontal="right" indent="4"/>
    </xf>
    <xf numFmtId="3" fontId="27" fillId="0" borderId="11" xfId="0" applyNumberFormat="1" applyFont="1" applyBorder="1" applyAlignment="1">
      <alignment horizontal="right" indent="4"/>
    </xf>
    <xf numFmtId="0" fontId="11" fillId="15" borderId="33" xfId="0" applyFont="1" applyFill="1" applyBorder="1" applyAlignment="1">
      <alignment horizontal="center" vertical="center" textRotation="90" wrapText="1"/>
    </xf>
    <xf numFmtId="0" fontId="0" fillId="15" borderId="41" xfId="0" applyFill="1" applyBorder="1"/>
    <xf numFmtId="165" fontId="26" fillId="15" borderId="35" xfId="2" applyNumberFormat="1" applyFont="1" applyFill="1" applyBorder="1" applyAlignment="1">
      <alignment horizontal="right" indent="2"/>
    </xf>
    <xf numFmtId="165" fontId="26" fillId="15" borderId="36" xfId="2" applyNumberFormat="1" applyFont="1" applyFill="1" applyBorder="1" applyAlignment="1">
      <alignment horizontal="right" indent="2"/>
    </xf>
    <xf numFmtId="165" fontId="26" fillId="15" borderId="66" xfId="2" applyNumberFormat="1" applyFont="1" applyFill="1" applyBorder="1" applyAlignment="1">
      <alignment horizontal="right" indent="4"/>
    </xf>
    <xf numFmtId="165" fontId="27" fillId="0" borderId="38" xfId="2" applyNumberFormat="1" applyFont="1" applyFill="1" applyBorder="1" applyAlignment="1">
      <alignment horizontal="right" indent="4"/>
    </xf>
    <xf numFmtId="0" fontId="27" fillId="0" borderId="9" xfId="0" applyFont="1" applyBorder="1" applyAlignment="1">
      <alignment horizontal="right" indent="2"/>
    </xf>
    <xf numFmtId="165" fontId="26" fillId="15" borderId="33" xfId="2" applyNumberFormat="1" applyFont="1" applyFill="1" applyBorder="1" applyAlignment="1">
      <alignment horizontal="right" indent="4"/>
    </xf>
    <xf numFmtId="165" fontId="26" fillId="0" borderId="38" xfId="2" applyNumberFormat="1" applyFont="1" applyFill="1" applyBorder="1" applyAlignment="1">
      <alignment horizontal="right" indent="4"/>
    </xf>
    <xf numFmtId="165" fontId="9" fillId="15" borderId="36" xfId="2" applyNumberFormat="1" applyFont="1" applyFill="1" applyBorder="1" applyAlignment="1">
      <alignment horizontal="right" indent="4"/>
    </xf>
    <xf numFmtId="165" fontId="9" fillId="15" borderId="66" xfId="2" applyNumberFormat="1" applyFont="1" applyFill="1" applyBorder="1" applyAlignment="1">
      <alignment horizontal="right" indent="4"/>
    </xf>
    <xf numFmtId="165" fontId="9" fillId="15" borderId="33" xfId="2" applyNumberFormat="1" applyFont="1" applyFill="1" applyBorder="1" applyAlignment="1">
      <alignment horizontal="right" indent="4"/>
    </xf>
    <xf numFmtId="165" fontId="9" fillId="15" borderId="64" xfId="2" applyNumberFormat="1" applyFont="1" applyFill="1" applyBorder="1" applyAlignment="1">
      <alignment horizontal="right" indent="4"/>
    </xf>
    <xf numFmtId="165" fontId="9" fillId="15" borderId="36" xfId="2" applyNumberFormat="1" applyFont="1" applyFill="1" applyBorder="1" applyAlignment="1">
      <alignment horizontal="right" indent="2"/>
    </xf>
    <xf numFmtId="165" fontId="9" fillId="15" borderId="66" xfId="2" applyNumberFormat="1" applyFont="1" applyFill="1" applyBorder="1" applyAlignment="1">
      <alignment horizontal="right" indent="2"/>
    </xf>
    <xf numFmtId="165" fontId="9" fillId="15" borderId="33" xfId="2" applyNumberFormat="1" applyFont="1" applyFill="1" applyBorder="1" applyAlignment="1">
      <alignment horizontal="right" indent="2"/>
    </xf>
    <xf numFmtId="165" fontId="9" fillId="0" borderId="42" xfId="2" applyNumberFormat="1" applyFont="1" applyFill="1" applyBorder="1" applyAlignment="1">
      <alignment horizontal="right" indent="2"/>
    </xf>
    <xf numFmtId="165" fontId="9" fillId="15" borderId="38" xfId="2" applyNumberFormat="1" applyFont="1" applyFill="1" applyBorder="1" applyAlignment="1">
      <alignment horizontal="right" indent="2"/>
    </xf>
    <xf numFmtId="0" fontId="28" fillId="0" borderId="0" xfId="0" applyFont="1" applyAlignment="1">
      <alignment horizontal="left" vertical="top" wrapText="1"/>
    </xf>
    <xf numFmtId="0" fontId="6" fillId="0" borderId="0" xfId="0" applyFont="1" applyAlignment="1">
      <alignment horizontal="center"/>
    </xf>
    <xf numFmtId="0" fontId="38" fillId="4" borderId="0" xfId="0" applyFont="1" applyFill="1" applyAlignment="1">
      <alignment horizontal="center"/>
    </xf>
    <xf numFmtId="0" fontId="12" fillId="4" borderId="0" xfId="0" quotePrefix="1" applyFont="1" applyFill="1" applyAlignment="1">
      <alignment horizontal="center" vertical="center"/>
    </xf>
    <xf numFmtId="0" fontId="12" fillId="0" borderId="0" xfId="0" applyFont="1" applyAlignment="1">
      <alignment horizontal="center" vertical="center" wrapText="1"/>
    </xf>
    <xf numFmtId="0" fontId="12" fillId="0" borderId="11" xfId="0" applyFont="1" applyBorder="1" applyAlignment="1">
      <alignment horizontal="center" vertical="center" wrapText="1"/>
    </xf>
    <xf numFmtId="0" fontId="52" fillId="0" borderId="43" xfId="3" applyFont="1" applyBorder="1" applyAlignment="1">
      <alignment horizontal="center" vertical="center" wrapText="1"/>
    </xf>
    <xf numFmtId="0" fontId="4" fillId="0" borderId="43" xfId="3" applyBorder="1" applyAlignment="1">
      <alignment horizontal="center" vertical="center" wrapText="1"/>
    </xf>
    <xf numFmtId="0" fontId="0" fillId="6" borderId="12" xfId="0" applyFill="1" applyBorder="1" applyAlignment="1">
      <alignment horizontal="right" vertical="center" wrapText="1"/>
    </xf>
    <xf numFmtId="0" fontId="0" fillId="6" borderId="16" xfId="0" applyFill="1" applyBorder="1" applyAlignment="1">
      <alignment horizontal="right"/>
    </xf>
    <xf numFmtId="0" fontId="52" fillId="0" borderId="43" xfId="3" applyFont="1" applyBorder="1" applyAlignment="1">
      <alignment vertical="center"/>
    </xf>
    <xf numFmtId="0" fontId="52" fillId="0" borderId="44" xfId="3" applyFont="1" applyBorder="1" applyAlignment="1">
      <alignment vertical="center"/>
    </xf>
    <xf numFmtId="0" fontId="12" fillId="0" borderId="44" xfId="0" applyFont="1" applyBorder="1" applyAlignment="1">
      <alignment vertical="center"/>
    </xf>
    <xf numFmtId="0" fontId="52" fillId="0" borderId="16" xfId="3" applyFont="1" applyBorder="1" applyAlignment="1">
      <alignment vertical="center"/>
    </xf>
    <xf numFmtId="0" fontId="12" fillId="0" borderId="16" xfId="0" applyFont="1" applyBorder="1" applyAlignment="1">
      <alignment vertical="center"/>
    </xf>
    <xf numFmtId="0" fontId="29" fillId="0" borderId="16" xfId="3" applyFont="1" applyBorder="1" applyAlignment="1">
      <alignment vertical="center"/>
    </xf>
    <xf numFmtId="0" fontId="12" fillId="0" borderId="43" xfId="0" applyFont="1" applyBorder="1" applyAlignment="1">
      <alignment vertical="center"/>
    </xf>
    <xf numFmtId="3" fontId="0" fillId="6" borderId="11" xfId="0" applyNumberFormat="1" applyFill="1" applyBorder="1" applyAlignment="1">
      <alignment horizontal="right" indent="2"/>
    </xf>
    <xf numFmtId="10" fontId="36" fillId="0" borderId="0" xfId="2" applyNumberFormat="1" applyFont="1"/>
    <xf numFmtId="3" fontId="12" fillId="4" borderId="11" xfId="0" applyNumberFormat="1" applyFont="1" applyFill="1" applyBorder="1" applyAlignment="1">
      <alignment horizontal="right" indent="2"/>
    </xf>
    <xf numFmtId="10" fontId="36" fillId="0" borderId="0" xfId="0" applyNumberFormat="1" applyFont="1"/>
    <xf numFmtId="10" fontId="12" fillId="0" borderId="0" xfId="0" applyNumberFormat="1" applyFont="1"/>
    <xf numFmtId="3" fontId="12" fillId="4" borderId="32" xfId="0" applyNumberFormat="1" applyFont="1" applyFill="1" applyBorder="1" applyAlignment="1">
      <alignment horizontal="right" indent="2"/>
    </xf>
    <xf numFmtId="3" fontId="0" fillId="6" borderId="38" xfId="0" applyNumberFormat="1" applyFill="1" applyBorder="1" applyAlignment="1">
      <alignment horizontal="right" indent="2"/>
    </xf>
    <xf numFmtId="10" fontId="36" fillId="0" borderId="42" xfId="0" applyNumberFormat="1" applyFont="1" applyBorder="1"/>
    <xf numFmtId="165" fontId="12" fillId="0" borderId="0" xfId="2" applyNumberFormat="1" applyFont="1"/>
    <xf numFmtId="165" fontId="13" fillId="0" borderId="62" xfId="2" applyNumberFormat="1" applyFont="1" applyBorder="1"/>
    <xf numFmtId="165" fontId="36" fillId="0" borderId="62" xfId="2" applyNumberFormat="1" applyFont="1" applyBorder="1"/>
    <xf numFmtId="165" fontId="36" fillId="0" borderId="6" xfId="2" applyNumberFormat="1" applyFont="1" applyBorder="1"/>
    <xf numFmtId="165" fontId="12" fillId="0" borderId="6" xfId="2" applyNumberFormat="1" applyFont="1" applyBorder="1"/>
    <xf numFmtId="3" fontId="12" fillId="4" borderId="49" xfId="0" applyNumberFormat="1" applyFont="1" applyFill="1" applyBorder="1" applyAlignment="1">
      <alignment horizontal="right" indent="2"/>
    </xf>
    <xf numFmtId="3" fontId="12" fillId="2" borderId="48" xfId="0" applyNumberFormat="1" applyFont="1" applyFill="1" applyBorder="1" applyAlignment="1">
      <alignment horizontal="right" indent="2"/>
    </xf>
    <xf numFmtId="3" fontId="12" fillId="2" borderId="11" xfId="0" applyNumberFormat="1" applyFont="1" applyFill="1" applyBorder="1" applyAlignment="1">
      <alignment horizontal="right" indent="2"/>
    </xf>
    <xf numFmtId="3" fontId="0" fillId="0" borderId="9" xfId="0" applyNumberFormat="1" applyBorder="1" applyAlignment="1">
      <alignment horizontal="right"/>
    </xf>
    <xf numFmtId="165" fontId="13" fillId="0" borderId="28" xfId="2" applyNumberFormat="1" applyFont="1" applyBorder="1"/>
    <xf numFmtId="165" fontId="36" fillId="0" borderId="28" xfId="2" applyNumberFormat="1" applyFont="1" applyBorder="1"/>
    <xf numFmtId="165" fontId="36" fillId="0" borderId="9" xfId="2" applyNumberFormat="1" applyFont="1" applyBorder="1"/>
    <xf numFmtId="165" fontId="12" fillId="0" borderId="9" xfId="2" applyNumberFormat="1" applyFont="1" applyBorder="1"/>
    <xf numFmtId="3" fontId="12" fillId="4" borderId="19" xfId="0" applyNumberFormat="1" applyFont="1" applyFill="1" applyBorder="1" applyAlignment="1">
      <alignment horizontal="right" indent="2"/>
    </xf>
    <xf numFmtId="165" fontId="36" fillId="0" borderId="42" xfId="2" applyNumberFormat="1" applyFont="1" applyBorder="1"/>
    <xf numFmtId="3" fontId="12" fillId="0" borderId="38" xfId="0" applyNumberFormat="1" applyFont="1" applyBorder="1" applyAlignment="1">
      <alignment horizontal="right" indent="2"/>
    </xf>
    <xf numFmtId="3" fontId="12" fillId="4" borderId="38" xfId="0" applyNumberFormat="1" applyFont="1" applyFill="1" applyBorder="1" applyAlignment="1">
      <alignment horizontal="right" indent="2"/>
    </xf>
    <xf numFmtId="3" fontId="0" fillId="0" borderId="5" xfId="0" applyNumberFormat="1" applyBorder="1" applyAlignment="1">
      <alignment horizontal="right" vertical="center" wrapText="1"/>
    </xf>
    <xf numFmtId="3" fontId="3" fillId="0" borderId="0" xfId="0" applyNumberFormat="1" applyFont="1" applyAlignment="1">
      <alignment horizontal="right"/>
    </xf>
    <xf numFmtId="3" fontId="0" fillId="0" borderId="43" xfId="0" applyNumberFormat="1" applyBorder="1" applyAlignment="1">
      <alignment horizontal="right" vertical="center" wrapText="1"/>
    </xf>
    <xf numFmtId="0" fontId="3" fillId="0" borderId="43" xfId="0" applyFont="1" applyBorder="1" applyAlignment="1">
      <alignment horizontal="right" vertical="center" wrapText="1"/>
    </xf>
    <xf numFmtId="3" fontId="12" fillId="0" borderId="43" xfId="0" applyNumberFormat="1" applyFont="1" applyBorder="1" applyAlignment="1">
      <alignment vertical="center" wrapText="1"/>
    </xf>
    <xf numFmtId="3" fontId="12" fillId="0" borderId="44" xfId="0" applyNumberFormat="1" applyFont="1" applyBorder="1" applyAlignment="1">
      <alignment vertical="center" wrapText="1"/>
    </xf>
    <xf numFmtId="165" fontId="36" fillId="0" borderId="44" xfId="2" applyNumberFormat="1" applyFont="1" applyBorder="1" applyAlignment="1">
      <alignment vertical="center" wrapText="1"/>
    </xf>
    <xf numFmtId="3" fontId="12" fillId="0" borderId="16" xfId="0" applyNumberFormat="1" applyFont="1" applyBorder="1" applyAlignment="1">
      <alignment vertical="center" wrapText="1"/>
    </xf>
    <xf numFmtId="3" fontId="12" fillId="0" borderId="18" xfId="0" applyNumberFormat="1" applyFont="1" applyBorder="1" applyAlignment="1">
      <alignment vertical="center" wrapText="1"/>
    </xf>
    <xf numFmtId="0" fontId="12" fillId="0" borderId="0" xfId="0" applyFont="1" applyAlignment="1">
      <alignment vertical="center"/>
    </xf>
    <xf numFmtId="3" fontId="12" fillId="0" borderId="11" xfId="0" applyNumberFormat="1" applyFont="1" applyBorder="1" applyAlignment="1">
      <alignment vertical="center" wrapText="1"/>
    </xf>
    <xf numFmtId="3" fontId="2" fillId="4" borderId="11" xfId="0" applyNumberFormat="1" applyFont="1" applyFill="1" applyBorder="1" applyAlignment="1">
      <alignment horizontal="right" vertical="center" wrapText="1" indent="2"/>
    </xf>
    <xf numFmtId="10" fontId="13" fillId="0" borderId="35" xfId="2" applyNumberFormat="1" applyFont="1" applyBorder="1" applyAlignment="1">
      <alignment horizontal="right" indent="1"/>
    </xf>
    <xf numFmtId="10" fontId="15" fillId="0" borderId="0" xfId="0" applyNumberFormat="1" applyFont="1" applyAlignment="1">
      <alignment horizontal="right" indent="1"/>
    </xf>
    <xf numFmtId="10" fontId="13" fillId="0" borderId="33" xfId="2" applyNumberFormat="1" applyFont="1" applyBorder="1" applyAlignment="1">
      <alignment horizontal="right" indent="1"/>
    </xf>
    <xf numFmtId="10" fontId="13" fillId="0" borderId="41" xfId="2" applyNumberFormat="1" applyFont="1" applyBorder="1" applyAlignment="1">
      <alignment horizontal="right" indent="1"/>
    </xf>
    <xf numFmtId="10" fontId="13" fillId="0" borderId="38" xfId="2" applyNumberFormat="1" applyFont="1" applyBorder="1" applyAlignment="1">
      <alignment horizontal="right" indent="1"/>
    </xf>
    <xf numFmtId="10" fontId="13" fillId="0" borderId="33" xfId="2" applyNumberFormat="1" applyFont="1" applyBorder="1" applyAlignment="1">
      <alignment horizontal="right" vertical="center" wrapText="1" indent="1"/>
    </xf>
    <xf numFmtId="10" fontId="30" fillId="0" borderId="38" xfId="2" applyNumberFormat="1" applyFont="1" applyBorder="1" applyAlignment="1">
      <alignment horizontal="right" vertical="center" wrapText="1" indent="1"/>
    </xf>
    <xf numFmtId="165" fontId="36" fillId="0" borderId="0" xfId="2" applyNumberFormat="1" applyFont="1" applyAlignment="1">
      <alignment horizontal="center" vertical="center" wrapText="1"/>
    </xf>
    <xf numFmtId="165" fontId="36" fillId="0" borderId="42" xfId="2" applyNumberFormat="1" applyFont="1" applyBorder="1" applyAlignment="1">
      <alignment horizontal="right" indent="2"/>
    </xf>
    <xf numFmtId="165" fontId="36" fillId="0" borderId="34" xfId="2" applyNumberFormat="1" applyFont="1" applyBorder="1" applyAlignment="1">
      <alignment horizontal="right" indent="2"/>
    </xf>
    <xf numFmtId="0" fontId="17" fillId="0" borderId="43" xfId="0" applyFont="1" applyBorder="1" applyAlignment="1">
      <alignment horizontal="left"/>
    </xf>
    <xf numFmtId="0" fontId="17" fillId="0" borderId="18" xfId="0" applyFont="1" applyBorder="1" applyAlignment="1">
      <alignment horizontal="left"/>
    </xf>
    <xf numFmtId="165" fontId="49" fillId="0" borderId="11" xfId="2" applyNumberFormat="1" applyFont="1" applyBorder="1"/>
    <xf numFmtId="0" fontId="17" fillId="0" borderId="53" xfId="0" applyFont="1" applyBorder="1" applyAlignment="1">
      <alignment horizontal="left"/>
    </xf>
    <xf numFmtId="165" fontId="49" fillId="0" borderId="38" xfId="2" applyNumberFormat="1" applyFont="1" applyBorder="1"/>
    <xf numFmtId="3" fontId="12" fillId="0" borderId="42" xfId="0" applyNumberFormat="1" applyFont="1" applyBorder="1" applyAlignment="1">
      <alignment horizontal="right" indent="2"/>
    </xf>
    <xf numFmtId="0" fontId="12" fillId="0" borderId="42" xfId="0" applyFont="1" applyBorder="1"/>
    <xf numFmtId="3" fontId="12" fillId="0" borderId="53" xfId="0" applyNumberFormat="1" applyFont="1" applyBorder="1" applyAlignment="1">
      <alignment horizontal="right" indent="2"/>
    </xf>
    <xf numFmtId="3" fontId="53" fillId="0" borderId="0" xfId="0" applyNumberFormat="1" applyFont="1" applyAlignment="1">
      <alignment horizontal="right" indent="2"/>
    </xf>
    <xf numFmtId="0" fontId="12" fillId="5" borderId="5" xfId="0" applyFont="1" applyFill="1" applyBorder="1" applyAlignment="1">
      <alignment horizontal="center" vertical="center" wrapText="1"/>
    </xf>
    <xf numFmtId="0" fontId="12" fillId="0" borderId="4" xfId="0" applyFont="1" applyBorder="1" applyAlignment="1">
      <alignment vertical="center" wrapText="1"/>
    </xf>
    <xf numFmtId="0" fontId="12" fillId="4" borderId="4" xfId="0" applyFont="1" applyFill="1" applyBorder="1" applyAlignment="1">
      <alignment wrapText="1"/>
    </xf>
    <xf numFmtId="0" fontId="52" fillId="0" borderId="4" xfId="3" applyFont="1" applyBorder="1" applyAlignment="1">
      <alignment wrapText="1"/>
    </xf>
    <xf numFmtId="0" fontId="4" fillId="0" borderId="4" xfId="3" applyBorder="1"/>
    <xf numFmtId="3" fontId="12" fillId="0" borderId="43" xfId="0" applyNumberFormat="1" applyFont="1" applyBorder="1" applyAlignment="1">
      <alignment horizontal="right" vertical="center" wrapText="1"/>
    </xf>
    <xf numFmtId="3" fontId="12" fillId="0" borderId="44" xfId="0" applyNumberFormat="1" applyFont="1" applyBorder="1" applyAlignment="1">
      <alignment horizontal="right" vertical="center" wrapText="1"/>
    </xf>
    <xf numFmtId="0" fontId="12" fillId="0" borderId="11" xfId="0" applyFont="1" applyBorder="1" applyAlignment="1">
      <alignment horizontal="right"/>
    </xf>
    <xf numFmtId="3" fontId="53" fillId="0" borderId="16" xfId="0" applyNumberFormat="1" applyFont="1" applyBorder="1" applyAlignment="1">
      <alignment horizontal="right" indent="2"/>
    </xf>
    <xf numFmtId="3" fontId="12" fillId="0" borderId="44" xfId="0" applyNumberFormat="1" applyFont="1" applyBorder="1" applyAlignment="1">
      <alignment horizontal="left"/>
    </xf>
    <xf numFmtId="0" fontId="12" fillId="0" borderId="5" xfId="0" applyFont="1" applyBorder="1"/>
    <xf numFmtId="0" fontId="12" fillId="4" borderId="6" xfId="0" applyFont="1" applyFill="1" applyBorder="1" applyAlignment="1">
      <alignment horizontal="right"/>
    </xf>
    <xf numFmtId="0" fontId="12" fillId="4" borderId="46" xfId="0" applyFont="1" applyFill="1" applyBorder="1" applyAlignment="1">
      <alignment horizontal="right"/>
    </xf>
    <xf numFmtId="3" fontId="12" fillId="4" borderId="11" xfId="0" applyNumberFormat="1" applyFont="1" applyFill="1" applyBorder="1" applyAlignment="1">
      <alignment horizontal="right" vertical="center" wrapText="1" indent="2"/>
    </xf>
    <xf numFmtId="3" fontId="12" fillId="0" borderId="72" xfId="0" applyNumberFormat="1" applyFont="1" applyBorder="1" applyAlignment="1">
      <alignment horizontal="right" indent="2"/>
    </xf>
    <xf numFmtId="3" fontId="12" fillId="4" borderId="72" xfId="0" applyNumberFormat="1" applyFont="1" applyFill="1" applyBorder="1" applyAlignment="1">
      <alignment horizontal="right" indent="2"/>
    </xf>
    <xf numFmtId="3" fontId="12" fillId="2" borderId="79" xfId="0" applyNumberFormat="1" applyFont="1" applyFill="1" applyBorder="1" applyAlignment="1">
      <alignment horizontal="right" indent="2"/>
    </xf>
    <xf numFmtId="3" fontId="12" fillId="2" borderId="72" xfId="0" applyNumberFormat="1" applyFont="1" applyFill="1" applyBorder="1" applyAlignment="1">
      <alignment horizontal="right" indent="2"/>
    </xf>
    <xf numFmtId="3" fontId="38" fillId="4" borderId="25" xfId="0" applyNumberFormat="1" applyFont="1" applyFill="1" applyBorder="1" applyAlignment="1">
      <alignment horizontal="right" indent="2"/>
    </xf>
    <xf numFmtId="165" fontId="30" fillId="0" borderId="11" xfId="2" applyNumberFormat="1" applyFont="1" applyBorder="1"/>
    <xf numFmtId="3" fontId="12" fillId="4" borderId="63" xfId="0" applyNumberFormat="1" applyFont="1" applyFill="1" applyBorder="1" applyAlignment="1">
      <alignment horizontal="right" indent="2"/>
    </xf>
    <xf numFmtId="3" fontId="12" fillId="4" borderId="81" xfId="0" applyNumberFormat="1" applyFont="1" applyFill="1" applyBorder="1" applyAlignment="1">
      <alignment horizontal="right" indent="2"/>
    </xf>
    <xf numFmtId="3" fontId="38" fillId="0" borderId="72" xfId="0" applyNumberFormat="1" applyFont="1" applyBorder="1" applyAlignment="1">
      <alignment horizontal="right" indent="2"/>
    </xf>
    <xf numFmtId="3" fontId="12" fillId="4" borderId="18" xfId="0" applyNumberFormat="1" applyFont="1" applyFill="1" applyBorder="1" applyAlignment="1">
      <alignment horizontal="right" indent="2"/>
    </xf>
    <xf numFmtId="3" fontId="12" fillId="2" borderId="0" xfId="0" applyNumberFormat="1" applyFont="1" applyFill="1" applyAlignment="1">
      <alignment horizontal="right" indent="2"/>
    </xf>
    <xf numFmtId="3" fontId="12" fillId="0" borderId="11" xfId="0" applyNumberFormat="1" applyFont="1" applyBorder="1" applyAlignment="1">
      <alignment horizontal="right"/>
    </xf>
    <xf numFmtId="3" fontId="53" fillId="0" borderId="11" xfId="0" applyNumberFormat="1" applyFont="1" applyBorder="1" applyAlignment="1">
      <alignment horizontal="right" indent="2"/>
    </xf>
    <xf numFmtId="0" fontId="12" fillId="4" borderId="42" xfId="0" applyFont="1" applyFill="1" applyBorder="1" applyAlignment="1">
      <alignment horizontal="right"/>
    </xf>
    <xf numFmtId="3" fontId="12" fillId="4" borderId="38" xfId="0" applyNumberFormat="1" applyFont="1" applyFill="1" applyBorder="1" applyAlignment="1">
      <alignment horizontal="right" vertical="center" wrapText="1" indent="2"/>
    </xf>
    <xf numFmtId="3" fontId="12" fillId="0" borderId="85" xfId="0" applyNumberFormat="1" applyFont="1" applyBorder="1" applyAlignment="1">
      <alignment horizontal="right" indent="2"/>
    </xf>
    <xf numFmtId="3" fontId="12" fillId="4" borderId="85" xfId="0" applyNumberFormat="1" applyFont="1" applyFill="1" applyBorder="1" applyAlignment="1">
      <alignment horizontal="right" indent="2"/>
    </xf>
    <xf numFmtId="0" fontId="12" fillId="0" borderId="7" xfId="0" applyFont="1" applyBorder="1"/>
    <xf numFmtId="3" fontId="0" fillId="0" borderId="11" xfId="0" applyNumberFormat="1" applyBorder="1" applyAlignment="1">
      <alignment horizontal="right"/>
    </xf>
    <xf numFmtId="3" fontId="12" fillId="0" borderId="43" xfId="0" applyNumberFormat="1" applyFont="1" applyBorder="1" applyAlignment="1">
      <alignment horizontal="left"/>
    </xf>
    <xf numFmtId="165" fontId="12" fillId="0" borderId="44" xfId="2" applyNumberFormat="1" applyFont="1" applyBorder="1" applyAlignment="1">
      <alignment horizontal="right" indent="2"/>
    </xf>
    <xf numFmtId="3" fontId="53" fillId="0" borderId="16" xfId="2" applyNumberFormat="1" applyFont="1" applyBorder="1" applyAlignment="1">
      <alignment horizontal="right" indent="2"/>
    </xf>
    <xf numFmtId="3" fontId="54" fillId="0" borderId="44" xfId="0" applyNumberFormat="1" applyFont="1" applyBorder="1" applyAlignment="1">
      <alignment horizontal="right" indent="2"/>
    </xf>
    <xf numFmtId="0" fontId="3" fillId="4" borderId="6" xfId="0" applyFont="1" applyFill="1" applyBorder="1" applyAlignment="1">
      <alignment horizontal="left"/>
    </xf>
    <xf numFmtId="3" fontId="55" fillId="0" borderId="11" xfId="2" applyNumberFormat="1" applyFont="1" applyBorder="1"/>
    <xf numFmtId="3" fontId="54" fillId="4" borderId="48" xfId="0" applyNumberFormat="1" applyFont="1" applyFill="1" applyBorder="1" applyAlignment="1">
      <alignment horizontal="right" indent="2"/>
    </xf>
    <xf numFmtId="0" fontId="29" fillId="4" borderId="6" xfId="0" applyFont="1" applyFill="1" applyBorder="1" applyAlignment="1">
      <alignment horizontal="left"/>
    </xf>
    <xf numFmtId="0" fontId="29" fillId="4" borderId="6" xfId="0" applyFont="1" applyFill="1" applyBorder="1" applyAlignment="1">
      <alignment horizontal="right"/>
    </xf>
    <xf numFmtId="0" fontId="29" fillId="4" borderId="0" xfId="0" applyFont="1" applyFill="1" applyAlignment="1">
      <alignment horizontal="left"/>
    </xf>
    <xf numFmtId="0" fontId="29" fillId="4" borderId="0" xfId="0" applyFont="1" applyFill="1" applyAlignment="1">
      <alignment horizontal="right"/>
    </xf>
    <xf numFmtId="0" fontId="3" fillId="4" borderId="0" xfId="0" applyFont="1" applyFill="1" applyAlignment="1">
      <alignment horizontal="left"/>
    </xf>
    <xf numFmtId="0" fontId="0" fillId="4" borderId="0" xfId="0" applyFill="1" applyAlignment="1">
      <alignment horizontal="right"/>
    </xf>
    <xf numFmtId="3" fontId="36" fillId="0" borderId="11" xfId="2" applyNumberFormat="1" applyFont="1" applyBorder="1"/>
    <xf numFmtId="3" fontId="12" fillId="4" borderId="50" xfId="0" applyNumberFormat="1" applyFont="1" applyFill="1" applyBorder="1" applyAlignment="1">
      <alignment horizontal="right" indent="2"/>
    </xf>
    <xf numFmtId="3" fontId="55" fillId="0" borderId="38" xfId="2" applyNumberFormat="1" applyFont="1" applyBorder="1"/>
    <xf numFmtId="3" fontId="54" fillId="4" borderId="37" xfId="0" applyNumberFormat="1" applyFont="1" applyFill="1" applyBorder="1" applyAlignment="1">
      <alignment horizontal="right" indent="2"/>
    </xf>
    <xf numFmtId="3" fontId="0" fillId="0" borderId="16" xfId="0" applyNumberFormat="1" applyBorder="1" applyAlignment="1">
      <alignment horizontal="right"/>
    </xf>
    <xf numFmtId="3" fontId="12" fillId="0" borderId="18" xfId="0" applyNumberFormat="1" applyFont="1" applyBorder="1" applyAlignment="1">
      <alignment horizontal="left" indent="2"/>
    </xf>
    <xf numFmtId="165" fontId="12" fillId="0" borderId="0" xfId="2" applyNumberFormat="1" applyFont="1" applyAlignment="1">
      <alignment horizontal="right" indent="2"/>
    </xf>
    <xf numFmtId="0" fontId="0" fillId="4" borderId="42" xfId="0" applyFill="1" applyBorder="1" applyAlignment="1">
      <alignment horizontal="right"/>
    </xf>
    <xf numFmtId="165" fontId="19" fillId="4" borderId="38" xfId="2" applyNumberFormat="1" applyFont="1" applyFill="1" applyBorder="1" applyAlignment="1">
      <alignment horizontal="right" vertical="center" wrapText="1" indent="2"/>
    </xf>
    <xf numFmtId="165" fontId="12" fillId="0" borderId="0" xfId="2" applyNumberFormat="1" applyFont="1" applyAlignment="1">
      <alignment horizontal="right" vertical="center" wrapText="1" indent="2"/>
    </xf>
    <xf numFmtId="0" fontId="5" fillId="6" borderId="43" xfId="0" applyFont="1" applyFill="1" applyBorder="1" applyAlignment="1">
      <alignment horizontal="left"/>
    </xf>
    <xf numFmtId="0" fontId="5" fillId="6" borderId="16" xfId="0" applyFont="1" applyFill="1" applyBorder="1" applyAlignment="1">
      <alignment horizontal="left"/>
    </xf>
    <xf numFmtId="3" fontId="12" fillId="0" borderId="14" xfId="0" applyNumberFormat="1" applyFont="1" applyBorder="1" applyAlignment="1">
      <alignment horizontal="right" indent="2"/>
    </xf>
    <xf numFmtId="0" fontId="5" fillId="0" borderId="6" xfId="0" applyFont="1" applyBorder="1" applyAlignment="1">
      <alignment horizontal="right"/>
    </xf>
    <xf numFmtId="3" fontId="12" fillId="0" borderId="12" xfId="0" applyNumberFormat="1" applyFont="1" applyBorder="1" applyAlignment="1">
      <alignment horizontal="right" indent="2"/>
    </xf>
    <xf numFmtId="3" fontId="12" fillId="0" borderId="15" xfId="0" applyNumberFormat="1" applyFont="1" applyBorder="1" applyAlignment="1">
      <alignment horizontal="right" indent="2"/>
    </xf>
    <xf numFmtId="3" fontId="12" fillId="0" borderId="16" xfId="0" applyNumberFormat="1" applyFont="1" applyBorder="1" applyAlignment="1">
      <alignment horizontal="right"/>
    </xf>
    <xf numFmtId="0" fontId="12" fillId="6" borderId="17" xfId="0" applyFont="1" applyFill="1" applyBorder="1" applyAlignment="1">
      <alignment horizontal="right"/>
    </xf>
    <xf numFmtId="0" fontId="12" fillId="6" borderId="62" xfId="0" applyFont="1" applyFill="1" applyBorder="1" applyAlignment="1">
      <alignment horizontal="right"/>
    </xf>
    <xf numFmtId="3" fontId="40" fillId="6" borderId="23" xfId="0" applyNumberFormat="1" applyFont="1" applyFill="1" applyBorder="1" applyAlignment="1">
      <alignment horizontal="right" indent="2"/>
    </xf>
    <xf numFmtId="0" fontId="12" fillId="0" borderId="8" xfId="0" applyFont="1" applyBorder="1" applyAlignment="1">
      <alignment horizontal="right"/>
    </xf>
    <xf numFmtId="3" fontId="40" fillId="6" borderId="24" xfId="0" applyNumberFormat="1" applyFont="1" applyFill="1" applyBorder="1" applyAlignment="1">
      <alignment horizontal="right" indent="2"/>
    </xf>
    <xf numFmtId="3" fontId="40" fillId="6" borderId="25" xfId="0" applyNumberFormat="1" applyFont="1" applyFill="1" applyBorder="1" applyAlignment="1">
      <alignment horizontal="right" indent="2"/>
    </xf>
    <xf numFmtId="3" fontId="12" fillId="6" borderId="11" xfId="0" applyNumberFormat="1" applyFont="1" applyFill="1" applyBorder="1" applyAlignment="1">
      <alignment horizontal="right" vertical="center" wrapText="1" indent="2"/>
    </xf>
    <xf numFmtId="3" fontId="40" fillId="4" borderId="47" xfId="0" applyNumberFormat="1" applyFont="1" applyFill="1" applyBorder="1" applyAlignment="1">
      <alignment horizontal="right" indent="2"/>
    </xf>
    <xf numFmtId="3" fontId="40" fillId="4" borderId="48" xfId="0" applyNumberFormat="1" applyFont="1" applyFill="1" applyBorder="1" applyAlignment="1">
      <alignment horizontal="right" indent="2"/>
    </xf>
    <xf numFmtId="0" fontId="12" fillId="6" borderId="18" xfId="0" applyFont="1" applyFill="1" applyBorder="1" applyAlignment="1">
      <alignment horizontal="right"/>
    </xf>
    <xf numFmtId="0" fontId="12" fillId="6" borderId="53" xfId="0" applyFont="1" applyFill="1" applyBorder="1" applyAlignment="1">
      <alignment horizontal="right"/>
    </xf>
    <xf numFmtId="0" fontId="12" fillId="6" borderId="38" xfId="0" applyFont="1" applyFill="1" applyBorder="1" applyAlignment="1">
      <alignment horizontal="right"/>
    </xf>
    <xf numFmtId="0" fontId="12" fillId="0" borderId="9" xfId="0" applyFont="1" applyBorder="1" applyAlignment="1">
      <alignment horizontal="right"/>
    </xf>
    <xf numFmtId="3" fontId="12" fillId="6" borderId="38" xfId="0" applyNumberFormat="1" applyFont="1" applyFill="1" applyBorder="1" applyAlignment="1">
      <alignment horizontal="right" vertical="center" wrapText="1" indent="2"/>
    </xf>
    <xf numFmtId="3" fontId="56" fillId="0" borderId="0" xfId="0" applyNumberFormat="1" applyFont="1"/>
    <xf numFmtId="3" fontId="0" fillId="7" borderId="15" xfId="0" applyNumberFormat="1" applyFill="1" applyBorder="1" applyAlignment="1">
      <alignment horizontal="right" indent="2"/>
    </xf>
    <xf numFmtId="3" fontId="29" fillId="7" borderId="12" xfId="0" applyNumberFormat="1" applyFont="1" applyFill="1" applyBorder="1" applyAlignment="1">
      <alignment horizontal="left" indent="2"/>
    </xf>
    <xf numFmtId="3" fontId="56" fillId="0" borderId="16" xfId="0" applyNumberFormat="1" applyFont="1" applyBorder="1"/>
    <xf numFmtId="3" fontId="40" fillId="7" borderId="24" xfId="0" applyNumberFormat="1" applyFont="1" applyFill="1" applyBorder="1" applyAlignment="1">
      <alignment horizontal="right" indent="2"/>
    </xf>
    <xf numFmtId="3" fontId="40" fillId="7" borderId="25" xfId="0" applyNumberFormat="1" applyFont="1" applyFill="1" applyBorder="1" applyAlignment="1">
      <alignment horizontal="right" indent="2"/>
    </xf>
    <xf numFmtId="3" fontId="56" fillId="0" borderId="11" xfId="0" applyNumberFormat="1" applyFont="1" applyBorder="1"/>
    <xf numFmtId="0" fontId="24" fillId="7" borderId="18" xfId="0" applyFont="1" applyFill="1" applyBorder="1" applyAlignment="1">
      <alignment horizontal="center" vertical="center" textRotation="90"/>
    </xf>
    <xf numFmtId="3" fontId="12" fillId="7" borderId="24" xfId="0" applyNumberFormat="1" applyFont="1" applyFill="1" applyBorder="1" applyAlignment="1">
      <alignment horizontal="right" indent="2"/>
    </xf>
    <xf numFmtId="3" fontId="12" fillId="7" borderId="25" xfId="0" applyNumberFormat="1" applyFont="1" applyFill="1" applyBorder="1" applyAlignment="1">
      <alignment horizontal="right" indent="2"/>
    </xf>
    <xf numFmtId="0" fontId="0" fillId="0" borderId="42" xfId="0" applyBorder="1"/>
    <xf numFmtId="3" fontId="56" fillId="0" borderId="38" xfId="0" applyNumberFormat="1" applyFont="1" applyBorder="1"/>
    <xf numFmtId="0" fontId="31" fillId="0" borderId="43" xfId="0" applyFont="1" applyBorder="1" applyAlignment="1">
      <alignment horizontal="left"/>
    </xf>
    <xf numFmtId="0" fontId="35" fillId="0" borderId="44" xfId="0" applyFont="1" applyBorder="1"/>
    <xf numFmtId="0" fontId="31" fillId="0" borderId="0" xfId="0" applyFont="1" applyAlignment="1">
      <alignment horizontal="left"/>
    </xf>
    <xf numFmtId="3" fontId="35" fillId="0" borderId="5" xfId="0" applyNumberFormat="1" applyFont="1" applyBorder="1" applyAlignment="1">
      <alignment horizontal="right" indent="2"/>
    </xf>
    <xf numFmtId="0" fontId="31" fillId="0" borderId="0" xfId="0" applyFont="1" applyAlignment="1">
      <alignment horizontal="right"/>
    </xf>
    <xf numFmtId="3" fontId="35" fillId="0" borderId="43" xfId="0" applyNumberFormat="1" applyFont="1" applyBorder="1" applyAlignment="1">
      <alignment horizontal="right" indent="2"/>
    </xf>
    <xf numFmtId="3" fontId="35" fillId="0" borderId="44" xfId="0" applyNumberFormat="1" applyFont="1" applyBorder="1" applyAlignment="1">
      <alignment horizontal="right" indent="2"/>
    </xf>
    <xf numFmtId="3" fontId="35" fillId="0" borderId="16" xfId="0" applyNumberFormat="1" applyFont="1" applyBorder="1" applyAlignment="1">
      <alignment horizontal="right"/>
    </xf>
    <xf numFmtId="3" fontId="35" fillId="0" borderId="16" xfId="0" applyNumberFormat="1" applyFont="1" applyBorder="1" applyAlignment="1">
      <alignment horizontal="right" indent="2"/>
    </xf>
    <xf numFmtId="3" fontId="35" fillId="0" borderId="0" xfId="0" applyNumberFormat="1" applyFont="1"/>
    <xf numFmtId="0" fontId="35" fillId="0" borderId="0" xfId="0" applyFont="1"/>
    <xf numFmtId="0" fontId="58" fillId="0" borderId="18" xfId="0" applyFont="1" applyBorder="1" applyAlignment="1">
      <alignment horizontal="center" vertical="center" textRotation="90" wrapText="1"/>
    </xf>
    <xf numFmtId="0" fontId="35" fillId="0" borderId="0" xfId="0" applyFont="1" applyAlignment="1">
      <alignment horizontal="right"/>
    </xf>
    <xf numFmtId="0" fontId="24" fillId="0" borderId="18" xfId="0" applyFont="1" applyBorder="1" applyAlignment="1">
      <alignment horizontal="center" vertical="center" textRotation="90" wrapText="1"/>
    </xf>
    <xf numFmtId="165" fontId="59" fillId="0" borderId="11" xfId="2" applyNumberFormat="1" applyFont="1" applyBorder="1" applyAlignment="1">
      <alignment horizontal="right" indent="2"/>
    </xf>
    <xf numFmtId="3" fontId="26" fillId="6" borderId="46" xfId="2" applyNumberFormat="1" applyFont="1" applyFill="1" applyBorder="1" applyAlignment="1">
      <alignment horizontal="right" indent="2"/>
    </xf>
    <xf numFmtId="3" fontId="26" fillId="6" borderId="47" xfId="2" applyNumberFormat="1" applyFont="1" applyFill="1" applyBorder="1" applyAlignment="1">
      <alignment horizontal="right" indent="1"/>
    </xf>
    <xf numFmtId="3" fontId="26" fillId="6" borderId="65" xfId="2" applyNumberFormat="1" applyFont="1" applyFill="1" applyBorder="1" applyAlignment="1">
      <alignment horizontal="right" indent="1"/>
    </xf>
    <xf numFmtId="3" fontId="26" fillId="6" borderId="17" xfId="2" applyNumberFormat="1" applyFont="1" applyFill="1" applyBorder="1" applyAlignment="1">
      <alignment horizontal="right" indent="1"/>
    </xf>
    <xf numFmtId="3" fontId="26" fillId="6" borderId="79" xfId="2" applyNumberFormat="1" applyFont="1" applyFill="1" applyBorder="1" applyAlignment="1">
      <alignment horizontal="right" indent="1"/>
    </xf>
    <xf numFmtId="3" fontId="21" fillId="0" borderId="0" xfId="2" applyNumberFormat="1" applyFont="1" applyAlignment="1">
      <alignment horizontal="right"/>
    </xf>
    <xf numFmtId="3" fontId="26" fillId="6" borderId="47" xfId="2" applyNumberFormat="1" applyFont="1" applyFill="1" applyBorder="1" applyAlignment="1">
      <alignment horizontal="right"/>
    </xf>
    <xf numFmtId="3" fontId="36" fillId="0" borderId="0" xfId="2" applyNumberFormat="1" applyFont="1" applyAlignment="1">
      <alignment horizontal="right" indent="2"/>
    </xf>
    <xf numFmtId="3" fontId="36" fillId="0" borderId="0" xfId="2" applyNumberFormat="1" applyFont="1" applyAlignment="1">
      <alignment horizontal="right" indent="1"/>
    </xf>
    <xf numFmtId="3" fontId="55" fillId="0" borderId="11" xfId="2" applyNumberFormat="1" applyFont="1" applyBorder="1" applyAlignment="1">
      <alignment horizontal="right" indent="1"/>
    </xf>
    <xf numFmtId="165" fontId="21" fillId="6" borderId="23" xfId="2" applyNumberFormat="1" applyFont="1" applyFill="1" applyBorder="1" applyAlignment="1">
      <alignment horizontal="right"/>
    </xf>
    <xf numFmtId="165" fontId="21" fillId="0" borderId="8" xfId="2" applyNumberFormat="1" applyFont="1" applyBorder="1" applyAlignment="1">
      <alignment horizontal="right"/>
    </xf>
    <xf numFmtId="165" fontId="21" fillId="6" borderId="24" xfId="2" applyNumberFormat="1" applyFont="1" applyFill="1" applyBorder="1" applyAlignment="1">
      <alignment horizontal="right" indent="1"/>
    </xf>
    <xf numFmtId="165" fontId="21" fillId="6" borderId="51" xfId="2" applyNumberFormat="1" applyFont="1" applyFill="1" applyBorder="1" applyAlignment="1">
      <alignment horizontal="right" indent="1"/>
    </xf>
    <xf numFmtId="165" fontId="21" fillId="0" borderId="11" xfId="2" applyNumberFormat="1" applyFont="1" applyBorder="1" applyAlignment="1">
      <alignment horizontal="right"/>
    </xf>
    <xf numFmtId="165" fontId="21" fillId="6" borderId="21" xfId="2" applyNumberFormat="1" applyFont="1" applyFill="1" applyBorder="1" applyAlignment="1">
      <alignment horizontal="right" indent="1"/>
    </xf>
    <xf numFmtId="165" fontId="21" fillId="6" borderId="63" xfId="2" applyNumberFormat="1" applyFont="1" applyFill="1" applyBorder="1" applyAlignment="1">
      <alignment horizontal="right" indent="1"/>
    </xf>
    <xf numFmtId="165" fontId="21" fillId="0" borderId="0" xfId="2" applyNumberFormat="1" applyFont="1" applyAlignment="1">
      <alignment horizontal="right" indent="1"/>
    </xf>
    <xf numFmtId="165" fontId="21" fillId="6" borderId="24" xfId="2" applyNumberFormat="1" applyFont="1" applyFill="1" applyBorder="1" applyAlignment="1">
      <alignment horizontal="right" indent="2"/>
    </xf>
    <xf numFmtId="165" fontId="21" fillId="0" borderId="0" xfId="2" applyNumberFormat="1" applyFont="1" applyAlignment="1">
      <alignment horizontal="right"/>
    </xf>
    <xf numFmtId="165" fontId="36" fillId="0" borderId="0" xfId="2" applyNumberFormat="1" applyFont="1" applyAlignment="1">
      <alignment horizontal="right" indent="2"/>
    </xf>
    <xf numFmtId="165" fontId="36" fillId="0" borderId="0" xfId="2" applyNumberFormat="1" applyFont="1" applyAlignment="1">
      <alignment horizontal="right" indent="3"/>
    </xf>
    <xf numFmtId="165" fontId="55" fillId="0" borderId="11" xfId="2" applyNumberFormat="1" applyFont="1" applyBorder="1" applyAlignment="1">
      <alignment horizontal="right" indent="3"/>
    </xf>
    <xf numFmtId="0" fontId="0" fillId="6" borderId="22" xfId="0" applyFill="1" applyBorder="1"/>
    <xf numFmtId="165" fontId="21" fillId="0" borderId="0" xfId="2" applyNumberFormat="1" applyFont="1" applyAlignment="1">
      <alignment horizontal="right" indent="3"/>
    </xf>
    <xf numFmtId="165" fontId="62" fillId="0" borderId="11" xfId="2" applyNumberFormat="1" applyFont="1" applyBorder="1" applyAlignment="1">
      <alignment horizontal="right" indent="3"/>
    </xf>
    <xf numFmtId="3" fontId="11" fillId="6" borderId="21" xfId="0" applyNumberFormat="1" applyFont="1" applyFill="1" applyBorder="1" applyAlignment="1">
      <alignment horizontal="center" vertical="center" textRotation="90" wrapText="1"/>
    </xf>
    <xf numFmtId="3" fontId="0" fillId="6" borderId="8" xfId="0" applyNumberFormat="1" applyFill="1" applyBorder="1"/>
    <xf numFmtId="3" fontId="0" fillId="6" borderId="62" xfId="0" applyNumberFormat="1" applyFill="1" applyBorder="1" applyAlignment="1">
      <alignment horizontal="right"/>
    </xf>
    <xf numFmtId="3" fontId="0" fillId="0" borderId="8" xfId="0" applyNumberFormat="1" applyBorder="1"/>
    <xf numFmtId="3" fontId="21" fillId="6" borderId="23" xfId="2" applyNumberFormat="1" applyFont="1" applyFill="1" applyBorder="1" applyAlignment="1">
      <alignment horizontal="right"/>
    </xf>
    <xf numFmtId="3" fontId="21" fillId="0" borderId="8" xfId="2" applyNumberFormat="1" applyFont="1" applyBorder="1" applyAlignment="1">
      <alignment horizontal="right"/>
    </xf>
    <xf numFmtId="3" fontId="21" fillId="6" borderId="24" xfId="2" applyNumberFormat="1" applyFont="1" applyFill="1" applyBorder="1" applyAlignment="1">
      <alignment horizontal="right" indent="1"/>
    </xf>
    <xf numFmtId="3" fontId="21" fillId="6" borderId="51" xfId="2" applyNumberFormat="1" applyFont="1" applyFill="1" applyBorder="1" applyAlignment="1">
      <alignment horizontal="right" indent="1"/>
    </xf>
    <xf numFmtId="3" fontId="21" fillId="0" borderId="11" xfId="2" applyNumberFormat="1" applyFont="1" applyBorder="1" applyAlignment="1">
      <alignment horizontal="right"/>
    </xf>
    <xf numFmtId="3" fontId="21" fillId="6" borderId="21" xfId="2" applyNumberFormat="1" applyFont="1" applyFill="1" applyBorder="1" applyAlignment="1">
      <alignment horizontal="right" indent="1"/>
    </xf>
    <xf numFmtId="3" fontId="21" fillId="6" borderId="63" xfId="2" applyNumberFormat="1" applyFont="1" applyFill="1" applyBorder="1" applyAlignment="1">
      <alignment horizontal="right" indent="1"/>
    </xf>
    <xf numFmtId="3" fontId="21" fillId="0" borderId="0" xfId="2" applyNumberFormat="1" applyFont="1" applyAlignment="1">
      <alignment horizontal="right" indent="1"/>
    </xf>
    <xf numFmtId="3" fontId="21" fillId="6" borderId="24" xfId="2" applyNumberFormat="1" applyFont="1" applyFill="1" applyBorder="1" applyAlignment="1">
      <alignment horizontal="right" indent="2"/>
    </xf>
    <xf numFmtId="3" fontId="62" fillId="0" borderId="11" xfId="2" applyNumberFormat="1" applyFont="1" applyBorder="1" applyAlignment="1">
      <alignment horizontal="right" indent="1"/>
    </xf>
    <xf numFmtId="165" fontId="62" fillId="0" borderId="11" xfId="2" applyNumberFormat="1" applyFont="1" applyBorder="1" applyAlignment="1">
      <alignment horizontal="right" indent="1"/>
    </xf>
    <xf numFmtId="165" fontId="21" fillId="6" borderId="24" xfId="2" applyNumberFormat="1" applyFont="1" applyFill="1" applyBorder="1" applyAlignment="1">
      <alignment horizontal="right"/>
    </xf>
    <xf numFmtId="165" fontId="21" fillId="6" borderId="51" xfId="2" applyNumberFormat="1" applyFont="1" applyFill="1" applyBorder="1" applyAlignment="1">
      <alignment horizontal="right"/>
    </xf>
    <xf numFmtId="165" fontId="21" fillId="6" borderId="21" xfId="2" applyNumberFormat="1" applyFont="1" applyFill="1" applyBorder="1" applyAlignment="1">
      <alignment horizontal="right"/>
    </xf>
    <xf numFmtId="165" fontId="21" fillId="6" borderId="63" xfId="2" applyNumberFormat="1" applyFont="1" applyFill="1" applyBorder="1" applyAlignment="1">
      <alignment horizontal="right"/>
    </xf>
    <xf numFmtId="0" fontId="63" fillId="6" borderId="22" xfId="0" applyFont="1" applyFill="1" applyBorder="1" applyAlignment="1">
      <alignment horizontal="right"/>
    </xf>
    <xf numFmtId="165" fontId="26" fillId="6" borderId="23" xfId="2" applyNumberFormat="1" applyFont="1" applyFill="1" applyBorder="1" applyAlignment="1">
      <alignment horizontal="right" indent="2"/>
    </xf>
    <xf numFmtId="165" fontId="26" fillId="0" borderId="8" xfId="2" applyNumberFormat="1" applyFont="1" applyBorder="1" applyAlignment="1">
      <alignment horizontal="right"/>
    </xf>
    <xf numFmtId="165" fontId="26" fillId="6" borderId="24" xfId="2" applyNumberFormat="1" applyFont="1" applyFill="1" applyBorder="1" applyAlignment="1">
      <alignment horizontal="right" indent="2"/>
    </xf>
    <xf numFmtId="165" fontId="26" fillId="6" borderId="51" xfId="2" applyNumberFormat="1" applyFont="1" applyFill="1" applyBorder="1" applyAlignment="1">
      <alignment horizontal="right" indent="2"/>
    </xf>
    <xf numFmtId="165" fontId="26" fillId="6" borderId="21" xfId="2" applyNumberFormat="1" applyFont="1" applyFill="1" applyBorder="1" applyAlignment="1">
      <alignment horizontal="right" indent="2"/>
    </xf>
    <xf numFmtId="165" fontId="26" fillId="6" borderId="63" xfId="2" applyNumberFormat="1" applyFont="1" applyFill="1" applyBorder="1" applyAlignment="1">
      <alignment horizontal="right" indent="2"/>
    </xf>
    <xf numFmtId="3" fontId="62" fillId="0" borderId="11" xfId="2" applyNumberFormat="1" applyFont="1" applyBorder="1" applyAlignment="1">
      <alignment horizontal="right"/>
    </xf>
    <xf numFmtId="165" fontId="26" fillId="0" borderId="9" xfId="2" applyNumberFormat="1" applyFont="1" applyBorder="1" applyAlignment="1">
      <alignment horizontal="right"/>
    </xf>
    <xf numFmtId="165" fontId="26" fillId="6" borderId="64" xfId="2" applyNumberFormat="1" applyFont="1" applyFill="1" applyBorder="1" applyAlignment="1">
      <alignment horizontal="right" indent="2"/>
    </xf>
    <xf numFmtId="165" fontId="21" fillId="0" borderId="42" xfId="2" applyNumberFormat="1" applyFont="1" applyBorder="1" applyAlignment="1">
      <alignment horizontal="right"/>
    </xf>
    <xf numFmtId="165" fontId="49" fillId="0" borderId="0" xfId="2" applyNumberFormat="1" applyFont="1" applyAlignment="1">
      <alignment horizontal="right"/>
    </xf>
    <xf numFmtId="165" fontId="49" fillId="0" borderId="42" xfId="2" applyNumberFormat="1" applyFont="1" applyBorder="1" applyAlignment="1">
      <alignment horizontal="right"/>
    </xf>
    <xf numFmtId="3" fontId="55" fillId="0" borderId="38" xfId="2" applyNumberFormat="1" applyFont="1" applyBorder="1" applyAlignment="1">
      <alignment horizontal="right"/>
    </xf>
    <xf numFmtId="0" fontId="29" fillId="6" borderId="15" xfId="0" applyFont="1" applyFill="1" applyBorder="1" applyAlignment="1">
      <alignment vertical="center"/>
    </xf>
    <xf numFmtId="3" fontId="0" fillId="0" borderId="63" xfId="0" applyNumberFormat="1" applyBorder="1" applyAlignment="1">
      <alignment horizontal="right" indent="2"/>
    </xf>
    <xf numFmtId="165" fontId="15" fillId="0" borderId="11" xfId="0" applyNumberFormat="1" applyFont="1" applyBorder="1"/>
    <xf numFmtId="3" fontId="3" fillId="6" borderId="39" xfId="0" applyNumberFormat="1" applyFont="1" applyFill="1" applyBorder="1" applyAlignment="1">
      <alignment horizontal="right" indent="2"/>
    </xf>
    <xf numFmtId="3" fontId="3" fillId="6" borderId="36" xfId="0" applyNumberFormat="1" applyFont="1" applyFill="1" applyBorder="1" applyAlignment="1">
      <alignment horizontal="right" indent="2"/>
    </xf>
    <xf numFmtId="3" fontId="3" fillId="0" borderId="40" xfId="0" applyNumberFormat="1" applyFont="1" applyBorder="1" applyAlignment="1">
      <alignment horizontal="right" indent="2"/>
    </xf>
    <xf numFmtId="3" fontId="3" fillId="6" borderId="64" xfId="0" applyNumberFormat="1" applyFont="1" applyFill="1" applyBorder="1" applyAlignment="1">
      <alignment horizontal="right" indent="2"/>
    </xf>
    <xf numFmtId="3" fontId="3" fillId="0" borderId="64" xfId="0" applyNumberFormat="1" applyFont="1" applyBorder="1" applyAlignment="1">
      <alignment horizontal="right" indent="2"/>
    </xf>
    <xf numFmtId="3" fontId="2" fillId="0" borderId="11" xfId="0" applyNumberFormat="1" applyFont="1" applyBorder="1" applyAlignment="1">
      <alignment horizontal="right" indent="2"/>
    </xf>
    <xf numFmtId="3" fontId="3" fillId="4" borderId="36" xfId="0" applyNumberFormat="1" applyFont="1" applyFill="1" applyBorder="1" applyAlignment="1">
      <alignment horizontal="right" indent="2"/>
    </xf>
    <xf numFmtId="3" fontId="3" fillId="4" borderId="37" xfId="0" applyNumberFormat="1" applyFont="1" applyFill="1" applyBorder="1" applyAlignment="1">
      <alignment horizontal="right" indent="2"/>
    </xf>
    <xf numFmtId="3" fontId="3" fillId="4" borderId="33" xfId="0" applyNumberFormat="1" applyFont="1" applyFill="1" applyBorder="1" applyAlignment="1">
      <alignment horizontal="right" indent="2"/>
    </xf>
    <xf numFmtId="3" fontId="3" fillId="4" borderId="34" xfId="0" applyNumberFormat="1" applyFont="1" applyFill="1" applyBorder="1" applyAlignment="1">
      <alignment horizontal="right" indent="2"/>
    </xf>
    <xf numFmtId="3" fontId="3" fillId="0" borderId="38" xfId="0" applyNumberFormat="1" applyFont="1" applyBorder="1" applyAlignment="1">
      <alignment horizontal="right" indent="2"/>
    </xf>
    <xf numFmtId="3" fontId="2" fillId="4" borderId="24" xfId="0" applyNumberFormat="1" applyFont="1" applyFill="1" applyBorder="1" applyAlignment="1">
      <alignment horizontal="left"/>
    </xf>
    <xf numFmtId="165" fontId="18" fillId="0" borderId="0" xfId="2" applyNumberFormat="1" applyFont="1" applyFill="1" applyBorder="1" applyAlignment="1">
      <alignment horizontal="right" indent="2"/>
    </xf>
    <xf numFmtId="0" fontId="3" fillId="0" borderId="10" xfId="0" applyFont="1" applyBorder="1"/>
    <xf numFmtId="0" fontId="3" fillId="0" borderId="7" xfId="0" applyFont="1" applyBorder="1"/>
    <xf numFmtId="165" fontId="4" fillId="0" borderId="4" xfId="3" applyNumberFormat="1" applyFill="1" applyBorder="1" applyAlignment="1">
      <alignment horizontal="center" vertical="center" wrapText="1"/>
    </xf>
    <xf numFmtId="3" fontId="64" fillId="0" borderId="43" xfId="0" applyNumberFormat="1" applyFont="1" applyBorder="1" applyAlignment="1">
      <alignment horizontal="left" vertical="center" wrapText="1"/>
    </xf>
    <xf numFmtId="3" fontId="64" fillId="0" borderId="44" xfId="0" applyNumberFormat="1" applyFont="1" applyBorder="1" applyAlignment="1">
      <alignment horizontal="left" vertical="center" wrapText="1"/>
    </xf>
    <xf numFmtId="3" fontId="0" fillId="0" borderId="43" xfId="0" applyNumberFormat="1" applyBorder="1" applyAlignment="1">
      <alignment horizontal="right" wrapText="1" indent="2"/>
    </xf>
    <xf numFmtId="3" fontId="0" fillId="4" borderId="62" xfId="0" applyNumberFormat="1" applyFill="1" applyBorder="1" applyAlignment="1">
      <alignment horizontal="right" vertical="center" wrapText="1" indent="2"/>
    </xf>
    <xf numFmtId="3" fontId="0" fillId="4" borderId="28" xfId="0" applyNumberFormat="1" applyFill="1" applyBorder="1" applyAlignment="1">
      <alignment horizontal="right" vertical="center" wrapText="1" indent="2"/>
    </xf>
    <xf numFmtId="3" fontId="4" fillId="0" borderId="0" xfId="3" applyNumberFormat="1" applyFill="1" applyBorder="1" applyAlignment="1">
      <alignment horizontal="left"/>
    </xf>
    <xf numFmtId="3" fontId="45" fillId="0" borderId="44" xfId="0" applyNumberFormat="1" applyFont="1" applyBorder="1" applyAlignment="1">
      <alignment horizontal="right" indent="2"/>
    </xf>
    <xf numFmtId="3" fontId="2" fillId="0" borderId="19" xfId="0" applyNumberFormat="1" applyFont="1" applyBorder="1" applyAlignment="1">
      <alignment horizontal="right" indent="2"/>
    </xf>
    <xf numFmtId="3" fontId="45" fillId="4" borderId="18" xfId="0" applyNumberFormat="1" applyFont="1" applyFill="1" applyBorder="1" applyAlignment="1">
      <alignment horizontal="right" indent="2"/>
    </xf>
    <xf numFmtId="165" fontId="20" fillId="0" borderId="38" xfId="2" applyNumberFormat="1" applyFont="1" applyFill="1" applyBorder="1" applyAlignment="1">
      <alignment horizontal="right" indent="2"/>
    </xf>
    <xf numFmtId="3" fontId="23" fillId="0" borderId="11" xfId="0" applyNumberFormat="1" applyFont="1" applyBorder="1" applyAlignment="1">
      <alignment horizontal="right" indent="2"/>
    </xf>
    <xf numFmtId="3" fontId="65" fillId="0" borderId="43" xfId="0" applyNumberFormat="1" applyFont="1" applyBorder="1" applyAlignment="1">
      <alignment horizontal="center"/>
    </xf>
    <xf numFmtId="3" fontId="0" fillId="7" borderId="15" xfId="0" applyNumberFormat="1" applyFill="1" applyBorder="1" applyAlignment="1">
      <alignment horizontal="left"/>
    </xf>
    <xf numFmtId="3" fontId="2" fillId="0" borderId="49" xfId="0" applyNumberFormat="1" applyFont="1" applyBorder="1" applyAlignment="1">
      <alignment horizontal="right" indent="2"/>
    </xf>
    <xf numFmtId="3" fontId="0" fillId="0" borderId="47" xfId="0" applyNumberFormat="1" applyBorder="1" applyAlignment="1">
      <alignment horizontal="right" indent="2"/>
    </xf>
    <xf numFmtId="3" fontId="66" fillId="6" borderId="24" xfId="2" applyNumberFormat="1" applyFont="1" applyFill="1" applyBorder="1" applyAlignment="1">
      <alignment horizontal="right" indent="2"/>
    </xf>
    <xf numFmtId="3" fontId="66" fillId="6" borderId="51" xfId="2" applyNumberFormat="1" applyFont="1" applyFill="1" applyBorder="1" applyAlignment="1">
      <alignment horizontal="right" indent="2"/>
    </xf>
    <xf numFmtId="3" fontId="66" fillId="0" borderId="0" xfId="2" applyNumberFormat="1" applyFont="1" applyFill="1" applyBorder="1" applyAlignment="1">
      <alignment horizontal="right" indent="2"/>
    </xf>
    <xf numFmtId="3" fontId="66" fillId="0" borderId="11" xfId="2" applyNumberFormat="1" applyFont="1" applyFill="1" applyBorder="1" applyAlignment="1">
      <alignment horizontal="right" indent="2"/>
    </xf>
    <xf numFmtId="3" fontId="66" fillId="0" borderId="8" xfId="2" applyNumberFormat="1" applyFont="1" applyFill="1" applyBorder="1" applyAlignment="1">
      <alignment horizontal="right" indent="2"/>
    </xf>
    <xf numFmtId="3" fontId="66" fillId="6" borderId="21" xfId="2" applyNumberFormat="1" applyFont="1" applyFill="1" applyBorder="1" applyAlignment="1">
      <alignment horizontal="right" indent="2"/>
    </xf>
    <xf numFmtId="3" fontId="66" fillId="6" borderId="11" xfId="2" applyNumberFormat="1" applyFont="1" applyFill="1" applyBorder="1" applyAlignment="1">
      <alignment horizontal="right" indent="2"/>
    </xf>
    <xf numFmtId="165" fontId="66" fillId="6" borderId="47" xfId="2" applyNumberFormat="1" applyFont="1" applyFill="1" applyBorder="1" applyAlignment="1">
      <alignment horizontal="right" indent="2"/>
    </xf>
    <xf numFmtId="165" fontId="66" fillId="6" borderId="65" xfId="2" applyNumberFormat="1" applyFont="1" applyFill="1" applyBorder="1" applyAlignment="1">
      <alignment horizontal="right" indent="2"/>
    </xf>
    <xf numFmtId="165" fontId="66" fillId="0" borderId="0" xfId="2" applyNumberFormat="1" applyFont="1" applyFill="1" applyBorder="1" applyAlignment="1">
      <alignment horizontal="right" indent="2"/>
    </xf>
    <xf numFmtId="165" fontId="66" fillId="0" borderId="11" xfId="2" applyNumberFormat="1" applyFont="1" applyFill="1" applyBorder="1" applyAlignment="1">
      <alignment horizontal="right" indent="2"/>
    </xf>
    <xf numFmtId="165" fontId="66" fillId="0" borderId="6" xfId="2" applyNumberFormat="1" applyFont="1" applyFill="1" applyBorder="1" applyAlignment="1">
      <alignment horizontal="right" indent="2"/>
    </xf>
    <xf numFmtId="165" fontId="66" fillId="6" borderId="17" xfId="2" applyNumberFormat="1" applyFont="1" applyFill="1" applyBorder="1" applyAlignment="1">
      <alignment horizontal="right" indent="2"/>
    </xf>
    <xf numFmtId="165" fontId="66" fillId="6" borderId="11" xfId="2" applyNumberFormat="1" applyFont="1" applyFill="1" applyBorder="1" applyAlignment="1">
      <alignment horizontal="right" indent="2"/>
    </xf>
    <xf numFmtId="165" fontId="15" fillId="0" borderId="0" xfId="2" applyNumberFormat="1" applyFont="1" applyFill="1" applyBorder="1" applyAlignment="1">
      <alignment horizontal="right" indent="2"/>
    </xf>
    <xf numFmtId="165" fontId="15" fillId="6" borderId="11" xfId="2" applyNumberFormat="1" applyFont="1" applyFill="1" applyBorder="1" applyAlignment="1">
      <alignment horizontal="right" indent="2"/>
    </xf>
    <xf numFmtId="0" fontId="0" fillId="6" borderId="11" xfId="0" applyFill="1" applyBorder="1"/>
    <xf numFmtId="3" fontId="9" fillId="6" borderId="11" xfId="0" applyNumberFormat="1" applyFont="1" applyFill="1" applyBorder="1" applyAlignment="1">
      <alignment horizontal="right" indent="2"/>
    </xf>
    <xf numFmtId="165" fontId="9" fillId="0" borderId="0" xfId="2" applyNumberFormat="1" applyFont="1" applyFill="1" applyBorder="1" applyAlignment="1">
      <alignment horizontal="right" indent="2"/>
    </xf>
    <xf numFmtId="165" fontId="9" fillId="6" borderId="11" xfId="2" applyNumberFormat="1" applyFont="1" applyFill="1" applyBorder="1" applyAlignment="1">
      <alignment horizontal="right" indent="2"/>
    </xf>
    <xf numFmtId="165" fontId="15" fillId="0" borderId="42" xfId="2" applyNumberFormat="1" applyFont="1" applyFill="1" applyBorder="1" applyAlignment="1">
      <alignment horizontal="right" indent="2"/>
    </xf>
    <xf numFmtId="165" fontId="15" fillId="6" borderId="38" xfId="2" applyNumberFormat="1" applyFont="1" applyFill="1" applyBorder="1" applyAlignment="1">
      <alignment horizontal="right" indent="2"/>
    </xf>
    <xf numFmtId="0" fontId="0" fillId="0" borderId="0" xfId="0" applyAlignment="1">
      <alignment vertical="center"/>
    </xf>
    <xf numFmtId="0" fontId="5" fillId="0" borderId="0" xfId="0" applyFont="1" applyAlignment="1">
      <alignment horizontal="center" vertical="center"/>
    </xf>
    <xf numFmtId="0" fontId="0" fillId="0" borderId="43" xfId="0" applyBorder="1" applyAlignment="1">
      <alignment vertical="center"/>
    </xf>
    <xf numFmtId="0" fontId="0" fillId="0" borderId="44" xfId="0" applyBorder="1" applyAlignment="1">
      <alignment vertical="center"/>
    </xf>
    <xf numFmtId="0" fontId="0" fillId="0" borderId="16" xfId="0" applyBorder="1" applyAlignment="1">
      <alignment vertical="center"/>
    </xf>
    <xf numFmtId="166" fontId="0" fillId="4" borderId="0" xfId="0" applyNumberFormat="1" applyFill="1" applyAlignment="1">
      <alignment vertical="center" wrapText="1"/>
    </xf>
    <xf numFmtId="0" fontId="6" fillId="0" borderId="0" xfId="0" applyFont="1" applyAlignment="1">
      <alignment horizontal="center" vertical="center"/>
    </xf>
    <xf numFmtId="0" fontId="3" fillId="0" borderId="10" xfId="0" applyFont="1" applyBorder="1" applyAlignment="1">
      <alignment horizontal="center" vertical="center" wrapText="1"/>
    </xf>
    <xf numFmtId="0" fontId="3" fillId="0" borderId="10" xfId="0" applyFont="1" applyBorder="1" applyAlignment="1">
      <alignment horizontal="center" vertical="center"/>
    </xf>
    <xf numFmtId="0" fontId="3" fillId="0" borderId="7" xfId="0" applyFont="1" applyBorder="1" applyAlignment="1">
      <alignment horizontal="center" vertical="center"/>
    </xf>
    <xf numFmtId="0" fontId="0" fillId="0" borderId="10" xfId="0" quotePrefix="1" applyBorder="1" applyAlignment="1">
      <alignment horizontal="center" vertical="center"/>
    </xf>
    <xf numFmtId="0" fontId="0" fillId="0" borderId="4" xfId="0" quotePrefix="1" applyBorder="1" applyAlignment="1">
      <alignment horizontal="center" vertical="center"/>
    </xf>
    <xf numFmtId="0" fontId="0" fillId="0" borderId="4" xfId="0" applyBorder="1" applyAlignment="1">
      <alignment vertical="center"/>
    </xf>
    <xf numFmtId="0" fontId="0" fillId="0" borderId="10" xfId="0" applyBorder="1" applyAlignment="1">
      <alignment horizontal="center" vertical="center"/>
    </xf>
    <xf numFmtId="0" fontId="4" fillId="0" borderId="10" xfId="3" applyFill="1" applyBorder="1" applyAlignment="1">
      <alignment horizontal="center" vertical="center" wrapText="1"/>
    </xf>
    <xf numFmtId="0" fontId="0" fillId="18" borderId="4" xfId="0" applyFill="1" applyBorder="1" applyAlignment="1">
      <alignment vertical="center"/>
    </xf>
    <xf numFmtId="0" fontId="12" fillId="0" borderId="10" xfId="0" applyFont="1" applyBorder="1" applyAlignment="1">
      <alignment horizontal="center" vertical="center" wrapText="1"/>
    </xf>
    <xf numFmtId="0" fontId="3" fillId="0" borderId="12" xfId="0" applyFont="1" applyBorder="1" applyAlignment="1">
      <alignment horizontal="left" vertical="center"/>
    </xf>
    <xf numFmtId="0" fontId="0" fillId="0" borderId="13" xfId="0" applyBorder="1" applyAlignment="1">
      <alignment vertical="center"/>
    </xf>
    <xf numFmtId="0" fontId="0" fillId="4" borderId="14" xfId="0" applyFill="1" applyBorder="1" applyAlignment="1">
      <alignment vertical="center" wrapText="1"/>
    </xf>
    <xf numFmtId="0" fontId="0" fillId="0" borderId="10" xfId="0" applyBorder="1" applyAlignment="1">
      <alignment vertical="center" wrapText="1"/>
    </xf>
    <xf numFmtId="0" fontId="0" fillId="18" borderId="14" xfId="0" applyFill="1" applyBorder="1" applyAlignment="1">
      <alignment vertical="center" wrapText="1"/>
    </xf>
    <xf numFmtId="0" fontId="0" fillId="0" borderId="5" xfId="0" applyBorder="1" applyAlignment="1">
      <alignment vertical="center" wrapText="1"/>
    </xf>
    <xf numFmtId="0" fontId="0" fillId="4" borderId="5" xfId="0" applyFill="1" applyBorder="1" applyAlignment="1">
      <alignment vertical="center" wrapText="1"/>
    </xf>
    <xf numFmtId="0" fontId="0" fillId="0" borderId="5" xfId="0" applyBorder="1" applyAlignment="1">
      <alignment vertical="center"/>
    </xf>
    <xf numFmtId="0" fontId="11" fillId="0" borderId="21" xfId="0" applyFont="1" applyBorder="1" applyAlignment="1">
      <alignment horizontal="center" vertical="center" textRotation="90" wrapText="1"/>
    </xf>
    <xf numFmtId="0" fontId="0" fillId="0" borderId="22" xfId="0" applyBorder="1" applyAlignment="1">
      <alignment horizontal="right" vertical="center"/>
    </xf>
    <xf numFmtId="0" fontId="5" fillId="0" borderId="10" xfId="0" applyFont="1" applyBorder="1" applyAlignment="1">
      <alignment horizontal="center" vertical="center"/>
    </xf>
    <xf numFmtId="166" fontId="0" fillId="4" borderId="23" xfId="0" applyNumberFormat="1" applyFill="1" applyBorder="1" applyAlignment="1">
      <alignment horizontal="right" vertical="center"/>
    </xf>
    <xf numFmtId="166" fontId="0" fillId="4" borderId="35" xfId="0" applyNumberFormat="1" applyFill="1" applyBorder="1" applyAlignment="1">
      <alignment horizontal="right" vertical="center"/>
    </xf>
    <xf numFmtId="166" fontId="0" fillId="0" borderId="0" xfId="0" applyNumberFormat="1" applyAlignment="1">
      <alignment horizontal="right" vertical="center"/>
    </xf>
    <xf numFmtId="0" fontId="0" fillId="18" borderId="0" xfId="0" applyFill="1" applyAlignment="1">
      <alignment vertical="center"/>
    </xf>
    <xf numFmtId="166" fontId="0" fillId="0" borderId="10" xfId="0" applyNumberFormat="1" applyBorder="1" applyAlignment="1">
      <alignment horizontal="right" vertical="center"/>
    </xf>
    <xf numFmtId="0" fontId="0" fillId="0" borderId="10" xfId="0" applyBorder="1" applyAlignment="1">
      <alignment vertical="center"/>
    </xf>
    <xf numFmtId="0" fontId="56" fillId="0" borderId="22" xfId="0" applyFont="1" applyBorder="1" applyAlignment="1">
      <alignment horizontal="right"/>
    </xf>
    <xf numFmtId="3" fontId="0" fillId="4" borderId="23" xfId="0" applyNumberFormat="1" applyFill="1" applyBorder="1" applyAlignment="1">
      <alignment horizontal="right" vertical="center"/>
    </xf>
    <xf numFmtId="3" fontId="0" fillId="0" borderId="0" xfId="0" applyNumberFormat="1" applyAlignment="1">
      <alignment horizontal="right" vertical="center"/>
    </xf>
    <xf numFmtId="3" fontId="0" fillId="0" borderId="10" xfId="0" applyNumberFormat="1" applyBorder="1" applyAlignment="1">
      <alignment horizontal="right" vertical="center"/>
    </xf>
    <xf numFmtId="0" fontId="11" fillId="0" borderId="27" xfId="0" applyFont="1" applyBorder="1" applyAlignment="1">
      <alignment horizontal="center" vertical="center" textRotation="90" wrapText="1"/>
    </xf>
    <xf numFmtId="0" fontId="56" fillId="0" borderId="28" xfId="0" applyFont="1" applyBorder="1" applyAlignment="1">
      <alignment horizontal="right"/>
    </xf>
    <xf numFmtId="3" fontId="0" fillId="4" borderId="29" xfId="0" applyNumberFormat="1" applyFill="1" applyBorder="1" applyAlignment="1">
      <alignment horizontal="right" vertical="center"/>
    </xf>
    <xf numFmtId="3" fontId="0" fillId="4" borderId="10" xfId="0" applyNumberFormat="1" applyFill="1" applyBorder="1" applyAlignment="1">
      <alignment horizontal="right" vertical="center"/>
    </xf>
    <xf numFmtId="0" fontId="11" fillId="0" borderId="33" xfId="0" applyFont="1" applyBorder="1" applyAlignment="1">
      <alignment horizontal="center" vertical="center" textRotation="90" wrapText="1"/>
    </xf>
    <xf numFmtId="0" fontId="56" fillId="0" borderId="34" xfId="0" applyFont="1" applyBorder="1" applyAlignment="1">
      <alignment horizontal="right" vertical="center"/>
    </xf>
    <xf numFmtId="0" fontId="5" fillId="0" borderId="7" xfId="0" applyFont="1" applyBorder="1" applyAlignment="1">
      <alignment horizontal="center" vertical="center"/>
    </xf>
    <xf numFmtId="0" fontId="0" fillId="0" borderId="7" xfId="0" applyBorder="1" applyAlignment="1">
      <alignment vertical="center"/>
    </xf>
    <xf numFmtId="0" fontId="56" fillId="0" borderId="16" xfId="0" applyFont="1" applyBorder="1" applyAlignment="1">
      <alignment vertical="center"/>
    </xf>
    <xf numFmtId="3" fontId="0" fillId="0" borderId="5" xfId="0" applyNumberFormat="1" applyBorder="1" applyAlignment="1">
      <alignment horizontal="right" vertical="center"/>
    </xf>
    <xf numFmtId="0" fontId="56" fillId="0" borderId="11" xfId="0" applyFont="1" applyBorder="1" applyAlignment="1">
      <alignment horizontal="right" vertical="center"/>
    </xf>
    <xf numFmtId="166" fontId="0" fillId="4" borderId="46" xfId="0" applyNumberFormat="1" applyFill="1" applyBorder="1" applyAlignment="1">
      <alignment horizontal="right" vertical="center"/>
    </xf>
    <xf numFmtId="166" fontId="0" fillId="4" borderId="10" xfId="0" applyNumberFormat="1" applyFill="1" applyBorder="1" applyAlignment="1">
      <alignment horizontal="right" vertical="center"/>
    </xf>
    <xf numFmtId="0" fontId="67" fillId="0" borderId="11" xfId="0" applyFont="1" applyBorder="1" applyAlignment="1">
      <alignment horizontal="right" vertical="center"/>
    </xf>
    <xf numFmtId="166" fontId="0" fillId="19" borderId="10" xfId="0" applyNumberFormat="1" applyFill="1" applyBorder="1" applyAlignment="1">
      <alignment horizontal="right" vertical="center"/>
    </xf>
    <xf numFmtId="3" fontId="0" fillId="19" borderId="10" xfId="0" applyNumberFormat="1" applyFill="1" applyBorder="1" applyAlignment="1">
      <alignment horizontal="right" vertical="center"/>
    </xf>
    <xf numFmtId="0" fontId="56" fillId="0" borderId="38" xfId="0" applyFont="1" applyBorder="1" applyAlignment="1">
      <alignment horizontal="right" vertical="center"/>
    </xf>
    <xf numFmtId="166" fontId="0" fillId="0" borderId="7" xfId="0" applyNumberFormat="1" applyBorder="1" applyAlignment="1">
      <alignment horizontal="right" vertical="center"/>
    </xf>
    <xf numFmtId="0" fontId="0" fillId="0" borderId="10" xfId="0" applyBorder="1" applyAlignment="1">
      <alignment horizontal="right" vertical="center" wrapText="1"/>
    </xf>
    <xf numFmtId="0" fontId="56" fillId="0" borderId="11" xfId="0" quotePrefix="1" applyFont="1" applyBorder="1" applyAlignment="1">
      <alignment horizontal="right" vertical="center"/>
    </xf>
    <xf numFmtId="0" fontId="5" fillId="0" borderId="10" xfId="0" quotePrefix="1" applyFont="1" applyBorder="1" applyAlignment="1">
      <alignment horizontal="center" vertical="center"/>
    </xf>
    <xf numFmtId="165" fontId="13" fillId="0" borderId="29" xfId="2" applyNumberFormat="1" applyFont="1" applyBorder="1" applyAlignment="1">
      <alignment horizontal="right" vertical="center"/>
    </xf>
    <xf numFmtId="0" fontId="15" fillId="0" borderId="0" xfId="0" applyFont="1" applyAlignment="1">
      <alignment horizontal="right" vertical="center"/>
    </xf>
    <xf numFmtId="165" fontId="13" fillId="0" borderId="10" xfId="2" applyNumberFormat="1" applyFont="1" applyFill="1" applyBorder="1" applyAlignment="1">
      <alignment horizontal="right" vertical="center"/>
    </xf>
    <xf numFmtId="165" fontId="13" fillId="0" borderId="10" xfId="2" applyNumberFormat="1" applyFont="1" applyBorder="1" applyAlignment="1">
      <alignment horizontal="right" vertical="center"/>
    </xf>
    <xf numFmtId="0" fontId="5" fillId="0" borderId="16" xfId="0" applyFont="1" applyBorder="1" applyAlignment="1">
      <alignment horizontal="center" vertical="center"/>
    </xf>
    <xf numFmtId="0" fontId="3" fillId="0" borderId="5" xfId="0" applyFont="1" applyBorder="1" applyAlignment="1">
      <alignment vertical="center"/>
    </xf>
    <xf numFmtId="0" fontId="56" fillId="0" borderId="11" xfId="0" applyFont="1" applyBorder="1" applyAlignment="1">
      <alignment horizontal="right"/>
    </xf>
    <xf numFmtId="0" fontId="5" fillId="0" borderId="11" xfId="0" applyFont="1" applyBorder="1" applyAlignment="1">
      <alignment horizontal="center" vertical="center"/>
    </xf>
    <xf numFmtId="0" fontId="3" fillId="0" borderId="10" xfId="0" applyFont="1" applyBorder="1" applyAlignment="1">
      <alignment vertical="center"/>
    </xf>
    <xf numFmtId="0" fontId="56" fillId="0" borderId="38" xfId="0" applyFont="1" applyBorder="1" applyAlignment="1">
      <alignment horizontal="right"/>
    </xf>
    <xf numFmtId="0" fontId="5" fillId="0" borderId="38" xfId="0" applyFont="1" applyBorder="1" applyAlignment="1">
      <alignment horizontal="center" vertical="center"/>
    </xf>
    <xf numFmtId="3" fontId="0" fillId="4" borderId="7" xfId="0" applyNumberFormat="1" applyFill="1" applyBorder="1" applyAlignment="1">
      <alignment horizontal="right" vertical="center"/>
    </xf>
    <xf numFmtId="3" fontId="0" fillId="0" borderId="7" xfId="0" applyNumberFormat="1" applyBorder="1" applyAlignment="1">
      <alignment horizontal="right" vertical="center"/>
    </xf>
    <xf numFmtId="0" fontId="3" fillId="0" borderId="7" xfId="0" applyFont="1" applyBorder="1" applyAlignment="1">
      <alignment vertical="center"/>
    </xf>
    <xf numFmtId="0" fontId="18" fillId="0" borderId="0" xfId="0" applyFont="1" applyAlignment="1">
      <alignment vertical="center"/>
    </xf>
    <xf numFmtId="3" fontId="0" fillId="0" borderId="2" xfId="0" applyNumberFormat="1" applyBorder="1" applyAlignment="1">
      <alignment horizontal="right" vertical="center"/>
    </xf>
    <xf numFmtId="0" fontId="0" fillId="4" borderId="8" xfId="0" applyFill="1" applyBorder="1" applyAlignment="1">
      <alignment horizontal="right" vertical="center"/>
    </xf>
    <xf numFmtId="3" fontId="0" fillId="4" borderId="46" xfId="0" applyNumberFormat="1" applyFill="1" applyBorder="1" applyAlignment="1">
      <alignment horizontal="right" vertical="center"/>
    </xf>
    <xf numFmtId="0" fontId="0" fillId="4" borderId="9" xfId="0" applyFill="1" applyBorder="1" applyAlignment="1">
      <alignment horizontal="right" vertical="center"/>
    </xf>
    <xf numFmtId="0" fontId="0" fillId="4" borderId="41" xfId="0" applyFill="1" applyBorder="1" applyAlignment="1">
      <alignment horizontal="right" vertical="center"/>
    </xf>
    <xf numFmtId="3" fontId="0" fillId="4" borderId="35" xfId="0" applyNumberFormat="1" applyFill="1" applyBorder="1" applyAlignment="1">
      <alignment horizontal="right" vertical="center"/>
    </xf>
    <xf numFmtId="0" fontId="2" fillId="4" borderId="8" xfId="0" applyFont="1" applyFill="1" applyBorder="1" applyAlignment="1">
      <alignment horizontal="right" vertical="center"/>
    </xf>
    <xf numFmtId="3" fontId="2" fillId="4" borderId="46" xfId="0" applyNumberFormat="1" applyFont="1" applyFill="1" applyBorder="1" applyAlignment="1">
      <alignment horizontal="right" vertical="center"/>
    </xf>
    <xf numFmtId="3" fontId="2" fillId="0" borderId="10" xfId="0" applyNumberFormat="1" applyFont="1" applyBorder="1" applyAlignment="1">
      <alignment horizontal="right" vertical="center"/>
    </xf>
    <xf numFmtId="3" fontId="2" fillId="4" borderId="10" xfId="0" applyNumberFormat="1" applyFont="1" applyFill="1" applyBorder="1" applyAlignment="1">
      <alignment horizontal="right" vertical="center"/>
    </xf>
    <xf numFmtId="0" fontId="2" fillId="4" borderId="21" xfId="0" applyFont="1" applyFill="1" applyBorder="1" applyAlignment="1">
      <alignment vertical="center" wrapText="1"/>
    </xf>
    <xf numFmtId="3" fontId="2" fillId="4" borderId="7" xfId="0" applyNumberFormat="1" applyFont="1" applyFill="1" applyBorder="1" applyAlignment="1">
      <alignment horizontal="right" vertical="center"/>
    </xf>
    <xf numFmtId="0" fontId="3" fillId="0" borderId="44" xfId="0" applyFont="1" applyBorder="1" applyAlignment="1">
      <alignment horizontal="left" vertical="center"/>
    </xf>
    <xf numFmtId="9" fontId="2" fillId="0" borderId="5" xfId="2" applyFont="1" applyBorder="1" applyAlignment="1">
      <alignment horizontal="right" vertical="center"/>
    </xf>
    <xf numFmtId="9" fontId="2" fillId="0" borderId="10" xfId="2" applyFont="1" applyFill="1" applyBorder="1" applyAlignment="1">
      <alignment horizontal="right" vertical="center"/>
    </xf>
    <xf numFmtId="9" fontId="2" fillId="0" borderId="5" xfId="2" applyFont="1" applyFill="1" applyBorder="1" applyAlignment="1">
      <alignment horizontal="right" vertical="center"/>
    </xf>
    <xf numFmtId="0" fontId="0" fillId="4" borderId="21" xfId="0" applyFill="1" applyBorder="1" applyAlignment="1">
      <alignment vertical="center" wrapText="1"/>
    </xf>
    <xf numFmtId="0" fontId="0" fillId="0" borderId="8" xfId="0" applyBorder="1" applyAlignment="1">
      <alignment horizontal="right" vertical="center"/>
    </xf>
    <xf numFmtId="0" fontId="0" fillId="0" borderId="9" xfId="0" applyBorder="1" applyAlignment="1">
      <alignment horizontal="right" vertical="center"/>
    </xf>
    <xf numFmtId="0" fontId="0" fillId="0" borderId="41" xfId="0" applyBorder="1" applyAlignment="1">
      <alignment horizontal="right" vertical="center"/>
    </xf>
    <xf numFmtId="165" fontId="20" fillId="0" borderId="35" xfId="2" applyNumberFormat="1" applyFont="1" applyBorder="1" applyAlignment="1">
      <alignment horizontal="right" vertical="center"/>
    </xf>
    <xf numFmtId="0" fontId="20" fillId="0" borderId="0" xfId="0" applyFont="1" applyAlignment="1">
      <alignment horizontal="right" vertical="center"/>
    </xf>
    <xf numFmtId="165" fontId="20" fillId="0" borderId="10" xfId="2" applyNumberFormat="1" applyFont="1" applyFill="1" applyBorder="1" applyAlignment="1">
      <alignment horizontal="right" vertical="center"/>
    </xf>
    <xf numFmtId="165" fontId="20" fillId="0" borderId="7" xfId="2" applyNumberFormat="1" applyFont="1" applyFill="1" applyBorder="1" applyAlignment="1">
      <alignment horizontal="right" vertical="center"/>
    </xf>
    <xf numFmtId="165" fontId="20" fillId="0" borderId="7" xfId="2" applyNumberFormat="1" applyFont="1" applyBorder="1" applyAlignment="1">
      <alignment horizontal="right" vertical="center"/>
    </xf>
    <xf numFmtId="0" fontId="3" fillId="0" borderId="16" xfId="0" applyFont="1" applyBorder="1" applyAlignment="1">
      <alignment horizontal="left" vertical="center"/>
    </xf>
    <xf numFmtId="3" fontId="0" fillId="4" borderId="14" xfId="0" applyNumberFormat="1" applyFill="1" applyBorder="1" applyAlignment="1">
      <alignment horizontal="right" vertical="center"/>
    </xf>
    <xf numFmtId="0" fontId="3" fillId="0" borderId="6" xfId="0" applyFont="1" applyBorder="1" applyAlignment="1">
      <alignment horizontal="right" vertical="center"/>
    </xf>
    <xf numFmtId="3" fontId="0" fillId="4" borderId="5" xfId="0" applyNumberFormat="1" applyFill="1" applyBorder="1" applyAlignment="1">
      <alignment horizontal="right" vertical="center"/>
    </xf>
    <xf numFmtId="0" fontId="0" fillId="4" borderId="21" xfId="0" applyFill="1" applyBorder="1" applyAlignment="1">
      <alignment horizontal="right" vertical="center"/>
    </xf>
    <xf numFmtId="0" fontId="0" fillId="4" borderId="22" xfId="0" applyFill="1" applyBorder="1" applyAlignment="1">
      <alignment horizontal="right" vertical="center"/>
    </xf>
    <xf numFmtId="3" fontId="23" fillId="4" borderId="23" xfId="0" applyNumberFormat="1" applyFont="1" applyFill="1" applyBorder="1" applyAlignment="1">
      <alignment horizontal="right" vertical="center"/>
    </xf>
    <xf numFmtId="3" fontId="23" fillId="0" borderId="10" xfId="0" applyNumberFormat="1" applyFont="1" applyBorder="1" applyAlignment="1">
      <alignment horizontal="right" vertical="center"/>
    </xf>
    <xf numFmtId="3" fontId="23" fillId="4" borderId="10" xfId="0" applyNumberFormat="1" applyFont="1" applyFill="1" applyBorder="1" applyAlignment="1">
      <alignment horizontal="right" vertical="center"/>
    </xf>
    <xf numFmtId="0" fontId="0" fillId="4" borderId="27" xfId="0" applyFill="1" applyBorder="1" applyAlignment="1">
      <alignment horizontal="right" vertical="center"/>
    </xf>
    <xf numFmtId="0" fontId="0" fillId="4" borderId="33" xfId="0" applyFill="1" applyBorder="1" applyAlignment="1">
      <alignment horizontal="right" vertical="center"/>
    </xf>
    <xf numFmtId="0" fontId="0" fillId="4" borderId="34" xfId="0" applyFill="1" applyBorder="1" applyAlignment="1">
      <alignment horizontal="right" vertical="center"/>
    </xf>
    <xf numFmtId="166" fontId="18" fillId="0" borderId="10" xfId="0" applyNumberFormat="1" applyFont="1" applyBorder="1" applyAlignment="1">
      <alignment horizontal="right" vertical="center"/>
    </xf>
    <xf numFmtId="166" fontId="18" fillId="0" borderId="0" xfId="0" applyNumberFormat="1" applyFont="1" applyAlignment="1">
      <alignment horizontal="right" vertical="center"/>
    </xf>
    <xf numFmtId="3" fontId="0" fillId="0" borderId="0" xfId="0" applyNumberFormat="1" applyAlignment="1">
      <alignment vertical="center"/>
    </xf>
    <xf numFmtId="0" fontId="3" fillId="0" borderId="11" xfId="0" applyFont="1" applyBorder="1" applyAlignment="1">
      <alignment horizontal="right" vertical="center"/>
    </xf>
    <xf numFmtId="166" fontId="24" fillId="0" borderId="10" xfId="0" applyNumberFormat="1" applyFont="1" applyBorder="1" applyAlignment="1">
      <alignment horizontal="right" vertical="center"/>
    </xf>
    <xf numFmtId="166" fontId="24" fillId="0" borderId="0" xfId="0" applyNumberFormat="1" applyFont="1" applyAlignment="1">
      <alignment horizontal="right" vertical="center"/>
    </xf>
    <xf numFmtId="165" fontId="25" fillId="0" borderId="10" xfId="2" applyNumberFormat="1" applyFont="1" applyBorder="1" applyAlignment="1">
      <alignment horizontal="right" vertical="center"/>
    </xf>
    <xf numFmtId="165" fontId="25" fillId="0" borderId="0" xfId="2" applyNumberFormat="1" applyFont="1" applyAlignment="1">
      <alignment horizontal="right" vertical="center"/>
    </xf>
    <xf numFmtId="165" fontId="25" fillId="0" borderId="10" xfId="2" applyNumberFormat="1" applyFont="1" applyFill="1" applyBorder="1" applyAlignment="1">
      <alignment horizontal="right" vertical="center"/>
    </xf>
    <xf numFmtId="3" fontId="11" fillId="0" borderId="17" xfId="0" applyNumberFormat="1" applyFont="1" applyBorder="1" applyAlignment="1">
      <alignment horizontal="center" vertical="center" textRotation="90" wrapText="1"/>
    </xf>
    <xf numFmtId="3" fontId="0" fillId="0" borderId="6" xfId="0" applyNumberFormat="1" applyBorder="1" applyAlignment="1">
      <alignment vertical="center"/>
    </xf>
    <xf numFmtId="3" fontId="0" fillId="0" borderId="62" xfId="0" applyNumberFormat="1" applyBorder="1" applyAlignment="1">
      <alignment horizontal="right"/>
    </xf>
    <xf numFmtId="3" fontId="0" fillId="0" borderId="6" xfId="0" applyNumberFormat="1" applyBorder="1" applyAlignment="1">
      <alignment horizontal="right" vertical="center"/>
    </xf>
    <xf numFmtId="3" fontId="15" fillId="0" borderId="46" xfId="2" applyNumberFormat="1" applyFont="1" applyBorder="1" applyAlignment="1">
      <alignment horizontal="right" vertical="center"/>
    </xf>
    <xf numFmtId="3" fontId="15" fillId="0" borderId="6" xfId="2" applyNumberFormat="1" applyFont="1" applyBorder="1" applyAlignment="1">
      <alignment horizontal="right" vertical="center"/>
    </xf>
    <xf numFmtId="3" fontId="15" fillId="0" borderId="10" xfId="2" applyNumberFormat="1" applyFont="1" applyFill="1" applyBorder="1" applyAlignment="1">
      <alignment horizontal="right" vertical="center"/>
    </xf>
    <xf numFmtId="3" fontId="15" fillId="0" borderId="10" xfId="2" applyNumberFormat="1" applyFont="1" applyBorder="1" applyAlignment="1">
      <alignment horizontal="right" vertical="center"/>
    </xf>
    <xf numFmtId="3" fontId="0" fillId="0" borderId="10" xfId="0" applyNumberFormat="1" applyBorder="1" applyAlignment="1">
      <alignment vertical="center"/>
    </xf>
    <xf numFmtId="165" fontId="11" fillId="0" borderId="21" xfId="2" applyNumberFormat="1" applyFont="1" applyBorder="1" applyAlignment="1">
      <alignment horizontal="center" vertical="center" textRotation="90" wrapText="1"/>
    </xf>
    <xf numFmtId="165" fontId="0" fillId="0" borderId="8" xfId="2" applyNumberFormat="1" applyFont="1" applyBorder="1" applyAlignment="1">
      <alignment vertical="center"/>
    </xf>
    <xf numFmtId="165" fontId="0" fillId="0" borderId="22" xfId="2" applyNumberFormat="1" applyFont="1" applyBorder="1" applyAlignment="1">
      <alignment horizontal="right"/>
    </xf>
    <xf numFmtId="165" fontId="0" fillId="0" borderId="23" xfId="2" applyNumberFormat="1" applyFont="1" applyBorder="1" applyAlignment="1">
      <alignment vertical="center"/>
    </xf>
    <xf numFmtId="9" fontId="0" fillId="0" borderId="23" xfId="2" applyFont="1" applyBorder="1" applyAlignment="1">
      <alignment vertical="center"/>
    </xf>
    <xf numFmtId="9" fontId="0" fillId="0" borderId="10" xfId="2" applyFont="1" applyFill="1" applyBorder="1" applyAlignment="1">
      <alignment vertical="center"/>
    </xf>
    <xf numFmtId="165" fontId="0" fillId="0" borderId="10" xfId="2" applyNumberFormat="1" applyFont="1" applyFill="1" applyBorder="1" applyAlignment="1">
      <alignment vertical="center"/>
    </xf>
    <xf numFmtId="165" fontId="0" fillId="0" borderId="10" xfId="2" applyNumberFormat="1" applyFont="1" applyBorder="1" applyAlignment="1">
      <alignment vertical="center"/>
    </xf>
    <xf numFmtId="165" fontId="0" fillId="0" borderId="0" xfId="2" applyNumberFormat="1" applyFont="1" applyAlignment="1">
      <alignment vertical="center"/>
    </xf>
    <xf numFmtId="0" fontId="0" fillId="0" borderId="8" xfId="0" applyBorder="1" applyAlignment="1">
      <alignment vertical="center"/>
    </xf>
    <xf numFmtId="3" fontId="0" fillId="0" borderId="22" xfId="0" applyNumberFormat="1" applyBorder="1" applyAlignment="1">
      <alignment horizontal="right"/>
    </xf>
    <xf numFmtId="0" fontId="0" fillId="0" borderId="23" xfId="0" applyBorder="1" applyAlignment="1">
      <alignment vertical="center"/>
    </xf>
    <xf numFmtId="2" fontId="0" fillId="0" borderId="23" xfId="0" applyNumberFormat="1" applyBorder="1" applyAlignment="1">
      <alignment vertical="center"/>
    </xf>
    <xf numFmtId="2" fontId="0" fillId="0" borderId="10" xfId="0" applyNumberFormat="1" applyBorder="1" applyAlignment="1">
      <alignment vertical="center"/>
    </xf>
    <xf numFmtId="165" fontId="0" fillId="0" borderId="22" xfId="0" applyNumberFormat="1" applyBorder="1" applyAlignment="1">
      <alignment horizontal="right"/>
    </xf>
    <xf numFmtId="0" fontId="3" fillId="0" borderId="8" xfId="0" applyFont="1" applyBorder="1" applyAlignment="1">
      <alignment horizontal="right" vertical="center"/>
    </xf>
    <xf numFmtId="3" fontId="9" fillId="0" borderId="23" xfId="0" applyNumberFormat="1" applyFont="1" applyBorder="1" applyAlignment="1">
      <alignment horizontal="right" vertical="center"/>
    </xf>
    <xf numFmtId="0" fontId="9" fillId="0" borderId="8" xfId="0" applyFont="1" applyBorder="1" applyAlignment="1">
      <alignment horizontal="right" vertical="center"/>
    </xf>
    <xf numFmtId="3" fontId="9" fillId="0" borderId="10" xfId="0" applyNumberFormat="1" applyFont="1" applyBorder="1" applyAlignment="1">
      <alignment horizontal="right" vertical="center"/>
    </xf>
    <xf numFmtId="0" fontId="0" fillId="6" borderId="41" xfId="0" applyFill="1" applyBorder="1" applyAlignment="1">
      <alignment vertical="center"/>
    </xf>
    <xf numFmtId="165" fontId="0" fillId="6" borderId="34" xfId="0" applyNumberFormat="1" applyFill="1" applyBorder="1" applyAlignment="1">
      <alignment horizontal="right"/>
    </xf>
    <xf numFmtId="165" fontId="15" fillId="6" borderId="35" xfId="2" applyNumberFormat="1" applyFont="1" applyFill="1" applyBorder="1" applyAlignment="1">
      <alignment horizontal="right" vertical="center"/>
    </xf>
    <xf numFmtId="0" fontId="9" fillId="0" borderId="9" xfId="0" applyFont="1" applyBorder="1" applyAlignment="1">
      <alignment horizontal="right" vertical="center"/>
    </xf>
    <xf numFmtId="165" fontId="15" fillId="0" borderId="10" xfId="2" applyNumberFormat="1" applyFont="1" applyFill="1" applyBorder="1" applyAlignment="1">
      <alignment horizontal="right" vertical="center"/>
    </xf>
    <xf numFmtId="165" fontId="15" fillId="0" borderId="7" xfId="2" applyNumberFormat="1" applyFont="1" applyFill="1" applyBorder="1" applyAlignment="1">
      <alignment horizontal="right" vertical="center"/>
    </xf>
    <xf numFmtId="165" fontId="15" fillId="6" borderId="7" xfId="2" applyNumberFormat="1" applyFont="1" applyFill="1" applyBorder="1" applyAlignment="1">
      <alignment horizontal="right" vertical="center"/>
    </xf>
    <xf numFmtId="0" fontId="5" fillId="0" borderId="0" xfId="0" applyFont="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4" borderId="0" xfId="0" applyFont="1" applyFill="1" applyAlignment="1">
      <alignment horizontal="left" vertical="center" wrapText="1"/>
    </xf>
    <xf numFmtId="0" fontId="0" fillId="0" borderId="4" xfId="0" applyBorder="1" applyAlignment="1">
      <alignment horizontal="center" vertical="center" wrapText="1"/>
    </xf>
    <xf numFmtId="166" fontId="0" fillId="6" borderId="25" xfId="0" applyNumberFormat="1" applyFill="1" applyBorder="1" applyAlignment="1">
      <alignment horizontal="right" indent="2"/>
    </xf>
    <xf numFmtId="166" fontId="0" fillId="6" borderId="37" xfId="0" applyNumberFormat="1" applyFill="1" applyBorder="1" applyAlignment="1">
      <alignment horizontal="right" indent="2"/>
    </xf>
    <xf numFmtId="3" fontId="0" fillId="6" borderId="12" xfId="0" applyNumberFormat="1" applyFill="1" applyBorder="1" applyAlignment="1">
      <alignment horizontal="left" indent="2"/>
    </xf>
    <xf numFmtId="166" fontId="51" fillId="6" borderId="24" xfId="0" applyNumberFormat="1" applyFont="1" applyFill="1" applyBorder="1" applyAlignment="1">
      <alignment horizontal="right" indent="2"/>
    </xf>
    <xf numFmtId="166" fontId="22" fillId="6" borderId="8" xfId="0" applyNumberFormat="1" applyFont="1" applyFill="1" applyBorder="1" applyAlignment="1">
      <alignment horizontal="right" indent="2"/>
    </xf>
    <xf numFmtId="3" fontId="0" fillId="6" borderId="51" xfId="0" applyNumberFormat="1" applyFill="1" applyBorder="1"/>
    <xf numFmtId="3" fontId="0" fillId="6" borderId="21" xfId="0" applyNumberFormat="1" applyFill="1" applyBorder="1"/>
    <xf numFmtId="3" fontId="0" fillId="6" borderId="11" xfId="0" applyNumberFormat="1" applyFill="1" applyBorder="1"/>
    <xf numFmtId="165" fontId="9" fillId="6" borderId="36" xfId="2" applyNumberFormat="1" applyFont="1" applyFill="1" applyBorder="1" applyAlignment="1">
      <alignment horizontal="right" indent="2"/>
    </xf>
    <xf numFmtId="165" fontId="9" fillId="6" borderId="66" xfId="2" applyNumberFormat="1" applyFont="1" applyFill="1" applyBorder="1" applyAlignment="1">
      <alignment horizontal="right" indent="2"/>
    </xf>
    <xf numFmtId="165" fontId="9" fillId="6" borderId="33" xfId="2" applyNumberFormat="1" applyFont="1" applyFill="1" applyBorder="1" applyAlignment="1">
      <alignment horizontal="right" indent="2"/>
    </xf>
    <xf numFmtId="165" fontId="9" fillId="6" borderId="38" xfId="2" applyNumberFormat="1" applyFont="1" applyFill="1" applyBorder="1" applyAlignment="1">
      <alignment horizontal="right" indent="2"/>
    </xf>
    <xf numFmtId="0" fontId="6" fillId="0" borderId="0" xfId="4" applyFont="1"/>
    <xf numFmtId="0" fontId="68" fillId="0" borderId="0" xfId="4" applyAlignment="1">
      <alignment horizontal="right"/>
    </xf>
    <xf numFmtId="0" fontId="6" fillId="0" borderId="0" xfId="4" applyFont="1" applyAlignment="1">
      <alignment horizontal="right"/>
    </xf>
    <xf numFmtId="0" fontId="6" fillId="0" borderId="0" xfId="4" applyFont="1" applyAlignment="1">
      <alignment horizontal="center"/>
    </xf>
    <xf numFmtId="0" fontId="5" fillId="0" borderId="0" xfId="4" applyFont="1"/>
    <xf numFmtId="0" fontId="68" fillId="0" borderId="0" xfId="4"/>
    <xf numFmtId="0" fontId="7" fillId="4" borderId="0" xfId="4" applyFont="1" applyFill="1" applyAlignment="1">
      <alignment horizontal="center"/>
    </xf>
    <xf numFmtId="0" fontId="8" fillId="0" borderId="0" xfId="4" applyFont="1" applyAlignment="1">
      <alignment horizontal="center"/>
    </xf>
    <xf numFmtId="0" fontId="68" fillId="0" borderId="0" xfId="4" applyAlignment="1">
      <alignment horizontal="center"/>
    </xf>
    <xf numFmtId="165" fontId="9" fillId="0" borderId="0" xfId="4" applyNumberFormat="1" applyFont="1" applyAlignment="1">
      <alignment horizontal="center"/>
    </xf>
    <xf numFmtId="3" fontId="68" fillId="0" borderId="0" xfId="4" applyNumberFormat="1" applyAlignment="1">
      <alignment horizontal="center"/>
    </xf>
    <xf numFmtId="43" fontId="69" fillId="0" borderId="0" xfId="5" applyFont="1" applyAlignment="1">
      <alignment horizontal="center"/>
    </xf>
    <xf numFmtId="165" fontId="38" fillId="0" borderId="0" xfId="4" applyNumberFormat="1" applyFont="1" applyAlignment="1">
      <alignment horizontal="center"/>
    </xf>
    <xf numFmtId="0" fontId="70" fillId="0" borderId="0" xfId="4" applyFont="1"/>
    <xf numFmtId="0" fontId="3" fillId="0" borderId="0" xfId="4" applyFont="1" applyAlignment="1">
      <alignment horizontal="center" vertical="center" wrapText="1"/>
    </xf>
    <xf numFmtId="0" fontId="8" fillId="0" borderId="0" xfId="4" applyFont="1" applyAlignment="1">
      <alignment horizontal="center" vertical="center" wrapText="1"/>
    </xf>
    <xf numFmtId="0" fontId="3" fillId="0" borderId="4" xfId="4" applyFont="1" applyBorder="1" applyAlignment="1">
      <alignment horizontal="center" vertical="center" wrapText="1"/>
    </xf>
    <xf numFmtId="0" fontId="68" fillId="4" borderId="6" xfId="4" applyFill="1" applyBorder="1" applyAlignment="1">
      <alignment horizontal="center"/>
    </xf>
    <xf numFmtId="0" fontId="3" fillId="4" borderId="4" xfId="4" applyFont="1" applyFill="1" applyBorder="1" applyAlignment="1">
      <alignment horizontal="center" vertical="center"/>
    </xf>
    <xf numFmtId="0" fontId="3" fillId="0" borderId="0" xfId="4" applyFont="1" applyAlignment="1">
      <alignment horizontal="right" vertical="center"/>
    </xf>
    <xf numFmtId="0" fontId="68" fillId="0" borderId="0" xfId="4" applyAlignment="1">
      <alignment horizontal="center" vertical="center"/>
    </xf>
    <xf numFmtId="0" fontId="68" fillId="4" borderId="8" xfId="4" applyFill="1" applyBorder="1" applyAlignment="1">
      <alignment horizontal="center"/>
    </xf>
    <xf numFmtId="0" fontId="68" fillId="4" borderId="4" xfId="4" quotePrefix="1" applyFill="1" applyBorder="1" applyAlignment="1">
      <alignment horizontal="center" vertical="center"/>
    </xf>
    <xf numFmtId="0" fontId="68" fillId="4" borderId="5" xfId="4" quotePrefix="1" applyFill="1" applyBorder="1" applyAlignment="1">
      <alignment horizontal="center"/>
    </xf>
    <xf numFmtId="0" fontId="68" fillId="0" borderId="5" xfId="4" applyBorder="1"/>
    <xf numFmtId="0" fontId="68" fillId="4" borderId="9" xfId="4" applyFill="1" applyBorder="1" applyAlignment="1">
      <alignment horizontal="center"/>
    </xf>
    <xf numFmtId="0" fontId="68" fillId="0" borderId="4" xfId="4" applyBorder="1" applyAlignment="1">
      <alignment horizontal="center"/>
    </xf>
    <xf numFmtId="0" fontId="68" fillId="0" borderId="4" xfId="4" applyBorder="1" applyAlignment="1">
      <alignment horizontal="center" vertical="center"/>
    </xf>
    <xf numFmtId="0" fontId="68" fillId="0" borderId="7" xfId="4" applyBorder="1" applyAlignment="1">
      <alignment horizontal="center"/>
    </xf>
    <xf numFmtId="0" fontId="68" fillId="0" borderId="7" xfId="4" applyBorder="1"/>
    <xf numFmtId="165" fontId="9" fillId="0" borderId="0" xfId="4" applyNumberFormat="1" applyFont="1"/>
    <xf numFmtId="165" fontId="38" fillId="0" borderId="0" xfId="4" applyNumberFormat="1" applyFont="1"/>
    <xf numFmtId="0" fontId="11" fillId="0" borderId="1" xfId="4" applyFont="1" applyBorder="1" applyAlignment="1">
      <alignment horizontal="center" vertical="center" textRotation="90" wrapText="1"/>
    </xf>
    <xf numFmtId="0" fontId="68" fillId="0" borderId="3" xfId="4" applyBorder="1" applyAlignment="1">
      <alignment horizontal="right" vertical="center"/>
    </xf>
    <xf numFmtId="0" fontId="8" fillId="0" borderId="4" xfId="4" applyFont="1" applyBorder="1" applyAlignment="1">
      <alignment horizontal="center" vertical="center"/>
    </xf>
    <xf numFmtId="0" fontId="68" fillId="0" borderId="0" xfId="4" applyAlignment="1">
      <alignment horizontal="right" vertical="center"/>
    </xf>
    <xf numFmtId="0" fontId="12" fillId="4" borderId="5" xfId="4" applyFont="1" applyFill="1" applyBorder="1" applyAlignment="1">
      <alignment horizontal="center" vertical="center" wrapText="1"/>
    </xf>
    <xf numFmtId="165" fontId="9" fillId="0" borderId="5" xfId="4" applyNumberFormat="1" applyFont="1" applyBorder="1" applyAlignment="1">
      <alignment horizontal="center" vertical="center" wrapText="1"/>
    </xf>
    <xf numFmtId="0" fontId="68" fillId="0" borderId="11" xfId="4" applyBorder="1" applyAlignment="1">
      <alignment horizontal="right" vertical="center"/>
    </xf>
    <xf numFmtId="0" fontId="12" fillId="0" borderId="4" xfId="4" applyFont="1" applyBorder="1" applyAlignment="1">
      <alignment horizontal="center" vertical="center" wrapText="1"/>
    </xf>
    <xf numFmtId="0" fontId="12" fillId="0" borderId="5" xfId="4" applyFont="1" applyBorder="1" applyAlignment="1">
      <alignment horizontal="center" vertical="center" wrapText="1"/>
    </xf>
    <xf numFmtId="165" fontId="38" fillId="0" borderId="5" xfId="4" applyNumberFormat="1" applyFont="1" applyBorder="1" applyAlignment="1">
      <alignment horizontal="center" vertical="center" wrapText="1"/>
    </xf>
    <xf numFmtId="0" fontId="3" fillId="6" borderId="12" xfId="4" applyFont="1" applyFill="1" applyBorder="1" applyAlignment="1">
      <alignment horizontal="left" vertical="center"/>
    </xf>
    <xf numFmtId="0" fontId="68" fillId="6" borderId="13" xfId="4" applyFill="1" applyBorder="1"/>
    <xf numFmtId="0" fontId="8" fillId="0" borderId="5" xfId="4" applyFont="1" applyBorder="1" applyAlignment="1">
      <alignment horizontal="center" vertical="center"/>
    </xf>
    <xf numFmtId="0" fontId="3" fillId="0" borderId="0" xfId="4" applyFont="1" applyAlignment="1">
      <alignment horizontal="left" vertical="center"/>
    </xf>
    <xf numFmtId="0" fontId="68" fillId="6" borderId="14" xfId="4" applyFill="1" applyBorder="1" applyAlignment="1">
      <alignment vertical="center" wrapText="1"/>
    </xf>
    <xf numFmtId="0" fontId="68" fillId="6" borderId="12" xfId="4" applyFill="1" applyBorder="1" applyAlignment="1">
      <alignment vertical="center" wrapText="1"/>
    </xf>
    <xf numFmtId="0" fontId="68" fillId="6" borderId="15" xfId="4" applyFill="1" applyBorder="1" applyAlignment="1">
      <alignment vertical="center" wrapText="1"/>
    </xf>
    <xf numFmtId="165" fontId="9" fillId="0" borderId="16" xfId="4" applyNumberFormat="1" applyFont="1" applyBorder="1" applyAlignment="1">
      <alignment vertical="center" wrapText="1"/>
    </xf>
    <xf numFmtId="0" fontId="3" fillId="0" borderId="17" xfId="4" applyFont="1" applyBorder="1" applyAlignment="1">
      <alignment horizontal="left" vertical="center"/>
    </xf>
    <xf numFmtId="0" fontId="68" fillId="6" borderId="12" xfId="4" applyFill="1" applyBorder="1" applyAlignment="1">
      <alignment horizontal="left" vertical="center" wrapText="1"/>
    </xf>
    <xf numFmtId="0" fontId="68" fillId="0" borderId="16" xfId="4" applyBorder="1"/>
    <xf numFmtId="0" fontId="3" fillId="0" borderId="18" xfId="4" applyFont="1" applyBorder="1" applyAlignment="1">
      <alignment horizontal="left" vertical="center"/>
    </xf>
    <xf numFmtId="0" fontId="68" fillId="0" borderId="44" xfId="4" applyBorder="1" applyAlignment="1">
      <alignment vertical="center" wrapText="1"/>
    </xf>
    <xf numFmtId="165" fontId="38" fillId="0" borderId="16" xfId="4" applyNumberFormat="1" applyFont="1" applyBorder="1" applyAlignment="1">
      <alignment vertical="center" wrapText="1"/>
    </xf>
    <xf numFmtId="0" fontId="11" fillId="6" borderId="21" xfId="4" applyFont="1" applyFill="1" applyBorder="1" applyAlignment="1">
      <alignment horizontal="center" vertical="center" textRotation="90" wrapText="1"/>
    </xf>
    <xf numFmtId="0" fontId="68" fillId="6" borderId="22" xfId="4" applyFill="1" applyBorder="1" applyAlignment="1">
      <alignment horizontal="right"/>
    </xf>
    <xf numFmtId="0" fontId="8" fillId="0" borderId="10" xfId="4" applyFont="1" applyBorder="1" applyAlignment="1">
      <alignment horizontal="center"/>
    </xf>
    <xf numFmtId="3" fontId="68" fillId="6" borderId="23" xfId="4" applyNumberFormat="1" applyFill="1" applyBorder="1" applyAlignment="1">
      <alignment horizontal="right" indent="2"/>
    </xf>
    <xf numFmtId="3" fontId="68" fillId="6" borderId="24" xfId="4" applyNumberFormat="1" applyFill="1" applyBorder="1" applyAlignment="1">
      <alignment horizontal="right" indent="2"/>
    </xf>
    <xf numFmtId="3" fontId="68" fillId="6" borderId="25" xfId="4" applyNumberFormat="1" applyFill="1" applyBorder="1" applyAlignment="1">
      <alignment horizontal="right" indent="2"/>
    </xf>
    <xf numFmtId="165" fontId="13" fillId="0" borderId="11" xfId="6" applyNumberFormat="1" applyFont="1" applyFill="1" applyBorder="1" applyAlignment="1"/>
    <xf numFmtId="0" fontId="68" fillId="0" borderId="21" xfId="4" applyBorder="1" applyAlignment="1">
      <alignment horizontal="right"/>
    </xf>
    <xf numFmtId="3" fontId="68" fillId="6" borderId="24" xfId="4" applyNumberFormat="1" applyFill="1" applyBorder="1" applyAlignment="1">
      <alignment horizontal="left" indent="2"/>
    </xf>
    <xf numFmtId="3" fontId="68" fillId="0" borderId="11" xfId="4" applyNumberFormat="1" applyBorder="1" applyAlignment="1">
      <alignment horizontal="right" indent="2"/>
    </xf>
    <xf numFmtId="0" fontId="68" fillId="0" borderId="18" xfId="4" applyBorder="1" applyAlignment="1">
      <alignment horizontal="right"/>
    </xf>
    <xf numFmtId="3" fontId="68" fillId="6" borderId="21" xfId="4" applyNumberFormat="1" applyFill="1" applyBorder="1" applyAlignment="1">
      <alignment horizontal="right"/>
    </xf>
    <xf numFmtId="3" fontId="71" fillId="6" borderId="26" xfId="4" applyNumberFormat="1" applyFont="1" applyFill="1" applyBorder="1" applyAlignment="1">
      <alignment horizontal="right"/>
    </xf>
    <xf numFmtId="3" fontId="68" fillId="0" borderId="19" xfId="4" applyNumberFormat="1" applyBorder="1" applyAlignment="1">
      <alignment horizontal="left"/>
    </xf>
    <xf numFmtId="3" fontId="68" fillId="6" borderId="26" xfId="4" applyNumberFormat="1" applyFill="1" applyBorder="1" applyAlignment="1">
      <alignment horizontal="right"/>
    </xf>
    <xf numFmtId="3" fontId="68" fillId="0" borderId="11" xfId="4" applyNumberFormat="1" applyBorder="1" applyAlignment="1">
      <alignment horizontal="right"/>
    </xf>
    <xf numFmtId="4" fontId="72" fillId="6" borderId="21" xfId="4" applyNumberFormat="1" applyFont="1" applyFill="1" applyBorder="1" applyAlignment="1">
      <alignment horizontal="right"/>
    </xf>
    <xf numFmtId="3" fontId="73" fillId="6" borderId="26" xfId="4" applyNumberFormat="1" applyFont="1" applyFill="1" applyBorder="1" applyAlignment="1">
      <alignment horizontal="right"/>
    </xf>
    <xf numFmtId="165" fontId="30" fillId="0" borderId="11" xfId="6" applyNumberFormat="1" applyFont="1" applyFill="1" applyBorder="1" applyAlignment="1"/>
    <xf numFmtId="4" fontId="74" fillId="6" borderId="21" xfId="4" applyNumberFormat="1" applyFont="1" applyFill="1" applyBorder="1" applyAlignment="1">
      <alignment horizontal="right"/>
    </xf>
    <xf numFmtId="3" fontId="72" fillId="4" borderId="36" xfId="4" applyNumberFormat="1" applyFont="1" applyFill="1" applyBorder="1" applyAlignment="1">
      <alignment horizontal="right"/>
    </xf>
    <xf numFmtId="0" fontId="2" fillId="6" borderId="22" xfId="4" applyFont="1" applyFill="1" applyBorder="1" applyAlignment="1">
      <alignment horizontal="right"/>
    </xf>
    <xf numFmtId="165" fontId="13" fillId="0" borderId="11" xfId="4" applyNumberFormat="1" applyFont="1" applyBorder="1"/>
    <xf numFmtId="3" fontId="68" fillId="0" borderId="19" xfId="4" applyNumberFormat="1" applyBorder="1" applyAlignment="1">
      <alignment horizontal="right" indent="2"/>
    </xf>
    <xf numFmtId="3" fontId="68" fillId="0" borderId="19" xfId="4" applyNumberFormat="1" applyBorder="1" applyAlignment="1">
      <alignment horizontal="right"/>
    </xf>
    <xf numFmtId="3" fontId="75" fillId="0" borderId="19" xfId="4" applyNumberFormat="1" applyFont="1" applyBorder="1" applyAlignment="1">
      <alignment horizontal="left" indent="2"/>
    </xf>
    <xf numFmtId="43" fontId="72" fillId="0" borderId="10" xfId="5" applyFont="1" applyBorder="1" applyAlignment="1">
      <alignment horizontal="right"/>
    </xf>
    <xf numFmtId="0" fontId="11" fillId="6" borderId="27" xfId="4" applyFont="1" applyFill="1" applyBorder="1" applyAlignment="1">
      <alignment horizontal="center" vertical="center" textRotation="90" wrapText="1"/>
    </xf>
    <xf numFmtId="3" fontId="68" fillId="6" borderId="29" xfId="4" applyNumberFormat="1" applyFill="1" applyBorder="1" applyAlignment="1">
      <alignment horizontal="right" indent="2"/>
    </xf>
    <xf numFmtId="3" fontId="68" fillId="6" borderId="30" xfId="4" applyNumberFormat="1" applyFill="1" applyBorder="1" applyAlignment="1">
      <alignment horizontal="right" indent="2"/>
    </xf>
    <xf numFmtId="3" fontId="68" fillId="6" borderId="31" xfId="4" applyNumberFormat="1" applyFill="1" applyBorder="1" applyAlignment="1">
      <alignment horizontal="right" indent="2"/>
    </xf>
    <xf numFmtId="0" fontId="68" fillId="0" borderId="27" xfId="4" applyBorder="1" applyAlignment="1">
      <alignment horizontal="right"/>
    </xf>
    <xf numFmtId="3" fontId="68" fillId="6" borderId="30" xfId="4" applyNumberFormat="1" applyFill="1" applyBorder="1" applyAlignment="1">
      <alignment horizontal="left" indent="2"/>
    </xf>
    <xf numFmtId="3" fontId="68" fillId="6" borderId="27" xfId="4" applyNumberFormat="1" applyFill="1" applyBorder="1" applyAlignment="1">
      <alignment horizontal="right"/>
    </xf>
    <xf numFmtId="3" fontId="68" fillId="6" borderId="32" xfId="4" applyNumberFormat="1" applyFill="1" applyBorder="1" applyAlignment="1">
      <alignment horizontal="right"/>
    </xf>
    <xf numFmtId="4" fontId="72" fillId="6" borderId="27" xfId="4" applyNumberFormat="1" applyFont="1" applyFill="1" applyBorder="1" applyAlignment="1">
      <alignment horizontal="right"/>
    </xf>
    <xf numFmtId="3" fontId="75" fillId="0" borderId="19" xfId="4" applyNumberFormat="1" applyFont="1" applyBorder="1" applyAlignment="1">
      <alignment horizontal="left" vertical="top" indent="2"/>
    </xf>
    <xf numFmtId="4" fontId="74" fillId="6" borderId="27" xfId="4" applyNumberFormat="1" applyFont="1" applyFill="1" applyBorder="1" applyAlignment="1">
      <alignment horizontal="right"/>
    </xf>
    <xf numFmtId="0" fontId="68" fillId="0" borderId="10" xfId="4" applyBorder="1"/>
    <xf numFmtId="0" fontId="11" fillId="6" borderId="33" xfId="4" applyFont="1" applyFill="1" applyBorder="1" applyAlignment="1">
      <alignment horizontal="center" vertical="center" textRotation="90" wrapText="1"/>
    </xf>
    <xf numFmtId="0" fontId="68" fillId="6" borderId="34" xfId="4" applyFill="1" applyBorder="1" applyAlignment="1">
      <alignment horizontal="right"/>
    </xf>
    <xf numFmtId="0" fontId="8" fillId="0" borderId="7" xfId="4" applyFont="1" applyBorder="1" applyAlignment="1">
      <alignment horizontal="center"/>
    </xf>
    <xf numFmtId="3" fontId="68" fillId="6" borderId="35" xfId="4" applyNumberFormat="1" applyFill="1" applyBorder="1" applyAlignment="1">
      <alignment horizontal="right" indent="2"/>
    </xf>
    <xf numFmtId="3" fontId="68" fillId="6" borderId="36" xfId="4" applyNumberFormat="1" applyFill="1" applyBorder="1" applyAlignment="1">
      <alignment horizontal="right" indent="2"/>
    </xf>
    <xf numFmtId="3" fontId="68" fillId="6" borderId="37" xfId="4" applyNumberFormat="1" applyFill="1" applyBorder="1" applyAlignment="1">
      <alignment horizontal="right" indent="2"/>
    </xf>
    <xf numFmtId="165" fontId="13" fillId="0" borderId="38" xfId="4" applyNumberFormat="1" applyFont="1" applyBorder="1"/>
    <xf numFmtId="3" fontId="68" fillId="6" borderId="36" xfId="4" applyNumberFormat="1" applyFill="1" applyBorder="1" applyAlignment="1">
      <alignment horizontal="left" indent="2"/>
    </xf>
    <xf numFmtId="3" fontId="68" fillId="0" borderId="38" xfId="4" applyNumberFormat="1" applyBorder="1" applyAlignment="1">
      <alignment horizontal="right" indent="2"/>
    </xf>
    <xf numFmtId="3" fontId="68" fillId="6" borderId="33" xfId="4" applyNumberFormat="1" applyFill="1" applyBorder="1" applyAlignment="1">
      <alignment horizontal="right"/>
    </xf>
    <xf numFmtId="3" fontId="68" fillId="6" borderId="39" xfId="4" applyNumberFormat="1" applyFill="1" applyBorder="1" applyAlignment="1">
      <alignment horizontal="right"/>
    </xf>
    <xf numFmtId="3" fontId="68" fillId="0" borderId="40" xfId="4" applyNumberFormat="1" applyBorder="1" applyAlignment="1">
      <alignment horizontal="right" indent="2"/>
    </xf>
    <xf numFmtId="3" fontId="68" fillId="0" borderId="40" xfId="4" applyNumberFormat="1" applyBorder="1" applyAlignment="1">
      <alignment horizontal="right"/>
    </xf>
    <xf numFmtId="3" fontId="68" fillId="0" borderId="38" xfId="4" applyNumberFormat="1" applyBorder="1" applyAlignment="1">
      <alignment horizontal="right"/>
    </xf>
    <xf numFmtId="4" fontId="72" fillId="6" borderId="33" xfId="4" applyNumberFormat="1" applyFont="1" applyFill="1" applyBorder="1" applyAlignment="1">
      <alignment horizontal="right"/>
    </xf>
    <xf numFmtId="3" fontId="72" fillId="6" borderId="39" xfId="4" applyNumberFormat="1" applyFont="1" applyFill="1" applyBorder="1" applyAlignment="1">
      <alignment horizontal="right"/>
    </xf>
    <xf numFmtId="4" fontId="74" fillId="6" borderId="33" xfId="4" applyNumberFormat="1" applyFont="1" applyFill="1" applyBorder="1" applyAlignment="1">
      <alignment horizontal="right"/>
    </xf>
    <xf numFmtId="164" fontId="68" fillId="0" borderId="7" xfId="4" applyNumberFormat="1" applyBorder="1"/>
    <xf numFmtId="0" fontId="3" fillId="0" borderId="43" xfId="4" applyFont="1" applyBorder="1" applyAlignment="1">
      <alignment horizontal="left" vertical="center"/>
    </xf>
    <xf numFmtId="3" fontId="68" fillId="0" borderId="5" xfId="4" applyNumberFormat="1" applyBorder="1" applyAlignment="1">
      <alignment horizontal="right"/>
    </xf>
    <xf numFmtId="3" fontId="68" fillId="0" borderId="43" xfId="4" applyNumberFormat="1" applyBorder="1" applyAlignment="1">
      <alignment horizontal="right" indent="2"/>
    </xf>
    <xf numFmtId="3" fontId="68" fillId="0" borderId="44" xfId="4" applyNumberFormat="1" applyBorder="1" applyAlignment="1">
      <alignment horizontal="right" indent="2"/>
    </xf>
    <xf numFmtId="165" fontId="13" fillId="0" borderId="16" xfId="4" applyNumberFormat="1" applyFont="1" applyBorder="1"/>
    <xf numFmtId="3" fontId="68" fillId="0" borderId="16" xfId="4" applyNumberFormat="1" applyBorder="1" applyAlignment="1">
      <alignment horizontal="right" indent="2"/>
    </xf>
    <xf numFmtId="3" fontId="68" fillId="0" borderId="0" xfId="4" applyNumberFormat="1" applyAlignment="1">
      <alignment horizontal="right" indent="2"/>
    </xf>
    <xf numFmtId="3" fontId="68" fillId="0" borderId="20" xfId="4" applyNumberFormat="1" applyBorder="1" applyAlignment="1">
      <alignment horizontal="right" indent="2"/>
    </xf>
    <xf numFmtId="3" fontId="4" fillId="0" borderId="0" xfId="3" applyNumberFormat="1" applyFill="1" applyBorder="1" applyAlignment="1">
      <alignment horizontal="right" indent="2"/>
    </xf>
    <xf numFmtId="165" fontId="30" fillId="0" borderId="16" xfId="4" applyNumberFormat="1" applyFont="1" applyBorder="1"/>
    <xf numFmtId="0" fontId="11" fillId="0" borderId="18" xfId="4" applyFont="1" applyBorder="1" applyAlignment="1">
      <alignment horizontal="center" vertical="center" textRotation="90" wrapText="1"/>
    </xf>
    <xf numFmtId="0" fontId="68" fillId="0" borderId="11" xfId="4" applyBorder="1" applyAlignment="1">
      <alignment horizontal="right"/>
    </xf>
    <xf numFmtId="3" fontId="68" fillId="4" borderId="46" xfId="4" applyNumberFormat="1" applyFill="1" applyBorder="1" applyAlignment="1">
      <alignment horizontal="right"/>
    </xf>
    <xf numFmtId="3" fontId="68" fillId="4" borderId="47" xfId="4" applyNumberFormat="1" applyFill="1" applyBorder="1" applyAlignment="1">
      <alignment horizontal="right"/>
    </xf>
    <xf numFmtId="3" fontId="68" fillId="4" borderId="48" xfId="4" applyNumberFormat="1" applyFill="1" applyBorder="1" applyAlignment="1">
      <alignment horizontal="right"/>
    </xf>
    <xf numFmtId="3" fontId="68" fillId="2" borderId="25" xfId="4" applyNumberFormat="1" applyFill="1" applyBorder="1" applyAlignment="1">
      <alignment horizontal="right"/>
    </xf>
    <xf numFmtId="168" fontId="68" fillId="0" borderId="50" xfId="5" applyNumberFormat="1" applyFont="1" applyFill="1" applyBorder="1" applyAlignment="1">
      <alignment horizontal="right" indent="2"/>
    </xf>
    <xf numFmtId="3" fontId="68" fillId="2" borderId="24" xfId="4" applyNumberFormat="1" applyFill="1" applyBorder="1" applyAlignment="1">
      <alignment horizontal="right"/>
    </xf>
    <xf numFmtId="3" fontId="68" fillId="0" borderId="50" xfId="4" applyNumberFormat="1" applyBorder="1" applyAlignment="1">
      <alignment horizontal="right"/>
    </xf>
    <xf numFmtId="3" fontId="72" fillId="4" borderId="47" xfId="4" applyNumberFormat="1" applyFont="1" applyFill="1" applyBorder="1" applyAlignment="1">
      <alignment horizontal="right"/>
    </xf>
    <xf numFmtId="3" fontId="72" fillId="4" borderId="25" xfId="4" applyNumberFormat="1" applyFont="1" applyFill="1" applyBorder="1" applyAlignment="1">
      <alignment horizontal="right"/>
    </xf>
    <xf numFmtId="3" fontId="75" fillId="0" borderId="50" xfId="4" quotePrefix="1" applyNumberFormat="1" applyFont="1" applyBorder="1" applyAlignment="1">
      <alignment horizontal="left" vertical="top" indent="2"/>
    </xf>
    <xf numFmtId="3" fontId="72" fillId="4" borderId="24" xfId="4" applyNumberFormat="1" applyFont="1" applyFill="1" applyBorder="1" applyAlignment="1">
      <alignment horizontal="right"/>
    </xf>
    <xf numFmtId="3" fontId="74" fillId="4" borderId="24" xfId="4" applyNumberFormat="1" applyFont="1" applyFill="1" applyBorder="1" applyAlignment="1">
      <alignment horizontal="right"/>
    </xf>
    <xf numFmtId="0" fontId="75" fillId="0" borderId="10" xfId="4" applyFont="1" applyBorder="1"/>
    <xf numFmtId="0" fontId="2" fillId="0" borderId="11" xfId="4" applyFont="1" applyBorder="1" applyAlignment="1">
      <alignment horizontal="right"/>
    </xf>
    <xf numFmtId="3" fontId="68" fillId="4" borderId="10" xfId="4" applyNumberFormat="1" applyFill="1" applyBorder="1" applyAlignment="1">
      <alignment horizontal="right"/>
    </xf>
    <xf numFmtId="3" fontId="68" fillId="4" borderId="49" xfId="4" applyNumberFormat="1" applyFill="1" applyBorder="1" applyAlignment="1">
      <alignment horizontal="right"/>
    </xf>
    <xf numFmtId="3" fontId="68" fillId="4" borderId="50" xfId="4" applyNumberFormat="1" applyFill="1" applyBorder="1" applyAlignment="1">
      <alignment horizontal="right"/>
    </xf>
    <xf numFmtId="3" fontId="68" fillId="4" borderId="25" xfId="4" applyNumberFormat="1" applyFill="1" applyBorder="1" applyAlignment="1">
      <alignment horizontal="right"/>
    </xf>
    <xf numFmtId="43" fontId="68" fillId="0" borderId="50" xfId="5" applyFont="1" applyFill="1" applyBorder="1" applyAlignment="1">
      <alignment horizontal="right" indent="2"/>
    </xf>
    <xf numFmtId="3" fontId="68" fillId="4" borderId="24" xfId="4" applyNumberFormat="1" applyFill="1" applyBorder="1" applyAlignment="1">
      <alignment horizontal="right"/>
    </xf>
    <xf numFmtId="3" fontId="72" fillId="4" borderId="49" xfId="4" applyNumberFormat="1" applyFont="1" applyFill="1" applyBorder="1" applyAlignment="1">
      <alignment horizontal="right"/>
    </xf>
    <xf numFmtId="3" fontId="68" fillId="0" borderId="50" xfId="4" applyNumberFormat="1" applyBorder="1" applyAlignment="1">
      <alignment horizontal="right" indent="2"/>
    </xf>
    <xf numFmtId="3" fontId="68" fillId="4" borderId="49" xfId="4" applyNumberFormat="1" applyFill="1" applyBorder="1" applyAlignment="1">
      <alignment horizontal="right" indent="2"/>
    </xf>
    <xf numFmtId="3" fontId="75" fillId="0" borderId="50" xfId="4" applyNumberFormat="1" applyFont="1" applyBorder="1" applyAlignment="1">
      <alignment horizontal="right"/>
    </xf>
    <xf numFmtId="0" fontId="3" fillId="0" borderId="0" xfId="4" applyFont="1" applyAlignment="1">
      <alignment horizontal="left"/>
    </xf>
    <xf numFmtId="3" fontId="76" fillId="4" borderId="50" xfId="4" applyNumberFormat="1" applyFont="1" applyFill="1" applyBorder="1" applyAlignment="1">
      <alignment horizontal="right"/>
    </xf>
    <xf numFmtId="3" fontId="75" fillId="0" borderId="50" xfId="4" applyNumberFormat="1" applyFont="1" applyBorder="1" applyAlignment="1">
      <alignment horizontal="right" indent="2"/>
    </xf>
    <xf numFmtId="3" fontId="73" fillId="4" borderId="50" xfId="4" applyNumberFormat="1" applyFont="1" applyFill="1" applyBorder="1" applyAlignment="1">
      <alignment horizontal="right"/>
    </xf>
    <xf numFmtId="3" fontId="74" fillId="4" borderId="49" xfId="4" applyNumberFormat="1" applyFont="1" applyFill="1" applyBorder="1" applyAlignment="1">
      <alignment horizontal="right"/>
    </xf>
    <xf numFmtId="0" fontId="11" fillId="0" borderId="53" xfId="4" applyFont="1" applyBorder="1" applyAlignment="1">
      <alignment horizontal="center" vertical="center" textRotation="90" wrapText="1"/>
    </xf>
    <xf numFmtId="0" fontId="68" fillId="0" borderId="38" xfId="4" applyBorder="1" applyAlignment="1">
      <alignment horizontal="right"/>
    </xf>
    <xf numFmtId="3" fontId="68" fillId="4" borderId="35" xfId="4" applyNumberFormat="1" applyFill="1" applyBorder="1" applyAlignment="1">
      <alignment horizontal="right"/>
    </xf>
    <xf numFmtId="3" fontId="68" fillId="4" borderId="36" xfId="4" applyNumberFormat="1" applyFill="1" applyBorder="1" applyAlignment="1">
      <alignment horizontal="right"/>
    </xf>
    <xf numFmtId="3" fontId="68" fillId="4" borderId="37" xfId="4" applyNumberFormat="1" applyFill="1" applyBorder="1" applyAlignment="1">
      <alignment horizontal="right"/>
    </xf>
    <xf numFmtId="165" fontId="13" fillId="0" borderId="38" xfId="6" applyNumberFormat="1" applyFont="1" applyFill="1" applyBorder="1" applyAlignment="1"/>
    <xf numFmtId="3" fontId="72" fillId="4" borderId="37" xfId="4" applyNumberFormat="1" applyFont="1" applyFill="1" applyBorder="1" applyAlignment="1">
      <alignment horizontal="right"/>
    </xf>
    <xf numFmtId="3" fontId="74" fillId="4" borderId="36" xfId="4" applyNumberFormat="1" applyFont="1" applyFill="1" applyBorder="1" applyAlignment="1">
      <alignment horizontal="right"/>
    </xf>
    <xf numFmtId="0" fontId="3" fillId="0" borderId="43" xfId="4" applyFont="1" applyBorder="1" applyAlignment="1">
      <alignment horizontal="left"/>
    </xf>
    <xf numFmtId="0" fontId="8" fillId="0" borderId="5" xfId="4" applyFont="1" applyBorder="1" applyAlignment="1">
      <alignment horizontal="center"/>
    </xf>
    <xf numFmtId="0" fontId="68" fillId="0" borderId="5" xfId="4" applyBorder="1" applyAlignment="1">
      <alignment horizontal="right" vertical="center" wrapText="1"/>
    </xf>
    <xf numFmtId="0" fontId="3" fillId="0" borderId="0" xfId="4" applyFont="1" applyAlignment="1">
      <alignment horizontal="right"/>
    </xf>
    <xf numFmtId="0" fontId="68" fillId="0" borderId="43" xfId="4" applyBorder="1" applyAlignment="1">
      <alignment horizontal="right" vertical="center" wrapText="1"/>
    </xf>
    <xf numFmtId="0" fontId="68" fillId="0" borderId="44" xfId="4" applyBorder="1" applyAlignment="1">
      <alignment horizontal="right" vertical="center" wrapText="1"/>
    </xf>
    <xf numFmtId="165" fontId="13" fillId="0" borderId="16" xfId="6" applyNumberFormat="1" applyFont="1" applyFill="1" applyBorder="1" applyAlignment="1">
      <alignment vertical="center" wrapText="1"/>
    </xf>
    <xf numFmtId="0" fontId="3" fillId="0" borderId="43" xfId="4" applyFont="1" applyBorder="1" applyAlignment="1">
      <alignment horizontal="center" vertical="center" wrapText="1"/>
    </xf>
    <xf numFmtId="3" fontId="68" fillId="0" borderId="16" xfId="4" applyNumberFormat="1" applyBorder="1" applyAlignment="1">
      <alignment horizontal="right" vertical="center" wrapText="1" indent="2"/>
    </xf>
    <xf numFmtId="43" fontId="68" fillId="0" borderId="44" xfId="5" applyFont="1" applyFill="1" applyBorder="1" applyAlignment="1">
      <alignment horizontal="right" vertical="center" wrapText="1"/>
    </xf>
    <xf numFmtId="0" fontId="3" fillId="0" borderId="20" xfId="4" applyFont="1" applyBorder="1" applyAlignment="1">
      <alignment horizontal="center" vertical="center" wrapText="1"/>
    </xf>
    <xf numFmtId="165" fontId="30" fillId="0" borderId="16" xfId="6" applyNumberFormat="1" applyFont="1" applyFill="1" applyBorder="1" applyAlignment="1">
      <alignment vertical="center" wrapText="1"/>
    </xf>
    <xf numFmtId="0" fontId="1" fillId="0" borderId="20" xfId="4" applyFont="1" applyBorder="1" applyAlignment="1">
      <alignment horizontal="center" vertical="center" wrapText="1"/>
    </xf>
    <xf numFmtId="3" fontId="68" fillId="4" borderId="23" xfId="4" applyNumberFormat="1" applyFill="1" applyBorder="1" applyAlignment="1">
      <alignment horizontal="right"/>
    </xf>
    <xf numFmtId="3" fontId="68" fillId="4" borderId="24" xfId="4" applyNumberFormat="1" applyFill="1" applyBorder="1" applyAlignment="1">
      <alignment horizontal="right" vertical="center" wrapText="1"/>
    </xf>
    <xf numFmtId="3" fontId="68" fillId="0" borderId="11" xfId="4" applyNumberFormat="1" applyBorder="1" applyAlignment="1">
      <alignment horizontal="right" vertical="center" wrapText="1"/>
    </xf>
    <xf numFmtId="3" fontId="72" fillId="4" borderId="24" xfId="4" applyNumberFormat="1" applyFont="1" applyFill="1" applyBorder="1" applyAlignment="1">
      <alignment horizontal="right" vertical="center" wrapText="1"/>
    </xf>
    <xf numFmtId="3" fontId="74" fillId="4" borderId="24" xfId="4" applyNumberFormat="1" applyFont="1" applyFill="1" applyBorder="1" applyAlignment="1">
      <alignment horizontal="right" vertical="center" wrapText="1"/>
    </xf>
    <xf numFmtId="3" fontId="68" fillId="4" borderId="24" xfId="4" applyNumberFormat="1" applyFill="1" applyBorder="1" applyAlignment="1">
      <alignment horizontal="right" vertical="center" wrapText="1" indent="2"/>
    </xf>
    <xf numFmtId="3" fontId="68" fillId="0" borderId="11" xfId="4" applyNumberFormat="1" applyBorder="1" applyAlignment="1">
      <alignment horizontal="right" vertical="center" wrapText="1" indent="2"/>
    </xf>
    <xf numFmtId="0" fontId="16" fillId="0" borderId="0" xfId="4" applyFont="1" applyAlignment="1">
      <alignment horizontal="right"/>
    </xf>
    <xf numFmtId="0" fontId="68" fillId="0" borderId="11" xfId="4" quotePrefix="1" applyBorder="1" applyAlignment="1">
      <alignment horizontal="right"/>
    </xf>
    <xf numFmtId="0" fontId="8" fillId="0" borderId="10" xfId="4" quotePrefix="1" applyFont="1" applyBorder="1" applyAlignment="1">
      <alignment horizontal="center"/>
    </xf>
    <xf numFmtId="3" fontId="68" fillId="4" borderId="29" xfId="4" applyNumberFormat="1" applyFill="1" applyBorder="1" applyAlignment="1">
      <alignment horizontal="right"/>
    </xf>
    <xf numFmtId="3" fontId="68" fillId="4" borderId="27" xfId="4" applyNumberFormat="1" applyFill="1" applyBorder="1" applyAlignment="1">
      <alignment horizontal="right" indent="2"/>
    </xf>
    <xf numFmtId="3" fontId="68" fillId="4" borderId="9" xfId="4" applyNumberFormat="1" applyFill="1" applyBorder="1" applyAlignment="1">
      <alignment horizontal="right" indent="2"/>
    </xf>
    <xf numFmtId="3" fontId="68" fillId="4" borderId="27" xfId="4" applyNumberFormat="1" applyFill="1" applyBorder="1" applyAlignment="1">
      <alignment horizontal="right" vertical="center" wrapText="1" indent="2"/>
    </xf>
    <xf numFmtId="3" fontId="68" fillId="4" borderId="27" xfId="4" applyNumberFormat="1" applyFill="1" applyBorder="1" applyAlignment="1">
      <alignment horizontal="right"/>
    </xf>
    <xf numFmtId="3" fontId="68" fillId="4" borderId="9" xfId="4" applyNumberFormat="1" applyFill="1" applyBorder="1" applyAlignment="1">
      <alignment horizontal="right"/>
    </xf>
    <xf numFmtId="43" fontId="68" fillId="0" borderId="0" xfId="5" applyFont="1" applyFill="1" applyBorder="1" applyAlignment="1">
      <alignment horizontal="right" indent="2"/>
    </xf>
    <xf numFmtId="3" fontId="68" fillId="0" borderId="0" xfId="4" applyNumberFormat="1" applyAlignment="1">
      <alignment horizontal="right"/>
    </xf>
    <xf numFmtId="165" fontId="13" fillId="0" borderId="35" xfId="6" applyNumberFormat="1" applyFont="1" applyFill="1" applyBorder="1" applyAlignment="1">
      <alignment horizontal="right" indent="2"/>
    </xf>
    <xf numFmtId="0" fontId="15" fillId="0" borderId="0" xfId="4" applyFont="1" applyAlignment="1">
      <alignment horizontal="right"/>
    </xf>
    <xf numFmtId="165" fontId="13" fillId="0" borderId="33" xfId="6" applyNumberFormat="1" applyFont="1" applyFill="1" applyBorder="1" applyAlignment="1">
      <alignment horizontal="right" indent="2"/>
    </xf>
    <xf numFmtId="165" fontId="13" fillId="0" borderId="41" xfId="6" applyNumberFormat="1" applyFont="1" applyFill="1" applyBorder="1" applyAlignment="1">
      <alignment horizontal="right" indent="2"/>
    </xf>
    <xf numFmtId="165" fontId="13" fillId="0" borderId="38" xfId="6" applyNumberFormat="1" applyFont="1" applyFill="1" applyBorder="1" applyAlignment="1">
      <alignment horizontal="right" indent="2"/>
    </xf>
    <xf numFmtId="165" fontId="13" fillId="0" borderId="33" xfId="6" applyNumberFormat="1" applyFont="1" applyFill="1" applyBorder="1" applyAlignment="1">
      <alignment horizontal="center" vertical="center" wrapText="1"/>
    </xf>
    <xf numFmtId="165" fontId="13" fillId="0" borderId="38" xfId="6" applyNumberFormat="1" applyFont="1" applyFill="1" applyBorder="1" applyAlignment="1">
      <alignment horizontal="center" vertical="center" wrapText="1"/>
    </xf>
    <xf numFmtId="3" fontId="68" fillId="0" borderId="42" xfId="4" applyNumberFormat="1" applyBorder="1" applyAlignment="1">
      <alignment horizontal="right" indent="2"/>
    </xf>
    <xf numFmtId="3" fontId="68" fillId="4" borderId="53" xfId="4" applyNumberFormat="1" applyFill="1" applyBorder="1" applyAlignment="1">
      <alignment horizontal="right" vertical="center" wrapText="1"/>
    </xf>
    <xf numFmtId="3" fontId="68" fillId="0" borderId="42" xfId="4" applyNumberFormat="1" applyBorder="1" applyAlignment="1">
      <alignment horizontal="right"/>
    </xf>
    <xf numFmtId="3" fontId="68" fillId="0" borderId="38" xfId="4" applyNumberFormat="1" applyBorder="1" applyAlignment="1">
      <alignment horizontal="right" vertical="center" wrapText="1"/>
    </xf>
    <xf numFmtId="165" fontId="30" fillId="0" borderId="38" xfId="6" applyNumberFormat="1" applyFont="1" applyFill="1" applyBorder="1" applyAlignment="1"/>
    <xf numFmtId="0" fontId="68" fillId="0" borderId="16" xfId="4" applyBorder="1" applyAlignment="1">
      <alignment horizontal="right"/>
    </xf>
    <xf numFmtId="0" fontId="5" fillId="0" borderId="10" xfId="4" applyFont="1" applyBorder="1" applyAlignment="1">
      <alignment horizontal="center"/>
    </xf>
    <xf numFmtId="165" fontId="13" fillId="0" borderId="10" xfId="6" applyNumberFormat="1" applyFont="1" applyFill="1" applyBorder="1" applyAlignment="1">
      <alignment horizontal="right" indent="2"/>
    </xf>
    <xf numFmtId="165" fontId="13" fillId="0" borderId="18" xfId="6" applyNumberFormat="1" applyFont="1" applyFill="1" applyBorder="1" applyAlignment="1">
      <alignment horizontal="right" indent="2"/>
    </xf>
    <xf numFmtId="165" fontId="13" fillId="0" borderId="0" xfId="6" applyNumberFormat="1" applyFont="1" applyFill="1" applyBorder="1" applyAlignment="1">
      <alignment horizontal="right" indent="2"/>
    </xf>
    <xf numFmtId="165" fontId="13" fillId="0" borderId="11" xfId="6" applyNumberFormat="1" applyFont="1" applyFill="1" applyBorder="1" applyAlignment="1">
      <alignment horizontal="right" indent="2"/>
    </xf>
    <xf numFmtId="165" fontId="13" fillId="0" borderId="18" xfId="6" applyNumberFormat="1" applyFont="1" applyFill="1" applyBorder="1" applyAlignment="1">
      <alignment horizontal="center" vertical="center" wrapText="1"/>
    </xf>
    <xf numFmtId="165" fontId="13" fillId="0" borderId="11" xfId="6" applyNumberFormat="1" applyFont="1" applyFill="1" applyBorder="1" applyAlignment="1">
      <alignment horizontal="center" vertical="center" wrapText="1"/>
    </xf>
    <xf numFmtId="165" fontId="30" fillId="0" borderId="11" xfId="6" applyNumberFormat="1" applyFont="1" applyFill="1" applyBorder="1" applyAlignment="1">
      <alignment horizontal="right" indent="2"/>
    </xf>
    <xf numFmtId="0" fontId="17" fillId="0" borderId="10" xfId="4" applyFont="1" applyBorder="1"/>
    <xf numFmtId="3" fontId="68" fillId="4" borderId="23" xfId="4" applyNumberFormat="1" applyFill="1" applyBorder="1" applyAlignment="1">
      <alignment horizontal="right" indent="2"/>
    </xf>
    <xf numFmtId="3" fontId="68" fillId="4" borderId="24" xfId="4" applyNumberFormat="1" applyFill="1" applyBorder="1" applyAlignment="1">
      <alignment horizontal="right" indent="2"/>
    </xf>
    <xf numFmtId="3" fontId="68" fillId="4" borderId="25" xfId="4" applyNumberFormat="1" applyFill="1" applyBorder="1" applyAlignment="1">
      <alignment horizontal="right" indent="2"/>
    </xf>
    <xf numFmtId="3" fontId="68" fillId="4" borderId="21" xfId="4" applyNumberFormat="1" applyFill="1" applyBorder="1" applyAlignment="1">
      <alignment horizontal="right" indent="2"/>
    </xf>
    <xf numFmtId="3" fontId="68" fillId="4" borderId="26" xfId="4" applyNumberFormat="1" applyFill="1" applyBorder="1" applyAlignment="1">
      <alignment horizontal="right" indent="2"/>
    </xf>
    <xf numFmtId="0" fontId="68" fillId="0" borderId="53" xfId="4" applyBorder="1"/>
    <xf numFmtId="0" fontId="2" fillId="0" borderId="38" xfId="4" applyFont="1" applyBorder="1" applyAlignment="1">
      <alignment horizontal="right"/>
    </xf>
    <xf numFmtId="0" fontId="5" fillId="0" borderId="7" xfId="4" applyFont="1" applyBorder="1" applyAlignment="1">
      <alignment horizontal="center"/>
    </xf>
    <xf numFmtId="3" fontId="68" fillId="4" borderId="35" xfId="4" applyNumberFormat="1" applyFill="1" applyBorder="1" applyAlignment="1">
      <alignment horizontal="right" indent="2"/>
    </xf>
    <xf numFmtId="3" fontId="68" fillId="4" borderId="36" xfId="4" applyNumberFormat="1" applyFill="1" applyBorder="1" applyAlignment="1">
      <alignment horizontal="right" indent="2"/>
    </xf>
    <xf numFmtId="3" fontId="68" fillId="4" borderId="37" xfId="4" applyNumberFormat="1" applyFill="1" applyBorder="1" applyAlignment="1">
      <alignment horizontal="right" indent="2"/>
    </xf>
    <xf numFmtId="3" fontId="68" fillId="0" borderId="38" xfId="4" applyNumberFormat="1" applyBorder="1" applyAlignment="1">
      <alignment horizontal="right" vertical="center" wrapText="1" indent="2"/>
    </xf>
    <xf numFmtId="3" fontId="68" fillId="4" borderId="33" xfId="4" applyNumberFormat="1" applyFill="1" applyBorder="1" applyAlignment="1">
      <alignment horizontal="right" indent="2"/>
    </xf>
    <xf numFmtId="3" fontId="68" fillId="4" borderId="39" xfId="4" applyNumberFormat="1" applyFill="1" applyBorder="1" applyAlignment="1">
      <alignment horizontal="right" indent="2"/>
    </xf>
    <xf numFmtId="0" fontId="17" fillId="0" borderId="7" xfId="4" applyFont="1" applyBorder="1"/>
    <xf numFmtId="165" fontId="9" fillId="0" borderId="0" xfId="4" applyNumberFormat="1" applyFont="1" applyAlignment="1">
      <alignment horizontal="right" indent="2"/>
    </xf>
    <xf numFmtId="165" fontId="38" fillId="0" borderId="0" xfId="4" applyNumberFormat="1" applyFont="1" applyAlignment="1">
      <alignment horizontal="right" indent="2"/>
    </xf>
    <xf numFmtId="0" fontId="12" fillId="0" borderId="11" xfId="4" applyFont="1" applyBorder="1" applyAlignment="1">
      <alignment horizontal="right" vertical="center"/>
    </xf>
    <xf numFmtId="165" fontId="9" fillId="0" borderId="4" xfId="4" applyNumberFormat="1" applyFont="1" applyBorder="1" applyAlignment="1">
      <alignment vertical="center" wrapText="1"/>
    </xf>
    <xf numFmtId="0" fontId="12" fillId="0" borderId="0" xfId="4" applyFont="1" applyAlignment="1">
      <alignment horizontal="right" vertical="center"/>
    </xf>
    <xf numFmtId="0" fontId="12" fillId="4" borderId="4" xfId="4" applyFont="1" applyFill="1" applyBorder="1" applyAlignment="1">
      <alignment vertical="center" wrapText="1"/>
    </xf>
    <xf numFmtId="0" fontId="12" fillId="0" borderId="4" xfId="4" applyFont="1" applyBorder="1"/>
    <xf numFmtId="165" fontId="38" fillId="0" borderId="4" xfId="4" applyNumberFormat="1" applyFont="1" applyBorder="1" applyAlignment="1">
      <alignment vertical="center" wrapText="1"/>
    </xf>
    <xf numFmtId="0" fontId="77" fillId="4" borderId="5" xfId="4" applyFont="1" applyFill="1" applyBorder="1" applyAlignment="1">
      <alignment horizontal="center" vertical="center" wrapText="1"/>
    </xf>
    <xf numFmtId="0" fontId="68" fillId="0" borderId="4" xfId="4" applyBorder="1"/>
    <xf numFmtId="3" fontId="68" fillId="0" borderId="5" xfId="4" applyNumberFormat="1" applyBorder="1" applyAlignment="1">
      <alignment horizontal="right" indent="2"/>
    </xf>
    <xf numFmtId="165" fontId="9" fillId="0" borderId="16" xfId="4" applyNumberFormat="1" applyFont="1" applyBorder="1" applyAlignment="1">
      <alignment horizontal="right" indent="2"/>
    </xf>
    <xf numFmtId="0" fontId="68" fillId="0" borderId="11" xfId="4" applyBorder="1"/>
    <xf numFmtId="3" fontId="75" fillId="0" borderId="0" xfId="4" applyNumberFormat="1" applyFont="1" applyAlignment="1">
      <alignment horizontal="right" indent="2"/>
    </xf>
    <xf numFmtId="165" fontId="38" fillId="0" borderId="16" xfId="4" applyNumberFormat="1" applyFont="1" applyBorder="1" applyAlignment="1">
      <alignment horizontal="right" indent="2"/>
    </xf>
    <xf numFmtId="0" fontId="68" fillId="4" borderId="6" xfId="4" applyFill="1" applyBorder="1" applyAlignment="1">
      <alignment horizontal="right"/>
    </xf>
    <xf numFmtId="3" fontId="68" fillId="2" borderId="47" xfId="4" applyNumberFormat="1" applyFill="1" applyBorder="1" applyAlignment="1">
      <alignment horizontal="right"/>
    </xf>
    <xf numFmtId="3" fontId="71" fillId="20" borderId="11" xfId="4" applyNumberFormat="1" applyFont="1" applyFill="1" applyBorder="1" applyAlignment="1">
      <alignment horizontal="right" vertical="center" wrapText="1"/>
    </xf>
    <xf numFmtId="3" fontId="76" fillId="4" borderId="25" xfId="4" applyNumberFormat="1" applyFont="1" applyFill="1" applyBorder="1" applyAlignment="1">
      <alignment horizontal="right"/>
    </xf>
    <xf numFmtId="3" fontId="78" fillId="0" borderId="0" xfId="4" applyNumberFormat="1" applyFont="1" applyAlignment="1">
      <alignment horizontal="right"/>
    </xf>
    <xf numFmtId="3" fontId="72" fillId="2" borderId="24" xfId="4" applyNumberFormat="1" applyFont="1" applyFill="1" applyBorder="1" applyAlignment="1">
      <alignment horizontal="right"/>
    </xf>
    <xf numFmtId="3" fontId="68" fillId="0" borderId="0" xfId="4" applyNumberFormat="1" applyAlignment="1">
      <alignment horizontal="left" indent="2"/>
    </xf>
    <xf numFmtId="0" fontId="79" fillId="0" borderId="18" xfId="0" applyFont="1" applyBorder="1"/>
    <xf numFmtId="0" fontId="68" fillId="4" borderId="8" xfId="4" applyFill="1" applyBorder="1" applyAlignment="1">
      <alignment horizontal="right"/>
    </xf>
    <xf numFmtId="3" fontId="68" fillId="0" borderId="0" xfId="4" applyNumberFormat="1" applyAlignment="1">
      <alignment horizontal="left"/>
    </xf>
    <xf numFmtId="0" fontId="68" fillId="4" borderId="9" xfId="4" applyFill="1" applyBorder="1" applyAlignment="1">
      <alignment horizontal="right"/>
    </xf>
    <xf numFmtId="3" fontId="68" fillId="4" borderId="30" xfId="4" applyNumberFormat="1" applyFill="1" applyBorder="1" applyAlignment="1">
      <alignment horizontal="right"/>
    </xf>
    <xf numFmtId="3" fontId="68" fillId="4" borderId="31" xfId="4" applyNumberFormat="1" applyFill="1" applyBorder="1" applyAlignment="1">
      <alignment horizontal="right"/>
    </xf>
    <xf numFmtId="0" fontId="68" fillId="0" borderId="18" xfId="4" applyBorder="1"/>
    <xf numFmtId="3" fontId="68" fillId="4" borderId="30" xfId="4" applyNumberFormat="1" applyFill="1" applyBorder="1" applyAlignment="1">
      <alignment horizontal="right" indent="2"/>
    </xf>
    <xf numFmtId="3" fontId="68" fillId="2" borderId="30" xfId="4" applyNumberFormat="1" applyFill="1" applyBorder="1" applyAlignment="1">
      <alignment horizontal="right"/>
    </xf>
    <xf numFmtId="3" fontId="72" fillId="4" borderId="30" xfId="4" applyNumberFormat="1" applyFont="1" applyFill="1" applyBorder="1" applyAlignment="1">
      <alignment horizontal="right"/>
    </xf>
    <xf numFmtId="3" fontId="68" fillId="0" borderId="10" xfId="4" applyNumberFormat="1" applyBorder="1" applyAlignment="1">
      <alignment horizontal="right"/>
    </xf>
    <xf numFmtId="3" fontId="68" fillId="0" borderId="18" xfId="4" applyNumberFormat="1" applyBorder="1" applyAlignment="1">
      <alignment horizontal="right"/>
    </xf>
    <xf numFmtId="165" fontId="9" fillId="0" borderId="11" xfId="4" applyNumberFormat="1" applyFont="1" applyBorder="1" applyAlignment="1">
      <alignment horizontal="right" indent="2"/>
    </xf>
    <xf numFmtId="3" fontId="68" fillId="0" borderId="18" xfId="4" applyNumberFormat="1" applyBorder="1" applyAlignment="1">
      <alignment horizontal="right" indent="2"/>
    </xf>
    <xf numFmtId="3" fontId="68" fillId="0" borderId="11" xfId="4" applyNumberFormat="1" applyBorder="1"/>
    <xf numFmtId="165" fontId="38" fillId="0" borderId="11" xfId="4" applyNumberFormat="1" applyFont="1" applyBorder="1" applyAlignment="1">
      <alignment horizontal="right" indent="2"/>
    </xf>
    <xf numFmtId="0" fontId="70" fillId="0" borderId="0" xfId="4" applyFont="1" applyAlignment="1">
      <alignment horizontal="right"/>
    </xf>
    <xf numFmtId="3" fontId="68" fillId="4" borderId="47" xfId="4" applyNumberFormat="1" applyFill="1" applyBorder="1" applyAlignment="1">
      <alignment horizontal="right" indent="2"/>
    </xf>
    <xf numFmtId="3" fontId="68" fillId="4" borderId="17" xfId="4" applyNumberFormat="1" applyFill="1" applyBorder="1" applyAlignment="1">
      <alignment horizontal="right" indent="2"/>
    </xf>
    <xf numFmtId="3" fontId="68" fillId="4" borderId="59" xfId="4" applyNumberFormat="1" applyFill="1" applyBorder="1" applyAlignment="1">
      <alignment horizontal="right" indent="2"/>
    </xf>
    <xf numFmtId="0" fontId="68" fillId="4" borderId="41" xfId="4" applyFill="1" applyBorder="1" applyAlignment="1">
      <alignment horizontal="right"/>
    </xf>
    <xf numFmtId="3" fontId="68" fillId="0" borderId="43" xfId="4" applyNumberFormat="1" applyBorder="1" applyAlignment="1">
      <alignment horizontal="right"/>
    </xf>
    <xf numFmtId="3" fontId="68" fillId="0" borderId="44" xfId="4" applyNumberFormat="1" applyBorder="1" applyAlignment="1">
      <alignment horizontal="right"/>
    </xf>
    <xf numFmtId="165" fontId="9" fillId="0" borderId="16" xfId="6" applyNumberFormat="1" applyFont="1" applyFill="1" applyBorder="1" applyAlignment="1">
      <alignment horizontal="right" indent="2"/>
    </xf>
    <xf numFmtId="3" fontId="68" fillId="0" borderId="44" xfId="4" applyNumberFormat="1" applyBorder="1" applyAlignment="1">
      <alignment horizontal="left" indent="2"/>
    </xf>
    <xf numFmtId="3" fontId="4" fillId="0" borderId="12" xfId="3" applyNumberFormat="1" applyBorder="1" applyAlignment="1">
      <alignment horizontal="right" indent="2"/>
    </xf>
    <xf numFmtId="165" fontId="38" fillId="0" borderId="16" xfId="6" applyNumberFormat="1" applyFont="1" applyFill="1" applyBorder="1" applyAlignment="1">
      <alignment horizontal="right" indent="2"/>
    </xf>
    <xf numFmtId="3" fontId="68" fillId="2" borderId="59" xfId="4" applyNumberFormat="1" applyFill="1" applyBorder="1" applyAlignment="1">
      <alignment horizontal="right"/>
    </xf>
    <xf numFmtId="3" fontId="76" fillId="4" borderId="26" xfId="4" applyNumberFormat="1" applyFont="1" applyFill="1" applyBorder="1" applyAlignment="1">
      <alignment horizontal="right"/>
    </xf>
    <xf numFmtId="3" fontId="75" fillId="0" borderId="0" xfId="4" applyNumberFormat="1" applyFont="1" applyAlignment="1">
      <alignment horizontal="right"/>
    </xf>
    <xf numFmtId="3" fontId="74" fillId="21" borderId="24" xfId="4" applyNumberFormat="1" applyFont="1" applyFill="1" applyBorder="1" applyAlignment="1">
      <alignment horizontal="right"/>
    </xf>
    <xf numFmtId="3" fontId="74" fillId="0" borderId="0" xfId="4" applyNumberFormat="1" applyFont="1" applyAlignment="1">
      <alignment horizontal="left"/>
    </xf>
    <xf numFmtId="0" fontId="68" fillId="0" borderId="10" xfId="4" applyBorder="1" applyAlignment="1">
      <alignment wrapText="1"/>
    </xf>
    <xf numFmtId="3" fontId="68" fillId="2" borderId="26" xfId="4" applyNumberFormat="1" applyFill="1" applyBorder="1" applyAlignment="1">
      <alignment horizontal="right"/>
    </xf>
    <xf numFmtId="3" fontId="68" fillId="4" borderId="59" xfId="4" applyNumberFormat="1" applyFill="1" applyBorder="1" applyAlignment="1">
      <alignment horizontal="right"/>
    </xf>
    <xf numFmtId="3" fontId="68" fillId="4" borderId="26" xfId="4" applyNumberFormat="1" applyFill="1" applyBorder="1" applyAlignment="1">
      <alignment horizontal="right"/>
    </xf>
    <xf numFmtId="3" fontId="74" fillId="21" borderId="36" xfId="4" applyNumberFormat="1" applyFont="1" applyFill="1" applyBorder="1" applyAlignment="1">
      <alignment horizontal="right"/>
    </xf>
    <xf numFmtId="3" fontId="74" fillId="0" borderId="42" xfId="4" applyNumberFormat="1" applyFont="1" applyBorder="1" applyAlignment="1">
      <alignment horizontal="left" indent="2"/>
    </xf>
    <xf numFmtId="0" fontId="3" fillId="0" borderId="44" xfId="4" applyFont="1" applyBorder="1" applyAlignment="1">
      <alignment horizontal="left"/>
    </xf>
    <xf numFmtId="165" fontId="9" fillId="0" borderId="11" xfId="6" applyNumberFormat="1" applyFont="1" applyFill="1" applyBorder="1" applyAlignment="1">
      <alignment horizontal="right" indent="2"/>
    </xf>
    <xf numFmtId="3" fontId="68" fillId="0" borderId="16" xfId="4" applyNumberFormat="1" applyBorder="1"/>
    <xf numFmtId="165" fontId="38" fillId="0" borderId="11" xfId="6" applyNumberFormat="1" applyFont="1" applyFill="1" applyBorder="1" applyAlignment="1">
      <alignment horizontal="right" indent="2"/>
    </xf>
    <xf numFmtId="3" fontId="76" fillId="4" borderId="59" xfId="4" applyNumberFormat="1" applyFont="1" applyFill="1" applyBorder="1" applyAlignment="1">
      <alignment horizontal="right"/>
    </xf>
    <xf numFmtId="3" fontId="68" fillId="4" borderId="29" xfId="4" applyNumberFormat="1" applyFill="1" applyBorder="1" applyAlignment="1">
      <alignment horizontal="right" indent="2"/>
    </xf>
    <xf numFmtId="0" fontId="68" fillId="0" borderId="8" xfId="4" applyBorder="1" applyAlignment="1">
      <alignment horizontal="right"/>
    </xf>
    <xf numFmtId="0" fontId="2" fillId="0" borderId="8" xfId="4" applyFont="1" applyBorder="1" applyAlignment="1">
      <alignment horizontal="right"/>
    </xf>
    <xf numFmtId="0" fontId="68" fillId="0" borderId="9" xfId="4" applyBorder="1" applyAlignment="1">
      <alignment horizontal="right"/>
    </xf>
    <xf numFmtId="3" fontId="68" fillId="4" borderId="31" xfId="4" applyNumberFormat="1" applyFill="1" applyBorder="1" applyAlignment="1">
      <alignment horizontal="right" indent="2"/>
    </xf>
    <xf numFmtId="0" fontId="68" fillId="0" borderId="41" xfId="4" applyBorder="1" applyAlignment="1">
      <alignment horizontal="right"/>
    </xf>
    <xf numFmtId="165" fontId="19" fillId="4" borderId="35" xfId="6" applyNumberFormat="1" applyFont="1" applyFill="1" applyBorder="1" applyAlignment="1">
      <alignment horizontal="right" indent="2"/>
    </xf>
    <xf numFmtId="0" fontId="19" fillId="0" borderId="0" xfId="4" applyFont="1" applyAlignment="1">
      <alignment horizontal="right"/>
    </xf>
    <xf numFmtId="165" fontId="19" fillId="4" borderId="36" xfId="6" applyNumberFormat="1" applyFont="1" applyFill="1" applyBorder="1" applyAlignment="1">
      <alignment horizontal="right" indent="2"/>
    </xf>
    <xf numFmtId="165" fontId="19" fillId="4" borderId="37" xfId="6" applyNumberFormat="1" applyFont="1" applyFill="1" applyBorder="1" applyAlignment="1">
      <alignment horizontal="right" indent="2"/>
    </xf>
    <xf numFmtId="165" fontId="19" fillId="0" borderId="38" xfId="6" applyNumberFormat="1" applyFont="1" applyBorder="1" applyAlignment="1">
      <alignment horizontal="right" vertical="center" wrapText="1" indent="2"/>
    </xf>
    <xf numFmtId="165" fontId="20" fillId="4" borderId="36" xfId="6" applyNumberFormat="1" applyFont="1" applyFill="1" applyBorder="1" applyAlignment="1">
      <alignment horizontal="right" indent="2"/>
    </xf>
    <xf numFmtId="165" fontId="20" fillId="0" borderId="42" xfId="6" applyNumberFormat="1" applyFont="1" applyFill="1" applyBorder="1" applyAlignment="1">
      <alignment horizontal="right" indent="2"/>
    </xf>
    <xf numFmtId="165" fontId="20" fillId="0" borderId="38" xfId="6" applyNumberFormat="1" applyFont="1" applyBorder="1" applyAlignment="1">
      <alignment horizontal="right" vertical="center" wrapText="1" indent="2"/>
    </xf>
    <xf numFmtId="0" fontId="3" fillId="6" borderId="43" xfId="4" applyFont="1" applyFill="1" applyBorder="1" applyAlignment="1">
      <alignment horizontal="left"/>
    </xf>
    <xf numFmtId="0" fontId="3" fillId="6" borderId="16" xfId="4" applyFont="1" applyFill="1" applyBorder="1" applyAlignment="1">
      <alignment horizontal="left"/>
    </xf>
    <xf numFmtId="3" fontId="68" fillId="6" borderId="14" xfId="4" applyNumberFormat="1" applyFill="1" applyBorder="1" applyAlignment="1">
      <alignment horizontal="right" indent="2"/>
    </xf>
    <xf numFmtId="0" fontId="3" fillId="0" borderId="6" xfId="4" applyFont="1" applyBorder="1" applyAlignment="1">
      <alignment horizontal="right"/>
    </xf>
    <xf numFmtId="3" fontId="68" fillId="6" borderId="12" xfId="4" applyNumberFormat="1" applyFill="1" applyBorder="1" applyAlignment="1">
      <alignment horizontal="right" indent="2"/>
    </xf>
    <xf numFmtId="3" fontId="68" fillId="6" borderId="15" xfId="4" applyNumberFormat="1" applyFill="1" applyBorder="1" applyAlignment="1">
      <alignment horizontal="right" indent="2"/>
    </xf>
    <xf numFmtId="165" fontId="9" fillId="0" borderId="13" xfId="4" applyNumberFormat="1" applyFont="1" applyBorder="1" applyAlignment="1">
      <alignment horizontal="right" indent="2"/>
    </xf>
    <xf numFmtId="165" fontId="38" fillId="0" borderId="13" xfId="4" applyNumberFormat="1" applyFont="1" applyBorder="1" applyAlignment="1">
      <alignment horizontal="right" indent="2"/>
    </xf>
    <xf numFmtId="0" fontId="68" fillId="6" borderId="17" xfId="4" applyFill="1" applyBorder="1" applyAlignment="1">
      <alignment horizontal="right"/>
    </xf>
    <xf numFmtId="0" fontId="68" fillId="6" borderId="62" xfId="4" applyFill="1" applyBorder="1" applyAlignment="1">
      <alignment horizontal="right"/>
    </xf>
    <xf numFmtId="3" fontId="23" fillId="6" borderId="23" xfId="4" applyNumberFormat="1" applyFont="1" applyFill="1" applyBorder="1" applyAlignment="1">
      <alignment horizontal="right" indent="2"/>
    </xf>
    <xf numFmtId="3" fontId="23" fillId="6" borderId="24" xfId="4" applyNumberFormat="1" applyFont="1" applyFill="1" applyBorder="1" applyAlignment="1">
      <alignment horizontal="right" indent="2"/>
    </xf>
    <xf numFmtId="3" fontId="23" fillId="6" borderId="25" xfId="4" applyNumberFormat="1" applyFont="1" applyFill="1" applyBorder="1" applyAlignment="1">
      <alignment horizontal="right" indent="2"/>
    </xf>
    <xf numFmtId="165" fontId="13" fillId="0" borderId="22" xfId="6" applyNumberFormat="1" applyFont="1" applyFill="1" applyBorder="1" applyAlignment="1"/>
    <xf numFmtId="3" fontId="23" fillId="6" borderId="8" xfId="4" applyNumberFormat="1" applyFont="1" applyFill="1" applyBorder="1" applyAlignment="1">
      <alignment horizontal="right" indent="2"/>
    </xf>
    <xf numFmtId="3" fontId="23" fillId="0" borderId="0" xfId="4" applyNumberFormat="1" applyFont="1" applyAlignment="1">
      <alignment horizontal="right" indent="2"/>
    </xf>
    <xf numFmtId="3" fontId="67" fillId="6" borderId="24" xfId="4" applyNumberFormat="1" applyFont="1" applyFill="1" applyBorder="1" applyAlignment="1">
      <alignment horizontal="right" indent="2"/>
    </xf>
    <xf numFmtId="165" fontId="30" fillId="0" borderId="22" xfId="6" applyNumberFormat="1" applyFont="1" applyFill="1" applyBorder="1" applyAlignment="1"/>
    <xf numFmtId="0" fontId="68" fillId="6" borderId="21" xfId="4" applyFill="1" applyBorder="1" applyAlignment="1">
      <alignment horizontal="right"/>
    </xf>
    <xf numFmtId="0" fontId="68" fillId="6" borderId="27" xfId="4" applyFill="1" applyBorder="1" applyAlignment="1">
      <alignment horizontal="right"/>
    </xf>
    <xf numFmtId="0" fontId="68" fillId="6" borderId="28" xfId="4" applyFill="1" applyBorder="1" applyAlignment="1">
      <alignment horizontal="right"/>
    </xf>
    <xf numFmtId="0" fontId="68" fillId="6" borderId="33" xfId="4" applyFill="1" applyBorder="1" applyAlignment="1">
      <alignment horizontal="right"/>
    </xf>
    <xf numFmtId="165" fontId="13" fillId="0" borderId="34" xfId="6" applyNumberFormat="1" applyFont="1" applyFill="1" applyBorder="1" applyAlignment="1"/>
    <xf numFmtId="3" fontId="68" fillId="6" borderId="41" xfId="4" applyNumberFormat="1" applyFill="1" applyBorder="1" applyAlignment="1">
      <alignment horizontal="right" indent="2"/>
    </xf>
    <xf numFmtId="3" fontId="81" fillId="6" borderId="36" xfId="4" applyNumberFormat="1" applyFont="1" applyFill="1" applyBorder="1" applyAlignment="1">
      <alignment horizontal="right" indent="2"/>
    </xf>
    <xf numFmtId="165" fontId="30" fillId="0" borderId="34" xfId="6" applyNumberFormat="1" applyFont="1" applyFill="1" applyBorder="1" applyAlignment="1"/>
    <xf numFmtId="0" fontId="24" fillId="0" borderId="0" xfId="4" applyFont="1" applyAlignment="1">
      <alignment horizontal="center" vertical="center" textRotation="90" wrapText="1"/>
    </xf>
    <xf numFmtId="165" fontId="13" fillId="0" borderId="0" xfId="6" applyNumberFormat="1" applyFont="1" applyFill="1" applyBorder="1" applyAlignment="1"/>
    <xf numFmtId="3" fontId="68" fillId="0" borderId="0" xfId="4" applyNumberFormat="1" applyAlignment="1">
      <alignment horizontal="right" vertical="center" wrapText="1" indent="2"/>
    </xf>
    <xf numFmtId="165" fontId="30" fillId="0" borderId="0" xfId="6" applyNumberFormat="1" applyFont="1" applyFill="1" applyBorder="1" applyAlignment="1"/>
    <xf numFmtId="0" fontId="24" fillId="7" borderId="43" xfId="4" applyFont="1" applyFill="1" applyBorder="1" applyAlignment="1">
      <alignment horizontal="left" vertical="center"/>
    </xf>
    <xf numFmtId="0" fontId="68" fillId="7" borderId="16" xfId="4" applyFill="1" applyBorder="1" applyAlignment="1">
      <alignment horizontal="right"/>
    </xf>
    <xf numFmtId="0" fontId="5" fillId="0" borderId="5" xfId="4" applyFont="1" applyBorder="1" applyAlignment="1">
      <alignment horizontal="center"/>
    </xf>
    <xf numFmtId="3" fontId="68" fillId="7" borderId="14" xfId="4" applyNumberFormat="1" applyFill="1" applyBorder="1" applyAlignment="1">
      <alignment horizontal="right" indent="2"/>
    </xf>
    <xf numFmtId="3" fontId="68" fillId="7" borderId="12" xfId="4" applyNumberFormat="1" applyFill="1" applyBorder="1" applyAlignment="1">
      <alignment horizontal="right" indent="2"/>
    </xf>
    <xf numFmtId="3" fontId="68" fillId="7" borderId="15" xfId="4" applyNumberFormat="1" applyFill="1" applyBorder="1" applyAlignment="1">
      <alignment horizontal="right" indent="2"/>
    </xf>
    <xf numFmtId="0" fontId="24" fillId="7" borderId="18" xfId="4" applyFont="1" applyFill="1" applyBorder="1" applyAlignment="1">
      <alignment horizontal="center" vertical="center" textRotation="90" wrapText="1"/>
    </xf>
    <xf numFmtId="0" fontId="68" fillId="7" borderId="11" xfId="4" applyFill="1" applyBorder="1" applyAlignment="1">
      <alignment horizontal="right"/>
    </xf>
    <xf numFmtId="3" fontId="23" fillId="7" borderId="23" xfId="4" applyNumberFormat="1" applyFont="1" applyFill="1" applyBorder="1" applyAlignment="1">
      <alignment horizontal="right" indent="2"/>
    </xf>
    <xf numFmtId="3" fontId="23" fillId="7" borderId="24" xfId="4" applyNumberFormat="1" applyFont="1" applyFill="1" applyBorder="1" applyAlignment="1">
      <alignment horizontal="right" indent="2"/>
    </xf>
    <xf numFmtId="3" fontId="23" fillId="7" borderId="25" xfId="4" applyNumberFormat="1" applyFont="1" applyFill="1" applyBorder="1" applyAlignment="1">
      <alignment horizontal="right" indent="2"/>
    </xf>
    <xf numFmtId="3" fontId="23" fillId="7" borderId="8" xfId="4" applyNumberFormat="1" applyFont="1" applyFill="1" applyBorder="1" applyAlignment="1">
      <alignment horizontal="right" indent="2"/>
    </xf>
    <xf numFmtId="3" fontId="67" fillId="7" borderId="24" xfId="4" applyNumberFormat="1" applyFont="1" applyFill="1" applyBorder="1" applyAlignment="1">
      <alignment horizontal="right" indent="2"/>
    </xf>
    <xf numFmtId="3" fontId="45" fillId="7" borderId="8" xfId="4" applyNumberFormat="1" applyFont="1" applyFill="1" applyBorder="1" applyAlignment="1">
      <alignment horizontal="right" indent="2"/>
    </xf>
    <xf numFmtId="0" fontId="24" fillId="7" borderId="18" xfId="4" applyFont="1" applyFill="1" applyBorder="1" applyAlignment="1">
      <alignment horizontal="center" vertical="center" textRotation="90"/>
    </xf>
    <xf numFmtId="3" fontId="68" fillId="7" borderId="23" xfId="4" applyNumberFormat="1" applyFill="1" applyBorder="1" applyAlignment="1">
      <alignment horizontal="right" indent="2"/>
    </xf>
    <xf numFmtId="3" fontId="68" fillId="7" borderId="24" xfId="4" applyNumberFormat="1" applyFill="1" applyBorder="1" applyAlignment="1">
      <alignment horizontal="right" indent="2"/>
    </xf>
    <xf numFmtId="3" fontId="68" fillId="7" borderId="25" xfId="4" applyNumberFormat="1" applyFill="1" applyBorder="1" applyAlignment="1">
      <alignment horizontal="right" indent="2"/>
    </xf>
    <xf numFmtId="3" fontId="68" fillId="7" borderId="8" xfId="4" applyNumberFormat="1" applyFill="1" applyBorder="1" applyAlignment="1">
      <alignment horizontal="right" indent="2"/>
    </xf>
    <xf numFmtId="3" fontId="71" fillId="7" borderId="8" xfId="4" applyNumberFormat="1" applyFont="1" applyFill="1" applyBorder="1" applyAlignment="1">
      <alignment horizontal="right" indent="2"/>
    </xf>
    <xf numFmtId="0" fontId="24" fillId="7" borderId="53" xfId="4" applyFont="1" applyFill="1" applyBorder="1" applyAlignment="1">
      <alignment horizontal="center" vertical="center" textRotation="90" wrapText="1"/>
    </xf>
    <xf numFmtId="0" fontId="68" fillId="7" borderId="38" xfId="4" applyFill="1" applyBorder="1" applyAlignment="1">
      <alignment horizontal="right"/>
    </xf>
    <xf numFmtId="3" fontId="68" fillId="7" borderId="35" xfId="4" applyNumberFormat="1" applyFill="1" applyBorder="1" applyAlignment="1">
      <alignment horizontal="right" indent="2"/>
    </xf>
    <xf numFmtId="3" fontId="68" fillId="7" borderId="36" xfId="4" applyNumberFormat="1" applyFill="1" applyBorder="1" applyAlignment="1">
      <alignment horizontal="right" indent="2"/>
    </xf>
    <xf numFmtId="3" fontId="68" fillId="7" borderId="37" xfId="4" applyNumberFormat="1" applyFill="1" applyBorder="1" applyAlignment="1">
      <alignment horizontal="right" indent="2"/>
    </xf>
    <xf numFmtId="3" fontId="68" fillId="7" borderId="41" xfId="4" applyNumberFormat="1" applyFill="1" applyBorder="1" applyAlignment="1">
      <alignment horizontal="right" indent="2"/>
    </xf>
    <xf numFmtId="0" fontId="68" fillId="0" borderId="44" xfId="4" applyBorder="1"/>
    <xf numFmtId="3" fontId="18" fillId="0" borderId="10" xfId="4" applyNumberFormat="1" applyFont="1" applyBorder="1" applyAlignment="1">
      <alignment horizontal="right"/>
    </xf>
    <xf numFmtId="0" fontId="18" fillId="0" borderId="0" xfId="4" applyFont="1" applyAlignment="1">
      <alignment horizontal="right"/>
    </xf>
    <xf numFmtId="3" fontId="18" fillId="0" borderId="18" xfId="4" applyNumberFormat="1" applyFont="1" applyBorder="1" applyAlignment="1">
      <alignment horizontal="right"/>
    </xf>
    <xf numFmtId="3" fontId="18" fillId="0" borderId="0" xfId="4" applyNumberFormat="1" applyFont="1" applyAlignment="1">
      <alignment horizontal="right"/>
    </xf>
    <xf numFmtId="3" fontId="18" fillId="0" borderId="11" xfId="4" applyNumberFormat="1" applyFont="1" applyBorder="1" applyAlignment="1">
      <alignment horizontal="right"/>
    </xf>
    <xf numFmtId="3" fontId="18" fillId="0" borderId="0" xfId="4" applyNumberFormat="1" applyFont="1" applyAlignment="1">
      <alignment horizontal="right" indent="2"/>
    </xf>
    <xf numFmtId="0" fontId="3" fillId="0" borderId="11" xfId="4" applyFont="1" applyBorder="1" applyAlignment="1">
      <alignment horizontal="right"/>
    </xf>
    <xf numFmtId="3" fontId="24" fillId="0" borderId="10" xfId="4" applyNumberFormat="1" applyFont="1" applyBorder="1" applyAlignment="1">
      <alignment horizontal="right"/>
    </xf>
    <xf numFmtId="0" fontId="24" fillId="0" borderId="0" xfId="4" applyFont="1" applyAlignment="1">
      <alignment horizontal="right"/>
    </xf>
    <xf numFmtId="3" fontId="24" fillId="0" borderId="18" xfId="4" applyNumberFormat="1" applyFont="1" applyBorder="1" applyAlignment="1">
      <alignment horizontal="right"/>
    </xf>
    <xf numFmtId="3" fontId="24" fillId="0" borderId="0" xfId="4" applyNumberFormat="1" applyFont="1" applyAlignment="1">
      <alignment horizontal="right"/>
    </xf>
    <xf numFmtId="165" fontId="10" fillId="0" borderId="11" xfId="4" applyNumberFormat="1" applyFont="1" applyBorder="1" applyAlignment="1">
      <alignment horizontal="right" indent="2"/>
    </xf>
    <xf numFmtId="3" fontId="24" fillId="0" borderId="11" xfId="4" applyNumberFormat="1" applyFont="1" applyBorder="1" applyAlignment="1">
      <alignment horizontal="right"/>
    </xf>
    <xf numFmtId="3" fontId="24" fillId="0" borderId="0" xfId="4" applyNumberFormat="1" applyFont="1" applyAlignment="1">
      <alignment horizontal="right" indent="2"/>
    </xf>
    <xf numFmtId="0" fontId="17" fillId="0" borderId="11" xfId="4" applyFont="1" applyBorder="1" applyAlignment="1">
      <alignment horizontal="right"/>
    </xf>
    <xf numFmtId="165" fontId="25" fillId="0" borderId="10" xfId="6" applyNumberFormat="1" applyFont="1" applyFill="1" applyBorder="1" applyAlignment="1">
      <alignment horizontal="right" indent="2"/>
    </xf>
    <xf numFmtId="165" fontId="25" fillId="0" borderId="0" xfId="6" applyNumberFormat="1" applyFont="1" applyFill="1" applyBorder="1" applyAlignment="1">
      <alignment horizontal="right"/>
    </xf>
    <xf numFmtId="165" fontId="25" fillId="0" borderId="18" xfId="6" applyNumberFormat="1" applyFont="1" applyFill="1" applyBorder="1" applyAlignment="1">
      <alignment horizontal="right" indent="2"/>
    </xf>
    <xf numFmtId="165" fontId="25" fillId="0" borderId="0" xfId="6" applyNumberFormat="1" applyFont="1" applyFill="1" applyBorder="1" applyAlignment="1">
      <alignment horizontal="right" indent="2"/>
    </xf>
    <xf numFmtId="165" fontId="25" fillId="0" borderId="11" xfId="6" applyNumberFormat="1" applyFont="1" applyFill="1" applyBorder="1" applyAlignment="1">
      <alignment horizontal="right" indent="2"/>
    </xf>
    <xf numFmtId="0" fontId="12" fillId="0" borderId="0" xfId="4" applyFont="1" applyAlignment="1">
      <alignment horizontal="right"/>
    </xf>
    <xf numFmtId="0" fontId="11" fillId="6" borderId="17" xfId="4" applyFont="1" applyFill="1" applyBorder="1" applyAlignment="1">
      <alignment horizontal="center" vertical="center" textRotation="90" wrapText="1"/>
    </xf>
    <xf numFmtId="0" fontId="68" fillId="6" borderId="6" xfId="4" applyFill="1" applyBorder="1"/>
    <xf numFmtId="0" fontId="68" fillId="0" borderId="6" xfId="4" applyBorder="1" applyAlignment="1">
      <alignment horizontal="right"/>
    </xf>
    <xf numFmtId="3" fontId="15" fillId="6" borderId="46" xfId="6" applyNumberFormat="1" applyFont="1" applyFill="1" applyBorder="1" applyAlignment="1">
      <alignment horizontal="right" indent="2"/>
    </xf>
    <xf numFmtId="3" fontId="15" fillId="0" borderId="6" xfId="6" applyNumberFormat="1" applyFont="1" applyFill="1" applyBorder="1" applyAlignment="1">
      <alignment horizontal="right"/>
    </xf>
    <xf numFmtId="3" fontId="15" fillId="6" borderId="47" xfId="6" applyNumberFormat="1" applyFont="1" applyFill="1" applyBorder="1" applyAlignment="1">
      <alignment horizontal="right" indent="2"/>
    </xf>
    <xf numFmtId="3" fontId="15" fillId="6" borderId="65" xfId="6" applyNumberFormat="1" applyFont="1" applyFill="1" applyBorder="1" applyAlignment="1">
      <alignment horizontal="right" indent="2"/>
    </xf>
    <xf numFmtId="3" fontId="15" fillId="0" borderId="11" xfId="6" applyNumberFormat="1" applyFont="1" applyFill="1" applyBorder="1" applyAlignment="1">
      <alignment horizontal="right" indent="2"/>
    </xf>
    <xf numFmtId="3" fontId="15" fillId="6" borderId="17" xfId="6" applyNumberFormat="1" applyFont="1" applyFill="1" applyBorder="1" applyAlignment="1">
      <alignment horizontal="right" indent="2"/>
    </xf>
    <xf numFmtId="3" fontId="15" fillId="0" borderId="0" xfId="6" applyNumberFormat="1" applyFont="1" applyFill="1" applyBorder="1" applyAlignment="1">
      <alignment horizontal="right" indent="2"/>
    </xf>
    <xf numFmtId="3" fontId="15" fillId="6" borderId="11" xfId="6" applyNumberFormat="1" applyFont="1" applyFill="1" applyBorder="1" applyAlignment="1">
      <alignment horizontal="right" indent="2"/>
    </xf>
    <xf numFmtId="0" fontId="68" fillId="6" borderId="8" xfId="4" applyFill="1" applyBorder="1"/>
    <xf numFmtId="0" fontId="68" fillId="0" borderId="8" xfId="4" applyBorder="1"/>
    <xf numFmtId="165" fontId="0" fillId="6" borderId="23" xfId="6" applyNumberFormat="1" applyFont="1" applyFill="1" applyBorder="1" applyAlignment="1">
      <alignment horizontal="right" indent="2"/>
    </xf>
    <xf numFmtId="165" fontId="0" fillId="0" borderId="8" xfId="6" applyNumberFormat="1" applyFont="1" applyFill="1" applyBorder="1" applyAlignment="1">
      <alignment horizontal="right" indent="2"/>
    </xf>
    <xf numFmtId="165" fontId="0" fillId="6" borderId="24" xfId="6" applyNumberFormat="1" applyFont="1" applyFill="1" applyBorder="1" applyAlignment="1">
      <alignment horizontal="right" indent="2"/>
    </xf>
    <xf numFmtId="165" fontId="0" fillId="6" borderId="51" xfId="6" applyNumberFormat="1" applyFont="1" applyFill="1" applyBorder="1" applyAlignment="1">
      <alignment horizontal="right" indent="2"/>
    </xf>
    <xf numFmtId="165" fontId="0" fillId="0" borderId="11" xfId="6" applyNumberFormat="1" applyFont="1" applyFill="1" applyBorder="1" applyAlignment="1">
      <alignment horizontal="right" indent="2"/>
    </xf>
    <xf numFmtId="165" fontId="0" fillId="6" borderId="21" xfId="6" applyNumberFormat="1" applyFont="1" applyFill="1" applyBorder="1" applyAlignment="1">
      <alignment horizontal="right" indent="2"/>
    </xf>
    <xf numFmtId="165" fontId="0" fillId="0" borderId="0" xfId="6" applyNumberFormat="1" applyFont="1" applyFill="1" applyBorder="1" applyAlignment="1">
      <alignment horizontal="right" indent="2"/>
    </xf>
    <xf numFmtId="165" fontId="0" fillId="6" borderId="11" xfId="6" applyNumberFormat="1" applyFont="1" applyFill="1" applyBorder="1" applyAlignment="1">
      <alignment horizontal="right" indent="2"/>
    </xf>
    <xf numFmtId="0" fontId="68" fillId="6" borderId="23" xfId="4" applyFill="1" applyBorder="1"/>
    <xf numFmtId="0" fontId="68" fillId="6" borderId="24" xfId="4" applyFill="1" applyBorder="1"/>
    <xf numFmtId="0" fontId="68" fillId="6" borderId="51" xfId="4" applyFill="1" applyBorder="1"/>
    <xf numFmtId="0" fontId="68" fillId="6" borderId="21" xfId="4" applyFill="1" applyBorder="1"/>
    <xf numFmtId="0" fontId="68" fillId="6" borderId="11" xfId="4" applyFill="1" applyBorder="1"/>
    <xf numFmtId="3" fontId="0" fillId="6" borderId="23" xfId="6" applyNumberFormat="1" applyFont="1" applyFill="1" applyBorder="1" applyAlignment="1">
      <alignment horizontal="right" indent="2"/>
    </xf>
    <xf numFmtId="3" fontId="0" fillId="0" borderId="8" xfId="6" applyNumberFormat="1" applyFont="1" applyFill="1" applyBorder="1" applyAlignment="1">
      <alignment horizontal="right" indent="2"/>
    </xf>
    <xf numFmtId="3" fontId="0" fillId="6" borderId="24" xfId="6" applyNumberFormat="1" applyFont="1" applyFill="1" applyBorder="1" applyAlignment="1">
      <alignment horizontal="right" indent="2"/>
    </xf>
    <xf numFmtId="3" fontId="0" fillId="6" borderId="51" xfId="6" applyNumberFormat="1" applyFont="1" applyFill="1" applyBorder="1" applyAlignment="1">
      <alignment horizontal="right" indent="2"/>
    </xf>
    <xf numFmtId="3" fontId="0" fillId="0" borderId="11" xfId="6" applyNumberFormat="1" applyFont="1" applyFill="1" applyBorder="1" applyAlignment="1">
      <alignment horizontal="right" indent="2"/>
    </xf>
    <xf numFmtId="3" fontId="0" fillId="6" borderId="21" xfId="6" applyNumberFormat="1" applyFont="1" applyFill="1" applyBorder="1" applyAlignment="1">
      <alignment horizontal="right" indent="2"/>
    </xf>
    <xf numFmtId="3" fontId="0" fillId="0" borderId="0" xfId="6" applyNumberFormat="1" applyFont="1" applyFill="1" applyBorder="1" applyAlignment="1">
      <alignment horizontal="right" indent="2"/>
    </xf>
    <xf numFmtId="3" fontId="0" fillId="6" borderId="11" xfId="6" applyNumberFormat="1" applyFont="1" applyFill="1" applyBorder="1" applyAlignment="1">
      <alignment horizontal="right" indent="2"/>
    </xf>
    <xf numFmtId="0" fontId="68" fillId="6" borderId="11" xfId="4" applyFill="1" applyBorder="1" applyAlignment="1">
      <alignment horizontal="right"/>
    </xf>
    <xf numFmtId="0" fontId="3" fillId="0" borderId="8" xfId="4" applyFont="1" applyBorder="1" applyAlignment="1">
      <alignment horizontal="right"/>
    </xf>
    <xf numFmtId="165" fontId="9" fillId="6" borderId="23" xfId="6" applyNumberFormat="1" applyFont="1" applyFill="1" applyBorder="1" applyAlignment="1">
      <alignment horizontal="right" indent="4"/>
    </xf>
    <xf numFmtId="165" fontId="9" fillId="0" borderId="8" xfId="6" applyNumberFormat="1" applyFont="1" applyFill="1" applyBorder="1" applyAlignment="1">
      <alignment horizontal="right" indent="2"/>
    </xf>
    <xf numFmtId="165" fontId="9" fillId="6" borderId="24" xfId="6" applyNumberFormat="1" applyFont="1" applyFill="1" applyBorder="1" applyAlignment="1">
      <alignment horizontal="right" indent="4"/>
    </xf>
    <xf numFmtId="165" fontId="9" fillId="6" borderId="51" xfId="6" applyNumberFormat="1" applyFont="1" applyFill="1" applyBorder="1" applyAlignment="1">
      <alignment horizontal="right" indent="4"/>
    </xf>
    <xf numFmtId="165" fontId="9" fillId="0" borderId="11" xfId="6" applyNumberFormat="1" applyFont="1" applyFill="1" applyBorder="1" applyAlignment="1">
      <alignment horizontal="right" indent="4"/>
    </xf>
    <xf numFmtId="165" fontId="9" fillId="6" borderId="21" xfId="6" applyNumberFormat="1" applyFont="1" applyFill="1" applyBorder="1" applyAlignment="1">
      <alignment horizontal="right" indent="4"/>
    </xf>
    <xf numFmtId="0" fontId="12" fillId="0" borderId="0" xfId="4" applyFont="1"/>
    <xf numFmtId="0" fontId="68" fillId="6" borderId="41" xfId="4" applyFill="1" applyBorder="1"/>
    <xf numFmtId="165" fontId="15" fillId="6" borderId="35" xfId="6" applyNumberFormat="1" applyFont="1" applyFill="1" applyBorder="1" applyAlignment="1">
      <alignment horizontal="right" indent="4"/>
    </xf>
    <xf numFmtId="165" fontId="9" fillId="0" borderId="9" xfId="6" applyNumberFormat="1" applyFont="1" applyFill="1" applyBorder="1" applyAlignment="1">
      <alignment horizontal="right" indent="2"/>
    </xf>
    <xf numFmtId="165" fontId="15" fillId="6" borderId="36" xfId="6" applyNumberFormat="1" applyFont="1" applyFill="1" applyBorder="1" applyAlignment="1">
      <alignment horizontal="right" indent="4"/>
    </xf>
    <xf numFmtId="165" fontId="15" fillId="6" borderId="66" xfId="6" applyNumberFormat="1" applyFont="1" applyFill="1" applyBorder="1" applyAlignment="1">
      <alignment horizontal="right" indent="4"/>
    </xf>
    <xf numFmtId="165" fontId="9" fillId="0" borderId="38" xfId="6" applyNumberFormat="1" applyFont="1" applyFill="1" applyBorder="1" applyAlignment="1">
      <alignment horizontal="right" indent="4"/>
    </xf>
    <xf numFmtId="165" fontId="15" fillId="6" borderId="33" xfId="6" applyNumberFormat="1" applyFont="1" applyFill="1" applyBorder="1" applyAlignment="1">
      <alignment horizontal="right" indent="4"/>
    </xf>
    <xf numFmtId="165" fontId="15" fillId="0" borderId="38" xfId="6" applyNumberFormat="1" applyFont="1" applyFill="1" applyBorder="1" applyAlignment="1">
      <alignment horizontal="right" indent="4"/>
    </xf>
    <xf numFmtId="165" fontId="9" fillId="6" borderId="36" xfId="6" applyNumberFormat="1" applyFont="1" applyFill="1" applyBorder="1" applyAlignment="1">
      <alignment horizontal="right" indent="2"/>
    </xf>
    <xf numFmtId="165" fontId="9" fillId="6" borderId="66" xfId="6" applyNumberFormat="1" applyFont="1" applyFill="1" applyBorder="1" applyAlignment="1">
      <alignment horizontal="right" indent="4"/>
    </xf>
    <xf numFmtId="165" fontId="9" fillId="0" borderId="42" xfId="6" applyNumberFormat="1" applyFont="1" applyFill="1" applyBorder="1" applyAlignment="1">
      <alignment horizontal="right" indent="4"/>
    </xf>
    <xf numFmtId="165" fontId="9" fillId="6" borderId="33" xfId="6" applyNumberFormat="1" applyFont="1" applyFill="1" applyBorder="1" applyAlignment="1">
      <alignment horizontal="right" indent="4"/>
    </xf>
    <xf numFmtId="165" fontId="9" fillId="6" borderId="38" xfId="6" applyNumberFormat="1" applyFont="1" applyFill="1" applyBorder="1" applyAlignment="1">
      <alignment horizontal="right" indent="4"/>
    </xf>
    <xf numFmtId="0" fontId="12" fillId="0" borderId="0" xfId="4" applyFont="1" applyAlignment="1">
      <alignment horizontal="center"/>
    </xf>
    <xf numFmtId="0" fontId="8" fillId="0" borderId="0" xfId="4" applyFont="1"/>
    <xf numFmtId="0" fontId="12" fillId="0" borderId="0" xfId="4" applyFont="1" applyAlignment="1">
      <alignment horizontal="right" vertical="top" indent="1"/>
    </xf>
    <xf numFmtId="0" fontId="12" fillId="0" borderId="0" xfId="4" applyFont="1" applyAlignment="1">
      <alignment horizontal="left" vertical="top"/>
    </xf>
    <xf numFmtId="0" fontId="8" fillId="0" borderId="0" xfId="4" applyFont="1" applyAlignment="1">
      <alignment horizontal="center" vertical="top"/>
    </xf>
    <xf numFmtId="0" fontId="12" fillId="0" borderId="0" xfId="4" applyFont="1" applyAlignment="1">
      <alignment vertical="top"/>
    </xf>
    <xf numFmtId="165" fontId="9" fillId="0" borderId="0" xfId="4" applyNumberFormat="1" applyFont="1" applyAlignment="1">
      <alignment vertical="top"/>
    </xf>
    <xf numFmtId="165" fontId="38" fillId="0" borderId="0" xfId="4" applyNumberFormat="1" applyFont="1" applyAlignment="1">
      <alignment vertical="top"/>
    </xf>
    <xf numFmtId="0" fontId="12" fillId="0" borderId="0" xfId="4" applyFont="1" applyAlignment="1">
      <alignment horizontal="right" indent="1"/>
    </xf>
    <xf numFmtId="0" fontId="12" fillId="0" borderId="0" xfId="4" applyFont="1" applyAlignment="1">
      <alignment horizontal="left"/>
    </xf>
    <xf numFmtId="0" fontId="12" fillId="4" borderId="1" xfId="4" applyFont="1" applyFill="1" applyBorder="1" applyAlignment="1">
      <alignment horizontal="left" vertical="top" wrapText="1"/>
    </xf>
    <xf numFmtId="0" fontId="12" fillId="4" borderId="2" xfId="4" applyFont="1" applyFill="1" applyBorder="1" applyAlignment="1">
      <alignment horizontal="left" vertical="top" wrapText="1"/>
    </xf>
    <xf numFmtId="0" fontId="12" fillId="4" borderId="3" xfId="4" applyFont="1" applyFill="1" applyBorder="1" applyAlignment="1">
      <alignment horizontal="left" vertical="top" wrapText="1"/>
    </xf>
    <xf numFmtId="0" fontId="21" fillId="4" borderId="0" xfId="4" applyFont="1" applyFill="1" applyAlignment="1">
      <alignment horizontal="left" vertical="top" wrapText="1"/>
    </xf>
    <xf numFmtId="0" fontId="12" fillId="4" borderId="0" xfId="4" applyFont="1" applyFill="1" applyAlignment="1">
      <alignment horizontal="left" vertical="top" wrapText="1"/>
    </xf>
    <xf numFmtId="0" fontId="42" fillId="4" borderId="0" xfId="4" applyFont="1" applyFill="1" applyAlignment="1">
      <alignment horizontal="left" vertical="top" wrapText="1"/>
    </xf>
    <xf numFmtId="0" fontId="29" fillId="0" borderId="0" xfId="4" applyFont="1"/>
    <xf numFmtId="0" fontId="31" fillId="0" borderId="0" xfId="4" applyFont="1" applyAlignment="1">
      <alignment horizontal="center" vertical="center" wrapText="1"/>
    </xf>
    <xf numFmtId="0" fontId="31" fillId="0" borderId="4" xfId="4" applyFont="1" applyBorder="1" applyAlignment="1">
      <alignment horizontal="center" vertical="center" wrapText="1"/>
    </xf>
    <xf numFmtId="0" fontId="31" fillId="0" borderId="16" xfId="4" applyFont="1" applyBorder="1" applyAlignment="1">
      <alignment horizontal="center" vertical="center" wrapText="1"/>
    </xf>
    <xf numFmtId="0" fontId="3" fillId="4" borderId="38" xfId="4" applyFont="1" applyFill="1" applyBorder="1" applyAlignment="1">
      <alignment horizontal="center" vertical="center"/>
    </xf>
    <xf numFmtId="0" fontId="12" fillId="0" borderId="0" xfId="4" applyFont="1" applyAlignment="1">
      <alignment horizontal="center" vertical="center"/>
    </xf>
    <xf numFmtId="0" fontId="29" fillId="0" borderId="0" xfId="4" applyFont="1" applyAlignment="1">
      <alignment horizontal="center"/>
    </xf>
    <xf numFmtId="0" fontId="12" fillId="4" borderId="4" xfId="4" quotePrefix="1" applyFont="1" applyFill="1" applyBorder="1" applyAlignment="1">
      <alignment horizontal="center" vertical="center"/>
    </xf>
    <xf numFmtId="0" fontId="12" fillId="4" borderId="16" xfId="4" quotePrefix="1" applyFont="1" applyFill="1" applyBorder="1" applyAlignment="1">
      <alignment horizontal="center" vertical="center"/>
    </xf>
    <xf numFmtId="0" fontId="29" fillId="0" borderId="5" xfId="4" applyFont="1" applyBorder="1"/>
    <xf numFmtId="0" fontId="12" fillId="0" borderId="4" xfId="4" applyFont="1" applyBorder="1" applyAlignment="1">
      <alignment horizontal="center"/>
    </xf>
    <xf numFmtId="0" fontId="12" fillId="0" borderId="4" xfId="4" applyFont="1" applyBorder="1" applyAlignment="1">
      <alignment horizontal="center" vertical="center"/>
    </xf>
    <xf numFmtId="0" fontId="29" fillId="0" borderId="7" xfId="4" applyFont="1" applyBorder="1"/>
    <xf numFmtId="0" fontId="12" fillId="0" borderId="1" xfId="4" applyFont="1" applyBorder="1"/>
    <xf numFmtId="0" fontId="12" fillId="0" borderId="3" xfId="4" applyFont="1" applyBorder="1" applyAlignment="1">
      <alignment horizontal="right" vertical="center"/>
    </xf>
    <xf numFmtId="0" fontId="12" fillId="2" borderId="5" xfId="4" applyFont="1" applyFill="1" applyBorder="1" applyAlignment="1">
      <alignment horizontal="center" vertical="center" wrapText="1"/>
    </xf>
    <xf numFmtId="0" fontId="5" fillId="4" borderId="5" xfId="4" applyFont="1" applyFill="1" applyBorder="1" applyAlignment="1">
      <alignment horizontal="center" vertical="center" wrapText="1"/>
    </xf>
    <xf numFmtId="0" fontId="29" fillId="0" borderId="4" xfId="4" applyFont="1" applyBorder="1"/>
    <xf numFmtId="0" fontId="12" fillId="0" borderId="16" xfId="4" applyFont="1" applyBorder="1"/>
    <xf numFmtId="0" fontId="12" fillId="0" borderId="44" xfId="4" applyFont="1" applyBorder="1"/>
    <xf numFmtId="0" fontId="10" fillId="15" borderId="21" xfId="4" applyFont="1" applyFill="1" applyBorder="1" applyAlignment="1">
      <alignment horizontal="center" vertical="center" textRotation="90" wrapText="1"/>
    </xf>
    <xf numFmtId="0" fontId="12" fillId="15" borderId="22" xfId="4" applyFont="1" applyFill="1" applyBorder="1" applyAlignment="1">
      <alignment horizontal="right"/>
    </xf>
    <xf numFmtId="3" fontId="35" fillId="15" borderId="23" xfId="4" applyNumberFormat="1" applyFont="1" applyFill="1" applyBorder="1" applyAlignment="1">
      <alignment horizontal="right" indent="1"/>
    </xf>
    <xf numFmtId="3" fontId="35" fillId="15" borderId="24" xfId="4" applyNumberFormat="1" applyFont="1" applyFill="1" applyBorder="1" applyAlignment="1">
      <alignment horizontal="right" indent="1"/>
    </xf>
    <xf numFmtId="3" fontId="35" fillId="15" borderId="51" xfId="4" applyNumberFormat="1" applyFont="1" applyFill="1" applyBorder="1" applyAlignment="1">
      <alignment horizontal="right" indent="1"/>
    </xf>
    <xf numFmtId="165" fontId="36" fillId="0" borderId="11" xfId="6" applyNumberFormat="1" applyFont="1" applyFill="1" applyBorder="1" applyAlignment="1"/>
    <xf numFmtId="3" fontId="12" fillId="15" borderId="47" xfId="4" applyNumberFormat="1" applyFont="1" applyFill="1" applyBorder="1" applyAlignment="1">
      <alignment horizontal="right" indent="2"/>
    </xf>
    <xf numFmtId="3" fontId="12" fillId="0" borderId="11" xfId="4" applyNumberFormat="1" applyFont="1" applyBorder="1" applyAlignment="1">
      <alignment horizontal="right" indent="2"/>
    </xf>
    <xf numFmtId="3" fontId="12" fillId="4" borderId="47" xfId="4" applyNumberFormat="1" applyFont="1" applyFill="1" applyBorder="1" applyAlignment="1">
      <alignment horizontal="right" indent="2"/>
    </xf>
    <xf numFmtId="10" fontId="36" fillId="0" borderId="11" xfId="6" applyNumberFormat="1" applyFont="1" applyFill="1" applyBorder="1" applyAlignment="1"/>
    <xf numFmtId="3" fontId="5" fillId="4" borderId="47" xfId="4" applyNumberFormat="1" applyFont="1" applyFill="1" applyBorder="1" applyAlignment="1">
      <alignment horizontal="right" indent="2"/>
    </xf>
    <xf numFmtId="0" fontId="29" fillId="0" borderId="10" xfId="4" applyFont="1" applyBorder="1"/>
    <xf numFmtId="0" fontId="38" fillId="15" borderId="22" xfId="4" applyFont="1" applyFill="1" applyBorder="1" applyAlignment="1">
      <alignment horizontal="right"/>
    </xf>
    <xf numFmtId="3" fontId="12" fillId="15" borderId="24" xfId="4" applyNumberFormat="1" applyFont="1" applyFill="1" applyBorder="1" applyAlignment="1">
      <alignment horizontal="right" indent="2"/>
    </xf>
    <xf numFmtId="3" fontId="12" fillId="4" borderId="24" xfId="4" applyNumberFormat="1" applyFont="1" applyFill="1" applyBorder="1" applyAlignment="1">
      <alignment horizontal="right" indent="2"/>
    </xf>
    <xf numFmtId="3" fontId="5" fillId="4" borderId="24" xfId="4" applyNumberFormat="1" applyFont="1" applyFill="1" applyBorder="1" applyAlignment="1">
      <alignment horizontal="right" indent="2"/>
    </xf>
    <xf numFmtId="0" fontId="12" fillId="15" borderId="0" xfId="4" applyFont="1" applyFill="1"/>
    <xf numFmtId="3" fontId="12" fillId="4" borderId="30" xfId="4" applyNumberFormat="1" applyFont="1" applyFill="1" applyBorder="1" applyAlignment="1">
      <alignment horizontal="right" indent="2"/>
    </xf>
    <xf numFmtId="3" fontId="35" fillId="15" borderId="35" xfId="4" applyNumberFormat="1" applyFont="1" applyFill="1" applyBorder="1" applyAlignment="1">
      <alignment horizontal="right" indent="1"/>
    </xf>
    <xf numFmtId="3" fontId="35" fillId="15" borderId="36" xfId="4" applyNumberFormat="1" applyFont="1" applyFill="1" applyBorder="1" applyAlignment="1">
      <alignment horizontal="right" indent="1"/>
    </xf>
    <xf numFmtId="3" fontId="35" fillId="15" borderId="64" xfId="4" applyNumberFormat="1" applyFont="1" applyFill="1" applyBorder="1" applyAlignment="1">
      <alignment horizontal="right" indent="1"/>
    </xf>
    <xf numFmtId="3" fontId="12" fillId="15" borderId="30" xfId="4" applyNumberFormat="1" applyFont="1" applyFill="1" applyBorder="1" applyAlignment="1">
      <alignment horizontal="right" indent="2"/>
    </xf>
    <xf numFmtId="3" fontId="12" fillId="4" borderId="36" xfId="4" applyNumberFormat="1" applyFont="1" applyFill="1" applyBorder="1" applyAlignment="1">
      <alignment horizontal="right" indent="2"/>
    </xf>
    <xf numFmtId="3" fontId="12" fillId="0" borderId="42" xfId="4" applyNumberFormat="1" applyFont="1" applyBorder="1" applyAlignment="1">
      <alignment horizontal="right" indent="2"/>
    </xf>
    <xf numFmtId="3" fontId="12" fillId="0" borderId="38" xfId="4" applyNumberFormat="1" applyFont="1" applyBorder="1" applyAlignment="1">
      <alignment horizontal="right" indent="2"/>
    </xf>
    <xf numFmtId="3" fontId="5" fillId="4" borderId="36" xfId="4" applyNumberFormat="1" applyFont="1" applyFill="1" applyBorder="1" applyAlignment="1">
      <alignment horizontal="right" indent="2"/>
    </xf>
    <xf numFmtId="0" fontId="5" fillId="0" borderId="43" xfId="4" applyFont="1" applyBorder="1" applyAlignment="1">
      <alignment horizontal="left" vertical="center"/>
    </xf>
    <xf numFmtId="3" fontId="35" fillId="0" borderId="5" xfId="4" applyNumberFormat="1" applyFont="1" applyBorder="1" applyAlignment="1">
      <alignment horizontal="right"/>
    </xf>
    <xf numFmtId="3" fontId="12" fillId="0" borderId="43" xfId="4" applyNumberFormat="1" applyFont="1" applyBorder="1" applyAlignment="1">
      <alignment horizontal="right" indent="2"/>
    </xf>
    <xf numFmtId="3" fontId="12" fillId="0" borderId="44" xfId="4" applyNumberFormat="1" applyFont="1" applyBorder="1" applyAlignment="1">
      <alignment horizontal="right" indent="2"/>
    </xf>
    <xf numFmtId="3" fontId="12" fillId="0" borderId="16" xfId="4" applyNumberFormat="1" applyFont="1" applyBorder="1" applyAlignment="1">
      <alignment horizontal="right" indent="2"/>
    </xf>
    <xf numFmtId="0" fontId="12" fillId="0" borderId="18" xfId="4" applyFont="1" applyBorder="1"/>
    <xf numFmtId="0" fontId="12" fillId="0" borderId="11" xfId="4" applyFont="1" applyBorder="1" applyAlignment="1">
      <alignment horizontal="right"/>
    </xf>
    <xf numFmtId="3" fontId="35" fillId="4" borderId="46" xfId="4" applyNumberFormat="1" applyFont="1" applyFill="1" applyBorder="1" applyAlignment="1">
      <alignment horizontal="right" indent="1"/>
    </xf>
    <xf numFmtId="3" fontId="12" fillId="4" borderId="48" xfId="4" applyNumberFormat="1" applyFont="1" applyFill="1" applyBorder="1" applyAlignment="1">
      <alignment horizontal="right" indent="2"/>
    </xf>
    <xf numFmtId="0" fontId="38" fillId="0" borderId="11" xfId="4" applyFont="1" applyBorder="1" applyAlignment="1">
      <alignment horizontal="right"/>
    </xf>
    <xf numFmtId="165" fontId="36" fillId="0" borderId="62" xfId="6" applyNumberFormat="1" applyFont="1" applyFill="1" applyBorder="1" applyAlignment="1"/>
    <xf numFmtId="3" fontId="35" fillId="4" borderId="10" xfId="4" applyNumberFormat="1" applyFont="1" applyFill="1" applyBorder="1" applyAlignment="1">
      <alignment horizontal="right" indent="1"/>
    </xf>
    <xf numFmtId="3" fontId="12" fillId="4" borderId="49" xfId="4" applyNumberFormat="1" applyFont="1" applyFill="1" applyBorder="1" applyAlignment="1">
      <alignment horizontal="right" indent="2"/>
    </xf>
    <xf numFmtId="3" fontId="12" fillId="4" borderId="50" xfId="4" applyNumberFormat="1" applyFont="1" applyFill="1" applyBorder="1" applyAlignment="1">
      <alignment horizontal="right" indent="2"/>
    </xf>
    <xf numFmtId="3" fontId="12" fillId="2" borderId="30" xfId="4" applyNumberFormat="1" applyFont="1" applyFill="1" applyBorder="1" applyAlignment="1">
      <alignment horizontal="right" indent="2"/>
    </xf>
    <xf numFmtId="3" fontId="5" fillId="4" borderId="30" xfId="4" applyNumberFormat="1" applyFont="1" applyFill="1" applyBorder="1" applyAlignment="1">
      <alignment horizontal="right" indent="2"/>
    </xf>
    <xf numFmtId="3" fontId="12" fillId="4" borderId="31" xfId="4" applyNumberFormat="1" applyFont="1" applyFill="1" applyBorder="1" applyAlignment="1">
      <alignment horizontal="right" indent="2"/>
    </xf>
    <xf numFmtId="165" fontId="36" fillId="0" borderId="28" xfId="6" applyNumberFormat="1" applyFont="1" applyFill="1" applyBorder="1" applyAlignment="1"/>
    <xf numFmtId="0" fontId="12" fillId="0" borderId="53" xfId="4" applyFont="1" applyBorder="1"/>
    <xf numFmtId="0" fontId="12" fillId="0" borderId="38" xfId="4" applyFont="1" applyBorder="1" applyAlignment="1">
      <alignment horizontal="right"/>
    </xf>
    <xf numFmtId="3" fontId="35" fillId="4" borderId="29" xfId="4" applyNumberFormat="1" applyFont="1" applyFill="1" applyBorder="1" applyAlignment="1">
      <alignment horizontal="right" indent="1"/>
    </xf>
    <xf numFmtId="165" fontId="36" fillId="0" borderId="38" xfId="6" applyNumberFormat="1" applyFont="1" applyFill="1" applyBorder="1" applyAlignment="1"/>
    <xf numFmtId="167" fontId="5" fillId="0" borderId="42" xfId="1" applyNumberFormat="1" applyFont="1" applyFill="1" applyBorder="1" applyAlignment="1">
      <alignment horizontal="right" indent="2"/>
    </xf>
    <xf numFmtId="0" fontId="5" fillId="0" borderId="43" xfId="4" applyFont="1" applyBorder="1" applyAlignment="1">
      <alignment horizontal="left"/>
    </xf>
    <xf numFmtId="165" fontId="36" fillId="0" borderId="16" xfId="6" applyNumberFormat="1" applyFont="1" applyFill="1" applyBorder="1" applyAlignment="1">
      <alignment vertical="center" wrapText="1"/>
    </xf>
    <xf numFmtId="3" fontId="12" fillId="0" borderId="16" xfId="4" applyNumberFormat="1" applyFont="1" applyBorder="1" applyAlignment="1">
      <alignment horizontal="right" vertical="center" wrapText="1" indent="2"/>
    </xf>
    <xf numFmtId="3" fontId="12" fillId="0" borderId="44" xfId="4" applyNumberFormat="1" applyFont="1" applyBorder="1" applyAlignment="1">
      <alignment horizontal="right" vertical="center" wrapText="1" indent="2"/>
    </xf>
    <xf numFmtId="3" fontId="35" fillId="4" borderId="23" xfId="4" applyNumberFormat="1" applyFont="1" applyFill="1" applyBorder="1" applyAlignment="1">
      <alignment horizontal="right" indent="1"/>
    </xf>
    <xf numFmtId="3" fontId="12" fillId="4" borderId="25" xfId="4" applyNumberFormat="1" applyFont="1" applyFill="1" applyBorder="1" applyAlignment="1">
      <alignment horizontal="right" indent="2"/>
    </xf>
    <xf numFmtId="3" fontId="12" fillId="4" borderId="24" xfId="4" applyNumberFormat="1" applyFont="1" applyFill="1" applyBorder="1" applyAlignment="1">
      <alignment horizontal="right" vertical="center" wrapText="1" indent="2"/>
    </xf>
    <xf numFmtId="3" fontId="12" fillId="0" borderId="11" xfId="4" applyNumberFormat="1" applyFont="1" applyBorder="1" applyAlignment="1">
      <alignment horizontal="right" vertical="center" wrapText="1" indent="2"/>
    </xf>
    <xf numFmtId="0" fontId="12" fillId="0" borderId="11" xfId="4" quotePrefix="1" applyFont="1" applyBorder="1" applyAlignment="1">
      <alignment horizontal="right"/>
    </xf>
    <xf numFmtId="3" fontId="12" fillId="4" borderId="27" xfId="4" applyNumberFormat="1" applyFont="1" applyFill="1" applyBorder="1" applyAlignment="1">
      <alignment horizontal="right" indent="2"/>
    </xf>
    <xf numFmtId="3" fontId="12" fillId="4" borderId="9" xfId="4" applyNumberFormat="1" applyFont="1" applyFill="1" applyBorder="1" applyAlignment="1">
      <alignment horizontal="right" indent="2"/>
    </xf>
    <xf numFmtId="3" fontId="12" fillId="4" borderId="27" xfId="4" applyNumberFormat="1" applyFont="1" applyFill="1" applyBorder="1" applyAlignment="1">
      <alignment horizontal="right" vertical="center" wrapText="1" indent="2"/>
    </xf>
    <xf numFmtId="10" fontId="61" fillId="0" borderId="35" xfId="6" applyNumberFormat="1" applyFont="1" applyFill="1" applyBorder="1" applyAlignment="1">
      <alignment horizontal="right" indent="1"/>
    </xf>
    <xf numFmtId="10" fontId="36" fillId="0" borderId="33" xfId="6" applyNumberFormat="1" applyFont="1" applyFill="1" applyBorder="1" applyAlignment="1">
      <alignment horizontal="right" indent="2"/>
    </xf>
    <xf numFmtId="10" fontId="36" fillId="0" borderId="41" xfId="6" applyNumberFormat="1" applyFont="1" applyFill="1" applyBorder="1" applyAlignment="1">
      <alignment horizontal="right" indent="2"/>
    </xf>
    <xf numFmtId="10" fontId="36" fillId="0" borderId="38" xfId="6" applyNumberFormat="1" applyFont="1" applyFill="1" applyBorder="1" applyAlignment="1">
      <alignment horizontal="right" indent="2"/>
    </xf>
    <xf numFmtId="10" fontId="36" fillId="0" borderId="33" xfId="6" applyNumberFormat="1" applyFont="1" applyFill="1" applyBorder="1" applyAlignment="1">
      <alignment horizontal="center" vertical="center" wrapText="1"/>
    </xf>
    <xf numFmtId="10" fontId="36" fillId="0" borderId="38" xfId="6" applyNumberFormat="1" applyFont="1" applyFill="1" applyBorder="1" applyAlignment="1">
      <alignment horizontal="center" vertical="center" wrapText="1"/>
    </xf>
    <xf numFmtId="10" fontId="36" fillId="0" borderId="0" xfId="6" applyNumberFormat="1" applyFont="1" applyFill="1" applyBorder="1" applyAlignment="1">
      <alignment horizontal="center" vertical="center" wrapText="1"/>
    </xf>
    <xf numFmtId="10" fontId="36" fillId="0" borderId="42" xfId="6" applyNumberFormat="1" applyFont="1" applyFill="1" applyBorder="1" applyAlignment="1">
      <alignment horizontal="center" vertical="center" wrapText="1"/>
    </xf>
    <xf numFmtId="10" fontId="12" fillId="0" borderId="0" xfId="4" applyNumberFormat="1" applyFont="1"/>
    <xf numFmtId="3" fontId="12" fillId="0" borderId="5" xfId="4" applyNumberFormat="1" applyFont="1" applyBorder="1" applyAlignment="1">
      <alignment horizontal="right" indent="2"/>
    </xf>
    <xf numFmtId="0" fontId="12" fillId="0" borderId="18" xfId="4" applyFont="1" applyBorder="1" applyAlignment="1">
      <alignment horizontal="right"/>
    </xf>
    <xf numFmtId="3" fontId="12" fillId="0" borderId="10" xfId="4" applyNumberFormat="1" applyFont="1" applyBorder="1" applyAlignment="1">
      <alignment horizontal="right" indent="2"/>
    </xf>
    <xf numFmtId="3" fontId="12" fillId="0" borderId="18" xfId="4" applyNumberFormat="1" applyFont="1" applyBorder="1" applyAlignment="1">
      <alignment horizontal="right" indent="2"/>
    </xf>
    <xf numFmtId="0" fontId="12" fillId="0" borderId="11" xfId="4" applyFont="1" applyBorder="1"/>
    <xf numFmtId="0" fontId="12" fillId="0" borderId="53" xfId="4" applyFont="1" applyBorder="1" applyAlignment="1">
      <alignment horizontal="right"/>
    </xf>
    <xf numFmtId="3" fontId="12" fillId="0" borderId="7" xfId="4" applyNumberFormat="1" applyFont="1" applyBorder="1" applyAlignment="1">
      <alignment horizontal="right" indent="2"/>
    </xf>
    <xf numFmtId="3" fontId="12" fillId="0" borderId="53" xfId="4" applyNumberFormat="1" applyFont="1" applyBorder="1" applyAlignment="1">
      <alignment horizontal="right" indent="2"/>
    </xf>
    <xf numFmtId="0" fontId="12" fillId="0" borderId="38" xfId="4" applyFont="1" applyBorder="1"/>
    <xf numFmtId="0" fontId="12" fillId="0" borderId="42" xfId="4" applyFont="1" applyBorder="1"/>
    <xf numFmtId="3" fontId="12" fillId="0" borderId="0" xfId="4" applyNumberFormat="1" applyFont="1" applyAlignment="1">
      <alignment horizontal="right" indent="2"/>
    </xf>
    <xf numFmtId="0" fontId="12" fillId="0" borderId="1" xfId="4" applyFont="1" applyBorder="1" applyAlignment="1">
      <alignment horizontal="right" vertical="center"/>
    </xf>
    <xf numFmtId="0" fontId="12" fillId="0" borderId="3" xfId="4" applyFont="1" applyBorder="1"/>
    <xf numFmtId="0" fontId="12" fillId="4" borderId="18" xfId="4" applyFont="1" applyFill="1" applyBorder="1" applyAlignment="1">
      <alignment horizontal="left"/>
    </xf>
    <xf numFmtId="0" fontId="12" fillId="4" borderId="62" xfId="4" applyFont="1" applyFill="1" applyBorder="1" applyAlignment="1">
      <alignment horizontal="right"/>
    </xf>
    <xf numFmtId="3" fontId="12" fillId="4" borderId="46" xfId="4" applyNumberFormat="1" applyFont="1" applyFill="1" applyBorder="1" applyAlignment="1">
      <alignment horizontal="right" indent="2"/>
    </xf>
    <xf numFmtId="3" fontId="38" fillId="4" borderId="48" xfId="4" applyNumberFormat="1" applyFont="1" applyFill="1" applyBorder="1" applyAlignment="1">
      <alignment horizontal="right" indent="2"/>
    </xf>
    <xf numFmtId="3" fontId="12" fillId="4" borderId="29" xfId="4" applyNumberFormat="1" applyFont="1" applyFill="1" applyBorder="1" applyAlignment="1">
      <alignment horizontal="right" indent="2"/>
    </xf>
    <xf numFmtId="3" fontId="12" fillId="4" borderId="10" xfId="4" applyNumberFormat="1" applyFont="1" applyFill="1" applyBorder="1" applyAlignment="1">
      <alignment horizontal="right" indent="2"/>
    </xf>
    <xf numFmtId="3" fontId="12" fillId="4" borderId="18" xfId="4" applyNumberFormat="1" applyFont="1" applyFill="1" applyBorder="1" applyAlignment="1">
      <alignment horizontal="right" indent="2"/>
    </xf>
    <xf numFmtId="0" fontId="5" fillId="0" borderId="18" xfId="4" applyFont="1" applyBorder="1" applyAlignment="1">
      <alignment horizontal="left"/>
    </xf>
    <xf numFmtId="3" fontId="12" fillId="0" borderId="11" xfId="4" applyNumberFormat="1" applyFont="1" applyBorder="1"/>
    <xf numFmtId="3" fontId="12" fillId="4" borderId="23" xfId="4" applyNumberFormat="1" applyFont="1" applyFill="1" applyBorder="1" applyAlignment="1">
      <alignment horizontal="right" indent="2"/>
    </xf>
    <xf numFmtId="0" fontId="12" fillId="4" borderId="53" xfId="4" applyFont="1" applyFill="1" applyBorder="1" applyAlignment="1">
      <alignment horizontal="left"/>
    </xf>
    <xf numFmtId="0" fontId="12" fillId="4" borderId="38" xfId="4" applyFont="1" applyFill="1" applyBorder="1" applyAlignment="1">
      <alignment horizontal="right"/>
    </xf>
    <xf numFmtId="3" fontId="12" fillId="4" borderId="35" xfId="4" applyNumberFormat="1" applyFont="1" applyFill="1" applyBorder="1" applyAlignment="1">
      <alignment horizontal="right" indent="2"/>
    </xf>
    <xf numFmtId="3" fontId="12" fillId="0" borderId="38" xfId="4" applyNumberFormat="1" applyFont="1" applyBorder="1" applyAlignment="1">
      <alignment horizontal="right" vertical="center" wrapText="1" indent="2"/>
    </xf>
    <xf numFmtId="3" fontId="12" fillId="0" borderId="42" xfId="4" applyNumberFormat="1" applyFont="1" applyBorder="1" applyAlignment="1">
      <alignment horizontal="right" vertical="center" wrapText="1" indent="2"/>
    </xf>
    <xf numFmtId="165" fontId="12" fillId="0" borderId="16" xfId="6" applyNumberFormat="1" applyFont="1" applyFill="1" applyBorder="1" applyAlignment="1">
      <alignment horizontal="right" indent="2"/>
    </xf>
    <xf numFmtId="165" fontId="12" fillId="0" borderId="11" xfId="6" applyNumberFormat="1" applyFont="1" applyFill="1" applyBorder="1" applyAlignment="1">
      <alignment horizontal="right" indent="2"/>
    </xf>
    <xf numFmtId="3" fontId="54" fillId="4" borderId="47" xfId="4" applyNumberFormat="1" applyFont="1" applyFill="1" applyBorder="1" applyAlignment="1">
      <alignment horizontal="right" indent="2"/>
    </xf>
    <xf numFmtId="3" fontId="54" fillId="0" borderId="11" xfId="4" applyNumberFormat="1" applyFont="1" applyBorder="1" applyAlignment="1">
      <alignment horizontal="left" vertical="center"/>
    </xf>
    <xf numFmtId="3" fontId="83" fillId="4" borderId="47" xfId="4" applyNumberFormat="1" applyFont="1" applyFill="1" applyBorder="1" applyAlignment="1">
      <alignment horizontal="right" indent="2"/>
    </xf>
    <xf numFmtId="0" fontId="29" fillId="0" borderId="10" xfId="4" applyFont="1" applyBorder="1" applyAlignment="1">
      <alignment wrapText="1"/>
    </xf>
    <xf numFmtId="3" fontId="12" fillId="4" borderId="37" xfId="4" applyNumberFormat="1" applyFont="1" applyFill="1" applyBorder="1" applyAlignment="1">
      <alignment horizontal="right" indent="2"/>
    </xf>
    <xf numFmtId="3" fontId="12" fillId="0" borderId="16" xfId="4" applyNumberFormat="1" applyFont="1" applyBorder="1"/>
    <xf numFmtId="3" fontId="12" fillId="0" borderId="44" xfId="4" applyNumberFormat="1" applyFont="1" applyBorder="1"/>
    <xf numFmtId="3" fontId="12" fillId="0" borderId="0" xfId="4" applyNumberFormat="1" applyFont="1"/>
    <xf numFmtId="0" fontId="12" fillId="4" borderId="22" xfId="4" applyFont="1" applyFill="1" applyBorder="1" applyAlignment="1">
      <alignment horizontal="right"/>
    </xf>
    <xf numFmtId="0" fontId="38" fillId="4" borderId="28" xfId="4" applyFont="1" applyFill="1" applyBorder="1" applyAlignment="1">
      <alignment horizontal="right"/>
    </xf>
    <xf numFmtId="0" fontId="12" fillId="4" borderId="34" xfId="4" applyFont="1" applyFill="1" applyBorder="1" applyAlignment="1">
      <alignment horizontal="right"/>
    </xf>
    <xf numFmtId="165" fontId="40" fillId="4" borderId="35" xfId="6" applyNumberFormat="1" applyFont="1" applyFill="1" applyBorder="1" applyAlignment="1">
      <alignment horizontal="right" indent="2"/>
    </xf>
    <xf numFmtId="165" fontId="40" fillId="4" borderId="36" xfId="6" applyNumberFormat="1" applyFont="1" applyFill="1" applyBorder="1" applyAlignment="1">
      <alignment horizontal="right" indent="2"/>
    </xf>
    <xf numFmtId="165" fontId="40" fillId="4" borderId="37" xfId="6" applyNumberFormat="1" applyFont="1" applyFill="1" applyBorder="1" applyAlignment="1">
      <alignment horizontal="right" indent="2"/>
    </xf>
    <xf numFmtId="165" fontId="12" fillId="0" borderId="38" xfId="6" applyNumberFormat="1" applyFont="1" applyBorder="1" applyAlignment="1">
      <alignment horizontal="right" vertical="center" wrapText="1" indent="2"/>
    </xf>
    <xf numFmtId="165" fontId="12" fillId="0" borderId="0" xfId="6" applyNumberFormat="1" applyFont="1" applyBorder="1" applyAlignment="1">
      <alignment horizontal="right" vertical="center" wrapText="1" indent="2"/>
    </xf>
    <xf numFmtId="165" fontId="12" fillId="0" borderId="42" xfId="6" applyNumberFormat="1" applyFont="1" applyBorder="1" applyAlignment="1">
      <alignment horizontal="right" vertical="center" wrapText="1" indent="2"/>
    </xf>
    <xf numFmtId="165" fontId="40" fillId="4" borderId="42" xfId="6" applyNumberFormat="1" applyFont="1" applyFill="1" applyBorder="1" applyAlignment="1">
      <alignment horizontal="right" indent="2"/>
    </xf>
    <xf numFmtId="165" fontId="36" fillId="0" borderId="0" xfId="6" applyNumberFormat="1" applyFont="1" applyFill="1" applyBorder="1" applyAlignment="1"/>
    <xf numFmtId="0" fontId="12" fillId="4" borderId="18" xfId="4" applyFont="1" applyFill="1" applyBorder="1"/>
    <xf numFmtId="3" fontId="40" fillId="4" borderId="46" xfId="4" applyNumberFormat="1" applyFont="1" applyFill="1" applyBorder="1" applyAlignment="1">
      <alignment horizontal="right" indent="2"/>
    </xf>
    <xf numFmtId="3" fontId="40" fillId="4" borderId="47" xfId="4" applyNumberFormat="1" applyFont="1" applyFill="1" applyBorder="1" applyAlignment="1">
      <alignment horizontal="right" indent="2"/>
    </xf>
    <xf numFmtId="3" fontId="40" fillId="4" borderId="48" xfId="4" applyNumberFormat="1" applyFont="1" applyFill="1" applyBorder="1" applyAlignment="1">
      <alignment horizontal="right" indent="2"/>
    </xf>
    <xf numFmtId="3" fontId="54" fillId="0" borderId="11" xfId="4" applyNumberFormat="1" applyFont="1" applyBorder="1" applyAlignment="1">
      <alignment horizontal="right" vertical="center" wrapText="1" indent="2"/>
    </xf>
    <xf numFmtId="0" fontId="38" fillId="4" borderId="62" xfId="4" applyFont="1" applyFill="1" applyBorder="1" applyAlignment="1">
      <alignment horizontal="right"/>
    </xf>
    <xf numFmtId="3" fontId="84" fillId="4" borderId="47" xfId="4" applyNumberFormat="1" applyFont="1" applyFill="1" applyBorder="1" applyAlignment="1">
      <alignment horizontal="right" indent="2"/>
    </xf>
    <xf numFmtId="0" fontId="12" fillId="4" borderId="53" xfId="4" applyFont="1" applyFill="1" applyBorder="1"/>
    <xf numFmtId="3" fontId="12" fillId="4" borderId="42" xfId="4" applyNumberFormat="1" applyFont="1" applyFill="1" applyBorder="1" applyAlignment="1">
      <alignment horizontal="right" indent="2"/>
    </xf>
    <xf numFmtId="0" fontId="10" fillId="7" borderId="43" xfId="4" applyFont="1" applyFill="1" applyBorder="1" applyAlignment="1">
      <alignment horizontal="left" vertical="center"/>
    </xf>
    <xf numFmtId="0" fontId="70" fillId="7" borderId="16" xfId="4" applyFont="1" applyFill="1" applyBorder="1" applyAlignment="1">
      <alignment horizontal="right"/>
    </xf>
    <xf numFmtId="3" fontId="70" fillId="7" borderId="14" xfId="4" applyNumberFormat="1" applyFont="1" applyFill="1" applyBorder="1" applyAlignment="1">
      <alignment horizontal="right" indent="2"/>
    </xf>
    <xf numFmtId="3" fontId="70" fillId="7" borderId="12" xfId="4" applyNumberFormat="1" applyFont="1" applyFill="1" applyBorder="1" applyAlignment="1">
      <alignment horizontal="right" indent="2"/>
    </xf>
    <xf numFmtId="3" fontId="70" fillId="7" borderId="15" xfId="4" applyNumberFormat="1" applyFont="1" applyFill="1" applyBorder="1" applyAlignment="1">
      <alignment horizontal="right" indent="2"/>
    </xf>
    <xf numFmtId="0" fontId="10" fillId="7" borderId="18" xfId="4" applyFont="1" applyFill="1" applyBorder="1" applyAlignment="1">
      <alignment horizontal="center" vertical="center" textRotation="90" wrapText="1"/>
    </xf>
    <xf numFmtId="0" fontId="70" fillId="7" borderId="11" xfId="4" applyFont="1" applyFill="1" applyBorder="1" applyAlignment="1">
      <alignment horizontal="right"/>
    </xf>
    <xf numFmtId="3" fontId="40" fillId="7" borderId="23" xfId="4" applyNumberFormat="1" applyFont="1" applyFill="1" applyBorder="1" applyAlignment="1">
      <alignment horizontal="right" indent="2"/>
    </xf>
    <xf numFmtId="3" fontId="40" fillId="7" borderId="24" xfId="4" applyNumberFormat="1" applyFont="1" applyFill="1" applyBorder="1" applyAlignment="1">
      <alignment horizontal="right" indent="2"/>
    </xf>
    <xf numFmtId="3" fontId="40" fillId="7" borderId="25" xfId="4" applyNumberFormat="1" applyFont="1" applyFill="1" applyBorder="1" applyAlignment="1">
      <alignment horizontal="right" indent="2"/>
    </xf>
    <xf numFmtId="3" fontId="40" fillId="7" borderId="8" xfId="4" applyNumberFormat="1" applyFont="1" applyFill="1" applyBorder="1" applyAlignment="1">
      <alignment horizontal="right" indent="2"/>
    </xf>
    <xf numFmtId="0" fontId="10" fillId="7" borderId="18" xfId="4" applyFont="1" applyFill="1" applyBorder="1" applyAlignment="1">
      <alignment horizontal="center" vertical="center" textRotation="90"/>
    </xf>
    <xf numFmtId="3" fontId="70" fillId="7" borderId="23" xfId="4" applyNumberFormat="1" applyFont="1" applyFill="1" applyBorder="1" applyAlignment="1">
      <alignment horizontal="right" indent="2"/>
    </xf>
    <xf numFmtId="3" fontId="70" fillId="7" borderId="24" xfId="4" applyNumberFormat="1" applyFont="1" applyFill="1" applyBorder="1" applyAlignment="1">
      <alignment horizontal="right" indent="2"/>
    </xf>
    <xf numFmtId="3" fontId="70" fillId="7" borderId="25" xfId="4" applyNumberFormat="1" applyFont="1" applyFill="1" applyBorder="1" applyAlignment="1">
      <alignment horizontal="right" indent="2"/>
    </xf>
    <xf numFmtId="3" fontId="70" fillId="7" borderId="8" xfId="4" applyNumberFormat="1" applyFont="1" applyFill="1" applyBorder="1" applyAlignment="1">
      <alignment horizontal="right" indent="2"/>
    </xf>
    <xf numFmtId="0" fontId="10" fillId="7" borderId="53" xfId="4" applyFont="1" applyFill="1" applyBorder="1" applyAlignment="1">
      <alignment horizontal="center" vertical="center" textRotation="90" wrapText="1"/>
    </xf>
    <xf numFmtId="0" fontId="70" fillId="7" borderId="38" xfId="4" applyFont="1" applyFill="1" applyBorder="1" applyAlignment="1">
      <alignment horizontal="right"/>
    </xf>
    <xf numFmtId="3" fontId="70" fillId="7" borderId="35" xfId="4" applyNumberFormat="1" applyFont="1" applyFill="1" applyBorder="1" applyAlignment="1">
      <alignment horizontal="right" indent="2"/>
    </xf>
    <xf numFmtId="3" fontId="70" fillId="7" borderId="36" xfId="4" applyNumberFormat="1" applyFont="1" applyFill="1" applyBorder="1" applyAlignment="1">
      <alignment horizontal="right" indent="2"/>
    </xf>
    <xf numFmtId="3" fontId="70" fillId="7" borderId="37" xfId="4" applyNumberFormat="1" applyFont="1" applyFill="1" applyBorder="1" applyAlignment="1">
      <alignment horizontal="right" indent="2"/>
    </xf>
    <xf numFmtId="3" fontId="70" fillId="7" borderId="41" xfId="4" applyNumberFormat="1" applyFont="1" applyFill="1" applyBorder="1" applyAlignment="1">
      <alignment horizontal="right" indent="2"/>
    </xf>
    <xf numFmtId="165" fontId="36" fillId="0" borderId="10" xfId="6" applyNumberFormat="1" applyFont="1" applyFill="1" applyBorder="1" applyAlignment="1">
      <alignment horizontal="right" indent="2"/>
    </xf>
    <xf numFmtId="165" fontId="49" fillId="0" borderId="0" xfId="6" applyNumberFormat="1" applyFont="1" applyFill="1" applyBorder="1" applyAlignment="1">
      <alignment horizontal="right"/>
    </xf>
    <xf numFmtId="165" fontId="36" fillId="0" borderId="18" xfId="6" applyNumberFormat="1" applyFont="1" applyFill="1" applyBorder="1" applyAlignment="1">
      <alignment horizontal="right" indent="2"/>
    </xf>
    <xf numFmtId="165" fontId="36" fillId="0" borderId="0" xfId="6" applyNumberFormat="1" applyFont="1" applyFill="1" applyBorder="1" applyAlignment="1">
      <alignment horizontal="right" indent="2"/>
    </xf>
    <xf numFmtId="3" fontId="12" fillId="15" borderId="17" xfId="4" applyNumberFormat="1" applyFont="1" applyFill="1" applyBorder="1" applyAlignment="1">
      <alignment horizontal="right"/>
    </xf>
    <xf numFmtId="3" fontId="12" fillId="15" borderId="62" xfId="4" applyNumberFormat="1" applyFont="1" applyFill="1" applyBorder="1" applyAlignment="1">
      <alignment horizontal="right"/>
    </xf>
    <xf numFmtId="3" fontId="12" fillId="15" borderId="46" xfId="4" applyNumberFormat="1" applyFont="1" applyFill="1" applyBorder="1" applyAlignment="1">
      <alignment horizontal="right" indent="2"/>
    </xf>
    <xf numFmtId="3" fontId="12" fillId="15" borderId="48" xfId="4" applyNumberFormat="1" applyFont="1" applyFill="1" applyBorder="1" applyAlignment="1">
      <alignment horizontal="right" indent="2"/>
    </xf>
    <xf numFmtId="3" fontId="12" fillId="15" borderId="79" xfId="4" applyNumberFormat="1" applyFont="1" applyFill="1" applyBorder="1" applyAlignment="1">
      <alignment horizontal="right" indent="2"/>
    </xf>
    <xf numFmtId="165" fontId="21" fillId="15" borderId="21" xfId="6" applyNumberFormat="1" applyFont="1" applyFill="1" applyBorder="1" applyAlignment="1">
      <alignment horizontal="right"/>
    </xf>
    <xf numFmtId="165" fontId="21" fillId="15" borderId="22" xfId="6" applyNumberFormat="1" applyFont="1" applyFill="1" applyBorder="1" applyAlignment="1">
      <alignment horizontal="right"/>
    </xf>
    <xf numFmtId="165" fontId="21" fillId="15" borderId="23" xfId="6" applyNumberFormat="1" applyFont="1" applyFill="1" applyBorder="1" applyAlignment="1">
      <alignment horizontal="right" indent="2"/>
    </xf>
    <xf numFmtId="165" fontId="21" fillId="15" borderId="24" xfId="6" applyNumberFormat="1" applyFont="1" applyFill="1" applyBorder="1" applyAlignment="1">
      <alignment horizontal="right" indent="2"/>
    </xf>
    <xf numFmtId="165" fontId="21" fillId="15" borderId="25" xfId="6" applyNumberFormat="1" applyFont="1" applyFill="1" applyBorder="1" applyAlignment="1">
      <alignment horizontal="right" indent="2"/>
    </xf>
    <xf numFmtId="165" fontId="21" fillId="15" borderId="63" xfId="6" applyNumberFormat="1" applyFont="1" applyFill="1" applyBorder="1" applyAlignment="1">
      <alignment horizontal="right" indent="2"/>
    </xf>
    <xf numFmtId="165" fontId="85" fillId="0" borderId="0" xfId="6" applyNumberFormat="1" applyFont="1" applyFill="1" applyBorder="1" applyAlignment="1">
      <alignment horizontal="right" indent="2"/>
    </xf>
    <xf numFmtId="165" fontId="12" fillId="15" borderId="21" xfId="6" applyNumberFormat="1" applyFont="1" applyFill="1" applyBorder="1" applyAlignment="1">
      <alignment horizontal="right"/>
    </xf>
    <xf numFmtId="165" fontId="12" fillId="15" borderId="22" xfId="6" applyNumberFormat="1" applyFont="1" applyFill="1" applyBorder="1" applyAlignment="1">
      <alignment horizontal="right"/>
    </xf>
    <xf numFmtId="165" fontId="12" fillId="15" borderId="23" xfId="6" applyNumberFormat="1" applyFont="1" applyFill="1" applyBorder="1" applyAlignment="1">
      <alignment horizontal="right" indent="2"/>
    </xf>
    <xf numFmtId="165" fontId="12" fillId="15" borderId="24" xfId="6" applyNumberFormat="1" applyFont="1" applyFill="1" applyBorder="1" applyAlignment="1">
      <alignment horizontal="right" indent="2"/>
    </xf>
    <xf numFmtId="165" fontId="12" fillId="15" borderId="25" xfId="6" applyNumberFormat="1" applyFont="1" applyFill="1" applyBorder="1" applyAlignment="1">
      <alignment horizontal="right" indent="2"/>
    </xf>
    <xf numFmtId="165" fontId="12" fillId="15" borderId="63" xfId="6" applyNumberFormat="1" applyFont="1" applyFill="1" applyBorder="1" applyAlignment="1">
      <alignment horizontal="right" indent="2"/>
    </xf>
    <xf numFmtId="3" fontId="12" fillId="15" borderId="21" xfId="6" applyNumberFormat="1" applyFont="1" applyFill="1" applyBorder="1" applyAlignment="1">
      <alignment horizontal="right"/>
    </xf>
    <xf numFmtId="3" fontId="12" fillId="15" borderId="22" xfId="6" applyNumberFormat="1" applyFont="1" applyFill="1" applyBorder="1" applyAlignment="1">
      <alignment horizontal="right"/>
    </xf>
    <xf numFmtId="3" fontId="12" fillId="15" borderId="23" xfId="6" applyNumberFormat="1" applyFont="1" applyFill="1" applyBorder="1" applyAlignment="1">
      <alignment horizontal="right" indent="2"/>
    </xf>
    <xf numFmtId="3" fontId="12" fillId="15" borderId="24" xfId="6" applyNumberFormat="1" applyFont="1" applyFill="1" applyBorder="1" applyAlignment="1">
      <alignment horizontal="right" indent="2"/>
    </xf>
    <xf numFmtId="3" fontId="12" fillId="15" borderId="25" xfId="6" applyNumberFormat="1" applyFont="1" applyFill="1" applyBorder="1" applyAlignment="1">
      <alignment horizontal="right" indent="2"/>
    </xf>
    <xf numFmtId="3" fontId="12" fillId="15" borderId="63" xfId="6" applyNumberFormat="1" applyFont="1" applyFill="1" applyBorder="1" applyAlignment="1">
      <alignment horizontal="right" indent="2"/>
    </xf>
    <xf numFmtId="3" fontId="12" fillId="15" borderId="33" xfId="4" applyNumberFormat="1" applyFont="1" applyFill="1" applyBorder="1" applyAlignment="1">
      <alignment horizontal="right"/>
    </xf>
    <xf numFmtId="3" fontId="12" fillId="15" borderId="34" xfId="4" applyNumberFormat="1" applyFont="1" applyFill="1" applyBorder="1" applyAlignment="1">
      <alignment horizontal="right"/>
    </xf>
    <xf numFmtId="3" fontId="12" fillId="15" borderId="35" xfId="4" applyNumberFormat="1" applyFont="1" applyFill="1" applyBorder="1" applyAlignment="1">
      <alignment horizontal="right" indent="2"/>
    </xf>
    <xf numFmtId="3" fontId="12" fillId="15" borderId="36" xfId="4" applyNumberFormat="1" applyFont="1" applyFill="1" applyBorder="1" applyAlignment="1">
      <alignment horizontal="right" indent="2"/>
    </xf>
    <xf numFmtId="3" fontId="12" fillId="15" borderId="37" xfId="4" applyNumberFormat="1" applyFont="1" applyFill="1" applyBorder="1" applyAlignment="1">
      <alignment horizontal="right" indent="2"/>
    </xf>
    <xf numFmtId="3" fontId="12" fillId="15" borderId="64" xfId="4" applyNumberFormat="1" applyFont="1" applyFill="1" applyBorder="1" applyAlignment="1">
      <alignment horizontal="right" indent="2"/>
    </xf>
    <xf numFmtId="3" fontId="3" fillId="0" borderId="4" xfId="0" applyNumberFormat="1" applyFont="1" applyBorder="1" applyAlignment="1">
      <alignment horizontal="center" vertical="center" wrapText="1"/>
    </xf>
    <xf numFmtId="3" fontId="0" fillId="4" borderId="6" xfId="0" applyNumberFormat="1" applyFill="1" applyBorder="1" applyAlignment="1">
      <alignment horizontal="center"/>
    </xf>
    <xf numFmtId="3" fontId="8" fillId="0" borderId="0" xfId="0" applyNumberFormat="1" applyFont="1" applyAlignment="1">
      <alignment horizontal="center"/>
    </xf>
    <xf numFmtId="1" fontId="3" fillId="4" borderId="4" xfId="0" applyNumberFormat="1" applyFont="1" applyFill="1" applyBorder="1" applyAlignment="1">
      <alignment horizontal="center" vertical="center"/>
    </xf>
    <xf numFmtId="1" fontId="3" fillId="0" borderId="0" xfId="0" applyNumberFormat="1" applyFont="1" applyAlignment="1">
      <alignment horizontal="right" vertical="center"/>
    </xf>
    <xf numFmtId="1" fontId="0" fillId="0" borderId="0" xfId="0" applyNumberFormat="1" applyAlignment="1">
      <alignment horizontal="right"/>
    </xf>
    <xf numFmtId="3" fontId="0" fillId="0" borderId="0" xfId="0" applyNumberFormat="1" applyAlignment="1">
      <alignment horizontal="center" vertical="center"/>
    </xf>
    <xf numFmtId="3" fontId="0" fillId="4" borderId="4" xfId="0" quotePrefix="1" applyNumberFormat="1" applyFill="1" applyBorder="1" applyAlignment="1">
      <alignment horizontal="center" vertical="center"/>
    </xf>
    <xf numFmtId="3" fontId="0" fillId="0" borderId="4" xfId="0" applyNumberFormat="1" applyBorder="1" applyAlignment="1">
      <alignment horizontal="center"/>
    </xf>
    <xf numFmtId="3" fontId="0" fillId="0" borderId="4" xfId="0" applyNumberFormat="1" applyBorder="1" applyAlignment="1">
      <alignment horizontal="center" vertical="center"/>
    </xf>
    <xf numFmtId="166" fontId="53" fillId="0" borderId="4" xfId="0" applyNumberFormat="1" applyFont="1" applyBorder="1" applyAlignment="1">
      <alignment horizontal="center"/>
    </xf>
    <xf numFmtId="0" fontId="53" fillId="0" borderId="4" xfId="0" applyFont="1" applyBorder="1" applyAlignment="1">
      <alignment horizontal="center"/>
    </xf>
    <xf numFmtId="3" fontId="56" fillId="0" borderId="0" xfId="0" applyNumberFormat="1" applyFont="1" applyAlignment="1">
      <alignment horizontal="right"/>
    </xf>
    <xf numFmtId="166" fontId="56" fillId="0" borderId="0" xfId="0" applyNumberFormat="1" applyFont="1"/>
    <xf numFmtId="3" fontId="86" fillId="0" borderId="0" xfId="0" applyNumberFormat="1" applyFont="1"/>
    <xf numFmtId="166" fontId="86" fillId="0" borderId="0" xfId="0" applyNumberFormat="1" applyFont="1"/>
    <xf numFmtId="3" fontId="12" fillId="4" borderId="5" xfId="0" applyNumberFormat="1" applyFont="1" applyFill="1" applyBorder="1" applyAlignment="1">
      <alignment horizontal="center" vertical="center" wrapText="1"/>
    </xf>
    <xf numFmtId="3" fontId="12" fillId="0" borderId="11" xfId="0" applyNumberFormat="1" applyFont="1" applyBorder="1" applyAlignment="1">
      <alignment horizontal="right" vertical="center"/>
    </xf>
    <xf numFmtId="3" fontId="0" fillId="0" borderId="11" xfId="0" applyNumberFormat="1" applyBorder="1" applyAlignment="1">
      <alignment horizontal="right" vertical="center"/>
    </xf>
    <xf numFmtId="166" fontId="53" fillId="4" borderId="5" xfId="0" applyNumberFormat="1" applyFont="1" applyFill="1" applyBorder="1" applyAlignment="1">
      <alignment horizontal="center" vertical="center" wrapText="1"/>
    </xf>
    <xf numFmtId="3" fontId="53" fillId="4" borderId="5" xfId="0" applyNumberFormat="1" applyFont="1" applyFill="1" applyBorder="1" applyAlignment="1">
      <alignment horizontal="center" vertical="center" wrapText="1"/>
    </xf>
    <xf numFmtId="3" fontId="56" fillId="0" borderId="4" xfId="0" applyNumberFormat="1" applyFont="1" applyBorder="1"/>
    <xf numFmtId="3" fontId="56" fillId="0" borderId="0" xfId="0" applyNumberFormat="1" applyFont="1" applyAlignment="1">
      <alignment horizontal="right" vertical="center"/>
    </xf>
    <xf numFmtId="166" fontId="53" fillId="4" borderId="4" xfId="0" applyNumberFormat="1" applyFont="1" applyFill="1" applyBorder="1" applyAlignment="1">
      <alignment horizontal="center" vertical="center" wrapText="1"/>
    </xf>
    <xf numFmtId="3" fontId="12" fillId="4" borderId="4" xfId="0" applyNumberFormat="1" applyFont="1" applyFill="1" applyBorder="1" applyAlignment="1">
      <alignment horizontal="center" vertical="center" wrapText="1"/>
    </xf>
    <xf numFmtId="3" fontId="4" fillId="0" borderId="4" xfId="3" applyNumberFormat="1" applyBorder="1" applyAlignment="1">
      <alignment horizontal="center" vertical="center"/>
    </xf>
    <xf numFmtId="166" fontId="56" fillId="0" borderId="43" xfId="0" applyNumberFormat="1" applyFont="1" applyBorder="1" applyAlignment="1">
      <alignment horizontal="center" vertical="center"/>
    </xf>
    <xf numFmtId="3" fontId="0" fillId="6" borderId="14" xfId="0" applyNumberFormat="1" applyFill="1" applyBorder="1" applyAlignment="1">
      <alignment vertical="center" wrapText="1"/>
    </xf>
    <xf numFmtId="3" fontId="0" fillId="6" borderId="12" xfId="0" applyNumberFormat="1" applyFill="1" applyBorder="1" applyAlignment="1">
      <alignment vertical="center" wrapText="1"/>
    </xf>
    <xf numFmtId="3" fontId="0" fillId="6" borderId="70" xfId="0" applyNumberFormat="1" applyFill="1" applyBorder="1" applyAlignment="1">
      <alignment vertical="center" wrapText="1"/>
    </xf>
    <xf numFmtId="3" fontId="3" fillId="0" borderId="18" xfId="0" applyNumberFormat="1" applyFont="1" applyBorder="1" applyAlignment="1">
      <alignment horizontal="left" vertical="center"/>
    </xf>
    <xf numFmtId="3" fontId="0" fillId="6" borderId="13" xfId="0" applyNumberFormat="1" applyFill="1" applyBorder="1"/>
    <xf numFmtId="166" fontId="56" fillId="6" borderId="69" xfId="0" applyNumberFormat="1" applyFont="1" applyFill="1" applyBorder="1" applyAlignment="1">
      <alignment vertical="center" wrapText="1"/>
    </xf>
    <xf numFmtId="3" fontId="56" fillId="6" borderId="70" xfId="0" applyNumberFormat="1" applyFont="1" applyFill="1" applyBorder="1" applyAlignment="1">
      <alignment vertical="center" wrapText="1"/>
    </xf>
    <xf numFmtId="3" fontId="56" fillId="0" borderId="44" xfId="0" applyNumberFormat="1" applyFont="1" applyBorder="1"/>
    <xf numFmtId="3" fontId="67" fillId="0" borderId="18" xfId="0" applyNumberFormat="1" applyFont="1" applyBorder="1" applyAlignment="1">
      <alignment horizontal="left" vertical="center"/>
    </xf>
    <xf numFmtId="166" fontId="56" fillId="6" borderId="17" xfId="0" applyNumberFormat="1" applyFont="1" applyFill="1" applyBorder="1" applyAlignment="1">
      <alignment vertical="center" wrapText="1"/>
    </xf>
    <xf numFmtId="166" fontId="56" fillId="6" borderId="65" xfId="0" applyNumberFormat="1" applyFont="1" applyFill="1" applyBorder="1" applyAlignment="1">
      <alignment vertical="center" wrapText="1"/>
    </xf>
    <xf numFmtId="166" fontId="56" fillId="0" borderId="69" xfId="0" applyNumberFormat="1" applyFont="1" applyBorder="1" applyAlignment="1">
      <alignment vertical="center" wrapText="1"/>
    </xf>
    <xf numFmtId="3" fontId="56" fillId="0" borderId="70" xfId="0" applyNumberFormat="1" applyFont="1" applyBorder="1" applyAlignment="1">
      <alignment vertical="center" wrapText="1"/>
    </xf>
    <xf numFmtId="3" fontId="67" fillId="0" borderId="0" xfId="0" applyNumberFormat="1" applyFont="1" applyAlignment="1">
      <alignment horizontal="left" vertical="center"/>
    </xf>
    <xf numFmtId="166" fontId="56" fillId="0" borderId="44" xfId="0" applyNumberFormat="1" applyFont="1" applyBorder="1" applyAlignment="1">
      <alignment horizontal="center" vertical="center"/>
    </xf>
    <xf numFmtId="166" fontId="56" fillId="0" borderId="16" xfId="0" applyNumberFormat="1" applyFont="1" applyBorder="1" applyAlignment="1">
      <alignment horizontal="center" vertical="center"/>
    </xf>
    <xf numFmtId="4" fontId="0" fillId="6" borderId="23" xfId="0" applyNumberFormat="1" applyFill="1" applyBorder="1" applyAlignment="1">
      <alignment horizontal="right" indent="2"/>
    </xf>
    <xf numFmtId="4" fontId="0" fillId="6" borderId="24" xfId="0" applyNumberFormat="1" applyFill="1" applyBorder="1" applyAlignment="1">
      <alignment horizontal="right" indent="2"/>
    </xf>
    <xf numFmtId="4" fontId="0" fillId="6" borderId="25" xfId="0" applyNumberFormat="1" applyFill="1" applyBorder="1" applyAlignment="1">
      <alignment horizontal="right" indent="2"/>
    </xf>
    <xf numFmtId="4" fontId="0" fillId="0" borderId="18" xfId="0" applyNumberFormat="1" applyBorder="1" applyAlignment="1">
      <alignment horizontal="right"/>
    </xf>
    <xf numFmtId="4" fontId="0" fillId="6" borderId="22" xfId="0" applyNumberFormat="1" applyFill="1" applyBorder="1" applyAlignment="1">
      <alignment horizontal="right" indent="2"/>
    </xf>
    <xf numFmtId="166" fontId="56" fillId="6" borderId="24" xfId="0" applyNumberFormat="1" applyFont="1" applyFill="1" applyBorder="1" applyAlignment="1">
      <alignment horizontal="right" indent="2"/>
    </xf>
    <xf numFmtId="4" fontId="56" fillId="6" borderId="25" xfId="0" applyNumberFormat="1" applyFont="1" applyFill="1" applyBorder="1" applyAlignment="1">
      <alignment horizontal="right" indent="2"/>
    </xf>
    <xf numFmtId="4" fontId="56" fillId="0" borderId="18" xfId="0" applyNumberFormat="1" applyFont="1" applyBorder="1" applyAlignment="1">
      <alignment horizontal="right"/>
    </xf>
    <xf numFmtId="166" fontId="56" fillId="6" borderId="25" xfId="0" applyNumberFormat="1" applyFont="1" applyFill="1" applyBorder="1" applyAlignment="1">
      <alignment horizontal="right" indent="2"/>
    </xf>
    <xf numFmtId="4" fontId="0" fillId="6" borderId="11" xfId="0" applyNumberFormat="1" applyFill="1" applyBorder="1" applyAlignment="1">
      <alignment horizontal="right" indent="2"/>
    </xf>
    <xf numFmtId="3" fontId="56" fillId="0" borderId="11" xfId="0" applyNumberFormat="1" applyFont="1" applyBorder="1" applyAlignment="1">
      <alignment horizontal="left"/>
    </xf>
    <xf numFmtId="4" fontId="56" fillId="0" borderId="0" xfId="0" applyNumberFormat="1" applyFont="1" applyAlignment="1">
      <alignment horizontal="right"/>
    </xf>
    <xf numFmtId="166" fontId="56" fillId="6" borderId="21" xfId="0" applyNumberFormat="1" applyFont="1" applyFill="1" applyBorder="1" applyAlignment="1">
      <alignment horizontal="right" indent="2"/>
    </xf>
    <xf numFmtId="166" fontId="56" fillId="0" borderId="0" xfId="0" applyNumberFormat="1" applyFont="1" applyAlignment="1">
      <alignment horizontal="left"/>
    </xf>
    <xf numFmtId="4" fontId="56" fillId="6" borderId="22" xfId="0" applyNumberFormat="1" applyFont="1" applyFill="1" applyBorder="1" applyAlignment="1">
      <alignment horizontal="right" indent="2"/>
    </xf>
    <xf numFmtId="166" fontId="56" fillId="0" borderId="0" xfId="0" applyNumberFormat="1" applyFont="1" applyAlignment="1">
      <alignment horizontal="right" indent="2"/>
    </xf>
    <xf numFmtId="4" fontId="0" fillId="6" borderId="35" xfId="0" applyNumberFormat="1" applyFill="1" applyBorder="1" applyAlignment="1">
      <alignment horizontal="right" indent="2"/>
    </xf>
    <xf numFmtId="4" fontId="0" fillId="6" borderId="36" xfId="0" applyNumberFormat="1" applyFill="1" applyBorder="1" applyAlignment="1">
      <alignment horizontal="right" indent="2"/>
    </xf>
    <xf numFmtId="4" fontId="0" fillId="6" borderId="37" xfId="0" applyNumberFormat="1" applyFill="1" applyBorder="1" applyAlignment="1">
      <alignment horizontal="right" indent="2"/>
    </xf>
    <xf numFmtId="4" fontId="0" fillId="6" borderId="34" xfId="0" applyNumberFormat="1" applyFill="1" applyBorder="1" applyAlignment="1">
      <alignment horizontal="right" indent="2"/>
    </xf>
    <xf numFmtId="166" fontId="56" fillId="6" borderId="36" xfId="0" applyNumberFormat="1" applyFont="1" applyFill="1" applyBorder="1" applyAlignment="1">
      <alignment horizontal="right" indent="2"/>
    </xf>
    <xf numFmtId="4" fontId="56" fillId="6" borderId="37" xfId="0" applyNumberFormat="1" applyFont="1" applyFill="1" applyBorder="1" applyAlignment="1">
      <alignment horizontal="right" indent="2"/>
    </xf>
    <xf numFmtId="3" fontId="56" fillId="0" borderId="42" xfId="0" applyNumberFormat="1" applyFont="1" applyBorder="1"/>
    <xf numFmtId="166" fontId="56" fillId="6" borderId="37" xfId="0" applyNumberFormat="1" applyFont="1" applyFill="1" applyBorder="1" applyAlignment="1">
      <alignment horizontal="right" indent="2"/>
    </xf>
    <xf numFmtId="4" fontId="0" fillId="6" borderId="38" xfId="0" applyNumberFormat="1" applyFill="1" applyBorder="1" applyAlignment="1">
      <alignment horizontal="right" indent="2"/>
    </xf>
    <xf numFmtId="166" fontId="56" fillId="6" borderId="33" xfId="0" applyNumberFormat="1" applyFont="1" applyFill="1" applyBorder="1" applyAlignment="1">
      <alignment horizontal="right" indent="2"/>
    </xf>
    <xf numFmtId="166" fontId="56" fillId="0" borderId="42" xfId="0" applyNumberFormat="1" applyFont="1" applyBorder="1" applyAlignment="1">
      <alignment horizontal="right" indent="2"/>
    </xf>
    <xf numFmtId="4" fontId="56" fillId="6" borderId="34" xfId="0" applyNumberFormat="1" applyFont="1" applyFill="1" applyBorder="1" applyAlignment="1">
      <alignment horizontal="right" indent="2"/>
    </xf>
    <xf numFmtId="3" fontId="3" fillId="0" borderId="0" xfId="0" applyNumberFormat="1" applyFont="1" applyAlignment="1">
      <alignment horizontal="left" vertical="center"/>
    </xf>
    <xf numFmtId="166" fontId="56" fillId="0" borderId="20" xfId="0" applyNumberFormat="1" applyFont="1" applyBorder="1" applyAlignment="1">
      <alignment horizontal="right" indent="2"/>
    </xf>
    <xf numFmtId="3" fontId="56" fillId="0" borderId="80" xfId="0" applyNumberFormat="1" applyFont="1" applyBorder="1" applyAlignment="1">
      <alignment horizontal="right" indent="2"/>
    </xf>
    <xf numFmtId="166" fontId="56" fillId="0" borderId="43" xfId="0" applyNumberFormat="1" applyFont="1" applyBorder="1" applyAlignment="1">
      <alignment horizontal="right" indent="2"/>
    </xf>
    <xf numFmtId="166" fontId="56" fillId="0" borderId="80" xfId="0" applyNumberFormat="1" applyFont="1" applyBorder="1" applyAlignment="1">
      <alignment horizontal="right" indent="2"/>
    </xf>
    <xf numFmtId="166" fontId="56" fillId="0" borderId="49" xfId="0" applyNumberFormat="1" applyFont="1" applyBorder="1" applyAlignment="1">
      <alignment horizontal="right" indent="2"/>
    </xf>
    <xf numFmtId="3" fontId="56" fillId="0" borderId="52" xfId="0" applyNumberFormat="1" applyFont="1" applyBorder="1" applyAlignment="1">
      <alignment horizontal="right" indent="2"/>
    </xf>
    <xf numFmtId="166" fontId="56" fillId="0" borderId="57" xfId="0" applyNumberFormat="1" applyFont="1" applyBorder="1" applyAlignment="1">
      <alignment horizontal="center" vertical="center"/>
    </xf>
    <xf numFmtId="166" fontId="56" fillId="0" borderId="86" xfId="0" applyNumberFormat="1" applyFont="1" applyBorder="1" applyAlignment="1">
      <alignment horizontal="center" vertical="center"/>
    </xf>
    <xf numFmtId="4" fontId="0" fillId="4" borderId="46" xfId="0" applyNumberFormat="1" applyFill="1" applyBorder="1" applyAlignment="1">
      <alignment horizontal="right" indent="2"/>
    </xf>
    <xf numFmtId="4" fontId="0" fillId="4" borderId="30" xfId="0" applyNumberFormat="1" applyFill="1" applyBorder="1" applyAlignment="1">
      <alignment horizontal="right" indent="2"/>
    </xf>
    <xf numFmtId="4" fontId="0" fillId="4" borderId="11" xfId="0" applyNumberFormat="1" applyFill="1" applyBorder="1" applyAlignment="1">
      <alignment horizontal="right" indent="2"/>
    </xf>
    <xf numFmtId="4" fontId="0" fillId="0" borderId="0" xfId="0" applyNumberFormat="1" applyAlignment="1">
      <alignment horizontal="right"/>
    </xf>
    <xf numFmtId="4" fontId="0" fillId="4" borderId="24" xfId="0" applyNumberFormat="1" applyFill="1" applyBorder="1" applyAlignment="1">
      <alignment horizontal="right" indent="2"/>
    </xf>
    <xf numFmtId="166" fontId="56" fillId="4" borderId="47" xfId="0" applyNumberFormat="1" applyFont="1" applyFill="1" applyBorder="1" applyAlignment="1">
      <alignment horizontal="right" indent="2"/>
    </xf>
    <xf numFmtId="4" fontId="56" fillId="4" borderId="48" xfId="0" applyNumberFormat="1" applyFont="1" applyFill="1" applyBorder="1" applyAlignment="1">
      <alignment horizontal="right" indent="2"/>
    </xf>
    <xf numFmtId="3" fontId="56" fillId="0" borderId="0" xfId="0" applyNumberFormat="1" applyFont="1" applyAlignment="1">
      <alignment horizontal="left" indent="5"/>
    </xf>
    <xf numFmtId="166" fontId="56" fillId="4" borderId="48" xfId="0" applyNumberFormat="1" applyFont="1" applyFill="1" applyBorder="1" applyAlignment="1">
      <alignment horizontal="right" indent="2"/>
    </xf>
    <xf numFmtId="3" fontId="56" fillId="0" borderId="11" xfId="0" applyNumberFormat="1" applyFont="1" applyBorder="1" applyAlignment="1">
      <alignment horizontal="left" indent="5"/>
    </xf>
    <xf numFmtId="166" fontId="56" fillId="0" borderId="50" xfId="0" applyNumberFormat="1" applyFont="1" applyBorder="1" applyAlignment="1">
      <alignment horizontal="right" indent="2"/>
    </xf>
    <xf numFmtId="4" fontId="56" fillId="4" borderId="79" xfId="0" applyNumberFormat="1" applyFont="1" applyFill="1" applyBorder="1" applyAlignment="1">
      <alignment horizontal="right" indent="2"/>
    </xf>
    <xf numFmtId="4" fontId="0" fillId="4" borderId="47" xfId="0" applyNumberFormat="1" applyFill="1" applyBorder="1" applyAlignment="1">
      <alignment horizontal="right" indent="2"/>
    </xf>
    <xf numFmtId="4" fontId="0" fillId="4" borderId="10" xfId="0" applyNumberFormat="1" applyFill="1" applyBorder="1" applyAlignment="1">
      <alignment horizontal="right" indent="2"/>
    </xf>
    <xf numFmtId="4" fontId="0" fillId="4" borderId="49" xfId="0" applyNumberFormat="1" applyFill="1" applyBorder="1" applyAlignment="1">
      <alignment horizontal="right" indent="2"/>
    </xf>
    <xf numFmtId="166" fontId="56" fillId="4" borderId="49" xfId="0" applyNumberFormat="1" applyFont="1" applyFill="1" applyBorder="1" applyAlignment="1">
      <alignment horizontal="right" indent="2"/>
    </xf>
    <xf numFmtId="4" fontId="56" fillId="4" borderId="50" xfId="0" applyNumberFormat="1" applyFont="1" applyFill="1" applyBorder="1" applyAlignment="1">
      <alignment horizontal="right" indent="2"/>
    </xf>
    <xf numFmtId="166" fontId="56" fillId="4" borderId="50" xfId="0" applyNumberFormat="1" applyFont="1" applyFill="1" applyBorder="1" applyAlignment="1">
      <alignment horizontal="right" indent="2"/>
    </xf>
    <xf numFmtId="4" fontId="0" fillId="4" borderId="29" xfId="0" applyNumberFormat="1" applyFill="1" applyBorder="1" applyAlignment="1">
      <alignment horizontal="right" indent="2"/>
    </xf>
    <xf numFmtId="4" fontId="0" fillId="0" borderId="9" xfId="0" applyNumberFormat="1" applyBorder="1" applyAlignment="1">
      <alignment horizontal="right"/>
    </xf>
    <xf numFmtId="166" fontId="56" fillId="4" borderId="30" xfId="0" applyNumberFormat="1" applyFont="1" applyFill="1" applyBorder="1" applyAlignment="1">
      <alignment horizontal="right" indent="2"/>
    </xf>
    <xf numFmtId="4" fontId="56" fillId="4" borderId="31" xfId="0" applyNumberFormat="1" applyFont="1" applyFill="1" applyBorder="1" applyAlignment="1">
      <alignment horizontal="right" indent="2"/>
    </xf>
    <xf numFmtId="166" fontId="56" fillId="4" borderId="31" xfId="0" applyNumberFormat="1" applyFont="1" applyFill="1" applyBorder="1" applyAlignment="1">
      <alignment horizontal="right" indent="2"/>
    </xf>
    <xf numFmtId="4" fontId="56" fillId="4" borderId="81" xfId="0" applyNumberFormat="1" applyFont="1" applyFill="1" applyBorder="1" applyAlignment="1">
      <alignment horizontal="right" indent="2"/>
    </xf>
    <xf numFmtId="4" fontId="0" fillId="4" borderId="36" xfId="0" applyNumberFormat="1" applyFill="1" applyBorder="1" applyAlignment="1">
      <alignment horizontal="right" indent="2"/>
    </xf>
    <xf numFmtId="4" fontId="0" fillId="4" borderId="38" xfId="0" applyNumberFormat="1" applyFill="1" applyBorder="1" applyAlignment="1">
      <alignment horizontal="right" indent="2"/>
    </xf>
    <xf numFmtId="166" fontId="56" fillId="4" borderId="36" xfId="0" applyNumberFormat="1" applyFont="1" applyFill="1" applyBorder="1" applyAlignment="1">
      <alignment horizontal="right" indent="2"/>
    </xf>
    <xf numFmtId="4" fontId="56" fillId="4" borderId="37" xfId="0" applyNumberFormat="1" applyFont="1" applyFill="1" applyBorder="1" applyAlignment="1">
      <alignment horizontal="right" indent="2"/>
    </xf>
    <xf numFmtId="166" fontId="56" fillId="4" borderId="37" xfId="0" applyNumberFormat="1" applyFont="1" applyFill="1" applyBorder="1" applyAlignment="1">
      <alignment horizontal="right" indent="2"/>
    </xf>
    <xf numFmtId="166" fontId="56" fillId="4" borderId="58" xfId="0" applyNumberFormat="1" applyFont="1" applyFill="1" applyBorder="1" applyAlignment="1">
      <alignment horizontal="right" indent="2"/>
    </xf>
    <xf numFmtId="166" fontId="56" fillId="0" borderId="82" xfId="0" applyNumberFormat="1" applyFont="1" applyBorder="1" applyAlignment="1">
      <alignment horizontal="right" indent="2"/>
    </xf>
    <xf numFmtId="4" fontId="56" fillId="4" borderId="64" xfId="0" applyNumberFormat="1" applyFont="1" applyFill="1" applyBorder="1" applyAlignment="1">
      <alignment horizontal="right" indent="2"/>
    </xf>
    <xf numFmtId="4" fontId="0" fillId="0" borderId="5" xfId="0" applyNumberFormat="1" applyBorder="1" applyAlignment="1">
      <alignment horizontal="right" vertical="center" wrapText="1"/>
    </xf>
    <xf numFmtId="4" fontId="3" fillId="0" borderId="0" xfId="0" applyNumberFormat="1" applyFont="1" applyAlignment="1">
      <alignment horizontal="right"/>
    </xf>
    <xf numFmtId="4" fontId="3" fillId="0" borderId="43" xfId="0" applyNumberFormat="1" applyFont="1" applyBorder="1" applyAlignment="1">
      <alignment horizontal="center" vertical="center" wrapText="1"/>
    </xf>
    <xf numFmtId="4" fontId="0" fillId="0" borderId="16" xfId="0" applyNumberFormat="1" applyBorder="1" applyAlignment="1">
      <alignment horizontal="right" vertical="center" wrapText="1" indent="2"/>
    </xf>
    <xf numFmtId="4" fontId="3" fillId="0" borderId="0" xfId="0" applyNumberFormat="1" applyFont="1" applyAlignment="1">
      <alignment horizontal="left"/>
    </xf>
    <xf numFmtId="166" fontId="56" fillId="0" borderId="69" xfId="0" applyNumberFormat="1" applyFont="1" applyBorder="1" applyAlignment="1">
      <alignment horizontal="right" vertical="center" wrapText="1"/>
    </xf>
    <xf numFmtId="4" fontId="56" fillId="0" borderId="70" xfId="0" applyNumberFormat="1" applyFont="1" applyBorder="1" applyAlignment="1">
      <alignment horizontal="right" vertical="center" wrapText="1"/>
    </xf>
    <xf numFmtId="4" fontId="67" fillId="0" borderId="0" xfId="0" applyNumberFormat="1" applyFont="1" applyAlignment="1">
      <alignment horizontal="left"/>
    </xf>
    <xf numFmtId="166" fontId="56" fillId="0" borderId="12" xfId="0" applyNumberFormat="1" applyFont="1" applyBorder="1" applyAlignment="1">
      <alignment horizontal="right" vertical="center" wrapText="1"/>
    </xf>
    <xf numFmtId="166" fontId="56" fillId="0" borderId="70" xfId="0" applyNumberFormat="1" applyFont="1" applyBorder="1" applyAlignment="1">
      <alignment horizontal="right" vertical="center" wrapText="1"/>
    </xf>
    <xf numFmtId="166" fontId="56" fillId="0" borderId="80" xfId="0" applyNumberFormat="1" applyFont="1" applyBorder="1" applyAlignment="1">
      <alignment horizontal="right" vertical="center" wrapText="1"/>
    </xf>
    <xf numFmtId="4" fontId="0" fillId="4" borderId="23" xfId="0" applyNumberFormat="1" applyFill="1" applyBorder="1" applyAlignment="1">
      <alignment horizontal="right" indent="2"/>
    </xf>
    <xf numFmtId="4" fontId="0" fillId="4" borderId="24" xfId="0" applyNumberFormat="1" applyFill="1" applyBorder="1" applyAlignment="1">
      <alignment horizontal="right" vertical="center" wrapText="1" indent="2"/>
    </xf>
    <xf numFmtId="4" fontId="0" fillId="4" borderId="11" xfId="0" applyNumberFormat="1" applyFill="1" applyBorder="1" applyAlignment="1">
      <alignment horizontal="right" vertical="center" wrapText="1" indent="2"/>
    </xf>
    <xf numFmtId="166" fontId="56" fillId="4" borderId="24" xfId="0" applyNumberFormat="1" applyFont="1" applyFill="1" applyBorder="1" applyAlignment="1">
      <alignment horizontal="right" indent="2"/>
    </xf>
    <xf numFmtId="4" fontId="56" fillId="4" borderId="25" xfId="0" applyNumberFormat="1" applyFont="1" applyFill="1" applyBorder="1" applyAlignment="1">
      <alignment horizontal="right" indent="2"/>
    </xf>
    <xf numFmtId="166" fontId="53" fillId="4" borderId="0" xfId="0" applyNumberFormat="1" applyFont="1" applyFill="1" applyAlignment="1">
      <alignment horizontal="right" vertical="center" wrapText="1" indent="2"/>
    </xf>
    <xf numFmtId="166" fontId="53" fillId="0" borderId="0" xfId="0" applyNumberFormat="1" applyFont="1" applyAlignment="1">
      <alignment horizontal="right" vertical="center" wrapText="1" indent="2"/>
    </xf>
    <xf numFmtId="166" fontId="53" fillId="4" borderId="11" xfId="0" applyNumberFormat="1" applyFont="1" applyFill="1" applyBorder="1" applyAlignment="1">
      <alignment horizontal="right" vertical="center" wrapText="1" indent="2"/>
    </xf>
    <xf numFmtId="4" fontId="0" fillId="0" borderId="11" xfId="0" applyNumberFormat="1" applyBorder="1" applyAlignment="1">
      <alignment horizontal="right" vertical="center" wrapText="1" indent="2"/>
    </xf>
    <xf numFmtId="4" fontId="56" fillId="0" borderId="11" xfId="0" applyNumberFormat="1" applyFont="1" applyBorder="1" applyAlignment="1">
      <alignment horizontal="right" vertical="center" wrapText="1" indent="2"/>
    </xf>
    <xf numFmtId="166" fontId="56" fillId="4" borderId="25" xfId="0" applyNumberFormat="1" applyFont="1" applyFill="1" applyBorder="1" applyAlignment="1">
      <alignment horizontal="right" indent="2"/>
    </xf>
    <xf numFmtId="166" fontId="56" fillId="4" borderId="63" xfId="0" applyNumberFormat="1" applyFont="1" applyFill="1" applyBorder="1" applyAlignment="1">
      <alignment horizontal="right" indent="2"/>
    </xf>
    <xf numFmtId="4" fontId="0" fillId="4" borderId="27" xfId="0" applyNumberFormat="1" applyFill="1" applyBorder="1" applyAlignment="1">
      <alignment horizontal="right" vertical="center" wrapText="1" indent="2"/>
    </xf>
    <xf numFmtId="166" fontId="56" fillId="4" borderId="27" xfId="0" applyNumberFormat="1" applyFont="1" applyFill="1" applyBorder="1" applyAlignment="1">
      <alignment horizontal="right" indent="2"/>
    </xf>
    <xf numFmtId="4" fontId="56" fillId="4" borderId="9" xfId="0" applyNumberFormat="1" applyFont="1" applyFill="1" applyBorder="1" applyAlignment="1">
      <alignment horizontal="right" indent="2"/>
    </xf>
    <xf numFmtId="166" fontId="56" fillId="4" borderId="9" xfId="0" applyNumberFormat="1" applyFont="1" applyFill="1" applyBorder="1" applyAlignment="1">
      <alignment horizontal="right" indent="2"/>
    </xf>
    <xf numFmtId="166" fontId="56" fillId="4" borderId="28" xfId="0" applyNumberFormat="1" applyFont="1" applyFill="1" applyBorder="1" applyAlignment="1">
      <alignment horizontal="right" indent="2"/>
    </xf>
    <xf numFmtId="165" fontId="87" fillId="0" borderId="0" xfId="2" applyNumberFormat="1" applyFont="1" applyFill="1" applyBorder="1" applyAlignment="1">
      <alignment horizontal="right"/>
    </xf>
    <xf numFmtId="166" fontId="55" fillId="0" borderId="33" xfId="2" applyNumberFormat="1" applyFont="1" applyFill="1" applyBorder="1" applyAlignment="1">
      <alignment horizontal="right" indent="2"/>
    </xf>
    <xf numFmtId="165" fontId="55" fillId="0" borderId="41" xfId="2" applyNumberFormat="1" applyFont="1" applyFill="1" applyBorder="1" applyAlignment="1">
      <alignment horizontal="right" indent="2"/>
    </xf>
    <xf numFmtId="165" fontId="55" fillId="0" borderId="38" xfId="2" applyNumberFormat="1" applyFont="1" applyFill="1" applyBorder="1" applyAlignment="1">
      <alignment horizontal="right" indent="2"/>
    </xf>
    <xf numFmtId="165" fontId="88" fillId="0" borderId="0" xfId="2" applyNumberFormat="1" applyFont="1" applyFill="1" applyBorder="1" applyAlignment="1">
      <alignment horizontal="right"/>
    </xf>
    <xf numFmtId="166" fontId="55" fillId="0" borderId="41" xfId="2" applyNumberFormat="1" applyFont="1" applyFill="1" applyBorder="1" applyAlignment="1">
      <alignment horizontal="right" indent="2"/>
    </xf>
    <xf numFmtId="166" fontId="55" fillId="0" borderId="42" xfId="2" applyNumberFormat="1" applyFont="1" applyFill="1" applyBorder="1" applyAlignment="1">
      <alignment horizontal="right" indent="2"/>
    </xf>
    <xf numFmtId="166" fontId="55" fillId="0" borderId="34" xfId="2" applyNumberFormat="1" applyFont="1" applyFill="1" applyBorder="1" applyAlignment="1">
      <alignment horizontal="right" indent="2"/>
    </xf>
    <xf numFmtId="166" fontId="56" fillId="4" borderId="67" xfId="0" applyNumberFormat="1" applyFont="1" applyFill="1" applyBorder="1" applyAlignment="1">
      <alignment horizontal="right" indent="2"/>
    </xf>
    <xf numFmtId="3" fontId="56" fillId="4" borderId="68" xfId="0" applyNumberFormat="1" applyFont="1" applyFill="1" applyBorder="1" applyAlignment="1">
      <alignment horizontal="right" indent="2"/>
    </xf>
    <xf numFmtId="3" fontId="56" fillId="0" borderId="2" xfId="0" applyNumberFormat="1" applyFont="1" applyBorder="1"/>
    <xf numFmtId="3" fontId="56" fillId="0" borderId="3" xfId="0" applyNumberFormat="1" applyFont="1" applyBorder="1" applyAlignment="1">
      <alignment horizontal="right" vertical="center" wrapText="1" indent="2"/>
    </xf>
    <xf numFmtId="166" fontId="56" fillId="4" borderId="68" xfId="0" applyNumberFormat="1" applyFont="1" applyFill="1" applyBorder="1" applyAlignment="1">
      <alignment horizontal="right" indent="2"/>
    </xf>
    <xf numFmtId="3" fontId="56" fillId="0" borderId="3" xfId="0" applyNumberFormat="1" applyFont="1" applyBorder="1"/>
    <xf numFmtId="166" fontId="56" fillId="0" borderId="68" xfId="0" applyNumberFormat="1" applyFont="1" applyBorder="1" applyAlignment="1">
      <alignment horizontal="right" indent="2"/>
    </xf>
    <xf numFmtId="166" fontId="56" fillId="4" borderId="87" xfId="0" applyNumberFormat="1" applyFont="1" applyFill="1" applyBorder="1" applyAlignment="1">
      <alignment horizontal="right" indent="2"/>
    </xf>
    <xf numFmtId="3" fontId="56" fillId="0" borderId="0" xfId="0" applyNumberFormat="1" applyFont="1" applyAlignment="1">
      <alignment horizontal="right" indent="2"/>
    </xf>
    <xf numFmtId="0" fontId="11" fillId="0" borderId="5" xfId="0" applyFont="1" applyBorder="1" applyAlignment="1">
      <alignment horizontal="center" vertical="center" textRotation="90"/>
    </xf>
    <xf numFmtId="3" fontId="12" fillId="0" borderId="4" xfId="0" applyNumberFormat="1" applyFont="1" applyBorder="1" applyAlignment="1">
      <alignment horizontal="center" vertical="center" wrapText="1"/>
    </xf>
    <xf numFmtId="3" fontId="53" fillId="4" borderId="4" xfId="0" applyNumberFormat="1" applyFont="1" applyFill="1" applyBorder="1" applyAlignment="1">
      <alignment horizontal="center" vertical="center" wrapText="1"/>
    </xf>
    <xf numFmtId="3" fontId="53" fillId="0" borderId="3" xfId="0" applyNumberFormat="1" applyFont="1" applyBorder="1" applyAlignment="1">
      <alignment horizontal="center" vertical="center" wrapText="1"/>
    </xf>
    <xf numFmtId="166" fontId="53" fillId="0" borderId="5" xfId="0" applyNumberFormat="1" applyFont="1" applyBorder="1" applyAlignment="1">
      <alignment horizontal="center" vertical="center" wrapText="1"/>
    </xf>
    <xf numFmtId="0" fontId="11" fillId="0" borderId="10" xfId="0" applyFont="1" applyBorder="1" applyAlignment="1">
      <alignment horizontal="center" vertical="center" textRotation="90"/>
    </xf>
    <xf numFmtId="3" fontId="56" fillId="0" borderId="44" xfId="0" applyNumberFormat="1" applyFont="1" applyBorder="1" applyAlignment="1">
      <alignment horizontal="right" indent="2"/>
    </xf>
    <xf numFmtId="3" fontId="67" fillId="0" borderId="0" xfId="0" applyNumberFormat="1" applyFont="1" applyAlignment="1">
      <alignment horizontal="right"/>
    </xf>
    <xf numFmtId="166" fontId="56" fillId="0" borderId="44" xfId="0" applyNumberFormat="1" applyFont="1" applyBorder="1" applyAlignment="1">
      <alignment horizontal="right" indent="2"/>
    </xf>
    <xf numFmtId="166" fontId="56" fillId="0" borderId="18" xfId="0" applyNumberFormat="1" applyFont="1" applyBorder="1" applyAlignment="1">
      <alignment horizontal="right" indent="2"/>
    </xf>
    <xf numFmtId="166" fontId="56" fillId="0" borderId="16" xfId="0" applyNumberFormat="1" applyFont="1" applyBorder="1" applyAlignment="1">
      <alignment horizontal="right" indent="2"/>
    </xf>
    <xf numFmtId="169" fontId="4" fillId="0" borderId="18" xfId="3" applyNumberFormat="1" applyBorder="1" applyAlignment="1"/>
    <xf numFmtId="0" fontId="11" fillId="0" borderId="10" xfId="0" applyFont="1" applyBorder="1" applyAlignment="1">
      <alignment horizontal="left" vertical="top" textRotation="90"/>
    </xf>
    <xf numFmtId="0" fontId="0" fillId="4" borderId="6" xfId="0" applyFill="1" applyBorder="1" applyAlignment="1">
      <alignment horizontal="left" vertical="top"/>
    </xf>
    <xf numFmtId="0" fontId="8" fillId="0" borderId="10" xfId="0" applyFont="1" applyBorder="1" applyAlignment="1">
      <alignment horizontal="left" vertical="top"/>
    </xf>
    <xf numFmtId="0" fontId="0" fillId="0" borderId="0" xfId="0" applyAlignment="1">
      <alignment horizontal="left" vertical="top"/>
    </xf>
    <xf numFmtId="4" fontId="0" fillId="4" borderId="46" xfId="0" applyNumberFormat="1" applyFill="1" applyBorder="1" applyAlignment="1">
      <alignment horizontal="left" vertical="top" indent="2"/>
    </xf>
    <xf numFmtId="4" fontId="0" fillId="0" borderId="0" xfId="0" applyNumberFormat="1" applyAlignment="1">
      <alignment horizontal="left" vertical="top"/>
    </xf>
    <xf numFmtId="4" fontId="0" fillId="4" borderId="47" xfId="0" applyNumberFormat="1" applyFill="1" applyBorder="1" applyAlignment="1">
      <alignment horizontal="left" vertical="top" indent="2"/>
    </xf>
    <xf numFmtId="4" fontId="0" fillId="0" borderId="11" xfId="0" applyNumberFormat="1" applyBorder="1" applyAlignment="1">
      <alignment horizontal="left" vertical="top" wrapText="1" indent="2"/>
    </xf>
    <xf numFmtId="166" fontId="56" fillId="4" borderId="47" xfId="0" applyNumberFormat="1" applyFont="1" applyFill="1" applyBorder="1" applyAlignment="1">
      <alignment horizontal="left" vertical="top" indent="2"/>
    </xf>
    <xf numFmtId="4" fontId="56" fillId="4" borderId="48" xfId="0" applyNumberFormat="1" applyFont="1" applyFill="1" applyBorder="1" applyAlignment="1">
      <alignment horizontal="left" vertical="top" indent="2"/>
    </xf>
    <xf numFmtId="3" fontId="56" fillId="0" borderId="0" xfId="0" applyNumberFormat="1" applyFont="1" applyAlignment="1">
      <alignment horizontal="left" vertical="top"/>
    </xf>
    <xf numFmtId="4" fontId="56" fillId="0" borderId="11" xfId="0" applyNumberFormat="1" applyFont="1" applyBorder="1" applyAlignment="1">
      <alignment horizontal="left" vertical="top" wrapText="1" indent="2"/>
    </xf>
    <xf numFmtId="4" fontId="56" fillId="0" borderId="0" xfId="0" applyNumberFormat="1" applyFont="1" applyAlignment="1">
      <alignment horizontal="left" vertical="top"/>
    </xf>
    <xf numFmtId="166" fontId="56" fillId="4" borderId="48" xfId="0" applyNumberFormat="1" applyFont="1" applyFill="1" applyBorder="1" applyAlignment="1">
      <alignment horizontal="left" vertical="top" indent="2"/>
    </xf>
    <xf numFmtId="3" fontId="56" fillId="0" borderId="11" xfId="0" applyNumberFormat="1" applyFont="1" applyBorder="1" applyAlignment="1">
      <alignment horizontal="left" vertical="top"/>
    </xf>
    <xf numFmtId="166" fontId="56" fillId="0" borderId="50" xfId="0" applyNumberFormat="1" applyFont="1" applyBorder="1" applyAlignment="1">
      <alignment horizontal="left" vertical="top" indent="2"/>
    </xf>
    <xf numFmtId="166" fontId="56" fillId="4" borderId="79" xfId="0" applyNumberFormat="1" applyFont="1" applyFill="1" applyBorder="1" applyAlignment="1">
      <alignment horizontal="left" vertical="top" indent="2"/>
    </xf>
    <xf numFmtId="0" fontId="0" fillId="0" borderId="10" xfId="0" applyBorder="1" applyAlignment="1">
      <alignment horizontal="left" vertical="top"/>
    </xf>
    <xf numFmtId="0" fontId="85" fillId="0" borderId="10" xfId="0" applyFont="1" applyBorder="1" applyAlignment="1">
      <alignment horizontal="center"/>
    </xf>
    <xf numFmtId="0" fontId="14" fillId="0" borderId="0" xfId="0" applyFont="1" applyAlignment="1">
      <alignment horizontal="right"/>
    </xf>
    <xf numFmtId="4" fontId="14" fillId="4" borderId="46" xfId="0" applyNumberFormat="1" applyFont="1" applyFill="1" applyBorder="1" applyAlignment="1">
      <alignment horizontal="right" indent="2"/>
    </xf>
    <xf numFmtId="4" fontId="14" fillId="0" borderId="0" xfId="0" applyNumberFormat="1" applyFont="1" applyAlignment="1">
      <alignment horizontal="right"/>
    </xf>
    <xf numFmtId="4" fontId="14" fillId="4" borderId="49" xfId="0" applyNumberFormat="1" applyFont="1" applyFill="1" applyBorder="1" applyAlignment="1">
      <alignment horizontal="right" indent="2"/>
    </xf>
    <xf numFmtId="4" fontId="14" fillId="0" borderId="11" xfId="0" applyNumberFormat="1" applyFont="1" applyBorder="1" applyAlignment="1">
      <alignment horizontal="right" vertical="center" wrapText="1" indent="2"/>
    </xf>
    <xf numFmtId="166" fontId="56" fillId="4" borderId="79" xfId="0" applyNumberFormat="1" applyFont="1" applyFill="1" applyBorder="1" applyAlignment="1">
      <alignment horizontal="right" indent="2"/>
    </xf>
    <xf numFmtId="0" fontId="14" fillId="0" borderId="10" xfId="0" applyFont="1" applyBorder="1"/>
    <xf numFmtId="169" fontId="56" fillId="0" borderId="50" xfId="0" applyNumberFormat="1" applyFont="1" applyBorder="1" applyAlignment="1">
      <alignment horizontal="left"/>
    </xf>
    <xf numFmtId="0" fontId="14" fillId="0" borderId="0" xfId="0" applyFont="1"/>
    <xf numFmtId="166" fontId="56" fillId="0" borderId="50" xfId="0" applyNumberFormat="1" applyFont="1" applyBorder="1" applyAlignment="1">
      <alignment horizontal="left"/>
    </xf>
    <xf numFmtId="4" fontId="14" fillId="4" borderId="29" xfId="0" applyNumberFormat="1" applyFont="1" applyFill="1" applyBorder="1" applyAlignment="1">
      <alignment horizontal="right" indent="2"/>
    </xf>
    <xf numFmtId="4" fontId="14" fillId="4" borderId="30" xfId="0" applyNumberFormat="1" applyFont="1" applyFill="1" applyBorder="1" applyAlignment="1">
      <alignment horizontal="right" indent="2"/>
    </xf>
    <xf numFmtId="166" fontId="56" fillId="4" borderId="81" xfId="0" applyNumberFormat="1" applyFont="1" applyFill="1" applyBorder="1" applyAlignment="1">
      <alignment horizontal="right" indent="2"/>
    </xf>
    <xf numFmtId="4" fontId="14" fillId="4" borderId="24" xfId="0" applyNumberFormat="1" applyFont="1" applyFill="1" applyBorder="1" applyAlignment="1">
      <alignment horizontal="right" indent="2"/>
    </xf>
    <xf numFmtId="166" fontId="56" fillId="0" borderId="50" xfId="0" applyNumberFormat="1" applyFont="1" applyBorder="1" applyAlignment="1">
      <alignment horizontal="left" indent="2"/>
    </xf>
    <xf numFmtId="4" fontId="0" fillId="0" borderId="10" xfId="0" applyNumberFormat="1" applyBorder="1" applyAlignment="1">
      <alignment horizontal="right" indent="2"/>
    </xf>
    <xf numFmtId="4" fontId="0" fillId="0" borderId="18" xfId="0" applyNumberFormat="1" applyBorder="1" applyAlignment="1">
      <alignment horizontal="right" indent="2"/>
    </xf>
    <xf numFmtId="4" fontId="0" fillId="0" borderId="11" xfId="0" applyNumberFormat="1" applyBorder="1"/>
    <xf numFmtId="4" fontId="56" fillId="0" borderId="0" xfId="0" applyNumberFormat="1" applyFont="1" applyAlignment="1">
      <alignment horizontal="right" indent="2"/>
    </xf>
    <xf numFmtId="4" fontId="56" fillId="0" borderId="11" xfId="0" applyNumberFormat="1" applyFont="1" applyBorder="1"/>
    <xf numFmtId="4" fontId="67" fillId="0" borderId="0" xfId="0" applyNumberFormat="1" applyFont="1" applyAlignment="1">
      <alignment horizontal="right"/>
    </xf>
    <xf numFmtId="166" fontId="56" fillId="0" borderId="11" xfId="0" applyNumberFormat="1" applyFont="1" applyBorder="1" applyAlignment="1">
      <alignment horizontal="right" indent="2"/>
    </xf>
    <xf numFmtId="170" fontId="0" fillId="4" borderId="46" xfId="0" applyNumberFormat="1" applyFill="1" applyBorder="1" applyAlignment="1">
      <alignment horizontal="right" indent="2"/>
    </xf>
    <xf numFmtId="170" fontId="0" fillId="4" borderId="23" xfId="0" applyNumberFormat="1" applyFill="1" applyBorder="1" applyAlignment="1">
      <alignment horizontal="right" indent="2"/>
    </xf>
    <xf numFmtId="170" fontId="0" fillId="4" borderId="35" xfId="0" applyNumberFormat="1" applyFill="1" applyBorder="1" applyAlignment="1">
      <alignment horizontal="right" indent="2"/>
    </xf>
    <xf numFmtId="4" fontId="0" fillId="0" borderId="38" xfId="0" applyNumberFormat="1" applyBorder="1" applyAlignment="1">
      <alignment horizontal="right" vertical="center" wrapText="1" indent="2"/>
    </xf>
    <xf numFmtId="4" fontId="56" fillId="0" borderId="38" xfId="0" applyNumberFormat="1" applyFont="1" applyBorder="1" applyAlignment="1">
      <alignment horizontal="right" vertical="center" wrapText="1" indent="2"/>
    </xf>
    <xf numFmtId="166" fontId="56" fillId="4" borderId="64" xfId="0" applyNumberFormat="1" applyFont="1" applyFill="1" applyBorder="1" applyAlignment="1">
      <alignment horizontal="right" indent="2"/>
    </xf>
    <xf numFmtId="170" fontId="0" fillId="0" borderId="5" xfId="0" applyNumberFormat="1" applyBorder="1" applyAlignment="1">
      <alignment horizontal="right" indent="2"/>
    </xf>
    <xf numFmtId="170" fontId="0" fillId="4" borderId="47" xfId="0" applyNumberFormat="1" applyFill="1" applyBorder="1" applyAlignment="1">
      <alignment horizontal="right" indent="2"/>
    </xf>
    <xf numFmtId="170" fontId="0" fillId="0" borderId="11" xfId="0" applyNumberFormat="1" applyBorder="1" applyAlignment="1">
      <alignment horizontal="right" vertical="center" wrapText="1" indent="2"/>
    </xf>
    <xf numFmtId="170" fontId="56" fillId="4" borderId="48" xfId="0" applyNumberFormat="1" applyFont="1" applyFill="1" applyBorder="1" applyAlignment="1">
      <alignment horizontal="right" indent="2"/>
    </xf>
    <xf numFmtId="170" fontId="56" fillId="0" borderId="11" xfId="0" applyNumberFormat="1" applyFont="1" applyBorder="1" applyAlignment="1">
      <alignment horizontal="right" vertical="center" wrapText="1" indent="2"/>
    </xf>
    <xf numFmtId="3" fontId="56" fillId="0" borderId="11" xfId="0" applyNumberFormat="1" applyFont="1" applyBorder="1" applyAlignment="1">
      <alignment horizontal="left" indent="1"/>
    </xf>
    <xf numFmtId="166" fontId="56" fillId="0" borderId="50" xfId="0" applyNumberFormat="1" applyFont="1" applyBorder="1" applyAlignment="1">
      <alignment horizontal="left" indent="1"/>
    </xf>
    <xf numFmtId="170" fontId="0" fillId="4" borderId="24" xfId="0" applyNumberFormat="1" applyFill="1" applyBorder="1" applyAlignment="1">
      <alignment horizontal="right" indent="2"/>
    </xf>
    <xf numFmtId="170" fontId="56" fillId="4" borderId="25" xfId="0" applyNumberFormat="1" applyFont="1" applyFill="1" applyBorder="1" applyAlignment="1">
      <alignment horizontal="right" indent="2"/>
    </xf>
    <xf numFmtId="170" fontId="56" fillId="0" borderId="0" xfId="0" applyNumberFormat="1" applyFont="1" applyAlignment="1">
      <alignment horizontal="right" vertical="center" wrapText="1" indent="2"/>
    </xf>
    <xf numFmtId="170" fontId="56" fillId="0" borderId="11" xfId="0" applyNumberFormat="1" applyFont="1" applyBorder="1" applyAlignment="1">
      <alignment horizontal="left" vertical="center" wrapText="1" indent="1"/>
    </xf>
    <xf numFmtId="166" fontId="2" fillId="4" borderId="24" xfId="0" applyNumberFormat="1" applyFont="1" applyFill="1" applyBorder="1" applyAlignment="1">
      <alignment horizontal="right" indent="2"/>
    </xf>
    <xf numFmtId="170" fontId="56" fillId="0" borderId="11" xfId="0" applyNumberFormat="1" applyFont="1" applyBorder="1" applyAlignment="1">
      <alignment horizontal="left" vertical="center" wrapText="1" indent="2"/>
    </xf>
    <xf numFmtId="0" fontId="2" fillId="4" borderId="0" xfId="0" applyFont="1" applyFill="1" applyAlignment="1">
      <alignment horizontal="right"/>
    </xf>
    <xf numFmtId="170" fontId="0" fillId="4" borderId="29" xfId="0" applyNumberFormat="1" applyFill="1" applyBorder="1" applyAlignment="1">
      <alignment horizontal="right" indent="2"/>
    </xf>
    <xf numFmtId="170" fontId="0" fillId="4" borderId="30" xfId="0" applyNumberFormat="1" applyFill="1" applyBorder="1" applyAlignment="1">
      <alignment horizontal="right" indent="2"/>
    </xf>
    <xf numFmtId="170" fontId="56" fillId="4" borderId="31" xfId="0" applyNumberFormat="1" applyFont="1" applyFill="1" applyBorder="1" applyAlignment="1">
      <alignment horizontal="right" indent="2"/>
    </xf>
    <xf numFmtId="170" fontId="56" fillId="4" borderId="37" xfId="0" applyNumberFormat="1" applyFont="1" applyFill="1" applyBorder="1" applyAlignment="1">
      <alignment horizontal="right" indent="2"/>
    </xf>
    <xf numFmtId="170" fontId="56" fillId="0" borderId="42" xfId="0" applyNumberFormat="1" applyFont="1" applyBorder="1" applyAlignment="1">
      <alignment horizontal="right" vertical="center" wrapText="1" indent="2"/>
    </xf>
    <xf numFmtId="170" fontId="56" fillId="0" borderId="38" xfId="0" applyNumberFormat="1" applyFont="1" applyBorder="1" applyAlignment="1">
      <alignment horizontal="right" vertical="center" wrapText="1" indent="2"/>
    </xf>
    <xf numFmtId="170" fontId="0" fillId="0" borderId="38" xfId="0" applyNumberFormat="1" applyBorder="1" applyAlignment="1">
      <alignment horizontal="right" vertical="center" wrapText="1" indent="2"/>
    </xf>
    <xf numFmtId="3" fontId="3" fillId="0" borderId="0" xfId="0" applyNumberFormat="1" applyFont="1" applyAlignment="1">
      <alignment horizontal="left"/>
    </xf>
    <xf numFmtId="170" fontId="0" fillId="0" borderId="43" xfId="0" applyNumberFormat="1" applyBorder="1" applyAlignment="1">
      <alignment horizontal="right" indent="2"/>
    </xf>
    <xf numFmtId="170" fontId="0" fillId="0" borderId="16" xfId="0" applyNumberFormat="1" applyBorder="1"/>
    <xf numFmtId="170" fontId="56" fillId="0" borderId="44" xfId="0" applyNumberFormat="1" applyFont="1" applyBorder="1" applyAlignment="1">
      <alignment horizontal="right" indent="2"/>
    </xf>
    <xf numFmtId="170" fontId="56" fillId="0" borderId="44" xfId="0" applyNumberFormat="1" applyFont="1" applyBorder="1"/>
    <xf numFmtId="170" fontId="56" fillId="0" borderId="16" xfId="0" applyNumberFormat="1" applyFont="1" applyBorder="1"/>
    <xf numFmtId="3" fontId="67" fillId="0" borderId="0" xfId="0" applyNumberFormat="1" applyFont="1" applyAlignment="1">
      <alignment horizontal="left"/>
    </xf>
    <xf numFmtId="3" fontId="56" fillId="4" borderId="31" xfId="0" applyNumberFormat="1" applyFont="1" applyFill="1" applyBorder="1" applyAlignment="1">
      <alignment horizontal="right" indent="2"/>
    </xf>
    <xf numFmtId="3" fontId="56" fillId="4" borderId="37" xfId="0" applyNumberFormat="1" applyFont="1" applyFill="1" applyBorder="1" applyAlignment="1">
      <alignment horizontal="right" indent="2"/>
    </xf>
    <xf numFmtId="3" fontId="0" fillId="0" borderId="44" xfId="0" applyNumberFormat="1" applyBorder="1"/>
    <xf numFmtId="165" fontId="19" fillId="0" borderId="0" xfId="2" applyNumberFormat="1" applyFont="1" applyFill="1" applyBorder="1" applyAlignment="1">
      <alignment horizontal="right"/>
    </xf>
    <xf numFmtId="165" fontId="0" fillId="0" borderId="0" xfId="2" applyNumberFormat="1" applyFont="1" applyFill="1" applyBorder="1" applyAlignment="1">
      <alignment horizontal="right"/>
    </xf>
    <xf numFmtId="166" fontId="19" fillId="4" borderId="36" xfId="2" applyNumberFormat="1" applyFont="1" applyFill="1" applyBorder="1" applyAlignment="1">
      <alignment horizontal="right" indent="2"/>
    </xf>
    <xf numFmtId="165" fontId="19" fillId="0" borderId="42" xfId="2" applyNumberFormat="1" applyFont="1" applyBorder="1" applyAlignment="1">
      <alignment horizontal="right" vertical="center" wrapText="1" indent="2"/>
    </xf>
    <xf numFmtId="166" fontId="19" fillId="4" borderId="37" xfId="2" applyNumberFormat="1" applyFont="1" applyFill="1" applyBorder="1" applyAlignment="1">
      <alignment horizontal="right" indent="2"/>
    </xf>
    <xf numFmtId="166" fontId="19" fillId="0" borderId="82" xfId="2" applyNumberFormat="1" applyFont="1" applyFill="1" applyBorder="1" applyAlignment="1">
      <alignment horizontal="right" indent="2"/>
    </xf>
    <xf numFmtId="166" fontId="19" fillId="4" borderId="64" xfId="2" applyNumberFormat="1" applyFont="1" applyFill="1" applyBorder="1" applyAlignment="1">
      <alignment horizontal="right" indent="2"/>
    </xf>
    <xf numFmtId="165" fontId="19" fillId="0" borderId="10" xfId="2" applyNumberFormat="1" applyFont="1" applyFill="1" applyBorder="1" applyAlignment="1">
      <alignment horizontal="right" indent="2"/>
    </xf>
    <xf numFmtId="165" fontId="19" fillId="0" borderId="18" xfId="2" applyNumberFormat="1" applyFont="1" applyFill="1" applyBorder="1" applyAlignment="1">
      <alignment horizontal="right" indent="2"/>
    </xf>
    <xf numFmtId="165" fontId="19" fillId="0" borderId="0" xfId="2" applyNumberFormat="1" applyFont="1" applyFill="1" applyBorder="1" applyAlignment="1">
      <alignment horizontal="right" indent="2"/>
    </xf>
    <xf numFmtId="165" fontId="19" fillId="0" borderId="11" xfId="2" applyNumberFormat="1" applyFont="1" applyBorder="1" applyAlignment="1">
      <alignment horizontal="right" vertical="center" wrapText="1" indent="2"/>
    </xf>
    <xf numFmtId="166" fontId="19" fillId="0" borderId="43" xfId="2" applyNumberFormat="1" applyFont="1" applyFill="1" applyBorder="1" applyAlignment="1">
      <alignment horizontal="right" indent="2"/>
    </xf>
    <xf numFmtId="165" fontId="19" fillId="0" borderId="44" xfId="2" applyNumberFormat="1" applyFont="1" applyFill="1" applyBorder="1" applyAlignment="1">
      <alignment horizontal="right" indent="2"/>
    </xf>
    <xf numFmtId="165" fontId="19" fillId="0" borderId="44" xfId="2" applyNumberFormat="1" applyFont="1" applyBorder="1" applyAlignment="1">
      <alignment horizontal="right" vertical="center" wrapText="1" indent="2"/>
    </xf>
    <xf numFmtId="165" fontId="19" fillId="0" borderId="16" xfId="2" applyNumberFormat="1" applyFont="1" applyBorder="1" applyAlignment="1">
      <alignment horizontal="right" vertical="center" wrapText="1" indent="2"/>
    </xf>
    <xf numFmtId="166" fontId="19" fillId="0" borderId="44" xfId="2" applyNumberFormat="1" applyFont="1" applyFill="1" applyBorder="1" applyAlignment="1">
      <alignment horizontal="right" indent="2"/>
    </xf>
    <xf numFmtId="165" fontId="19" fillId="0" borderId="0" xfId="2" applyNumberFormat="1" applyFont="1" applyBorder="1" applyAlignment="1">
      <alignment horizontal="right" vertical="center" wrapText="1" indent="2"/>
    </xf>
    <xf numFmtId="166" fontId="19" fillId="0" borderId="0" xfId="2" applyNumberFormat="1" applyFont="1" applyFill="1" applyBorder="1" applyAlignment="1">
      <alignment horizontal="right" indent="2"/>
    </xf>
    <xf numFmtId="165" fontId="19" fillId="7" borderId="18" xfId="2" applyNumberFormat="1" applyFont="1" applyFill="1" applyBorder="1" applyAlignment="1">
      <alignment horizontal="right" indent="2"/>
    </xf>
    <xf numFmtId="166" fontId="19" fillId="7" borderId="18" xfId="2" applyNumberFormat="1" applyFont="1" applyFill="1" applyBorder="1" applyAlignment="1">
      <alignment horizontal="right" indent="2"/>
    </xf>
    <xf numFmtId="166" fontId="19" fillId="0" borderId="44" xfId="2" applyNumberFormat="1" applyFont="1" applyFill="1" applyBorder="1" applyAlignment="1">
      <alignment horizontal="left" indent="1"/>
    </xf>
    <xf numFmtId="166" fontId="19" fillId="0" borderId="0" xfId="2" applyNumberFormat="1" applyFont="1" applyFill="1" applyBorder="1" applyAlignment="1">
      <alignment horizontal="left" indent="1"/>
    </xf>
    <xf numFmtId="3" fontId="23" fillId="7" borderId="63" xfId="0" applyNumberFormat="1" applyFont="1" applyFill="1" applyBorder="1" applyAlignment="1">
      <alignment horizontal="right" indent="2"/>
    </xf>
    <xf numFmtId="3" fontId="0" fillId="7" borderId="63" xfId="0" applyNumberFormat="1" applyFill="1" applyBorder="1" applyAlignment="1">
      <alignment horizontal="right" indent="2"/>
    </xf>
    <xf numFmtId="165" fontId="19" fillId="7" borderId="53" xfId="2" applyNumberFormat="1" applyFont="1" applyFill="1" applyBorder="1" applyAlignment="1">
      <alignment horizontal="right" indent="2"/>
    </xf>
    <xf numFmtId="166" fontId="19" fillId="7" borderId="53" xfId="2" applyNumberFormat="1" applyFont="1" applyFill="1" applyBorder="1" applyAlignment="1">
      <alignment horizontal="right" indent="2"/>
    </xf>
    <xf numFmtId="166" fontId="19" fillId="0" borderId="42" xfId="2" applyNumberFormat="1" applyFont="1" applyFill="1" applyBorder="1" applyAlignment="1">
      <alignment horizontal="right" indent="2"/>
    </xf>
    <xf numFmtId="166" fontId="19" fillId="0" borderId="42" xfId="2" applyNumberFormat="1" applyFont="1" applyFill="1" applyBorder="1" applyAlignment="1">
      <alignment horizontal="left" indent="1"/>
    </xf>
    <xf numFmtId="3" fontId="0" fillId="7" borderId="64" xfId="0" applyNumberFormat="1" applyFill="1" applyBorder="1" applyAlignment="1">
      <alignment horizontal="right" indent="2"/>
    </xf>
    <xf numFmtId="3" fontId="3" fillId="0" borderId="6" xfId="0" applyNumberFormat="1" applyFont="1" applyBorder="1" applyAlignment="1">
      <alignment horizontal="right"/>
    </xf>
    <xf numFmtId="166" fontId="0" fillId="6" borderId="12" xfId="0" applyNumberFormat="1" applyFill="1" applyBorder="1" applyAlignment="1">
      <alignment horizontal="right" indent="2"/>
    </xf>
    <xf numFmtId="166" fontId="0" fillId="6" borderId="15" xfId="0" applyNumberFormat="1" applyFill="1" applyBorder="1" applyAlignment="1">
      <alignment horizontal="right" indent="2"/>
    </xf>
    <xf numFmtId="166" fontId="0" fillId="0" borderId="44" xfId="0" applyNumberFormat="1" applyBorder="1" applyAlignment="1">
      <alignment horizontal="left" indent="1"/>
    </xf>
    <xf numFmtId="4" fontId="56" fillId="6" borderId="23" xfId="0" applyNumberFormat="1" applyFont="1" applyFill="1" applyBorder="1" applyAlignment="1">
      <alignment horizontal="right" indent="2"/>
    </xf>
    <xf numFmtId="4" fontId="56" fillId="0" borderId="8" xfId="0" applyNumberFormat="1" applyFont="1" applyBorder="1" applyAlignment="1">
      <alignment horizontal="right"/>
    </xf>
    <xf numFmtId="4" fontId="56" fillId="6" borderId="24" xfId="0" applyNumberFormat="1" applyFont="1" applyFill="1" applyBorder="1" applyAlignment="1">
      <alignment horizontal="right" indent="2"/>
    </xf>
    <xf numFmtId="4" fontId="0" fillId="0" borderId="0" xfId="0" applyNumberFormat="1" applyAlignment="1">
      <alignment horizontal="right" vertical="center" wrapText="1" indent="2"/>
    </xf>
    <xf numFmtId="4" fontId="0" fillId="0" borderId="8" xfId="0" applyNumberFormat="1" applyBorder="1" applyAlignment="1">
      <alignment horizontal="right"/>
    </xf>
    <xf numFmtId="0" fontId="0" fillId="6" borderId="18" xfId="0" applyFill="1" applyBorder="1" applyAlignment="1">
      <alignment horizontal="right"/>
    </xf>
    <xf numFmtId="0" fontId="11" fillId="0" borderId="7" xfId="0" applyFont="1" applyBorder="1" applyAlignment="1">
      <alignment horizontal="center" vertical="center" textRotation="90"/>
    </xf>
    <xf numFmtId="0" fontId="0" fillId="6" borderId="53" xfId="0" applyFill="1" applyBorder="1" applyAlignment="1">
      <alignment horizontal="right"/>
    </xf>
    <xf numFmtId="0" fontId="0" fillId="6" borderId="38" xfId="0" applyFill="1" applyBorder="1" applyAlignment="1">
      <alignment horizontal="right"/>
    </xf>
    <xf numFmtId="4" fontId="0" fillId="0" borderId="42" xfId="0" applyNumberFormat="1" applyBorder="1" applyAlignment="1">
      <alignment horizontal="right" vertical="center" wrapText="1" indent="2"/>
    </xf>
    <xf numFmtId="4" fontId="18" fillId="0" borderId="10" xfId="0" applyNumberFormat="1" applyFont="1" applyBorder="1" applyAlignment="1">
      <alignment horizontal="right" indent="2"/>
    </xf>
    <xf numFmtId="4" fontId="18" fillId="0" borderId="0" xfId="0" applyNumberFormat="1" applyFont="1" applyAlignment="1">
      <alignment horizontal="right"/>
    </xf>
    <xf numFmtId="4" fontId="18" fillId="0" borderId="18" xfId="0" applyNumberFormat="1" applyFont="1" applyBorder="1" applyAlignment="1">
      <alignment horizontal="right" indent="2"/>
    </xf>
    <xf numFmtId="4" fontId="18" fillId="0" borderId="11" xfId="0" applyNumberFormat="1" applyFont="1" applyBorder="1" applyAlignment="1">
      <alignment horizontal="right" indent="2"/>
    </xf>
    <xf numFmtId="4" fontId="18" fillId="0" borderId="0" xfId="0" applyNumberFormat="1" applyFont="1" applyAlignment="1">
      <alignment horizontal="right" indent="2"/>
    </xf>
    <xf numFmtId="4" fontId="24" fillId="0" borderId="10" xfId="0" applyNumberFormat="1" applyFont="1" applyBorder="1" applyAlignment="1">
      <alignment horizontal="right" indent="2"/>
    </xf>
    <xf numFmtId="4" fontId="24" fillId="0" borderId="0" xfId="0" applyNumberFormat="1" applyFont="1" applyAlignment="1">
      <alignment horizontal="right"/>
    </xf>
    <xf numFmtId="4" fontId="24" fillId="0" borderId="18" xfId="0" applyNumberFormat="1" applyFont="1" applyBorder="1" applyAlignment="1">
      <alignment horizontal="right" indent="2"/>
    </xf>
    <xf numFmtId="4" fontId="24" fillId="0" borderId="11" xfId="0" applyNumberFormat="1" applyFont="1" applyBorder="1" applyAlignment="1">
      <alignment horizontal="right" indent="2"/>
    </xf>
    <xf numFmtId="4" fontId="24" fillId="0" borderId="0" xfId="0" applyNumberFormat="1" applyFont="1" applyAlignment="1">
      <alignment horizontal="right" indent="2"/>
    </xf>
    <xf numFmtId="3" fontId="26" fillId="0" borderId="0" xfId="2" applyNumberFormat="1" applyFont="1" applyFill="1" applyBorder="1" applyAlignment="1">
      <alignment horizontal="right" indent="2"/>
    </xf>
    <xf numFmtId="3" fontId="26" fillId="0" borderId="11" xfId="2" applyNumberFormat="1" applyFont="1" applyFill="1" applyBorder="1" applyAlignment="1">
      <alignment horizontal="right" indent="2"/>
    </xf>
    <xf numFmtId="3" fontId="0" fillId="0" borderId="0" xfId="2" applyNumberFormat="1" applyFont="1" applyFill="1" applyBorder="1" applyAlignment="1">
      <alignment horizontal="right"/>
    </xf>
    <xf numFmtId="3" fontId="0" fillId="6" borderId="23" xfId="0" applyNumberFormat="1" applyFill="1" applyBorder="1"/>
    <xf numFmtId="3" fontId="27" fillId="0" borderId="8" xfId="0" applyNumberFormat="1" applyFont="1" applyBorder="1" applyAlignment="1">
      <alignment horizontal="right"/>
    </xf>
    <xf numFmtId="165" fontId="27" fillId="6" borderId="21" xfId="2" applyNumberFormat="1" applyFont="1" applyFill="1" applyBorder="1" applyAlignment="1">
      <alignment horizontal="right" indent="2"/>
    </xf>
    <xf numFmtId="165" fontId="27" fillId="6" borderId="51" xfId="2" applyNumberFormat="1" applyFont="1" applyFill="1" applyBorder="1" applyAlignment="1">
      <alignment horizontal="right" indent="2"/>
    </xf>
    <xf numFmtId="165" fontId="27" fillId="0" borderId="0" xfId="2" applyNumberFormat="1" applyFont="1" applyFill="1" applyBorder="1" applyAlignment="1">
      <alignment horizontal="right" indent="2"/>
    </xf>
    <xf numFmtId="165" fontId="27" fillId="0" borderId="11" xfId="2" applyNumberFormat="1" applyFont="1" applyFill="1" applyBorder="1" applyAlignment="1">
      <alignment horizontal="right" indent="2"/>
    </xf>
    <xf numFmtId="165" fontId="27" fillId="0" borderId="9" xfId="2" applyNumberFormat="1" applyFont="1" applyFill="1" applyBorder="1" applyAlignment="1">
      <alignment horizontal="right"/>
    </xf>
    <xf numFmtId="165" fontId="26" fillId="0" borderId="42" xfId="2" applyNumberFormat="1" applyFont="1" applyFill="1" applyBorder="1" applyAlignment="1">
      <alignment horizontal="right" indent="2"/>
    </xf>
    <xf numFmtId="3" fontId="12" fillId="0" borderId="0" xfId="0" applyNumberFormat="1" applyFont="1" applyAlignment="1">
      <alignment horizontal="right"/>
    </xf>
    <xf numFmtId="166" fontId="12" fillId="0" borderId="0" xfId="0" applyNumberFormat="1" applyFont="1"/>
    <xf numFmtId="3" fontId="12" fillId="0" borderId="0" xfId="0" applyNumberFormat="1" applyFont="1" applyAlignment="1">
      <alignment vertical="top"/>
    </xf>
    <xf numFmtId="166" fontId="12" fillId="0" borderId="0" xfId="0" applyNumberFormat="1" applyFont="1" applyAlignment="1">
      <alignment vertical="top"/>
    </xf>
    <xf numFmtId="0" fontId="12" fillId="4" borderId="0" xfId="0" applyFont="1" applyFill="1" applyAlignment="1">
      <alignment horizontal="left" vertical="top" wrapText="1"/>
    </xf>
    <xf numFmtId="166" fontId="12" fillId="4" borderId="0" xfId="0" applyNumberFormat="1" applyFont="1" applyFill="1" applyAlignment="1">
      <alignment horizontal="left" vertical="top" wrapText="1"/>
    </xf>
    <xf numFmtId="0" fontId="0" fillId="0" borderId="0" xfId="0" applyAlignment="1">
      <alignment horizontal="center" vertical="center" wrapText="1"/>
    </xf>
    <xf numFmtId="0" fontId="0" fillId="4" borderId="9" xfId="0" applyFill="1" applyBorder="1" applyAlignment="1">
      <alignment horizontal="center" vertical="center" wrapText="1"/>
    </xf>
    <xf numFmtId="0" fontId="0" fillId="2" borderId="4" xfId="0" applyFill="1" applyBorder="1" applyAlignment="1">
      <alignment horizontal="center" vertical="center" wrapText="1"/>
    </xf>
    <xf numFmtId="0" fontId="0" fillId="0" borderId="7" xfId="0" applyBorder="1" applyAlignment="1">
      <alignment horizontal="center" vertical="center" wrapText="1"/>
    </xf>
    <xf numFmtId="0" fontId="12" fillId="0" borderId="16" xfId="0" applyFont="1" applyBorder="1" applyAlignment="1">
      <alignment horizontal="center" vertical="center" wrapText="1"/>
    </xf>
    <xf numFmtId="0" fontId="12" fillId="0" borderId="44" xfId="0" applyFont="1" applyBorder="1" applyAlignment="1">
      <alignment horizontal="center" vertical="center" wrapText="1"/>
    </xf>
    <xf numFmtId="0" fontId="5" fillId="4" borderId="43" xfId="0" applyFont="1" applyFill="1" applyBorder="1" applyAlignment="1">
      <alignment horizontal="center" vertical="center" wrapText="1"/>
    </xf>
    <xf numFmtId="0" fontId="84" fillId="4" borderId="5" xfId="0" applyFont="1" applyFill="1" applyBorder="1" applyAlignment="1">
      <alignment horizontal="center" vertical="center" wrapText="1"/>
    </xf>
    <xf numFmtId="0" fontId="4" fillId="0" borderId="44" xfId="3" applyFill="1" applyBorder="1" applyAlignment="1">
      <alignment horizontal="center" vertical="center" wrapText="1"/>
    </xf>
    <xf numFmtId="0" fontId="89" fillId="0" borderId="15" xfId="0" applyFont="1" applyBorder="1" applyAlignment="1">
      <alignment vertical="center" wrapText="1"/>
    </xf>
    <xf numFmtId="3" fontId="0" fillId="0" borderId="0" xfId="0" applyNumberFormat="1" applyAlignment="1">
      <alignment horizontal="left" vertical="center"/>
    </xf>
    <xf numFmtId="3" fontId="0" fillId="0" borderId="22" xfId="0" applyNumberFormat="1" applyBorder="1" applyAlignment="1">
      <alignment horizontal="right" indent="2"/>
    </xf>
    <xf numFmtId="3" fontId="3" fillId="6" borderId="21" xfId="0" applyNumberFormat="1" applyFont="1" applyFill="1" applyBorder="1" applyAlignment="1">
      <alignment horizontal="right" indent="2"/>
    </xf>
    <xf numFmtId="3" fontId="89" fillId="6" borderId="51" xfId="0" applyNumberFormat="1" applyFont="1" applyFill="1" applyBorder="1" applyAlignment="1">
      <alignment horizontal="right" indent="2"/>
    </xf>
    <xf numFmtId="3" fontId="79" fillId="0" borderId="8" xfId="0" applyNumberFormat="1" applyFont="1" applyBorder="1" applyAlignment="1">
      <alignment horizontal="right" indent="2"/>
    </xf>
    <xf numFmtId="3" fontId="89" fillId="6" borderId="63" xfId="0" applyNumberFormat="1" applyFont="1" applyFill="1" applyBorder="1" applyAlignment="1">
      <alignment horizontal="right" indent="2"/>
    </xf>
    <xf numFmtId="3" fontId="3" fillId="12" borderId="21" xfId="0" applyNumberFormat="1" applyFont="1" applyFill="1" applyBorder="1" applyAlignment="1">
      <alignment horizontal="right" indent="2"/>
    </xf>
    <xf numFmtId="3" fontId="89" fillId="12" borderId="51" xfId="0" applyNumberFormat="1" applyFont="1" applyFill="1" applyBorder="1" applyAlignment="1">
      <alignment horizontal="right" indent="2"/>
    </xf>
    <xf numFmtId="4" fontId="0" fillId="0" borderId="0" xfId="0" applyNumberFormat="1" applyAlignment="1">
      <alignment horizontal="left" vertical="center"/>
    </xf>
    <xf numFmtId="171" fontId="79" fillId="0" borderId="8" xfId="0" applyNumberFormat="1" applyFont="1" applyBorder="1" applyAlignment="1">
      <alignment horizontal="left"/>
    </xf>
    <xf numFmtId="166" fontId="0" fillId="0" borderId="0" xfId="0" applyNumberFormat="1" applyAlignment="1">
      <alignment horizontal="left" vertical="center"/>
    </xf>
    <xf numFmtId="169" fontId="79" fillId="0" borderId="8" xfId="0" applyNumberFormat="1" applyFont="1" applyBorder="1" applyAlignment="1">
      <alignment horizontal="left"/>
    </xf>
    <xf numFmtId="3" fontId="89" fillId="6" borderId="66" xfId="0" applyNumberFormat="1" applyFont="1" applyFill="1" applyBorder="1" applyAlignment="1">
      <alignment horizontal="right" indent="2"/>
    </xf>
    <xf numFmtId="165" fontId="0" fillId="0" borderId="38" xfId="2" applyNumberFormat="1" applyFont="1" applyFill="1" applyBorder="1" applyAlignment="1">
      <alignment horizontal="right" indent="2"/>
    </xf>
    <xf numFmtId="3" fontId="3" fillId="6" borderId="33" xfId="0" applyNumberFormat="1" applyFont="1" applyFill="1" applyBorder="1" applyAlignment="1">
      <alignment horizontal="right" indent="2"/>
    </xf>
    <xf numFmtId="3" fontId="89" fillId="6" borderId="64" xfId="0" applyNumberFormat="1" applyFont="1" applyFill="1" applyBorder="1" applyAlignment="1">
      <alignment horizontal="right" indent="2"/>
    </xf>
    <xf numFmtId="3" fontId="3" fillId="12" borderId="36" xfId="0" applyNumberFormat="1" applyFont="1" applyFill="1" applyBorder="1" applyAlignment="1">
      <alignment horizontal="right" indent="2"/>
    </xf>
    <xf numFmtId="3" fontId="3" fillId="12" borderId="33" xfId="0" applyNumberFormat="1" applyFont="1" applyFill="1" applyBorder="1" applyAlignment="1">
      <alignment horizontal="right" indent="2"/>
    </xf>
    <xf numFmtId="3" fontId="3" fillId="0" borderId="43" xfId="0" applyNumberFormat="1" applyFont="1" applyBorder="1" applyAlignment="1">
      <alignment horizontal="right" indent="2"/>
    </xf>
    <xf numFmtId="3" fontId="89" fillId="0" borderId="44" xfId="0" applyNumberFormat="1" applyFont="1" applyBorder="1" applyAlignment="1">
      <alignment horizontal="right" indent="2"/>
    </xf>
    <xf numFmtId="0" fontId="0" fillId="0" borderId="16" xfId="0" applyBorder="1" applyAlignment="1">
      <alignment horizontal="left" vertical="center" wrapText="1"/>
    </xf>
    <xf numFmtId="165" fontId="0" fillId="0" borderId="11" xfId="2" applyNumberFormat="1" applyFont="1" applyFill="1" applyBorder="1" applyAlignment="1">
      <alignment horizontal="center"/>
    </xf>
    <xf numFmtId="3" fontId="0" fillId="0" borderId="62" xfId="0" applyNumberFormat="1" applyBorder="1" applyAlignment="1">
      <alignment horizontal="right" indent="2"/>
    </xf>
    <xf numFmtId="3" fontId="3" fillId="4" borderId="18" xfId="0" applyNumberFormat="1" applyFont="1" applyFill="1" applyBorder="1" applyAlignment="1">
      <alignment horizontal="right" indent="2"/>
    </xf>
    <xf numFmtId="3" fontId="89" fillId="4" borderId="52" xfId="0" applyNumberFormat="1" applyFont="1" applyFill="1" applyBorder="1" applyAlignment="1">
      <alignment horizontal="right" indent="2"/>
    </xf>
    <xf numFmtId="3" fontId="3" fillId="4" borderId="17" xfId="0" applyNumberFormat="1" applyFont="1" applyFill="1" applyBorder="1" applyAlignment="1">
      <alignment horizontal="right" indent="2"/>
    </xf>
    <xf numFmtId="3" fontId="79" fillId="0" borderId="0" xfId="0" applyNumberFormat="1" applyFont="1" applyAlignment="1">
      <alignment horizontal="right" indent="2"/>
    </xf>
    <xf numFmtId="3" fontId="89" fillId="4" borderId="72" xfId="0" applyNumberFormat="1" applyFont="1" applyFill="1" applyBorder="1" applyAlignment="1">
      <alignment horizontal="right" indent="2"/>
    </xf>
    <xf numFmtId="3" fontId="3" fillId="12" borderId="18" xfId="0" applyNumberFormat="1" applyFont="1" applyFill="1" applyBorder="1" applyAlignment="1">
      <alignment horizontal="right" indent="2"/>
    </xf>
    <xf numFmtId="3" fontId="89" fillId="12" borderId="52" xfId="0" applyNumberFormat="1" applyFont="1" applyFill="1" applyBorder="1" applyAlignment="1">
      <alignment horizontal="right" indent="2"/>
    </xf>
    <xf numFmtId="3" fontId="3" fillId="12" borderId="17" xfId="0" applyNumberFormat="1" applyFont="1" applyFill="1" applyBorder="1" applyAlignment="1">
      <alignment horizontal="right" indent="2"/>
    </xf>
    <xf numFmtId="0" fontId="0" fillId="0" borderId="11" xfId="0" applyBorder="1" applyAlignment="1">
      <alignment horizontal="center"/>
    </xf>
    <xf numFmtId="3" fontId="0" fillId="4" borderId="52" xfId="0" applyNumberFormat="1" applyFill="1" applyBorder="1" applyAlignment="1">
      <alignment horizontal="right" indent="2"/>
    </xf>
    <xf numFmtId="3" fontId="45" fillId="12" borderId="18" xfId="0" quotePrefix="1" applyNumberFormat="1" applyFont="1" applyFill="1" applyBorder="1" applyAlignment="1">
      <alignment horizontal="right" indent="2"/>
    </xf>
    <xf numFmtId="3" fontId="79" fillId="0" borderId="0" xfId="0" applyNumberFormat="1" applyFont="1" applyAlignment="1">
      <alignment horizontal="left" vertical="center"/>
    </xf>
    <xf numFmtId="165" fontId="13" fillId="0" borderId="28" xfId="2" applyNumberFormat="1" applyFont="1" applyFill="1" applyBorder="1" applyAlignment="1"/>
    <xf numFmtId="3" fontId="3" fillId="4" borderId="27" xfId="0" applyNumberFormat="1" applyFont="1" applyFill="1" applyBorder="1" applyAlignment="1">
      <alignment horizontal="right" indent="2"/>
    </xf>
    <xf numFmtId="3" fontId="3" fillId="12" borderId="27" xfId="0" applyNumberFormat="1" applyFont="1" applyFill="1" applyBorder="1" applyAlignment="1">
      <alignment horizontal="right" indent="2"/>
    </xf>
    <xf numFmtId="3" fontId="79" fillId="0" borderId="0" xfId="0" applyNumberFormat="1" applyFont="1" applyAlignment="1">
      <alignment horizontal="left" vertical="center" wrapText="1"/>
    </xf>
    <xf numFmtId="3" fontId="0" fillId="4" borderId="66" xfId="0" applyNumberFormat="1" applyFill="1" applyBorder="1" applyAlignment="1">
      <alignment horizontal="right" indent="2"/>
    </xf>
    <xf numFmtId="165" fontId="0" fillId="0" borderId="38" xfId="2" applyNumberFormat="1" applyFont="1" applyFill="1" applyBorder="1" applyAlignment="1">
      <alignment horizontal="center"/>
    </xf>
    <xf numFmtId="3" fontId="0" fillId="0" borderId="28" xfId="0" applyNumberFormat="1" applyBorder="1" applyAlignment="1">
      <alignment horizontal="right" indent="2"/>
    </xf>
    <xf numFmtId="3" fontId="3" fillId="4" borderId="58" xfId="0" applyNumberFormat="1" applyFont="1" applyFill="1" applyBorder="1" applyAlignment="1">
      <alignment horizontal="right" indent="2"/>
    </xf>
    <xf numFmtId="3" fontId="89" fillId="4" borderId="84" xfId="0" applyNumberFormat="1" applyFont="1" applyFill="1" applyBorder="1" applyAlignment="1">
      <alignment horizontal="right" indent="2"/>
    </xf>
    <xf numFmtId="3" fontId="89" fillId="4" borderId="85" xfId="0" applyNumberFormat="1" applyFont="1" applyFill="1" applyBorder="1" applyAlignment="1">
      <alignment horizontal="right" indent="2"/>
    </xf>
    <xf numFmtId="165" fontId="0" fillId="0" borderId="16" xfId="2" applyNumberFormat="1" applyFont="1" applyFill="1" applyBorder="1" applyAlignment="1">
      <alignment horizontal="center"/>
    </xf>
    <xf numFmtId="0" fontId="0" fillId="0" borderId="16" xfId="0" applyBorder="1" applyAlignment="1">
      <alignment horizontal="right" vertical="center" wrapText="1"/>
    </xf>
    <xf numFmtId="0" fontId="3" fillId="0" borderId="18" xfId="0" applyFont="1" applyBorder="1" applyAlignment="1">
      <alignment horizontal="right" vertical="center" wrapText="1"/>
    </xf>
    <xf numFmtId="0" fontId="89" fillId="0" borderId="0" xfId="0" applyFont="1" applyAlignment="1">
      <alignment horizontal="right" vertical="center" wrapText="1"/>
    </xf>
    <xf numFmtId="3" fontId="3" fillId="4" borderId="21" xfId="0" applyNumberFormat="1" applyFont="1" applyFill="1" applyBorder="1" applyAlignment="1">
      <alignment horizontal="right" indent="2"/>
    </xf>
    <xf numFmtId="3" fontId="89" fillId="4" borderId="65" xfId="0" applyNumberFormat="1" applyFont="1" applyFill="1" applyBorder="1" applyAlignment="1">
      <alignment horizontal="right" indent="2"/>
    </xf>
    <xf numFmtId="3" fontId="79" fillId="0" borderId="0" xfId="0" applyNumberFormat="1" applyFont="1" applyAlignment="1">
      <alignment horizontal="right" vertical="center" wrapText="1" indent="2"/>
    </xf>
    <xf numFmtId="3" fontId="89" fillId="4" borderId="79" xfId="0" applyNumberFormat="1" applyFont="1" applyFill="1" applyBorder="1" applyAlignment="1">
      <alignment horizontal="right" indent="2"/>
    </xf>
    <xf numFmtId="3" fontId="0" fillId="12" borderId="24" xfId="0" applyNumberFormat="1" applyFill="1" applyBorder="1" applyAlignment="1">
      <alignment horizontal="right" indent="2"/>
    </xf>
    <xf numFmtId="3" fontId="89" fillId="12" borderId="25" xfId="0" applyNumberFormat="1" applyFont="1" applyFill="1" applyBorder="1" applyAlignment="1">
      <alignment horizontal="right" indent="2"/>
    </xf>
    <xf numFmtId="3" fontId="89" fillId="4" borderId="25" xfId="0" applyNumberFormat="1" applyFont="1" applyFill="1" applyBorder="1" applyAlignment="1">
      <alignment horizontal="right" indent="2"/>
    </xf>
    <xf numFmtId="3" fontId="89" fillId="4" borderId="63" xfId="0" applyNumberFormat="1" applyFont="1" applyFill="1" applyBorder="1" applyAlignment="1">
      <alignment horizontal="right" indent="2"/>
    </xf>
    <xf numFmtId="3" fontId="89" fillId="4" borderId="9" xfId="0" applyNumberFormat="1" applyFont="1" applyFill="1" applyBorder="1" applyAlignment="1">
      <alignment horizontal="right" indent="2"/>
    </xf>
    <xf numFmtId="3" fontId="89" fillId="4" borderId="28" xfId="0" applyNumberFormat="1" applyFont="1" applyFill="1" applyBorder="1" applyAlignment="1">
      <alignment horizontal="right" indent="2"/>
    </xf>
    <xf numFmtId="165" fontId="13" fillId="0" borderId="34" xfId="2" applyNumberFormat="1" applyFont="1" applyFill="1" applyBorder="1" applyAlignment="1">
      <alignment horizontal="right" indent="2"/>
    </xf>
    <xf numFmtId="165" fontId="13" fillId="0" borderId="3" xfId="2" applyNumberFormat="1" applyFont="1" applyFill="1" applyBorder="1" applyAlignment="1"/>
    <xf numFmtId="3" fontId="0" fillId="4" borderId="3" xfId="0" applyNumberFormat="1" applyFill="1" applyBorder="1" applyAlignment="1">
      <alignment horizontal="right" vertical="center" wrapText="1" indent="2"/>
    </xf>
    <xf numFmtId="3" fontId="0" fillId="0" borderId="2" xfId="0" applyNumberFormat="1" applyBorder="1" applyAlignment="1">
      <alignment horizontal="right" vertical="center" wrapText="1" indent="2"/>
    </xf>
    <xf numFmtId="165" fontId="0" fillId="0" borderId="3" xfId="2" applyNumberFormat="1" applyFont="1" applyFill="1" applyBorder="1" applyAlignment="1">
      <alignment horizontal="center"/>
    </xf>
    <xf numFmtId="3" fontId="0" fillId="0" borderId="42" xfId="0" applyNumberFormat="1" applyBorder="1" applyAlignment="1">
      <alignment horizontal="right" vertical="center" wrapText="1" indent="2"/>
    </xf>
    <xf numFmtId="165" fontId="0" fillId="0" borderId="0" xfId="2" applyNumberFormat="1" applyFont="1" applyFill="1" applyBorder="1" applyAlignment="1">
      <alignment horizontal="center"/>
    </xf>
    <xf numFmtId="165" fontId="0" fillId="0" borderId="4" xfId="2" applyNumberFormat="1" applyFont="1" applyFill="1" applyBorder="1" applyAlignment="1">
      <alignment horizontal="center"/>
    </xf>
    <xf numFmtId="0" fontId="5" fillId="4" borderId="5" xfId="0" applyFont="1" applyFill="1" applyBorder="1" applyAlignment="1">
      <alignment horizontal="center" vertical="center" wrapText="1"/>
    </xf>
    <xf numFmtId="3" fontId="45" fillId="0" borderId="48" xfId="0" applyNumberFormat="1" applyFont="1" applyBorder="1" applyAlignment="1">
      <alignment horizontal="right" indent="2"/>
    </xf>
    <xf numFmtId="3" fontId="79" fillId="0" borderId="0" xfId="0" applyNumberFormat="1" applyFont="1" applyAlignment="1">
      <alignment horizontal="right" vertical="center" indent="2"/>
    </xf>
    <xf numFmtId="3" fontId="89" fillId="4" borderId="62" xfId="0" applyNumberFormat="1" applyFont="1" applyFill="1" applyBorder="1" applyAlignment="1">
      <alignment horizontal="right" indent="2"/>
    </xf>
    <xf numFmtId="3" fontId="45" fillId="2" borderId="48" xfId="0" applyNumberFormat="1" applyFont="1" applyFill="1" applyBorder="1" applyAlignment="1">
      <alignment horizontal="right" indent="2"/>
    </xf>
    <xf numFmtId="3" fontId="3" fillId="2" borderId="17" xfId="0" applyNumberFormat="1" applyFont="1" applyFill="1" applyBorder="1" applyAlignment="1">
      <alignment horizontal="right" indent="2"/>
    </xf>
    <xf numFmtId="3" fontId="79" fillId="0" borderId="0" xfId="0" applyNumberFormat="1" applyFont="1" applyAlignment="1">
      <alignment horizontal="left" vertical="top"/>
    </xf>
    <xf numFmtId="3" fontId="2" fillId="0" borderId="0" xfId="0" applyNumberFormat="1" applyFont="1" applyAlignment="1">
      <alignment horizontal="right" vertical="center" wrapText="1" indent="2"/>
    </xf>
    <xf numFmtId="3" fontId="3" fillId="4" borderId="17" xfId="0" quotePrefix="1" applyNumberFormat="1" applyFont="1" applyFill="1" applyBorder="1" applyAlignment="1">
      <alignment horizontal="right" indent="2"/>
    </xf>
    <xf numFmtId="3" fontId="79" fillId="0" borderId="0" xfId="0" applyNumberFormat="1" applyFont="1" applyAlignment="1">
      <alignment horizontal="left" vertical="top" wrapText="1"/>
    </xf>
    <xf numFmtId="3" fontId="91" fillId="4" borderId="47" xfId="0" applyNumberFormat="1" applyFont="1" applyFill="1" applyBorder="1" applyAlignment="1">
      <alignment horizontal="right" indent="2"/>
    </xf>
    <xf numFmtId="3" fontId="2" fillId="22" borderId="48" xfId="0" applyNumberFormat="1" applyFont="1" applyFill="1" applyBorder="1" applyAlignment="1">
      <alignment horizontal="right" indent="2"/>
    </xf>
    <xf numFmtId="3" fontId="2" fillId="22" borderId="11" xfId="0" applyNumberFormat="1" applyFont="1" applyFill="1" applyBorder="1" applyAlignment="1">
      <alignment horizontal="right" vertical="center" wrapText="1" indent="2"/>
    </xf>
    <xf numFmtId="165" fontId="2" fillId="22" borderId="11" xfId="2" applyNumberFormat="1" applyFont="1" applyFill="1" applyBorder="1" applyAlignment="1">
      <alignment horizontal="center"/>
    </xf>
    <xf numFmtId="3" fontId="79" fillId="0" borderId="0" xfId="0" applyNumberFormat="1" applyFont="1" applyAlignment="1">
      <alignment horizontal="left" vertical="top" indent="2"/>
    </xf>
    <xf numFmtId="3" fontId="3" fillId="2" borderId="21" xfId="0" applyNumberFormat="1" applyFont="1" applyFill="1" applyBorder="1" applyAlignment="1">
      <alignment horizontal="right" indent="2"/>
    </xf>
    <xf numFmtId="3" fontId="3" fillId="4" borderId="27" xfId="0" quotePrefix="1" applyNumberFormat="1" applyFont="1" applyFill="1" applyBorder="1" applyAlignment="1">
      <alignment horizontal="right" indent="2"/>
    </xf>
    <xf numFmtId="3" fontId="91" fillId="4" borderId="30" xfId="0" applyNumberFormat="1" applyFont="1" applyFill="1" applyBorder="1" applyAlignment="1">
      <alignment horizontal="right" indent="2"/>
    </xf>
    <xf numFmtId="3" fontId="3" fillId="2" borderId="27" xfId="0" applyNumberFormat="1" applyFont="1" applyFill="1" applyBorder="1" applyAlignment="1">
      <alignment horizontal="right" indent="2"/>
    </xf>
    <xf numFmtId="3" fontId="0" fillId="22" borderId="31" xfId="0" applyNumberFormat="1" applyFill="1" applyBorder="1" applyAlignment="1">
      <alignment horizontal="right" indent="2"/>
    </xf>
    <xf numFmtId="3" fontId="0" fillId="22" borderId="11" xfId="0" applyNumberFormat="1" applyFill="1" applyBorder="1" applyAlignment="1">
      <alignment horizontal="right" vertical="center" wrapText="1" indent="2"/>
    </xf>
    <xf numFmtId="3" fontId="2" fillId="22" borderId="27" xfId="0" applyNumberFormat="1" applyFont="1" applyFill="1" applyBorder="1" applyAlignment="1">
      <alignment horizontal="right" indent="2"/>
    </xf>
    <xf numFmtId="3" fontId="45" fillId="4" borderId="30" xfId="0" applyNumberFormat="1" applyFont="1" applyFill="1" applyBorder="1" applyAlignment="1">
      <alignment horizontal="right" indent="2"/>
    </xf>
    <xf numFmtId="3" fontId="45" fillId="0" borderId="62" xfId="0" applyNumberFormat="1" applyFont="1" applyBorder="1" applyAlignment="1">
      <alignment horizontal="right" indent="2"/>
    </xf>
    <xf numFmtId="3" fontId="0" fillId="0" borderId="48" xfId="0" applyNumberFormat="1" applyBorder="1" applyAlignment="1">
      <alignment horizontal="right" indent="2"/>
    </xf>
    <xf numFmtId="3" fontId="0" fillId="0" borderId="25" xfId="0" applyNumberFormat="1" applyBorder="1" applyAlignment="1">
      <alignment horizontal="right" indent="2"/>
    </xf>
    <xf numFmtId="3" fontId="0" fillId="0" borderId="37" xfId="0" applyNumberFormat="1" applyBorder="1" applyAlignment="1">
      <alignment horizontal="right" indent="2"/>
    </xf>
    <xf numFmtId="3" fontId="0" fillId="0" borderId="34" xfId="0" applyNumberFormat="1" applyBorder="1" applyAlignment="1">
      <alignment horizontal="right" indent="2"/>
    </xf>
    <xf numFmtId="3" fontId="0" fillId="0" borderId="31" xfId="0" applyNumberFormat="1" applyBorder="1" applyAlignment="1">
      <alignment horizontal="right" indent="2"/>
    </xf>
    <xf numFmtId="165" fontId="19" fillId="0" borderId="42" xfId="2" applyNumberFormat="1" applyFont="1" applyFill="1" applyBorder="1" applyAlignment="1">
      <alignment horizontal="right" vertical="center" wrapText="1" indent="2"/>
    </xf>
    <xf numFmtId="165" fontId="19" fillId="4" borderId="33" xfId="2" applyNumberFormat="1" applyFont="1" applyFill="1" applyBorder="1" applyAlignment="1">
      <alignment horizontal="right" indent="2"/>
    </xf>
    <xf numFmtId="165" fontId="19" fillId="0" borderId="34" xfId="2" applyNumberFormat="1" applyFont="1" applyFill="1" applyBorder="1" applyAlignment="1">
      <alignment horizontal="right" indent="2"/>
    </xf>
    <xf numFmtId="165" fontId="19" fillId="0" borderId="37" xfId="2" applyNumberFormat="1" applyFont="1" applyFill="1" applyBorder="1" applyAlignment="1">
      <alignment horizontal="right" indent="2"/>
    </xf>
    <xf numFmtId="165" fontId="19" fillId="4" borderId="34" xfId="2" applyNumberFormat="1" applyFont="1" applyFill="1" applyBorder="1" applyAlignment="1">
      <alignment horizontal="right" indent="2"/>
    </xf>
    <xf numFmtId="3" fontId="0" fillId="6" borderId="16" xfId="0" applyNumberFormat="1" applyFill="1" applyBorder="1"/>
    <xf numFmtId="3" fontId="3" fillId="6" borderId="17" xfId="0" applyNumberFormat="1" applyFont="1" applyFill="1" applyBorder="1" applyAlignment="1">
      <alignment horizontal="right" indent="2"/>
    </xf>
    <xf numFmtId="3" fontId="0" fillId="6" borderId="11" xfId="0" applyNumberFormat="1" applyFill="1" applyBorder="1" applyAlignment="1">
      <alignment horizontal="right" vertical="center" wrapText="1" indent="2"/>
    </xf>
    <xf numFmtId="3" fontId="45" fillId="0" borderId="25" xfId="0" applyNumberFormat="1" applyFont="1" applyBorder="1" applyAlignment="1">
      <alignment horizontal="right" indent="2"/>
    </xf>
    <xf numFmtId="3" fontId="89" fillId="6" borderId="25" xfId="0" applyNumberFormat="1" applyFont="1" applyFill="1" applyBorder="1" applyAlignment="1">
      <alignment horizontal="right" indent="2"/>
    </xf>
    <xf numFmtId="3" fontId="0" fillId="6" borderId="38" xfId="0" applyNumberFormat="1" applyFill="1" applyBorder="1" applyAlignment="1">
      <alignment horizontal="right" vertical="center" wrapText="1" indent="2"/>
    </xf>
    <xf numFmtId="3" fontId="58" fillId="6" borderId="17" xfId="2" applyNumberFormat="1" applyFont="1" applyFill="1" applyBorder="1" applyAlignment="1">
      <alignment horizontal="right" vertical="center" wrapText="1" indent="2"/>
    </xf>
    <xf numFmtId="3" fontId="35" fillId="6" borderId="6" xfId="2" applyNumberFormat="1" applyFont="1" applyFill="1" applyBorder="1" applyAlignment="1">
      <alignment horizontal="right" indent="2"/>
    </xf>
    <xf numFmtId="3" fontId="35" fillId="6" borderId="62" xfId="2" applyNumberFormat="1" applyFont="1" applyFill="1" applyBorder="1" applyAlignment="1">
      <alignment horizontal="right"/>
    </xf>
    <xf numFmtId="3" fontId="35" fillId="0" borderId="6" xfId="2" applyNumberFormat="1" applyFont="1" applyFill="1" applyBorder="1" applyAlignment="1">
      <alignment horizontal="right" indent="2"/>
    </xf>
    <xf numFmtId="3" fontId="92" fillId="6" borderId="46" xfId="2" applyNumberFormat="1" applyFont="1" applyFill="1" applyBorder="1" applyAlignment="1">
      <alignment horizontal="right" indent="2"/>
    </xf>
    <xf numFmtId="3" fontId="92" fillId="0" borderId="6" xfId="2" applyNumberFormat="1" applyFont="1" applyFill="1" applyBorder="1" applyAlignment="1">
      <alignment horizontal="right" indent="2"/>
    </xf>
    <xf numFmtId="3" fontId="92" fillId="6" borderId="47" xfId="2" applyNumberFormat="1" applyFont="1" applyFill="1" applyBorder="1" applyAlignment="1">
      <alignment horizontal="right" indent="2"/>
    </xf>
    <xf numFmtId="3" fontId="92" fillId="6" borderId="65" xfId="2" applyNumberFormat="1" applyFont="1" applyFill="1" applyBorder="1" applyAlignment="1">
      <alignment horizontal="right" indent="2"/>
    </xf>
    <xf numFmtId="3" fontId="92" fillId="0" borderId="11" xfId="2" applyNumberFormat="1" applyFont="1" applyFill="1" applyBorder="1" applyAlignment="1">
      <alignment horizontal="right" indent="2"/>
    </xf>
    <xf numFmtId="3" fontId="92" fillId="6" borderId="17" xfId="2" applyNumberFormat="1" applyFont="1" applyFill="1" applyBorder="1" applyAlignment="1">
      <alignment horizontal="right" indent="2"/>
    </xf>
    <xf numFmtId="3" fontId="92" fillId="6" borderId="11" xfId="2" applyNumberFormat="1" applyFont="1" applyFill="1" applyBorder="1" applyAlignment="1">
      <alignment horizontal="right" indent="2"/>
    </xf>
    <xf numFmtId="3" fontId="35" fillId="0" borderId="0" xfId="2" applyNumberFormat="1" applyFont="1" applyFill="1" applyBorder="1" applyAlignment="1">
      <alignment horizontal="right" indent="2"/>
    </xf>
    <xf numFmtId="3" fontId="92" fillId="0" borderId="0" xfId="2" applyNumberFormat="1" applyFont="1" applyFill="1" applyBorder="1" applyAlignment="1">
      <alignment horizontal="right" indent="2"/>
    </xf>
    <xf numFmtId="3" fontId="35" fillId="0" borderId="11" xfId="2" applyNumberFormat="1" applyFont="1" applyFill="1" applyBorder="1" applyAlignment="1">
      <alignment horizontal="right" indent="2"/>
    </xf>
    <xf numFmtId="3" fontId="92" fillId="6" borderId="79" xfId="2" applyNumberFormat="1" applyFont="1" applyFill="1" applyBorder="1" applyAlignment="1">
      <alignment horizontal="right" indent="2"/>
    </xf>
    <xf numFmtId="3" fontId="35" fillId="0" borderId="0" xfId="2" applyNumberFormat="1" applyFont="1" applyAlignment="1">
      <alignment horizontal="right" indent="2"/>
    </xf>
    <xf numFmtId="165" fontId="58" fillId="6" borderId="21" xfId="2" applyNumberFormat="1" applyFont="1" applyFill="1" applyBorder="1" applyAlignment="1">
      <alignment horizontal="right" vertical="center" wrapText="1" indent="2"/>
    </xf>
    <xf numFmtId="165" fontId="35" fillId="6" borderId="8" xfId="2" applyNumberFormat="1" applyFont="1" applyFill="1" applyBorder="1" applyAlignment="1">
      <alignment horizontal="right" indent="2"/>
    </xf>
    <xf numFmtId="165" fontId="66" fillId="6" borderId="22" xfId="2" applyNumberFormat="1" applyFont="1" applyFill="1" applyBorder="1" applyAlignment="1">
      <alignment horizontal="right"/>
    </xf>
    <xf numFmtId="165" fontId="35" fillId="0" borderId="8" xfId="2" applyNumberFormat="1" applyFont="1" applyFill="1" applyBorder="1" applyAlignment="1">
      <alignment horizontal="right" indent="2"/>
    </xf>
    <xf numFmtId="165" fontId="35" fillId="6" borderId="23" xfId="2" applyNumberFormat="1" applyFont="1" applyFill="1" applyBorder="1" applyAlignment="1">
      <alignment horizontal="right" indent="2"/>
    </xf>
    <xf numFmtId="165" fontId="35" fillId="6" borderId="24" xfId="2" applyNumberFormat="1" applyFont="1" applyFill="1" applyBorder="1" applyAlignment="1">
      <alignment horizontal="right" indent="2"/>
    </xf>
    <xf numFmtId="165" fontId="35" fillId="6" borderId="51" xfId="2" applyNumberFormat="1" applyFont="1" applyFill="1" applyBorder="1" applyAlignment="1">
      <alignment horizontal="right" indent="2"/>
    </xf>
    <xf numFmtId="165" fontId="35" fillId="0" borderId="11" xfId="2" applyNumberFormat="1" applyFont="1" applyFill="1" applyBorder="1" applyAlignment="1">
      <alignment horizontal="right" indent="2"/>
    </xf>
    <xf numFmtId="165" fontId="35" fillId="6" borderId="21" xfId="2" applyNumberFormat="1" applyFont="1" applyFill="1" applyBorder="1" applyAlignment="1">
      <alignment horizontal="right" indent="2"/>
    </xf>
    <xf numFmtId="165" fontId="35" fillId="6" borderId="11" xfId="2" applyNumberFormat="1" applyFont="1" applyFill="1" applyBorder="1" applyAlignment="1">
      <alignment horizontal="right" indent="2"/>
    </xf>
    <xf numFmtId="165" fontId="35" fillId="0" borderId="0" xfId="2" applyNumberFormat="1" applyFont="1" applyFill="1" applyBorder="1" applyAlignment="1">
      <alignment horizontal="right" indent="2"/>
    </xf>
    <xf numFmtId="165" fontId="35" fillId="6" borderId="63" xfId="2" applyNumberFormat="1" applyFont="1" applyFill="1" applyBorder="1" applyAlignment="1">
      <alignment horizontal="right" indent="2"/>
    </xf>
    <xf numFmtId="165" fontId="35" fillId="0" borderId="0" xfId="2" applyNumberFormat="1" applyFont="1" applyAlignment="1">
      <alignment horizontal="right" indent="2"/>
    </xf>
    <xf numFmtId="165" fontId="35" fillId="6" borderId="22" xfId="2" applyNumberFormat="1" applyFont="1" applyFill="1" applyBorder="1" applyAlignment="1">
      <alignment horizontal="right"/>
    </xf>
    <xf numFmtId="3" fontId="58" fillId="6" borderId="21" xfId="2" applyNumberFormat="1" applyFont="1" applyFill="1" applyBorder="1" applyAlignment="1">
      <alignment horizontal="right" vertical="center" wrapText="1" indent="2"/>
    </xf>
    <xf numFmtId="3" fontId="35" fillId="6" borderId="8" xfId="2" applyNumberFormat="1" applyFont="1" applyFill="1" applyBorder="1" applyAlignment="1">
      <alignment horizontal="right" indent="2"/>
    </xf>
    <xf numFmtId="3" fontId="35" fillId="6" borderId="22" xfId="2" applyNumberFormat="1" applyFont="1" applyFill="1" applyBorder="1" applyAlignment="1">
      <alignment horizontal="right"/>
    </xf>
    <xf numFmtId="3" fontId="35" fillId="0" borderId="8" xfId="2" applyNumberFormat="1" applyFont="1" applyFill="1" applyBorder="1" applyAlignment="1">
      <alignment horizontal="right" indent="2"/>
    </xf>
    <xf numFmtId="3" fontId="35" fillId="6" borderId="23" xfId="2" applyNumberFormat="1" applyFont="1" applyFill="1" applyBorder="1" applyAlignment="1">
      <alignment horizontal="right" indent="2"/>
    </xf>
    <xf numFmtId="3" fontId="35" fillId="6" borderId="24" xfId="2" applyNumberFormat="1" applyFont="1" applyFill="1" applyBorder="1" applyAlignment="1">
      <alignment horizontal="right" indent="2"/>
    </xf>
    <xf numFmtId="3" fontId="35" fillId="6" borderId="51" xfId="2" applyNumberFormat="1" applyFont="1" applyFill="1" applyBorder="1" applyAlignment="1">
      <alignment horizontal="right" indent="2"/>
    </xf>
    <xf numFmtId="3" fontId="35" fillId="6" borderId="11" xfId="2" applyNumberFormat="1" applyFont="1" applyFill="1" applyBorder="1" applyAlignment="1">
      <alignment horizontal="right" indent="2"/>
    </xf>
    <xf numFmtId="3" fontId="35" fillId="6" borderId="63" xfId="2" applyNumberFormat="1" applyFont="1" applyFill="1" applyBorder="1" applyAlignment="1">
      <alignment horizontal="right" indent="2"/>
    </xf>
    <xf numFmtId="165" fontId="31" fillId="0" borderId="8" xfId="2" applyNumberFormat="1" applyFont="1" applyFill="1" applyBorder="1" applyAlignment="1">
      <alignment horizontal="right" indent="2"/>
    </xf>
    <xf numFmtId="165" fontId="93" fillId="6" borderId="23" xfId="2" applyNumberFormat="1" applyFont="1" applyFill="1" applyBorder="1" applyAlignment="1">
      <alignment horizontal="right" indent="2"/>
    </xf>
    <xf numFmtId="165" fontId="93" fillId="0" borderId="8" xfId="2" applyNumberFormat="1" applyFont="1" applyFill="1" applyBorder="1" applyAlignment="1">
      <alignment horizontal="right" indent="2"/>
    </xf>
    <xf numFmtId="165" fontId="93" fillId="6" borderId="24" xfId="2" applyNumberFormat="1" applyFont="1" applyFill="1" applyBorder="1" applyAlignment="1">
      <alignment horizontal="right" indent="2"/>
    </xf>
    <xf numFmtId="165" fontId="93" fillId="6" borderId="51" xfId="2" applyNumberFormat="1" applyFont="1" applyFill="1" applyBorder="1" applyAlignment="1">
      <alignment horizontal="right" indent="2"/>
    </xf>
    <xf numFmtId="165" fontId="93" fillId="0" borderId="11" xfId="2" applyNumberFormat="1" applyFont="1" applyFill="1" applyBorder="1" applyAlignment="1">
      <alignment horizontal="right" indent="2"/>
    </xf>
    <xf numFmtId="165" fontId="93" fillId="6" borderId="21" xfId="2" applyNumberFormat="1" applyFont="1" applyFill="1" applyBorder="1" applyAlignment="1">
      <alignment horizontal="right" indent="2"/>
    </xf>
    <xf numFmtId="165" fontId="93" fillId="6" borderId="11" xfId="2" applyNumberFormat="1" applyFont="1" applyFill="1" applyBorder="1" applyAlignment="1">
      <alignment horizontal="right" indent="2"/>
    </xf>
    <xf numFmtId="165" fontId="93" fillId="0" borderId="0" xfId="2" applyNumberFormat="1" applyFont="1" applyFill="1" applyBorder="1" applyAlignment="1">
      <alignment horizontal="right" indent="2"/>
    </xf>
    <xf numFmtId="165" fontId="93" fillId="6" borderId="63" xfId="2" applyNumberFormat="1" applyFont="1" applyFill="1" applyBorder="1" applyAlignment="1">
      <alignment horizontal="right" indent="2"/>
    </xf>
    <xf numFmtId="165" fontId="58" fillId="6" borderId="33" xfId="2" applyNumberFormat="1" applyFont="1" applyFill="1" applyBorder="1" applyAlignment="1">
      <alignment horizontal="right" vertical="center" wrapText="1" indent="2"/>
    </xf>
    <xf numFmtId="165" fontId="35" fillId="6" borderId="41" xfId="2" applyNumberFormat="1" applyFont="1" applyFill="1" applyBorder="1" applyAlignment="1">
      <alignment horizontal="right" indent="2"/>
    </xf>
    <xf numFmtId="165" fontId="35" fillId="6" borderId="34" xfId="2" applyNumberFormat="1" applyFont="1" applyFill="1" applyBorder="1" applyAlignment="1">
      <alignment horizontal="right"/>
    </xf>
    <xf numFmtId="165" fontId="35" fillId="0" borderId="9" xfId="2" applyNumberFormat="1" applyFont="1" applyFill="1" applyBorder="1" applyAlignment="1">
      <alignment horizontal="right" indent="2"/>
    </xf>
    <xf numFmtId="165" fontId="92" fillId="6" borderId="35" xfId="2" applyNumberFormat="1" applyFont="1" applyFill="1" applyBorder="1" applyAlignment="1">
      <alignment horizontal="right" indent="2"/>
    </xf>
    <xf numFmtId="165" fontId="93" fillId="0" borderId="9" xfId="2" applyNumberFormat="1" applyFont="1" applyFill="1" applyBorder="1" applyAlignment="1">
      <alignment horizontal="right" indent="2"/>
    </xf>
    <xf numFmtId="165" fontId="92" fillId="6" borderId="36" xfId="2" applyNumberFormat="1" applyFont="1" applyFill="1" applyBorder="1" applyAlignment="1">
      <alignment horizontal="right" indent="2"/>
    </xf>
    <xf numFmtId="165" fontId="92" fillId="6" borderId="66" xfId="2" applyNumberFormat="1" applyFont="1" applyFill="1" applyBorder="1" applyAlignment="1">
      <alignment horizontal="right" indent="2"/>
    </xf>
    <xf numFmtId="165" fontId="93" fillId="0" borderId="38" xfId="2" applyNumberFormat="1" applyFont="1" applyFill="1" applyBorder="1" applyAlignment="1">
      <alignment horizontal="right" indent="2"/>
    </xf>
    <xf numFmtId="165" fontId="92" fillId="6" borderId="33" xfId="2" applyNumberFormat="1" applyFont="1" applyFill="1" applyBorder="1" applyAlignment="1">
      <alignment horizontal="right" indent="2"/>
    </xf>
    <xf numFmtId="165" fontId="92" fillId="6" borderId="38" xfId="2" applyNumberFormat="1" applyFont="1" applyFill="1" applyBorder="1" applyAlignment="1">
      <alignment horizontal="right" indent="2"/>
    </xf>
    <xf numFmtId="165" fontId="92" fillId="0" borderId="42" xfId="2" applyNumberFormat="1" applyFont="1" applyFill="1" applyBorder="1" applyAlignment="1">
      <alignment horizontal="right" indent="2"/>
    </xf>
    <xf numFmtId="165" fontId="35" fillId="0" borderId="38" xfId="2" applyNumberFormat="1" applyFont="1" applyFill="1" applyBorder="1" applyAlignment="1">
      <alignment horizontal="right" indent="2"/>
    </xf>
    <xf numFmtId="165" fontId="92" fillId="6" borderId="64" xfId="2" applyNumberFormat="1" applyFont="1" applyFill="1" applyBorder="1" applyAlignment="1">
      <alignment horizontal="right" indent="2"/>
    </xf>
    <xf numFmtId="0" fontId="4" fillId="0" borderId="0" xfId="3" applyAlignment="1">
      <alignment vertical="center" wrapText="1"/>
    </xf>
    <xf numFmtId="3" fontId="3" fillId="6" borderId="88" xfId="0" applyNumberFormat="1" applyFont="1" applyFill="1" applyBorder="1" applyAlignment="1">
      <alignment horizontal="right" indent="2"/>
    </xf>
    <xf numFmtId="3" fontId="3" fillId="12" borderId="88" xfId="0" applyNumberFormat="1" applyFont="1" applyFill="1" applyBorder="1" applyAlignment="1">
      <alignment horizontal="right" indent="2"/>
    </xf>
    <xf numFmtId="3" fontId="4" fillId="0" borderId="0" xfId="3" applyNumberFormat="1" applyBorder="1" applyAlignment="1">
      <alignment horizontal="right" indent="2"/>
    </xf>
    <xf numFmtId="3" fontId="3" fillId="4" borderId="47" xfId="0" applyNumberFormat="1" applyFont="1" applyFill="1" applyBorder="1" applyAlignment="1">
      <alignment horizontal="right" indent="2"/>
    </xf>
    <xf numFmtId="165" fontId="13" fillId="0" borderId="62" xfId="2" applyNumberFormat="1" applyFont="1" applyFill="1" applyBorder="1" applyAlignment="1"/>
    <xf numFmtId="3" fontId="3" fillId="4" borderId="30" xfId="0" applyNumberFormat="1" applyFont="1" applyFill="1" applyBorder="1" applyAlignment="1">
      <alignment horizontal="right" indent="2"/>
    </xf>
    <xf numFmtId="3" fontId="67" fillId="4" borderId="36" xfId="0" applyNumberFormat="1" applyFont="1" applyFill="1" applyBorder="1" applyAlignment="1">
      <alignment horizontal="right" indent="2"/>
    </xf>
    <xf numFmtId="3" fontId="3" fillId="4" borderId="21" xfId="0" applyNumberFormat="1" applyFont="1" applyFill="1" applyBorder="1" applyAlignment="1">
      <alignment horizontal="right" vertical="center" wrapText="1" indent="2"/>
    </xf>
    <xf numFmtId="3" fontId="3" fillId="4" borderId="24" xfId="0" applyNumberFormat="1" applyFont="1" applyFill="1" applyBorder="1" applyAlignment="1">
      <alignment horizontal="right" vertical="center" wrapText="1" indent="2"/>
    </xf>
    <xf numFmtId="3" fontId="3" fillId="12" borderId="24" xfId="0" applyNumberFormat="1" applyFont="1" applyFill="1" applyBorder="1" applyAlignment="1">
      <alignment horizontal="right" vertical="center" wrapText="1" indent="2"/>
    </xf>
    <xf numFmtId="165" fontId="13" fillId="0" borderId="9" xfId="2" applyNumberFormat="1" applyFont="1" applyFill="1" applyBorder="1" applyAlignment="1">
      <alignment horizontal="center" vertical="center" wrapText="1"/>
    </xf>
    <xf numFmtId="3" fontId="0" fillId="0" borderId="90" xfId="0" applyNumberFormat="1" applyBorder="1" applyAlignment="1">
      <alignment horizontal="right" vertical="center" wrapText="1" indent="2"/>
    </xf>
    <xf numFmtId="3" fontId="2" fillId="0" borderId="11" xfId="0" applyNumberFormat="1" applyFont="1" applyBorder="1" applyAlignment="1">
      <alignment horizontal="right" vertical="center" wrapText="1" indent="2"/>
    </xf>
    <xf numFmtId="3" fontId="5" fillId="4" borderId="17" xfId="0" applyNumberFormat="1" applyFont="1" applyFill="1" applyBorder="1" applyAlignment="1">
      <alignment horizontal="right" indent="2"/>
    </xf>
    <xf numFmtId="3" fontId="12" fillId="4" borderId="59" xfId="0" applyNumberFormat="1" applyFont="1" applyFill="1" applyBorder="1" applyAlignment="1">
      <alignment horizontal="right" indent="2"/>
    </xf>
    <xf numFmtId="3" fontId="3" fillId="12" borderId="47" xfId="0" applyNumberFormat="1" applyFont="1" applyFill="1" applyBorder="1" applyAlignment="1">
      <alignment horizontal="right" indent="2"/>
    </xf>
    <xf numFmtId="3" fontId="5" fillId="4" borderId="21" xfId="0" applyNumberFormat="1" applyFont="1" applyFill="1" applyBorder="1" applyAlignment="1">
      <alignment horizontal="right" indent="2"/>
    </xf>
    <xf numFmtId="3" fontId="12" fillId="4" borderId="26" xfId="0" applyNumberFormat="1" applyFont="1" applyFill="1" applyBorder="1" applyAlignment="1">
      <alignment horizontal="right" indent="2"/>
    </xf>
    <xf numFmtId="3" fontId="3" fillId="2" borderId="24" xfId="0" applyNumberFormat="1" applyFont="1" applyFill="1" applyBorder="1" applyAlignment="1">
      <alignment horizontal="right" indent="2"/>
    </xf>
    <xf numFmtId="3" fontId="5" fillId="4" borderId="27" xfId="0" applyNumberFormat="1" applyFont="1" applyFill="1" applyBorder="1" applyAlignment="1">
      <alignment horizontal="right" indent="2"/>
    </xf>
    <xf numFmtId="3" fontId="3" fillId="12" borderId="30" xfId="0" quotePrefix="1" applyNumberFormat="1" applyFont="1" applyFill="1" applyBorder="1" applyAlignment="1">
      <alignment horizontal="right" indent="2"/>
    </xf>
    <xf numFmtId="3" fontId="3" fillId="2" borderId="30" xfId="0" applyNumberFormat="1" applyFont="1" applyFill="1" applyBorder="1" applyAlignment="1">
      <alignment horizontal="right" indent="2"/>
    </xf>
    <xf numFmtId="165" fontId="19" fillId="4" borderId="39" xfId="2" applyNumberFormat="1" applyFont="1" applyFill="1" applyBorder="1" applyAlignment="1">
      <alignment horizontal="right" indent="2"/>
    </xf>
    <xf numFmtId="165" fontId="19" fillId="0" borderId="84" xfId="2" applyNumberFormat="1" applyFont="1" applyBorder="1" applyAlignment="1">
      <alignment horizontal="right" vertical="center" wrapText="1" indent="2"/>
    </xf>
    <xf numFmtId="3" fontId="23" fillId="6" borderId="26" xfId="0" applyNumberFormat="1" applyFont="1" applyFill="1" applyBorder="1" applyAlignment="1">
      <alignment horizontal="right" indent="2"/>
    </xf>
    <xf numFmtId="3" fontId="11" fillId="6" borderId="17" xfId="0" applyNumberFormat="1" applyFont="1" applyFill="1" applyBorder="1" applyAlignment="1">
      <alignment horizontal="center" vertical="center" textRotation="90" wrapText="1"/>
    </xf>
    <xf numFmtId="3" fontId="0" fillId="6" borderId="6" xfId="0" applyNumberFormat="1" applyFill="1" applyBorder="1"/>
    <xf numFmtId="3" fontId="0" fillId="0" borderId="6" xfId="0" applyNumberFormat="1" applyBorder="1" applyAlignment="1">
      <alignment horizontal="right"/>
    </xf>
    <xf numFmtId="3" fontId="26" fillId="0" borderId="6" xfId="2" applyNumberFormat="1" applyFont="1" applyFill="1" applyBorder="1" applyAlignment="1">
      <alignment horizontal="right"/>
    </xf>
    <xf numFmtId="3" fontId="26" fillId="6" borderId="62" xfId="2" applyNumberFormat="1" applyFont="1" applyFill="1" applyBorder="1" applyAlignment="1">
      <alignment horizontal="right" indent="2"/>
    </xf>
    <xf numFmtId="165" fontId="26" fillId="0" borderId="0" xfId="2" applyNumberFormat="1" applyFont="1" applyFill="1" applyBorder="1" applyAlignment="1">
      <alignment horizontal="right" indent="2"/>
    </xf>
    <xf numFmtId="3" fontId="26" fillId="6" borderId="6" xfId="2" applyNumberFormat="1" applyFont="1" applyFill="1" applyBorder="1" applyAlignment="1">
      <alignment horizontal="right" indent="2"/>
    </xf>
    <xf numFmtId="165" fontId="11" fillId="6" borderId="21" xfId="0" applyNumberFormat="1" applyFont="1" applyFill="1" applyBorder="1" applyAlignment="1">
      <alignment horizontal="center" vertical="center" textRotation="90" wrapText="1"/>
    </xf>
    <xf numFmtId="165" fontId="0" fillId="6" borderId="8" xfId="0" applyNumberFormat="1" applyFill="1" applyBorder="1"/>
    <xf numFmtId="165" fontId="0" fillId="6" borderId="22" xfId="0" applyNumberFormat="1" applyFill="1" applyBorder="1" applyAlignment="1">
      <alignment horizontal="right"/>
    </xf>
    <xf numFmtId="165" fontId="0" fillId="0" borderId="8" xfId="0" applyNumberFormat="1" applyBorder="1"/>
    <xf numFmtId="165" fontId="0" fillId="6" borderId="23" xfId="0" applyNumberFormat="1" applyFill="1" applyBorder="1"/>
    <xf numFmtId="165" fontId="0" fillId="6" borderId="24" xfId="0" applyNumberFormat="1" applyFill="1" applyBorder="1"/>
    <xf numFmtId="165" fontId="0" fillId="6" borderId="51" xfId="0" applyNumberFormat="1" applyFill="1" applyBorder="1"/>
    <xf numFmtId="165" fontId="0" fillId="0" borderId="11" xfId="0" applyNumberFormat="1" applyBorder="1"/>
    <xf numFmtId="165" fontId="0" fillId="0" borderId="0" xfId="0" applyNumberFormat="1"/>
    <xf numFmtId="165" fontId="0" fillId="6" borderId="22" xfId="0" applyNumberFormat="1" applyFill="1" applyBorder="1"/>
    <xf numFmtId="3" fontId="0" fillId="6" borderId="22" xfId="0" applyNumberFormat="1" applyFill="1" applyBorder="1"/>
    <xf numFmtId="165" fontId="63" fillId="6" borderId="22" xfId="0" applyNumberFormat="1" applyFont="1" applyFill="1" applyBorder="1" applyAlignment="1">
      <alignment horizontal="right"/>
    </xf>
    <xf numFmtId="165" fontId="3" fillId="0" borderId="8" xfId="0" applyNumberFormat="1" applyFont="1" applyBorder="1" applyAlignment="1">
      <alignment horizontal="right"/>
    </xf>
    <xf numFmtId="165" fontId="27" fillId="6" borderId="23" xfId="0" applyNumberFormat="1" applyFont="1" applyFill="1" applyBorder="1" applyAlignment="1">
      <alignment horizontal="right" indent="2"/>
    </xf>
    <xf numFmtId="165" fontId="27" fillId="6" borderId="24" xfId="0" applyNumberFormat="1" applyFont="1" applyFill="1" applyBorder="1" applyAlignment="1">
      <alignment horizontal="right" indent="2"/>
    </xf>
    <xf numFmtId="165" fontId="27" fillId="6" borderId="51" xfId="0" applyNumberFormat="1" applyFont="1" applyFill="1" applyBorder="1" applyAlignment="1">
      <alignment horizontal="right" indent="2"/>
    </xf>
    <xf numFmtId="165" fontId="27" fillId="6" borderId="21" xfId="0" applyNumberFormat="1" applyFont="1" applyFill="1" applyBorder="1" applyAlignment="1">
      <alignment horizontal="right" indent="4"/>
    </xf>
    <xf numFmtId="165" fontId="27" fillId="6" borderId="22" xfId="0" applyNumberFormat="1" applyFont="1" applyFill="1" applyBorder="1" applyAlignment="1">
      <alignment horizontal="right" indent="2"/>
    </xf>
    <xf numFmtId="165" fontId="27" fillId="6" borderId="8" xfId="0" applyNumberFormat="1" applyFont="1" applyFill="1" applyBorder="1" applyAlignment="1">
      <alignment horizontal="right" indent="2"/>
    </xf>
    <xf numFmtId="165" fontId="11" fillId="6" borderId="33" xfId="0" applyNumberFormat="1" applyFont="1" applyFill="1" applyBorder="1" applyAlignment="1">
      <alignment horizontal="center" vertical="center" textRotation="90" wrapText="1"/>
    </xf>
    <xf numFmtId="165" fontId="0" fillId="6" borderId="41" xfId="0" applyNumberFormat="1" applyFill="1" applyBorder="1"/>
    <xf numFmtId="165" fontId="0" fillId="0" borderId="9" xfId="0" applyNumberFormat="1" applyBorder="1" applyAlignment="1">
      <alignment horizontal="right"/>
    </xf>
    <xf numFmtId="165" fontId="26" fillId="6" borderId="33" xfId="2" applyNumberFormat="1" applyFont="1" applyFill="1" applyBorder="1" applyAlignment="1">
      <alignment horizontal="right" indent="4"/>
    </xf>
    <xf numFmtId="165" fontId="26" fillId="6" borderId="34" xfId="2" applyNumberFormat="1" applyFont="1" applyFill="1" applyBorder="1" applyAlignment="1">
      <alignment horizontal="right" indent="2"/>
    </xf>
    <xf numFmtId="165" fontId="26" fillId="6" borderId="41" xfId="2" applyNumberFormat="1" applyFont="1" applyFill="1" applyBorder="1" applyAlignment="1">
      <alignment horizontal="right" indent="2"/>
    </xf>
    <xf numFmtId="0" fontId="3" fillId="0" borderId="0" xfId="0" applyFont="1" applyAlignment="1">
      <alignment horizontal="center" vertical="center"/>
    </xf>
    <xf numFmtId="0" fontId="52" fillId="0" borderId="5" xfId="3" applyFont="1" applyBorder="1" applyAlignment="1">
      <alignment horizontal="center" vertical="center" wrapText="1"/>
    </xf>
    <xf numFmtId="0" fontId="4" fillId="0" borderId="0" xfId="3" applyAlignment="1">
      <alignment wrapText="1"/>
    </xf>
    <xf numFmtId="0" fontId="0" fillId="0" borderId="42" xfId="0" applyBorder="1" applyAlignment="1">
      <alignment vertical="center" wrapText="1"/>
    </xf>
    <xf numFmtId="3" fontId="56" fillId="4" borderId="24" xfId="0" applyNumberFormat="1" applyFont="1" applyFill="1" applyBorder="1" applyAlignment="1">
      <alignment horizontal="right" vertical="center" wrapText="1" indent="2"/>
    </xf>
    <xf numFmtId="3" fontId="12" fillId="0" borderId="20" xfId="0" applyNumberFormat="1" applyFont="1" applyBorder="1" applyAlignment="1">
      <alignment horizontal="right" indent="2"/>
    </xf>
    <xf numFmtId="3" fontId="12" fillId="0" borderId="80" xfId="0" applyNumberFormat="1" applyFont="1" applyBorder="1" applyAlignment="1">
      <alignment horizontal="right" indent="2"/>
    </xf>
    <xf numFmtId="3" fontId="12" fillId="0" borderId="86" xfId="0" applyNumberFormat="1" applyFont="1" applyBorder="1" applyAlignment="1">
      <alignment horizontal="right" indent="2"/>
    </xf>
    <xf numFmtId="3" fontId="12" fillId="4" borderId="65" xfId="0" applyNumberFormat="1" applyFont="1" applyFill="1" applyBorder="1" applyAlignment="1">
      <alignment horizontal="right" indent="2"/>
    </xf>
    <xf numFmtId="166" fontId="0" fillId="0" borderId="52" xfId="0" applyNumberFormat="1" applyBorder="1" applyAlignment="1">
      <alignment horizontal="right" indent="2"/>
    </xf>
    <xf numFmtId="3" fontId="12" fillId="4" borderId="51" xfId="0" applyNumberFormat="1" applyFont="1" applyFill="1" applyBorder="1" applyAlignment="1">
      <alignment horizontal="right" indent="2"/>
    </xf>
    <xf numFmtId="3" fontId="12" fillId="4" borderId="74" xfId="0" applyNumberFormat="1" applyFont="1" applyFill="1" applyBorder="1" applyAlignment="1">
      <alignment horizontal="right" indent="2"/>
    </xf>
    <xf numFmtId="3" fontId="12" fillId="4" borderId="10" xfId="0" applyNumberFormat="1" applyFont="1" applyFill="1" applyBorder="1" applyAlignment="1">
      <alignment horizontal="right" indent="2"/>
    </xf>
    <xf numFmtId="3" fontId="12" fillId="4" borderId="0" xfId="0" applyNumberFormat="1" applyFont="1" applyFill="1" applyAlignment="1">
      <alignment horizontal="right" indent="2"/>
    </xf>
    <xf numFmtId="3" fontId="12" fillId="4" borderId="0" xfId="0" applyNumberFormat="1" applyFont="1" applyFill="1" applyAlignment="1">
      <alignment horizontal="right" vertical="center" wrapText="1" indent="2"/>
    </xf>
    <xf numFmtId="3" fontId="13" fillId="4" borderId="11" xfId="2" applyNumberFormat="1" applyFont="1" applyFill="1" applyBorder="1"/>
    <xf numFmtId="3" fontId="13" fillId="4" borderId="38" xfId="2" applyNumberFormat="1" applyFont="1" applyFill="1" applyBorder="1"/>
    <xf numFmtId="165" fontId="13" fillId="4" borderId="11" xfId="2" applyNumberFormat="1" applyFont="1" applyFill="1" applyBorder="1"/>
    <xf numFmtId="0" fontId="52" fillId="0" borderId="5" xfId="3" applyFont="1" applyFill="1" applyBorder="1" applyAlignment="1">
      <alignment horizontal="center" vertical="center" wrapText="1"/>
    </xf>
    <xf numFmtId="0" fontId="22" fillId="0" borderId="12"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44" xfId="0" applyFont="1" applyBorder="1" applyAlignment="1">
      <alignment vertical="center" wrapText="1"/>
    </xf>
    <xf numFmtId="3" fontId="56" fillId="6" borderId="24" xfId="0" applyNumberFormat="1" applyFont="1" applyFill="1" applyBorder="1" applyAlignment="1">
      <alignment horizontal="right" indent="2"/>
    </xf>
    <xf numFmtId="3" fontId="87" fillId="6" borderId="30" xfId="0" applyNumberFormat="1" applyFont="1" applyFill="1" applyBorder="1" applyAlignment="1">
      <alignment horizontal="right" indent="2"/>
    </xf>
    <xf numFmtId="3" fontId="87" fillId="6" borderId="31" xfId="0" applyNumberFormat="1" applyFont="1" applyFill="1" applyBorder="1" applyAlignment="1">
      <alignment horizontal="right" indent="2"/>
    </xf>
    <xf numFmtId="3" fontId="87" fillId="6" borderId="81" xfId="0" applyNumberFormat="1" applyFont="1" applyFill="1" applyBorder="1" applyAlignment="1">
      <alignment horizontal="right" indent="2"/>
    </xf>
    <xf numFmtId="3" fontId="56" fillId="6" borderId="30" xfId="0" applyNumberFormat="1" applyFont="1" applyFill="1" applyBorder="1" applyAlignment="1">
      <alignment horizontal="right" indent="2"/>
    </xf>
    <xf numFmtId="3" fontId="87" fillId="6" borderId="25" xfId="0" applyNumberFormat="1" applyFont="1" applyFill="1" applyBorder="1" applyAlignment="1">
      <alignment horizontal="right" indent="2"/>
    </xf>
    <xf numFmtId="3" fontId="87" fillId="6" borderId="24" xfId="0" applyNumberFormat="1" applyFont="1" applyFill="1" applyBorder="1" applyAlignment="1">
      <alignment horizontal="right" indent="2"/>
    </xf>
    <xf numFmtId="3" fontId="87" fillId="6" borderId="63" xfId="0" applyNumberFormat="1" applyFont="1" applyFill="1" applyBorder="1" applyAlignment="1">
      <alignment horizontal="right" indent="2"/>
    </xf>
    <xf numFmtId="3" fontId="0" fillId="0" borderId="10" xfId="0" applyNumberFormat="1" applyBorder="1"/>
    <xf numFmtId="3" fontId="0" fillId="0" borderId="19" xfId="0" applyNumberFormat="1" applyBorder="1"/>
    <xf numFmtId="3" fontId="22" fillId="0" borderId="43" xfId="0" applyNumberFormat="1" applyFont="1" applyBorder="1" applyAlignment="1">
      <alignment horizontal="center"/>
    </xf>
    <xf numFmtId="3" fontId="22" fillId="0" borderId="0" xfId="0" applyNumberFormat="1" applyFont="1" applyAlignment="1">
      <alignment horizontal="center"/>
    </xf>
    <xf numFmtId="3" fontId="22" fillId="0" borderId="0" xfId="0" applyNumberFormat="1" applyFont="1" applyAlignment="1">
      <alignment horizontal="left"/>
    </xf>
    <xf numFmtId="0" fontId="56" fillId="0" borderId="44" xfId="0" applyFont="1" applyBorder="1" applyAlignment="1">
      <alignment vertical="center" wrapText="1"/>
    </xf>
    <xf numFmtId="3" fontId="0" fillId="4" borderId="79" xfId="0" applyNumberFormat="1" applyFill="1" applyBorder="1" applyAlignment="1">
      <alignment horizontal="right" indent="2"/>
    </xf>
    <xf numFmtId="3" fontId="0" fillId="2" borderId="21" xfId="0" applyNumberFormat="1" applyFill="1" applyBorder="1" applyAlignment="1">
      <alignment horizontal="right" indent="2"/>
    </xf>
    <xf numFmtId="3" fontId="0" fillId="2" borderId="22" xfId="0" applyNumberFormat="1" applyFill="1" applyBorder="1" applyAlignment="1">
      <alignment horizontal="right" indent="2"/>
    </xf>
    <xf numFmtId="3" fontId="0" fillId="4" borderId="72" xfId="0" applyNumberFormat="1" applyFill="1" applyBorder="1" applyAlignment="1">
      <alignment horizontal="right" indent="2"/>
    </xf>
    <xf numFmtId="3" fontId="56" fillId="2" borderId="22" xfId="0" applyNumberFormat="1" applyFont="1" applyFill="1" applyBorder="1" applyAlignment="1">
      <alignment horizontal="right" indent="2"/>
    </xf>
    <xf numFmtId="3" fontId="87" fillId="4" borderId="50" xfId="0" applyNumberFormat="1" applyFont="1" applyFill="1" applyBorder="1" applyAlignment="1">
      <alignment horizontal="right" indent="2"/>
    </xf>
    <xf numFmtId="3" fontId="87" fillId="4" borderId="49" xfId="0" applyNumberFormat="1" applyFont="1" applyFill="1" applyBorder="1" applyAlignment="1">
      <alignment horizontal="right" indent="2"/>
    </xf>
    <xf numFmtId="3" fontId="87" fillId="4" borderId="72" xfId="0" applyNumberFormat="1" applyFont="1" applyFill="1" applyBorder="1" applyAlignment="1">
      <alignment horizontal="right" indent="2"/>
    </xf>
    <xf numFmtId="3" fontId="0" fillId="2" borderId="18" xfId="0" applyNumberFormat="1" applyFill="1" applyBorder="1" applyAlignment="1">
      <alignment horizontal="right" indent="2"/>
    </xf>
    <xf numFmtId="3" fontId="0" fillId="2" borderId="11" xfId="0" applyNumberFormat="1" applyFill="1" applyBorder="1" applyAlignment="1">
      <alignment horizontal="right" indent="2"/>
    </xf>
    <xf numFmtId="3" fontId="0" fillId="4" borderId="64" xfId="0" applyNumberFormat="1" applyFill="1" applyBorder="1" applyAlignment="1">
      <alignment horizontal="right" indent="2"/>
    </xf>
    <xf numFmtId="3" fontId="0" fillId="4" borderId="63" xfId="0" applyNumberFormat="1" applyFill="1" applyBorder="1" applyAlignment="1">
      <alignment horizontal="right" indent="2"/>
    </xf>
    <xf numFmtId="165" fontId="13" fillId="4" borderId="10" xfId="2" applyNumberFormat="1" applyFont="1" applyFill="1" applyBorder="1" applyAlignment="1">
      <alignment horizontal="right" indent="2"/>
    </xf>
    <xf numFmtId="0" fontId="4" fillId="0" borderId="3" xfId="3" applyFill="1" applyBorder="1" applyAlignment="1">
      <alignment horizontal="center" vertical="center" wrapText="1"/>
    </xf>
    <xf numFmtId="3" fontId="22" fillId="0" borderId="44" xfId="0" applyNumberFormat="1" applyFont="1" applyBorder="1" applyAlignment="1">
      <alignment horizontal="center"/>
    </xf>
    <xf numFmtId="3" fontId="22" fillId="0" borderId="18" xfId="0" applyNumberFormat="1" applyFont="1" applyBorder="1" applyAlignment="1">
      <alignment horizontal="center"/>
    </xf>
    <xf numFmtId="3" fontId="22" fillId="0" borderId="11" xfId="0" applyNumberFormat="1" applyFont="1" applyBorder="1" applyAlignment="1">
      <alignment horizontal="center"/>
    </xf>
    <xf numFmtId="3" fontId="95" fillId="4" borderId="25" xfId="0" applyNumberFormat="1" applyFont="1" applyFill="1" applyBorder="1" applyAlignment="1">
      <alignment horizontal="right" indent="2"/>
    </xf>
    <xf numFmtId="3" fontId="0" fillId="4" borderId="81" xfId="0" applyNumberFormat="1" applyFill="1" applyBorder="1" applyAlignment="1">
      <alignment horizontal="right" indent="2"/>
    </xf>
    <xf numFmtId="3" fontId="95" fillId="4" borderId="59" xfId="0" applyNumberFormat="1" applyFont="1" applyFill="1" applyBorder="1" applyAlignment="1">
      <alignment horizontal="right" indent="2"/>
    </xf>
    <xf numFmtId="3" fontId="0" fillId="0" borderId="43" xfId="0" applyNumberFormat="1" applyBorder="1" applyAlignment="1">
      <alignment horizontal="right" wrapText="1"/>
    </xf>
    <xf numFmtId="3" fontId="0" fillId="0" borderId="44" xfId="0" applyNumberFormat="1" applyBorder="1" applyAlignment="1">
      <alignment horizontal="right" wrapText="1"/>
    </xf>
    <xf numFmtId="3" fontId="0" fillId="0" borderId="0" xfId="0" applyNumberFormat="1" applyAlignment="1">
      <alignment horizontal="right" wrapText="1"/>
    </xf>
    <xf numFmtId="165" fontId="9" fillId="0" borderId="16" xfId="0" applyNumberFormat="1" applyFont="1" applyBorder="1" applyAlignment="1">
      <alignment horizontal="right" wrapText="1"/>
    </xf>
    <xf numFmtId="0" fontId="3" fillId="0" borderId="0" xfId="0" applyFont="1" applyAlignment="1">
      <alignment horizontal="right" wrapText="1"/>
    </xf>
    <xf numFmtId="3" fontId="0" fillId="0" borderId="43" xfId="0" applyNumberFormat="1" applyBorder="1" applyAlignment="1">
      <alignment horizontal="left" wrapText="1"/>
    </xf>
    <xf numFmtId="3" fontId="4" fillId="0" borderId="44" xfId="3" applyNumberFormat="1" applyFill="1" applyBorder="1" applyAlignment="1">
      <alignment horizontal="left" wrapText="1"/>
    </xf>
    <xf numFmtId="3" fontId="0" fillId="0" borderId="16" xfId="0" applyNumberFormat="1" applyBorder="1" applyAlignment="1">
      <alignment wrapText="1"/>
    </xf>
    <xf numFmtId="3" fontId="0" fillId="0" borderId="44" xfId="0" applyNumberFormat="1" applyBorder="1" applyAlignment="1">
      <alignment horizontal="left" wrapText="1"/>
    </xf>
    <xf numFmtId="165" fontId="20" fillId="4" borderId="64" xfId="2" applyNumberFormat="1" applyFont="1" applyFill="1" applyBorder="1" applyAlignment="1">
      <alignment horizontal="right" indent="2"/>
    </xf>
    <xf numFmtId="165" fontId="20" fillId="4" borderId="33" xfId="2" applyNumberFormat="1" applyFont="1" applyFill="1" applyBorder="1" applyAlignment="1">
      <alignment horizontal="right" indent="2"/>
    </xf>
    <xf numFmtId="165" fontId="20" fillId="0" borderId="34" xfId="2" applyNumberFormat="1" applyFont="1" applyFill="1" applyBorder="1" applyAlignment="1">
      <alignment horizontal="right" indent="2"/>
    </xf>
    <xf numFmtId="3" fontId="23" fillId="6" borderId="63" xfId="0" applyNumberFormat="1" applyFont="1" applyFill="1" applyBorder="1" applyAlignment="1">
      <alignment horizontal="right" indent="2"/>
    </xf>
    <xf numFmtId="3" fontId="2" fillId="6" borderId="8" xfId="0" applyNumberFormat="1" applyFont="1" applyFill="1" applyBorder="1" applyAlignment="1">
      <alignment horizontal="right" indent="2"/>
    </xf>
    <xf numFmtId="3" fontId="56" fillId="6" borderId="8" xfId="0" applyNumberFormat="1" applyFont="1" applyFill="1" applyBorder="1" applyAlignment="1">
      <alignment horizontal="right" indent="2"/>
    </xf>
    <xf numFmtId="3" fontId="0" fillId="7" borderId="26" xfId="0" applyNumberFormat="1" applyFill="1" applyBorder="1" applyAlignment="1">
      <alignment horizontal="right" indent="2"/>
    </xf>
    <xf numFmtId="3" fontId="2" fillId="7" borderId="11" xfId="0" applyNumberFormat="1" applyFont="1" applyFill="1" applyBorder="1" applyAlignment="1">
      <alignment horizontal="right" vertical="center" wrapText="1" indent="2"/>
    </xf>
    <xf numFmtId="3" fontId="0" fillId="7" borderId="39" xfId="0" applyNumberFormat="1" applyFill="1" applyBorder="1" applyAlignment="1">
      <alignment horizontal="right" indent="2"/>
    </xf>
    <xf numFmtId="0" fontId="0" fillId="6" borderId="24" xfId="0" applyFill="1" applyBorder="1" applyAlignment="1">
      <alignment horizontal="right" indent="2"/>
    </xf>
    <xf numFmtId="0" fontId="0" fillId="6" borderId="51" xfId="0" applyFill="1" applyBorder="1" applyAlignment="1">
      <alignment horizontal="right" indent="2"/>
    </xf>
    <xf numFmtId="0" fontId="0" fillId="6" borderId="63" xfId="0" applyFill="1" applyBorder="1" applyAlignment="1">
      <alignment horizontal="right" indent="2"/>
    </xf>
    <xf numFmtId="165" fontId="15" fillId="6" borderId="49" xfId="2" applyNumberFormat="1" applyFont="1" applyFill="1" applyBorder="1" applyAlignment="1">
      <alignment horizontal="right" indent="2"/>
    </xf>
    <xf numFmtId="165" fontId="15" fillId="6" borderId="52" xfId="2" applyNumberFormat="1" applyFont="1" applyFill="1" applyBorder="1" applyAlignment="1">
      <alignment horizontal="right" indent="2"/>
    </xf>
    <xf numFmtId="165" fontId="15" fillId="6" borderId="18" xfId="2" applyNumberFormat="1" applyFont="1" applyFill="1" applyBorder="1" applyAlignment="1">
      <alignment horizontal="right" indent="2"/>
    </xf>
    <xf numFmtId="165" fontId="15" fillId="0" borderId="0" xfId="2" applyNumberFormat="1" applyFont="1" applyFill="1" applyBorder="1" applyAlignment="1">
      <alignment horizontal="left"/>
    </xf>
    <xf numFmtId="0" fontId="21" fillId="4" borderId="0" xfId="0" applyFont="1" applyFill="1" applyAlignment="1">
      <alignment horizontal="left" vertical="top" wrapText="1"/>
    </xf>
    <xf numFmtId="3" fontId="0" fillId="12" borderId="21" xfId="0" applyNumberFormat="1" applyFill="1" applyBorder="1" applyAlignment="1">
      <alignment horizontal="right" indent="2"/>
    </xf>
    <xf numFmtId="3" fontId="0" fillId="12" borderId="26" xfId="0" applyNumberFormat="1" applyFill="1" applyBorder="1" applyAlignment="1">
      <alignment horizontal="right" indent="2"/>
    </xf>
    <xf numFmtId="3" fontId="0" fillId="12" borderId="33" xfId="0" applyNumberFormat="1" applyFill="1" applyBorder="1" applyAlignment="1">
      <alignment horizontal="right" indent="2"/>
    </xf>
    <xf numFmtId="3" fontId="0" fillId="12" borderId="39" xfId="0" applyNumberFormat="1" applyFill="1" applyBorder="1" applyAlignment="1">
      <alignment horizontal="right" indent="2"/>
    </xf>
    <xf numFmtId="3" fontId="0" fillId="12" borderId="36" xfId="0" applyNumberFormat="1" applyFill="1" applyBorder="1" applyAlignment="1">
      <alignment horizontal="right" indent="2"/>
    </xf>
    <xf numFmtId="3" fontId="0" fillId="2" borderId="34" xfId="0" applyNumberFormat="1" applyFill="1" applyBorder="1" applyAlignment="1">
      <alignment horizontal="right" indent="2"/>
    </xf>
    <xf numFmtId="3" fontId="0" fillId="12" borderId="47" xfId="0" applyNumberFormat="1" applyFill="1" applyBorder="1" applyAlignment="1">
      <alignment horizontal="right" indent="2"/>
    </xf>
    <xf numFmtId="3" fontId="0" fillId="0" borderId="50" xfId="0" applyNumberFormat="1" applyBorder="1"/>
    <xf numFmtId="3" fontId="0" fillId="12" borderId="49" xfId="0" applyNumberFormat="1" applyFill="1" applyBorder="1" applyAlignment="1">
      <alignment horizontal="right" indent="2"/>
    </xf>
    <xf numFmtId="3" fontId="0" fillId="0" borderId="50" xfId="0" applyNumberFormat="1" applyBorder="1" applyAlignment="1">
      <alignment horizontal="left" indent="2"/>
    </xf>
    <xf numFmtId="3" fontId="4" fillId="0" borderId="50" xfId="3" applyNumberFormat="1" applyBorder="1" applyAlignment="1">
      <alignment horizontal="left"/>
    </xf>
    <xf numFmtId="3" fontId="0" fillId="0" borderId="50" xfId="0" applyNumberFormat="1" applyBorder="1" applyAlignment="1">
      <alignment vertical="top"/>
    </xf>
    <xf numFmtId="0" fontId="96" fillId="0" borderId="0" xfId="0" applyFont="1"/>
    <xf numFmtId="3" fontId="0" fillId="2" borderId="38" xfId="0" applyNumberFormat="1" applyFill="1" applyBorder="1" applyAlignment="1">
      <alignment horizontal="right" indent="2"/>
    </xf>
    <xf numFmtId="43" fontId="0" fillId="0" borderId="0" xfId="5" applyFont="1"/>
    <xf numFmtId="0" fontId="3" fillId="0" borderId="5" xfId="0" applyFont="1" applyBorder="1"/>
    <xf numFmtId="3" fontId="56" fillId="0" borderId="47" xfId="0" applyNumberFormat="1" applyFont="1" applyBorder="1" applyAlignment="1">
      <alignment horizontal="right" wrapText="1" indent="2"/>
    </xf>
    <xf numFmtId="3" fontId="0" fillId="4" borderId="47" xfId="0" applyNumberFormat="1" applyFill="1" applyBorder="1" applyAlignment="1">
      <alignment horizontal="right" wrapText="1" indent="2"/>
    </xf>
    <xf numFmtId="3" fontId="56" fillId="12" borderId="47" xfId="0" applyNumberFormat="1" applyFont="1" applyFill="1" applyBorder="1" applyAlignment="1">
      <alignment horizontal="right" wrapText="1" indent="2"/>
    </xf>
    <xf numFmtId="3" fontId="0" fillId="0" borderId="0" xfId="0" applyNumberFormat="1" applyAlignment="1">
      <alignment horizontal="left" vertical="top" indent="2"/>
    </xf>
    <xf numFmtId="3" fontId="56" fillId="12" borderId="24" xfId="0" applyNumberFormat="1" applyFont="1" applyFill="1" applyBorder="1" applyAlignment="1">
      <alignment horizontal="right" wrapText="1" indent="2"/>
    </xf>
    <xf numFmtId="3" fontId="56" fillId="0" borderId="30" xfId="0" applyNumberFormat="1" applyFont="1" applyBorder="1" applyAlignment="1">
      <alignment horizontal="right" wrapText="1" indent="2"/>
    </xf>
    <xf numFmtId="0" fontId="45" fillId="4" borderId="8" xfId="0" applyFont="1" applyFill="1" applyBorder="1" applyAlignment="1">
      <alignment horizontal="left"/>
    </xf>
    <xf numFmtId="3" fontId="56" fillId="12" borderId="47" xfId="0" applyNumberFormat="1" applyFont="1" applyFill="1" applyBorder="1" applyAlignment="1">
      <alignment horizontal="right" indent="2"/>
    </xf>
    <xf numFmtId="3" fontId="56" fillId="2" borderId="47" xfId="0" applyNumberFormat="1" applyFont="1" applyFill="1" applyBorder="1" applyAlignment="1">
      <alignment horizontal="right" indent="2"/>
    </xf>
    <xf numFmtId="3" fontId="0" fillId="0" borderId="0" xfId="0" applyNumberFormat="1" applyAlignment="1">
      <alignment horizontal="right" wrapText="1" indent="2"/>
    </xf>
    <xf numFmtId="173" fontId="0" fillId="0" borderId="0" xfId="5" applyNumberFormat="1" applyFont="1"/>
    <xf numFmtId="3" fontId="2" fillId="4" borderId="30" xfId="0" applyNumberFormat="1" applyFont="1" applyFill="1" applyBorder="1" applyAlignment="1">
      <alignment horizontal="right" indent="2"/>
    </xf>
    <xf numFmtId="167" fontId="0" fillId="0" borderId="0" xfId="5" applyNumberFormat="1" applyFont="1"/>
    <xf numFmtId="165" fontId="20" fillId="0" borderId="42" xfId="2" applyNumberFormat="1" applyFont="1" applyBorder="1" applyAlignment="1">
      <alignment horizontal="right" indent="2"/>
    </xf>
    <xf numFmtId="3" fontId="0" fillId="0" borderId="16" xfId="0" applyNumberFormat="1" applyBorder="1" applyAlignment="1">
      <alignment horizontal="center"/>
    </xf>
    <xf numFmtId="3" fontId="51" fillId="6" borderId="24" xfId="0" applyNumberFormat="1" applyFont="1" applyFill="1" applyBorder="1" applyAlignment="1">
      <alignment horizontal="right" indent="2"/>
    </xf>
    <xf numFmtId="165" fontId="13" fillId="0" borderId="5" xfId="2" applyNumberFormat="1" applyFont="1" applyBorder="1"/>
    <xf numFmtId="165" fontId="13" fillId="0" borderId="10" xfId="2" applyNumberFormat="1" applyFont="1" applyBorder="1"/>
    <xf numFmtId="165" fontId="13" fillId="0" borderId="7" xfId="2" applyNumberFormat="1" applyFont="1" applyBorder="1"/>
    <xf numFmtId="0" fontId="12" fillId="0" borderId="10" xfId="0" applyFont="1" applyBorder="1" applyAlignment="1">
      <alignment vertical="top" wrapText="1"/>
    </xf>
    <xf numFmtId="3" fontId="99" fillId="6" borderId="46" xfId="2" applyNumberFormat="1" applyFont="1" applyFill="1" applyBorder="1" applyAlignment="1">
      <alignment horizontal="right" indent="2"/>
    </xf>
    <xf numFmtId="165" fontId="29" fillId="6" borderId="23" xfId="2" applyNumberFormat="1" applyFont="1" applyFill="1" applyBorder="1" applyAlignment="1">
      <alignment horizontal="right" indent="2"/>
    </xf>
    <xf numFmtId="165" fontId="0" fillId="0" borderId="8" xfId="2" applyNumberFormat="1" applyFont="1" applyBorder="1"/>
    <xf numFmtId="165" fontId="0" fillId="0" borderId="11" xfId="2" applyNumberFormat="1" applyFont="1" applyBorder="1"/>
    <xf numFmtId="165" fontId="12" fillId="0" borderId="0" xfId="2" applyNumberFormat="1" applyFont="1" applyAlignment="1">
      <alignment horizontal="right"/>
    </xf>
    <xf numFmtId="165" fontId="0" fillId="0" borderId="0" xfId="2" applyNumberFormat="1" applyFont="1"/>
    <xf numFmtId="0" fontId="29" fillId="6" borderId="23" xfId="0" applyFont="1" applyFill="1" applyBorder="1" applyAlignment="1">
      <alignment horizontal="right" indent="2"/>
    </xf>
    <xf numFmtId="3" fontId="29" fillId="6" borderId="23" xfId="0" applyNumberFormat="1" applyFont="1" applyFill="1" applyBorder="1" applyAlignment="1">
      <alignment horizontal="right" indent="2"/>
    </xf>
    <xf numFmtId="165" fontId="50" fillId="6" borderId="23" xfId="2" applyNumberFormat="1" applyFont="1" applyFill="1" applyBorder="1" applyAlignment="1">
      <alignment horizontal="right" indent="2"/>
    </xf>
    <xf numFmtId="165" fontId="99" fillId="6" borderId="35" xfId="2" applyNumberFormat="1" applyFont="1" applyFill="1" applyBorder="1" applyAlignment="1">
      <alignment horizontal="right" indent="2"/>
    </xf>
    <xf numFmtId="165" fontId="9" fillId="0" borderId="8" xfId="2" applyNumberFormat="1" applyFont="1" applyBorder="1" applyAlignment="1">
      <alignment horizontal="right"/>
    </xf>
    <xf numFmtId="165" fontId="9" fillId="0" borderId="42" xfId="2" applyNumberFormat="1" applyFont="1" applyBorder="1" applyAlignment="1">
      <alignment horizontal="right" indent="2"/>
    </xf>
    <xf numFmtId="0" fontId="12" fillId="0" borderId="7" xfId="0" applyFont="1" applyBorder="1" applyAlignment="1">
      <alignment vertical="top" wrapText="1"/>
    </xf>
    <xf numFmtId="174" fontId="0" fillId="0" borderId="0" xfId="1" applyNumberFormat="1" applyFont="1"/>
    <xf numFmtId="174" fontId="0" fillId="0" borderId="0" xfId="1" applyNumberFormat="1" applyFont="1" applyAlignment="1">
      <alignment horizontal="center" vertical="center"/>
    </xf>
    <xf numFmtId="174" fontId="0" fillId="0" borderId="4" xfId="1" applyNumberFormat="1" applyFont="1" applyBorder="1" applyAlignment="1">
      <alignment horizontal="center" vertical="center"/>
    </xf>
    <xf numFmtId="0" fontId="0" fillId="0" borderId="16" xfId="0" applyBorder="1" applyAlignment="1">
      <alignment horizontal="left" vertical="center"/>
    </xf>
    <xf numFmtId="3" fontId="56" fillId="0" borderId="11" xfId="0" applyNumberFormat="1" applyFont="1" applyBorder="1" applyAlignment="1">
      <alignment horizontal="right" indent="2"/>
    </xf>
    <xf numFmtId="3" fontId="0" fillId="0" borderId="38" xfId="0" applyNumberFormat="1" applyBorder="1" applyAlignment="1">
      <alignment horizontal="left"/>
    </xf>
    <xf numFmtId="3" fontId="0" fillId="4" borderId="19" xfId="0" applyNumberFormat="1" applyFill="1" applyBorder="1" applyAlignment="1">
      <alignment horizontal="right" indent="2"/>
    </xf>
    <xf numFmtId="3" fontId="0" fillId="0" borderId="72" xfId="0" applyNumberFormat="1" applyBorder="1" applyAlignment="1">
      <alignment horizontal="right" indent="2"/>
    </xf>
    <xf numFmtId="3" fontId="0" fillId="0" borderId="72" xfId="0" applyNumberFormat="1" applyBorder="1" applyAlignment="1">
      <alignment horizontal="left"/>
    </xf>
    <xf numFmtId="3" fontId="0" fillId="0" borderId="82" xfId="0" applyNumberFormat="1" applyBorder="1" applyAlignment="1">
      <alignment horizontal="left"/>
    </xf>
    <xf numFmtId="3" fontId="0" fillId="0" borderId="85" xfId="0" applyNumberFormat="1" applyBorder="1" applyAlignment="1">
      <alignment horizontal="left"/>
    </xf>
    <xf numFmtId="174" fontId="3" fillId="0" borderId="20" xfId="1" applyNumberFormat="1" applyFont="1" applyBorder="1" applyAlignment="1">
      <alignment horizontal="center" vertical="center" wrapText="1"/>
    </xf>
    <xf numFmtId="3" fontId="0" fillId="4" borderId="19" xfId="0" applyNumberFormat="1" applyFill="1" applyBorder="1" applyAlignment="1">
      <alignment horizontal="right" vertical="center" wrapText="1" indent="2"/>
    </xf>
    <xf numFmtId="174" fontId="0" fillId="4" borderId="24" xfId="1" applyNumberFormat="1" applyFont="1" applyFill="1" applyBorder="1" applyAlignment="1">
      <alignment horizontal="right" vertical="center" wrapText="1" indent="2"/>
    </xf>
    <xf numFmtId="3" fontId="18" fillId="0" borderId="43" xfId="2" applyNumberFormat="1" applyFont="1" applyBorder="1" applyAlignment="1">
      <alignment horizontal="right" indent="2"/>
    </xf>
    <xf numFmtId="165" fontId="13" fillId="0" borderId="43" xfId="2" applyNumberFormat="1" applyFont="1" applyBorder="1" applyAlignment="1">
      <alignment horizontal="center" vertical="center" wrapText="1"/>
    </xf>
    <xf numFmtId="165" fontId="30" fillId="0" borderId="44" xfId="2" applyNumberFormat="1" applyFont="1" applyBorder="1" applyAlignment="1">
      <alignment horizontal="right" indent="2"/>
    </xf>
    <xf numFmtId="165" fontId="13" fillId="0" borderId="44" xfId="2" applyNumberFormat="1" applyFont="1" applyBorder="1" applyAlignment="1">
      <alignment horizontal="center" vertical="center" wrapText="1"/>
    </xf>
    <xf numFmtId="174" fontId="13" fillId="0" borderId="43" xfId="1" applyNumberFormat="1" applyFont="1" applyBorder="1" applyAlignment="1">
      <alignment horizontal="center" vertical="center" wrapText="1"/>
    </xf>
    <xf numFmtId="165" fontId="50" fillId="0" borderId="0" xfId="2" applyNumberFormat="1" applyFont="1" applyAlignment="1">
      <alignment horizontal="left"/>
    </xf>
    <xf numFmtId="165" fontId="102" fillId="0" borderId="11" xfId="2" applyNumberFormat="1" applyFont="1" applyBorder="1" applyAlignment="1">
      <alignment horizontal="left"/>
    </xf>
    <xf numFmtId="174" fontId="0" fillId="4" borderId="18" xfId="1" applyNumberFormat="1" applyFont="1" applyFill="1" applyBorder="1"/>
    <xf numFmtId="3" fontId="86" fillId="4" borderId="42" xfId="0" applyNumberFormat="1" applyFont="1" applyFill="1" applyBorder="1" applyAlignment="1">
      <alignment horizontal="right" indent="2"/>
    </xf>
    <xf numFmtId="3" fontId="102" fillId="0" borderId="38" xfId="0" applyNumberFormat="1" applyFont="1" applyBorder="1" applyAlignment="1">
      <alignment horizontal="left"/>
    </xf>
    <xf numFmtId="174" fontId="0" fillId="4" borderId="58" xfId="1" applyNumberFormat="1" applyFont="1" applyFill="1" applyBorder="1" applyAlignment="1">
      <alignment horizontal="right" indent="2"/>
    </xf>
    <xf numFmtId="174" fontId="0" fillId="0" borderId="0" xfId="1" applyNumberFormat="1" applyFont="1" applyAlignment="1">
      <alignment horizontal="right" indent="2"/>
    </xf>
    <xf numFmtId="0" fontId="4" fillId="0" borderId="4" xfId="3" applyBorder="1" applyAlignment="1">
      <alignment horizontal="center" vertical="center" wrapText="1"/>
    </xf>
    <xf numFmtId="174" fontId="12" fillId="4" borderId="4" xfId="1" applyNumberFormat="1" applyFont="1" applyFill="1" applyBorder="1" applyAlignment="1">
      <alignment horizontal="center" vertical="center" wrapText="1"/>
    </xf>
    <xf numFmtId="3" fontId="0" fillId="0" borderId="16" xfId="0" applyNumberFormat="1" applyBorder="1" applyAlignment="1">
      <alignment horizontal="left"/>
    </xf>
    <xf numFmtId="174" fontId="0" fillId="0" borderId="43" xfId="1" applyNumberFormat="1" applyFont="1" applyBorder="1" applyAlignment="1">
      <alignment horizontal="left"/>
    </xf>
    <xf numFmtId="3" fontId="29" fillId="0" borderId="44" xfId="0" applyNumberFormat="1" applyFont="1" applyBorder="1" applyAlignment="1">
      <alignment horizontal="center" wrapText="1"/>
    </xf>
    <xf numFmtId="0" fontId="45" fillId="0" borderId="62" xfId="0" applyFont="1" applyBorder="1" applyAlignment="1">
      <alignment vertical="center" wrapText="1"/>
    </xf>
    <xf numFmtId="174" fontId="0" fillId="4" borderId="47" xfId="1" applyNumberFormat="1" applyFont="1" applyFill="1" applyBorder="1" applyAlignment="1">
      <alignment horizontal="right" indent="2"/>
    </xf>
    <xf numFmtId="165" fontId="9" fillId="0" borderId="11" xfId="2" applyNumberFormat="1" applyFont="1" applyBorder="1"/>
    <xf numFmtId="174" fontId="0" fillId="4" borderId="30" xfId="1" applyNumberFormat="1" applyFont="1" applyFill="1" applyBorder="1" applyAlignment="1">
      <alignment horizontal="right" indent="2"/>
    </xf>
    <xf numFmtId="0" fontId="104" fillId="4" borderId="9" xfId="0" applyFont="1" applyFill="1" applyBorder="1" applyAlignment="1">
      <alignment horizontal="right"/>
    </xf>
    <xf numFmtId="174" fontId="0" fillId="0" borderId="18" xfId="1" applyNumberFormat="1" applyFont="1" applyBorder="1" applyAlignment="1">
      <alignment horizontal="right" indent="2"/>
    </xf>
    <xf numFmtId="174" fontId="0" fillId="4" borderId="24" xfId="1" applyNumberFormat="1" applyFont="1" applyFill="1" applyBorder="1" applyAlignment="1">
      <alignment horizontal="right" indent="2"/>
    </xf>
    <xf numFmtId="174" fontId="0" fillId="4" borderId="36" xfId="1" applyNumberFormat="1" applyFont="1" applyFill="1" applyBorder="1" applyAlignment="1">
      <alignment horizontal="right" indent="2"/>
    </xf>
    <xf numFmtId="3" fontId="2" fillId="2" borderId="59" xfId="0" applyNumberFormat="1" applyFont="1" applyFill="1" applyBorder="1" applyAlignment="1">
      <alignment horizontal="right" indent="2"/>
    </xf>
    <xf numFmtId="3" fontId="2" fillId="4" borderId="0" xfId="0" applyNumberFormat="1" applyFont="1" applyFill="1" applyAlignment="1">
      <alignment horizontal="right" indent="2"/>
    </xf>
    <xf numFmtId="174" fontId="2" fillId="4" borderId="47" xfId="1" applyNumberFormat="1" applyFont="1" applyFill="1" applyBorder="1" applyAlignment="1">
      <alignment horizontal="right" indent="2"/>
    </xf>
    <xf numFmtId="3" fontId="0" fillId="4" borderId="84" xfId="0" applyNumberFormat="1" applyFill="1" applyBorder="1" applyAlignment="1">
      <alignment horizontal="right" indent="2"/>
    </xf>
    <xf numFmtId="174" fontId="0" fillId="0" borderId="43" xfId="1" applyNumberFormat="1" applyFont="1" applyBorder="1" applyAlignment="1">
      <alignment horizontal="right" indent="2"/>
    </xf>
    <xf numFmtId="165" fontId="0" fillId="4" borderId="26" xfId="2" applyNumberFormat="1" applyFont="1" applyFill="1" applyBorder="1" applyAlignment="1">
      <alignment horizontal="right" indent="2"/>
    </xf>
    <xf numFmtId="165" fontId="20" fillId="4" borderId="42" xfId="2" applyNumberFormat="1" applyFont="1" applyFill="1" applyBorder="1" applyAlignment="1">
      <alignment horizontal="right" indent="2"/>
    </xf>
    <xf numFmtId="165" fontId="20" fillId="0" borderId="38" xfId="2" applyNumberFormat="1" applyFont="1" applyBorder="1" applyAlignment="1">
      <alignment horizontal="right" indent="2"/>
    </xf>
    <xf numFmtId="174" fontId="20" fillId="4" borderId="36" xfId="1" applyNumberFormat="1" applyFont="1" applyFill="1" applyBorder="1" applyAlignment="1">
      <alignment horizontal="right" indent="2"/>
    </xf>
    <xf numFmtId="174" fontId="0" fillId="0" borderId="12" xfId="1" applyNumberFormat="1" applyFont="1" applyBorder="1" applyAlignment="1">
      <alignment horizontal="right" indent="2"/>
    </xf>
    <xf numFmtId="3" fontId="105" fillId="6" borderId="23" xfId="0" applyNumberFormat="1" applyFont="1" applyFill="1" applyBorder="1" applyAlignment="1">
      <alignment horizontal="right" indent="2"/>
    </xf>
    <xf numFmtId="0" fontId="105" fillId="0" borderId="8" xfId="0" applyFont="1" applyBorder="1" applyAlignment="1">
      <alignment horizontal="right"/>
    </xf>
    <xf numFmtId="3" fontId="105" fillId="6" borderId="24" xfId="0" applyNumberFormat="1" applyFont="1" applyFill="1" applyBorder="1" applyAlignment="1">
      <alignment horizontal="right" indent="2"/>
    </xf>
    <xf numFmtId="3" fontId="105" fillId="6" borderId="25" xfId="0" applyNumberFormat="1" applyFont="1" applyFill="1" applyBorder="1" applyAlignment="1">
      <alignment horizontal="right" indent="2"/>
    </xf>
    <xf numFmtId="3" fontId="2" fillId="0" borderId="38" xfId="0" applyNumberFormat="1" applyFont="1" applyBorder="1" applyAlignment="1">
      <alignment horizontal="right" vertical="center" wrapText="1" indent="2"/>
    </xf>
    <xf numFmtId="174" fontId="0" fillId="6" borderId="36" xfId="1" applyNumberFormat="1" applyFont="1" applyFill="1" applyBorder="1" applyAlignment="1">
      <alignment horizontal="right" indent="2"/>
    </xf>
    <xf numFmtId="3" fontId="0" fillId="7" borderId="44" xfId="0" applyNumberFormat="1" applyFill="1" applyBorder="1" applyAlignment="1">
      <alignment horizontal="right" indent="2"/>
    </xf>
    <xf numFmtId="174" fontId="0" fillId="7" borderId="12" xfId="1" applyNumberFormat="1" applyFont="1" applyFill="1" applyBorder="1" applyAlignment="1">
      <alignment horizontal="right" indent="2"/>
    </xf>
    <xf numFmtId="165" fontId="36" fillId="0" borderId="22" xfId="2" applyNumberFormat="1" applyFont="1" applyBorder="1"/>
    <xf numFmtId="174" fontId="0" fillId="7" borderId="24" xfId="1" applyNumberFormat="1" applyFont="1" applyFill="1" applyBorder="1" applyAlignment="1">
      <alignment horizontal="right" indent="2"/>
    </xf>
    <xf numFmtId="3" fontId="0" fillId="7" borderId="42" xfId="0" applyNumberFormat="1" applyFill="1" applyBorder="1" applyAlignment="1">
      <alignment horizontal="right" indent="2"/>
    </xf>
    <xf numFmtId="174" fontId="0" fillId="7" borderId="36" xfId="1" applyNumberFormat="1" applyFont="1" applyFill="1" applyBorder="1" applyAlignment="1">
      <alignment horizontal="right" indent="2"/>
    </xf>
    <xf numFmtId="174" fontId="18" fillId="0" borderId="18" xfId="1" applyNumberFormat="1" applyFont="1" applyBorder="1" applyAlignment="1">
      <alignment horizontal="right" indent="2"/>
    </xf>
    <xf numFmtId="174" fontId="24" fillId="0" borderId="18" xfId="1" applyNumberFormat="1" applyFont="1" applyBorder="1" applyAlignment="1">
      <alignment horizontal="right" indent="2"/>
    </xf>
    <xf numFmtId="165" fontId="25" fillId="0" borderId="0" xfId="2" applyNumberFormat="1" applyFont="1" applyBorder="1" applyAlignment="1">
      <alignment horizontal="right" indent="2"/>
    </xf>
    <xf numFmtId="165" fontId="27" fillId="6" borderId="46" xfId="2" applyNumberFormat="1" applyFont="1" applyFill="1" applyBorder="1" applyAlignment="1">
      <alignment horizontal="right" indent="2"/>
    </xf>
    <xf numFmtId="165" fontId="27" fillId="0" borderId="6" xfId="2" applyNumberFormat="1" applyFont="1" applyBorder="1" applyAlignment="1">
      <alignment horizontal="right"/>
    </xf>
    <xf numFmtId="165" fontId="27" fillId="6" borderId="47" xfId="2" applyNumberFormat="1" applyFont="1" applyFill="1" applyBorder="1" applyAlignment="1">
      <alignment horizontal="right" indent="2"/>
    </xf>
    <xf numFmtId="165" fontId="27" fillId="6" borderId="65" xfId="2" applyNumberFormat="1" applyFont="1" applyFill="1" applyBorder="1" applyAlignment="1">
      <alignment horizontal="right" indent="2"/>
    </xf>
    <xf numFmtId="165" fontId="27" fillId="0" borderId="11" xfId="2" applyNumberFormat="1" applyFont="1" applyBorder="1" applyAlignment="1">
      <alignment horizontal="right" indent="2"/>
    </xf>
    <xf numFmtId="165" fontId="27" fillId="6" borderId="17" xfId="2" applyNumberFormat="1" applyFont="1" applyFill="1" applyBorder="1" applyAlignment="1">
      <alignment horizontal="right" indent="2"/>
    </xf>
    <xf numFmtId="3" fontId="9" fillId="6" borderId="47" xfId="2" applyNumberFormat="1" applyFont="1" applyFill="1" applyBorder="1" applyAlignment="1">
      <alignment horizontal="right" indent="2"/>
    </xf>
    <xf numFmtId="3" fontId="9" fillId="6" borderId="65" xfId="2" applyNumberFormat="1" applyFont="1" applyFill="1" applyBorder="1" applyAlignment="1">
      <alignment horizontal="right" indent="2"/>
    </xf>
    <xf numFmtId="3" fontId="9" fillId="0" borderId="0" xfId="2" applyNumberFormat="1" applyFont="1" applyAlignment="1">
      <alignment horizontal="right" indent="2"/>
    </xf>
    <xf numFmtId="3" fontId="9" fillId="0" borderId="11" xfId="2" applyNumberFormat="1" applyFont="1" applyBorder="1" applyAlignment="1">
      <alignment horizontal="right" indent="2"/>
    </xf>
    <xf numFmtId="3" fontId="9" fillId="0" borderId="6" xfId="2" applyNumberFormat="1" applyFont="1" applyBorder="1" applyAlignment="1">
      <alignment horizontal="right"/>
    </xf>
    <xf numFmtId="3" fontId="9" fillId="6" borderId="17" xfId="2" applyNumberFormat="1" applyFont="1" applyFill="1" applyBorder="1" applyAlignment="1">
      <alignment horizontal="right" indent="2"/>
    </xf>
    <xf numFmtId="3" fontId="9" fillId="6" borderId="79" xfId="2" applyNumberFormat="1" applyFont="1" applyFill="1" applyBorder="1" applyAlignment="1">
      <alignment horizontal="right" indent="2"/>
    </xf>
    <xf numFmtId="174" fontId="9" fillId="6" borderId="17" xfId="1" applyNumberFormat="1" applyFont="1" applyFill="1" applyBorder="1" applyAlignment="1">
      <alignment horizontal="right" indent="2"/>
    </xf>
    <xf numFmtId="174" fontId="0" fillId="6" borderId="21" xfId="1" applyNumberFormat="1" applyFont="1" applyFill="1" applyBorder="1"/>
    <xf numFmtId="3" fontId="0" fillId="6" borderId="23" xfId="2" applyNumberFormat="1" applyFont="1" applyFill="1" applyBorder="1"/>
    <xf numFmtId="3" fontId="0" fillId="0" borderId="8" xfId="2" applyNumberFormat="1" applyFont="1" applyBorder="1"/>
    <xf numFmtId="3" fontId="0" fillId="6" borderId="24" xfId="2" applyNumberFormat="1" applyFont="1" applyFill="1" applyBorder="1"/>
    <xf numFmtId="3" fontId="0" fillId="6" borderId="51" xfId="2" applyNumberFormat="1" applyFont="1" applyFill="1" applyBorder="1"/>
    <xf numFmtId="3" fontId="0" fillId="0" borderId="11" xfId="2" applyNumberFormat="1" applyFont="1" applyBorder="1"/>
    <xf numFmtId="3" fontId="0" fillId="6" borderId="21" xfId="2" applyNumberFormat="1" applyFont="1" applyFill="1" applyBorder="1"/>
    <xf numFmtId="3" fontId="0" fillId="6" borderId="63" xfId="0" applyNumberFormat="1" applyFill="1" applyBorder="1"/>
    <xf numFmtId="165" fontId="9" fillId="6" borderId="64" xfId="2" applyNumberFormat="1" applyFont="1" applyFill="1" applyBorder="1" applyAlignment="1">
      <alignment horizontal="right" indent="2"/>
    </xf>
    <xf numFmtId="165" fontId="9" fillId="0" borderId="7" xfId="2" applyNumberFormat="1" applyFont="1" applyBorder="1" applyAlignment="1">
      <alignment horizontal="right" indent="2"/>
    </xf>
    <xf numFmtId="174" fontId="9" fillId="6" borderId="33" xfId="1" applyNumberFormat="1" applyFont="1" applyFill="1" applyBorder="1" applyAlignment="1">
      <alignment horizontal="right" indent="2"/>
    </xf>
    <xf numFmtId="174" fontId="12" fillId="0" borderId="0" xfId="1" applyNumberFormat="1" applyFont="1"/>
    <xf numFmtId="0" fontId="12" fillId="0" borderId="0" xfId="0" applyFont="1" applyAlignment="1">
      <alignment horizontal="right" vertical="top" wrapText="1" indent="1"/>
    </xf>
    <xf numFmtId="0" fontId="106" fillId="0" borderId="5" xfId="3" applyFont="1" applyBorder="1" applyAlignment="1">
      <alignment horizontal="center" vertical="center" wrapText="1"/>
    </xf>
    <xf numFmtId="0" fontId="106" fillId="4" borderId="5" xfId="3" applyFont="1" applyFill="1" applyBorder="1" applyAlignment="1">
      <alignment horizontal="center" vertical="center" wrapText="1"/>
    </xf>
    <xf numFmtId="0" fontId="0" fillId="6" borderId="5" xfId="0" applyFill="1" applyBorder="1" applyAlignment="1">
      <alignment vertical="center" wrapText="1"/>
    </xf>
    <xf numFmtId="0" fontId="0" fillId="0" borderId="43" xfId="0" applyBorder="1" applyAlignment="1">
      <alignment vertical="center" wrapText="1"/>
    </xf>
    <xf numFmtId="0" fontId="0" fillId="0" borderId="18" xfId="0" applyBorder="1" applyAlignment="1">
      <alignment vertical="center"/>
    </xf>
    <xf numFmtId="3" fontId="2" fillId="0" borderId="22" xfId="0" applyNumberFormat="1" applyFont="1" applyBorder="1" applyAlignment="1">
      <alignment horizontal="right" indent="2"/>
    </xf>
    <xf numFmtId="0" fontId="12" fillId="0" borderId="4" xfId="0" applyFont="1" applyBorder="1" applyAlignment="1">
      <alignment wrapText="1"/>
    </xf>
    <xf numFmtId="0" fontId="12" fillId="4" borderId="7" xfId="0" applyFont="1" applyFill="1" applyBorder="1" applyAlignment="1">
      <alignment horizontal="center" vertical="center" wrapText="1"/>
    </xf>
    <xf numFmtId="3" fontId="29" fillId="0" borderId="40" xfId="0" applyNumberFormat="1" applyFont="1" applyBorder="1" applyAlignment="1">
      <alignment horizontal="right" wrapText="1"/>
    </xf>
    <xf numFmtId="3" fontId="29" fillId="0" borderId="53" xfId="0" applyNumberFormat="1" applyFont="1" applyBorder="1" applyAlignment="1">
      <alignment horizontal="right" wrapText="1"/>
    </xf>
    <xf numFmtId="3" fontId="0" fillId="0" borderId="53" xfId="0" applyNumberFormat="1" applyBorder="1" applyAlignment="1">
      <alignment horizontal="right" indent="2"/>
    </xf>
    <xf numFmtId="3" fontId="29" fillId="0" borderId="0" xfId="0" applyNumberFormat="1" applyFont="1" applyAlignment="1">
      <alignment horizontal="right" wrapText="1"/>
    </xf>
    <xf numFmtId="3" fontId="29" fillId="0" borderId="44" xfId="0" applyNumberFormat="1" applyFont="1" applyBorder="1" applyAlignment="1">
      <alignment horizontal="right" wrapText="1"/>
    </xf>
    <xf numFmtId="165" fontId="10" fillId="0" borderId="11" xfId="2" applyNumberFormat="1" applyFont="1" applyBorder="1"/>
    <xf numFmtId="3" fontId="29" fillId="0" borderId="45" xfId="0" applyNumberFormat="1" applyFont="1" applyBorder="1" applyAlignment="1">
      <alignment horizontal="right" wrapText="1"/>
    </xf>
    <xf numFmtId="3" fontId="0" fillId="4" borderId="43" xfId="0" applyNumberFormat="1" applyFill="1" applyBorder="1" applyAlignment="1">
      <alignment horizontal="right" indent="2"/>
    </xf>
    <xf numFmtId="3" fontId="0" fillId="4" borderId="51" xfId="0" applyNumberFormat="1" applyFill="1" applyBorder="1" applyAlignment="1">
      <alignment horizontal="right" vertical="center"/>
    </xf>
    <xf numFmtId="3" fontId="29" fillId="0" borderId="19" xfId="0" applyNumberFormat="1" applyFont="1" applyBorder="1" applyAlignment="1">
      <alignment horizontal="right" wrapText="1"/>
    </xf>
    <xf numFmtId="165" fontId="10" fillId="0" borderId="38" xfId="2" applyNumberFormat="1" applyFont="1" applyBorder="1"/>
    <xf numFmtId="0" fontId="0" fillId="0" borderId="42" xfId="0" applyBorder="1" applyAlignment="1">
      <alignment vertical="center"/>
    </xf>
    <xf numFmtId="3" fontId="0" fillId="0" borderId="5" xfId="0" applyNumberFormat="1" applyBorder="1" applyAlignment="1">
      <alignment horizontal="right" vertical="center" wrapText="1" indent="2"/>
    </xf>
    <xf numFmtId="3" fontId="29" fillId="0" borderId="43" xfId="0" applyNumberFormat="1" applyFont="1" applyBorder="1" applyAlignment="1">
      <alignment horizontal="right" wrapText="1"/>
    </xf>
    <xf numFmtId="3" fontId="0" fillId="4" borderId="10" xfId="0" applyNumberFormat="1" applyFill="1" applyBorder="1" applyAlignment="1">
      <alignment horizontal="right" vertical="center" wrapText="1" indent="2"/>
    </xf>
    <xf numFmtId="0" fontId="0" fillId="0" borderId="0" xfId="0" applyAlignment="1">
      <alignment horizontal="right" vertical="center" wrapText="1"/>
    </xf>
    <xf numFmtId="165" fontId="13" fillId="0" borderId="29" xfId="2" applyNumberFormat="1" applyFont="1" applyBorder="1" applyAlignment="1">
      <alignment horizontal="right" indent="2"/>
    </xf>
    <xf numFmtId="165" fontId="13" fillId="0" borderId="27" xfId="2" applyNumberFormat="1" applyFont="1" applyBorder="1" applyAlignment="1">
      <alignment horizontal="right" indent="2"/>
    </xf>
    <xf numFmtId="165" fontId="13" fillId="0" borderId="9" xfId="2" applyNumberFormat="1" applyFont="1" applyBorder="1" applyAlignment="1">
      <alignment horizontal="right" indent="2"/>
    </xf>
    <xf numFmtId="165" fontId="13" fillId="0" borderId="27" xfId="2" applyNumberFormat="1" applyFont="1" applyBorder="1" applyAlignment="1">
      <alignment horizontal="center" vertical="center" wrapText="1"/>
    </xf>
    <xf numFmtId="165" fontId="13" fillId="0" borderId="29" xfId="2" applyNumberFormat="1" applyFont="1" applyBorder="1" applyAlignment="1">
      <alignment horizontal="center" vertical="center" wrapText="1"/>
    </xf>
    <xf numFmtId="3" fontId="29" fillId="0" borderId="18" xfId="0" applyNumberFormat="1" applyFont="1" applyBorder="1" applyAlignment="1">
      <alignment horizontal="right" wrapText="1"/>
    </xf>
    <xf numFmtId="165" fontId="13" fillId="4" borderId="33" xfId="2" applyNumberFormat="1" applyFont="1" applyFill="1" applyBorder="1" applyAlignment="1">
      <alignment horizontal="center" vertical="center" wrapText="1"/>
    </xf>
    <xf numFmtId="165" fontId="13" fillId="0" borderId="35" xfId="2" applyNumberFormat="1" applyFont="1" applyBorder="1" applyAlignment="1">
      <alignment horizontal="center" vertical="center" wrapText="1"/>
    </xf>
    <xf numFmtId="165" fontId="30" fillId="0" borderId="53" xfId="2" applyNumberFormat="1" applyFont="1" applyBorder="1" applyAlignment="1">
      <alignment horizontal="center" vertical="center" wrapText="1"/>
    </xf>
    <xf numFmtId="3" fontId="29" fillId="0" borderId="42" xfId="0" applyNumberFormat="1" applyFont="1" applyBorder="1" applyAlignment="1">
      <alignment horizontal="right" wrapText="1"/>
    </xf>
    <xf numFmtId="0" fontId="5" fillId="0" borderId="3" xfId="0" applyFont="1" applyBorder="1" applyAlignment="1">
      <alignment horizontal="center"/>
    </xf>
    <xf numFmtId="3" fontId="3" fillId="4" borderId="5" xfId="0" applyNumberFormat="1" applyFont="1" applyFill="1" applyBorder="1" applyAlignment="1">
      <alignment horizontal="right" indent="2"/>
    </xf>
    <xf numFmtId="3" fontId="3" fillId="4" borderId="5" xfId="0" applyNumberFormat="1" applyFont="1" applyFill="1" applyBorder="1" applyAlignment="1">
      <alignment horizontal="right" vertical="center" wrapText="1" indent="2"/>
    </xf>
    <xf numFmtId="165" fontId="13" fillId="0" borderId="5" xfId="2" applyNumberFormat="1" applyFont="1" applyBorder="1" applyAlignment="1">
      <alignment horizontal="right" indent="2"/>
    </xf>
    <xf numFmtId="165" fontId="13" fillId="0" borderId="5" xfId="2" applyNumberFormat="1" applyFont="1" applyBorder="1" applyAlignment="1">
      <alignment horizontal="center" vertical="center" wrapText="1"/>
    </xf>
    <xf numFmtId="3" fontId="0" fillId="4" borderId="69" xfId="0" applyNumberFormat="1" applyFill="1" applyBorder="1" applyAlignment="1">
      <alignment horizontal="left"/>
    </xf>
    <xf numFmtId="3" fontId="3" fillId="4" borderId="70" xfId="0" applyNumberFormat="1" applyFont="1" applyFill="1" applyBorder="1" applyAlignment="1">
      <alignment horizontal="right" vertical="center" wrapText="1" indent="2"/>
    </xf>
    <xf numFmtId="3" fontId="0" fillId="4" borderId="12" xfId="0" applyNumberFormat="1" applyFill="1" applyBorder="1" applyAlignment="1">
      <alignment horizontal="left"/>
    </xf>
    <xf numFmtId="165" fontId="13" fillId="0" borderId="16" xfId="2" applyNumberFormat="1" applyFont="1" applyBorder="1" applyAlignment="1">
      <alignment horizontal="center" vertical="center" wrapText="1"/>
    </xf>
    <xf numFmtId="0" fontId="87" fillId="4" borderId="11" xfId="0" applyFont="1" applyFill="1" applyBorder="1" applyAlignment="1">
      <alignment horizontal="right"/>
    </xf>
    <xf numFmtId="3" fontId="0" fillId="0" borderId="10" xfId="0" applyNumberFormat="1" applyBorder="1" applyAlignment="1">
      <alignment horizontal="right" vertical="center" wrapText="1" indent="2"/>
    </xf>
    <xf numFmtId="3" fontId="16" fillId="4" borderId="10" xfId="0" applyNumberFormat="1" applyFont="1" applyFill="1" applyBorder="1" applyAlignment="1">
      <alignment horizontal="right" indent="2"/>
    </xf>
    <xf numFmtId="3" fontId="16" fillId="4" borderId="10" xfId="0" applyNumberFormat="1" applyFont="1" applyFill="1" applyBorder="1" applyAlignment="1">
      <alignment horizontal="right" vertical="center" wrapText="1" indent="2"/>
    </xf>
    <xf numFmtId="165" fontId="13" fillId="0" borderId="10" xfId="2" applyNumberFormat="1" applyFont="1" applyBorder="1" applyAlignment="1">
      <alignment horizontal="center" vertical="center" wrapText="1"/>
    </xf>
    <xf numFmtId="3" fontId="16" fillId="4" borderId="51" xfId="0" applyNumberFormat="1" applyFont="1" applyFill="1" applyBorder="1" applyAlignment="1">
      <alignment horizontal="right" vertical="center" wrapText="1" indent="2"/>
    </xf>
    <xf numFmtId="3" fontId="29" fillId="0" borderId="0" xfId="0" applyNumberFormat="1" applyFont="1" applyAlignment="1">
      <alignment horizontal="left"/>
    </xf>
    <xf numFmtId="0" fontId="87" fillId="4" borderId="38" xfId="0" applyFont="1" applyFill="1" applyBorder="1" applyAlignment="1">
      <alignment horizontal="right"/>
    </xf>
    <xf numFmtId="0" fontId="5" fillId="0" borderId="42" xfId="0" applyFont="1" applyBorder="1" applyAlignment="1">
      <alignment horizontal="center"/>
    </xf>
    <xf numFmtId="0" fontId="0" fillId="0" borderId="42" xfId="0" applyBorder="1" applyAlignment="1">
      <alignment horizontal="right"/>
    </xf>
    <xf numFmtId="3" fontId="0" fillId="0" borderId="7" xfId="0" applyNumberFormat="1" applyBorder="1" applyAlignment="1">
      <alignment horizontal="right" vertical="center" wrapText="1" indent="2"/>
    </xf>
    <xf numFmtId="3" fontId="16" fillId="4" borderId="7" xfId="0" applyNumberFormat="1" applyFont="1" applyFill="1" applyBorder="1" applyAlignment="1">
      <alignment horizontal="right" indent="2"/>
    </xf>
    <xf numFmtId="3" fontId="16" fillId="4" borderId="7" xfId="0" applyNumberFormat="1" applyFont="1" applyFill="1" applyBorder="1" applyAlignment="1">
      <alignment horizontal="right" vertical="center" wrapText="1" indent="2"/>
    </xf>
    <xf numFmtId="165" fontId="13" fillId="0" borderId="7" xfId="2" applyNumberFormat="1" applyFont="1" applyBorder="1" applyAlignment="1">
      <alignment horizontal="center" vertical="center" wrapText="1"/>
    </xf>
    <xf numFmtId="3" fontId="16" fillId="4" borderId="66" xfId="0" applyNumberFormat="1" applyFont="1" applyFill="1" applyBorder="1" applyAlignment="1">
      <alignment horizontal="right" vertical="center" wrapText="1" indent="2"/>
    </xf>
    <xf numFmtId="0" fontId="12" fillId="4" borderId="1" xfId="0" applyFont="1" applyFill="1" applyBorder="1" applyAlignment="1">
      <alignment horizontal="center" vertical="center"/>
    </xf>
    <xf numFmtId="165" fontId="13" fillId="0" borderId="4" xfId="2" applyNumberFormat="1" applyFont="1" applyBorder="1" applyAlignment="1">
      <alignment horizontal="right" indent="2"/>
    </xf>
    <xf numFmtId="3" fontId="0" fillId="4" borderId="6" xfId="0" applyNumberFormat="1" applyFill="1" applyBorder="1" applyAlignment="1">
      <alignment horizontal="right" vertical="center" wrapText="1" indent="2"/>
    </xf>
    <xf numFmtId="0" fontId="12" fillId="0" borderId="18" xfId="0" applyFont="1" applyBorder="1" applyAlignment="1">
      <alignment horizontal="center" vertical="center" wrapText="1"/>
    </xf>
    <xf numFmtId="0" fontId="87" fillId="4" borderId="8" xfId="0" applyFont="1" applyFill="1" applyBorder="1" applyAlignment="1">
      <alignment horizontal="right"/>
    </xf>
    <xf numFmtId="3" fontId="107" fillId="4" borderId="25" xfId="0" applyNumberFormat="1" applyFont="1" applyFill="1" applyBorder="1" applyAlignment="1">
      <alignment horizontal="right" indent="2"/>
    </xf>
    <xf numFmtId="3" fontId="107" fillId="4" borderId="21" xfId="0" applyNumberFormat="1" applyFont="1" applyFill="1" applyBorder="1" applyAlignment="1">
      <alignment horizontal="right" indent="2"/>
    </xf>
    <xf numFmtId="3" fontId="107" fillId="4" borderId="8" xfId="0" applyNumberFormat="1" applyFont="1" applyFill="1" applyBorder="1" applyAlignment="1">
      <alignment horizontal="right" vertical="center" wrapText="1" indent="2"/>
    </xf>
    <xf numFmtId="3" fontId="57" fillId="4" borderId="21" xfId="0" applyNumberFormat="1" applyFont="1" applyFill="1" applyBorder="1" applyAlignment="1">
      <alignment horizontal="right" indent="2"/>
    </xf>
    <xf numFmtId="3" fontId="57" fillId="4" borderId="8" xfId="0" applyNumberFormat="1" applyFont="1" applyFill="1" applyBorder="1" applyAlignment="1">
      <alignment horizontal="right" vertical="center" wrapText="1" indent="2"/>
    </xf>
    <xf numFmtId="165" fontId="9" fillId="0" borderId="0" xfId="0" applyNumberFormat="1" applyFont="1" applyAlignment="1">
      <alignment horizontal="center" vertical="center"/>
    </xf>
    <xf numFmtId="0" fontId="87" fillId="4" borderId="9" xfId="0" applyFont="1" applyFill="1" applyBorder="1" applyAlignment="1">
      <alignment horizontal="right"/>
    </xf>
    <xf numFmtId="3" fontId="107" fillId="4" borderId="31" xfId="0" applyNumberFormat="1" applyFont="1" applyFill="1" applyBorder="1" applyAlignment="1">
      <alignment horizontal="right" indent="2"/>
    </xf>
    <xf numFmtId="165" fontId="9" fillId="0" borderId="0" xfId="0" applyNumberFormat="1" applyFont="1" applyAlignment="1">
      <alignment vertical="center"/>
    </xf>
    <xf numFmtId="3" fontId="0" fillId="0" borderId="21" xfId="0" applyNumberFormat="1" applyBorder="1" applyAlignment="1">
      <alignment horizontal="right" indent="2"/>
    </xf>
    <xf numFmtId="3" fontId="0" fillId="4" borderId="41" xfId="0" applyNumberFormat="1" applyFill="1" applyBorder="1" applyAlignment="1">
      <alignment horizontal="right" vertical="center" wrapText="1" indent="2"/>
    </xf>
    <xf numFmtId="165" fontId="9" fillId="0" borderId="38" xfId="0" applyNumberFormat="1" applyFont="1" applyBorder="1" applyAlignment="1">
      <alignment horizontal="right" indent="2"/>
    </xf>
    <xf numFmtId="3" fontId="0" fillId="0" borderId="18" xfId="0" applyNumberFormat="1" applyBorder="1" applyAlignment="1">
      <alignment horizontal="center" vertical="center"/>
    </xf>
    <xf numFmtId="0" fontId="12" fillId="17" borderId="43" xfId="0" applyFont="1" applyFill="1" applyBorder="1" applyAlignment="1">
      <alignment horizontal="center" vertical="center" wrapText="1"/>
    </xf>
    <xf numFmtId="3" fontId="0" fillId="4" borderId="18" xfId="0" applyNumberFormat="1" applyFill="1" applyBorder="1" applyAlignment="1">
      <alignment horizontal="center" vertical="center"/>
    </xf>
    <xf numFmtId="3" fontId="0" fillId="4" borderId="0" xfId="0" applyNumberFormat="1" applyFill="1" applyAlignment="1">
      <alignment horizontal="center" vertical="center" wrapText="1"/>
    </xf>
    <xf numFmtId="0" fontId="12" fillId="4" borderId="18" xfId="0" applyFont="1" applyFill="1" applyBorder="1" applyAlignment="1">
      <alignment horizontal="center" vertical="center" wrapText="1"/>
    </xf>
    <xf numFmtId="0" fontId="12" fillId="4" borderId="47" xfId="0" applyFont="1" applyFill="1" applyBorder="1" applyAlignment="1">
      <alignment horizontal="center" vertical="center" wrapText="1"/>
    </xf>
    <xf numFmtId="3" fontId="0" fillId="4" borderId="65" xfId="0" applyNumberFormat="1" applyFill="1" applyBorder="1" applyAlignment="1">
      <alignment horizontal="center" vertical="center" wrapText="1"/>
    </xf>
    <xf numFmtId="3" fontId="3" fillId="4" borderId="10" xfId="0" applyNumberFormat="1" applyFont="1" applyFill="1" applyBorder="1" applyAlignment="1">
      <alignment horizontal="right" indent="2"/>
    </xf>
    <xf numFmtId="3" fontId="3" fillId="4" borderId="18" xfId="0" applyNumberFormat="1" applyFont="1" applyFill="1" applyBorder="1" applyAlignment="1">
      <alignment horizontal="right" vertical="center"/>
    </xf>
    <xf numFmtId="3" fontId="3" fillId="4" borderId="0" xfId="0" applyNumberFormat="1" applyFont="1" applyFill="1" applyAlignment="1">
      <alignment horizontal="right" vertical="center" wrapText="1"/>
    </xf>
    <xf numFmtId="0" fontId="12" fillId="4" borderId="24" xfId="0" applyFont="1" applyFill="1" applyBorder="1" applyAlignment="1">
      <alignment horizontal="center" vertical="center" wrapText="1"/>
    </xf>
    <xf numFmtId="3" fontId="3" fillId="4" borderId="51" xfId="0" applyNumberFormat="1" applyFont="1" applyFill="1" applyBorder="1" applyAlignment="1">
      <alignment horizontal="right" vertical="center" wrapText="1"/>
    </xf>
    <xf numFmtId="3" fontId="16" fillId="4" borderId="18" xfId="0" applyNumberFormat="1" applyFont="1" applyFill="1" applyBorder="1" applyAlignment="1">
      <alignment horizontal="right" vertical="center"/>
    </xf>
    <xf numFmtId="3" fontId="16" fillId="4" borderId="0" xfId="0" applyNumberFormat="1" applyFont="1" applyFill="1" applyAlignment="1">
      <alignment horizontal="right" vertical="center" wrapText="1"/>
    </xf>
    <xf numFmtId="3" fontId="16" fillId="4" borderId="51" xfId="0" applyNumberFormat="1" applyFont="1" applyFill="1" applyBorder="1" applyAlignment="1">
      <alignment horizontal="right" vertical="center" wrapText="1"/>
    </xf>
    <xf numFmtId="3" fontId="0" fillId="4" borderId="18" xfId="0" applyNumberFormat="1" applyFill="1" applyBorder="1" applyAlignment="1">
      <alignment horizontal="right" vertical="center"/>
    </xf>
    <xf numFmtId="3" fontId="0" fillId="4" borderId="0" xfId="0" applyNumberFormat="1" applyFill="1" applyAlignment="1">
      <alignment horizontal="right" vertical="center" wrapText="1"/>
    </xf>
    <xf numFmtId="3" fontId="0" fillId="4" borderId="51" xfId="0" applyNumberFormat="1" applyFill="1" applyBorder="1" applyAlignment="1">
      <alignment horizontal="right" vertical="center" wrapText="1"/>
    </xf>
    <xf numFmtId="3" fontId="3" fillId="4" borderId="0" xfId="0" applyNumberFormat="1" applyFont="1" applyFill="1" applyAlignment="1">
      <alignment horizontal="right" vertical="center"/>
    </xf>
    <xf numFmtId="3" fontId="3" fillId="4" borderId="51" xfId="0" applyNumberFormat="1" applyFont="1" applyFill="1" applyBorder="1" applyAlignment="1">
      <alignment horizontal="right" vertical="center"/>
    </xf>
    <xf numFmtId="3" fontId="16" fillId="4" borderId="0" xfId="0" applyNumberFormat="1" applyFont="1" applyFill="1" applyAlignment="1">
      <alignment horizontal="right" vertical="center"/>
    </xf>
    <xf numFmtId="3" fontId="16" fillId="4" borderId="51" xfId="0" applyNumberFormat="1" applyFont="1" applyFill="1" applyBorder="1" applyAlignment="1">
      <alignment horizontal="right" vertical="center"/>
    </xf>
    <xf numFmtId="3" fontId="3" fillId="0" borderId="11" xfId="0" applyNumberFormat="1" applyFont="1" applyBorder="1" applyAlignment="1">
      <alignment horizontal="right" vertical="center" wrapText="1" indent="2"/>
    </xf>
    <xf numFmtId="3" fontId="16" fillId="4" borderId="53" xfId="0" applyNumberFormat="1" applyFont="1" applyFill="1" applyBorder="1" applyAlignment="1">
      <alignment horizontal="right" vertical="center"/>
    </xf>
    <xf numFmtId="3" fontId="16" fillId="4" borderId="42" xfId="0" applyNumberFormat="1" applyFont="1" applyFill="1" applyBorder="1" applyAlignment="1">
      <alignment horizontal="right" vertical="center" wrapText="1"/>
    </xf>
    <xf numFmtId="3" fontId="16" fillId="4" borderId="66" xfId="0" applyNumberFormat="1" applyFont="1" applyFill="1" applyBorder="1" applyAlignment="1">
      <alignment horizontal="right" vertical="center" wrapText="1"/>
    </xf>
    <xf numFmtId="3" fontId="0" fillId="17" borderId="43" xfId="0" applyNumberFormat="1" applyFill="1" applyBorder="1" applyAlignment="1">
      <alignment horizontal="right" indent="2"/>
    </xf>
    <xf numFmtId="3" fontId="0" fillId="17" borderId="69" xfId="0" applyNumberFormat="1" applyFill="1" applyBorder="1" applyAlignment="1">
      <alignment horizontal="right" indent="2"/>
    </xf>
    <xf numFmtId="3" fontId="0" fillId="0" borderId="70" xfId="0" applyNumberFormat="1" applyBorder="1"/>
    <xf numFmtId="3" fontId="0" fillId="4" borderId="51" xfId="0" applyNumberFormat="1" applyFill="1" applyBorder="1" applyAlignment="1">
      <alignment horizontal="right" vertical="center" wrapText="1" indent="2"/>
    </xf>
    <xf numFmtId="3" fontId="0" fillId="4" borderId="66" xfId="0" applyNumberFormat="1" applyFill="1" applyBorder="1" applyAlignment="1">
      <alignment horizontal="right" vertical="center" wrapText="1" indent="2"/>
    </xf>
    <xf numFmtId="3" fontId="3" fillId="4" borderId="25" xfId="0" applyNumberFormat="1" applyFont="1" applyFill="1" applyBorder="1" applyAlignment="1">
      <alignment horizontal="right" indent="2"/>
    </xf>
    <xf numFmtId="0" fontId="87" fillId="0" borderId="8" xfId="0" applyFont="1" applyBorder="1" applyAlignment="1">
      <alignment horizontal="right"/>
    </xf>
    <xf numFmtId="3" fontId="88" fillId="4" borderId="30" xfId="0" applyNumberFormat="1" applyFont="1" applyFill="1" applyBorder="1" applyAlignment="1">
      <alignment horizontal="right" indent="2"/>
    </xf>
    <xf numFmtId="3" fontId="88" fillId="4" borderId="25" xfId="0" applyNumberFormat="1" applyFont="1" applyFill="1" applyBorder="1" applyAlignment="1">
      <alignment horizontal="right" indent="2"/>
    </xf>
    <xf numFmtId="3" fontId="87" fillId="4" borderId="25" xfId="0" applyNumberFormat="1" applyFont="1" applyFill="1" applyBorder="1" applyAlignment="1">
      <alignment horizontal="right" indent="2"/>
    </xf>
    <xf numFmtId="0" fontId="87" fillId="0" borderId="9" xfId="0" applyFont="1" applyBorder="1" applyAlignment="1">
      <alignment horizontal="right"/>
    </xf>
    <xf numFmtId="165" fontId="87" fillId="4" borderId="36" xfId="2" applyNumberFormat="1" applyFont="1" applyFill="1" applyBorder="1" applyAlignment="1">
      <alignment horizontal="right" indent="2"/>
    </xf>
    <xf numFmtId="165" fontId="88" fillId="4" borderId="36" xfId="2" applyNumberFormat="1" applyFont="1" applyFill="1" applyBorder="1" applyAlignment="1">
      <alignment horizontal="right" indent="2"/>
    </xf>
    <xf numFmtId="165" fontId="88" fillId="0" borderId="36" xfId="2" applyNumberFormat="1" applyFont="1" applyBorder="1" applyAlignment="1">
      <alignment horizontal="right" indent="2"/>
    </xf>
    <xf numFmtId="165" fontId="20" fillId="0" borderId="10" xfId="2" applyNumberFormat="1" applyFont="1" applyBorder="1" applyAlignment="1">
      <alignment horizontal="right" indent="2"/>
    </xf>
    <xf numFmtId="165" fontId="87" fillId="0" borderId="18" xfId="2" applyNumberFormat="1" applyFont="1" applyBorder="1" applyAlignment="1">
      <alignment horizontal="right" indent="2"/>
    </xf>
    <xf numFmtId="165" fontId="20" fillId="0" borderId="0" xfId="2" applyNumberFormat="1" applyFont="1" applyAlignment="1">
      <alignment horizontal="right" indent="2"/>
    </xf>
    <xf numFmtId="165" fontId="20" fillId="0" borderId="11" xfId="2" applyNumberFormat="1" applyFont="1" applyBorder="1" applyAlignment="1">
      <alignment horizontal="right" vertical="center" wrapText="1" indent="2"/>
    </xf>
    <xf numFmtId="3" fontId="106" fillId="0" borderId="0" xfId="3" applyNumberFormat="1" applyFont="1" applyAlignment="1">
      <alignment horizontal="right" wrapText="1" indent="2"/>
    </xf>
    <xf numFmtId="3" fontId="0" fillId="0" borderId="18" xfId="0" applyNumberFormat="1" applyBorder="1" applyAlignment="1">
      <alignment horizontal="center" vertical="center" wrapText="1"/>
    </xf>
    <xf numFmtId="3" fontId="0" fillId="0" borderId="18" xfId="0" applyNumberFormat="1" applyBorder="1" applyAlignment="1">
      <alignment horizontal="left" vertical="center"/>
    </xf>
    <xf numFmtId="3" fontId="20" fillId="4" borderId="10" xfId="2" applyNumberFormat="1" applyFont="1" applyFill="1" applyBorder="1" applyAlignment="1">
      <alignment horizontal="right" indent="2"/>
    </xf>
    <xf numFmtId="3" fontId="87" fillId="2" borderId="18" xfId="2" applyNumberFormat="1" applyFont="1" applyFill="1" applyBorder="1" applyAlignment="1">
      <alignment horizontal="right" indent="2"/>
    </xf>
    <xf numFmtId="3" fontId="20" fillId="4" borderId="0" xfId="2" applyNumberFormat="1" applyFont="1" applyFill="1" applyAlignment="1">
      <alignment horizontal="right" indent="2"/>
    </xf>
    <xf numFmtId="3" fontId="87" fillId="4" borderId="18" xfId="2" applyNumberFormat="1" applyFont="1" applyFill="1" applyBorder="1" applyAlignment="1">
      <alignment horizontal="right" indent="2"/>
    </xf>
    <xf numFmtId="3" fontId="0" fillId="4" borderId="79" xfId="0" applyNumberFormat="1" applyFill="1" applyBorder="1" applyAlignment="1">
      <alignment horizontal="right" vertical="center"/>
    </xf>
    <xf numFmtId="167" fontId="108" fillId="4" borderId="30" xfId="5" applyNumberFormat="1" applyFont="1" applyFill="1" applyBorder="1" applyAlignment="1">
      <alignment horizontal="right" indent="2"/>
    </xf>
    <xf numFmtId="3" fontId="67" fillId="4" borderId="32" xfId="0" applyNumberFormat="1" applyFont="1" applyFill="1" applyBorder="1" applyAlignment="1">
      <alignment horizontal="right" indent="2"/>
    </xf>
    <xf numFmtId="167" fontId="24" fillId="4" borderId="30" xfId="5" applyNumberFormat="1" applyFont="1" applyFill="1" applyBorder="1" applyAlignment="1">
      <alignment horizontal="right" indent="2"/>
    </xf>
    <xf numFmtId="167" fontId="24" fillId="4" borderId="36" xfId="5" applyNumberFormat="1" applyFont="1" applyFill="1" applyBorder="1" applyAlignment="1">
      <alignment horizontal="right" indent="2"/>
    </xf>
    <xf numFmtId="3" fontId="67" fillId="4" borderId="37" xfId="0" applyNumberFormat="1" applyFont="1" applyFill="1" applyBorder="1" applyAlignment="1">
      <alignment horizontal="right" indent="2"/>
    </xf>
    <xf numFmtId="3" fontId="24" fillId="0" borderId="92" xfId="0" applyNumberFormat="1" applyFont="1" applyBorder="1" applyAlignment="1">
      <alignment horizontal="right" indent="2"/>
    </xf>
    <xf numFmtId="10" fontId="109" fillId="0" borderId="10" xfId="2" applyNumberFormat="1" applyFont="1" applyBorder="1" applyAlignment="1">
      <alignment horizontal="right" indent="2"/>
    </xf>
    <xf numFmtId="165" fontId="109" fillId="0" borderId="0" xfId="2" applyNumberFormat="1" applyFont="1" applyAlignment="1">
      <alignment horizontal="right"/>
    </xf>
    <xf numFmtId="10" fontId="109" fillId="0" borderId="18" xfId="2" applyNumberFormat="1" applyFont="1" applyBorder="1" applyAlignment="1">
      <alignment horizontal="right" indent="2"/>
    </xf>
    <xf numFmtId="10" fontId="109" fillId="23" borderId="93" xfId="2" applyNumberFormat="1" applyFont="1" applyFill="1" applyBorder="1" applyAlignment="1">
      <alignment horizontal="right" indent="2"/>
    </xf>
    <xf numFmtId="165" fontId="109" fillId="0" borderId="11" xfId="2" applyNumberFormat="1" applyFont="1" applyBorder="1" applyAlignment="1">
      <alignment horizontal="right" indent="2"/>
    </xf>
    <xf numFmtId="10" fontId="109" fillId="0" borderId="11" xfId="2" applyNumberFormat="1" applyFont="1" applyBorder="1" applyAlignment="1">
      <alignment horizontal="right" indent="2"/>
    </xf>
    <xf numFmtId="0" fontId="110" fillId="0" borderId="0" xfId="0" applyFont="1" applyAlignment="1">
      <alignment horizontal="right"/>
    </xf>
    <xf numFmtId="3" fontId="110" fillId="0" borderId="0" xfId="0" applyNumberFormat="1" applyFont="1" applyAlignment="1">
      <alignment horizontal="right" indent="2"/>
    </xf>
    <xf numFmtId="165" fontId="109" fillId="0" borderId="11" xfId="2" applyNumberFormat="1" applyFont="1" applyBorder="1"/>
    <xf numFmtId="10" fontId="109" fillId="0" borderId="0" xfId="2" applyNumberFormat="1" applyFont="1" applyAlignment="1">
      <alignment horizontal="right" indent="2"/>
    </xf>
    <xf numFmtId="3" fontId="9" fillId="6" borderId="46" xfId="2" applyNumberFormat="1" applyFont="1" applyFill="1" applyBorder="1" applyAlignment="1">
      <alignment horizontal="right" indent="2"/>
    </xf>
    <xf numFmtId="3" fontId="10" fillId="0" borderId="11" xfId="2" applyNumberFormat="1" applyFont="1" applyBorder="1"/>
    <xf numFmtId="3" fontId="9" fillId="6" borderId="94" xfId="2" applyNumberFormat="1" applyFont="1" applyFill="1" applyBorder="1" applyAlignment="1">
      <alignment horizontal="right" indent="2"/>
    </xf>
    <xf numFmtId="165" fontId="38" fillId="6" borderId="65" xfId="2" applyNumberFormat="1" applyFont="1" applyFill="1" applyBorder="1" applyAlignment="1">
      <alignment horizontal="right" indent="2"/>
    </xf>
    <xf numFmtId="3" fontId="38" fillId="6" borderId="46" xfId="2" applyNumberFormat="1" applyFont="1" applyFill="1" applyBorder="1" applyAlignment="1">
      <alignment horizontal="right" indent="2"/>
    </xf>
    <xf numFmtId="3" fontId="38" fillId="0" borderId="6" xfId="2" applyNumberFormat="1" applyFont="1" applyBorder="1" applyAlignment="1">
      <alignment horizontal="right"/>
    </xf>
    <xf numFmtId="3" fontId="38" fillId="6" borderId="47" xfId="2" applyNumberFormat="1" applyFont="1" applyFill="1" applyBorder="1" applyAlignment="1">
      <alignment horizontal="right" indent="2"/>
    </xf>
    <xf numFmtId="3" fontId="38" fillId="6" borderId="65" xfId="2" applyNumberFormat="1" applyFont="1" applyFill="1" applyBorder="1" applyAlignment="1">
      <alignment horizontal="right" indent="2"/>
    </xf>
    <xf numFmtId="3" fontId="38" fillId="0" borderId="11" xfId="2" applyNumberFormat="1" applyFont="1" applyBorder="1" applyAlignment="1">
      <alignment horizontal="right" indent="2"/>
    </xf>
    <xf numFmtId="3" fontId="38" fillId="6" borderId="79" xfId="2" applyNumberFormat="1" applyFont="1" applyFill="1" applyBorder="1" applyAlignment="1">
      <alignment horizontal="right" indent="2"/>
    </xf>
    <xf numFmtId="3" fontId="38" fillId="0" borderId="0" xfId="2" applyNumberFormat="1" applyFont="1" applyAlignment="1">
      <alignment horizontal="right" indent="2"/>
    </xf>
    <xf numFmtId="3" fontId="38" fillId="6" borderId="17" xfId="2" applyNumberFormat="1" applyFont="1" applyFill="1" applyBorder="1" applyAlignment="1">
      <alignment horizontal="right" indent="2"/>
    </xf>
    <xf numFmtId="3" fontId="38" fillId="0" borderId="19" xfId="2" applyNumberFormat="1" applyFont="1" applyBorder="1" applyAlignment="1">
      <alignment horizontal="right" indent="2"/>
    </xf>
    <xf numFmtId="165" fontId="38" fillId="0" borderId="6" xfId="2" applyNumberFormat="1" applyFont="1" applyBorder="1" applyAlignment="1">
      <alignment horizontal="right"/>
    </xf>
    <xf numFmtId="165" fontId="12" fillId="6" borderId="23" xfId="0" applyNumberFormat="1" applyFont="1" applyFill="1" applyBorder="1" applyAlignment="1">
      <alignment horizontal="right" indent="2"/>
    </xf>
    <xf numFmtId="165" fontId="12" fillId="0" borderId="8" xfId="0" applyNumberFormat="1" applyFont="1" applyBorder="1" applyAlignment="1">
      <alignment horizontal="right" indent="2"/>
    </xf>
    <xf numFmtId="165" fontId="12" fillId="6" borderId="24" xfId="0" applyNumberFormat="1" applyFont="1" applyFill="1" applyBorder="1" applyAlignment="1">
      <alignment horizontal="right" indent="2"/>
    </xf>
    <xf numFmtId="165" fontId="12" fillId="6" borderId="51" xfId="0" applyNumberFormat="1" applyFont="1" applyFill="1" applyBorder="1" applyAlignment="1">
      <alignment horizontal="right" indent="2"/>
    </xf>
    <xf numFmtId="165" fontId="12" fillId="0" borderId="11" xfId="0" applyNumberFormat="1" applyFont="1" applyBorder="1" applyAlignment="1">
      <alignment horizontal="right" indent="2"/>
    </xf>
    <xf numFmtId="165" fontId="12" fillId="6" borderId="63" xfId="0" applyNumberFormat="1" applyFont="1" applyFill="1" applyBorder="1" applyAlignment="1">
      <alignment horizontal="right" indent="2"/>
    </xf>
    <xf numFmtId="165" fontId="0" fillId="0" borderId="0" xfId="0" applyNumberFormat="1" applyAlignment="1">
      <alignment horizontal="right"/>
    </xf>
    <xf numFmtId="165" fontId="0" fillId="0" borderId="0" xfId="0" applyNumberFormat="1" applyAlignment="1">
      <alignment horizontal="right" indent="2"/>
    </xf>
    <xf numFmtId="165" fontId="12" fillId="6" borderId="22" xfId="0" applyNumberFormat="1" applyFont="1" applyFill="1" applyBorder="1" applyAlignment="1">
      <alignment horizontal="right" indent="2"/>
    </xf>
    <xf numFmtId="165" fontId="0" fillId="0" borderId="10" xfId="0" applyNumberFormat="1" applyBorder="1"/>
    <xf numFmtId="165" fontId="0" fillId="6" borderId="63" xfId="0" applyNumberFormat="1" applyFill="1" applyBorder="1"/>
    <xf numFmtId="3" fontId="0" fillId="6" borderId="22" xfId="0" applyNumberFormat="1" applyFill="1" applyBorder="1" applyAlignment="1">
      <alignment horizontal="right"/>
    </xf>
    <xf numFmtId="165" fontId="9" fillId="6" borderId="23" xfId="0" applyNumberFormat="1" applyFont="1" applyFill="1" applyBorder="1" applyAlignment="1">
      <alignment horizontal="right" indent="2"/>
    </xf>
    <xf numFmtId="165" fontId="9" fillId="0" borderId="8" xfId="0" applyNumberFormat="1" applyFont="1" applyBorder="1" applyAlignment="1">
      <alignment horizontal="right"/>
    </xf>
    <xf numFmtId="165" fontId="9" fillId="6" borderId="24" xfId="0" applyNumberFormat="1" applyFont="1" applyFill="1" applyBorder="1" applyAlignment="1">
      <alignment horizontal="right" indent="2"/>
    </xf>
    <xf numFmtId="165" fontId="9" fillId="6" borderId="51" xfId="0" applyNumberFormat="1" applyFont="1" applyFill="1" applyBorder="1" applyAlignment="1">
      <alignment horizontal="right" indent="2"/>
    </xf>
    <xf numFmtId="165" fontId="9" fillId="6" borderId="63" xfId="0" applyNumberFormat="1" applyFont="1" applyFill="1" applyBorder="1" applyAlignment="1">
      <alignment horizontal="right" indent="2"/>
    </xf>
    <xf numFmtId="165" fontId="3" fillId="0" borderId="0" xfId="0" applyNumberFormat="1" applyFont="1" applyAlignment="1">
      <alignment horizontal="left"/>
    </xf>
    <xf numFmtId="165" fontId="9" fillId="6" borderId="22" xfId="0" applyNumberFormat="1" applyFont="1" applyFill="1" applyBorder="1" applyAlignment="1">
      <alignment horizontal="right" indent="2"/>
    </xf>
    <xf numFmtId="165" fontId="9" fillId="0" borderId="9" xfId="0" applyNumberFormat="1" applyFont="1" applyBorder="1" applyAlignment="1">
      <alignment horizontal="right"/>
    </xf>
    <xf numFmtId="165" fontId="18" fillId="0" borderId="42" xfId="0" applyNumberFormat="1" applyFont="1" applyBorder="1" applyAlignment="1">
      <alignment horizontal="right" indent="2"/>
    </xf>
    <xf numFmtId="165" fontId="18" fillId="0" borderId="0" xfId="0" applyNumberFormat="1" applyFont="1" applyAlignment="1">
      <alignment horizontal="right"/>
    </xf>
    <xf numFmtId="165" fontId="15" fillId="6" borderId="34" xfId="2" applyNumberFormat="1" applyFont="1" applyFill="1" applyBorder="1" applyAlignment="1">
      <alignment horizontal="right" indent="2"/>
    </xf>
    <xf numFmtId="165" fontId="0" fillId="0" borderId="7" xfId="0" applyNumberFormat="1" applyBorder="1"/>
    <xf numFmtId="165" fontId="10" fillId="0" borderId="0" xfId="0" applyNumberFormat="1" applyFont="1" applyAlignment="1">
      <alignment horizontal="right" indent="2"/>
    </xf>
    <xf numFmtId="165" fontId="15" fillId="0" borderId="0" xfId="2" applyNumberFormat="1" applyFont="1" applyAlignment="1">
      <alignment horizontal="right" indent="2"/>
    </xf>
    <xf numFmtId="165" fontId="9" fillId="0" borderId="0" xfId="2" applyNumberFormat="1" applyFont="1" applyAlignment="1">
      <alignment horizontal="right" indent="2"/>
    </xf>
    <xf numFmtId="0" fontId="4" fillId="0" borderId="4" xfId="3" applyBorder="1" applyAlignment="1">
      <alignment vertical="center"/>
    </xf>
    <xf numFmtId="0" fontId="3" fillId="0" borderId="11" xfId="0" applyFont="1" applyBorder="1" applyAlignment="1">
      <alignment horizontal="left" vertical="center"/>
    </xf>
    <xf numFmtId="3" fontId="3" fillId="6" borderId="24" xfId="0" applyNumberFormat="1" applyFont="1" applyFill="1" applyBorder="1" applyAlignment="1">
      <alignment horizontal="right" indent="2"/>
    </xf>
    <xf numFmtId="3" fontId="3" fillId="5" borderId="24" xfId="0" applyNumberFormat="1" applyFont="1" applyFill="1" applyBorder="1" applyAlignment="1">
      <alignment horizontal="right" indent="2"/>
    </xf>
    <xf numFmtId="3" fontId="3" fillId="6" borderId="36" xfId="0" quotePrefix="1" applyNumberFormat="1" applyFont="1" applyFill="1" applyBorder="1" applyAlignment="1">
      <alignment horizontal="right" indent="2"/>
    </xf>
    <xf numFmtId="3" fontId="3" fillId="5" borderId="36" xfId="0" quotePrefix="1" applyNumberFormat="1" applyFont="1" applyFill="1" applyBorder="1" applyAlignment="1">
      <alignment horizontal="right" indent="2"/>
    </xf>
    <xf numFmtId="3" fontId="3" fillId="4" borderId="47" xfId="0" quotePrefix="1" applyNumberFormat="1" applyFont="1" applyFill="1" applyBorder="1" applyAlignment="1">
      <alignment horizontal="right" indent="2"/>
    </xf>
    <xf numFmtId="3" fontId="3" fillId="5" borderId="47" xfId="0" quotePrefix="1" applyNumberFormat="1" applyFont="1" applyFill="1" applyBorder="1" applyAlignment="1">
      <alignment horizontal="right" indent="2"/>
    </xf>
    <xf numFmtId="3" fontId="114" fillId="25" borderId="47" xfId="9" applyNumberFormat="1" applyBorder="1" applyAlignment="1">
      <alignment horizontal="right" indent="2"/>
    </xf>
    <xf numFmtId="3" fontId="3" fillId="4" borderId="30" xfId="0" quotePrefix="1" applyNumberFormat="1" applyFont="1" applyFill="1" applyBorder="1" applyAlignment="1">
      <alignment horizontal="right" indent="2"/>
    </xf>
    <xf numFmtId="3" fontId="111" fillId="5" borderId="30" xfId="7" quotePrefix="1" applyNumberFormat="1" applyFill="1" applyBorder="1" applyAlignment="1">
      <alignment horizontal="right" indent="2"/>
    </xf>
    <xf numFmtId="0" fontId="0" fillId="0" borderId="43" xfId="0" applyBorder="1" applyAlignment="1">
      <alignment horizontal="center" vertical="center" wrapText="1"/>
    </xf>
    <xf numFmtId="3" fontId="112" fillId="26" borderId="95" xfId="8" applyNumberFormat="1" applyAlignment="1">
      <alignment horizontal="right" vertical="center" wrapText="1" indent="2"/>
    </xf>
    <xf numFmtId="0" fontId="5" fillId="4" borderId="4" xfId="0" applyFont="1" applyFill="1" applyBorder="1" applyAlignment="1">
      <alignment vertical="center" wrapText="1"/>
    </xf>
    <xf numFmtId="3" fontId="46" fillId="4" borderId="24" xfId="0" applyNumberFormat="1" applyFont="1" applyFill="1" applyBorder="1" applyAlignment="1">
      <alignment horizontal="right" indent="2"/>
    </xf>
    <xf numFmtId="3" fontId="45" fillId="4" borderId="24" xfId="0" applyNumberFormat="1" applyFont="1" applyFill="1" applyBorder="1" applyAlignment="1">
      <alignment horizontal="right" indent="2"/>
    </xf>
    <xf numFmtId="3" fontId="89" fillId="6" borderId="24" xfId="0" applyNumberFormat="1" applyFont="1" applyFill="1" applyBorder="1" applyAlignment="1">
      <alignment horizontal="right" indent="2"/>
    </xf>
    <xf numFmtId="0" fontId="12" fillId="6" borderId="14" xfId="0" applyFont="1" applyFill="1" applyBorder="1" applyAlignment="1">
      <alignment vertical="center" wrapText="1"/>
    </xf>
    <xf numFmtId="0" fontId="0" fillId="6" borderId="12" xfId="0" applyFill="1" applyBorder="1" applyAlignment="1">
      <alignment vertical="center"/>
    </xf>
    <xf numFmtId="166" fontId="0" fillId="6" borderId="31" xfId="0" applyNumberFormat="1" applyFill="1" applyBorder="1" applyAlignment="1">
      <alignment horizontal="right" indent="2"/>
    </xf>
    <xf numFmtId="0" fontId="0" fillId="0" borderId="7" xfId="0" applyBorder="1" applyAlignment="1">
      <alignment wrapText="1"/>
    </xf>
    <xf numFmtId="166" fontId="0" fillId="0" borderId="5" xfId="0" applyNumberFormat="1" applyBorder="1" applyAlignment="1">
      <alignment horizontal="right"/>
    </xf>
    <xf numFmtId="166" fontId="0" fillId="0" borderId="5" xfId="0" applyNumberFormat="1" applyBorder="1" applyAlignment="1">
      <alignment horizontal="left" vertical="center" wrapText="1"/>
    </xf>
    <xf numFmtId="166" fontId="0" fillId="0" borderId="43" xfId="0" applyNumberFormat="1" applyBorder="1" applyAlignment="1">
      <alignment horizontal="left" vertical="center" wrapText="1"/>
    </xf>
    <xf numFmtId="0" fontId="0" fillId="0" borderId="43" xfId="0" applyBorder="1" applyAlignment="1">
      <alignment horizontal="left" vertical="center"/>
    </xf>
    <xf numFmtId="0" fontId="0" fillId="0" borderId="74" xfId="0" applyBorder="1" applyAlignment="1">
      <alignment horizontal="left" vertical="center"/>
    </xf>
    <xf numFmtId="165" fontId="13" fillId="0" borderId="42" xfId="2" applyNumberFormat="1" applyFont="1" applyFill="1" applyBorder="1" applyAlignment="1">
      <alignment horizontal="center"/>
    </xf>
    <xf numFmtId="0" fontId="12" fillId="4" borderId="3" xfId="0" applyFont="1" applyFill="1" applyBorder="1" applyAlignment="1">
      <alignment vertical="center" wrapText="1"/>
    </xf>
    <xf numFmtId="3" fontId="12" fillId="0" borderId="5" xfId="0" applyNumberFormat="1" applyFont="1" applyBorder="1" applyAlignment="1">
      <alignment horizontal="left" wrapText="1"/>
    </xf>
    <xf numFmtId="166" fontId="14" fillId="4" borderId="24" xfId="0" applyNumberFormat="1" applyFont="1" applyFill="1" applyBorder="1" applyAlignment="1">
      <alignment horizontal="right" indent="2"/>
    </xf>
    <xf numFmtId="3" fontId="14" fillId="0" borderId="0" xfId="0" applyNumberFormat="1" applyFont="1" applyAlignment="1">
      <alignment horizontal="right" indent="2"/>
    </xf>
    <xf numFmtId="165" fontId="20" fillId="0" borderId="0" xfId="2" applyNumberFormat="1" applyFont="1" applyBorder="1" applyAlignment="1">
      <alignment horizontal="right" vertical="center" wrapText="1" indent="2"/>
    </xf>
    <xf numFmtId="166" fontId="3" fillId="6" borderId="8" xfId="0" applyNumberFormat="1" applyFont="1" applyFill="1" applyBorder="1" applyAlignment="1">
      <alignment horizontal="right" indent="2"/>
    </xf>
    <xf numFmtId="166" fontId="18" fillId="0" borderId="10" xfId="0" applyNumberFormat="1" applyFont="1" applyBorder="1" applyAlignment="1">
      <alignment horizontal="right" indent="2"/>
    </xf>
    <xf numFmtId="166" fontId="24" fillId="0" borderId="10" xfId="0" applyNumberFormat="1" applyFont="1" applyBorder="1" applyAlignment="1">
      <alignment horizontal="right" indent="2"/>
    </xf>
    <xf numFmtId="0" fontId="3" fillId="0" borderId="9" xfId="0" applyFont="1" applyBorder="1" applyAlignment="1">
      <alignment horizontal="right"/>
    </xf>
    <xf numFmtId="3" fontId="9" fillId="6" borderId="29" xfId="0" applyNumberFormat="1" applyFont="1" applyFill="1" applyBorder="1" applyAlignment="1">
      <alignment horizontal="right" indent="2"/>
    </xf>
    <xf numFmtId="3" fontId="9" fillId="6" borderId="30" xfId="0" applyNumberFormat="1" applyFont="1" applyFill="1" applyBorder="1" applyAlignment="1">
      <alignment horizontal="right" indent="2"/>
    </xf>
    <xf numFmtId="3" fontId="9" fillId="6" borderId="74" xfId="0" applyNumberFormat="1" applyFont="1" applyFill="1" applyBorder="1" applyAlignment="1">
      <alignment horizontal="right" indent="2"/>
    </xf>
    <xf numFmtId="3" fontId="9" fillId="6" borderId="27" xfId="0" applyNumberFormat="1" applyFont="1" applyFill="1" applyBorder="1" applyAlignment="1">
      <alignment horizontal="right" indent="2"/>
    </xf>
    <xf numFmtId="165" fontId="9" fillId="6" borderId="29" xfId="2" applyNumberFormat="1" applyFont="1" applyFill="1" applyBorder="1" applyAlignment="1">
      <alignment horizontal="right" indent="2"/>
    </xf>
    <xf numFmtId="165" fontId="9" fillId="6" borderId="30" xfId="2" applyNumberFormat="1" applyFont="1" applyFill="1" applyBorder="1" applyAlignment="1">
      <alignment horizontal="right" indent="2"/>
    </xf>
    <xf numFmtId="165" fontId="9" fillId="6" borderId="74" xfId="2" applyNumberFormat="1" applyFont="1" applyFill="1" applyBorder="1" applyAlignment="1">
      <alignment horizontal="right" indent="2"/>
    </xf>
    <xf numFmtId="3" fontId="0" fillId="27" borderId="0" xfId="0" applyNumberFormat="1" applyFill="1"/>
    <xf numFmtId="1" fontId="0" fillId="0" borderId="0" xfId="0" applyNumberFormat="1"/>
    <xf numFmtId="1" fontId="0" fillId="4" borderId="6" xfId="0" applyNumberFormat="1" applyFill="1" applyBorder="1" applyAlignment="1">
      <alignment horizontal="center"/>
    </xf>
    <xf numFmtId="1" fontId="8" fillId="0" borderId="0" xfId="0" applyNumberFormat="1" applyFont="1" applyAlignment="1">
      <alignment horizontal="center"/>
    </xf>
    <xf numFmtId="0" fontId="4" fillId="0" borderId="0" xfId="3" applyAlignment="1">
      <alignment horizontal="left"/>
    </xf>
    <xf numFmtId="3" fontId="0" fillId="4" borderId="0" xfId="0" quotePrefix="1" applyNumberFormat="1" applyFill="1" applyAlignment="1">
      <alignment horizontal="center" vertical="center"/>
    </xf>
    <xf numFmtId="3" fontId="0" fillId="0" borderId="4" xfId="0" applyNumberFormat="1" applyBorder="1"/>
    <xf numFmtId="3" fontId="4" fillId="0" borderId="1" xfId="3" applyNumberFormat="1" applyBorder="1" applyAlignment="1">
      <alignment wrapText="1"/>
    </xf>
    <xf numFmtId="3" fontId="0" fillId="0" borderId="3" xfId="0" applyNumberFormat="1" applyBorder="1"/>
    <xf numFmtId="0" fontId="64" fillId="4" borderId="4" xfId="0" applyFont="1" applyFill="1" applyBorder="1" applyAlignment="1">
      <alignment horizontal="center" vertical="center" wrapText="1"/>
    </xf>
    <xf numFmtId="3" fontId="4" fillId="0" borderId="4" xfId="3" applyNumberFormat="1" applyFill="1" applyBorder="1" applyAlignment="1">
      <alignment horizontal="center" vertical="center" wrapText="1"/>
    </xf>
    <xf numFmtId="0" fontId="3" fillId="15" borderId="12" xfId="0" applyFont="1" applyFill="1" applyBorder="1" applyAlignment="1">
      <alignment horizontal="left" vertical="center"/>
    </xf>
    <xf numFmtId="0" fontId="0" fillId="15" borderId="13" xfId="0" applyFill="1" applyBorder="1"/>
    <xf numFmtId="3" fontId="0" fillId="15" borderId="14" xfId="0" applyNumberFormat="1" applyFill="1" applyBorder="1" applyAlignment="1">
      <alignment vertical="center" wrapText="1"/>
    </xf>
    <xf numFmtId="3" fontId="0" fillId="15" borderId="69" xfId="0" applyNumberFormat="1" applyFill="1" applyBorder="1" applyAlignment="1">
      <alignment vertical="center" wrapText="1"/>
    </xf>
    <xf numFmtId="3" fontId="0" fillId="15" borderId="70" xfId="0" applyNumberFormat="1" applyFill="1" applyBorder="1" applyAlignment="1">
      <alignment vertical="center" wrapText="1"/>
    </xf>
    <xf numFmtId="3" fontId="0" fillId="15" borderId="12" xfId="0" applyNumberFormat="1" applyFill="1" applyBorder="1" applyAlignment="1">
      <alignment vertical="center" wrapText="1"/>
    </xf>
    <xf numFmtId="3" fontId="0" fillId="15" borderId="13" xfId="0" applyNumberFormat="1" applyFill="1" applyBorder="1"/>
    <xf numFmtId="3" fontId="0" fillId="0" borderId="70" xfId="0" applyNumberFormat="1" applyBorder="1" applyAlignment="1">
      <alignment vertical="center" wrapText="1"/>
    </xf>
    <xf numFmtId="3" fontId="0" fillId="15" borderId="71" xfId="0" applyNumberFormat="1" applyFill="1" applyBorder="1" applyAlignment="1">
      <alignment vertical="center" wrapText="1"/>
    </xf>
    <xf numFmtId="4" fontId="0" fillId="0" borderId="25" xfId="0" applyNumberFormat="1" applyBorder="1" applyAlignment="1">
      <alignment horizontal="right" indent="2"/>
    </xf>
    <xf numFmtId="4" fontId="0" fillId="0" borderId="43" xfId="0" applyNumberFormat="1" applyBorder="1" applyAlignment="1">
      <alignment horizontal="right" indent="2"/>
    </xf>
    <xf numFmtId="4" fontId="0" fillId="0" borderId="51" xfId="0" applyNumberFormat="1" applyBorder="1" applyAlignment="1">
      <alignment horizontal="right" indent="2"/>
    </xf>
    <xf numFmtId="3" fontId="0" fillId="0" borderId="16" xfId="0" applyNumberFormat="1" applyBorder="1" applyAlignment="1">
      <alignment vertical="center" wrapText="1"/>
    </xf>
    <xf numFmtId="4" fontId="0" fillId="15" borderId="23" xfId="0" applyNumberFormat="1" applyFill="1" applyBorder="1" applyAlignment="1">
      <alignment horizontal="right" indent="2"/>
    </xf>
    <xf numFmtId="4" fontId="0" fillId="15" borderId="24" xfId="0" applyNumberFormat="1" applyFill="1" applyBorder="1" applyAlignment="1">
      <alignment horizontal="right" indent="2"/>
    </xf>
    <xf numFmtId="4" fontId="0" fillId="15" borderId="25" xfId="0" applyNumberFormat="1" applyFill="1" applyBorder="1" applyAlignment="1">
      <alignment horizontal="right" indent="2"/>
    </xf>
    <xf numFmtId="4" fontId="0" fillId="15" borderId="22" xfId="0" applyNumberFormat="1" applyFill="1" applyBorder="1" applyAlignment="1">
      <alignment horizontal="right" indent="2"/>
    </xf>
    <xf numFmtId="4" fontId="0" fillId="15" borderId="51" xfId="0" applyNumberFormat="1" applyFill="1" applyBorder="1" applyAlignment="1">
      <alignment horizontal="right" indent="2"/>
    </xf>
    <xf numFmtId="4" fontId="0" fillId="15" borderId="63" xfId="0" applyNumberFormat="1" applyFill="1" applyBorder="1" applyAlignment="1">
      <alignment horizontal="right" indent="2"/>
    </xf>
    <xf numFmtId="3" fontId="0" fillId="0" borderId="18" xfId="0" applyNumberFormat="1" applyBorder="1"/>
    <xf numFmtId="9" fontId="0" fillId="0" borderId="11" xfId="2" applyFont="1" applyBorder="1"/>
    <xf numFmtId="4" fontId="0" fillId="0" borderId="11" xfId="0" applyNumberFormat="1" applyBorder="1" applyAlignment="1">
      <alignment horizontal="right" indent="2"/>
    </xf>
    <xf numFmtId="0" fontId="11" fillId="15" borderId="27" xfId="0" applyFont="1" applyFill="1" applyBorder="1" applyAlignment="1">
      <alignment horizontal="center" vertical="center" textRotation="90" wrapText="1"/>
    </xf>
    <xf numFmtId="0" fontId="2" fillId="15" borderId="28" xfId="0" applyFont="1" applyFill="1" applyBorder="1" applyAlignment="1">
      <alignment horizontal="right"/>
    </xf>
    <xf numFmtId="4" fontId="0" fillId="15" borderId="29" xfId="0" applyNumberFormat="1" applyFill="1" applyBorder="1" applyAlignment="1">
      <alignment horizontal="right" indent="2"/>
    </xf>
    <xf numFmtId="4" fontId="0" fillId="15" borderId="30" xfId="0" applyNumberFormat="1" applyFill="1" applyBorder="1" applyAlignment="1">
      <alignment horizontal="right" indent="2"/>
    </xf>
    <xf numFmtId="4" fontId="0" fillId="15" borderId="31" xfId="0" applyNumberFormat="1" applyFill="1" applyBorder="1" applyAlignment="1">
      <alignment horizontal="right" indent="2"/>
    </xf>
    <xf numFmtId="4" fontId="0" fillId="15" borderId="28" xfId="0" applyNumberFormat="1" applyFill="1" applyBorder="1" applyAlignment="1">
      <alignment horizontal="right" indent="2"/>
    </xf>
    <xf numFmtId="4" fontId="0" fillId="15" borderId="74" xfId="0" applyNumberFormat="1" applyFill="1" applyBorder="1" applyAlignment="1">
      <alignment horizontal="right" indent="2"/>
    </xf>
    <xf numFmtId="4" fontId="0" fillId="0" borderId="31" xfId="0" applyNumberFormat="1" applyBorder="1" applyAlignment="1">
      <alignment horizontal="right" indent="2"/>
    </xf>
    <xf numFmtId="4" fontId="0" fillId="15" borderId="81" xfId="0" applyNumberFormat="1" applyFill="1" applyBorder="1" applyAlignment="1">
      <alignment horizontal="right" indent="2"/>
    </xf>
    <xf numFmtId="4" fontId="0" fillId="0" borderId="74" xfId="0" applyNumberFormat="1" applyBorder="1" applyAlignment="1">
      <alignment horizontal="right" indent="2"/>
    </xf>
    <xf numFmtId="4" fontId="0" fillId="15" borderId="4" xfId="0" applyNumberFormat="1" applyFill="1" applyBorder="1" applyAlignment="1">
      <alignment horizontal="right" indent="2"/>
    </xf>
    <xf numFmtId="4" fontId="0" fillId="15" borderId="36" xfId="0" applyNumberFormat="1" applyFill="1" applyBorder="1" applyAlignment="1">
      <alignment horizontal="right" indent="2"/>
    </xf>
    <xf numFmtId="4" fontId="0" fillId="15" borderId="37" xfId="0" applyNumberFormat="1" applyFill="1" applyBorder="1" applyAlignment="1">
      <alignment horizontal="right" indent="2"/>
    </xf>
    <xf numFmtId="4" fontId="0" fillId="15" borderId="67" xfId="0" applyNumberFormat="1" applyFill="1" applyBorder="1" applyAlignment="1">
      <alignment horizontal="right" indent="2"/>
    </xf>
    <xf numFmtId="4" fontId="0" fillId="15" borderId="87" xfId="0" applyNumberFormat="1" applyFill="1" applyBorder="1" applyAlignment="1">
      <alignment horizontal="right" indent="2"/>
    </xf>
    <xf numFmtId="4" fontId="0" fillId="15" borderId="34" xfId="0" applyNumberFormat="1" applyFill="1" applyBorder="1" applyAlignment="1">
      <alignment horizontal="right" indent="2"/>
    </xf>
    <xf numFmtId="4" fontId="0" fillId="15" borderId="66" xfId="0" applyNumberFormat="1" applyFill="1" applyBorder="1" applyAlignment="1">
      <alignment horizontal="right" indent="2"/>
    </xf>
    <xf numFmtId="3" fontId="0" fillId="0" borderId="38" xfId="0" applyNumberFormat="1" applyBorder="1"/>
    <xf numFmtId="4" fontId="0" fillId="0" borderId="37" xfId="0" applyNumberFormat="1" applyBorder="1" applyAlignment="1">
      <alignment horizontal="right" indent="2"/>
    </xf>
    <xf numFmtId="4" fontId="0" fillId="15" borderId="64" xfId="0" applyNumberFormat="1" applyFill="1" applyBorder="1" applyAlignment="1">
      <alignment horizontal="right" indent="2"/>
    </xf>
    <xf numFmtId="4" fontId="0" fillId="0" borderId="37" xfId="0" applyNumberFormat="1" applyBorder="1" applyAlignment="1">
      <alignment horizontal="left"/>
    </xf>
    <xf numFmtId="4" fontId="0" fillId="0" borderId="53" xfId="0" applyNumberFormat="1" applyBorder="1" applyAlignment="1">
      <alignment horizontal="left"/>
    </xf>
    <xf numFmtId="4" fontId="0" fillId="0" borderId="66" xfId="0" applyNumberFormat="1" applyBorder="1" applyAlignment="1">
      <alignment horizontal="left"/>
    </xf>
    <xf numFmtId="4" fontId="0" fillId="0" borderId="38" xfId="0" applyNumberFormat="1" applyBorder="1" applyAlignment="1">
      <alignment horizontal="right" indent="2"/>
    </xf>
    <xf numFmtId="3" fontId="0" fillId="0" borderId="80" xfId="0" applyNumberFormat="1" applyBorder="1" applyAlignment="1">
      <alignment horizontal="right" indent="2"/>
    </xf>
    <xf numFmtId="3" fontId="0" fillId="0" borderId="86" xfId="0" applyNumberFormat="1" applyBorder="1" applyAlignment="1">
      <alignment horizontal="right" indent="2"/>
    </xf>
    <xf numFmtId="3" fontId="0" fillId="0" borderId="44" xfId="0" applyNumberFormat="1" applyBorder="1" applyAlignment="1">
      <alignment horizontal="center"/>
    </xf>
    <xf numFmtId="4" fontId="0" fillId="4" borderId="48" xfId="0" applyNumberFormat="1" applyFill="1" applyBorder="1" applyAlignment="1">
      <alignment horizontal="right" indent="2"/>
    </xf>
    <xf numFmtId="4" fontId="0" fillId="4" borderId="79" xfId="0" applyNumberFormat="1" applyFill="1" applyBorder="1" applyAlignment="1">
      <alignment horizontal="right" indent="2"/>
    </xf>
    <xf numFmtId="4" fontId="51" fillId="4" borderId="48" xfId="0" applyNumberFormat="1" applyFont="1" applyFill="1" applyBorder="1" applyAlignment="1">
      <alignment horizontal="right" indent="2"/>
    </xf>
    <xf numFmtId="4" fontId="0" fillId="0" borderId="48" xfId="0" applyNumberFormat="1" applyBorder="1" applyAlignment="1">
      <alignment horizontal="right" indent="2"/>
    </xf>
    <xf numFmtId="165" fontId="12" fillId="0" borderId="0" xfId="2" applyNumberFormat="1" applyFont="1" applyBorder="1"/>
    <xf numFmtId="4" fontId="0" fillId="0" borderId="50" xfId="0" applyNumberFormat="1" applyBorder="1" applyAlignment="1">
      <alignment horizontal="right" indent="2"/>
    </xf>
    <xf numFmtId="4" fontId="0" fillId="4" borderId="35" xfId="0" applyNumberFormat="1" applyFill="1" applyBorder="1" applyAlignment="1">
      <alignment horizontal="right" indent="2"/>
    </xf>
    <xf numFmtId="4" fontId="0" fillId="4" borderId="37" xfId="0" applyNumberFormat="1" applyFill="1" applyBorder="1" applyAlignment="1">
      <alignment horizontal="right" indent="2"/>
    </xf>
    <xf numFmtId="4" fontId="0" fillId="4" borderId="64" xfId="0" applyNumberFormat="1" applyFill="1" applyBorder="1" applyAlignment="1">
      <alignment horizontal="right" indent="2"/>
    </xf>
    <xf numFmtId="4" fontId="51" fillId="4" borderId="37" xfId="0" applyNumberFormat="1" applyFont="1" applyFill="1" applyBorder="1" applyAlignment="1">
      <alignment horizontal="right" indent="2"/>
    </xf>
    <xf numFmtId="4" fontId="0" fillId="4" borderId="58" xfId="0" applyNumberFormat="1" applyFill="1" applyBorder="1" applyAlignment="1">
      <alignment horizontal="right" indent="2"/>
    </xf>
    <xf numFmtId="4" fontId="0" fillId="0" borderId="82" xfId="0" applyNumberFormat="1" applyBorder="1" applyAlignment="1">
      <alignment horizontal="right" indent="2"/>
    </xf>
    <xf numFmtId="4" fontId="0" fillId="4" borderId="85" xfId="0" applyNumberFormat="1" applyFill="1" applyBorder="1" applyAlignment="1">
      <alignment horizontal="right" indent="2"/>
    </xf>
    <xf numFmtId="3" fontId="12" fillId="0" borderId="42" xfId="0" applyNumberFormat="1" applyFont="1" applyBorder="1"/>
    <xf numFmtId="4" fontId="0" fillId="0" borderId="85" xfId="0" applyNumberFormat="1" applyBorder="1" applyAlignment="1">
      <alignment horizontal="right" indent="2"/>
    </xf>
    <xf numFmtId="4" fontId="0" fillId="0" borderId="69" xfId="0" applyNumberFormat="1" applyBorder="1" applyAlignment="1">
      <alignment horizontal="right" vertical="center" wrapText="1"/>
    </xf>
    <xf numFmtId="4" fontId="0" fillId="0" borderId="70" xfId="0" applyNumberFormat="1" applyBorder="1" applyAlignment="1">
      <alignment horizontal="right" vertical="center" wrapText="1"/>
    </xf>
    <xf numFmtId="4" fontId="0" fillId="0" borderId="17" xfId="0" applyNumberFormat="1" applyBorder="1" applyAlignment="1">
      <alignment horizontal="right" vertical="center" wrapText="1"/>
    </xf>
    <xf numFmtId="4" fontId="0" fillId="0" borderId="65" xfId="0" applyNumberFormat="1" applyBorder="1" applyAlignment="1">
      <alignment horizontal="right" vertical="center" wrapText="1"/>
    </xf>
    <xf numFmtId="4" fontId="0" fillId="0" borderId="79" xfId="0" applyNumberFormat="1" applyBorder="1" applyAlignment="1">
      <alignment horizontal="right" vertical="center" wrapText="1"/>
    </xf>
    <xf numFmtId="4" fontId="0" fillId="0" borderId="80" xfId="0" applyNumberFormat="1" applyBorder="1" applyAlignment="1">
      <alignment horizontal="right" vertical="center" wrapText="1"/>
    </xf>
    <xf numFmtId="4" fontId="0" fillId="4" borderId="25" xfId="0" applyNumberFormat="1" applyFill="1" applyBorder="1" applyAlignment="1">
      <alignment horizontal="right" indent="2"/>
    </xf>
    <xf numFmtId="4" fontId="0" fillId="4" borderId="51" xfId="0" applyNumberFormat="1" applyFill="1" applyBorder="1" applyAlignment="1">
      <alignment horizontal="right" indent="2"/>
    </xf>
    <xf numFmtId="4" fontId="0" fillId="4" borderId="63" xfId="0" applyNumberFormat="1" applyFill="1" applyBorder="1" applyAlignment="1">
      <alignment horizontal="right" indent="2"/>
    </xf>
    <xf numFmtId="4" fontId="0" fillId="0" borderId="63" xfId="0" applyNumberFormat="1" applyBorder="1" applyAlignment="1">
      <alignment horizontal="right" indent="2"/>
    </xf>
    <xf numFmtId="4" fontId="2" fillId="0" borderId="63" xfId="0" applyNumberFormat="1" applyFont="1" applyBorder="1" applyAlignment="1">
      <alignment horizontal="right" indent="2"/>
    </xf>
    <xf numFmtId="4" fontId="2" fillId="4" borderId="24" xfId="0" applyNumberFormat="1" applyFont="1" applyFill="1" applyBorder="1" applyAlignment="1">
      <alignment horizontal="right" indent="2"/>
    </xf>
    <xf numFmtId="4" fontId="0" fillId="4" borderId="27" xfId="0" applyNumberFormat="1" applyFill="1" applyBorder="1" applyAlignment="1">
      <alignment horizontal="right" indent="2"/>
    </xf>
    <xf numFmtId="4" fontId="0" fillId="4" borderId="9" xfId="0" applyNumberFormat="1" applyFill="1" applyBorder="1" applyAlignment="1">
      <alignment horizontal="right" indent="2"/>
    </xf>
    <xf numFmtId="4" fontId="0" fillId="0" borderId="9" xfId="0" applyNumberFormat="1" applyBorder="1" applyAlignment="1">
      <alignment horizontal="right" indent="2"/>
    </xf>
    <xf numFmtId="4" fontId="0" fillId="4" borderId="28" xfId="0" applyNumberFormat="1" applyFill="1" applyBorder="1" applyAlignment="1">
      <alignment horizontal="right" indent="2"/>
    </xf>
    <xf numFmtId="4" fontId="0" fillId="0" borderId="0" xfId="0" applyNumberFormat="1" applyAlignment="1">
      <alignment horizontal="right" indent="2"/>
    </xf>
    <xf numFmtId="4" fontId="0" fillId="0" borderId="28" xfId="0" applyNumberFormat="1" applyBorder="1" applyAlignment="1">
      <alignment horizontal="right" indent="2"/>
    </xf>
    <xf numFmtId="165" fontId="30" fillId="0" borderId="34" xfId="2" applyNumberFormat="1" applyFont="1" applyFill="1" applyBorder="1" applyAlignment="1">
      <alignment horizontal="right" indent="2"/>
    </xf>
    <xf numFmtId="3" fontId="0" fillId="4" borderId="14" xfId="0" applyNumberFormat="1" applyFill="1" applyBorder="1" applyAlignment="1">
      <alignment horizontal="right" indent="2"/>
    </xf>
    <xf numFmtId="4" fontId="0" fillId="4" borderId="69" xfId="0" applyNumberFormat="1" applyFill="1" applyBorder="1" applyAlignment="1">
      <alignment horizontal="right" indent="2"/>
    </xf>
    <xf numFmtId="4" fontId="0" fillId="4" borderId="97" xfId="0" applyNumberFormat="1" applyFill="1" applyBorder="1" applyAlignment="1">
      <alignment horizontal="right" indent="2"/>
    </xf>
    <xf numFmtId="165" fontId="49" fillId="0" borderId="16" xfId="2" applyNumberFormat="1" applyFont="1" applyFill="1" applyBorder="1" applyAlignment="1"/>
    <xf numFmtId="4" fontId="0" fillId="4" borderId="71" xfId="0" applyNumberFormat="1" applyFill="1" applyBorder="1" applyAlignment="1">
      <alignment horizontal="right" indent="2"/>
    </xf>
    <xf numFmtId="165" fontId="49" fillId="0" borderId="44" xfId="2" applyNumberFormat="1" applyFont="1" applyFill="1" applyBorder="1" applyAlignment="1"/>
    <xf numFmtId="4" fontId="0" fillId="0" borderId="71" xfId="0" applyNumberFormat="1" applyBorder="1" applyAlignment="1">
      <alignment horizontal="right" indent="2"/>
    </xf>
    <xf numFmtId="165" fontId="49" fillId="0" borderId="11" xfId="2" applyNumberFormat="1" applyFont="1" applyFill="1" applyBorder="1" applyAlignment="1"/>
    <xf numFmtId="165" fontId="49" fillId="0" borderId="0" xfId="2" applyNumberFormat="1" applyFont="1" applyFill="1" applyBorder="1" applyAlignment="1"/>
    <xf numFmtId="165" fontId="49" fillId="0" borderId="38" xfId="2" applyNumberFormat="1" applyFont="1" applyFill="1" applyBorder="1" applyAlignment="1"/>
    <xf numFmtId="165" fontId="49" fillId="0" borderId="42" xfId="2" applyNumberFormat="1" applyFont="1" applyFill="1" applyBorder="1" applyAlignment="1"/>
    <xf numFmtId="4" fontId="0" fillId="0" borderId="64" xfId="0" applyNumberFormat="1" applyBorder="1" applyAlignment="1">
      <alignment horizontal="right" indent="2"/>
    </xf>
    <xf numFmtId="3" fontId="12" fillId="0" borderId="5" xfId="0" applyNumberFormat="1" applyFont="1" applyBorder="1" applyAlignment="1">
      <alignment horizontal="center" vertical="center" wrapText="1"/>
    </xf>
    <xf numFmtId="3" fontId="0" fillId="0" borderId="1" xfId="0" applyNumberFormat="1" applyBorder="1"/>
    <xf numFmtId="3" fontId="12" fillId="0" borderId="43" xfId="0" applyNumberFormat="1" applyFont="1" applyBorder="1" applyAlignment="1">
      <alignment horizontal="center" vertical="center" wrapText="1"/>
    </xf>
    <xf numFmtId="3" fontId="12" fillId="4" borderId="16" xfId="0" applyNumberFormat="1" applyFont="1" applyFill="1" applyBorder="1" applyAlignment="1">
      <alignment horizontal="center" vertical="center" wrapText="1"/>
    </xf>
    <xf numFmtId="3" fontId="12" fillId="0" borderId="16" xfId="0" applyNumberFormat="1" applyFont="1" applyBorder="1" applyAlignment="1">
      <alignment horizontal="center" vertical="center" wrapText="1"/>
    </xf>
    <xf numFmtId="3" fontId="47" fillId="0" borderId="5" xfId="0" applyNumberFormat="1" applyFont="1" applyBorder="1" applyAlignment="1">
      <alignment horizontal="right" indent="2"/>
    </xf>
    <xf numFmtId="4" fontId="0" fillId="2" borderId="47" xfId="0" applyNumberFormat="1" applyFill="1" applyBorder="1" applyAlignment="1">
      <alignment horizontal="right" indent="2"/>
    </xf>
    <xf numFmtId="4" fontId="0" fillId="0" borderId="52" xfId="0" applyNumberFormat="1" applyBorder="1" applyAlignment="1">
      <alignment horizontal="right" indent="2"/>
    </xf>
    <xf numFmtId="4" fontId="0" fillId="2" borderId="24" xfId="0" applyNumberFormat="1" applyFill="1" applyBorder="1" applyAlignment="1">
      <alignment horizontal="right" indent="2"/>
    </xf>
    <xf numFmtId="4" fontId="0" fillId="4" borderId="31" xfId="0" applyNumberFormat="1" applyFill="1" applyBorder="1" applyAlignment="1">
      <alignment horizontal="right" indent="2"/>
    </xf>
    <xf numFmtId="4" fontId="0" fillId="2" borderId="30" xfId="0" applyNumberFormat="1" applyFill="1" applyBorder="1" applyAlignment="1">
      <alignment horizontal="right" indent="2"/>
    </xf>
    <xf numFmtId="4" fontId="0" fillId="0" borderId="84" xfId="0" applyNumberFormat="1" applyBorder="1" applyAlignment="1">
      <alignment horizontal="right" indent="2"/>
    </xf>
    <xf numFmtId="170" fontId="0" fillId="0" borderId="10" xfId="0" applyNumberFormat="1" applyBorder="1" applyAlignment="1">
      <alignment horizontal="right" indent="2"/>
    </xf>
    <xf numFmtId="170" fontId="0" fillId="4" borderId="48" xfId="0" applyNumberFormat="1" applyFill="1" applyBorder="1" applyAlignment="1">
      <alignment horizontal="right" indent="2"/>
    </xf>
    <xf numFmtId="170" fontId="2" fillId="4" borderId="47" xfId="0" applyNumberFormat="1" applyFont="1" applyFill="1" applyBorder="1" applyAlignment="1">
      <alignment horizontal="right" indent="2"/>
    </xf>
    <xf numFmtId="170" fontId="0" fillId="0" borderId="48" xfId="0" applyNumberFormat="1" applyBorder="1" applyAlignment="1">
      <alignment horizontal="right" indent="2"/>
    </xf>
    <xf numFmtId="170" fontId="0" fillId="0" borderId="0" xfId="0" applyNumberFormat="1" applyAlignment="1">
      <alignment horizontal="right" vertical="center" wrapText="1" indent="2"/>
    </xf>
    <xf numFmtId="170" fontId="0" fillId="4" borderId="25" xfId="0" applyNumberFormat="1" applyFill="1" applyBorder="1" applyAlignment="1">
      <alignment horizontal="right" indent="2"/>
    </xf>
    <xf numFmtId="170" fontId="0" fillId="0" borderId="25" xfId="0" applyNumberFormat="1" applyBorder="1" applyAlignment="1">
      <alignment horizontal="right" indent="2"/>
    </xf>
    <xf numFmtId="0" fontId="3" fillId="4" borderId="0" xfId="0" applyFont="1" applyFill="1" applyAlignment="1">
      <alignment horizontal="right"/>
    </xf>
    <xf numFmtId="170" fontId="0" fillId="4" borderId="31" xfId="0" applyNumberFormat="1" applyFill="1" applyBorder="1" applyAlignment="1">
      <alignment horizontal="right" indent="2"/>
    </xf>
    <xf numFmtId="170" fontId="0" fillId="0" borderId="31" xfId="0" applyNumberFormat="1" applyBorder="1" applyAlignment="1">
      <alignment horizontal="right" indent="2"/>
    </xf>
    <xf numFmtId="170" fontId="0" fillId="4" borderId="36" xfId="0" applyNumberFormat="1" applyFill="1" applyBorder="1" applyAlignment="1">
      <alignment horizontal="right" indent="2"/>
    </xf>
    <xf numFmtId="170" fontId="0" fillId="4" borderId="37" xfId="0" applyNumberFormat="1" applyFill="1" applyBorder="1" applyAlignment="1">
      <alignment horizontal="right" indent="2"/>
    </xf>
    <xf numFmtId="170" fontId="0" fillId="0" borderId="42" xfId="0" applyNumberFormat="1" applyBorder="1" applyAlignment="1">
      <alignment horizontal="right" vertical="center" wrapText="1" indent="2"/>
    </xf>
    <xf numFmtId="170" fontId="0" fillId="0" borderId="37" xfId="0" applyNumberFormat="1" applyBorder="1" applyAlignment="1">
      <alignment horizontal="right" indent="2"/>
    </xf>
    <xf numFmtId="170" fontId="0" fillId="0" borderId="18" xfId="0" applyNumberFormat="1" applyBorder="1" applyAlignment="1">
      <alignment horizontal="right" indent="2"/>
    </xf>
    <xf numFmtId="170" fontId="0" fillId="0" borderId="0" xfId="0" applyNumberFormat="1" applyAlignment="1">
      <alignment horizontal="right" indent="2"/>
    </xf>
    <xf numFmtId="170" fontId="0" fillId="0" borderId="44" xfId="0" applyNumberFormat="1" applyBorder="1" applyAlignment="1">
      <alignment horizontal="right" indent="2"/>
    </xf>
    <xf numFmtId="170" fontId="0" fillId="0" borderId="44" xfId="0" applyNumberFormat="1" applyBorder="1"/>
    <xf numFmtId="165" fontId="2" fillId="0" borderId="11" xfId="2" applyNumberFormat="1" applyFont="1" applyBorder="1"/>
    <xf numFmtId="3" fontId="0" fillId="0" borderId="1" xfId="0" applyNumberFormat="1" applyBorder="1" applyAlignment="1">
      <alignment horizontal="right" indent="2"/>
    </xf>
    <xf numFmtId="165" fontId="19" fillId="0" borderId="38" xfId="2" applyNumberFormat="1" applyFont="1" applyFill="1" applyBorder="1" applyAlignment="1">
      <alignment horizontal="right" vertical="center" wrapText="1" indent="2"/>
    </xf>
    <xf numFmtId="0" fontId="3" fillId="15" borderId="43" xfId="0" applyFont="1" applyFill="1" applyBorder="1" applyAlignment="1">
      <alignment horizontal="left"/>
    </xf>
    <xf numFmtId="0" fontId="3" fillId="15" borderId="16" xfId="0" applyFont="1" applyFill="1" applyBorder="1" applyAlignment="1">
      <alignment horizontal="left"/>
    </xf>
    <xf numFmtId="3" fontId="0" fillId="15" borderId="14" xfId="0" applyNumberFormat="1" applyFill="1" applyBorder="1" applyAlignment="1">
      <alignment horizontal="right" indent="2"/>
    </xf>
    <xf numFmtId="3" fontId="0" fillId="15" borderId="12" xfId="0" applyNumberFormat="1" applyFill="1" applyBorder="1" applyAlignment="1">
      <alignment horizontal="right" indent="2"/>
    </xf>
    <xf numFmtId="3" fontId="0" fillId="15" borderId="15" xfId="0" applyNumberFormat="1" applyFill="1" applyBorder="1" applyAlignment="1">
      <alignment horizontal="right" indent="2"/>
    </xf>
    <xf numFmtId="3" fontId="0" fillId="15" borderId="13" xfId="0" applyNumberFormat="1" applyFill="1" applyBorder="1" applyAlignment="1">
      <alignment horizontal="right" indent="2"/>
    </xf>
    <xf numFmtId="165" fontId="9" fillId="0" borderId="15" xfId="0" applyNumberFormat="1" applyFont="1" applyBorder="1" applyAlignment="1">
      <alignment horizontal="right" indent="2"/>
    </xf>
    <xf numFmtId="0" fontId="0" fillId="15" borderId="17" xfId="0" applyFill="1" applyBorder="1" applyAlignment="1">
      <alignment horizontal="right"/>
    </xf>
    <xf numFmtId="4" fontId="56" fillId="15" borderId="23" xfId="0" applyNumberFormat="1" applyFont="1" applyFill="1" applyBorder="1" applyAlignment="1">
      <alignment horizontal="right" indent="2"/>
    </xf>
    <xf numFmtId="4" fontId="56" fillId="15" borderId="24" xfId="0" applyNumberFormat="1" applyFont="1" applyFill="1" applyBorder="1" applyAlignment="1">
      <alignment horizontal="right" indent="2"/>
    </xf>
    <xf numFmtId="4" fontId="56" fillId="15" borderId="25" xfId="0" applyNumberFormat="1" applyFont="1" applyFill="1" applyBorder="1" applyAlignment="1">
      <alignment horizontal="right" indent="2"/>
    </xf>
    <xf numFmtId="165" fontId="55" fillId="0" borderId="22" xfId="2" applyNumberFormat="1" applyFont="1" applyFill="1" applyBorder="1" applyAlignment="1"/>
    <xf numFmtId="0" fontId="56" fillId="0" borderId="0" xfId="0" applyFont="1" applyAlignment="1">
      <alignment horizontal="right"/>
    </xf>
    <xf numFmtId="4" fontId="56" fillId="0" borderId="50" xfId="0" applyNumberFormat="1" applyFont="1" applyBorder="1" applyAlignment="1">
      <alignment horizontal="right" indent="2"/>
    </xf>
    <xf numFmtId="4" fontId="56" fillId="15" borderId="63" xfId="0" applyNumberFormat="1" applyFont="1" applyFill="1" applyBorder="1" applyAlignment="1">
      <alignment horizontal="right" indent="2"/>
    </xf>
    <xf numFmtId="165" fontId="55" fillId="0" borderId="8" xfId="2" applyNumberFormat="1" applyFont="1" applyFill="1" applyBorder="1" applyAlignment="1"/>
    <xf numFmtId="4" fontId="56" fillId="0" borderId="25" xfId="0" applyNumberFormat="1" applyFont="1" applyBorder="1" applyAlignment="1">
      <alignment horizontal="right" indent="2"/>
    </xf>
    <xf numFmtId="165" fontId="30" fillId="0" borderId="22" xfId="2" applyNumberFormat="1" applyFont="1" applyFill="1" applyBorder="1" applyAlignment="1"/>
    <xf numFmtId="165" fontId="30" fillId="0" borderId="8" xfId="2" applyNumberFormat="1" applyFont="1" applyFill="1" applyBorder="1" applyAlignment="1"/>
    <xf numFmtId="165" fontId="13" fillId="0" borderId="8" xfId="2" applyNumberFormat="1" applyFont="1" applyFill="1" applyBorder="1" applyAlignment="1"/>
    <xf numFmtId="4" fontId="0" fillId="0" borderId="72" xfId="0" applyNumberFormat="1" applyBorder="1" applyAlignment="1">
      <alignment horizontal="right" indent="2"/>
    </xf>
    <xf numFmtId="165" fontId="13" fillId="0" borderId="9" xfId="2" applyNumberFormat="1" applyFont="1" applyFill="1" applyBorder="1" applyAlignment="1"/>
    <xf numFmtId="0" fontId="0" fillId="15" borderId="53" xfId="0" applyFill="1" applyBorder="1" applyAlignment="1">
      <alignment horizontal="right"/>
    </xf>
    <xf numFmtId="0" fontId="0" fillId="15" borderId="38" xfId="0" applyFill="1" applyBorder="1" applyAlignment="1">
      <alignment horizontal="right"/>
    </xf>
    <xf numFmtId="4" fontId="0" fillId="15" borderId="35" xfId="0" applyNumberFormat="1" applyFill="1" applyBorder="1" applyAlignment="1">
      <alignment horizontal="right" indent="2"/>
    </xf>
    <xf numFmtId="165" fontId="13" fillId="0" borderId="41" xfId="2" applyNumberFormat="1" applyFont="1" applyFill="1" applyBorder="1" applyAlignment="1"/>
    <xf numFmtId="3" fontId="0" fillId="28" borderId="12" xfId="0" applyNumberFormat="1" applyFill="1" applyBorder="1" applyAlignment="1">
      <alignment horizontal="right" indent="2"/>
    </xf>
    <xf numFmtId="3" fontId="0" fillId="28" borderId="13" xfId="0" applyNumberFormat="1" applyFill="1" applyBorder="1" applyAlignment="1">
      <alignment horizontal="right" indent="2"/>
    </xf>
    <xf numFmtId="3" fontId="0" fillId="28" borderId="14" xfId="0" applyNumberFormat="1" applyFill="1" applyBorder="1" applyAlignment="1">
      <alignment horizontal="right" indent="2"/>
    </xf>
    <xf numFmtId="3" fontId="0" fillId="28" borderId="15" xfId="0" applyNumberFormat="1" applyFill="1" applyBorder="1" applyAlignment="1">
      <alignment horizontal="right" indent="2"/>
    </xf>
    <xf numFmtId="3" fontId="29" fillId="28" borderId="12" xfId="0" applyNumberFormat="1" applyFont="1" applyFill="1" applyBorder="1" applyAlignment="1">
      <alignment horizontal="left" indent="2"/>
    </xf>
    <xf numFmtId="3" fontId="4" fillId="28" borderId="12" xfId="3" applyNumberFormat="1" applyFill="1" applyBorder="1" applyAlignment="1">
      <alignment horizontal="left"/>
    </xf>
    <xf numFmtId="3" fontId="4" fillId="28" borderId="13" xfId="3" applyNumberFormat="1" applyFill="1" applyBorder="1" applyAlignment="1">
      <alignment horizontal="left"/>
    </xf>
    <xf numFmtId="4" fontId="116" fillId="28" borderId="12" xfId="3" applyNumberFormat="1" applyFont="1" applyFill="1" applyBorder="1" applyAlignment="1">
      <alignment horizontal="right" indent="2"/>
    </xf>
    <xf numFmtId="4" fontId="0" fillId="0" borderId="16" xfId="0" applyNumberFormat="1" applyBorder="1" applyAlignment="1">
      <alignment horizontal="right" indent="2"/>
    </xf>
    <xf numFmtId="3" fontId="23" fillId="28" borderId="21" xfId="0" applyNumberFormat="1" applyFont="1" applyFill="1" applyBorder="1" applyAlignment="1">
      <alignment horizontal="right" indent="2"/>
    </xf>
    <xf numFmtId="3" fontId="23" fillId="28" borderId="22" xfId="0" applyNumberFormat="1" applyFont="1" applyFill="1" applyBorder="1" applyAlignment="1">
      <alignment horizontal="right" indent="2"/>
    </xf>
    <xf numFmtId="3" fontId="23" fillId="28" borderId="23" xfId="0" applyNumberFormat="1" applyFont="1" applyFill="1" applyBorder="1" applyAlignment="1">
      <alignment horizontal="right" indent="2"/>
    </xf>
    <xf numFmtId="3" fontId="23" fillId="28" borderId="24" xfId="0" applyNumberFormat="1" applyFont="1" applyFill="1" applyBorder="1" applyAlignment="1">
      <alignment horizontal="right" indent="2"/>
    </xf>
    <xf numFmtId="3" fontId="23" fillId="28" borderId="25" xfId="0" applyNumberFormat="1" applyFont="1" applyFill="1" applyBorder="1" applyAlignment="1">
      <alignment horizontal="right" indent="2"/>
    </xf>
    <xf numFmtId="3" fontId="0" fillId="28" borderId="63" xfId="0" applyNumberFormat="1" applyFill="1" applyBorder="1" applyAlignment="1">
      <alignment horizontal="right" indent="2"/>
    </xf>
    <xf numFmtId="3" fontId="0" fillId="28" borderId="25" xfId="0" applyNumberFormat="1" applyFill="1" applyBorder="1" applyAlignment="1">
      <alignment horizontal="right" indent="2"/>
    </xf>
    <xf numFmtId="4" fontId="23" fillId="28" borderId="24" xfId="0" applyNumberFormat="1" applyFont="1" applyFill="1" applyBorder="1" applyAlignment="1">
      <alignment horizontal="right" indent="2"/>
    </xf>
    <xf numFmtId="4" fontId="0" fillId="28" borderId="25" xfId="0" applyNumberFormat="1" applyFill="1" applyBorder="1" applyAlignment="1">
      <alignment horizontal="right" indent="2"/>
    </xf>
    <xf numFmtId="165" fontId="9" fillId="0" borderId="8" xfId="2" applyNumberFormat="1" applyFont="1" applyFill="1" applyBorder="1" applyAlignment="1"/>
    <xf numFmtId="4" fontId="23" fillId="28" borderId="21" xfId="0" applyNumberFormat="1" applyFont="1" applyFill="1" applyBorder="1" applyAlignment="1">
      <alignment horizontal="right" indent="2"/>
    </xf>
    <xf numFmtId="3" fontId="0" fillId="28" borderId="21" xfId="0" applyNumberFormat="1" applyFill="1" applyBorder="1" applyAlignment="1">
      <alignment horizontal="right" indent="2"/>
    </xf>
    <xf numFmtId="3" fontId="0" fillId="28" borderId="22" xfId="0" applyNumberFormat="1" applyFill="1" applyBorder="1" applyAlignment="1">
      <alignment horizontal="right" indent="2"/>
    </xf>
    <xf numFmtId="3" fontId="0" fillId="28" borderId="23" xfId="0" applyNumberFormat="1" applyFill="1" applyBorder="1" applyAlignment="1">
      <alignment horizontal="right" indent="2"/>
    </xf>
    <xf numFmtId="3" fontId="0" fillId="28" borderId="24" xfId="0" applyNumberFormat="1" applyFill="1" applyBorder="1" applyAlignment="1">
      <alignment horizontal="right" indent="2"/>
    </xf>
    <xf numFmtId="4" fontId="0" fillId="28" borderId="24" xfId="0" applyNumberFormat="1" applyFill="1" applyBorder="1" applyAlignment="1">
      <alignment horizontal="right" indent="2"/>
    </xf>
    <xf numFmtId="4" fontId="0" fillId="28" borderId="21" xfId="0" applyNumberFormat="1" applyFill="1" applyBorder="1" applyAlignment="1">
      <alignment horizontal="right" indent="2"/>
    </xf>
    <xf numFmtId="3" fontId="0" fillId="28" borderId="33" xfId="0" applyNumberFormat="1" applyFill="1" applyBorder="1" applyAlignment="1">
      <alignment horizontal="right" indent="2"/>
    </xf>
    <xf numFmtId="3" fontId="0" fillId="28" borderId="34" xfId="0" applyNumberFormat="1" applyFill="1" applyBorder="1" applyAlignment="1">
      <alignment horizontal="right" indent="2"/>
    </xf>
    <xf numFmtId="3" fontId="0" fillId="28" borderId="35" xfId="0" applyNumberFormat="1" applyFill="1" applyBorder="1" applyAlignment="1">
      <alignment horizontal="right" indent="2"/>
    </xf>
    <xf numFmtId="3" fontId="0" fillId="28" borderId="36" xfId="0" applyNumberFormat="1" applyFill="1" applyBorder="1" applyAlignment="1">
      <alignment horizontal="right" indent="2"/>
    </xf>
    <xf numFmtId="3" fontId="0" fillId="28" borderId="37" xfId="0" applyNumberFormat="1" applyFill="1" applyBorder="1" applyAlignment="1">
      <alignment horizontal="right" indent="2"/>
    </xf>
    <xf numFmtId="3" fontId="0" fillId="28" borderId="64" xfId="0" applyNumberFormat="1" applyFill="1" applyBorder="1" applyAlignment="1">
      <alignment horizontal="right" indent="2"/>
    </xf>
    <xf numFmtId="0" fontId="0" fillId="0" borderId="38" xfId="0" applyBorder="1"/>
    <xf numFmtId="4" fontId="9" fillId="0" borderId="11" xfId="0" applyNumberFormat="1" applyFont="1" applyBorder="1" applyAlignment="1">
      <alignment horizontal="right" indent="2"/>
    </xf>
    <xf numFmtId="4" fontId="18" fillId="0" borderId="18" xfId="0" applyNumberFormat="1" applyFont="1" applyBorder="1" applyAlignment="1">
      <alignment horizontal="right" indent="3"/>
    </xf>
    <xf numFmtId="4" fontId="18" fillId="0" borderId="0" xfId="0" applyNumberFormat="1" applyFont="1" applyAlignment="1">
      <alignment horizontal="right" indent="3"/>
    </xf>
    <xf numFmtId="4" fontId="18" fillId="0" borderId="11" xfId="0" applyNumberFormat="1" applyFont="1" applyBorder="1" applyAlignment="1">
      <alignment horizontal="right" indent="3"/>
    </xf>
    <xf numFmtId="4" fontId="10" fillId="0" borderId="11" xfId="0" applyNumberFormat="1" applyFont="1" applyBorder="1" applyAlignment="1">
      <alignment horizontal="right" indent="2"/>
    </xf>
    <xf numFmtId="4" fontId="24" fillId="0" borderId="18" xfId="0" applyNumberFormat="1" applyFont="1" applyBorder="1" applyAlignment="1">
      <alignment horizontal="right" indent="3"/>
    </xf>
    <xf numFmtId="4" fontId="24" fillId="0" borderId="0" xfId="0" applyNumberFormat="1" applyFont="1" applyAlignment="1">
      <alignment horizontal="right" indent="3"/>
    </xf>
    <xf numFmtId="4" fontId="24" fillId="0" borderId="11" xfId="0" applyNumberFormat="1" applyFont="1" applyBorder="1" applyAlignment="1">
      <alignment horizontal="right" indent="3"/>
    </xf>
    <xf numFmtId="165" fontId="25" fillId="0" borderId="18" xfId="2" applyNumberFormat="1" applyFont="1" applyFill="1" applyBorder="1" applyAlignment="1">
      <alignment horizontal="right" indent="1"/>
    </xf>
    <xf numFmtId="165" fontId="25" fillId="0" borderId="0" xfId="2" applyNumberFormat="1" applyFont="1" applyFill="1" applyBorder="1" applyAlignment="1">
      <alignment horizontal="right" indent="1"/>
    </xf>
    <xf numFmtId="165" fontId="25" fillId="0" borderId="11" xfId="2" applyNumberFormat="1" applyFont="1" applyFill="1" applyBorder="1" applyAlignment="1">
      <alignment horizontal="right" indent="1"/>
    </xf>
    <xf numFmtId="3" fontId="0" fillId="15" borderId="23" xfId="0" applyNumberFormat="1" applyFill="1" applyBorder="1"/>
    <xf numFmtId="3" fontId="0" fillId="15" borderId="24" xfId="0" applyNumberFormat="1" applyFill="1" applyBorder="1"/>
    <xf numFmtId="3" fontId="0" fillId="15" borderId="51" xfId="0" applyNumberFormat="1" applyFill="1" applyBorder="1"/>
    <xf numFmtId="3" fontId="0" fillId="15" borderId="21" xfId="0" applyNumberFormat="1" applyFill="1" applyBorder="1"/>
    <xf numFmtId="165" fontId="26" fillId="15" borderId="17" xfId="2" applyNumberFormat="1" applyFont="1" applyFill="1" applyBorder="1" applyAlignment="1">
      <alignment horizontal="right" indent="2"/>
    </xf>
    <xf numFmtId="4" fontId="26" fillId="15" borderId="17" xfId="2" applyNumberFormat="1" applyFont="1" applyFill="1" applyBorder="1" applyAlignment="1">
      <alignment horizontal="right" indent="2"/>
    </xf>
    <xf numFmtId="3" fontId="26" fillId="15" borderId="65" xfId="2" applyNumberFormat="1" applyFont="1" applyFill="1" applyBorder="1" applyAlignment="1">
      <alignment horizontal="right" indent="2"/>
    </xf>
    <xf numFmtId="3" fontId="26" fillId="15" borderId="17" xfId="2" applyNumberFormat="1" applyFont="1" applyFill="1" applyBorder="1" applyAlignment="1">
      <alignment horizontal="right" indent="2"/>
    </xf>
    <xf numFmtId="3" fontId="26" fillId="15" borderId="79" xfId="2" applyNumberFormat="1" applyFont="1" applyFill="1" applyBorder="1" applyAlignment="1">
      <alignment horizontal="right" indent="2"/>
    </xf>
    <xf numFmtId="4" fontId="16" fillId="15" borderId="17" xfId="2" applyNumberFormat="1" applyFont="1" applyFill="1" applyBorder="1" applyAlignment="1">
      <alignment horizontal="right" indent="3"/>
    </xf>
    <xf numFmtId="4" fontId="16" fillId="15" borderId="65" xfId="2" applyNumberFormat="1" applyFont="1" applyFill="1" applyBorder="1" applyAlignment="1">
      <alignment horizontal="right" indent="3"/>
    </xf>
    <xf numFmtId="4" fontId="16" fillId="15" borderId="62" xfId="2" applyNumberFormat="1" applyFont="1" applyFill="1" applyBorder="1" applyAlignment="1">
      <alignment horizontal="right" indent="3"/>
    </xf>
    <xf numFmtId="4" fontId="42" fillId="15" borderId="10" xfId="2" applyNumberFormat="1" applyFont="1" applyFill="1" applyBorder="1" applyAlignment="1">
      <alignment horizontal="right" indent="2"/>
    </xf>
    <xf numFmtId="3" fontId="42" fillId="15" borderId="6" xfId="2" applyNumberFormat="1" applyFont="1" applyFill="1" applyBorder="1" applyAlignment="1">
      <alignment horizontal="right"/>
    </xf>
    <xf numFmtId="165" fontId="42" fillId="15" borderId="17" xfId="2" applyNumberFormat="1" applyFont="1" applyFill="1" applyBorder="1" applyAlignment="1">
      <alignment horizontal="right"/>
    </xf>
    <xf numFmtId="165" fontId="1" fillId="15" borderId="21" xfId="2" applyNumberFormat="1" applyFont="1" applyFill="1" applyBorder="1" applyAlignment="1">
      <alignment horizontal="right" indent="1"/>
    </xf>
    <xf numFmtId="165" fontId="1" fillId="15" borderId="51" xfId="2" applyNumberFormat="1" applyFont="1" applyFill="1" applyBorder="1" applyAlignment="1">
      <alignment horizontal="right" indent="1"/>
    </xf>
    <xf numFmtId="165" fontId="1" fillId="15" borderId="22" xfId="2" applyNumberFormat="1" applyFont="1" applyFill="1" applyBorder="1" applyAlignment="1">
      <alignment horizontal="right" indent="1"/>
    </xf>
    <xf numFmtId="0" fontId="0" fillId="15" borderId="22" xfId="0" applyFill="1" applyBorder="1"/>
    <xf numFmtId="165" fontId="26" fillId="15" borderId="46" xfId="2" applyNumberFormat="1" applyFont="1" applyFill="1" applyBorder="1" applyAlignment="1">
      <alignment horizontal="right" indent="2"/>
    </xf>
    <xf numFmtId="165" fontId="26" fillId="15" borderId="47" xfId="2" applyNumberFormat="1" applyFont="1" applyFill="1" applyBorder="1" applyAlignment="1">
      <alignment horizontal="right" indent="2"/>
    </xf>
    <xf numFmtId="165" fontId="26" fillId="15" borderId="65" xfId="2" applyNumberFormat="1" applyFont="1" applyFill="1" applyBorder="1" applyAlignment="1">
      <alignment horizontal="right" indent="2"/>
    </xf>
    <xf numFmtId="3" fontId="0" fillId="15" borderId="62" xfId="0" applyNumberFormat="1" applyFill="1" applyBorder="1" applyAlignment="1">
      <alignment horizontal="right"/>
    </xf>
    <xf numFmtId="3" fontId="27" fillId="15" borderId="51" xfId="0" applyNumberFormat="1" applyFont="1" applyFill="1" applyBorder="1" applyAlignment="1">
      <alignment horizontal="right" indent="2"/>
    </xf>
    <xf numFmtId="3" fontId="27" fillId="15" borderId="21" xfId="0" applyNumberFormat="1" applyFont="1" applyFill="1" applyBorder="1" applyAlignment="1">
      <alignment horizontal="right" indent="2"/>
    </xf>
    <xf numFmtId="4" fontId="1" fillId="15" borderId="21" xfId="2" applyNumberFormat="1" applyFont="1" applyFill="1" applyBorder="1" applyAlignment="1">
      <alignment horizontal="right" indent="3"/>
    </xf>
    <xf numFmtId="4" fontId="1" fillId="15" borderId="51" xfId="2" applyNumberFormat="1" applyFont="1" applyFill="1" applyBorder="1" applyAlignment="1">
      <alignment horizontal="right" indent="3"/>
    </xf>
    <xf numFmtId="4" fontId="25" fillId="0" borderId="0" xfId="2" applyNumberFormat="1" applyFont="1" applyFill="1" applyBorder="1" applyAlignment="1">
      <alignment horizontal="right" indent="2"/>
    </xf>
    <xf numFmtId="4" fontId="25" fillId="0" borderId="11" xfId="2" applyNumberFormat="1" applyFont="1" applyFill="1" applyBorder="1" applyAlignment="1">
      <alignment horizontal="right" indent="2"/>
    </xf>
    <xf numFmtId="4" fontId="1" fillId="15" borderId="22" xfId="2" applyNumberFormat="1" applyFont="1" applyFill="1" applyBorder="1" applyAlignment="1">
      <alignment horizontal="right" indent="3"/>
    </xf>
    <xf numFmtId="165" fontId="26" fillId="15" borderId="29" xfId="2" applyNumberFormat="1" applyFont="1" applyFill="1" applyBorder="1" applyAlignment="1">
      <alignment horizontal="right" indent="2"/>
    </xf>
    <xf numFmtId="165" fontId="26" fillId="15" borderId="30" xfId="2" applyNumberFormat="1" applyFont="1" applyFill="1" applyBorder="1" applyAlignment="1">
      <alignment horizontal="right" indent="2"/>
    </xf>
    <xf numFmtId="165" fontId="26" fillId="15" borderId="74" xfId="2" applyNumberFormat="1" applyFont="1" applyFill="1" applyBorder="1" applyAlignment="1">
      <alignment horizontal="right" indent="2"/>
    </xf>
    <xf numFmtId="165" fontId="26" fillId="15" borderId="27" xfId="2" applyNumberFormat="1" applyFont="1" applyFill="1" applyBorder="1" applyAlignment="1">
      <alignment horizontal="right" indent="2"/>
    </xf>
    <xf numFmtId="0" fontId="63" fillId="15" borderId="22" xfId="0" applyFont="1" applyFill="1" applyBorder="1" applyAlignment="1">
      <alignment horizontal="right"/>
    </xf>
    <xf numFmtId="165" fontId="27" fillId="15" borderId="21" xfId="2" applyNumberFormat="1" applyFont="1" applyFill="1" applyBorder="1" applyAlignment="1">
      <alignment horizontal="right" indent="2"/>
    </xf>
    <xf numFmtId="165" fontId="27" fillId="15" borderId="51" xfId="2" applyNumberFormat="1" applyFont="1" applyFill="1" applyBorder="1" applyAlignment="1">
      <alignment horizontal="right" indent="2"/>
    </xf>
    <xf numFmtId="165" fontId="27" fillId="15" borderId="63" xfId="2" applyNumberFormat="1" applyFont="1" applyFill="1" applyBorder="1" applyAlignment="1">
      <alignment horizontal="right" indent="2"/>
    </xf>
    <xf numFmtId="0" fontId="63" fillId="15" borderId="34" xfId="0" applyFont="1" applyFill="1" applyBorder="1" applyAlignment="1">
      <alignment horizontal="right"/>
    </xf>
    <xf numFmtId="3" fontId="0" fillId="15" borderId="35" xfId="0" applyNumberFormat="1" applyFill="1" applyBorder="1"/>
    <xf numFmtId="3" fontId="0" fillId="15" borderId="36" xfId="0" applyNumberFormat="1" applyFill="1" applyBorder="1"/>
    <xf numFmtId="3" fontId="0" fillId="15" borderId="66" xfId="0" applyNumberFormat="1" applyFill="1" applyBorder="1"/>
    <xf numFmtId="3" fontId="0" fillId="15" borderId="33" xfId="0" applyNumberFormat="1" applyFill="1" applyBorder="1"/>
    <xf numFmtId="165" fontId="26" fillId="15" borderId="33" xfId="2" applyNumberFormat="1" applyFont="1" applyFill="1" applyBorder="1" applyAlignment="1">
      <alignment horizontal="right" indent="2"/>
    </xf>
    <xf numFmtId="165" fontId="26" fillId="15" borderId="66" xfId="2" applyNumberFormat="1" applyFont="1" applyFill="1" applyBorder="1" applyAlignment="1">
      <alignment horizontal="right" indent="2"/>
    </xf>
    <xf numFmtId="165" fontId="25" fillId="0" borderId="38" xfId="2" applyNumberFormat="1" applyFont="1" applyFill="1" applyBorder="1" applyAlignment="1">
      <alignment horizontal="right" indent="2"/>
    </xf>
    <xf numFmtId="165" fontId="26" fillId="15" borderId="64" xfId="2" applyNumberFormat="1" applyFont="1" applyFill="1" applyBorder="1" applyAlignment="1">
      <alignment horizontal="right" indent="2"/>
    </xf>
    <xf numFmtId="165" fontId="16" fillId="15" borderId="33" xfId="2" applyNumberFormat="1" applyFont="1" applyFill="1" applyBorder="1" applyAlignment="1">
      <alignment horizontal="right" indent="1"/>
    </xf>
    <xf numFmtId="165" fontId="16" fillId="15" borderId="66" xfId="2" applyNumberFormat="1" applyFont="1" applyFill="1" applyBorder="1" applyAlignment="1">
      <alignment horizontal="right" indent="1"/>
    </xf>
    <xf numFmtId="165" fontId="25" fillId="0" borderId="42" xfId="2" applyNumberFormat="1" applyFont="1" applyFill="1" applyBorder="1" applyAlignment="1">
      <alignment horizontal="right" indent="2"/>
    </xf>
    <xf numFmtId="165" fontId="16" fillId="15" borderId="34" xfId="2" applyNumberFormat="1" applyFont="1" applyFill="1" applyBorder="1" applyAlignment="1">
      <alignment horizontal="right" indent="1"/>
    </xf>
    <xf numFmtId="3" fontId="12" fillId="0" borderId="0" xfId="0" applyNumberFormat="1" applyFont="1" applyAlignment="1">
      <alignment horizontal="center"/>
    </xf>
    <xf numFmtId="0" fontId="0" fillId="0" borderId="12" xfId="0" applyBorder="1" applyAlignment="1">
      <alignment horizontal="left" vertical="center"/>
    </xf>
    <xf numFmtId="0" fontId="0" fillId="0" borderId="15" xfId="0" applyBorder="1" applyAlignment="1">
      <alignment horizontal="left" vertical="center"/>
    </xf>
    <xf numFmtId="166" fontId="0" fillId="6" borderId="23" xfId="0" applyNumberFormat="1" applyFill="1" applyBorder="1" applyAlignment="1">
      <alignment horizontal="right" indent="2"/>
    </xf>
    <xf numFmtId="166" fontId="0" fillId="6" borderId="29" xfId="0" applyNumberFormat="1" applyFill="1" applyBorder="1" applyAlignment="1">
      <alignment horizontal="right" indent="2"/>
    </xf>
    <xf numFmtId="166" fontId="0" fillId="6" borderId="35" xfId="0" applyNumberFormat="1" applyFill="1" applyBorder="1" applyAlignment="1">
      <alignment horizontal="right" indent="2"/>
    </xf>
    <xf numFmtId="166" fontId="0" fillId="4" borderId="23" xfId="0" applyNumberFormat="1" applyFill="1" applyBorder="1" applyAlignment="1">
      <alignment horizontal="right" indent="2"/>
    </xf>
    <xf numFmtId="165" fontId="49" fillId="0" borderId="35" xfId="2" applyNumberFormat="1" applyFont="1" applyFill="1" applyBorder="1" applyAlignment="1">
      <alignment horizontal="right" indent="2"/>
    </xf>
    <xf numFmtId="165" fontId="49" fillId="0" borderId="41" xfId="2" applyNumberFormat="1" applyFont="1" applyFill="1" applyBorder="1" applyAlignment="1">
      <alignment horizontal="right" indent="2"/>
    </xf>
    <xf numFmtId="0" fontId="12" fillId="0" borderId="3" xfId="0" applyFont="1" applyBorder="1" applyAlignment="1">
      <alignment horizontal="center" vertical="center" wrapText="1"/>
    </xf>
    <xf numFmtId="3" fontId="0" fillId="0" borderId="50" xfId="0" applyNumberFormat="1" applyBorder="1" applyAlignment="1">
      <alignment horizontal="right" vertical="center" wrapText="1" indent="2"/>
    </xf>
    <xf numFmtId="3" fontId="14" fillId="4" borderId="22" xfId="0" applyNumberFormat="1" applyFont="1" applyFill="1" applyBorder="1" applyAlignment="1">
      <alignment horizontal="right" indent="2"/>
    </xf>
    <xf numFmtId="3" fontId="14" fillId="4" borderId="62" xfId="0" applyNumberFormat="1" applyFont="1" applyFill="1" applyBorder="1" applyAlignment="1">
      <alignment horizontal="right" indent="2"/>
    </xf>
    <xf numFmtId="3" fontId="2" fillId="4" borderId="17" xfId="0" applyNumberFormat="1" applyFont="1" applyFill="1" applyBorder="1" applyAlignment="1">
      <alignment horizontal="right" indent="2"/>
    </xf>
    <xf numFmtId="3" fontId="2" fillId="4" borderId="62" xfId="0" applyNumberFormat="1" applyFont="1" applyFill="1" applyBorder="1" applyAlignment="1">
      <alignment horizontal="right" indent="2"/>
    </xf>
    <xf numFmtId="3" fontId="0" fillId="0" borderId="71" xfId="0" applyNumberFormat="1" applyBorder="1" applyAlignment="1">
      <alignment horizontal="right" indent="2"/>
    </xf>
    <xf numFmtId="3" fontId="0" fillId="0" borderId="69" xfId="0" applyNumberFormat="1" applyBorder="1" applyAlignment="1">
      <alignment horizontal="right" indent="2"/>
    </xf>
    <xf numFmtId="3" fontId="0" fillId="0" borderId="70" xfId="0" applyNumberFormat="1" applyBorder="1" applyAlignment="1">
      <alignment horizontal="right" indent="2"/>
    </xf>
    <xf numFmtId="165" fontId="9" fillId="6" borderId="23" xfId="2" applyNumberFormat="1" applyFont="1" applyFill="1" applyBorder="1" applyAlignment="1">
      <alignment horizontal="right" indent="4"/>
    </xf>
    <xf numFmtId="165" fontId="15" fillId="6" borderId="35" xfId="2" applyNumberFormat="1" applyFont="1" applyFill="1" applyBorder="1" applyAlignment="1">
      <alignment horizontal="right" indent="4"/>
    </xf>
    <xf numFmtId="165" fontId="15" fillId="0" borderId="38" xfId="2" applyNumberFormat="1" applyFont="1" applyFill="1" applyBorder="1" applyAlignment="1">
      <alignment horizontal="right" indent="4"/>
    </xf>
    <xf numFmtId="165" fontId="9" fillId="6" borderId="64" xfId="2" applyNumberFormat="1" applyFont="1" applyFill="1" applyBorder="1" applyAlignment="1">
      <alignment horizontal="right" indent="4"/>
    </xf>
    <xf numFmtId="0" fontId="4" fillId="0" borderId="5" xfId="3" applyBorder="1"/>
    <xf numFmtId="3" fontId="0" fillId="0" borderId="16" xfId="0" applyNumberFormat="1" applyBorder="1" applyAlignment="1">
      <alignment horizontal="left" indent="2"/>
    </xf>
    <xf numFmtId="3" fontId="2" fillId="4" borderId="24" xfId="0" applyNumberFormat="1" applyFont="1" applyFill="1" applyBorder="1" applyAlignment="1">
      <alignment horizontal="right" indent="2"/>
    </xf>
    <xf numFmtId="3" fontId="2" fillId="4" borderId="50" xfId="0" applyNumberFormat="1" applyFont="1" applyFill="1" applyBorder="1" applyAlignment="1">
      <alignment horizontal="right" indent="2"/>
    </xf>
    <xf numFmtId="3" fontId="14" fillId="17" borderId="22" xfId="0" applyNumberFormat="1" applyFont="1" applyFill="1" applyBorder="1" applyAlignment="1">
      <alignment horizontal="right" indent="2"/>
    </xf>
    <xf numFmtId="3" fontId="14" fillId="0" borderId="50" xfId="0" applyNumberFormat="1" applyFont="1" applyBorder="1" applyAlignment="1">
      <alignment horizontal="left"/>
    </xf>
    <xf numFmtId="3" fontId="14" fillId="0" borderId="25" xfId="0" applyNumberFormat="1" applyFont="1" applyBorder="1" applyAlignment="1">
      <alignment horizontal="right" indent="2"/>
    </xf>
    <xf numFmtId="3" fontId="2" fillId="4" borderId="49" xfId="0" applyNumberFormat="1" applyFont="1" applyFill="1" applyBorder="1" applyAlignment="1">
      <alignment horizontal="right" indent="2"/>
    </xf>
    <xf numFmtId="3" fontId="14" fillId="0" borderId="72" xfId="0" applyNumberFormat="1" applyFont="1" applyBorder="1" applyAlignment="1">
      <alignment horizontal="right" indent="2"/>
    </xf>
    <xf numFmtId="165" fontId="13" fillId="0" borderId="27" xfId="2" applyNumberFormat="1" applyFont="1" applyFill="1" applyBorder="1" applyAlignment="1">
      <alignment horizontal="right" indent="2"/>
    </xf>
    <xf numFmtId="165" fontId="13" fillId="0" borderId="9" xfId="2" applyNumberFormat="1" applyFont="1" applyFill="1" applyBorder="1" applyAlignment="1">
      <alignment horizontal="right" indent="2"/>
    </xf>
    <xf numFmtId="165" fontId="13" fillId="0" borderId="27" xfId="2" applyNumberFormat="1" applyFont="1" applyFill="1" applyBorder="1" applyAlignment="1">
      <alignment horizontal="center" vertical="center" wrapText="1"/>
    </xf>
    <xf numFmtId="165" fontId="49" fillId="0" borderId="33" xfId="2" applyNumberFormat="1" applyFont="1" applyFill="1" applyBorder="1" applyAlignment="1">
      <alignment horizontal="right" indent="2"/>
    </xf>
    <xf numFmtId="165" fontId="13" fillId="0" borderId="44" xfId="2" applyNumberFormat="1" applyFont="1" applyFill="1" applyBorder="1" applyAlignment="1">
      <alignment horizontal="left" indent="2"/>
    </xf>
    <xf numFmtId="165" fontId="48" fillId="0" borderId="0" xfId="2" applyNumberFormat="1" applyFont="1" applyFill="1" applyBorder="1" applyAlignment="1">
      <alignment horizontal="right"/>
    </xf>
    <xf numFmtId="3" fontId="0" fillId="4" borderId="85" xfId="0" applyNumberFormat="1" applyFill="1" applyBorder="1" applyAlignment="1">
      <alignment horizontal="right" indent="2"/>
    </xf>
    <xf numFmtId="166" fontId="0" fillId="0" borderId="42" xfId="0" applyNumberFormat="1" applyBorder="1" applyAlignment="1">
      <alignment horizontal="left"/>
    </xf>
    <xf numFmtId="3" fontId="2" fillId="4" borderId="46" xfId="0" applyNumberFormat="1" applyFont="1" applyFill="1" applyBorder="1" applyAlignment="1">
      <alignment horizontal="right" indent="2"/>
    </xf>
    <xf numFmtId="3" fontId="2" fillId="22" borderId="47" xfId="0" applyNumberFormat="1" applyFont="1" applyFill="1" applyBorder="1" applyAlignment="1">
      <alignment horizontal="right" indent="2"/>
    </xf>
    <xf numFmtId="166" fontId="86" fillId="4" borderId="47" xfId="0" applyNumberFormat="1" applyFont="1" applyFill="1" applyBorder="1" applyAlignment="1">
      <alignment horizontal="right" indent="2"/>
    </xf>
    <xf numFmtId="3" fontId="2" fillId="0" borderId="0" xfId="0" applyNumberFormat="1" applyFont="1" applyAlignment="1">
      <alignment horizontal="left"/>
    </xf>
    <xf numFmtId="3" fontId="2" fillId="22" borderId="30" xfId="0" applyNumberFormat="1" applyFont="1" applyFill="1" applyBorder="1" applyAlignment="1">
      <alignment horizontal="right" indent="2"/>
    </xf>
    <xf numFmtId="0" fontId="89" fillId="4" borderId="9" xfId="0" applyFont="1" applyFill="1" applyBorder="1" applyAlignment="1">
      <alignment horizontal="right"/>
    </xf>
    <xf numFmtId="166" fontId="89" fillId="4" borderId="25" xfId="0" applyNumberFormat="1" applyFont="1" applyFill="1" applyBorder="1" applyAlignment="1">
      <alignment horizontal="right" indent="2"/>
    </xf>
    <xf numFmtId="3" fontId="2" fillId="22" borderId="31" xfId="0" applyNumberFormat="1" applyFont="1" applyFill="1" applyBorder="1" applyAlignment="1">
      <alignment horizontal="right" indent="2"/>
    </xf>
    <xf numFmtId="166" fontId="14" fillId="4" borderId="63" xfId="0" applyNumberFormat="1" applyFont="1" applyFill="1" applyBorder="1" applyAlignment="1">
      <alignment horizontal="right" indent="2"/>
    </xf>
    <xf numFmtId="166" fontId="14" fillId="0" borderId="63" xfId="0" applyNumberFormat="1" applyFont="1" applyBorder="1" applyAlignment="1">
      <alignment horizontal="right" indent="2"/>
    </xf>
    <xf numFmtId="166" fontId="0" fillId="4" borderId="11" xfId="0" applyNumberFormat="1" applyFill="1" applyBorder="1" applyAlignment="1">
      <alignment horizontal="right" indent="4"/>
    </xf>
    <xf numFmtId="166" fontId="0" fillId="4" borderId="62" xfId="0" applyNumberFormat="1" applyFill="1" applyBorder="1" applyAlignment="1">
      <alignment horizontal="right" indent="4"/>
    </xf>
    <xf numFmtId="166" fontId="0" fillId="4" borderId="22" xfId="0" applyNumberFormat="1" applyFill="1" applyBorder="1" applyAlignment="1">
      <alignment horizontal="right" indent="4"/>
    </xf>
    <xf numFmtId="166" fontId="0" fillId="4" borderId="28" xfId="0" applyNumberFormat="1" applyFill="1" applyBorder="1" applyAlignment="1">
      <alignment horizontal="right" indent="4"/>
    </xf>
    <xf numFmtId="166" fontId="0" fillId="4" borderId="64" xfId="0" applyNumberFormat="1" applyFill="1" applyBorder="1" applyAlignment="1">
      <alignment horizontal="right" indent="4"/>
    </xf>
    <xf numFmtId="3" fontId="89" fillId="0" borderId="0" xfId="0" applyNumberFormat="1" applyFont="1" applyAlignment="1">
      <alignment horizontal="right" indent="2"/>
    </xf>
    <xf numFmtId="165" fontId="117" fillId="0" borderId="11" xfId="2" applyNumberFormat="1" applyFont="1" applyFill="1" applyBorder="1" applyAlignment="1"/>
    <xf numFmtId="3" fontId="2" fillId="4" borderId="25" xfId="0" applyNumberFormat="1" applyFont="1" applyFill="1" applyBorder="1" applyAlignment="1">
      <alignment horizontal="right" indent="2"/>
    </xf>
    <xf numFmtId="3" fontId="14" fillId="4" borderId="8" xfId="0" applyNumberFormat="1" applyFont="1" applyFill="1" applyBorder="1" applyAlignment="1">
      <alignment horizontal="right" indent="2"/>
    </xf>
    <xf numFmtId="3" fontId="2" fillId="4" borderId="31" xfId="0" applyNumberFormat="1" applyFont="1" applyFill="1" applyBorder="1" applyAlignment="1">
      <alignment horizontal="right" indent="2"/>
    </xf>
    <xf numFmtId="165" fontId="87" fillId="4" borderId="37" xfId="2" applyNumberFormat="1" applyFont="1" applyFill="1" applyBorder="1" applyAlignment="1">
      <alignment horizontal="right" indent="2"/>
    </xf>
    <xf numFmtId="165" fontId="20" fillId="0" borderId="38" xfId="2" applyNumberFormat="1" applyFont="1" applyFill="1" applyBorder="1" applyAlignment="1">
      <alignment horizontal="right" vertical="center" wrapText="1" indent="2"/>
    </xf>
    <xf numFmtId="165" fontId="14" fillId="4" borderId="34" xfId="2" applyNumberFormat="1" applyFont="1" applyFill="1" applyBorder="1" applyAlignment="1">
      <alignment horizontal="right" indent="2"/>
    </xf>
    <xf numFmtId="165" fontId="36" fillId="0" borderId="22" xfId="2" applyNumberFormat="1" applyFont="1" applyFill="1" applyBorder="1" applyAlignment="1"/>
    <xf numFmtId="9" fontId="0" fillId="6" borderId="23" xfId="2" applyFont="1" applyFill="1" applyBorder="1" applyAlignment="1">
      <alignment horizontal="right" indent="2"/>
    </xf>
    <xf numFmtId="9" fontId="0" fillId="0" borderId="8" xfId="2" applyFont="1" applyFill="1" applyBorder="1" applyAlignment="1">
      <alignment horizontal="right" indent="2"/>
    </xf>
    <xf numFmtId="9" fontId="0" fillId="6" borderId="24" xfId="2" applyFont="1" applyFill="1" applyBorder="1" applyAlignment="1">
      <alignment horizontal="right" indent="2"/>
    </xf>
    <xf numFmtId="9" fontId="0" fillId="6" borderId="51" xfId="2" applyFont="1" applyFill="1" applyBorder="1" applyAlignment="1">
      <alignment horizontal="right" indent="2"/>
    </xf>
    <xf numFmtId="9" fontId="0" fillId="0" borderId="11" xfId="2" applyFont="1" applyFill="1" applyBorder="1" applyAlignment="1">
      <alignment horizontal="right" indent="2"/>
    </xf>
    <xf numFmtId="9" fontId="0" fillId="6" borderId="21" xfId="2" applyFont="1" applyFill="1" applyBorder="1" applyAlignment="1">
      <alignment horizontal="right" indent="2"/>
    </xf>
    <xf numFmtId="9" fontId="0" fillId="0" borderId="0" xfId="2" applyFont="1" applyFill="1" applyBorder="1" applyAlignment="1">
      <alignment horizontal="right" indent="2"/>
    </xf>
    <xf numFmtId="9" fontId="0" fillId="0" borderId="0" xfId="2" applyFont="1" applyFill="1" applyBorder="1" applyAlignment="1">
      <alignment horizontal="right" indent="4"/>
    </xf>
    <xf numFmtId="9" fontId="0" fillId="0" borderId="11" xfId="2" applyFont="1" applyFill="1" applyBorder="1" applyAlignment="1">
      <alignment horizontal="right" indent="4"/>
    </xf>
    <xf numFmtId="9" fontId="0" fillId="0" borderId="8" xfId="2" applyFont="1" applyFill="1" applyBorder="1" applyAlignment="1">
      <alignment horizontal="right" indent="4"/>
    </xf>
    <xf numFmtId="9" fontId="0" fillId="6" borderId="22" xfId="2" applyFont="1" applyFill="1" applyBorder="1" applyAlignment="1">
      <alignment horizontal="right" indent="2"/>
    </xf>
    <xf numFmtId="9" fontId="9" fillId="6" borderId="23" xfId="2" applyFont="1" applyFill="1" applyBorder="1" applyAlignment="1">
      <alignment horizontal="right" indent="4"/>
    </xf>
    <xf numFmtId="9" fontId="9" fillId="0" borderId="8" xfId="2" applyFont="1" applyFill="1" applyBorder="1" applyAlignment="1">
      <alignment horizontal="right" indent="2"/>
    </xf>
    <xf numFmtId="9" fontId="9" fillId="6" borderId="24" xfId="2" applyFont="1" applyFill="1" applyBorder="1" applyAlignment="1">
      <alignment horizontal="right" indent="4"/>
    </xf>
    <xf numFmtId="9" fontId="9" fillId="6" borderId="51" xfId="2" applyFont="1" applyFill="1" applyBorder="1" applyAlignment="1">
      <alignment horizontal="right" indent="4"/>
    </xf>
    <xf numFmtId="9" fontId="9" fillId="0" borderId="11" xfId="2" applyFont="1" applyFill="1" applyBorder="1" applyAlignment="1">
      <alignment horizontal="right" indent="4"/>
    </xf>
    <xf numFmtId="9" fontId="9" fillId="6" borderId="21" xfId="2" applyFont="1" applyFill="1" applyBorder="1" applyAlignment="1">
      <alignment horizontal="right" indent="4"/>
    </xf>
    <xf numFmtId="9" fontId="9" fillId="6" borderId="22" xfId="2" applyFont="1" applyFill="1" applyBorder="1" applyAlignment="1">
      <alignment horizontal="right" indent="4"/>
    </xf>
    <xf numFmtId="9" fontId="15" fillId="6" borderId="35" xfId="2" applyFont="1" applyFill="1" applyBorder="1" applyAlignment="1">
      <alignment horizontal="right" indent="4"/>
    </xf>
    <xf numFmtId="9" fontId="9" fillId="0" borderId="9" xfId="2" applyFont="1" applyFill="1" applyBorder="1" applyAlignment="1">
      <alignment horizontal="right" indent="2"/>
    </xf>
    <xf numFmtId="9" fontId="15" fillId="6" borderId="36" xfId="2" applyFont="1" applyFill="1" applyBorder="1" applyAlignment="1">
      <alignment horizontal="right" indent="4"/>
    </xf>
    <xf numFmtId="9" fontId="15" fillId="6" borderId="66" xfId="2" applyFont="1" applyFill="1" applyBorder="1" applyAlignment="1">
      <alignment horizontal="right" indent="4"/>
    </xf>
    <xf numFmtId="9" fontId="9" fillId="0" borderId="38" xfId="2" applyFont="1" applyFill="1" applyBorder="1" applyAlignment="1">
      <alignment horizontal="right" indent="4"/>
    </xf>
    <xf numFmtId="9" fontId="15" fillId="6" borderId="33" xfId="2" applyFont="1" applyFill="1" applyBorder="1" applyAlignment="1">
      <alignment horizontal="right" indent="4"/>
    </xf>
    <xf numFmtId="9" fontId="15" fillId="0" borderId="38" xfId="2" applyFont="1" applyFill="1" applyBorder="1" applyAlignment="1">
      <alignment horizontal="right" indent="4"/>
    </xf>
    <xf numFmtId="9" fontId="9" fillId="0" borderId="42" xfId="2" applyFont="1" applyFill="1" applyBorder="1" applyAlignment="1">
      <alignment horizontal="right" indent="4"/>
    </xf>
    <xf numFmtId="9" fontId="15" fillId="6" borderId="34" xfId="2" applyFont="1" applyFill="1" applyBorder="1" applyAlignment="1">
      <alignment horizontal="right" indent="4"/>
    </xf>
    <xf numFmtId="0" fontId="85" fillId="0" borderId="4" xfId="0" applyFont="1" applyBorder="1" applyAlignment="1">
      <alignment vertical="center" wrapText="1"/>
    </xf>
    <xf numFmtId="0" fontId="0" fillId="6" borderId="43" xfId="0" applyFill="1" applyBorder="1" applyAlignment="1">
      <alignment vertical="center"/>
    </xf>
    <xf numFmtId="0" fontId="0" fillId="6" borderId="71" xfId="0" applyFill="1" applyBorder="1"/>
    <xf numFmtId="3" fontId="0" fillId="6" borderId="21" xfId="0" applyNumberFormat="1" applyFill="1" applyBorder="1" applyAlignment="1">
      <alignment horizontal="right" vertical="center" indent="2"/>
    </xf>
    <xf numFmtId="3" fontId="0" fillId="22" borderId="24" xfId="0" applyNumberFormat="1" applyFill="1" applyBorder="1" applyAlignment="1">
      <alignment horizontal="right" indent="2"/>
    </xf>
    <xf numFmtId="3" fontId="0" fillId="22" borderId="25" xfId="0" applyNumberFormat="1" applyFill="1" applyBorder="1" applyAlignment="1">
      <alignment horizontal="right" indent="2"/>
    </xf>
    <xf numFmtId="3" fontId="0" fillId="22" borderId="21" xfId="0" applyNumberFormat="1" applyFill="1" applyBorder="1" applyAlignment="1">
      <alignment horizontal="right" vertical="center" indent="2"/>
    </xf>
    <xf numFmtId="3" fontId="0" fillId="22" borderId="63" xfId="0" applyNumberFormat="1" applyFill="1" applyBorder="1" applyAlignment="1">
      <alignment horizontal="right" indent="2"/>
    </xf>
    <xf numFmtId="166" fontId="0" fillId="22" borderId="21" xfId="0" applyNumberFormat="1" applyFill="1" applyBorder="1" applyAlignment="1">
      <alignment horizontal="right" indent="2"/>
    </xf>
    <xf numFmtId="166" fontId="14" fillId="0" borderId="26" xfId="0" applyNumberFormat="1" applyFont="1" applyBorder="1" applyAlignment="1">
      <alignment horizontal="right" indent="2"/>
    </xf>
    <xf numFmtId="166" fontId="0" fillId="22" borderId="26" xfId="0" applyNumberFormat="1" applyFill="1" applyBorder="1" applyAlignment="1">
      <alignment horizontal="right" indent="2"/>
    </xf>
    <xf numFmtId="3" fontId="0" fillId="0" borderId="5" xfId="0" applyNumberFormat="1" applyBorder="1" applyAlignment="1">
      <alignment horizontal="left" vertical="center" wrapText="1"/>
    </xf>
    <xf numFmtId="3" fontId="0" fillId="0" borderId="43" xfId="0" applyNumberFormat="1" applyBorder="1" applyAlignment="1">
      <alignment horizontal="left" vertical="center" wrapText="1"/>
    </xf>
    <xf numFmtId="0" fontId="4" fillId="4" borderId="1" xfId="3" applyFill="1" applyBorder="1" applyAlignment="1">
      <alignment vertical="center" wrapText="1"/>
    </xf>
    <xf numFmtId="0" fontId="4" fillId="4" borderId="3" xfId="3" applyFill="1" applyBorder="1" applyAlignment="1">
      <alignment vertical="center" wrapText="1"/>
    </xf>
    <xf numFmtId="166" fontId="0" fillId="4" borderId="11" xfId="0" applyNumberFormat="1" applyFill="1" applyBorder="1" applyAlignment="1">
      <alignment horizontal="right" vertical="center" wrapText="1" indent="2"/>
    </xf>
    <xf numFmtId="166" fontId="0" fillId="22" borderId="11" xfId="0" applyNumberFormat="1" applyFill="1" applyBorder="1" applyAlignment="1">
      <alignment horizontal="right" vertical="center" wrapText="1" indent="2"/>
    </xf>
    <xf numFmtId="3" fontId="0" fillId="22" borderId="59" xfId="0" applyNumberFormat="1" applyFill="1" applyBorder="1" applyAlignment="1">
      <alignment horizontal="right" indent="2"/>
    </xf>
    <xf numFmtId="166" fontId="2" fillId="22" borderId="11" xfId="0" applyNumberFormat="1" applyFont="1" applyFill="1" applyBorder="1" applyAlignment="1">
      <alignment horizontal="right" vertical="center" wrapText="1" indent="2"/>
    </xf>
    <xf numFmtId="0" fontId="0" fillId="22" borderId="0" xfId="0" applyFill="1" applyAlignment="1">
      <alignment horizontal="right"/>
    </xf>
    <xf numFmtId="166" fontId="2" fillId="22" borderId="50" xfId="0" applyNumberFormat="1" applyFont="1" applyFill="1" applyBorder="1" applyAlignment="1">
      <alignment horizontal="right" vertical="center" wrapText="1" indent="2"/>
    </xf>
    <xf numFmtId="0" fontId="22" fillId="4" borderId="9" xfId="0" applyFont="1" applyFill="1" applyBorder="1" applyAlignment="1">
      <alignment horizontal="left"/>
    </xf>
    <xf numFmtId="3" fontId="0" fillId="22" borderId="30" xfId="0" applyNumberFormat="1" applyFill="1" applyBorder="1" applyAlignment="1">
      <alignment horizontal="right" indent="2"/>
    </xf>
    <xf numFmtId="166" fontId="0" fillId="0" borderId="0" xfId="0" applyNumberFormat="1" applyAlignment="1">
      <alignment horizontal="left" indent="2"/>
    </xf>
    <xf numFmtId="165" fontId="20" fillId="4" borderId="38" xfId="2" applyNumberFormat="1" applyFont="1" applyFill="1" applyBorder="1" applyAlignment="1">
      <alignment horizontal="right" vertical="center" wrapText="1" indent="2"/>
    </xf>
    <xf numFmtId="166" fontId="0" fillId="0" borderId="45" xfId="0" applyNumberFormat="1" applyBorder="1" applyAlignment="1">
      <alignment horizontal="left"/>
    </xf>
    <xf numFmtId="3" fontId="0" fillId="0" borderId="0" xfId="2" applyNumberFormat="1" applyFont="1"/>
    <xf numFmtId="3" fontId="0" fillId="0" borderId="1" xfId="0" applyNumberFormat="1" applyBorder="1" applyAlignment="1">
      <alignment horizontal="center"/>
    </xf>
    <xf numFmtId="3" fontId="0" fillId="4" borderId="1" xfId="3" applyNumberFormat="1" applyFont="1" applyFill="1" applyBorder="1" applyAlignment="1">
      <alignment horizontal="center" vertical="center" wrapText="1"/>
    </xf>
    <xf numFmtId="3" fontId="0" fillId="0" borderId="1" xfId="3" applyNumberFormat="1" applyFont="1" applyFill="1" applyBorder="1" applyAlignment="1">
      <alignment horizontal="center" vertical="center" wrapText="1"/>
    </xf>
    <xf numFmtId="3" fontId="4" fillId="0" borderId="1" xfId="3" applyNumberFormat="1" applyFill="1" applyBorder="1" applyAlignment="1">
      <alignment horizontal="center" vertical="center" wrapText="1"/>
    </xf>
    <xf numFmtId="3" fontId="0" fillId="6" borderId="12" xfId="0" applyNumberFormat="1" applyFill="1" applyBorder="1" applyAlignment="1">
      <alignment horizontal="left" vertical="center"/>
    </xf>
    <xf numFmtId="3" fontId="0" fillId="6" borderId="15" xfId="0" applyNumberFormat="1" applyFill="1" applyBorder="1" applyAlignment="1">
      <alignment horizontal="left" vertical="center"/>
    </xf>
    <xf numFmtId="3" fontId="1" fillId="0" borderId="15" xfId="3" applyNumberFormat="1" applyFont="1" applyFill="1" applyBorder="1" applyAlignment="1">
      <alignment horizontal="left" vertical="center"/>
    </xf>
    <xf numFmtId="3" fontId="0" fillId="0" borderId="44" xfId="0" applyNumberFormat="1" applyBorder="1" applyAlignment="1">
      <alignment vertical="center" wrapText="1"/>
    </xf>
    <xf numFmtId="3" fontId="0" fillId="0" borderId="15" xfId="3" applyNumberFormat="1" applyFont="1" applyFill="1" applyBorder="1" applyAlignment="1">
      <alignment horizontal="left" vertical="center"/>
    </xf>
    <xf numFmtId="164" fontId="0" fillId="0" borderId="0" xfId="1" applyFont="1" applyBorder="1" applyAlignment="1">
      <alignment horizontal="left"/>
    </xf>
    <xf numFmtId="3" fontId="0" fillId="0" borderId="42" xfId="0" applyNumberFormat="1" applyBorder="1" applyAlignment="1">
      <alignment horizontal="right"/>
    </xf>
    <xf numFmtId="3" fontId="3" fillId="0" borderId="20" xfId="0" applyNumberFormat="1" applyFont="1" applyBorder="1" applyAlignment="1">
      <alignment horizontal="center" vertical="center" wrapText="1"/>
    </xf>
    <xf numFmtId="3" fontId="2" fillId="4" borderId="24" xfId="0" applyNumberFormat="1" applyFont="1" applyFill="1" applyBorder="1" applyAlignment="1">
      <alignment horizontal="right" vertical="center" wrapText="1" indent="2"/>
    </xf>
    <xf numFmtId="165" fontId="55" fillId="0" borderId="33" xfId="2" applyNumberFormat="1" applyFont="1" applyFill="1" applyBorder="1" applyAlignment="1">
      <alignment horizontal="center" vertical="center" wrapText="1"/>
    </xf>
    <xf numFmtId="165" fontId="49" fillId="0" borderId="38" xfId="2" applyNumberFormat="1" applyFont="1" applyFill="1" applyBorder="1" applyAlignment="1">
      <alignment horizontal="center" vertical="center" wrapText="1"/>
    </xf>
    <xf numFmtId="3" fontId="13" fillId="0" borderId="43" xfId="2" applyNumberFormat="1" applyFont="1" applyFill="1" applyBorder="1" applyAlignment="1">
      <alignment horizontal="right" indent="2"/>
    </xf>
    <xf numFmtId="3" fontId="13" fillId="0" borderId="44" xfId="2" applyNumberFormat="1" applyFont="1" applyFill="1" applyBorder="1" applyAlignment="1">
      <alignment horizontal="right" indent="2"/>
    </xf>
    <xf numFmtId="3" fontId="13" fillId="0" borderId="43" xfId="2" applyNumberFormat="1" applyFont="1" applyFill="1" applyBorder="1" applyAlignment="1">
      <alignment horizontal="center" vertical="center" wrapText="1"/>
    </xf>
    <xf numFmtId="3" fontId="13" fillId="0" borderId="44" xfId="2" applyNumberFormat="1" applyFont="1" applyFill="1" applyBorder="1" applyAlignment="1">
      <alignment horizontal="center" vertical="center" wrapText="1"/>
    </xf>
    <xf numFmtId="0" fontId="12" fillId="4" borderId="4" xfId="0" applyFont="1" applyFill="1" applyBorder="1" applyAlignment="1">
      <alignment horizontal="center" vertical="center"/>
    </xf>
    <xf numFmtId="3" fontId="4" fillId="4" borderId="1" xfId="3" applyNumberFormat="1" applyFill="1" applyBorder="1" applyAlignment="1">
      <alignment horizontal="center" vertical="center" wrapText="1"/>
    </xf>
    <xf numFmtId="3" fontId="0" fillId="4" borderId="3" xfId="3" applyNumberFormat="1" applyFont="1" applyFill="1" applyBorder="1" applyAlignment="1">
      <alignment horizontal="center" vertical="center" wrapText="1"/>
    </xf>
    <xf numFmtId="165" fontId="4" fillId="0" borderId="3" xfId="3" applyNumberFormat="1" applyFill="1" applyBorder="1" applyAlignment="1">
      <alignment vertical="center" wrapText="1"/>
    </xf>
    <xf numFmtId="3" fontId="0" fillId="4" borderId="9" xfId="0" applyNumberFormat="1" applyFill="1" applyBorder="1" applyAlignment="1">
      <alignment horizontal="right"/>
    </xf>
    <xf numFmtId="3" fontId="14" fillId="4" borderId="18" xfId="0" applyNumberFormat="1" applyFont="1" applyFill="1" applyBorder="1" applyAlignment="1">
      <alignment horizontal="right" indent="2"/>
    </xf>
    <xf numFmtId="3" fontId="0" fillId="4" borderId="50" xfId="0" applyNumberFormat="1" applyFill="1" applyBorder="1" applyAlignment="1">
      <alignment horizontal="right" vertical="center" wrapText="1" indent="2"/>
    </xf>
    <xf numFmtId="3" fontId="0" fillId="0" borderId="52" xfId="0" applyNumberFormat="1" applyBorder="1" applyAlignment="1">
      <alignment horizontal="left" indent="1"/>
    </xf>
    <xf numFmtId="3" fontId="2" fillId="4" borderId="50" xfId="0" applyNumberFormat="1" applyFont="1" applyFill="1" applyBorder="1" applyAlignment="1">
      <alignment horizontal="right" vertical="center" wrapText="1" indent="2"/>
    </xf>
    <xf numFmtId="3" fontId="0" fillId="4" borderId="31" xfId="0" applyNumberFormat="1" applyFill="1" applyBorder="1" applyAlignment="1">
      <alignment horizontal="right" vertical="center" wrapText="1" indent="2"/>
    </xf>
    <xf numFmtId="0" fontId="45" fillId="4" borderId="0" xfId="0" applyFont="1" applyFill="1" applyAlignment="1">
      <alignment horizontal="left"/>
    </xf>
    <xf numFmtId="3" fontId="2" fillId="4" borderId="10" xfId="0" applyNumberFormat="1" applyFont="1" applyFill="1" applyBorder="1" applyAlignment="1">
      <alignment horizontal="right" indent="2"/>
    </xf>
    <xf numFmtId="3" fontId="2" fillId="4" borderId="18" xfId="0" applyNumberFormat="1" applyFont="1" applyFill="1" applyBorder="1" applyAlignment="1">
      <alignment horizontal="right" indent="2"/>
    </xf>
    <xf numFmtId="3" fontId="0" fillId="4" borderId="42" xfId="0" applyNumberFormat="1" applyFill="1" applyBorder="1" applyAlignment="1">
      <alignment horizontal="right" vertical="center" wrapText="1" indent="2"/>
    </xf>
    <xf numFmtId="3" fontId="0" fillId="0" borderId="42" xfId="0" applyNumberFormat="1" applyBorder="1" applyAlignment="1">
      <alignment horizontal="left" indent="1"/>
    </xf>
    <xf numFmtId="9" fontId="2" fillId="0" borderId="5" xfId="2" applyFont="1" applyBorder="1" applyAlignment="1">
      <alignment horizontal="right" indent="2"/>
    </xf>
    <xf numFmtId="9" fontId="2" fillId="0" borderId="43" xfId="2" applyFont="1" applyBorder="1" applyAlignment="1">
      <alignment horizontal="right" indent="2"/>
    </xf>
    <xf numFmtId="3" fontId="14" fillId="0" borderId="0" xfId="0" applyNumberFormat="1" applyFont="1" applyAlignment="1">
      <alignment horizontal="right" vertical="center" wrapText="1" indent="2"/>
    </xf>
    <xf numFmtId="3" fontId="0" fillId="0" borderId="58" xfId="0" applyNumberFormat="1" applyBorder="1" applyAlignment="1">
      <alignment horizontal="right" indent="2"/>
    </xf>
    <xf numFmtId="3" fontId="20" fillId="4" borderId="36" xfId="2" applyNumberFormat="1" applyFont="1" applyFill="1" applyBorder="1" applyAlignment="1">
      <alignment horizontal="right" indent="2"/>
    </xf>
    <xf numFmtId="3" fontId="20" fillId="4" borderId="33" xfId="2" applyNumberFormat="1" applyFont="1" applyFill="1" applyBorder="1" applyAlignment="1">
      <alignment horizontal="right" indent="2"/>
    </xf>
    <xf numFmtId="165" fontId="20" fillId="0" borderId="42" xfId="2" applyNumberFormat="1" applyFont="1" applyBorder="1" applyAlignment="1">
      <alignment horizontal="right" vertical="center" wrapText="1" indent="2"/>
    </xf>
    <xf numFmtId="3" fontId="20" fillId="4" borderId="41" xfId="2" applyNumberFormat="1" applyFont="1" applyFill="1" applyBorder="1" applyAlignment="1">
      <alignment horizontal="right" indent="2"/>
    </xf>
    <xf numFmtId="165" fontId="20" fillId="4" borderId="10" xfId="2" applyNumberFormat="1" applyFont="1" applyFill="1" applyBorder="1" applyAlignment="1">
      <alignment horizontal="right" indent="2"/>
    </xf>
    <xf numFmtId="165" fontId="20" fillId="4" borderId="18" xfId="2" applyNumberFormat="1" applyFont="1" applyFill="1" applyBorder="1" applyAlignment="1">
      <alignment horizontal="right" indent="2"/>
    </xf>
    <xf numFmtId="165" fontId="20" fillId="4" borderId="0" xfId="2" applyNumberFormat="1" applyFont="1" applyFill="1" applyBorder="1" applyAlignment="1">
      <alignment horizontal="right" indent="2"/>
    </xf>
    <xf numFmtId="3" fontId="20" fillId="4" borderId="43" xfId="2" applyNumberFormat="1" applyFont="1" applyFill="1" applyBorder="1" applyAlignment="1">
      <alignment horizontal="right" indent="2"/>
    </xf>
    <xf numFmtId="3" fontId="0" fillId="4" borderId="15" xfId="0" applyNumberFormat="1" applyFill="1" applyBorder="1" applyAlignment="1">
      <alignment horizontal="right" indent="2"/>
    </xf>
    <xf numFmtId="165" fontId="20" fillId="0" borderId="44" xfId="2" applyNumberFormat="1" applyFont="1" applyFill="1" applyBorder="1" applyAlignment="1">
      <alignment horizontal="right" indent="2"/>
    </xf>
    <xf numFmtId="165" fontId="20" fillId="0" borderId="44" xfId="2" applyNumberFormat="1" applyFont="1" applyBorder="1" applyAlignment="1">
      <alignment horizontal="right" vertical="center" wrapText="1" indent="2"/>
    </xf>
    <xf numFmtId="3" fontId="20" fillId="4" borderId="18" xfId="2" applyNumberFormat="1" applyFont="1" applyFill="1" applyBorder="1" applyAlignment="1">
      <alignment horizontal="right" indent="2"/>
    </xf>
    <xf numFmtId="165" fontId="20" fillId="0" borderId="0" xfId="2" applyNumberFormat="1" applyFont="1" applyFill="1" applyBorder="1" applyAlignment="1">
      <alignment horizontal="right" indent="2"/>
    </xf>
    <xf numFmtId="3" fontId="20" fillId="4" borderId="0" xfId="2" applyNumberFormat="1" applyFont="1" applyFill="1" applyBorder="1" applyAlignment="1">
      <alignment horizontal="right" indent="2"/>
    </xf>
    <xf numFmtId="165" fontId="20" fillId="0" borderId="11" xfId="2" applyNumberFormat="1" applyFont="1" applyFill="1" applyBorder="1" applyAlignment="1">
      <alignment horizontal="right" indent="2"/>
    </xf>
    <xf numFmtId="3" fontId="20" fillId="4" borderId="53" xfId="2" applyNumberFormat="1" applyFont="1" applyFill="1" applyBorder="1" applyAlignment="1">
      <alignment horizontal="right" indent="2"/>
    </xf>
    <xf numFmtId="3" fontId="0" fillId="7" borderId="44" xfId="0" applyNumberFormat="1" applyFill="1" applyBorder="1"/>
    <xf numFmtId="3" fontId="0" fillId="7" borderId="0" xfId="0" applyNumberFormat="1" applyFill="1" applyAlignment="1">
      <alignment horizontal="right" vertical="center" wrapText="1" indent="2"/>
    </xf>
    <xf numFmtId="3" fontId="2" fillId="7" borderId="22" xfId="0" applyNumberFormat="1" applyFont="1" applyFill="1" applyBorder="1" applyAlignment="1">
      <alignment horizontal="right" indent="2"/>
    </xf>
    <xf numFmtId="3" fontId="0" fillId="7" borderId="42" xfId="0" applyNumberFormat="1" applyFill="1" applyBorder="1" applyAlignment="1">
      <alignment horizontal="right" vertical="center" wrapText="1" indent="2"/>
    </xf>
    <xf numFmtId="3" fontId="18" fillId="0" borderId="0" xfId="0" applyNumberFormat="1" applyFont="1" applyAlignment="1">
      <alignment horizontal="left"/>
    </xf>
    <xf numFmtId="3" fontId="15" fillId="6" borderId="6" xfId="2" applyNumberFormat="1" applyFont="1" applyFill="1" applyBorder="1" applyAlignment="1">
      <alignment horizontal="right" indent="2"/>
    </xf>
    <xf numFmtId="3" fontId="0" fillId="6" borderId="8" xfId="2" applyNumberFormat="1" applyFont="1" applyFill="1" applyBorder="1" applyAlignment="1">
      <alignment horizontal="right" indent="2"/>
    </xf>
    <xf numFmtId="3" fontId="0" fillId="6" borderId="22" xfId="2" applyNumberFormat="1" applyFont="1" applyFill="1" applyBorder="1"/>
    <xf numFmtId="165" fontId="16" fillId="0" borderId="11" xfId="2" applyNumberFormat="1" applyFont="1" applyFill="1" applyBorder="1" applyAlignment="1">
      <alignment horizontal="right" indent="2"/>
    </xf>
    <xf numFmtId="9" fontId="0" fillId="6" borderId="8" xfId="2" applyFont="1" applyFill="1" applyBorder="1" applyAlignment="1">
      <alignment horizontal="right" indent="2"/>
    </xf>
    <xf numFmtId="165" fontId="16" fillId="0" borderId="0" xfId="2" applyNumberFormat="1" applyFont="1" applyFill="1" applyBorder="1" applyAlignment="1">
      <alignment horizontal="right" indent="2"/>
    </xf>
    <xf numFmtId="0" fontId="16" fillId="0" borderId="11" xfId="0" applyFont="1" applyBorder="1" applyAlignment="1">
      <alignment horizontal="right" indent="2"/>
    </xf>
    <xf numFmtId="0" fontId="16" fillId="0" borderId="0" xfId="0" applyFont="1" applyAlignment="1">
      <alignment horizontal="right" indent="2"/>
    </xf>
    <xf numFmtId="165" fontId="0" fillId="6" borderId="8" xfId="2" applyNumberFormat="1" applyFont="1" applyFill="1" applyBorder="1" applyAlignment="1">
      <alignment horizontal="right" indent="2"/>
    </xf>
    <xf numFmtId="165" fontId="16" fillId="6" borderId="23" xfId="2" applyNumberFormat="1" applyFont="1" applyFill="1" applyBorder="1" applyAlignment="1">
      <alignment horizontal="right" indent="2"/>
    </xf>
    <xf numFmtId="165" fontId="16" fillId="6" borderId="21" xfId="2" applyNumberFormat="1" applyFont="1" applyFill="1" applyBorder="1" applyAlignment="1">
      <alignment horizontal="right" indent="2"/>
    </xf>
    <xf numFmtId="165" fontId="16" fillId="6" borderId="22" xfId="2" applyNumberFormat="1" applyFont="1" applyFill="1" applyBorder="1" applyAlignment="1">
      <alignment horizontal="right" indent="2"/>
    </xf>
    <xf numFmtId="165" fontId="16" fillId="6" borderId="8" xfId="2" applyNumberFormat="1" applyFont="1" applyFill="1" applyBorder="1" applyAlignment="1">
      <alignment horizontal="right" indent="2"/>
    </xf>
    <xf numFmtId="3" fontId="9" fillId="6" borderId="35" xfId="2" applyNumberFormat="1" applyFont="1" applyFill="1" applyBorder="1" applyAlignment="1">
      <alignment horizontal="right" indent="4"/>
    </xf>
    <xf numFmtId="3" fontId="9" fillId="6" borderId="33" xfId="2" applyNumberFormat="1" applyFont="1" applyFill="1" applyBorder="1" applyAlignment="1">
      <alignment horizontal="right" indent="4"/>
    </xf>
    <xf numFmtId="3" fontId="9" fillId="6" borderId="34" xfId="2" applyNumberFormat="1" applyFont="1" applyFill="1" applyBorder="1" applyAlignment="1">
      <alignment horizontal="right" indent="4"/>
    </xf>
    <xf numFmtId="3" fontId="9" fillId="6" borderId="41" xfId="2" applyNumberFormat="1" applyFont="1" applyFill="1" applyBorder="1" applyAlignment="1">
      <alignment horizontal="right" indent="4"/>
    </xf>
    <xf numFmtId="165" fontId="27" fillId="0" borderId="8" xfId="2" applyNumberFormat="1" applyFont="1" applyFill="1" applyBorder="1" applyAlignment="1">
      <alignment horizontal="right"/>
    </xf>
    <xf numFmtId="165" fontId="27" fillId="6" borderId="24" xfId="2" applyNumberFormat="1" applyFont="1" applyFill="1" applyBorder="1" applyAlignment="1">
      <alignment horizontal="right" indent="2"/>
    </xf>
    <xf numFmtId="165" fontId="27" fillId="6" borderId="23" xfId="2" applyNumberFormat="1" applyFont="1" applyFill="1" applyBorder="1" applyAlignment="1">
      <alignment horizontal="right" indent="2"/>
    </xf>
    <xf numFmtId="3" fontId="23" fillId="0" borderId="0" xfId="0" applyNumberFormat="1" applyFont="1" applyAlignment="1">
      <alignment horizontal="left"/>
    </xf>
    <xf numFmtId="3" fontId="0" fillId="7" borderId="12" xfId="0" applyNumberFormat="1" applyFill="1" applyBorder="1" applyAlignment="1">
      <alignment horizontal="left" indent="2"/>
    </xf>
    <xf numFmtId="166" fontId="2" fillId="2" borderId="48" xfId="0" applyNumberFormat="1" applyFont="1" applyFill="1" applyBorder="1" applyAlignment="1">
      <alignment horizontal="right" indent="2"/>
    </xf>
    <xf numFmtId="165" fontId="1" fillId="0" borderId="4" xfId="3" applyNumberFormat="1" applyFont="1" applyFill="1" applyBorder="1" applyAlignment="1">
      <alignment vertical="center" wrapText="1"/>
    </xf>
    <xf numFmtId="0" fontId="1" fillId="0" borderId="0" xfId="3" applyFont="1"/>
    <xf numFmtId="0" fontId="0" fillId="0" borderId="15" xfId="0" applyBorder="1" applyAlignment="1">
      <alignment horizontal="right" vertical="center"/>
    </xf>
    <xf numFmtId="0" fontId="0" fillId="6" borderId="15" xfId="0" applyFill="1" applyBorder="1" applyAlignment="1">
      <alignment horizontal="right" vertical="center"/>
    </xf>
    <xf numFmtId="0" fontId="29" fillId="4" borderId="4" xfId="3" applyFont="1" applyFill="1" applyBorder="1" applyAlignment="1">
      <alignment horizontal="center" vertical="center" wrapText="1"/>
    </xf>
    <xf numFmtId="0" fontId="0" fillId="4" borderId="1" xfId="3" applyFont="1" applyFill="1" applyBorder="1" applyAlignment="1">
      <alignment vertical="center" wrapText="1"/>
    </xf>
    <xf numFmtId="0" fontId="29" fillId="0" borderId="4" xfId="3" applyFont="1" applyFill="1" applyBorder="1" applyAlignment="1">
      <alignment horizontal="center" vertical="center" wrapText="1"/>
    </xf>
    <xf numFmtId="0" fontId="35" fillId="0" borderId="0" xfId="0" applyFont="1" applyAlignment="1">
      <alignment horizontal="right" vertical="center"/>
    </xf>
    <xf numFmtId="0" fontId="7" fillId="4" borderId="0" xfId="0" applyFont="1" applyFill="1" applyAlignment="1">
      <alignment horizontal="center" vertical="center"/>
    </xf>
    <xf numFmtId="0" fontId="0" fillId="0" borderId="101" xfId="0" applyBorder="1" applyAlignment="1">
      <alignment horizontal="right" vertical="center"/>
    </xf>
    <xf numFmtId="0" fontId="0" fillId="0" borderId="102" xfId="0" applyBorder="1" applyAlignment="1">
      <alignment vertical="center"/>
    </xf>
    <xf numFmtId="0" fontId="3" fillId="0" borderId="103" xfId="0" applyFont="1" applyBorder="1" applyAlignment="1">
      <alignment horizontal="center" vertical="center" wrapText="1"/>
    </xf>
    <xf numFmtId="0" fontId="3" fillId="0" borderId="101" xfId="0" applyFont="1" applyBorder="1" applyAlignment="1">
      <alignment horizontal="center" vertical="center" wrapText="1"/>
    </xf>
    <xf numFmtId="0" fontId="3" fillId="0" borderId="0" xfId="0" applyFont="1" applyAlignment="1">
      <alignment horizontal="left" vertical="center" wrapText="1"/>
    </xf>
    <xf numFmtId="0" fontId="0" fillId="4" borderId="6" xfId="0" applyFill="1" applyBorder="1" applyAlignment="1">
      <alignment horizontal="center" vertical="center"/>
    </xf>
    <xf numFmtId="0" fontId="3" fillId="4" borderId="103" xfId="0" applyFont="1" applyFill="1" applyBorder="1" applyAlignment="1">
      <alignment horizontal="center" vertical="center"/>
    </xf>
    <xf numFmtId="0" fontId="0" fillId="0" borderId="101" xfId="0" applyBorder="1" applyAlignment="1">
      <alignment horizontal="center" vertical="center"/>
    </xf>
    <xf numFmtId="0" fontId="0" fillId="4" borderId="8" xfId="0" applyFill="1" applyBorder="1" applyAlignment="1">
      <alignment horizontal="center" vertical="center"/>
    </xf>
    <xf numFmtId="0" fontId="0" fillId="0" borderId="5" xfId="0" quotePrefix="1" applyBorder="1" applyAlignment="1">
      <alignment horizontal="left" vertical="center"/>
    </xf>
    <xf numFmtId="0" fontId="0" fillId="4" borderId="9" xfId="0" applyFill="1" applyBorder="1" applyAlignment="1">
      <alignment horizontal="center" vertical="center"/>
    </xf>
    <xf numFmtId="0" fontId="0" fillId="0" borderId="103" xfId="0" applyBorder="1" applyAlignment="1">
      <alignment horizontal="center" vertical="center"/>
    </xf>
    <xf numFmtId="0" fontId="0" fillId="0" borderId="106" xfId="0" applyBorder="1" applyAlignment="1">
      <alignment horizontal="center" vertical="center"/>
    </xf>
    <xf numFmtId="0" fontId="3" fillId="0" borderId="103" xfId="0" applyFont="1" applyBorder="1" applyAlignment="1">
      <alignment horizontal="center" vertical="center"/>
    </xf>
    <xf numFmtId="0" fontId="3" fillId="0" borderId="4" xfId="0" applyFont="1" applyBorder="1" applyAlignment="1">
      <alignment horizontal="center" vertical="center"/>
    </xf>
    <xf numFmtId="0" fontId="0" fillId="0" borderId="7" xfId="0" applyBorder="1" applyAlignment="1">
      <alignment horizontal="left" vertical="center"/>
    </xf>
    <xf numFmtId="0" fontId="0" fillId="0" borderId="7" xfId="0" applyBorder="1" applyAlignment="1">
      <alignment horizontal="center" vertical="center"/>
    </xf>
    <xf numFmtId="0" fontId="0" fillId="0" borderId="38" xfId="0" applyBorder="1" applyAlignment="1">
      <alignment vertical="center"/>
    </xf>
    <xf numFmtId="0" fontId="0" fillId="0" borderId="101" xfId="0" applyBorder="1" applyAlignment="1">
      <alignment vertical="center"/>
    </xf>
    <xf numFmtId="0" fontId="12" fillId="4" borderId="103" xfId="0" applyFont="1" applyFill="1" applyBorder="1" applyAlignment="1">
      <alignment horizontal="center" vertical="center" wrapText="1"/>
    </xf>
    <xf numFmtId="165" fontId="9" fillId="0" borderId="16" xfId="0" applyNumberFormat="1" applyFont="1" applyBorder="1" applyAlignment="1">
      <alignment horizontal="center" vertical="center" wrapText="1"/>
    </xf>
    <xf numFmtId="0" fontId="12" fillId="4" borderId="104" xfId="0" applyFont="1" applyFill="1" applyBorder="1" applyAlignment="1">
      <alignment horizontal="center" vertical="center" wrapText="1"/>
    </xf>
    <xf numFmtId="0" fontId="35" fillId="0" borderId="11" xfId="0" applyFont="1" applyBorder="1" applyAlignment="1">
      <alignment horizontal="right" vertical="center"/>
    </xf>
    <xf numFmtId="0" fontId="12" fillId="0" borderId="106" xfId="0" applyFont="1" applyBorder="1" applyAlignment="1">
      <alignment horizontal="center" vertical="center" wrapText="1"/>
    </xf>
    <xf numFmtId="0" fontId="77" fillId="0" borderId="106" xfId="0" applyFont="1" applyBorder="1" applyAlignment="1">
      <alignment horizontal="center" vertical="center" wrapText="1"/>
    </xf>
    <xf numFmtId="0" fontId="118" fillId="0" borderId="4" xfId="0" applyFont="1" applyBorder="1" applyAlignment="1">
      <alignment horizontal="left" wrapText="1"/>
    </xf>
    <xf numFmtId="0" fontId="118" fillId="0" borderId="0" xfId="0" applyFont="1"/>
    <xf numFmtId="0" fontId="0" fillId="6" borderId="13" xfId="0" applyFill="1" applyBorder="1" applyAlignment="1">
      <alignment vertical="center"/>
    </xf>
    <xf numFmtId="0" fontId="0" fillId="6" borderId="107" xfId="0" applyFill="1" applyBorder="1" applyAlignment="1">
      <alignment vertical="center" wrapText="1"/>
    </xf>
    <xf numFmtId="166" fontId="0" fillId="6" borderId="12" xfId="0" applyNumberFormat="1" applyFill="1" applyBorder="1" applyAlignment="1">
      <alignment vertical="center" wrapText="1"/>
    </xf>
    <xf numFmtId="166" fontId="0" fillId="6" borderId="14" xfId="0" applyNumberFormat="1" applyFill="1" applyBorder="1" applyAlignment="1">
      <alignment vertical="center" wrapText="1"/>
    </xf>
    <xf numFmtId="0" fontId="0" fillId="0" borderId="108" xfId="0" applyBorder="1" applyAlignment="1">
      <alignment vertical="center"/>
    </xf>
    <xf numFmtId="0" fontId="3" fillId="6" borderId="101" xfId="0" applyFont="1" applyFill="1" applyBorder="1" applyAlignment="1">
      <alignment horizontal="left" vertical="center"/>
    </xf>
    <xf numFmtId="0" fontId="3" fillId="6" borderId="5" xfId="0" applyFont="1" applyFill="1" applyBorder="1" applyAlignment="1">
      <alignment horizontal="left" vertical="center"/>
    </xf>
    <xf numFmtId="0" fontId="3" fillId="0" borderId="5" xfId="0" applyFont="1" applyBorder="1" applyAlignment="1">
      <alignment horizontal="left" vertical="center"/>
    </xf>
    <xf numFmtId="0" fontId="31" fillId="0" borderId="0" xfId="0" applyFont="1" applyAlignment="1">
      <alignment horizontal="left" vertical="center"/>
    </xf>
    <xf numFmtId="0" fontId="0" fillId="0" borderId="5" xfId="0" applyBorder="1" applyAlignment="1">
      <alignment horizontal="left" vertical="center" wrapText="1"/>
    </xf>
    <xf numFmtId="0" fontId="0" fillId="6" borderId="22" xfId="0" applyFill="1" applyBorder="1" applyAlignment="1">
      <alignment horizontal="right" vertical="center"/>
    </xf>
    <xf numFmtId="3" fontId="0" fillId="6" borderId="109" xfId="0" applyNumberFormat="1" applyFill="1" applyBorder="1" applyAlignment="1">
      <alignment horizontal="right" vertical="center"/>
    </xf>
    <xf numFmtId="166" fontId="0" fillId="6" borderId="21" xfId="0" applyNumberFormat="1" applyFill="1" applyBorder="1" applyAlignment="1">
      <alignment horizontal="right" vertical="center"/>
    </xf>
    <xf numFmtId="166" fontId="0" fillId="6" borderId="23" xfId="0" applyNumberFormat="1" applyFill="1" applyBorder="1" applyAlignment="1">
      <alignment horizontal="right" vertical="center"/>
    </xf>
    <xf numFmtId="165" fontId="13" fillId="0" borderId="11" xfId="2" applyNumberFormat="1" applyFont="1" applyFill="1" applyBorder="1" applyAlignment="1">
      <alignment vertical="center"/>
    </xf>
    <xf numFmtId="0" fontId="0" fillId="0" borderId="21" xfId="0" applyBorder="1" applyAlignment="1">
      <alignment horizontal="right" vertical="center"/>
    </xf>
    <xf numFmtId="166" fontId="2" fillId="6" borderId="23" xfId="0" applyNumberFormat="1" applyFont="1" applyFill="1" applyBorder="1" applyAlignment="1">
      <alignment horizontal="right" vertical="center"/>
    </xf>
    <xf numFmtId="166" fontId="0" fillId="0" borderId="102" xfId="0" applyNumberFormat="1" applyBorder="1" applyAlignment="1">
      <alignment horizontal="right" vertical="center"/>
    </xf>
    <xf numFmtId="3" fontId="56" fillId="6" borderId="101" xfId="0" applyNumberFormat="1" applyFont="1" applyFill="1" applyBorder="1" applyAlignment="1">
      <alignment horizontal="right" vertical="center"/>
    </xf>
    <xf numFmtId="3" fontId="56" fillId="6" borderId="10" xfId="0" applyNumberFormat="1" applyFont="1" applyFill="1" applyBorder="1" applyAlignment="1">
      <alignment horizontal="right" vertical="center"/>
    </xf>
    <xf numFmtId="165" fontId="121" fillId="0" borderId="11" xfId="2" applyNumberFormat="1" applyFont="1" applyFill="1" applyBorder="1" applyAlignment="1">
      <alignment vertical="center"/>
    </xf>
    <xf numFmtId="167" fontId="56" fillId="6" borderId="23" xfId="5" applyNumberFormat="1" applyFont="1" applyFill="1" applyBorder="1" applyAlignment="1">
      <alignment horizontal="right" vertical="center"/>
    </xf>
    <xf numFmtId="167" fontId="56" fillId="6" borderId="8" xfId="5" applyNumberFormat="1" applyFont="1" applyFill="1" applyBorder="1" applyAlignment="1">
      <alignment horizontal="right" vertical="center"/>
    </xf>
    <xf numFmtId="165" fontId="10" fillId="0" borderId="10" xfId="2" applyNumberFormat="1" applyFont="1" applyFill="1" applyBorder="1" applyAlignment="1">
      <alignment vertical="center"/>
    </xf>
    <xf numFmtId="3" fontId="16" fillId="0" borderId="102" xfId="0" applyNumberFormat="1" applyFont="1" applyBorder="1" applyAlignment="1">
      <alignment horizontal="right" vertical="center"/>
    </xf>
    <xf numFmtId="167" fontId="67" fillId="6" borderId="23" xfId="5" applyNumberFormat="1" applyFont="1" applyFill="1" applyBorder="1" applyAlignment="1">
      <alignment horizontal="right" vertical="center"/>
    </xf>
    <xf numFmtId="167" fontId="67" fillId="6" borderId="8" xfId="5" applyNumberFormat="1" applyFont="1" applyFill="1" applyBorder="1" applyAlignment="1">
      <alignment horizontal="right" vertical="center"/>
    </xf>
    <xf numFmtId="3" fontId="122" fillId="0" borderId="102" xfId="0" applyNumberFormat="1" applyFont="1" applyBorder="1" applyAlignment="1">
      <alignment horizontal="right" vertical="center"/>
    </xf>
    <xf numFmtId="3" fontId="47" fillId="0" borderId="102" xfId="0" applyNumberFormat="1" applyFont="1" applyBorder="1" applyAlignment="1">
      <alignment horizontal="right" vertical="center"/>
    </xf>
    <xf numFmtId="175" fontId="0" fillId="0" borderId="11" xfId="0" applyNumberFormat="1" applyBorder="1" applyAlignment="1">
      <alignment vertical="center"/>
    </xf>
    <xf numFmtId="0" fontId="56" fillId="6" borderId="22" xfId="0" applyFont="1" applyFill="1" applyBorder="1" applyAlignment="1">
      <alignment horizontal="right"/>
    </xf>
    <xf numFmtId="165" fontId="13" fillId="0" borderId="11" xfId="0" applyNumberFormat="1" applyFont="1" applyBorder="1" applyAlignment="1">
      <alignment vertical="center"/>
    </xf>
    <xf numFmtId="166" fontId="2" fillId="0" borderId="102" xfId="0" applyNumberFormat="1" applyFont="1" applyBorder="1" applyAlignment="1">
      <alignment horizontal="right" vertical="center"/>
    </xf>
    <xf numFmtId="167" fontId="2" fillId="6" borderId="8" xfId="5" applyNumberFormat="1" applyFont="1" applyFill="1" applyBorder="1" applyAlignment="1">
      <alignment horizontal="right" vertical="center"/>
    </xf>
    <xf numFmtId="0" fontId="0" fillId="0" borderId="11" xfId="0" applyBorder="1" applyAlignment="1">
      <alignment vertical="center"/>
    </xf>
    <xf numFmtId="0" fontId="56" fillId="6" borderId="28" xfId="0" applyFont="1" applyFill="1" applyBorder="1" applyAlignment="1">
      <alignment horizontal="right"/>
    </xf>
    <xf numFmtId="3" fontId="0" fillId="6" borderId="110" xfId="0" applyNumberFormat="1" applyFill="1" applyBorder="1" applyAlignment="1">
      <alignment horizontal="right" vertical="center"/>
    </xf>
    <xf numFmtId="166" fontId="0" fillId="6" borderId="27" xfId="0" applyNumberFormat="1" applyFill="1" applyBorder="1" applyAlignment="1">
      <alignment horizontal="right" vertical="center"/>
    </xf>
    <xf numFmtId="166" fontId="0" fillId="6" borderId="29" xfId="0" applyNumberFormat="1" applyFill="1" applyBorder="1" applyAlignment="1">
      <alignment horizontal="right" vertical="center"/>
    </xf>
    <xf numFmtId="0" fontId="0" fillId="0" borderId="27" xfId="0" applyBorder="1" applyAlignment="1">
      <alignment horizontal="right" vertical="center"/>
    </xf>
    <xf numFmtId="166" fontId="2" fillId="6" borderId="29" xfId="0" applyNumberFormat="1" applyFont="1" applyFill="1" applyBorder="1" applyAlignment="1">
      <alignment horizontal="right" vertical="center"/>
    </xf>
    <xf numFmtId="167" fontId="56" fillId="6" borderId="29" xfId="5" applyNumberFormat="1" applyFont="1" applyFill="1" applyBorder="1" applyAlignment="1">
      <alignment horizontal="right" vertical="center"/>
    </xf>
    <xf numFmtId="167" fontId="2" fillId="6" borderId="9" xfId="5" applyNumberFormat="1" applyFont="1" applyFill="1" applyBorder="1" applyAlignment="1">
      <alignment horizontal="right" vertical="center"/>
    </xf>
    <xf numFmtId="0" fontId="56" fillId="6" borderId="34" xfId="0" applyFont="1" applyFill="1" applyBorder="1" applyAlignment="1">
      <alignment horizontal="right" vertical="center"/>
    </xf>
    <xf numFmtId="3" fontId="0" fillId="6" borderId="111" xfId="0" applyNumberFormat="1" applyFill="1" applyBorder="1" applyAlignment="1">
      <alignment horizontal="right" vertical="center"/>
    </xf>
    <xf numFmtId="166" fontId="0" fillId="6" borderId="33" xfId="0" applyNumberFormat="1" applyFill="1" applyBorder="1" applyAlignment="1">
      <alignment horizontal="right" vertical="center"/>
    </xf>
    <xf numFmtId="166" fontId="0" fillId="6" borderId="35" xfId="0" applyNumberFormat="1" applyFill="1" applyBorder="1" applyAlignment="1">
      <alignment horizontal="right" vertical="center"/>
    </xf>
    <xf numFmtId="165" fontId="13" fillId="0" borderId="38" xfId="0" applyNumberFormat="1" applyFont="1" applyBorder="1" applyAlignment="1">
      <alignment vertical="center"/>
    </xf>
    <xf numFmtId="166" fontId="2" fillId="0" borderId="112" xfId="0" applyNumberFormat="1" applyFont="1" applyBorder="1" applyAlignment="1">
      <alignment horizontal="right" vertical="center"/>
    </xf>
    <xf numFmtId="0" fontId="56" fillId="0" borderId="7" xfId="0" applyFont="1" applyBorder="1" applyAlignment="1">
      <alignment horizontal="left" vertical="center"/>
    </xf>
    <xf numFmtId="167" fontId="56" fillId="6" borderId="35" xfId="5" applyNumberFormat="1" applyFont="1" applyFill="1" applyBorder="1" applyAlignment="1">
      <alignment horizontal="right" vertical="center"/>
    </xf>
    <xf numFmtId="167" fontId="56" fillId="6" borderId="41" xfId="5" applyNumberFormat="1" applyFont="1" applyFill="1" applyBorder="1" applyAlignment="1">
      <alignment horizontal="right" vertical="center"/>
    </xf>
    <xf numFmtId="3" fontId="0" fillId="0" borderId="7" xfId="0" applyNumberFormat="1" applyBorder="1" applyAlignment="1">
      <alignment horizontal="left" vertical="center" wrapText="1"/>
    </xf>
    <xf numFmtId="165" fontId="10" fillId="0" borderId="7" xfId="2" applyNumberFormat="1" applyFont="1" applyFill="1" applyBorder="1" applyAlignment="1">
      <alignment vertical="center"/>
    </xf>
    <xf numFmtId="167" fontId="67" fillId="6" borderId="35" xfId="5" applyNumberFormat="1" applyFont="1" applyFill="1" applyBorder="1" applyAlignment="1">
      <alignment horizontal="right" vertical="center"/>
    </xf>
    <xf numFmtId="167" fontId="67" fillId="6" borderId="41" xfId="5" applyNumberFormat="1" applyFont="1" applyFill="1" applyBorder="1" applyAlignment="1">
      <alignment horizontal="right" vertical="center"/>
    </xf>
    <xf numFmtId="3" fontId="0" fillId="0" borderId="113" xfId="0" applyNumberFormat="1" applyBorder="1" applyAlignment="1">
      <alignment horizontal="right" vertical="center"/>
    </xf>
    <xf numFmtId="166" fontId="0" fillId="0" borderId="43" xfId="0" applyNumberFormat="1" applyBorder="1" applyAlignment="1">
      <alignment horizontal="right" vertical="center"/>
    </xf>
    <xf numFmtId="166" fontId="0" fillId="0" borderId="5" xfId="0" applyNumberFormat="1" applyBorder="1" applyAlignment="1">
      <alignment horizontal="right" vertical="center"/>
    </xf>
    <xf numFmtId="165" fontId="13" fillId="0" borderId="16" xfId="0" applyNumberFormat="1" applyFont="1" applyBorder="1" applyAlignment="1">
      <alignment vertical="center"/>
    </xf>
    <xf numFmtId="166" fontId="0" fillId="0" borderId="108" xfId="0" applyNumberFormat="1" applyBorder="1" applyAlignment="1">
      <alignment horizontal="right" vertical="center"/>
    </xf>
    <xf numFmtId="166" fontId="56" fillId="0" borderId="114" xfId="0" applyNumberFormat="1" applyFont="1" applyBorder="1" applyAlignment="1">
      <alignment horizontal="right" vertical="center"/>
    </xf>
    <xf numFmtId="170" fontId="67" fillId="0" borderId="5" xfId="0" applyNumberFormat="1" applyFont="1" applyBorder="1" applyAlignment="1">
      <alignment horizontal="left" vertical="center"/>
    </xf>
    <xf numFmtId="0" fontId="67" fillId="0" borderId="5" xfId="0" applyFont="1" applyBorder="1" applyAlignment="1">
      <alignment horizontal="left" vertical="center"/>
    </xf>
    <xf numFmtId="3" fontId="56" fillId="0" borderId="5" xfId="0" applyNumberFormat="1" applyFont="1" applyBorder="1" applyAlignment="1">
      <alignment horizontal="right" vertical="center"/>
    </xf>
    <xf numFmtId="3" fontId="0" fillId="0" borderId="5" xfId="0" applyNumberFormat="1" applyBorder="1" applyAlignment="1">
      <alignment horizontal="left" vertical="center"/>
    </xf>
    <xf numFmtId="165" fontId="13" fillId="0" borderId="5" xfId="0" applyNumberFormat="1" applyFont="1" applyBorder="1" applyAlignment="1">
      <alignment vertical="center"/>
    </xf>
    <xf numFmtId="3" fontId="0" fillId="0" borderId="115" xfId="0" applyNumberFormat="1" applyBorder="1" applyAlignment="1">
      <alignment horizontal="right" vertical="center"/>
    </xf>
    <xf numFmtId="3" fontId="0" fillId="4" borderId="116" xfId="0" applyNumberFormat="1" applyFill="1" applyBorder="1" applyAlignment="1">
      <alignment horizontal="right" vertical="center"/>
    </xf>
    <xf numFmtId="166" fontId="0" fillId="4" borderId="17" xfId="0" applyNumberFormat="1" applyFill="1" applyBorder="1" applyAlignment="1">
      <alignment horizontal="right" vertical="center"/>
    </xf>
    <xf numFmtId="170" fontId="0" fillId="4" borderId="46" xfId="0" applyNumberFormat="1" applyFill="1" applyBorder="1" applyAlignment="1">
      <alignment horizontal="right" vertical="center"/>
    </xf>
    <xf numFmtId="3" fontId="56" fillId="4" borderId="101" xfId="0" applyNumberFormat="1" applyFont="1" applyFill="1" applyBorder="1" applyAlignment="1">
      <alignment horizontal="right" vertical="center"/>
    </xf>
    <xf numFmtId="3" fontId="56" fillId="4" borderId="10" xfId="0" applyNumberFormat="1" applyFont="1" applyFill="1" applyBorder="1" applyAlignment="1">
      <alignment horizontal="right" vertical="center"/>
    </xf>
    <xf numFmtId="165" fontId="13" fillId="0" borderId="10" xfId="0" applyNumberFormat="1" applyFont="1" applyBorder="1" applyAlignment="1">
      <alignment vertical="center"/>
    </xf>
    <xf numFmtId="167" fontId="0" fillId="0" borderId="117" xfId="5" applyNumberFormat="1" applyFont="1" applyFill="1" applyBorder="1" applyAlignment="1">
      <alignment horizontal="right" vertical="center"/>
    </xf>
    <xf numFmtId="3" fontId="67" fillId="4" borderId="10" xfId="0" applyNumberFormat="1" applyFont="1" applyFill="1" applyBorder="1" applyAlignment="1">
      <alignment horizontal="right" vertical="center"/>
    </xf>
    <xf numFmtId="3" fontId="45" fillId="0" borderId="10" xfId="0" applyNumberFormat="1" applyFont="1" applyBorder="1" applyAlignment="1">
      <alignment horizontal="right" vertical="center"/>
    </xf>
    <xf numFmtId="0" fontId="29" fillId="0" borderId="5" xfId="0" applyFont="1" applyBorder="1" applyAlignment="1">
      <alignment vertical="center" wrapText="1"/>
    </xf>
    <xf numFmtId="167" fontId="3" fillId="0" borderId="117" xfId="5" applyNumberFormat="1" applyFont="1" applyFill="1" applyBorder="1" applyAlignment="1">
      <alignment horizontal="right" vertical="center"/>
    </xf>
    <xf numFmtId="3" fontId="0" fillId="4" borderId="118" xfId="0" applyNumberFormat="1" applyFill="1" applyBorder="1" applyAlignment="1">
      <alignment horizontal="right" vertical="center"/>
    </xf>
    <xf numFmtId="166" fontId="0" fillId="4" borderId="18" xfId="0" applyNumberFormat="1" applyFill="1" applyBorder="1" applyAlignment="1">
      <alignment horizontal="right" vertical="center"/>
    </xf>
    <xf numFmtId="170" fontId="0" fillId="4" borderId="10" xfId="0" applyNumberFormat="1" applyFill="1" applyBorder="1" applyAlignment="1">
      <alignment horizontal="right" vertical="center"/>
    </xf>
    <xf numFmtId="165" fontId="13" fillId="0" borderId="10" xfId="2" applyNumberFormat="1" applyFont="1" applyFill="1" applyBorder="1" applyAlignment="1">
      <alignment vertical="center"/>
    </xf>
    <xf numFmtId="3" fontId="0" fillId="0" borderId="10" xfId="0" applyNumberFormat="1" applyBorder="1" applyAlignment="1">
      <alignment horizontal="left" vertical="center"/>
    </xf>
    <xf numFmtId="0" fontId="29" fillId="0" borderId="7" xfId="0" applyFont="1" applyBorder="1" applyAlignment="1">
      <alignment vertical="center" wrapText="1"/>
    </xf>
    <xf numFmtId="166" fontId="2" fillId="4" borderId="10" xfId="0" applyNumberFormat="1" applyFont="1" applyFill="1" applyBorder="1" applyAlignment="1">
      <alignment horizontal="right" vertical="center"/>
    </xf>
    <xf numFmtId="165" fontId="30" fillId="0" borderId="10" xfId="2" applyNumberFormat="1" applyFont="1" applyFill="1" applyBorder="1" applyAlignment="1">
      <alignment vertical="center"/>
    </xf>
    <xf numFmtId="3" fontId="0" fillId="4" borderId="111" xfId="0" applyNumberFormat="1" applyFill="1" applyBorder="1" applyAlignment="1">
      <alignment horizontal="right" vertical="center"/>
    </xf>
    <xf numFmtId="166" fontId="0" fillId="4" borderId="33" xfId="0" applyNumberFormat="1" applyFill="1" applyBorder="1" applyAlignment="1">
      <alignment horizontal="right" vertical="center"/>
    </xf>
    <xf numFmtId="165" fontId="13" fillId="0" borderId="38" xfId="2" applyNumberFormat="1" applyFont="1" applyFill="1" applyBorder="1" applyAlignment="1">
      <alignment vertical="center"/>
    </xf>
    <xf numFmtId="166" fontId="0" fillId="0" borderId="112" xfId="0" applyNumberFormat="1" applyBorder="1" applyAlignment="1">
      <alignment horizontal="right" vertical="center"/>
    </xf>
    <xf numFmtId="3" fontId="67" fillId="4" borderId="119" xfId="0" applyNumberFormat="1" applyFont="1" applyFill="1" applyBorder="1" applyAlignment="1">
      <alignment horizontal="right" vertical="center"/>
    </xf>
    <xf numFmtId="3" fontId="67" fillId="4" borderId="7" xfId="0" applyNumberFormat="1" applyFont="1" applyFill="1" applyBorder="1" applyAlignment="1">
      <alignment horizontal="right" vertical="center"/>
    </xf>
    <xf numFmtId="3" fontId="67" fillId="4" borderId="7" xfId="0" applyNumberFormat="1" applyFont="1" applyFill="1" applyBorder="1" applyAlignment="1">
      <alignment horizontal="right" vertical="center" indent="1"/>
    </xf>
    <xf numFmtId="3" fontId="45" fillId="0" borderId="7" xfId="0" applyNumberFormat="1" applyFont="1" applyBorder="1" applyAlignment="1">
      <alignment horizontal="right" vertical="center"/>
    </xf>
    <xf numFmtId="3" fontId="0" fillId="0" borderId="7" xfId="0" applyNumberFormat="1" applyBorder="1" applyAlignment="1">
      <alignment horizontal="left" vertical="center"/>
    </xf>
    <xf numFmtId="167" fontId="3" fillId="0" borderId="120" xfId="5" applyNumberFormat="1" applyFont="1" applyFill="1" applyBorder="1" applyAlignment="1">
      <alignment horizontal="right" vertical="center"/>
    </xf>
    <xf numFmtId="0" fontId="0" fillId="0" borderId="113" xfId="0" applyBorder="1" applyAlignment="1">
      <alignment horizontal="right" vertical="center" wrapText="1"/>
    </xf>
    <xf numFmtId="166" fontId="3" fillId="0" borderId="5" xfId="0" applyNumberFormat="1" applyFont="1" applyBorder="1" applyAlignment="1">
      <alignment horizontal="center" vertical="center" wrapText="1"/>
    </xf>
    <xf numFmtId="166" fontId="0" fillId="0" borderId="108" xfId="0" applyNumberFormat="1" applyBorder="1" applyAlignment="1">
      <alignment horizontal="right" vertical="center" wrapText="1"/>
    </xf>
    <xf numFmtId="166" fontId="56" fillId="0" borderId="113" xfId="0" applyNumberFormat="1" applyFont="1" applyBorder="1" applyAlignment="1">
      <alignment horizontal="right" vertical="center"/>
    </xf>
    <xf numFmtId="165" fontId="123" fillId="0" borderId="11" xfId="2" applyNumberFormat="1" applyFont="1" applyFill="1" applyBorder="1" applyAlignment="1">
      <alignment vertical="center"/>
    </xf>
    <xf numFmtId="3" fontId="0" fillId="0" borderId="43" xfId="0" applyNumberFormat="1" applyBorder="1" applyAlignment="1">
      <alignment horizontal="right" vertical="center"/>
    </xf>
    <xf numFmtId="165" fontId="13" fillId="0" borderId="0" xfId="2" applyNumberFormat="1" applyFont="1" applyFill="1" applyBorder="1" applyAlignment="1">
      <alignment vertical="center"/>
    </xf>
    <xf numFmtId="3" fontId="0" fillId="4" borderId="109" xfId="0" applyNumberFormat="1" applyFill="1" applyBorder="1" applyAlignment="1">
      <alignment horizontal="right" vertical="center"/>
    </xf>
    <xf numFmtId="166" fontId="0" fillId="4" borderId="21" xfId="0" applyNumberFormat="1" applyFill="1" applyBorder="1" applyAlignment="1">
      <alignment horizontal="right" vertical="center"/>
    </xf>
    <xf numFmtId="166" fontId="2" fillId="0" borderId="10" xfId="0" applyNumberFormat="1" applyFont="1" applyBorder="1" applyAlignment="1">
      <alignment horizontal="right" vertical="center" wrapText="1"/>
    </xf>
    <xf numFmtId="166" fontId="0" fillId="4" borderId="102" xfId="0" applyNumberFormat="1" applyFill="1" applyBorder="1" applyAlignment="1">
      <alignment horizontal="right" vertical="center" wrapText="1"/>
    </xf>
    <xf numFmtId="3" fontId="56" fillId="4" borderId="118" xfId="0" applyNumberFormat="1" applyFont="1" applyFill="1" applyBorder="1" applyAlignment="1">
      <alignment horizontal="right" vertical="center"/>
    </xf>
    <xf numFmtId="3" fontId="56" fillId="0" borderId="18" xfId="0" applyNumberFormat="1" applyFont="1" applyBorder="1" applyAlignment="1">
      <alignment horizontal="right" vertical="center"/>
    </xf>
    <xf numFmtId="10" fontId="13" fillId="0" borderId="0" xfId="2" applyNumberFormat="1" applyFont="1" applyFill="1" applyBorder="1" applyAlignment="1">
      <alignment vertical="center"/>
    </xf>
    <xf numFmtId="167" fontId="56" fillId="4" borderId="10" xfId="5" applyNumberFormat="1" applyFont="1" applyFill="1" applyBorder="1" applyAlignment="1">
      <alignment horizontal="right" vertical="center"/>
    </xf>
    <xf numFmtId="3" fontId="0" fillId="0" borderId="117" xfId="0" applyNumberFormat="1" applyBorder="1" applyAlignment="1">
      <alignment horizontal="right" vertical="center"/>
    </xf>
    <xf numFmtId="3" fontId="45" fillId="0" borderId="18" xfId="0" applyNumberFormat="1" applyFont="1" applyBorder="1" applyAlignment="1">
      <alignment horizontal="right" vertical="center"/>
    </xf>
    <xf numFmtId="167" fontId="67" fillId="4" borderId="10" xfId="5" applyNumberFormat="1" applyFont="1" applyFill="1" applyBorder="1" applyAlignment="1">
      <alignment horizontal="right" vertical="center"/>
    </xf>
    <xf numFmtId="0" fontId="29" fillId="0" borderId="5" xfId="0" applyFont="1" applyBorder="1" applyAlignment="1">
      <alignment vertical="center"/>
    </xf>
    <xf numFmtId="3" fontId="3" fillId="0" borderId="117" xfId="0" applyNumberFormat="1" applyFont="1" applyBorder="1" applyAlignment="1">
      <alignment horizontal="right" vertical="center"/>
    </xf>
    <xf numFmtId="0" fontId="56" fillId="4" borderId="10" xfId="0" applyFont="1" applyFill="1" applyBorder="1" applyAlignment="1">
      <alignment horizontal="right" vertical="center" wrapText="1"/>
    </xf>
    <xf numFmtId="0" fontId="56" fillId="0" borderId="10" xfId="0" applyFont="1" applyBorder="1" applyAlignment="1">
      <alignment horizontal="right" vertical="center" wrapText="1"/>
    </xf>
    <xf numFmtId="176" fontId="13" fillId="0" borderId="0" xfId="2" applyNumberFormat="1" applyFont="1" applyFill="1" applyBorder="1" applyAlignment="1">
      <alignment vertical="center" wrapText="1"/>
    </xf>
    <xf numFmtId="167" fontId="67" fillId="4" borderId="10" xfId="0" applyNumberFormat="1" applyFont="1" applyFill="1" applyBorder="1" applyAlignment="1">
      <alignment horizontal="right" vertical="center" wrapText="1"/>
    </xf>
    <xf numFmtId="3" fontId="45" fillId="0" borderId="10" xfId="0" applyNumberFormat="1" applyFont="1" applyBorder="1" applyAlignment="1">
      <alignment horizontal="right" vertical="center" wrapText="1"/>
    </xf>
    <xf numFmtId="0" fontId="124" fillId="0" borderId="10" xfId="0" applyFont="1" applyBorder="1" applyAlignment="1">
      <alignment vertical="center"/>
    </xf>
    <xf numFmtId="0" fontId="56" fillId="4" borderId="10" xfId="0" applyFont="1" applyFill="1" applyBorder="1" applyAlignment="1">
      <alignment horizontal="right" vertical="center"/>
    </xf>
    <xf numFmtId="1" fontId="56" fillId="4" borderId="10" xfId="5" applyNumberFormat="1" applyFont="1" applyFill="1" applyBorder="1" applyAlignment="1">
      <alignment horizontal="right" vertical="center" indent="1"/>
    </xf>
    <xf numFmtId="0" fontId="124" fillId="0" borderId="7" xfId="0" applyFont="1" applyBorder="1" applyAlignment="1">
      <alignment vertical="center"/>
    </xf>
    <xf numFmtId="0" fontId="79" fillId="0" borderId="11" xfId="0" applyFont="1" applyBorder="1" applyAlignment="1">
      <alignment vertical="center"/>
    </xf>
    <xf numFmtId="3" fontId="0" fillId="4" borderId="110" xfId="0" applyNumberFormat="1" applyFill="1" applyBorder="1" applyAlignment="1">
      <alignment horizontal="right" vertical="center"/>
    </xf>
    <xf numFmtId="166" fontId="0" fillId="4" borderId="27" xfId="0" applyNumberFormat="1" applyFill="1" applyBorder="1" applyAlignment="1">
      <alignment horizontal="right" vertical="center"/>
    </xf>
    <xf numFmtId="166" fontId="0" fillId="4" borderId="29" xfId="0" applyNumberFormat="1" applyFill="1" applyBorder="1" applyAlignment="1">
      <alignment horizontal="right" vertical="center"/>
    </xf>
    <xf numFmtId="166" fontId="56" fillId="0" borderId="118" xfId="0" applyNumberFormat="1" applyFont="1" applyBorder="1" applyAlignment="1">
      <alignment horizontal="right" vertical="center"/>
    </xf>
    <xf numFmtId="0" fontId="56" fillId="0" borderId="10" xfId="0" applyFont="1" applyBorder="1" applyAlignment="1">
      <alignment horizontal="right" vertical="center"/>
    </xf>
    <xf numFmtId="0" fontId="56" fillId="0" borderId="10" xfId="0" applyFont="1" applyBorder="1" applyAlignment="1">
      <alignment horizontal="left" vertical="center"/>
    </xf>
    <xf numFmtId="3" fontId="56" fillId="0" borderId="10" xfId="0" applyNumberFormat="1" applyFont="1" applyBorder="1" applyAlignment="1">
      <alignment horizontal="right" vertical="center"/>
    </xf>
    <xf numFmtId="3" fontId="56" fillId="0" borderId="10" xfId="0" applyNumberFormat="1" applyFont="1" applyBorder="1" applyAlignment="1">
      <alignment horizontal="right" vertical="center" wrapText="1"/>
    </xf>
    <xf numFmtId="3" fontId="0" fillId="0" borderId="117" xfId="0" applyNumberFormat="1" applyBorder="1" applyAlignment="1">
      <alignment horizontal="right" vertical="center" wrapText="1"/>
    </xf>
    <xf numFmtId="3" fontId="67" fillId="0" borderId="10" xfId="0" applyNumberFormat="1" applyFont="1" applyBorder="1" applyAlignment="1">
      <alignment horizontal="right" vertical="center"/>
    </xf>
    <xf numFmtId="166" fontId="0" fillId="0" borderId="10" xfId="0" applyNumberFormat="1" applyBorder="1" applyAlignment="1">
      <alignment horizontal="right" vertical="center" wrapText="1"/>
    </xf>
    <xf numFmtId="165" fontId="13" fillId="0" borderId="110" xfId="2" applyNumberFormat="1" applyFont="1" applyFill="1" applyBorder="1" applyAlignment="1">
      <alignment horizontal="right" vertical="center"/>
    </xf>
    <xf numFmtId="165" fontId="13" fillId="0" borderId="27" xfId="2" applyNumberFormat="1" applyFont="1" applyFill="1" applyBorder="1" applyAlignment="1">
      <alignment horizontal="right" vertical="center"/>
    </xf>
    <xf numFmtId="165" fontId="55" fillId="0" borderId="29" xfId="2" applyNumberFormat="1" applyFont="1" applyFill="1" applyBorder="1" applyAlignment="1">
      <alignment horizontal="right" vertical="center"/>
    </xf>
    <xf numFmtId="165" fontId="30" fillId="0" borderId="10" xfId="2" applyNumberFormat="1" applyFont="1" applyFill="1" applyBorder="1" applyAlignment="1">
      <alignment horizontal="right" vertical="center" wrapText="1"/>
    </xf>
    <xf numFmtId="165" fontId="55" fillId="0" borderId="102" xfId="2" applyNumberFormat="1" applyFont="1" applyFill="1" applyBorder="1" applyAlignment="1">
      <alignment horizontal="right" vertical="center" wrapText="1"/>
    </xf>
    <xf numFmtId="0" fontId="16" fillId="0" borderId="0" xfId="0" applyFont="1" applyAlignment="1">
      <alignment horizontal="right" vertical="center"/>
    </xf>
    <xf numFmtId="10" fontId="55" fillId="0" borderId="118" xfId="2" applyNumberFormat="1" applyFont="1" applyFill="1" applyBorder="1" applyAlignment="1">
      <alignment horizontal="right" vertical="center" wrapText="1"/>
    </xf>
    <xf numFmtId="10" fontId="55" fillId="0" borderId="11" xfId="2" applyNumberFormat="1" applyFont="1" applyFill="1" applyBorder="1" applyAlignment="1">
      <alignment horizontal="right" vertical="center" wrapText="1"/>
    </xf>
    <xf numFmtId="0" fontId="88" fillId="0" borderId="10" xfId="0" applyFont="1" applyBorder="1" applyAlignment="1">
      <alignment horizontal="left" vertical="center"/>
    </xf>
    <xf numFmtId="10" fontId="30" fillId="0" borderId="11" xfId="2" applyNumberFormat="1" applyFont="1" applyFill="1" applyBorder="1" applyAlignment="1">
      <alignment horizontal="right" vertical="center" wrapText="1"/>
    </xf>
    <xf numFmtId="10" fontId="30" fillId="0" borderId="10" xfId="2" applyNumberFormat="1" applyFont="1" applyFill="1" applyBorder="1" applyAlignment="1">
      <alignment horizontal="right" vertical="center" wrapText="1"/>
    </xf>
    <xf numFmtId="3" fontId="2" fillId="0" borderId="10" xfId="0" applyNumberFormat="1" applyFont="1" applyBorder="1" applyAlignment="1">
      <alignment horizontal="left" vertical="center"/>
    </xf>
    <xf numFmtId="10" fontId="30" fillId="0" borderId="117" xfId="2" applyNumberFormat="1" applyFont="1" applyFill="1" applyBorder="1" applyAlignment="1">
      <alignment horizontal="right" vertical="center" wrapText="1"/>
    </xf>
    <xf numFmtId="165" fontId="13" fillId="0" borderId="16" xfId="2" applyNumberFormat="1" applyFont="1" applyFill="1" applyBorder="1" applyAlignment="1">
      <alignment vertical="center"/>
    </xf>
    <xf numFmtId="3" fontId="0" fillId="0" borderId="108" xfId="0" applyNumberFormat="1" applyBorder="1" applyAlignment="1">
      <alignment horizontal="right" vertical="center" wrapText="1"/>
    </xf>
    <xf numFmtId="0" fontId="56" fillId="0" borderId="5" xfId="0" applyFont="1" applyBorder="1" applyAlignment="1">
      <alignment horizontal="right" vertical="center"/>
    </xf>
    <xf numFmtId="0" fontId="56" fillId="0" borderId="44" xfId="0" applyFont="1" applyBorder="1" applyAlignment="1">
      <alignment horizontal="left" vertical="center"/>
    </xf>
    <xf numFmtId="165" fontId="123" fillId="0" borderId="44" xfId="2" applyNumberFormat="1" applyFont="1" applyFill="1" applyBorder="1" applyAlignment="1">
      <alignment vertical="center"/>
    </xf>
    <xf numFmtId="165" fontId="55" fillId="0" borderId="5" xfId="2" applyNumberFormat="1" applyFont="1" applyFill="1" applyBorder="1" applyAlignment="1">
      <alignment horizontal="right" vertical="center"/>
    </xf>
    <xf numFmtId="165" fontId="13" fillId="0" borderId="44" xfId="2" applyNumberFormat="1" applyFont="1" applyFill="1" applyBorder="1" applyAlignment="1">
      <alignment horizontal="left" vertical="center"/>
    </xf>
    <xf numFmtId="165" fontId="13" fillId="0" borderId="16" xfId="2" applyNumberFormat="1" applyFont="1" applyFill="1" applyBorder="1" applyAlignment="1">
      <alignment horizontal="right" vertical="center"/>
    </xf>
    <xf numFmtId="165" fontId="13" fillId="0" borderId="5" xfId="2" applyNumberFormat="1" applyFont="1" applyFill="1" applyBorder="1" applyAlignment="1">
      <alignment horizontal="center" vertical="center" wrapText="1"/>
    </xf>
    <xf numFmtId="165" fontId="13" fillId="0" borderId="5" xfId="2" applyNumberFormat="1" applyFont="1" applyFill="1" applyBorder="1" applyAlignment="1">
      <alignment horizontal="left" vertical="center"/>
    </xf>
    <xf numFmtId="165" fontId="13" fillId="0" borderId="108" xfId="2" applyNumberFormat="1" applyFont="1" applyFill="1" applyBorder="1" applyAlignment="1">
      <alignment horizontal="center" vertical="center" wrapText="1"/>
    </xf>
    <xf numFmtId="0" fontId="3" fillId="0" borderId="16" xfId="0" applyFont="1" applyBorder="1" applyAlignment="1">
      <alignment vertical="center"/>
    </xf>
    <xf numFmtId="3" fontId="0" fillId="0" borderId="102" xfId="0" applyNumberFormat="1" applyBorder="1" applyAlignment="1">
      <alignment horizontal="right" vertical="center" wrapText="1"/>
    </xf>
    <xf numFmtId="166" fontId="56" fillId="4" borderId="118" xfId="0" applyNumberFormat="1" applyFont="1" applyFill="1" applyBorder="1" applyAlignment="1">
      <alignment horizontal="right" vertical="center"/>
    </xf>
    <xf numFmtId="0" fontId="56" fillId="0" borderId="0" xfId="0" applyFont="1" applyAlignment="1">
      <alignment horizontal="left" vertical="center"/>
    </xf>
    <xf numFmtId="165" fontId="123" fillId="0" borderId="0" xfId="2" applyNumberFormat="1" applyFont="1" applyFill="1" applyBorder="1" applyAlignment="1">
      <alignment vertical="center"/>
    </xf>
    <xf numFmtId="165" fontId="55" fillId="4" borderId="10" xfId="2" applyNumberFormat="1" applyFont="1" applyFill="1" applyBorder="1" applyAlignment="1">
      <alignment horizontal="right" vertical="center"/>
    </xf>
    <xf numFmtId="165" fontId="13" fillId="0" borderId="0" xfId="2" applyNumberFormat="1" applyFont="1" applyFill="1" applyBorder="1" applyAlignment="1">
      <alignment horizontal="left" vertical="center"/>
    </xf>
    <xf numFmtId="165" fontId="13" fillId="0" borderId="11" xfId="2" applyNumberFormat="1" applyFont="1" applyFill="1" applyBorder="1" applyAlignment="1">
      <alignment horizontal="right" vertical="center"/>
    </xf>
    <xf numFmtId="165" fontId="13" fillId="4" borderId="10" xfId="2" applyNumberFormat="1" applyFont="1" applyFill="1" applyBorder="1" applyAlignment="1">
      <alignment horizontal="center" vertical="center" wrapText="1"/>
    </xf>
    <xf numFmtId="165" fontId="13" fillId="0" borderId="10" xfId="2" applyNumberFormat="1" applyFont="1" applyFill="1" applyBorder="1" applyAlignment="1">
      <alignment horizontal="left" vertical="center"/>
    </xf>
    <xf numFmtId="165" fontId="13" fillId="0" borderId="102" xfId="2" applyNumberFormat="1" applyFont="1" applyFill="1" applyBorder="1" applyAlignment="1">
      <alignment horizontal="center" vertical="center" wrapText="1"/>
    </xf>
    <xf numFmtId="0" fontId="3" fillId="0" borderId="11" xfId="0" applyFont="1" applyBorder="1" applyAlignment="1">
      <alignment vertical="center"/>
    </xf>
    <xf numFmtId="3" fontId="0" fillId="4" borderId="121" xfId="0" applyNumberFormat="1" applyFill="1" applyBorder="1" applyAlignment="1">
      <alignment horizontal="right" vertical="center"/>
    </xf>
    <xf numFmtId="3" fontId="0" fillId="4" borderId="53" xfId="0" applyNumberFormat="1" applyFill="1" applyBorder="1" applyAlignment="1">
      <alignment horizontal="right" vertical="center"/>
    </xf>
    <xf numFmtId="3" fontId="0" fillId="0" borderId="112" xfId="0" applyNumberFormat="1" applyBorder="1" applyAlignment="1">
      <alignment horizontal="right" vertical="center" wrapText="1"/>
    </xf>
    <xf numFmtId="166" fontId="56" fillId="4" borderId="121" xfId="0" applyNumberFormat="1" applyFont="1" applyFill="1" applyBorder="1" applyAlignment="1">
      <alignment horizontal="right" vertical="center"/>
    </xf>
    <xf numFmtId="0" fontId="56" fillId="4" borderId="7" xfId="0" applyFont="1" applyFill="1" applyBorder="1" applyAlignment="1">
      <alignment horizontal="right" vertical="center"/>
    </xf>
    <xf numFmtId="0" fontId="56" fillId="0" borderId="42" xfId="0" applyFont="1" applyBorder="1" applyAlignment="1">
      <alignment horizontal="left" vertical="center"/>
    </xf>
    <xf numFmtId="165" fontId="123" fillId="0" borderId="42" xfId="2" applyNumberFormat="1" applyFont="1" applyFill="1" applyBorder="1" applyAlignment="1">
      <alignment vertical="center"/>
    </xf>
    <xf numFmtId="165" fontId="55" fillId="4" borderId="7" xfId="2" applyNumberFormat="1" applyFont="1" applyFill="1" applyBorder="1" applyAlignment="1">
      <alignment horizontal="right" vertical="center"/>
    </xf>
    <xf numFmtId="165" fontId="13" fillId="0" borderId="42" xfId="2" applyNumberFormat="1" applyFont="1" applyFill="1" applyBorder="1" applyAlignment="1">
      <alignment horizontal="left" vertical="center"/>
    </xf>
    <xf numFmtId="165" fontId="13" fillId="0" borderId="38" xfId="2" applyNumberFormat="1" applyFont="1" applyFill="1" applyBorder="1" applyAlignment="1">
      <alignment horizontal="right" vertical="center"/>
    </xf>
    <xf numFmtId="165" fontId="13" fillId="4" borderId="7" xfId="2" applyNumberFormat="1" applyFont="1" applyFill="1" applyBorder="1" applyAlignment="1">
      <alignment horizontal="center" vertical="center" wrapText="1"/>
    </xf>
    <xf numFmtId="165" fontId="13" fillId="0" borderId="7" xfId="2" applyNumberFormat="1" applyFont="1" applyFill="1" applyBorder="1" applyAlignment="1">
      <alignment horizontal="left" vertical="center"/>
    </xf>
    <xf numFmtId="165" fontId="13" fillId="0" borderId="112" xfId="2" applyNumberFormat="1" applyFont="1" applyFill="1" applyBorder="1" applyAlignment="1">
      <alignment horizontal="center" vertical="center" wrapText="1"/>
    </xf>
    <xf numFmtId="0" fontId="3" fillId="0" borderId="38" xfId="0" applyFont="1" applyBorder="1" applyAlignment="1">
      <alignment vertical="center"/>
    </xf>
    <xf numFmtId="3" fontId="0" fillId="0" borderId="101" xfId="0" applyNumberFormat="1" applyBorder="1" applyAlignment="1">
      <alignment horizontal="right" vertical="center"/>
    </xf>
    <xf numFmtId="165" fontId="9" fillId="0" borderId="0" xfId="0" applyNumberFormat="1" applyFont="1" applyAlignment="1">
      <alignment horizontal="right" vertical="center"/>
    </xf>
    <xf numFmtId="166" fontId="56" fillId="0" borderId="101" xfId="0" applyNumberFormat="1" applyFont="1" applyBorder="1" applyAlignment="1">
      <alignment horizontal="right" vertical="center"/>
    </xf>
    <xf numFmtId="0" fontId="56" fillId="0" borderId="0" xfId="0" applyFont="1" applyAlignment="1">
      <alignment horizontal="right" vertical="center"/>
    </xf>
    <xf numFmtId="165" fontId="55" fillId="0" borderId="0" xfId="2" applyNumberFormat="1" applyFont="1" applyFill="1" applyBorder="1" applyAlignment="1">
      <alignment horizontal="right" vertical="center"/>
    </xf>
    <xf numFmtId="165" fontId="13" fillId="0" borderId="0" xfId="2" applyNumberFormat="1" applyFont="1" applyFill="1" applyBorder="1" applyAlignment="1">
      <alignment horizontal="right" vertical="center"/>
    </xf>
    <xf numFmtId="0" fontId="53" fillId="4" borderId="103" xfId="0" applyFont="1" applyFill="1" applyBorder="1" applyAlignment="1">
      <alignment horizontal="center" vertical="center" wrapText="1"/>
    </xf>
    <xf numFmtId="0" fontId="53" fillId="4" borderId="4" xfId="0" applyFont="1" applyFill="1" applyBorder="1" applyAlignment="1">
      <alignment horizontal="center" vertical="center" wrapText="1"/>
    </xf>
    <xf numFmtId="0" fontId="56" fillId="0" borderId="4" xfId="0" applyFont="1" applyBorder="1" applyAlignment="1">
      <alignment horizontal="left" vertical="center"/>
    </xf>
    <xf numFmtId="0" fontId="0" fillId="0" borderId="3" xfId="0" applyBorder="1" applyAlignment="1">
      <alignment vertical="center"/>
    </xf>
    <xf numFmtId="3" fontId="0" fillId="0" borderId="44" xfId="0" applyNumberFormat="1" applyBorder="1" applyAlignment="1">
      <alignment horizontal="right" vertical="center"/>
    </xf>
    <xf numFmtId="165" fontId="9" fillId="0" borderId="16" xfId="0" applyNumberFormat="1" applyFont="1" applyBorder="1" applyAlignment="1">
      <alignment horizontal="right" vertical="center"/>
    </xf>
    <xf numFmtId="0" fontId="67" fillId="0" borderId="5" xfId="0" applyFont="1" applyBorder="1" applyAlignment="1">
      <alignment horizontal="right" vertical="center"/>
    </xf>
    <xf numFmtId="3" fontId="0" fillId="0" borderId="18" xfId="0" applyNumberFormat="1" applyBorder="1" applyAlignment="1">
      <alignment horizontal="right" vertical="center"/>
    </xf>
    <xf numFmtId="166" fontId="0" fillId="4" borderId="0" xfId="0" applyNumberFormat="1" applyFill="1" applyAlignment="1">
      <alignment horizontal="right" vertical="center"/>
    </xf>
    <xf numFmtId="166" fontId="0" fillId="4" borderId="47" xfId="0" applyNumberFormat="1" applyFill="1" applyBorder="1" applyAlignment="1">
      <alignment horizontal="right" vertical="center"/>
    </xf>
    <xf numFmtId="3" fontId="56" fillId="4" borderId="118" xfId="0" applyNumberFormat="1" applyFont="1" applyFill="1" applyBorder="1" applyAlignment="1">
      <alignment vertical="center"/>
    </xf>
    <xf numFmtId="165" fontId="121" fillId="0" borderId="0" xfId="2" applyNumberFormat="1" applyFont="1" applyFill="1" applyBorder="1" applyAlignment="1">
      <alignment vertical="center"/>
    </xf>
    <xf numFmtId="3" fontId="125" fillId="0" borderId="18" xfId="5" applyNumberFormat="1" applyFont="1" applyFill="1" applyBorder="1" applyAlignment="1">
      <alignment horizontal="right" vertical="center"/>
    </xf>
    <xf numFmtId="3" fontId="1" fillId="4" borderId="10" xfId="5" applyNumberFormat="1" applyFont="1" applyFill="1" applyBorder="1" applyAlignment="1">
      <alignment horizontal="right" vertical="center"/>
    </xf>
    <xf numFmtId="3" fontId="28" fillId="0" borderId="18" xfId="5" applyNumberFormat="1" applyFont="1" applyFill="1" applyBorder="1" applyAlignment="1">
      <alignment horizontal="right" vertical="center"/>
    </xf>
    <xf numFmtId="3" fontId="45" fillId="0" borderId="117" xfId="0" applyNumberFormat="1" applyFont="1" applyBorder="1" applyAlignment="1">
      <alignment horizontal="right" vertical="center" wrapText="1"/>
    </xf>
    <xf numFmtId="3" fontId="56" fillId="4" borderId="18" xfId="0" applyNumberFormat="1" applyFont="1" applyFill="1" applyBorder="1" applyAlignment="1">
      <alignment horizontal="right" vertical="center"/>
    </xf>
    <xf numFmtId="3" fontId="45" fillId="4" borderId="18" xfId="0" applyNumberFormat="1" applyFont="1" applyFill="1" applyBorder="1" applyAlignment="1">
      <alignment horizontal="right" vertical="center"/>
    </xf>
    <xf numFmtId="166" fontId="0" fillId="4" borderId="30" xfId="0" applyNumberFormat="1" applyFill="1" applyBorder="1" applyAlignment="1">
      <alignment horizontal="right" vertical="center"/>
    </xf>
    <xf numFmtId="3" fontId="0" fillId="0" borderId="118" xfId="0" applyNumberFormat="1" applyBorder="1" applyAlignment="1">
      <alignment horizontal="right" vertical="center"/>
    </xf>
    <xf numFmtId="165" fontId="9" fillId="0" borderId="11" xfId="0" applyNumberFormat="1" applyFont="1" applyBorder="1" applyAlignment="1">
      <alignment horizontal="right" vertical="center"/>
    </xf>
    <xf numFmtId="3" fontId="0" fillId="0" borderId="102" xfId="0" applyNumberFormat="1" applyBorder="1" applyAlignment="1">
      <alignment vertical="center"/>
    </xf>
    <xf numFmtId="0" fontId="67" fillId="0" borderId="118" xfId="0" applyFont="1" applyBorder="1" applyAlignment="1">
      <alignment horizontal="right" vertical="center"/>
    </xf>
    <xf numFmtId="0" fontId="67" fillId="0" borderId="10" xfId="0" applyFont="1" applyBorder="1" applyAlignment="1">
      <alignment horizontal="right" vertical="center"/>
    </xf>
    <xf numFmtId="0" fontId="67" fillId="0" borderId="10" xfId="0" applyFont="1" applyBorder="1" applyAlignment="1">
      <alignment horizontal="left" vertical="center"/>
    </xf>
    <xf numFmtId="3" fontId="0" fillId="4" borderId="47" xfId="0" applyNumberFormat="1" applyFill="1" applyBorder="1" applyAlignment="1">
      <alignment horizontal="right" vertical="center"/>
    </xf>
    <xf numFmtId="3" fontId="0" fillId="4" borderId="48" xfId="0" applyNumberFormat="1" applyFill="1" applyBorder="1" applyAlignment="1">
      <alignment horizontal="right" vertical="center"/>
    </xf>
    <xf numFmtId="0" fontId="0" fillId="4" borderId="118" xfId="0" applyFill="1" applyBorder="1" applyAlignment="1">
      <alignment horizontal="right" vertical="center"/>
    </xf>
    <xf numFmtId="0" fontId="0" fillId="4" borderId="10" xfId="0" applyFill="1" applyBorder="1" applyAlignment="1">
      <alignment horizontal="right" vertical="center"/>
    </xf>
    <xf numFmtId="0" fontId="0" fillId="0" borderId="10" xfId="0" applyBorder="1" applyAlignment="1">
      <alignment horizontal="left" vertical="center"/>
    </xf>
    <xf numFmtId="3" fontId="0" fillId="4" borderId="24" xfId="0" applyNumberFormat="1" applyFill="1" applyBorder="1" applyAlignment="1">
      <alignment horizontal="right" vertical="center"/>
    </xf>
    <xf numFmtId="3" fontId="0" fillId="4" borderId="25" xfId="0" applyNumberFormat="1" applyFill="1" applyBorder="1" applyAlignment="1">
      <alignment horizontal="right" vertical="center"/>
    </xf>
    <xf numFmtId="3" fontId="0" fillId="4" borderId="30" xfId="0" applyNumberFormat="1" applyFill="1" applyBorder="1" applyAlignment="1">
      <alignment horizontal="right" vertical="center"/>
    </xf>
    <xf numFmtId="3" fontId="0" fillId="4" borderId="31" xfId="0" applyNumberFormat="1" applyFill="1" applyBorder="1" applyAlignment="1">
      <alignment horizontal="right" vertical="center"/>
    </xf>
    <xf numFmtId="3" fontId="0" fillId="4" borderId="36" xfId="0" applyNumberFormat="1" applyFill="1" applyBorder="1" applyAlignment="1">
      <alignment horizontal="right" vertical="center"/>
    </xf>
    <xf numFmtId="3" fontId="0" fillId="0" borderId="120" xfId="0" applyNumberFormat="1" applyBorder="1" applyAlignment="1">
      <alignment vertical="center"/>
    </xf>
    <xf numFmtId="165" fontId="9" fillId="0" borderId="16" xfId="2" applyNumberFormat="1" applyFont="1" applyFill="1" applyBorder="1" applyAlignment="1">
      <alignment horizontal="right" vertical="center"/>
    </xf>
    <xf numFmtId="0" fontId="3" fillId="0" borderId="114" xfId="0" applyFont="1" applyBorder="1" applyAlignment="1">
      <alignment horizontal="right" vertical="center"/>
    </xf>
    <xf numFmtId="0" fontId="3" fillId="0" borderId="16" xfId="0" applyFont="1" applyBorder="1" applyAlignment="1">
      <alignment horizontal="right" vertical="center"/>
    </xf>
    <xf numFmtId="0" fontId="31" fillId="0" borderId="0" xfId="0" applyFont="1" applyAlignment="1">
      <alignment horizontal="right" vertical="center"/>
    </xf>
    <xf numFmtId="3" fontId="0" fillId="0" borderId="115" xfId="0" applyNumberFormat="1" applyBorder="1" applyAlignment="1">
      <alignment horizontal="right" vertical="center" wrapText="1"/>
    </xf>
    <xf numFmtId="3" fontId="2" fillId="4" borderId="116" xfId="0" applyNumberFormat="1" applyFont="1" applyFill="1" applyBorder="1" applyAlignment="1">
      <alignment horizontal="right" vertical="center"/>
    </xf>
    <xf numFmtId="3" fontId="2" fillId="4" borderId="48" xfId="0" applyNumberFormat="1" applyFont="1" applyFill="1" applyBorder="1" applyAlignment="1">
      <alignment horizontal="right" vertical="center"/>
    </xf>
    <xf numFmtId="0" fontId="0" fillId="4" borderId="101" xfId="0" applyFill="1" applyBorder="1" applyAlignment="1">
      <alignment horizontal="right" vertical="center"/>
    </xf>
    <xf numFmtId="0" fontId="0" fillId="4" borderId="11" xfId="0" applyFill="1" applyBorder="1" applyAlignment="1">
      <alignment horizontal="right" vertical="center"/>
    </xf>
    <xf numFmtId="165" fontId="9" fillId="0" borderId="0" xfId="2" applyNumberFormat="1" applyFont="1" applyFill="1" applyBorder="1" applyAlignment="1">
      <alignment horizontal="right" vertical="center"/>
    </xf>
    <xf numFmtId="3" fontId="0" fillId="0" borderId="117" xfId="0" applyNumberFormat="1" applyBorder="1" applyAlignment="1">
      <alignment vertical="center"/>
    </xf>
    <xf numFmtId="3" fontId="2" fillId="4" borderId="24" xfId="0" applyNumberFormat="1" applyFont="1" applyFill="1" applyBorder="1" applyAlignment="1">
      <alignment horizontal="right" vertical="center"/>
    </xf>
    <xf numFmtId="3" fontId="2" fillId="4" borderId="121" xfId="0" applyNumberFormat="1" applyFont="1" applyFill="1" applyBorder="1" applyAlignment="1">
      <alignment horizontal="right" vertical="center"/>
    </xf>
    <xf numFmtId="3" fontId="2" fillId="4" borderId="30" xfId="0" applyNumberFormat="1" applyFont="1" applyFill="1" applyBorder="1" applyAlignment="1">
      <alignment horizontal="right" vertical="center"/>
    </xf>
    <xf numFmtId="3" fontId="2" fillId="4" borderId="50" xfId="0" applyNumberFormat="1" applyFont="1" applyFill="1" applyBorder="1" applyAlignment="1">
      <alignment horizontal="right" vertical="center"/>
    </xf>
    <xf numFmtId="0" fontId="0" fillId="4" borderId="119" xfId="0" applyFill="1" applyBorder="1" applyAlignment="1">
      <alignment horizontal="right" vertical="center"/>
    </xf>
    <xf numFmtId="0" fontId="0" fillId="4" borderId="38" xfId="0" applyFill="1" applyBorder="1" applyAlignment="1">
      <alignment horizontal="right" vertical="center"/>
    </xf>
    <xf numFmtId="9" fontId="2" fillId="0" borderId="113" xfId="2" applyFont="1" applyFill="1" applyBorder="1" applyAlignment="1">
      <alignment horizontal="right" vertical="center"/>
    </xf>
    <xf numFmtId="9" fontId="2" fillId="0" borderId="43" xfId="2" applyFont="1" applyFill="1" applyBorder="1" applyAlignment="1">
      <alignment horizontal="right" vertical="center"/>
    </xf>
    <xf numFmtId="3" fontId="0" fillId="0" borderId="108" xfId="0" applyNumberFormat="1" applyBorder="1" applyAlignment="1">
      <alignment vertical="center"/>
    </xf>
    <xf numFmtId="0" fontId="3" fillId="0" borderId="114" xfId="0" applyFont="1" applyBorder="1" applyAlignment="1">
      <alignment horizontal="left" vertical="center"/>
    </xf>
    <xf numFmtId="165" fontId="20" fillId="0" borderId="5" xfId="2" applyNumberFormat="1" applyFont="1" applyFill="1" applyBorder="1" applyAlignment="1">
      <alignment horizontal="right" vertical="center"/>
    </xf>
    <xf numFmtId="165" fontId="20" fillId="0" borderId="5" xfId="2" applyNumberFormat="1" applyFont="1" applyFill="1" applyBorder="1" applyAlignment="1">
      <alignment horizontal="left" vertical="center"/>
    </xf>
    <xf numFmtId="165" fontId="20" fillId="0" borderId="115" xfId="2" applyNumberFormat="1" applyFont="1" applyFill="1" applyBorder="1" applyAlignment="1">
      <alignment horizontal="right" vertical="center" wrapText="1"/>
    </xf>
    <xf numFmtId="166" fontId="0" fillId="0" borderId="18" xfId="0" applyNumberFormat="1" applyBorder="1" applyAlignment="1">
      <alignment horizontal="right" vertical="center"/>
    </xf>
    <xf numFmtId="165" fontId="30" fillId="0" borderId="11" xfId="2" applyNumberFormat="1" applyFont="1" applyFill="1" applyBorder="1" applyAlignment="1">
      <alignment vertical="center"/>
    </xf>
    <xf numFmtId="166" fontId="0" fillId="0" borderId="102" xfId="0" applyNumberFormat="1" applyBorder="1" applyAlignment="1">
      <alignment horizontal="right" vertical="center" wrapText="1"/>
    </xf>
    <xf numFmtId="167" fontId="0" fillId="4" borderId="101" xfId="5" applyNumberFormat="1" applyFont="1" applyFill="1" applyBorder="1" applyAlignment="1">
      <alignment horizontal="right" vertical="center"/>
    </xf>
    <xf numFmtId="167" fontId="2" fillId="0" borderId="11" xfId="0" applyNumberFormat="1" applyFont="1" applyBorder="1" applyAlignment="1">
      <alignment horizontal="right" vertical="center"/>
    </xf>
    <xf numFmtId="167" fontId="0" fillId="4" borderId="10" xfId="5" applyNumberFormat="1" applyFont="1" applyFill="1" applyBorder="1" applyAlignment="1">
      <alignment horizontal="right" vertical="center" indent="3"/>
    </xf>
    <xf numFmtId="3" fontId="2" fillId="0" borderId="117" xfId="0" applyNumberFormat="1" applyFont="1" applyBorder="1" applyAlignment="1">
      <alignment vertical="center"/>
    </xf>
    <xf numFmtId="167" fontId="56" fillId="4" borderId="10" xfId="5" applyNumberFormat="1" applyFont="1" applyFill="1" applyBorder="1" applyAlignment="1">
      <alignment horizontal="right" vertical="center" indent="3"/>
    </xf>
    <xf numFmtId="0" fontId="0" fillId="0" borderId="11" xfId="0" applyBorder="1" applyAlignment="1">
      <alignment horizontal="left" vertical="center"/>
    </xf>
    <xf numFmtId="3" fontId="0" fillId="0" borderId="53" xfId="0" applyNumberFormat="1" applyBorder="1" applyAlignment="1">
      <alignment horizontal="right" vertical="center"/>
    </xf>
    <xf numFmtId="3" fontId="0" fillId="0" borderId="42" xfId="0" applyNumberFormat="1" applyBorder="1" applyAlignment="1">
      <alignment horizontal="right" vertical="center"/>
    </xf>
    <xf numFmtId="0" fontId="0" fillId="0" borderId="38" xfId="0" applyBorder="1" applyAlignment="1">
      <alignment horizontal="right" vertical="center"/>
    </xf>
    <xf numFmtId="0" fontId="0" fillId="0" borderId="38" xfId="0" applyBorder="1" applyAlignment="1">
      <alignment horizontal="left" vertical="center"/>
    </xf>
    <xf numFmtId="3" fontId="23" fillId="4" borderId="7" xfId="0" applyNumberFormat="1" applyFont="1" applyFill="1" applyBorder="1" applyAlignment="1">
      <alignment horizontal="right" vertical="center"/>
    </xf>
    <xf numFmtId="3" fontId="23" fillId="0" borderId="7" xfId="0" applyNumberFormat="1" applyFont="1" applyBorder="1" applyAlignment="1">
      <alignment horizontal="right" vertical="center"/>
    </xf>
    <xf numFmtId="3" fontId="23" fillId="0" borderId="10" xfId="0" applyNumberFormat="1" applyFont="1" applyBorder="1" applyAlignment="1">
      <alignment horizontal="left" vertical="center"/>
    </xf>
    <xf numFmtId="3" fontId="23" fillId="0" borderId="7" xfId="0" applyNumberFormat="1" applyFont="1" applyBorder="1" applyAlignment="1">
      <alignment horizontal="left" vertical="center"/>
    </xf>
    <xf numFmtId="3" fontId="0" fillId="0" borderId="120" xfId="0" applyNumberFormat="1" applyBorder="1" applyAlignment="1">
      <alignment horizontal="right" vertical="center" wrapText="1"/>
    </xf>
    <xf numFmtId="165" fontId="20" fillId="4" borderId="111" xfId="2" applyNumberFormat="1" applyFont="1" applyFill="1" applyBorder="1" applyAlignment="1">
      <alignment horizontal="right" vertical="center"/>
    </xf>
    <xf numFmtId="165" fontId="20" fillId="4" borderId="36" xfId="2" applyNumberFormat="1" applyFont="1" applyFill="1" applyBorder="1" applyAlignment="1">
      <alignment horizontal="right" vertical="center"/>
    </xf>
    <xf numFmtId="165" fontId="20" fillId="4" borderId="37" xfId="2" applyNumberFormat="1" applyFont="1" applyFill="1" applyBorder="1" applyAlignment="1">
      <alignment horizontal="right" vertical="center"/>
    </xf>
    <xf numFmtId="165" fontId="20" fillId="0" borderId="112" xfId="2" applyNumberFormat="1" applyFont="1" applyBorder="1" applyAlignment="1">
      <alignment horizontal="right" vertical="center" wrapText="1"/>
    </xf>
    <xf numFmtId="0" fontId="0" fillId="0" borderId="119" xfId="0" applyBorder="1" applyAlignment="1">
      <alignment horizontal="right" vertical="center"/>
    </xf>
    <xf numFmtId="0" fontId="3" fillId="6" borderId="43" xfId="0" applyFont="1" applyFill="1" applyBorder="1" applyAlignment="1">
      <alignment horizontal="left" vertical="center"/>
    </xf>
    <xf numFmtId="0" fontId="3" fillId="6" borderId="16" xfId="0" applyFont="1" applyFill="1" applyBorder="1" applyAlignment="1">
      <alignment horizontal="left" vertical="center"/>
    </xf>
    <xf numFmtId="3" fontId="0" fillId="6" borderId="107" xfId="0" applyNumberFormat="1" applyFill="1" applyBorder="1" applyAlignment="1">
      <alignment horizontal="right" vertical="center"/>
    </xf>
    <xf numFmtId="3" fontId="0" fillId="6" borderId="12" xfId="0" applyNumberFormat="1" applyFill="1" applyBorder="1" applyAlignment="1">
      <alignment horizontal="right" vertical="center"/>
    </xf>
    <xf numFmtId="3" fontId="0" fillId="6" borderId="15" xfId="0" applyNumberFormat="1" applyFill="1" applyBorder="1" applyAlignment="1">
      <alignment horizontal="right" vertical="center"/>
    </xf>
    <xf numFmtId="165" fontId="9" fillId="0" borderId="13" xfId="0" applyNumberFormat="1" applyFont="1" applyBorder="1" applyAlignment="1">
      <alignment horizontal="right" vertical="center"/>
    </xf>
    <xf numFmtId="0" fontId="3" fillId="6" borderId="114" xfId="0" applyFont="1" applyFill="1" applyBorder="1" applyAlignment="1">
      <alignment horizontal="right" vertical="center"/>
    </xf>
    <xf numFmtId="0" fontId="3" fillId="6" borderId="16" xfId="0" applyFont="1" applyFill="1" applyBorder="1" applyAlignment="1">
      <alignment horizontal="right" vertical="center"/>
    </xf>
    <xf numFmtId="3" fontId="23" fillId="6" borderId="69" xfId="0" applyNumberFormat="1" applyFont="1" applyFill="1" applyBorder="1" applyAlignment="1">
      <alignment horizontal="right" vertical="center"/>
    </xf>
    <xf numFmtId="3" fontId="23" fillId="6" borderId="122" xfId="0" applyNumberFormat="1" applyFont="1" applyFill="1" applyBorder="1" applyAlignment="1">
      <alignment horizontal="right" vertical="center"/>
    </xf>
    <xf numFmtId="0" fontId="0" fillId="6" borderId="21" xfId="0" applyFill="1" applyBorder="1" applyAlignment="1">
      <alignment horizontal="right" vertical="center"/>
    </xf>
    <xf numFmtId="3" fontId="23" fillId="6" borderId="109" xfId="0" applyNumberFormat="1" applyFont="1" applyFill="1" applyBorder="1" applyAlignment="1">
      <alignment horizontal="right" vertical="center"/>
    </xf>
    <xf numFmtId="3" fontId="23" fillId="6" borderId="24" xfId="0" applyNumberFormat="1" applyFont="1" applyFill="1" applyBorder="1" applyAlignment="1">
      <alignment horizontal="right" vertical="center"/>
    </xf>
    <xf numFmtId="3" fontId="23" fillId="6" borderId="25" xfId="0" applyNumberFormat="1" applyFont="1" applyFill="1" applyBorder="1" applyAlignment="1">
      <alignment horizontal="right" vertical="center"/>
    </xf>
    <xf numFmtId="165" fontId="13" fillId="0" borderId="22" xfId="2" applyNumberFormat="1" applyFont="1" applyFill="1" applyBorder="1" applyAlignment="1">
      <alignment vertical="center"/>
    </xf>
    <xf numFmtId="0" fontId="0" fillId="6" borderId="101" xfId="0" applyFill="1" applyBorder="1" applyAlignment="1">
      <alignment horizontal="right" vertical="center"/>
    </xf>
    <xf numFmtId="0" fontId="0" fillId="6" borderId="11" xfId="0" applyFill="1" applyBorder="1" applyAlignment="1">
      <alignment horizontal="right" vertical="center"/>
    </xf>
    <xf numFmtId="3" fontId="23" fillId="6" borderId="123" xfId="0" applyNumberFormat="1" applyFont="1" applyFill="1" applyBorder="1" applyAlignment="1">
      <alignment horizontal="right" vertical="center"/>
    </xf>
    <xf numFmtId="3" fontId="0" fillId="6" borderId="24" xfId="0" applyNumberFormat="1" applyFill="1" applyBorder="1" applyAlignment="1">
      <alignment horizontal="right" vertical="center"/>
    </xf>
    <xf numFmtId="3" fontId="0" fillId="6" borderId="25" xfId="0" applyNumberFormat="1" applyFill="1" applyBorder="1" applyAlignment="1">
      <alignment horizontal="right" vertical="center"/>
    </xf>
    <xf numFmtId="0" fontId="0" fillId="6" borderId="27" xfId="0" applyFill="1" applyBorder="1" applyAlignment="1">
      <alignment horizontal="right" vertical="center"/>
    </xf>
    <xf numFmtId="0" fontId="0" fillId="6" borderId="33" xfId="0" applyFill="1" applyBorder="1" applyAlignment="1">
      <alignment horizontal="right" vertical="center"/>
    </xf>
    <xf numFmtId="0" fontId="0" fillId="6" borderId="34" xfId="0" applyFill="1" applyBorder="1" applyAlignment="1">
      <alignment horizontal="right" vertical="center"/>
    </xf>
    <xf numFmtId="3" fontId="0" fillId="6" borderId="36" xfId="0" applyNumberFormat="1" applyFill="1" applyBorder="1" applyAlignment="1">
      <alignment horizontal="right" vertical="center"/>
    </xf>
    <xf numFmtId="3" fontId="0" fillId="6" borderId="37" xfId="0" applyNumberFormat="1" applyFill="1" applyBorder="1" applyAlignment="1">
      <alignment horizontal="right" vertical="center"/>
    </xf>
    <xf numFmtId="165" fontId="13" fillId="0" borderId="34" xfId="2" applyNumberFormat="1" applyFont="1" applyFill="1" applyBorder="1" applyAlignment="1">
      <alignment vertical="center"/>
    </xf>
    <xf numFmtId="0" fontId="0" fillId="6" borderId="119" xfId="0" applyFill="1" applyBorder="1" applyAlignment="1">
      <alignment horizontal="right" vertical="center"/>
    </xf>
    <xf numFmtId="0" fontId="0" fillId="6" borderId="38" xfId="0" applyFill="1" applyBorder="1" applyAlignment="1">
      <alignment horizontal="right" vertical="center"/>
    </xf>
    <xf numFmtId="3" fontId="23" fillId="6" borderId="36" xfId="0" applyNumberFormat="1" applyFont="1" applyFill="1" applyBorder="1" applyAlignment="1">
      <alignment horizontal="right" vertical="center"/>
    </xf>
    <xf numFmtId="3" fontId="23" fillId="6" borderId="124" xfId="0" applyNumberFormat="1" applyFont="1" applyFill="1" applyBorder="1" applyAlignment="1">
      <alignment horizontal="right" vertical="center"/>
    </xf>
    <xf numFmtId="3" fontId="0" fillId="0" borderId="114" xfId="0" applyNumberFormat="1" applyBorder="1" applyAlignment="1">
      <alignment horizontal="right" vertical="center"/>
    </xf>
    <xf numFmtId="3" fontId="0" fillId="0" borderId="16" xfId="0" applyNumberFormat="1" applyBorder="1" applyAlignment="1">
      <alignment vertical="center"/>
    </xf>
    <xf numFmtId="3" fontId="0" fillId="0" borderId="16" xfId="0" applyNumberFormat="1" applyBorder="1" applyAlignment="1">
      <alignment horizontal="right" vertical="center"/>
    </xf>
    <xf numFmtId="3" fontId="0" fillId="0" borderId="44" xfId="0" applyNumberFormat="1" applyBorder="1" applyAlignment="1">
      <alignment horizontal="left" vertical="center"/>
    </xf>
    <xf numFmtId="166" fontId="18" fillId="0" borderId="118" xfId="0" applyNumberFormat="1" applyFont="1" applyBorder="1" applyAlignment="1">
      <alignment horizontal="right" vertical="center"/>
    </xf>
    <xf numFmtId="166" fontId="18" fillId="0" borderId="18" xfId="0" applyNumberFormat="1" applyFont="1" applyBorder="1" applyAlignment="1">
      <alignment horizontal="right" vertical="center"/>
    </xf>
    <xf numFmtId="166" fontId="9" fillId="0" borderId="11" xfId="0" applyNumberFormat="1" applyFont="1" applyBorder="1" applyAlignment="1">
      <alignment horizontal="right" vertical="center"/>
    </xf>
    <xf numFmtId="166" fontId="18" fillId="0" borderId="102" xfId="0" applyNumberFormat="1" applyFont="1" applyBorder="1" applyAlignment="1">
      <alignment horizontal="right" vertical="center"/>
    </xf>
    <xf numFmtId="3" fontId="18" fillId="0" borderId="101" xfId="0" applyNumberFormat="1" applyFont="1" applyBorder="1" applyAlignment="1">
      <alignment horizontal="right" vertical="center"/>
    </xf>
    <xf numFmtId="3" fontId="18" fillId="0" borderId="11" xfId="0" applyNumberFormat="1" applyFont="1" applyBorder="1" applyAlignment="1">
      <alignment horizontal="right" vertical="center"/>
    </xf>
    <xf numFmtId="3" fontId="18" fillId="0" borderId="18" xfId="0" applyNumberFormat="1" applyFont="1" applyBorder="1" applyAlignment="1">
      <alignment horizontal="right" vertical="center"/>
    </xf>
    <xf numFmtId="3" fontId="18" fillId="0" borderId="0" xfId="0" applyNumberFormat="1" applyFont="1" applyAlignment="1">
      <alignment horizontal="left" vertical="center"/>
    </xf>
    <xf numFmtId="3" fontId="18" fillId="0" borderId="102" xfId="0" applyNumberFormat="1" applyFont="1" applyBorder="1" applyAlignment="1">
      <alignment horizontal="right" vertical="center"/>
    </xf>
    <xf numFmtId="166" fontId="35" fillId="0" borderId="0" xfId="0" applyNumberFormat="1" applyFont="1" applyAlignment="1">
      <alignment horizontal="right" vertical="center"/>
    </xf>
    <xf numFmtId="166" fontId="18" fillId="0" borderId="0" xfId="0" applyNumberFormat="1" applyFont="1" applyAlignment="1">
      <alignment horizontal="left" vertical="center"/>
    </xf>
    <xf numFmtId="166" fontId="9" fillId="0" borderId="0" xfId="0" applyNumberFormat="1" applyFont="1" applyAlignment="1">
      <alignment horizontal="right" vertical="center"/>
    </xf>
    <xf numFmtId="166" fontId="0" fillId="0" borderId="0" xfId="0" applyNumberFormat="1" applyAlignment="1">
      <alignment vertical="center"/>
    </xf>
    <xf numFmtId="166" fontId="24" fillId="0" borderId="118" xfId="0" applyNumberFormat="1" applyFont="1" applyBorder="1" applyAlignment="1">
      <alignment horizontal="right" vertical="center"/>
    </xf>
    <xf numFmtId="166" fontId="24" fillId="0" borderId="18" xfId="0" applyNumberFormat="1" applyFont="1" applyBorder="1" applyAlignment="1">
      <alignment horizontal="right" vertical="center"/>
    </xf>
    <xf numFmtId="166" fontId="10" fillId="0" borderId="11" xfId="0" applyNumberFormat="1" applyFont="1" applyBorder="1" applyAlignment="1">
      <alignment horizontal="right" vertical="center"/>
    </xf>
    <xf numFmtId="166" fontId="24" fillId="0" borderId="102" xfId="0" applyNumberFormat="1" applyFont="1" applyBorder="1" applyAlignment="1">
      <alignment horizontal="right" vertical="center"/>
    </xf>
    <xf numFmtId="3" fontId="24" fillId="0" borderId="101" xfId="0" applyNumberFormat="1" applyFont="1" applyBorder="1" applyAlignment="1">
      <alignment horizontal="right" vertical="center"/>
    </xf>
    <xf numFmtId="3" fontId="24" fillId="0" borderId="11" xfId="0" applyNumberFormat="1" applyFont="1" applyBorder="1" applyAlignment="1">
      <alignment horizontal="right" vertical="center"/>
    </xf>
    <xf numFmtId="3" fontId="24" fillId="0" borderId="18" xfId="0" applyNumberFormat="1" applyFont="1" applyBorder="1" applyAlignment="1">
      <alignment horizontal="right" vertical="center"/>
    </xf>
    <xf numFmtId="3" fontId="24" fillId="0" borderId="0" xfId="0" applyNumberFormat="1" applyFont="1" applyAlignment="1">
      <alignment horizontal="left" vertical="center"/>
    </xf>
    <xf numFmtId="165" fontId="10" fillId="0" borderId="0" xfId="0" applyNumberFormat="1" applyFont="1" applyAlignment="1">
      <alignment horizontal="right" vertical="center"/>
    </xf>
    <xf numFmtId="3" fontId="24" fillId="0" borderId="102" xfId="0" applyNumberFormat="1" applyFont="1" applyBorder="1" applyAlignment="1">
      <alignment horizontal="right" vertical="center"/>
    </xf>
    <xf numFmtId="165" fontId="25" fillId="0" borderId="118" xfId="2" applyNumberFormat="1" applyFont="1" applyFill="1" applyBorder="1" applyAlignment="1">
      <alignment horizontal="right" vertical="center"/>
    </xf>
    <xf numFmtId="165" fontId="25" fillId="0" borderId="0" xfId="2" applyNumberFormat="1" applyFont="1" applyFill="1" applyBorder="1" applyAlignment="1">
      <alignment horizontal="right" vertical="center"/>
    </xf>
    <xf numFmtId="165" fontId="25" fillId="0" borderId="18" xfId="2" applyNumberFormat="1" applyFont="1" applyFill="1" applyBorder="1" applyAlignment="1">
      <alignment horizontal="right" vertical="center"/>
    </xf>
    <xf numFmtId="165" fontId="25" fillId="0" borderId="11" xfId="2" applyNumberFormat="1" applyFont="1" applyFill="1" applyBorder="1" applyAlignment="1">
      <alignment horizontal="right" vertical="center"/>
    </xf>
    <xf numFmtId="165" fontId="25" fillId="0" borderId="117" xfId="2" applyNumberFormat="1" applyFont="1" applyFill="1" applyBorder="1" applyAlignment="1">
      <alignment horizontal="right" vertical="center"/>
    </xf>
    <xf numFmtId="165" fontId="126" fillId="0" borderId="101" xfId="2" applyNumberFormat="1" applyFont="1" applyFill="1" applyBorder="1" applyAlignment="1">
      <alignment horizontal="right" vertical="center"/>
    </xf>
    <xf numFmtId="165" fontId="126" fillId="0" borderId="11" xfId="2" applyNumberFormat="1" applyFont="1" applyFill="1" applyBorder="1" applyAlignment="1">
      <alignment horizontal="right" vertical="center"/>
    </xf>
    <xf numFmtId="0" fontId="127" fillId="0" borderId="0" xfId="0" applyFont="1" applyAlignment="1">
      <alignment horizontal="left" vertical="center"/>
    </xf>
    <xf numFmtId="165" fontId="128" fillId="0" borderId="0" xfId="2" applyNumberFormat="1" applyFont="1" applyFill="1" applyBorder="1" applyAlignment="1">
      <alignment horizontal="right" vertical="center"/>
    </xf>
    <xf numFmtId="165" fontId="126" fillId="0" borderId="18" xfId="2" applyNumberFormat="1" applyFont="1" applyFill="1" applyBorder="1" applyAlignment="1">
      <alignment horizontal="right" vertical="center"/>
    </xf>
    <xf numFmtId="165" fontId="126" fillId="0" borderId="10" xfId="2" applyNumberFormat="1" applyFont="1" applyFill="1" applyBorder="1" applyAlignment="1">
      <alignment horizontal="right" vertical="center"/>
    </xf>
    <xf numFmtId="165" fontId="126" fillId="0" borderId="0" xfId="2" applyNumberFormat="1" applyFont="1" applyFill="1" applyBorder="1" applyAlignment="1">
      <alignment horizontal="left" vertical="center"/>
    </xf>
    <xf numFmtId="165" fontId="126" fillId="0" borderId="0" xfId="2" applyNumberFormat="1" applyFont="1" applyFill="1" applyBorder="1" applyAlignment="1">
      <alignment horizontal="right" vertical="center"/>
    </xf>
    <xf numFmtId="165" fontId="126" fillId="0" borderId="102" xfId="2" applyNumberFormat="1" applyFont="1" applyFill="1" applyBorder="1" applyAlignment="1">
      <alignment horizontal="right" vertical="center"/>
    </xf>
    <xf numFmtId="3" fontId="0" fillId="6" borderId="6" xfId="0" applyNumberFormat="1" applyFill="1" applyBorder="1" applyAlignment="1">
      <alignment vertical="center"/>
    </xf>
    <xf numFmtId="3" fontId="15" fillId="6" borderId="116" xfId="2" applyNumberFormat="1" applyFont="1" applyFill="1" applyBorder="1" applyAlignment="1">
      <alignment horizontal="right" vertical="center"/>
    </xf>
    <xf numFmtId="3" fontId="15" fillId="0" borderId="6" xfId="2" applyNumberFormat="1" applyFont="1" applyFill="1" applyBorder="1" applyAlignment="1">
      <alignment horizontal="right" vertical="center"/>
    </xf>
    <xf numFmtId="3" fontId="15" fillId="6" borderId="47" xfId="2" applyNumberFormat="1" applyFont="1" applyFill="1" applyBorder="1" applyAlignment="1">
      <alignment horizontal="right" vertical="center"/>
    </xf>
    <xf numFmtId="3" fontId="15" fillId="6" borderId="65" xfId="2" applyNumberFormat="1" applyFont="1" applyFill="1" applyBorder="1" applyAlignment="1">
      <alignment horizontal="right" vertical="center"/>
    </xf>
    <xf numFmtId="3" fontId="15" fillId="0" borderId="11" xfId="2" applyNumberFormat="1" applyFont="1" applyFill="1" applyBorder="1" applyAlignment="1">
      <alignment horizontal="right" vertical="center"/>
    </xf>
    <xf numFmtId="3" fontId="15" fillId="6" borderId="17" xfId="2" applyNumberFormat="1" applyFont="1" applyFill="1" applyBorder="1" applyAlignment="1">
      <alignment horizontal="right" vertical="center"/>
    </xf>
    <xf numFmtId="3" fontId="15" fillId="0" borderId="102" xfId="2" applyNumberFormat="1" applyFont="1" applyFill="1" applyBorder="1" applyAlignment="1">
      <alignment horizontal="right" vertical="center"/>
    </xf>
    <xf numFmtId="3" fontId="15" fillId="6" borderId="101" xfId="2" applyNumberFormat="1" applyFont="1" applyFill="1" applyBorder="1" applyAlignment="1">
      <alignment horizontal="right" vertical="center"/>
    </xf>
    <xf numFmtId="3" fontId="15" fillId="6" borderId="11" xfId="2" applyNumberFormat="1" applyFont="1" applyFill="1" applyBorder="1" applyAlignment="1">
      <alignment horizontal="right" vertical="center"/>
    </xf>
    <xf numFmtId="3" fontId="35" fillId="0" borderId="0" xfId="0" applyNumberFormat="1" applyFont="1" applyAlignment="1">
      <alignment horizontal="right" vertical="center"/>
    </xf>
    <xf numFmtId="3" fontId="15" fillId="6" borderId="18" xfId="2" applyNumberFormat="1" applyFont="1" applyFill="1" applyBorder="1" applyAlignment="1">
      <alignment horizontal="right" vertical="center"/>
    </xf>
    <xf numFmtId="3" fontId="15" fillId="0" borderId="0" xfId="2" applyNumberFormat="1" applyFont="1" applyFill="1" applyBorder="1" applyAlignment="1">
      <alignment horizontal="left" vertical="center"/>
    </xf>
    <xf numFmtId="3" fontId="15" fillId="0" borderId="0" xfId="2" applyNumberFormat="1" applyFont="1" applyFill="1" applyBorder="1" applyAlignment="1">
      <alignment horizontal="right" vertical="center"/>
    </xf>
    <xf numFmtId="3" fontId="15" fillId="6" borderId="102" xfId="2" applyNumberFormat="1" applyFont="1" applyFill="1" applyBorder="1" applyAlignment="1">
      <alignment horizontal="right" vertical="center"/>
    </xf>
    <xf numFmtId="165" fontId="0" fillId="6" borderId="8" xfId="2" applyNumberFormat="1" applyFont="1" applyFill="1" applyBorder="1" applyAlignment="1">
      <alignment vertical="center"/>
    </xf>
    <xf numFmtId="165" fontId="0" fillId="6" borderId="22" xfId="2" applyNumberFormat="1" applyFont="1" applyFill="1" applyBorder="1" applyAlignment="1">
      <alignment horizontal="right"/>
    </xf>
    <xf numFmtId="165" fontId="0" fillId="0" borderId="8" xfId="2" applyNumberFormat="1" applyFont="1" applyFill="1" applyBorder="1" applyAlignment="1">
      <alignment vertical="center"/>
    </xf>
    <xf numFmtId="165" fontId="0" fillId="6" borderId="109" xfId="2" applyNumberFormat="1" applyFont="1" applyFill="1" applyBorder="1" applyAlignment="1">
      <alignment vertical="center"/>
    </xf>
    <xf numFmtId="165" fontId="0" fillId="6" borderId="24" xfId="2" applyNumberFormat="1" applyFont="1" applyFill="1" applyBorder="1" applyAlignment="1">
      <alignment vertical="center"/>
    </xf>
    <xf numFmtId="165" fontId="0" fillId="6" borderId="51" xfId="2" applyNumberFormat="1" applyFont="1" applyFill="1" applyBorder="1" applyAlignment="1">
      <alignment vertical="center"/>
    </xf>
    <xf numFmtId="165" fontId="0" fillId="0" borderId="11" xfId="2" applyNumberFormat="1" applyFont="1" applyFill="1" applyBorder="1" applyAlignment="1">
      <alignment vertical="center"/>
    </xf>
    <xf numFmtId="165" fontId="0" fillId="6" borderId="21" xfId="2" applyNumberFormat="1" applyFont="1" applyFill="1" applyBorder="1" applyAlignment="1">
      <alignment vertical="center"/>
    </xf>
    <xf numFmtId="165" fontId="0" fillId="0" borderId="102" xfId="2" applyNumberFormat="1" applyFont="1" applyFill="1" applyBorder="1" applyAlignment="1">
      <alignment vertical="center"/>
    </xf>
    <xf numFmtId="165" fontId="0" fillId="0" borderId="0" xfId="2" applyNumberFormat="1" applyFont="1" applyFill="1" applyBorder="1" applyAlignment="1">
      <alignment horizontal="right" vertical="center"/>
    </xf>
    <xf numFmtId="165" fontId="0" fillId="6" borderId="101" xfId="2" applyNumberFormat="1" applyFont="1" applyFill="1" applyBorder="1" applyAlignment="1">
      <alignment vertical="center"/>
    </xf>
    <xf numFmtId="165" fontId="0" fillId="6" borderId="11" xfId="2" applyNumberFormat="1" applyFont="1" applyFill="1" applyBorder="1" applyAlignment="1">
      <alignment vertical="center"/>
    </xf>
    <xf numFmtId="165" fontId="0" fillId="0" borderId="0" xfId="2" applyNumberFormat="1" applyFont="1" applyFill="1" applyBorder="1" applyAlignment="1">
      <alignment horizontal="left" vertical="center"/>
    </xf>
    <xf numFmtId="165" fontId="35" fillId="0" borderId="0" xfId="2" applyNumberFormat="1" applyFont="1" applyFill="1" applyBorder="1" applyAlignment="1">
      <alignment horizontal="right" vertical="center"/>
    </xf>
    <xf numFmtId="165" fontId="0" fillId="6" borderId="18" xfId="2" applyNumberFormat="1" applyFont="1" applyFill="1" applyBorder="1" applyAlignment="1">
      <alignment vertical="center"/>
    </xf>
    <xf numFmtId="165" fontId="0" fillId="0" borderId="0" xfId="2" applyNumberFormat="1" applyFont="1" applyFill="1" applyBorder="1" applyAlignment="1">
      <alignment vertical="center"/>
    </xf>
    <xf numFmtId="165" fontId="0" fillId="0" borderId="0" xfId="2" applyNumberFormat="1" applyFont="1" applyBorder="1" applyAlignment="1">
      <alignment vertical="center"/>
    </xf>
    <xf numFmtId="165" fontId="0" fillId="6" borderId="102" xfId="2" applyNumberFormat="1" applyFont="1" applyFill="1" applyBorder="1" applyAlignment="1">
      <alignment vertical="center"/>
    </xf>
    <xf numFmtId="0" fontId="0" fillId="6" borderId="8" xfId="0" applyFill="1" applyBorder="1" applyAlignment="1">
      <alignment vertical="center"/>
    </xf>
    <xf numFmtId="0" fontId="0" fillId="6" borderId="109" xfId="0" applyFill="1" applyBorder="1" applyAlignment="1">
      <alignment vertical="center"/>
    </xf>
    <xf numFmtId="0" fontId="0" fillId="6" borderId="24" xfId="0" applyFill="1" applyBorder="1" applyAlignment="1">
      <alignment vertical="center"/>
    </xf>
    <xf numFmtId="0" fontId="0" fillId="6" borderId="51" xfId="0" applyFill="1" applyBorder="1" applyAlignment="1">
      <alignment vertical="center"/>
    </xf>
    <xf numFmtId="0" fontId="0" fillId="6" borderId="21" xfId="0" applyFill="1" applyBorder="1" applyAlignment="1">
      <alignment vertical="center"/>
    </xf>
    <xf numFmtId="0" fontId="0" fillId="6" borderId="101" xfId="0" applyFill="1" applyBorder="1" applyAlignment="1">
      <alignment vertical="center"/>
    </xf>
    <xf numFmtId="0" fontId="0" fillId="6" borderId="11" xfId="0" applyFill="1" applyBorder="1" applyAlignment="1">
      <alignment vertical="center"/>
    </xf>
    <xf numFmtId="0" fontId="0" fillId="6" borderId="18" xfId="0" applyFill="1" applyBorder="1" applyAlignment="1">
      <alignment vertical="center"/>
    </xf>
    <xf numFmtId="0" fontId="0" fillId="6" borderId="102" xfId="0" applyFill="1" applyBorder="1" applyAlignment="1">
      <alignment vertical="center"/>
    </xf>
    <xf numFmtId="3" fontId="9" fillId="6" borderId="109" xfId="0" applyNumberFormat="1" applyFont="1" applyFill="1" applyBorder="1" applyAlignment="1">
      <alignment horizontal="right" vertical="center"/>
    </xf>
    <xf numFmtId="3" fontId="9" fillId="6" borderId="24" xfId="0" applyNumberFormat="1" applyFont="1" applyFill="1" applyBorder="1" applyAlignment="1">
      <alignment horizontal="right" vertical="center"/>
    </xf>
    <xf numFmtId="3" fontId="9" fillId="6" borderId="51" xfId="0" applyNumberFormat="1" applyFont="1" applyFill="1" applyBorder="1" applyAlignment="1">
      <alignment horizontal="right" vertical="center"/>
    </xf>
    <xf numFmtId="3" fontId="9" fillId="6" borderId="21" xfId="0" applyNumberFormat="1" applyFont="1" applyFill="1" applyBorder="1" applyAlignment="1">
      <alignment horizontal="right" vertical="center"/>
    </xf>
    <xf numFmtId="3" fontId="9" fillId="0" borderId="102" xfId="0" applyNumberFormat="1" applyFont="1" applyBorder="1" applyAlignment="1">
      <alignment horizontal="right" vertical="center"/>
    </xf>
    <xf numFmtId="3" fontId="9" fillId="6" borderId="101" xfId="0" applyNumberFormat="1" applyFont="1" applyFill="1" applyBorder="1" applyAlignment="1">
      <alignment horizontal="right" vertical="center"/>
    </xf>
    <xf numFmtId="3" fontId="9" fillId="6" borderId="11" xfId="0" applyNumberFormat="1" applyFont="1" applyFill="1" applyBorder="1" applyAlignment="1">
      <alignment horizontal="right" vertical="center"/>
    </xf>
    <xf numFmtId="3" fontId="9" fillId="6" borderId="18" xfId="0" applyNumberFormat="1" applyFont="1" applyFill="1" applyBorder="1" applyAlignment="1">
      <alignment horizontal="right" vertical="center"/>
    </xf>
    <xf numFmtId="3" fontId="9" fillId="0" borderId="0" xfId="0" applyNumberFormat="1" applyFont="1" applyAlignment="1">
      <alignment horizontal="left" vertical="center"/>
    </xf>
    <xf numFmtId="3" fontId="9" fillId="6" borderId="102" xfId="0" applyNumberFormat="1" applyFont="1" applyFill="1" applyBorder="1" applyAlignment="1">
      <alignment horizontal="right" vertical="center"/>
    </xf>
    <xf numFmtId="165" fontId="15" fillId="6" borderId="125" xfId="2" applyNumberFormat="1" applyFont="1" applyFill="1" applyBorder="1" applyAlignment="1">
      <alignment horizontal="right" vertical="center"/>
    </xf>
    <xf numFmtId="0" fontId="9" fillId="0" borderId="126" xfId="0" applyFont="1" applyBorder="1" applyAlignment="1">
      <alignment horizontal="right" vertical="center"/>
    </xf>
    <xf numFmtId="165" fontId="15" fillId="6" borderId="127" xfId="2" applyNumberFormat="1" applyFont="1" applyFill="1" applyBorder="1" applyAlignment="1">
      <alignment horizontal="right" vertical="center"/>
    </xf>
    <xf numFmtId="165" fontId="15" fillId="6" borderId="128" xfId="2" applyNumberFormat="1" applyFont="1" applyFill="1" applyBorder="1" applyAlignment="1">
      <alignment horizontal="right" vertical="center"/>
    </xf>
    <xf numFmtId="165" fontId="9" fillId="0" borderId="129" xfId="2" applyNumberFormat="1" applyFont="1" applyFill="1" applyBorder="1" applyAlignment="1">
      <alignment horizontal="right" vertical="center"/>
    </xf>
    <xf numFmtId="165" fontId="15" fillId="6" borderId="130" xfId="2" applyNumberFormat="1" applyFont="1" applyFill="1" applyBorder="1" applyAlignment="1">
      <alignment horizontal="right" vertical="center"/>
    </xf>
    <xf numFmtId="165" fontId="15" fillId="0" borderId="131" xfId="2" applyNumberFormat="1" applyFont="1" applyFill="1" applyBorder="1" applyAlignment="1">
      <alignment horizontal="right" vertical="center"/>
    </xf>
    <xf numFmtId="165" fontId="15" fillId="6" borderId="132" xfId="2" applyNumberFormat="1" applyFont="1" applyFill="1" applyBorder="1" applyAlignment="1">
      <alignment horizontal="right" vertical="center"/>
    </xf>
    <xf numFmtId="165" fontId="15" fillId="6" borderId="129" xfId="2" applyNumberFormat="1" applyFont="1" applyFill="1" applyBorder="1" applyAlignment="1">
      <alignment horizontal="right" vertical="center"/>
    </xf>
    <xf numFmtId="0" fontId="0" fillId="0" borderId="92" xfId="0" applyBorder="1" applyAlignment="1">
      <alignment horizontal="left" vertical="center"/>
    </xf>
    <xf numFmtId="0" fontId="35" fillId="0" borderId="92" xfId="0" applyFont="1" applyBorder="1" applyAlignment="1">
      <alignment horizontal="right" vertical="center"/>
    </xf>
    <xf numFmtId="165" fontId="15" fillId="6" borderId="133" xfId="2" applyNumberFormat="1" applyFont="1" applyFill="1" applyBorder="1" applyAlignment="1">
      <alignment horizontal="right" vertical="center"/>
    </xf>
    <xf numFmtId="165" fontId="15" fillId="0" borderId="92" xfId="2" applyNumberFormat="1" applyFont="1" applyFill="1" applyBorder="1" applyAlignment="1">
      <alignment horizontal="left" vertical="center"/>
    </xf>
    <xf numFmtId="165" fontId="9" fillId="0" borderId="92" xfId="2" applyNumberFormat="1" applyFont="1" applyFill="1" applyBorder="1" applyAlignment="1">
      <alignment horizontal="right" vertical="center"/>
    </xf>
    <xf numFmtId="0" fontId="0" fillId="0" borderId="92" xfId="0" applyBorder="1" applyAlignment="1">
      <alignment vertical="center"/>
    </xf>
    <xf numFmtId="165" fontId="15" fillId="6" borderId="131" xfId="2" applyNumberFormat="1" applyFont="1" applyFill="1" applyBorder="1" applyAlignment="1">
      <alignment horizontal="right" vertical="center"/>
    </xf>
    <xf numFmtId="0" fontId="12" fillId="0" borderId="0" xfId="0" applyFont="1" applyAlignment="1">
      <alignment vertical="center" wrapText="1"/>
    </xf>
    <xf numFmtId="0" fontId="3" fillId="6" borderId="4" xfId="0" applyFont="1" applyFill="1" applyBorder="1" applyAlignment="1">
      <alignment horizontal="center" vertical="center"/>
    </xf>
    <xf numFmtId="0" fontId="0" fillId="6" borderId="4" xfId="0" quotePrefix="1" applyFill="1" applyBorder="1" applyAlignment="1">
      <alignment horizontal="center" vertical="center"/>
    </xf>
    <xf numFmtId="0" fontId="12" fillId="6" borderId="5" xfId="0" applyFont="1" applyFill="1" applyBorder="1" applyAlignment="1">
      <alignment horizontal="center" vertical="center" wrapText="1"/>
    </xf>
    <xf numFmtId="0" fontId="129" fillId="0" borderId="5" xfId="3" applyFont="1" applyFill="1" applyBorder="1" applyAlignment="1">
      <alignment horizontal="center" vertical="center" wrapText="1"/>
    </xf>
    <xf numFmtId="0" fontId="29" fillId="0" borderId="4" xfId="3" applyFont="1" applyBorder="1" applyAlignment="1">
      <alignment horizontal="center" vertical="center" wrapText="1"/>
    </xf>
    <xf numFmtId="0" fontId="3" fillId="0" borderId="44" xfId="0" applyFont="1" applyBorder="1" applyAlignment="1">
      <alignment vertical="center" wrapText="1"/>
    </xf>
    <xf numFmtId="166" fontId="0" fillId="6" borderId="13" xfId="0" applyNumberFormat="1" applyFill="1" applyBorder="1" applyAlignment="1">
      <alignment vertical="center" wrapText="1"/>
    </xf>
    <xf numFmtId="0" fontId="3" fillId="6" borderId="12" xfId="0" applyFont="1" applyFill="1" applyBorder="1" applyAlignment="1">
      <alignment vertical="center" wrapText="1"/>
    </xf>
    <xf numFmtId="166" fontId="0" fillId="6" borderId="63" xfId="0" applyNumberFormat="1" applyFill="1" applyBorder="1" applyAlignment="1">
      <alignment horizontal="right" indent="2"/>
    </xf>
    <xf numFmtId="166" fontId="3" fillId="6" borderId="26" xfId="0" applyNumberFormat="1" applyFont="1" applyFill="1" applyBorder="1" applyAlignment="1">
      <alignment horizontal="right" indent="2"/>
    </xf>
    <xf numFmtId="3" fontId="3" fillId="0" borderId="19" xfId="0" applyNumberFormat="1" applyFont="1" applyBorder="1" applyAlignment="1">
      <alignment horizontal="left"/>
    </xf>
    <xf numFmtId="166" fontId="3" fillId="6" borderId="24" xfId="0" applyNumberFormat="1" applyFont="1" applyFill="1" applyBorder="1" applyAlignment="1">
      <alignment horizontal="right" indent="2"/>
    </xf>
    <xf numFmtId="166" fontId="3" fillId="6" borderId="63" xfId="0" applyNumberFormat="1" applyFont="1" applyFill="1" applyBorder="1" applyAlignment="1">
      <alignment horizontal="right" indent="2"/>
    </xf>
    <xf numFmtId="166" fontId="2" fillId="6" borderId="26" xfId="0" applyNumberFormat="1" applyFont="1" applyFill="1" applyBorder="1" applyAlignment="1">
      <alignment horizontal="right" indent="2"/>
    </xf>
    <xf numFmtId="166" fontId="2" fillId="6" borderId="24" xfId="0" applyNumberFormat="1" applyFont="1" applyFill="1" applyBorder="1" applyAlignment="1">
      <alignment horizontal="right" indent="2"/>
    </xf>
    <xf numFmtId="166" fontId="2" fillId="6" borderId="63" xfId="0" applyNumberFormat="1" applyFont="1" applyFill="1" applyBorder="1" applyAlignment="1">
      <alignment horizontal="right" indent="2"/>
    </xf>
    <xf numFmtId="166" fontId="45" fillId="6" borderId="26" xfId="0" applyNumberFormat="1" applyFont="1" applyFill="1" applyBorder="1" applyAlignment="1">
      <alignment horizontal="right" indent="2"/>
    </xf>
    <xf numFmtId="166" fontId="45" fillId="6" borderId="24" xfId="0" applyNumberFormat="1" applyFont="1" applyFill="1" applyBorder="1" applyAlignment="1">
      <alignment horizontal="right" indent="2"/>
    </xf>
    <xf numFmtId="3" fontId="3" fillId="0" borderId="19" xfId="0" applyNumberFormat="1" applyFont="1" applyBorder="1"/>
    <xf numFmtId="166" fontId="0" fillId="6" borderId="81" xfId="0" applyNumberFormat="1" applyFill="1" applyBorder="1" applyAlignment="1">
      <alignment horizontal="right" indent="2"/>
    </xf>
    <xf numFmtId="166" fontId="3" fillId="6" borderId="30" xfId="0" applyNumberFormat="1" applyFont="1" applyFill="1" applyBorder="1" applyAlignment="1">
      <alignment horizontal="right" indent="2"/>
    </xf>
    <xf numFmtId="166" fontId="3" fillId="6" borderId="81" xfId="0" applyNumberFormat="1" applyFont="1" applyFill="1" applyBorder="1" applyAlignment="1">
      <alignment horizontal="right" indent="2"/>
    </xf>
    <xf numFmtId="166" fontId="0" fillId="6" borderId="64" xfId="0" applyNumberFormat="1" applyFill="1" applyBorder="1" applyAlignment="1">
      <alignment horizontal="right" indent="2"/>
    </xf>
    <xf numFmtId="166" fontId="3" fillId="6" borderId="39" xfId="0" applyNumberFormat="1" applyFont="1" applyFill="1" applyBorder="1" applyAlignment="1">
      <alignment horizontal="right" indent="2"/>
    </xf>
    <xf numFmtId="169" fontId="3" fillId="6" borderId="36" xfId="0" applyNumberFormat="1" applyFont="1" applyFill="1" applyBorder="1" applyAlignment="1">
      <alignment horizontal="right" indent="2"/>
    </xf>
    <xf numFmtId="166" fontId="3" fillId="6" borderId="64" xfId="0" applyNumberFormat="1" applyFont="1" applyFill="1" applyBorder="1" applyAlignment="1">
      <alignment horizontal="right" indent="2"/>
    </xf>
    <xf numFmtId="3" fontId="3" fillId="0" borderId="40" xfId="0" applyNumberFormat="1" applyFont="1" applyBorder="1" applyAlignment="1">
      <alignment horizontal="left"/>
    </xf>
    <xf numFmtId="166" fontId="3" fillId="6" borderId="36" xfId="0" applyNumberFormat="1" applyFont="1" applyFill="1" applyBorder="1" applyAlignment="1">
      <alignment horizontal="right" indent="2"/>
    </xf>
    <xf numFmtId="3" fontId="3" fillId="0" borderId="44" xfId="0" applyNumberFormat="1" applyFont="1" applyBorder="1" applyAlignment="1">
      <alignment horizontal="left"/>
    </xf>
    <xf numFmtId="3" fontId="0" fillId="6" borderId="46" xfId="0" applyNumberFormat="1" applyFill="1" applyBorder="1" applyAlignment="1">
      <alignment horizontal="right" indent="2"/>
    </xf>
    <xf numFmtId="166" fontId="3" fillId="4" borderId="25" xfId="0" applyNumberFormat="1" applyFont="1" applyFill="1" applyBorder="1" applyAlignment="1">
      <alignment horizontal="right" indent="2"/>
    </xf>
    <xf numFmtId="166" fontId="3" fillId="4" borderId="21" xfId="0" applyNumberFormat="1" applyFont="1" applyFill="1" applyBorder="1" applyAlignment="1">
      <alignment horizontal="right" indent="2"/>
    </xf>
    <xf numFmtId="166" fontId="3" fillId="4" borderId="22" xfId="0" applyNumberFormat="1" applyFont="1" applyFill="1" applyBorder="1" applyAlignment="1">
      <alignment horizontal="right" indent="2"/>
    </xf>
    <xf numFmtId="3" fontId="0" fillId="6" borderId="10" xfId="0" applyNumberFormat="1" applyFill="1" applyBorder="1" applyAlignment="1">
      <alignment horizontal="right" indent="2"/>
    </xf>
    <xf numFmtId="166" fontId="0" fillId="4" borderId="81" xfId="0" applyNumberFormat="1" applyFill="1" applyBorder="1" applyAlignment="1">
      <alignment horizontal="right" indent="2"/>
    </xf>
    <xf numFmtId="166" fontId="3" fillId="4" borderId="11" xfId="0" applyNumberFormat="1" applyFont="1" applyFill="1" applyBorder="1" applyAlignment="1">
      <alignment horizontal="right" indent="2"/>
    </xf>
    <xf numFmtId="166" fontId="3" fillId="4" borderId="66" xfId="0" applyNumberFormat="1" applyFont="1" applyFill="1" applyBorder="1" applyAlignment="1">
      <alignment horizontal="right" indent="2"/>
    </xf>
    <xf numFmtId="166" fontId="3" fillId="4" borderId="33" xfId="0" applyNumberFormat="1" applyFont="1" applyFill="1" applyBorder="1" applyAlignment="1">
      <alignment horizontal="right" indent="2"/>
    </xf>
    <xf numFmtId="166" fontId="3" fillId="4" borderId="34" xfId="0" applyNumberFormat="1" applyFont="1" applyFill="1" applyBorder="1" applyAlignment="1">
      <alignment horizontal="right" indent="2"/>
    </xf>
    <xf numFmtId="3" fontId="3" fillId="0" borderId="42" xfId="0" applyNumberFormat="1" applyFont="1" applyBorder="1" applyAlignment="1">
      <alignment horizontal="left"/>
    </xf>
    <xf numFmtId="0" fontId="3" fillId="0" borderId="69" xfId="0" applyFont="1" applyBorder="1" applyAlignment="1">
      <alignment horizontal="center" vertical="center" wrapText="1"/>
    </xf>
    <xf numFmtId="3" fontId="0" fillId="0" borderId="71" xfId="0" applyNumberFormat="1" applyBorder="1" applyAlignment="1">
      <alignment horizontal="right" vertical="center" wrapText="1" indent="2"/>
    </xf>
    <xf numFmtId="3" fontId="0" fillId="0" borderId="50" xfId="0" applyNumberFormat="1" applyBorder="1" applyAlignment="1">
      <alignment horizontal="center"/>
    </xf>
    <xf numFmtId="166" fontId="3" fillId="4" borderId="24" xfId="0" applyNumberFormat="1" applyFont="1" applyFill="1" applyBorder="1" applyAlignment="1">
      <alignment horizontal="right" vertical="center" wrapText="1" indent="2"/>
    </xf>
    <xf numFmtId="3" fontId="3" fillId="0" borderId="50" xfId="0" applyNumberFormat="1" applyFont="1" applyBorder="1" applyAlignment="1">
      <alignment horizontal="center"/>
    </xf>
    <xf numFmtId="166" fontId="3" fillId="4" borderId="63" xfId="0" applyNumberFormat="1" applyFont="1" applyFill="1" applyBorder="1" applyAlignment="1">
      <alignment horizontal="right" indent="2"/>
    </xf>
    <xf numFmtId="3" fontId="0" fillId="5" borderId="24" xfId="0" applyNumberFormat="1" applyFill="1" applyBorder="1" applyAlignment="1">
      <alignment horizontal="right" vertical="center" wrapText="1" indent="2"/>
    </xf>
    <xf numFmtId="3" fontId="0" fillId="5" borderId="11" xfId="0" applyNumberFormat="1" applyFill="1" applyBorder="1" applyAlignment="1">
      <alignment horizontal="right" indent="2"/>
    </xf>
    <xf numFmtId="3" fontId="0" fillId="5" borderId="19" xfId="0" applyNumberFormat="1" applyFill="1" applyBorder="1" applyAlignment="1">
      <alignment horizontal="left"/>
    </xf>
    <xf numFmtId="3" fontId="3" fillId="0" borderId="50" xfId="0" applyNumberFormat="1" applyFont="1" applyBorder="1" applyAlignment="1">
      <alignment horizontal="left"/>
    </xf>
    <xf numFmtId="3" fontId="0" fillId="5" borderId="21" xfId="0" applyNumberFormat="1" applyFill="1" applyBorder="1" applyAlignment="1">
      <alignment horizontal="right" vertical="center" wrapText="1" indent="2"/>
    </xf>
    <xf numFmtId="3" fontId="0" fillId="5" borderId="28" xfId="0" applyNumberFormat="1" applyFill="1" applyBorder="1" applyAlignment="1">
      <alignment horizontal="right" indent="2"/>
    </xf>
    <xf numFmtId="166" fontId="0" fillId="4" borderId="30" xfId="0" applyNumberFormat="1" applyFill="1" applyBorder="1" applyAlignment="1">
      <alignment horizontal="right" vertical="center" wrapText="1" indent="2"/>
    </xf>
    <xf numFmtId="166" fontId="0" fillId="4" borderId="81" xfId="0" applyNumberFormat="1" applyFill="1" applyBorder="1" applyAlignment="1">
      <alignment horizontal="right" vertical="center" wrapText="1" indent="2"/>
    </xf>
    <xf numFmtId="3" fontId="0" fillId="5" borderId="0" xfId="0" applyNumberFormat="1" applyFill="1" applyAlignment="1">
      <alignment horizontal="right" indent="2"/>
    </xf>
    <xf numFmtId="3" fontId="0" fillId="6" borderId="5" xfId="0" applyNumberFormat="1" applyFill="1" applyBorder="1" applyAlignment="1">
      <alignment horizontal="right" indent="2"/>
    </xf>
    <xf numFmtId="166" fontId="0" fillId="4" borderId="20" xfId="0" applyNumberFormat="1" applyFill="1" applyBorder="1" applyAlignment="1">
      <alignment horizontal="right" indent="2"/>
    </xf>
    <xf numFmtId="166" fontId="0" fillId="4" borderId="57" xfId="0" applyNumberFormat="1" applyFill="1" applyBorder="1" applyAlignment="1">
      <alignment horizontal="right" indent="2"/>
    </xf>
    <xf numFmtId="166" fontId="0" fillId="4" borderId="16" xfId="0" applyNumberFormat="1" applyFill="1" applyBorder="1" applyAlignment="1">
      <alignment horizontal="right" vertical="center" wrapText="1" indent="2"/>
    </xf>
    <xf numFmtId="166" fontId="0" fillId="4" borderId="19" xfId="0" applyNumberFormat="1" applyFill="1" applyBorder="1" applyAlignment="1">
      <alignment horizontal="right" indent="2"/>
    </xf>
    <xf numFmtId="165" fontId="18" fillId="0" borderId="0" xfId="2" applyNumberFormat="1" applyFont="1" applyFill="1" applyBorder="1" applyAlignment="1">
      <alignment horizontal="left"/>
    </xf>
    <xf numFmtId="166" fontId="3" fillId="4" borderId="18" xfId="0" applyNumberFormat="1" applyFont="1" applyFill="1" applyBorder="1" applyAlignment="1">
      <alignment horizontal="right" indent="2"/>
    </xf>
    <xf numFmtId="166" fontId="3" fillId="4" borderId="19" xfId="0" applyNumberFormat="1" applyFont="1" applyFill="1" applyBorder="1" applyAlignment="1">
      <alignment horizontal="right" indent="2"/>
    </xf>
    <xf numFmtId="165" fontId="24" fillId="0" borderId="0" xfId="2" applyNumberFormat="1" applyFont="1" applyFill="1" applyBorder="1" applyAlignment="1">
      <alignment horizontal="left"/>
    </xf>
    <xf numFmtId="166" fontId="0" fillId="4" borderId="38" xfId="0" applyNumberFormat="1" applyFill="1" applyBorder="1" applyAlignment="1">
      <alignment horizontal="right" indent="2"/>
    </xf>
    <xf numFmtId="0" fontId="12" fillId="6" borderId="4" xfId="0" applyFont="1" applyFill="1" applyBorder="1" applyAlignment="1">
      <alignment vertical="center" wrapText="1"/>
    </xf>
    <xf numFmtId="165" fontId="4" fillId="0" borderId="4" xfId="3" applyNumberFormat="1" applyBorder="1" applyAlignment="1">
      <alignment vertical="center" wrapText="1"/>
    </xf>
    <xf numFmtId="166" fontId="95" fillId="0" borderId="25" xfId="0" applyNumberFormat="1" applyFont="1" applyBorder="1" applyAlignment="1">
      <alignment horizontal="right" indent="2"/>
    </xf>
    <xf numFmtId="166" fontId="0" fillId="0" borderId="69" xfId="0" applyNumberFormat="1" applyBorder="1" applyAlignment="1">
      <alignment horizontal="right" indent="2"/>
    </xf>
    <xf numFmtId="166" fontId="95" fillId="4" borderId="25" xfId="0" applyNumberFormat="1" applyFont="1" applyFill="1" applyBorder="1" applyAlignment="1">
      <alignment horizontal="right" indent="2"/>
    </xf>
    <xf numFmtId="166" fontId="95" fillId="4" borderId="63" xfId="0" applyNumberFormat="1" applyFont="1" applyFill="1" applyBorder="1" applyAlignment="1">
      <alignment horizontal="right" indent="2"/>
    </xf>
    <xf numFmtId="166" fontId="3" fillId="4" borderId="47" xfId="0" applyNumberFormat="1" applyFont="1" applyFill="1" applyBorder="1" applyAlignment="1">
      <alignment horizontal="right" indent="2"/>
    </xf>
    <xf numFmtId="166" fontId="67" fillId="4" borderId="25" xfId="0" applyNumberFormat="1" applyFont="1" applyFill="1" applyBorder="1" applyAlignment="1">
      <alignment horizontal="right" indent="2"/>
    </xf>
    <xf numFmtId="166" fontId="3" fillId="4" borderId="62" xfId="0" applyNumberFormat="1" applyFont="1" applyFill="1" applyBorder="1" applyAlignment="1">
      <alignment horizontal="right" indent="2"/>
    </xf>
    <xf numFmtId="166" fontId="105" fillId="4" borderId="25" xfId="0" applyNumberFormat="1" applyFont="1" applyFill="1" applyBorder="1" applyAlignment="1">
      <alignment horizontal="right" indent="2"/>
    </xf>
    <xf numFmtId="166" fontId="3" fillId="4" borderId="24" xfId="0" applyNumberFormat="1" applyFont="1" applyFill="1" applyBorder="1" applyAlignment="1">
      <alignment horizontal="right" indent="2"/>
    </xf>
    <xf numFmtId="0" fontId="0" fillId="0" borderId="0" xfId="0" applyAlignment="1">
      <alignment wrapText="1"/>
    </xf>
    <xf numFmtId="166" fontId="3" fillId="4" borderId="30" xfId="0" applyNumberFormat="1" applyFont="1" applyFill="1" applyBorder="1" applyAlignment="1">
      <alignment horizontal="right" indent="2"/>
    </xf>
    <xf numFmtId="166" fontId="2" fillId="4" borderId="30" xfId="0" applyNumberFormat="1" applyFont="1" applyFill="1" applyBorder="1" applyAlignment="1">
      <alignment horizontal="right" indent="2"/>
    </xf>
    <xf numFmtId="166" fontId="3" fillId="4" borderId="62" xfId="0" quotePrefix="1" applyNumberFormat="1" applyFont="1" applyFill="1" applyBorder="1" applyAlignment="1">
      <alignment horizontal="right" indent="2"/>
    </xf>
    <xf numFmtId="4" fontId="0" fillId="0" borderId="30" xfId="0" applyNumberFormat="1" applyBorder="1" applyAlignment="1">
      <alignment horizontal="right" indent="2"/>
    </xf>
    <xf numFmtId="166" fontId="0" fillId="0" borderId="30" xfId="0" applyNumberFormat="1" applyBorder="1" applyAlignment="1">
      <alignment horizontal="right" indent="2"/>
    </xf>
    <xf numFmtId="3" fontId="0" fillId="0" borderId="30" xfId="0" applyNumberFormat="1" applyBorder="1" applyAlignment="1">
      <alignment horizontal="right" indent="2"/>
    </xf>
    <xf numFmtId="177" fontId="0" fillId="0" borderId="0" xfId="0" applyNumberFormat="1" applyAlignment="1">
      <alignment horizontal="right" indent="2"/>
    </xf>
    <xf numFmtId="3" fontId="95" fillId="4" borderId="62" xfId="0" applyNumberFormat="1" applyFont="1" applyFill="1" applyBorder="1" applyAlignment="1">
      <alignment horizontal="right" indent="2"/>
    </xf>
    <xf numFmtId="3" fontId="4" fillId="0" borderId="0" xfId="3" applyNumberFormat="1" applyFill="1" applyBorder="1" applyAlignment="1">
      <alignment horizontal="left" wrapText="1"/>
    </xf>
    <xf numFmtId="3" fontId="4" fillId="0" borderId="44" xfId="3" applyNumberFormat="1" applyBorder="1" applyAlignment="1">
      <alignment horizontal="left" wrapText="1"/>
    </xf>
    <xf numFmtId="3" fontId="0" fillId="0" borderId="18" xfId="0" applyNumberFormat="1" applyBorder="1" applyAlignment="1">
      <alignment horizontal="right" wrapText="1"/>
    </xf>
    <xf numFmtId="3" fontId="0" fillId="0" borderId="11" xfId="0" applyNumberFormat="1" applyBorder="1" applyAlignment="1">
      <alignment wrapText="1"/>
    </xf>
    <xf numFmtId="3" fontId="4" fillId="0" borderId="12" xfId="3" applyNumberFormat="1" applyFill="1" applyBorder="1" applyAlignment="1">
      <alignment horizontal="left" wrapText="1"/>
    </xf>
    <xf numFmtId="3" fontId="129" fillId="0" borderId="0" xfId="3" applyNumberFormat="1" applyFont="1" applyFill="1" applyBorder="1" applyAlignment="1">
      <alignment horizontal="right" wrapText="1"/>
    </xf>
    <xf numFmtId="166" fontId="105" fillId="0" borderId="50" xfId="0" applyNumberFormat="1" applyFont="1" applyBorder="1" applyAlignment="1">
      <alignment horizontal="right" indent="2"/>
    </xf>
    <xf numFmtId="166" fontId="3" fillId="4" borderId="24" xfId="0" quotePrefix="1" applyNumberFormat="1" applyFont="1" applyFill="1" applyBorder="1" applyAlignment="1">
      <alignment horizontal="right" indent="2"/>
    </xf>
    <xf numFmtId="166" fontId="95" fillId="0" borderId="50" xfId="0" applyNumberFormat="1" applyFont="1" applyBorder="1" applyAlignment="1">
      <alignment horizontal="right" indent="2"/>
    </xf>
    <xf numFmtId="166" fontId="95" fillId="0" borderId="42" xfId="0" applyNumberFormat="1" applyFont="1" applyBorder="1" applyAlignment="1">
      <alignment horizontal="right" indent="2"/>
    </xf>
    <xf numFmtId="166" fontId="3" fillId="4" borderId="37" xfId="0" applyNumberFormat="1" applyFont="1" applyFill="1" applyBorder="1" applyAlignment="1">
      <alignment horizontal="right" indent="2"/>
    </xf>
    <xf numFmtId="166" fontId="3" fillId="4" borderId="59" xfId="0" applyNumberFormat="1" applyFont="1" applyFill="1" applyBorder="1" applyAlignment="1">
      <alignment horizontal="right" indent="2"/>
    </xf>
    <xf numFmtId="4" fontId="3" fillId="4" borderId="47" xfId="0" applyNumberFormat="1" applyFont="1" applyFill="1" applyBorder="1" applyAlignment="1">
      <alignment horizontal="right" indent="2"/>
    </xf>
    <xf numFmtId="166" fontId="3" fillId="4" borderId="26" xfId="0" applyNumberFormat="1" applyFont="1" applyFill="1" applyBorder="1" applyAlignment="1">
      <alignment horizontal="right" indent="2"/>
    </xf>
    <xf numFmtId="3" fontId="0" fillId="0" borderId="16" xfId="0" applyNumberFormat="1" applyBorder="1" applyAlignment="1">
      <alignment horizontal="right" wrapText="1"/>
    </xf>
    <xf numFmtId="165" fontId="20" fillId="6" borderId="35" xfId="2" applyNumberFormat="1" applyFont="1" applyFill="1" applyBorder="1" applyAlignment="1">
      <alignment horizontal="right" indent="2"/>
    </xf>
    <xf numFmtId="165" fontId="20" fillId="4" borderId="27" xfId="2" applyNumberFormat="1" applyFont="1" applyFill="1" applyBorder="1" applyAlignment="1">
      <alignment horizontal="right" indent="2"/>
    </xf>
    <xf numFmtId="3" fontId="0" fillId="6" borderId="13" xfId="0" applyNumberFormat="1" applyFill="1" applyBorder="1" applyAlignment="1">
      <alignment horizontal="left" indent="2"/>
    </xf>
    <xf numFmtId="166" fontId="0" fillId="6" borderId="22" xfId="0" applyNumberFormat="1" applyFill="1" applyBorder="1" applyAlignment="1">
      <alignment horizontal="right" indent="2"/>
    </xf>
    <xf numFmtId="10" fontId="25" fillId="0" borderId="18" xfId="2" applyNumberFormat="1" applyFont="1" applyFill="1" applyBorder="1" applyAlignment="1">
      <alignment horizontal="right" indent="2"/>
    </xf>
    <xf numFmtId="10" fontId="25" fillId="0" borderId="0" xfId="2" applyNumberFormat="1" applyFont="1" applyFill="1" applyBorder="1" applyAlignment="1">
      <alignment horizontal="right" indent="2"/>
    </xf>
    <xf numFmtId="3" fontId="99" fillId="0" borderId="6" xfId="2" applyNumberFormat="1" applyFont="1" applyFill="1" applyBorder="1" applyAlignment="1">
      <alignment horizontal="right" indent="2"/>
    </xf>
    <xf numFmtId="3" fontId="99" fillId="6" borderId="47" xfId="2" applyNumberFormat="1" applyFont="1" applyFill="1" applyBorder="1" applyAlignment="1">
      <alignment horizontal="right" indent="2"/>
    </xf>
    <xf numFmtId="3" fontId="99" fillId="6" borderId="65" xfId="2" applyNumberFormat="1" applyFont="1" applyFill="1" applyBorder="1" applyAlignment="1">
      <alignment horizontal="right" indent="2"/>
    </xf>
    <xf numFmtId="3" fontId="99" fillId="0" borderId="11" xfId="2" applyNumberFormat="1" applyFont="1" applyFill="1" applyBorder="1" applyAlignment="1">
      <alignment horizontal="right" indent="2"/>
    </xf>
    <xf numFmtId="3" fontId="99" fillId="6" borderId="17" xfId="2" applyNumberFormat="1" applyFont="1" applyFill="1" applyBorder="1" applyAlignment="1">
      <alignment horizontal="right" indent="2"/>
    </xf>
    <xf numFmtId="166" fontId="15" fillId="6" borderId="47" xfId="2" applyNumberFormat="1" applyFont="1" applyFill="1" applyBorder="1" applyAlignment="1">
      <alignment horizontal="right" indent="2"/>
    </xf>
    <xf numFmtId="166" fontId="15" fillId="6" borderId="65" xfId="2" applyNumberFormat="1" applyFont="1" applyFill="1" applyBorder="1" applyAlignment="1">
      <alignment horizontal="right" indent="2"/>
    </xf>
    <xf numFmtId="166" fontId="15" fillId="6" borderId="17" xfId="2" applyNumberFormat="1" applyFont="1" applyFill="1" applyBorder="1" applyAlignment="1">
      <alignment horizontal="right" indent="2"/>
    </xf>
    <xf numFmtId="166" fontId="15" fillId="0" borderId="0" xfId="2" applyNumberFormat="1" applyFont="1" applyFill="1" applyBorder="1" applyAlignment="1">
      <alignment horizontal="right" indent="2"/>
    </xf>
    <xf numFmtId="166" fontId="15" fillId="6" borderId="62" xfId="2" applyNumberFormat="1" applyFont="1" applyFill="1" applyBorder="1" applyAlignment="1">
      <alignment horizontal="right" indent="2"/>
    </xf>
    <xf numFmtId="9" fontId="29" fillId="6" borderId="22" xfId="0" applyNumberFormat="1" applyFont="1" applyFill="1" applyBorder="1" applyAlignment="1">
      <alignment horizontal="right" indent="2"/>
    </xf>
    <xf numFmtId="9" fontId="29" fillId="6" borderId="23" xfId="0" applyNumberFormat="1" applyFont="1" applyFill="1" applyBorder="1" applyAlignment="1">
      <alignment horizontal="right" indent="2"/>
    </xf>
    <xf numFmtId="9" fontId="29" fillId="0" borderId="8" xfId="0" applyNumberFormat="1" applyFont="1" applyBorder="1" applyAlignment="1">
      <alignment horizontal="right" indent="2"/>
    </xf>
    <xf numFmtId="165" fontId="29" fillId="6" borderId="24" xfId="0" applyNumberFormat="1" applyFont="1" applyFill="1" applyBorder="1" applyAlignment="1">
      <alignment horizontal="right" indent="2"/>
    </xf>
    <xf numFmtId="165" fontId="29" fillId="6" borderId="51" xfId="0" applyNumberFormat="1" applyFont="1" applyFill="1" applyBorder="1" applyAlignment="1">
      <alignment horizontal="right" indent="2"/>
    </xf>
    <xf numFmtId="9" fontId="29" fillId="0" borderId="11" xfId="0" applyNumberFormat="1" applyFont="1" applyBorder="1" applyAlignment="1">
      <alignment horizontal="right" indent="2"/>
    </xf>
    <xf numFmtId="165" fontId="29" fillId="6" borderId="21" xfId="0" applyNumberFormat="1" applyFont="1" applyFill="1" applyBorder="1" applyAlignment="1">
      <alignment horizontal="right" indent="2"/>
    </xf>
    <xf numFmtId="0" fontId="29" fillId="0" borderId="8" xfId="0" applyFont="1" applyBorder="1" applyAlignment="1">
      <alignment horizontal="right" indent="2"/>
    </xf>
    <xf numFmtId="0" fontId="29" fillId="6" borderId="24" xfId="0" applyFont="1" applyFill="1" applyBorder="1" applyAlignment="1">
      <alignment horizontal="right" indent="2"/>
    </xf>
    <xf numFmtId="0" fontId="29" fillId="6" borderId="51" xfId="0" applyFont="1" applyFill="1" applyBorder="1" applyAlignment="1">
      <alignment horizontal="right" indent="2"/>
    </xf>
    <xf numFmtId="0" fontId="29" fillId="0" borderId="11" xfId="0" applyFont="1" applyBorder="1" applyAlignment="1">
      <alignment horizontal="right" indent="2"/>
    </xf>
    <xf numFmtId="0" fontId="29" fillId="6" borderId="21" xfId="0" applyFont="1" applyFill="1" applyBorder="1" applyAlignment="1">
      <alignment horizontal="right" indent="2"/>
    </xf>
    <xf numFmtId="165" fontId="29" fillId="0" borderId="8" xfId="2" applyNumberFormat="1" applyFont="1" applyFill="1" applyBorder="1" applyAlignment="1">
      <alignment horizontal="right" indent="2"/>
    </xf>
    <xf numFmtId="165" fontId="29" fillId="6" borderId="24" xfId="2" applyNumberFormat="1" applyFont="1" applyFill="1" applyBorder="1" applyAlignment="1">
      <alignment horizontal="right" indent="2"/>
    </xf>
    <xf numFmtId="165" fontId="29" fillId="6" borderId="51" xfId="2" applyNumberFormat="1" applyFont="1" applyFill="1" applyBorder="1" applyAlignment="1">
      <alignment horizontal="right" indent="2"/>
    </xf>
    <xf numFmtId="9" fontId="29" fillId="0" borderId="11" xfId="2" applyFont="1" applyFill="1" applyBorder="1" applyAlignment="1">
      <alignment horizontal="right" indent="2"/>
    </xf>
    <xf numFmtId="9" fontId="29" fillId="0" borderId="8" xfId="2" applyFont="1" applyFill="1" applyBorder="1" applyAlignment="1">
      <alignment horizontal="right" indent="2"/>
    </xf>
    <xf numFmtId="165" fontId="29" fillId="6" borderId="21" xfId="2" applyNumberFormat="1" applyFont="1" applyFill="1" applyBorder="1" applyAlignment="1">
      <alignment horizontal="right" indent="2"/>
    </xf>
    <xf numFmtId="165" fontId="29" fillId="0" borderId="11" xfId="2" applyNumberFormat="1" applyFont="1" applyFill="1" applyBorder="1" applyAlignment="1">
      <alignment horizontal="right" indent="2"/>
    </xf>
    <xf numFmtId="3" fontId="29" fillId="0" borderId="8" xfId="0" applyNumberFormat="1" applyFont="1" applyBorder="1" applyAlignment="1">
      <alignment horizontal="right" indent="2"/>
    </xf>
    <xf numFmtId="3" fontId="29" fillId="6" borderId="24" xfId="0" applyNumberFormat="1" applyFont="1" applyFill="1" applyBorder="1" applyAlignment="1">
      <alignment horizontal="right" indent="2"/>
    </xf>
    <xf numFmtId="3" fontId="29" fillId="6" borderId="51" xfId="0" applyNumberFormat="1" applyFont="1" applyFill="1" applyBorder="1" applyAlignment="1">
      <alignment horizontal="right" indent="2"/>
    </xf>
    <xf numFmtId="3" fontId="29" fillId="0" borderId="11" xfId="0" applyNumberFormat="1" applyFont="1" applyBorder="1" applyAlignment="1">
      <alignment horizontal="right" indent="2"/>
    </xf>
    <xf numFmtId="3" fontId="29" fillId="6" borderId="21" xfId="0" applyNumberFormat="1" applyFont="1" applyFill="1" applyBorder="1" applyAlignment="1">
      <alignment horizontal="right" indent="2"/>
    </xf>
    <xf numFmtId="166" fontId="9" fillId="6" borderId="24" xfId="0" applyNumberFormat="1" applyFont="1" applyFill="1" applyBorder="1" applyAlignment="1">
      <alignment horizontal="right" indent="2"/>
    </xf>
    <xf numFmtId="166" fontId="9" fillId="6" borderId="51" xfId="0" applyNumberFormat="1" applyFont="1" applyFill="1" applyBorder="1" applyAlignment="1">
      <alignment horizontal="right" indent="2"/>
    </xf>
    <xf numFmtId="166" fontId="9" fillId="6" borderId="21" xfId="0" applyNumberFormat="1" applyFont="1" applyFill="1" applyBorder="1" applyAlignment="1">
      <alignment horizontal="right" indent="2"/>
    </xf>
    <xf numFmtId="166" fontId="9" fillId="0" borderId="0" xfId="0" applyNumberFormat="1" applyFont="1" applyAlignment="1">
      <alignment horizontal="right" indent="2"/>
    </xf>
    <xf numFmtId="3" fontId="0" fillId="0" borderId="8" xfId="2" applyNumberFormat="1" applyFont="1" applyBorder="1" applyAlignment="1">
      <alignment horizontal="right" indent="2"/>
    </xf>
    <xf numFmtId="3" fontId="0" fillId="0" borderId="0" xfId="2" applyNumberFormat="1" applyFont="1" applyAlignment="1">
      <alignment horizontal="right" indent="2"/>
    </xf>
    <xf numFmtId="9" fontId="29" fillId="6" borderId="21" xfId="2" applyFont="1" applyFill="1" applyBorder="1" applyAlignment="1">
      <alignment horizontal="right" indent="2"/>
    </xf>
    <xf numFmtId="165" fontId="50" fillId="0" borderId="8" xfId="2" applyNumberFormat="1" applyFont="1" applyFill="1" applyBorder="1" applyAlignment="1">
      <alignment horizontal="right" indent="2"/>
    </xf>
    <xf numFmtId="165" fontId="50" fillId="6" borderId="24" xfId="2" applyNumberFormat="1" applyFont="1" applyFill="1" applyBorder="1" applyAlignment="1">
      <alignment horizontal="right" indent="2"/>
    </xf>
    <xf numFmtId="165" fontId="50" fillId="6" borderId="51" xfId="2" applyNumberFormat="1" applyFont="1" applyFill="1" applyBorder="1" applyAlignment="1">
      <alignment horizontal="right" indent="2"/>
    </xf>
    <xf numFmtId="9" fontId="50" fillId="0" borderId="11" xfId="2" applyFont="1" applyFill="1" applyBorder="1" applyAlignment="1">
      <alignment horizontal="right" indent="2"/>
    </xf>
    <xf numFmtId="9" fontId="50" fillId="0" borderId="8" xfId="2" applyFont="1" applyFill="1" applyBorder="1" applyAlignment="1">
      <alignment horizontal="right" indent="2"/>
    </xf>
    <xf numFmtId="165" fontId="50" fillId="6" borderId="21" xfId="2" applyNumberFormat="1" applyFont="1" applyFill="1" applyBorder="1" applyAlignment="1">
      <alignment horizontal="right" indent="2"/>
    </xf>
    <xf numFmtId="165" fontId="50" fillId="0" borderId="11" xfId="2" applyNumberFormat="1" applyFont="1" applyFill="1" applyBorder="1" applyAlignment="1">
      <alignment horizontal="right" indent="2"/>
    </xf>
    <xf numFmtId="165" fontId="50" fillId="0" borderId="9" xfId="2" applyNumberFormat="1" applyFont="1" applyFill="1" applyBorder="1" applyAlignment="1">
      <alignment horizontal="right" indent="2"/>
    </xf>
    <xf numFmtId="165" fontId="99" fillId="6" borderId="36" xfId="2" applyNumberFormat="1" applyFont="1" applyFill="1" applyBorder="1" applyAlignment="1">
      <alignment horizontal="right" indent="2"/>
    </xf>
    <xf numFmtId="165" fontId="99" fillId="6" borderId="66" xfId="2" applyNumberFormat="1" applyFont="1" applyFill="1" applyBorder="1" applyAlignment="1">
      <alignment horizontal="right" indent="2"/>
    </xf>
    <xf numFmtId="9" fontId="50" fillId="0" borderId="38" xfId="2" applyFont="1" applyFill="1" applyBorder="1" applyAlignment="1">
      <alignment horizontal="right" indent="2"/>
    </xf>
    <xf numFmtId="9" fontId="50" fillId="0" borderId="9" xfId="2" applyFont="1" applyFill="1" applyBorder="1" applyAlignment="1">
      <alignment horizontal="right" indent="2"/>
    </xf>
    <xf numFmtId="165" fontId="99" fillId="6" borderId="33" xfId="2" applyNumberFormat="1" applyFont="1" applyFill="1" applyBorder="1" applyAlignment="1">
      <alignment horizontal="right" indent="2"/>
    </xf>
    <xf numFmtId="165" fontId="99" fillId="0" borderId="38" xfId="2" applyNumberFormat="1" applyFont="1" applyFill="1" applyBorder="1" applyAlignment="1">
      <alignment horizontal="right" indent="2"/>
    </xf>
    <xf numFmtId="165" fontId="9" fillId="0" borderId="8" xfId="2" applyNumberFormat="1" applyFont="1" applyBorder="1" applyAlignment="1">
      <alignment horizontal="right" indent="2"/>
    </xf>
    <xf numFmtId="165" fontId="9" fillId="0" borderId="42" xfId="2" applyNumberFormat="1" applyFont="1" applyBorder="1" applyAlignment="1">
      <alignment horizontal="right" indent="4"/>
    </xf>
    <xf numFmtId="3" fontId="12" fillId="0" borderId="0" xfId="0" applyNumberFormat="1" applyFont="1" applyAlignment="1">
      <alignment wrapText="1"/>
    </xf>
    <xf numFmtId="0" fontId="12" fillId="0" borderId="0" xfId="0" applyFont="1" applyAlignment="1">
      <alignment wrapText="1"/>
    </xf>
    <xf numFmtId="0" fontId="98" fillId="0" borderId="5" xfId="3" applyFont="1" applyFill="1" applyBorder="1" applyAlignment="1">
      <alignment horizontal="center" vertical="center" wrapText="1"/>
    </xf>
    <xf numFmtId="3" fontId="0" fillId="0" borderId="45" xfId="0" applyNumberFormat="1" applyBorder="1" applyAlignment="1">
      <alignment horizontal="right" indent="2"/>
    </xf>
    <xf numFmtId="0" fontId="3" fillId="0" borderId="45" xfId="0" applyFont="1" applyBorder="1" applyAlignment="1">
      <alignment horizontal="center" vertical="center" wrapText="1"/>
    </xf>
    <xf numFmtId="166" fontId="0" fillId="4" borderId="21" xfId="0" applyNumberFormat="1" applyFill="1" applyBorder="1" applyAlignment="1">
      <alignment horizontal="right" vertical="center" wrapText="1" indent="2"/>
    </xf>
    <xf numFmtId="166" fontId="0" fillId="4" borderId="26" xfId="0" applyNumberFormat="1" applyFill="1" applyBorder="1" applyAlignment="1">
      <alignment horizontal="right" vertical="center" wrapText="1" indent="2"/>
    </xf>
    <xf numFmtId="0" fontId="130" fillId="0" borderId="10" xfId="0" applyFont="1" applyBorder="1"/>
    <xf numFmtId="3" fontId="12" fillId="4" borderId="67" xfId="0" applyNumberFormat="1" applyFont="1" applyFill="1" applyBorder="1" applyAlignment="1">
      <alignment horizontal="center" wrapText="1"/>
    </xf>
    <xf numFmtId="3" fontId="30" fillId="0" borderId="10" xfId="0" applyNumberFormat="1" applyFont="1" applyBorder="1" applyAlignment="1">
      <alignment horizontal="right" indent="2"/>
    </xf>
    <xf numFmtId="166" fontId="12" fillId="4" borderId="47" xfId="0" applyNumberFormat="1" applyFont="1" applyFill="1" applyBorder="1" applyAlignment="1">
      <alignment horizontal="right" indent="2"/>
    </xf>
    <xf numFmtId="166" fontId="12" fillId="4" borderId="6" xfId="0" applyNumberFormat="1" applyFont="1" applyFill="1" applyBorder="1" applyAlignment="1">
      <alignment horizontal="right" vertical="center" wrapText="1" indent="2"/>
    </xf>
    <xf numFmtId="166" fontId="12" fillId="4" borderId="17" xfId="0" applyNumberFormat="1" applyFont="1" applyFill="1" applyBorder="1" applyAlignment="1">
      <alignment horizontal="right" indent="2"/>
    </xf>
    <xf numFmtId="166" fontId="12" fillId="4" borderId="62" xfId="0" applyNumberFormat="1" applyFont="1" applyFill="1" applyBorder="1" applyAlignment="1">
      <alignment horizontal="right" indent="2"/>
    </xf>
    <xf numFmtId="166" fontId="0" fillId="6" borderId="13" xfId="0" applyNumberFormat="1" applyFill="1" applyBorder="1" applyAlignment="1">
      <alignment horizontal="right" indent="2"/>
    </xf>
    <xf numFmtId="166" fontId="23" fillId="6" borderId="21" xfId="0" applyNumberFormat="1" applyFont="1" applyFill="1" applyBorder="1" applyAlignment="1">
      <alignment horizontal="right" indent="2"/>
    </xf>
    <xf numFmtId="166" fontId="23" fillId="6" borderId="22" xfId="0" applyNumberFormat="1" applyFont="1" applyFill="1" applyBorder="1" applyAlignment="1">
      <alignment horizontal="right" indent="2"/>
    </xf>
    <xf numFmtId="166" fontId="0" fillId="6" borderId="34" xfId="0" applyNumberFormat="1" applyFill="1" applyBorder="1" applyAlignment="1">
      <alignment horizontal="right" indent="2"/>
    </xf>
    <xf numFmtId="166" fontId="56" fillId="7" borderId="24" xfId="0" applyNumberFormat="1" applyFont="1" applyFill="1" applyBorder="1" applyAlignment="1">
      <alignment horizontal="right" indent="2"/>
    </xf>
    <xf numFmtId="0" fontId="2" fillId="0" borderId="10" xfId="0" applyFont="1" applyBorder="1"/>
    <xf numFmtId="165" fontId="15" fillId="0" borderId="19" xfId="2" applyNumberFormat="1" applyFont="1" applyFill="1" applyBorder="1" applyAlignment="1">
      <alignment horizontal="right" indent="2"/>
    </xf>
    <xf numFmtId="0" fontId="3" fillId="4" borderId="0" xfId="0" applyFont="1" applyFill="1" applyAlignment="1">
      <alignment horizontal="center" wrapText="1"/>
    </xf>
    <xf numFmtId="0" fontId="0" fillId="17" borderId="0" xfId="0" quotePrefix="1" applyFill="1" applyAlignment="1">
      <alignment vertical="center"/>
    </xf>
    <xf numFmtId="0" fontId="0" fillId="4" borderId="16" xfId="0" quotePrefix="1" applyFill="1" applyBorder="1" applyAlignment="1">
      <alignment vertical="center"/>
    </xf>
    <xf numFmtId="0" fontId="0" fillId="17" borderId="0" xfId="0" applyFill="1" applyAlignment="1">
      <alignment horizontal="center" vertical="center"/>
    </xf>
    <xf numFmtId="0" fontId="4" fillId="0" borderId="4" xfId="3" applyBorder="1" applyAlignment="1">
      <alignment wrapText="1"/>
    </xf>
    <xf numFmtId="0" fontId="4" fillId="12" borderId="0" xfId="3" applyFill="1" applyAlignment="1">
      <alignment horizontal="center" wrapText="1"/>
    </xf>
    <xf numFmtId="0" fontId="0" fillId="0" borderId="13" xfId="0" applyBorder="1"/>
    <xf numFmtId="0" fontId="0" fillId="0" borderId="14" xfId="0" applyBorder="1" applyAlignment="1">
      <alignment horizontal="right" vertical="center" wrapText="1"/>
    </xf>
    <xf numFmtId="0" fontId="11" fillId="3" borderId="21" xfId="0" applyFont="1" applyFill="1" applyBorder="1" applyAlignment="1">
      <alignment horizontal="center" vertical="center" textRotation="90" wrapText="1"/>
    </xf>
    <xf numFmtId="0" fontId="0" fillId="3" borderId="22" xfId="0" applyFill="1" applyBorder="1" applyAlignment="1">
      <alignment horizontal="right"/>
    </xf>
    <xf numFmtId="166" fontId="0" fillId="3" borderId="23" xfId="0" applyNumberFormat="1" applyFill="1" applyBorder="1" applyAlignment="1">
      <alignment horizontal="right" indent="2"/>
    </xf>
    <xf numFmtId="166" fontId="0" fillId="3" borderId="24" xfId="0" applyNumberFormat="1" applyFill="1" applyBorder="1" applyAlignment="1">
      <alignment horizontal="right" indent="2"/>
    </xf>
    <xf numFmtId="166" fontId="0" fillId="3" borderId="25" xfId="0" applyNumberFormat="1" applyFill="1" applyBorder="1" applyAlignment="1">
      <alignment horizontal="right" indent="2"/>
    </xf>
    <xf numFmtId="166" fontId="0" fillId="3" borderId="79" xfId="0" applyNumberFormat="1" applyFill="1" applyBorder="1" applyAlignment="1">
      <alignment horizontal="right" indent="2"/>
    </xf>
    <xf numFmtId="0" fontId="2" fillId="3" borderId="22" xfId="0" applyFont="1" applyFill="1" applyBorder="1" applyAlignment="1">
      <alignment horizontal="right"/>
    </xf>
    <xf numFmtId="166" fontId="0" fillId="3" borderId="63" xfId="0" applyNumberFormat="1" applyFill="1" applyBorder="1" applyAlignment="1">
      <alignment horizontal="right" indent="2"/>
    </xf>
    <xf numFmtId="0" fontId="11" fillId="3" borderId="27" xfId="0" applyFont="1" applyFill="1" applyBorder="1" applyAlignment="1">
      <alignment horizontal="center" vertical="center" textRotation="90" wrapText="1"/>
    </xf>
    <xf numFmtId="0" fontId="2" fillId="3" borderId="28" xfId="0" applyFont="1" applyFill="1" applyBorder="1" applyAlignment="1">
      <alignment horizontal="right"/>
    </xf>
    <xf numFmtId="166" fontId="0" fillId="3" borderId="29" xfId="0" applyNumberFormat="1" applyFill="1" applyBorder="1" applyAlignment="1">
      <alignment horizontal="right" indent="2"/>
    </xf>
    <xf numFmtId="166" fontId="0" fillId="3" borderId="30" xfId="0" applyNumberFormat="1" applyFill="1" applyBorder="1" applyAlignment="1">
      <alignment horizontal="right" indent="2"/>
    </xf>
    <xf numFmtId="166" fontId="0" fillId="3" borderId="31" xfId="0" applyNumberFormat="1" applyFill="1" applyBorder="1" applyAlignment="1">
      <alignment horizontal="right" indent="2"/>
    </xf>
    <xf numFmtId="166" fontId="0" fillId="3" borderId="81" xfId="0" applyNumberFormat="1" applyFill="1" applyBorder="1" applyAlignment="1">
      <alignment horizontal="right" indent="2"/>
    </xf>
    <xf numFmtId="0" fontId="11" fillId="3" borderId="33" xfId="0" applyFont="1" applyFill="1" applyBorder="1" applyAlignment="1">
      <alignment horizontal="center" vertical="center" textRotation="90" wrapText="1"/>
    </xf>
    <xf numFmtId="0" fontId="0" fillId="3" borderId="34" xfId="0" applyFill="1" applyBorder="1" applyAlignment="1">
      <alignment horizontal="right"/>
    </xf>
    <xf numFmtId="166" fontId="0" fillId="3" borderId="35" xfId="0" applyNumberFormat="1" applyFill="1" applyBorder="1" applyAlignment="1">
      <alignment horizontal="right" indent="2"/>
    </xf>
    <xf numFmtId="166" fontId="0" fillId="3" borderId="36" xfId="0" applyNumberFormat="1" applyFill="1" applyBorder="1" applyAlignment="1">
      <alignment horizontal="right" indent="2"/>
    </xf>
    <xf numFmtId="166" fontId="0" fillId="3" borderId="37" xfId="0" applyNumberFormat="1" applyFill="1" applyBorder="1" applyAlignment="1">
      <alignment horizontal="right" indent="2"/>
    </xf>
    <xf numFmtId="166" fontId="0" fillId="3" borderId="64" xfId="0" applyNumberFormat="1" applyFill="1" applyBorder="1" applyAlignment="1">
      <alignment horizontal="right" indent="2"/>
    </xf>
    <xf numFmtId="166" fontId="2" fillId="4" borderId="46" xfId="0" applyNumberFormat="1" applyFont="1" applyFill="1" applyBorder="1" applyAlignment="1">
      <alignment horizontal="right" indent="2"/>
    </xf>
    <xf numFmtId="166" fontId="2" fillId="0" borderId="0" xfId="0" applyNumberFormat="1" applyFont="1"/>
    <xf numFmtId="166" fontId="2" fillId="4" borderId="48" xfId="0" applyNumberFormat="1" applyFont="1" applyFill="1" applyBorder="1" applyAlignment="1">
      <alignment horizontal="right" indent="2"/>
    </xf>
    <xf numFmtId="166" fontId="2" fillId="4" borderId="11" xfId="0" applyNumberFormat="1" applyFont="1" applyFill="1" applyBorder="1" applyAlignment="1">
      <alignment horizontal="right" indent="2"/>
    </xf>
    <xf numFmtId="166" fontId="0" fillId="0" borderId="10" xfId="0" applyNumberFormat="1" applyBorder="1" applyAlignment="1">
      <alignment horizontal="right" indent="2"/>
    </xf>
    <xf numFmtId="166" fontId="2" fillId="4" borderId="10" xfId="0" applyNumberFormat="1" applyFont="1" applyFill="1" applyBorder="1" applyAlignment="1">
      <alignment horizontal="right" indent="2"/>
    </xf>
    <xf numFmtId="166" fontId="2" fillId="4" borderId="49" xfId="0" applyNumberFormat="1" applyFont="1" applyFill="1" applyBorder="1" applyAlignment="1">
      <alignment horizontal="right" indent="2"/>
    </xf>
    <xf numFmtId="166" fontId="2" fillId="4" borderId="50" xfId="0" applyNumberFormat="1" applyFont="1" applyFill="1" applyBorder="1" applyAlignment="1">
      <alignment horizontal="right" indent="2"/>
    </xf>
    <xf numFmtId="166" fontId="2" fillId="0" borderId="0" xfId="0" applyNumberFormat="1" applyFont="1" applyAlignment="1">
      <alignment horizontal="right"/>
    </xf>
    <xf numFmtId="166" fontId="2" fillId="4" borderId="35" xfId="0" applyNumberFormat="1" applyFont="1" applyFill="1" applyBorder="1" applyAlignment="1">
      <alignment horizontal="right" indent="2"/>
    </xf>
    <xf numFmtId="166" fontId="2" fillId="4" borderId="36" xfId="0" applyNumberFormat="1" applyFont="1" applyFill="1" applyBorder="1" applyAlignment="1">
      <alignment horizontal="right" indent="2"/>
    </xf>
    <xf numFmtId="166" fontId="2" fillId="4" borderId="37" xfId="0" applyNumberFormat="1" applyFont="1" applyFill="1" applyBorder="1" applyAlignment="1">
      <alignment horizontal="right" indent="2"/>
    </xf>
    <xf numFmtId="165" fontId="30" fillId="0" borderId="38" xfId="2" applyNumberFormat="1" applyFont="1" applyFill="1" applyBorder="1" applyAlignment="1"/>
    <xf numFmtId="166" fontId="2" fillId="4" borderId="38" xfId="0" applyNumberFormat="1" applyFont="1" applyFill="1" applyBorder="1" applyAlignment="1">
      <alignment horizontal="right" indent="2"/>
    </xf>
    <xf numFmtId="166" fontId="0" fillId="4" borderId="27" xfId="0" applyNumberFormat="1" applyFill="1" applyBorder="1" applyAlignment="1">
      <alignment horizontal="right" vertical="center" wrapText="1" indent="2"/>
    </xf>
    <xf numFmtId="166" fontId="0" fillId="0" borderId="10" xfId="0" applyNumberFormat="1" applyBorder="1" applyAlignment="1">
      <alignment horizontal="right" vertical="center" wrapText="1" indent="2"/>
    </xf>
    <xf numFmtId="166" fontId="0" fillId="0" borderId="5" xfId="0" applyNumberFormat="1" applyBorder="1" applyAlignment="1">
      <alignment horizontal="right" indent="2"/>
    </xf>
    <xf numFmtId="166" fontId="0" fillId="0" borderId="10" xfId="0" applyNumberFormat="1" applyBorder="1" applyAlignment="1">
      <alignment horizontal="right" indent="4"/>
    </xf>
    <xf numFmtId="166" fontId="2" fillId="4" borderId="31" xfId="0" applyNumberFormat="1" applyFont="1" applyFill="1" applyBorder="1" applyAlignment="1">
      <alignment horizontal="right" indent="2"/>
    </xf>
    <xf numFmtId="165" fontId="0" fillId="4" borderId="34" xfId="2" applyNumberFormat="1" applyFont="1" applyFill="1" applyBorder="1" applyAlignment="1">
      <alignment horizontal="right" indent="2"/>
    </xf>
    <xf numFmtId="165" fontId="0" fillId="0" borderId="10" xfId="2" applyNumberFormat="1" applyFont="1" applyFill="1" applyBorder="1" applyAlignment="1">
      <alignment horizontal="right" indent="2"/>
    </xf>
    <xf numFmtId="3" fontId="0" fillId="0" borderId="13" xfId="0" applyNumberFormat="1" applyBorder="1"/>
    <xf numFmtId="3" fontId="0" fillId="0" borderId="10" xfId="0" applyNumberFormat="1" applyBorder="1" applyAlignment="1">
      <alignment horizontal="center"/>
    </xf>
    <xf numFmtId="0" fontId="0" fillId="3" borderId="21" xfId="0" applyFill="1" applyBorder="1" applyAlignment="1">
      <alignment horizontal="right"/>
    </xf>
    <xf numFmtId="3" fontId="23" fillId="3" borderId="23" xfId="0" applyNumberFormat="1" applyFont="1" applyFill="1" applyBorder="1" applyAlignment="1">
      <alignment horizontal="right" indent="2"/>
    </xf>
    <xf numFmtId="3" fontId="23" fillId="3" borderId="24" xfId="0" applyNumberFormat="1" applyFont="1" applyFill="1" applyBorder="1" applyAlignment="1">
      <alignment horizontal="right" indent="2"/>
    </xf>
    <xf numFmtId="3" fontId="23" fillId="3" borderId="25" xfId="0" applyNumberFormat="1" applyFont="1" applyFill="1" applyBorder="1" applyAlignment="1">
      <alignment horizontal="right" indent="2"/>
    </xf>
    <xf numFmtId="3" fontId="0" fillId="3" borderId="22" xfId="0" applyNumberFormat="1" applyFill="1" applyBorder="1" applyAlignment="1">
      <alignment horizontal="right" vertical="center" wrapText="1" indent="2"/>
    </xf>
    <xf numFmtId="3" fontId="0" fillId="3" borderId="23" xfId="0" applyNumberFormat="1" applyFill="1" applyBorder="1" applyAlignment="1">
      <alignment horizontal="right" indent="2"/>
    </xf>
    <xf numFmtId="3" fontId="0" fillId="3" borderId="24" xfId="0" applyNumberFormat="1" applyFill="1" applyBorder="1" applyAlignment="1">
      <alignment horizontal="right" indent="2"/>
    </xf>
    <xf numFmtId="3" fontId="0" fillId="3" borderId="25" xfId="0" applyNumberFormat="1" applyFill="1" applyBorder="1" applyAlignment="1">
      <alignment horizontal="right" indent="2"/>
    </xf>
    <xf numFmtId="0" fontId="0" fillId="3" borderId="27" xfId="0" applyFill="1" applyBorder="1" applyAlignment="1">
      <alignment horizontal="right"/>
    </xf>
    <xf numFmtId="0" fontId="0" fillId="3" borderId="33" xfId="0" applyFill="1" applyBorder="1" applyAlignment="1">
      <alignment horizontal="right"/>
    </xf>
    <xf numFmtId="3" fontId="0" fillId="3" borderId="35" xfId="0" applyNumberFormat="1" applyFill="1" applyBorder="1" applyAlignment="1">
      <alignment horizontal="right" indent="2"/>
    </xf>
    <xf numFmtId="3" fontId="0" fillId="3" borderId="36" xfId="0" applyNumberFormat="1" applyFill="1" applyBorder="1" applyAlignment="1">
      <alignment horizontal="right" indent="2"/>
    </xf>
    <xf numFmtId="3" fontId="0" fillId="3" borderId="37" xfId="0" applyNumberFormat="1" applyFill="1" applyBorder="1" applyAlignment="1">
      <alignment horizontal="right" indent="2"/>
    </xf>
    <xf numFmtId="3" fontId="0" fillId="3" borderId="34" xfId="0" applyNumberFormat="1" applyFill="1" applyBorder="1" applyAlignment="1">
      <alignment horizontal="right" vertical="center" wrapText="1" indent="2"/>
    </xf>
    <xf numFmtId="0" fontId="11" fillId="3" borderId="17" xfId="0" applyFont="1" applyFill="1" applyBorder="1" applyAlignment="1">
      <alignment horizontal="center" vertical="center" textRotation="90" wrapText="1"/>
    </xf>
    <xf numFmtId="0" fontId="0" fillId="3" borderId="6" xfId="0" applyFill="1" applyBorder="1"/>
    <xf numFmtId="0" fontId="0" fillId="3" borderId="62" xfId="0" applyFill="1" applyBorder="1" applyAlignment="1">
      <alignment horizontal="right"/>
    </xf>
    <xf numFmtId="166" fontId="15" fillId="3" borderId="46" xfId="2" applyNumberFormat="1" applyFont="1" applyFill="1" applyBorder="1" applyAlignment="1">
      <alignment horizontal="right" indent="2"/>
    </xf>
    <xf numFmtId="166" fontId="15" fillId="0" borderId="6" xfId="2" applyNumberFormat="1" applyFont="1" applyFill="1" applyBorder="1" applyAlignment="1">
      <alignment horizontal="right"/>
    </xf>
    <xf numFmtId="166" fontId="15" fillId="3" borderId="47" xfId="2" applyNumberFormat="1" applyFont="1" applyFill="1" applyBorder="1" applyAlignment="1">
      <alignment horizontal="right" indent="2"/>
    </xf>
    <xf numFmtId="166" fontId="15" fillId="3" borderId="65" xfId="2" applyNumberFormat="1" applyFont="1" applyFill="1" applyBorder="1" applyAlignment="1">
      <alignment horizontal="right" indent="2"/>
    </xf>
    <xf numFmtId="166" fontId="15" fillId="0" borderId="11" xfId="2" applyNumberFormat="1" applyFont="1" applyFill="1" applyBorder="1" applyAlignment="1">
      <alignment horizontal="right" indent="2"/>
    </xf>
    <xf numFmtId="166" fontId="15" fillId="3" borderId="17" xfId="2" applyNumberFormat="1" applyFont="1" applyFill="1" applyBorder="1" applyAlignment="1">
      <alignment horizontal="right" indent="2"/>
    </xf>
    <xf numFmtId="166" fontId="15" fillId="3" borderId="79" xfId="2" applyNumberFormat="1" applyFont="1" applyFill="1" applyBorder="1" applyAlignment="1">
      <alignment horizontal="right" indent="2"/>
    </xf>
    <xf numFmtId="166" fontId="15" fillId="0" borderId="10" xfId="2" applyNumberFormat="1" applyFont="1" applyFill="1" applyBorder="1" applyAlignment="1">
      <alignment horizontal="right" indent="2"/>
    </xf>
    <xf numFmtId="0" fontId="0" fillId="3" borderId="8" xfId="0" applyFill="1" applyBorder="1"/>
    <xf numFmtId="165" fontId="0" fillId="3" borderId="23" xfId="2" applyNumberFormat="1" applyFont="1" applyFill="1" applyBorder="1" applyAlignment="1">
      <alignment horizontal="right" indent="2"/>
    </xf>
    <xf numFmtId="165" fontId="0" fillId="3" borderId="24" xfId="2" applyNumberFormat="1" applyFont="1" applyFill="1" applyBorder="1" applyAlignment="1">
      <alignment horizontal="right" indent="2"/>
    </xf>
    <xf numFmtId="165" fontId="0" fillId="3" borderId="51" xfId="2" applyNumberFormat="1" applyFont="1" applyFill="1" applyBorder="1" applyAlignment="1">
      <alignment horizontal="right" indent="2"/>
    </xf>
    <xf numFmtId="165" fontId="0" fillId="3" borderId="21" xfId="2" applyNumberFormat="1" applyFont="1" applyFill="1" applyBorder="1" applyAlignment="1">
      <alignment horizontal="right" indent="2"/>
    </xf>
    <xf numFmtId="165" fontId="0" fillId="3" borderId="63" xfId="2" applyNumberFormat="1" applyFont="1" applyFill="1" applyBorder="1" applyAlignment="1">
      <alignment horizontal="right" indent="2"/>
    </xf>
    <xf numFmtId="0" fontId="0" fillId="3" borderId="23" xfId="0" applyFill="1" applyBorder="1" applyAlignment="1">
      <alignment horizontal="right" indent="2"/>
    </xf>
    <xf numFmtId="0" fontId="0" fillId="0" borderId="8" xfId="0" applyBorder="1" applyAlignment="1">
      <alignment horizontal="right" indent="2"/>
    </xf>
    <xf numFmtId="0" fontId="0" fillId="3" borderId="24" xfId="0" applyFill="1" applyBorder="1" applyAlignment="1">
      <alignment horizontal="right" indent="2"/>
    </xf>
    <xf numFmtId="0" fontId="0" fillId="3" borderId="51" xfId="0" applyFill="1" applyBorder="1" applyAlignment="1">
      <alignment horizontal="right" indent="2"/>
    </xf>
    <xf numFmtId="0" fontId="0" fillId="0" borderId="11" xfId="0" applyBorder="1" applyAlignment="1">
      <alignment horizontal="right" indent="2"/>
    </xf>
    <xf numFmtId="0" fontId="0" fillId="3" borderId="21" xfId="0" applyFill="1" applyBorder="1" applyAlignment="1">
      <alignment horizontal="right" indent="2"/>
    </xf>
    <xf numFmtId="0" fontId="0" fillId="3" borderId="63" xfId="0" applyFill="1" applyBorder="1" applyAlignment="1">
      <alignment horizontal="right" indent="2"/>
    </xf>
    <xf numFmtId="0" fontId="0" fillId="0" borderId="0" xfId="0" applyAlignment="1">
      <alignment horizontal="right" indent="2"/>
    </xf>
    <xf numFmtId="0" fontId="0" fillId="0" borderId="10" xfId="0" applyBorder="1" applyAlignment="1">
      <alignment horizontal="right" indent="2"/>
    </xf>
    <xf numFmtId="0" fontId="0" fillId="3" borderId="23" xfId="0" applyFill="1" applyBorder="1"/>
    <xf numFmtId="0" fontId="0" fillId="3" borderId="24" xfId="0" applyFill="1" applyBorder="1"/>
    <xf numFmtId="0" fontId="0" fillId="3" borderId="51" xfId="0" applyFill="1" applyBorder="1"/>
    <xf numFmtId="0" fontId="0" fillId="3" borderId="21" xfId="0" applyFill="1" applyBorder="1"/>
    <xf numFmtId="0" fontId="0" fillId="3" borderId="63" xfId="0" applyFill="1" applyBorder="1"/>
    <xf numFmtId="3" fontId="9" fillId="3" borderId="23" xfId="0" applyNumberFormat="1" applyFont="1" applyFill="1" applyBorder="1" applyAlignment="1">
      <alignment horizontal="right" indent="2"/>
    </xf>
    <xf numFmtId="3" fontId="9" fillId="3" borderId="24" xfId="0" applyNumberFormat="1" applyFont="1" applyFill="1" applyBorder="1" applyAlignment="1">
      <alignment horizontal="right" indent="2"/>
    </xf>
    <xf numFmtId="3" fontId="9" fillId="3" borderId="51" xfId="0" applyNumberFormat="1" applyFont="1" applyFill="1" applyBorder="1" applyAlignment="1">
      <alignment horizontal="right" indent="2"/>
    </xf>
    <xf numFmtId="3" fontId="9" fillId="3" borderId="21" xfId="0" applyNumberFormat="1" applyFont="1" applyFill="1" applyBorder="1" applyAlignment="1">
      <alignment horizontal="right" indent="2"/>
    </xf>
    <xf numFmtId="3" fontId="9" fillId="3" borderId="63" xfId="0" applyNumberFormat="1" applyFont="1" applyFill="1" applyBorder="1" applyAlignment="1">
      <alignment horizontal="right" indent="2"/>
    </xf>
    <xf numFmtId="3" fontId="9" fillId="0" borderId="10" xfId="0" applyNumberFormat="1" applyFont="1" applyBorder="1" applyAlignment="1">
      <alignment horizontal="right" indent="2"/>
    </xf>
    <xf numFmtId="0" fontId="0" fillId="3" borderId="41" xfId="0" applyFill="1" applyBorder="1"/>
    <xf numFmtId="165" fontId="15" fillId="3" borderId="35" xfId="2" applyNumberFormat="1" applyFont="1" applyFill="1" applyBorder="1" applyAlignment="1">
      <alignment horizontal="right" indent="2"/>
    </xf>
    <xf numFmtId="165" fontId="15" fillId="3" borderId="36" xfId="2" applyNumberFormat="1" applyFont="1" applyFill="1" applyBorder="1" applyAlignment="1">
      <alignment horizontal="right" indent="2"/>
    </xf>
    <xf numFmtId="165" fontId="15" fillId="3" borderId="66" xfId="2" applyNumberFormat="1" applyFont="1" applyFill="1" applyBorder="1" applyAlignment="1">
      <alignment horizontal="right" indent="2"/>
    </xf>
    <xf numFmtId="165" fontId="15" fillId="3" borderId="33" xfId="2" applyNumberFormat="1" applyFont="1" applyFill="1" applyBorder="1" applyAlignment="1">
      <alignment horizontal="right" indent="2"/>
    </xf>
    <xf numFmtId="165" fontId="15" fillId="3" borderId="64" xfId="2" applyNumberFormat="1" applyFont="1" applyFill="1" applyBorder="1" applyAlignment="1">
      <alignment horizontal="right" indent="2"/>
    </xf>
    <xf numFmtId="165" fontId="15" fillId="0" borderId="10" xfId="2" applyNumberFormat="1" applyFont="1" applyFill="1" applyBorder="1" applyAlignment="1">
      <alignment horizontal="right" indent="2"/>
    </xf>
    <xf numFmtId="0" fontId="29" fillId="4" borderId="5" xfId="0" applyFont="1" applyFill="1" applyBorder="1" applyAlignment="1">
      <alignment horizontal="center" vertical="center" wrapText="1"/>
    </xf>
    <xf numFmtId="0" fontId="2" fillId="6" borderId="13" xfId="0" applyFont="1" applyFill="1" applyBorder="1" applyAlignment="1">
      <alignment vertical="center" wrapText="1"/>
    </xf>
    <xf numFmtId="3" fontId="0" fillId="6" borderId="74" xfId="0" applyNumberFormat="1" applyFill="1" applyBorder="1" applyAlignment="1">
      <alignment horizontal="right" indent="2"/>
    </xf>
    <xf numFmtId="3" fontId="3" fillId="6" borderId="35" xfId="0" applyNumberFormat="1" applyFont="1" applyFill="1" applyBorder="1" applyAlignment="1">
      <alignment horizontal="right" indent="2"/>
    </xf>
    <xf numFmtId="3" fontId="3" fillId="6" borderId="37" xfId="0" applyNumberFormat="1" applyFont="1" applyFill="1" applyBorder="1" applyAlignment="1">
      <alignment horizontal="right" indent="2"/>
    </xf>
    <xf numFmtId="3" fontId="3" fillId="6" borderId="34" xfId="0" applyNumberFormat="1" applyFont="1" applyFill="1" applyBorder="1" applyAlignment="1">
      <alignment horizontal="right" indent="2"/>
    </xf>
    <xf numFmtId="3" fontId="3" fillId="6" borderId="66" xfId="0" applyNumberFormat="1" applyFont="1" applyFill="1" applyBorder="1" applyAlignment="1">
      <alignment horizontal="right" indent="2"/>
    </xf>
    <xf numFmtId="3" fontId="3" fillId="4" borderId="66" xfId="0" applyNumberFormat="1" applyFont="1" applyFill="1" applyBorder="1" applyAlignment="1">
      <alignment horizontal="right" indent="2"/>
    </xf>
    <xf numFmtId="3" fontId="3" fillId="4" borderId="41" xfId="0" applyNumberFormat="1" applyFont="1" applyFill="1" applyBorder="1" applyAlignment="1">
      <alignment horizontal="right" indent="2"/>
    </xf>
    <xf numFmtId="165" fontId="13" fillId="0" borderId="7" xfId="2" applyNumberFormat="1" applyFont="1" applyFill="1" applyBorder="1" applyAlignment="1">
      <alignment horizontal="center" vertical="center" wrapText="1"/>
    </xf>
    <xf numFmtId="165" fontId="49" fillId="0" borderId="53" xfId="2" applyNumberFormat="1" applyFont="1" applyFill="1" applyBorder="1" applyAlignment="1">
      <alignment horizontal="center" vertical="center" wrapText="1"/>
    </xf>
    <xf numFmtId="165" fontId="49" fillId="0" borderId="43" xfId="2" applyNumberFormat="1" applyFont="1" applyFill="1" applyBorder="1" applyAlignment="1">
      <alignment horizontal="center" vertical="center" wrapText="1"/>
    </xf>
    <xf numFmtId="165" fontId="49" fillId="0" borderId="44" xfId="2" applyNumberFormat="1" applyFont="1" applyFill="1" applyBorder="1" applyAlignment="1">
      <alignment horizontal="right" indent="2"/>
    </xf>
    <xf numFmtId="165" fontId="49" fillId="0" borderId="16" xfId="2" applyNumberFormat="1" applyFont="1" applyFill="1" applyBorder="1" applyAlignment="1">
      <alignment horizontal="center" vertical="center" wrapText="1"/>
    </xf>
    <xf numFmtId="165" fontId="49" fillId="0" borderId="0" xfId="2" applyNumberFormat="1" applyFont="1" applyFill="1" applyBorder="1" applyAlignment="1">
      <alignment horizontal="right" indent="2"/>
    </xf>
    <xf numFmtId="0" fontId="12" fillId="2" borderId="4" xfId="0" applyFont="1" applyFill="1" applyBorder="1" applyAlignment="1">
      <alignment horizontal="center" vertical="center" wrapText="1"/>
    </xf>
    <xf numFmtId="0" fontId="98" fillId="0" borderId="3" xfId="3" applyFont="1" applyFill="1" applyBorder="1" applyAlignment="1">
      <alignment horizontal="center" vertical="center" wrapText="1"/>
    </xf>
    <xf numFmtId="0" fontId="3" fillId="0" borderId="44" xfId="0" applyFont="1" applyBorder="1" applyAlignment="1">
      <alignment horizontal="left" wrapText="1"/>
    </xf>
    <xf numFmtId="3" fontId="98" fillId="0" borderId="44" xfId="3" applyNumberFormat="1" applyFont="1" applyFill="1" applyBorder="1" applyAlignment="1">
      <alignment horizontal="left" wrapText="1"/>
    </xf>
    <xf numFmtId="165" fontId="16" fillId="0" borderId="34" xfId="2" applyNumberFormat="1" applyFont="1" applyFill="1" applyBorder="1" applyAlignment="1">
      <alignment horizontal="right" indent="2"/>
    </xf>
    <xf numFmtId="165" fontId="16" fillId="4" borderId="33" xfId="2" applyNumberFormat="1" applyFont="1" applyFill="1" applyBorder="1" applyAlignment="1">
      <alignment horizontal="right" indent="2"/>
    </xf>
    <xf numFmtId="165" fontId="16" fillId="0" borderId="42" xfId="2" applyNumberFormat="1" applyFont="1" applyFill="1" applyBorder="1" applyAlignment="1">
      <alignment horizontal="right" indent="2"/>
    </xf>
    <xf numFmtId="165" fontId="16" fillId="4" borderId="34" xfId="2" applyNumberFormat="1" applyFont="1" applyFill="1" applyBorder="1" applyAlignment="1">
      <alignment horizontal="right" indent="2"/>
    </xf>
    <xf numFmtId="165" fontId="16" fillId="0" borderId="41" xfId="2" applyNumberFormat="1" applyFont="1" applyFill="1" applyBorder="1" applyAlignment="1">
      <alignment horizontal="right" indent="2"/>
    </xf>
    <xf numFmtId="3" fontId="16" fillId="6" borderId="12" xfId="0" applyNumberFormat="1" applyFont="1" applyFill="1" applyBorder="1" applyAlignment="1">
      <alignment horizontal="left" indent="2"/>
    </xf>
    <xf numFmtId="165" fontId="49" fillId="0" borderId="22" xfId="2" applyNumberFormat="1" applyFont="1" applyFill="1" applyBorder="1" applyAlignment="1"/>
    <xf numFmtId="3" fontId="16" fillId="6" borderId="24" xfId="0" applyNumberFormat="1" applyFont="1" applyFill="1" applyBorder="1" applyAlignment="1">
      <alignment horizontal="right" indent="2"/>
    </xf>
    <xf numFmtId="165" fontId="49" fillId="0" borderId="34" xfId="2" applyNumberFormat="1" applyFont="1" applyFill="1" applyBorder="1" applyAlignment="1"/>
    <xf numFmtId="3" fontId="16" fillId="6" borderId="36" xfId="0" applyNumberFormat="1" applyFont="1" applyFill="1" applyBorder="1" applyAlignment="1">
      <alignment horizontal="right" indent="2"/>
    </xf>
    <xf numFmtId="3" fontId="0" fillId="0" borderId="0" xfId="0" applyNumberFormat="1" applyAlignment="1">
      <alignment horizontal="left" vertical="center" wrapText="1"/>
    </xf>
    <xf numFmtId="3" fontId="15" fillId="6" borderId="18" xfId="2" applyNumberFormat="1" applyFont="1" applyFill="1" applyBorder="1" applyAlignment="1">
      <alignment horizontal="right" indent="2"/>
    </xf>
    <xf numFmtId="3" fontId="15" fillId="6" borderId="0" xfId="2" applyNumberFormat="1" applyFont="1" applyFill="1" applyBorder="1" applyAlignment="1">
      <alignment horizontal="right" indent="2"/>
    </xf>
    <xf numFmtId="165" fontId="15" fillId="6" borderId="0" xfId="2" applyNumberFormat="1" applyFont="1" applyFill="1" applyBorder="1" applyAlignment="1">
      <alignment horizontal="right" indent="2"/>
    </xf>
    <xf numFmtId="3" fontId="9" fillId="6" borderId="18" xfId="0" applyNumberFormat="1" applyFont="1" applyFill="1" applyBorder="1" applyAlignment="1">
      <alignment horizontal="right" indent="2"/>
    </xf>
    <xf numFmtId="0" fontId="11" fillId="6" borderId="18" xfId="0" applyFont="1" applyFill="1" applyBorder="1" applyAlignment="1">
      <alignment horizontal="center" vertical="center" textRotation="90" wrapText="1"/>
    </xf>
    <xf numFmtId="0" fontId="0" fillId="6" borderId="0" xfId="0" applyFill="1"/>
    <xf numFmtId="165" fontId="15" fillId="6" borderId="10" xfId="2" applyNumberFormat="1" applyFont="1" applyFill="1" applyBorder="1" applyAlignment="1">
      <alignment horizontal="right" indent="2"/>
    </xf>
    <xf numFmtId="3" fontId="9" fillId="6" borderId="35" xfId="0" applyNumberFormat="1" applyFont="1" applyFill="1" applyBorder="1" applyAlignment="1">
      <alignment horizontal="right" indent="2"/>
    </xf>
    <xf numFmtId="3" fontId="9" fillId="6" borderId="33" xfId="0" applyNumberFormat="1" applyFont="1" applyFill="1" applyBorder="1" applyAlignment="1">
      <alignment horizontal="right" indent="2"/>
    </xf>
    <xf numFmtId="3" fontId="9" fillId="6" borderId="66" xfId="0" applyNumberFormat="1" applyFont="1" applyFill="1" applyBorder="1" applyAlignment="1">
      <alignment horizontal="right" indent="2"/>
    </xf>
    <xf numFmtId="165" fontId="9" fillId="6" borderId="53" xfId="2" applyNumberFormat="1" applyFont="1" applyFill="1" applyBorder="1" applyAlignment="1">
      <alignment horizontal="right" indent="2"/>
    </xf>
    <xf numFmtId="165" fontId="9" fillId="6" borderId="42" xfId="2" applyNumberFormat="1" applyFont="1" applyFill="1" applyBorder="1" applyAlignment="1">
      <alignment horizontal="right" indent="2"/>
    </xf>
    <xf numFmtId="167" fontId="12" fillId="0" borderId="0" xfId="5" applyNumberFormat="1" applyFont="1"/>
    <xf numFmtId="0" fontId="3" fillId="0" borderId="11" xfId="0" applyFont="1" applyBorder="1" applyAlignment="1">
      <alignment horizontal="center" vertical="center" wrapText="1"/>
    </xf>
    <xf numFmtId="0" fontId="3" fillId="0" borderId="11" xfId="0" applyFont="1" applyBorder="1" applyAlignment="1">
      <alignment horizontal="center" vertical="center"/>
    </xf>
    <xf numFmtId="0" fontId="0" fillId="0" borderId="11" xfId="0" quotePrefix="1" applyBorder="1" applyAlignment="1">
      <alignment horizontal="center" vertical="center"/>
    </xf>
    <xf numFmtId="0" fontId="0" fillId="0" borderId="10" xfId="0" applyBorder="1" applyAlignment="1">
      <alignment horizontal="center"/>
    </xf>
    <xf numFmtId="0" fontId="0" fillId="22" borderId="16" xfId="0" applyFill="1" applyBorder="1"/>
    <xf numFmtId="3" fontId="0" fillId="22" borderId="11" xfId="0" applyNumberFormat="1" applyFill="1" applyBorder="1" applyAlignment="1">
      <alignment horizontal="right" indent="2"/>
    </xf>
    <xf numFmtId="3" fontId="0" fillId="22" borderId="38" xfId="0" applyNumberFormat="1" applyFill="1" applyBorder="1" applyAlignment="1">
      <alignment horizontal="right" indent="2"/>
    </xf>
    <xf numFmtId="3" fontId="0" fillId="17" borderId="16" xfId="0" applyNumberFormat="1" applyFill="1" applyBorder="1" applyAlignment="1">
      <alignment horizontal="right" indent="2"/>
    </xf>
    <xf numFmtId="0" fontId="131" fillId="0" borderId="10" xfId="0" applyFont="1" applyBorder="1"/>
    <xf numFmtId="0" fontId="35" fillId="0" borderId="0" xfId="0" applyFont="1" applyAlignment="1">
      <alignment wrapText="1"/>
    </xf>
    <xf numFmtId="165" fontId="39" fillId="0" borderId="2" xfId="3" applyNumberFormat="1" applyFont="1" applyFill="1" applyBorder="1" applyAlignment="1">
      <alignment horizontal="right" wrapText="1" indent="2"/>
    </xf>
    <xf numFmtId="165" fontId="4" fillId="0" borderId="2" xfId="3" applyNumberFormat="1" applyFill="1" applyBorder="1" applyAlignment="1">
      <alignment horizontal="right" wrapText="1" indent="2"/>
    </xf>
    <xf numFmtId="3" fontId="13" fillId="0" borderId="11" xfId="2" applyNumberFormat="1" applyFont="1" applyFill="1" applyBorder="1" applyAlignment="1">
      <alignment horizontal="right" indent="2"/>
    </xf>
    <xf numFmtId="3" fontId="13" fillId="4" borderId="38" xfId="2" applyNumberFormat="1" applyFont="1" applyFill="1" applyBorder="1" applyAlignment="1"/>
    <xf numFmtId="3" fontId="13" fillId="4" borderId="11" xfId="2" applyNumberFormat="1" applyFont="1" applyFill="1" applyBorder="1" applyAlignment="1"/>
    <xf numFmtId="165" fontId="13" fillId="4" borderId="11" xfId="2" applyNumberFormat="1" applyFont="1" applyFill="1" applyBorder="1" applyAlignment="1"/>
    <xf numFmtId="3" fontId="0" fillId="22" borderId="13" xfId="0" applyNumberFormat="1" applyFill="1" applyBorder="1"/>
    <xf numFmtId="3" fontId="0" fillId="22" borderId="22" xfId="0" applyNumberFormat="1" applyFill="1" applyBorder="1" applyAlignment="1">
      <alignment horizontal="right" vertical="center" wrapText="1" indent="2"/>
    </xf>
    <xf numFmtId="3" fontId="0" fillId="22" borderId="34" xfId="0" applyNumberFormat="1" applyFill="1" applyBorder="1" applyAlignment="1">
      <alignment horizontal="right" vertical="center" wrapText="1" indent="2"/>
    </xf>
    <xf numFmtId="0" fontId="12" fillId="0" borderId="2" xfId="0" applyFont="1" applyBorder="1" applyAlignment="1">
      <alignment vertical="top"/>
    </xf>
    <xf numFmtId="0" fontId="52" fillId="4" borderId="5" xfId="3" applyFont="1" applyFill="1" applyBorder="1" applyAlignment="1">
      <alignment horizontal="center" vertical="center" wrapText="1"/>
    </xf>
    <xf numFmtId="0" fontId="29" fillId="0" borderId="4" xfId="3" applyFont="1" applyFill="1" applyBorder="1" applyAlignment="1">
      <alignment horizontal="center" vertical="top" wrapText="1"/>
    </xf>
    <xf numFmtId="0" fontId="12" fillId="6" borderId="13" xfId="0" applyFont="1" applyFill="1" applyBorder="1"/>
    <xf numFmtId="3" fontId="0" fillId="6" borderId="15" xfId="0" applyNumberFormat="1" applyFill="1" applyBorder="1" applyAlignment="1">
      <alignment vertical="center" wrapText="1"/>
    </xf>
    <xf numFmtId="0" fontId="12" fillId="6" borderId="22" xfId="0" applyFont="1" applyFill="1" applyBorder="1" applyAlignment="1">
      <alignment horizontal="right"/>
    </xf>
    <xf numFmtId="3" fontId="12" fillId="6" borderId="21" xfId="0" applyNumberFormat="1" applyFont="1" applyFill="1" applyBorder="1" applyAlignment="1">
      <alignment horizontal="right" indent="2"/>
    </xf>
    <xf numFmtId="3" fontId="12" fillId="6" borderId="8" xfId="0" applyNumberFormat="1" applyFont="1" applyFill="1" applyBorder="1" applyAlignment="1">
      <alignment horizontal="right" indent="2"/>
    </xf>
    <xf numFmtId="0" fontId="38" fillId="6" borderId="22" xfId="0" applyFont="1" applyFill="1" applyBorder="1" applyAlignment="1">
      <alignment horizontal="right"/>
    </xf>
    <xf numFmtId="0" fontId="38" fillId="6" borderId="28" xfId="0" applyFont="1" applyFill="1" applyBorder="1" applyAlignment="1">
      <alignment horizontal="right"/>
    </xf>
    <xf numFmtId="0" fontId="12" fillId="6" borderId="34" xfId="0" applyFont="1" applyFill="1" applyBorder="1" applyAlignment="1">
      <alignment horizontal="right"/>
    </xf>
    <xf numFmtId="3" fontId="12" fillId="6" borderId="33" xfId="0" applyNumberFormat="1" applyFont="1" applyFill="1" applyBorder="1" applyAlignment="1">
      <alignment horizontal="right" indent="2"/>
    </xf>
    <xf numFmtId="3" fontId="12" fillId="6" borderId="41" xfId="0" applyNumberFormat="1" applyFont="1" applyFill="1" applyBorder="1" applyAlignment="1">
      <alignment horizontal="right" indent="2"/>
    </xf>
    <xf numFmtId="0" fontId="38" fillId="0" borderId="11" xfId="0" applyFont="1" applyBorder="1" applyAlignment="1">
      <alignment horizontal="right"/>
    </xf>
    <xf numFmtId="0" fontId="12" fillId="0" borderId="38" xfId="0" applyFont="1" applyBorder="1" applyAlignment="1">
      <alignment horizontal="right"/>
    </xf>
    <xf numFmtId="3" fontId="12" fillId="4" borderId="21" xfId="0" applyNumberFormat="1" applyFont="1" applyFill="1" applyBorder="1" applyAlignment="1">
      <alignment horizontal="right" vertical="center" wrapText="1" indent="2"/>
    </xf>
    <xf numFmtId="0" fontId="12" fillId="0" borderId="11" xfId="0" quotePrefix="1" applyFont="1" applyBorder="1" applyAlignment="1">
      <alignment horizontal="right"/>
    </xf>
    <xf numFmtId="165" fontId="36" fillId="0" borderId="42" xfId="2" applyNumberFormat="1" applyFont="1" applyFill="1" applyBorder="1" applyAlignment="1">
      <alignment horizontal="center" vertical="center" wrapText="1"/>
    </xf>
    <xf numFmtId="0" fontId="12" fillId="0" borderId="16" xfId="0" applyFont="1" applyBorder="1" applyAlignment="1">
      <alignment horizontal="right"/>
    </xf>
    <xf numFmtId="0" fontId="38" fillId="0" borderId="38" xfId="0" applyFont="1" applyBorder="1" applyAlignment="1">
      <alignment horizontal="right"/>
    </xf>
    <xf numFmtId="3" fontId="0" fillId="0" borderId="52" xfId="0" applyNumberFormat="1" applyBorder="1" applyAlignment="1">
      <alignment horizontal="left" indent="2"/>
    </xf>
    <xf numFmtId="0" fontId="38" fillId="4" borderId="22" xfId="0" applyFont="1" applyFill="1" applyBorder="1" applyAlignment="1">
      <alignment horizontal="right"/>
    </xf>
    <xf numFmtId="3" fontId="12" fillId="4" borderId="25" xfId="0" applyNumberFormat="1" applyFont="1" applyFill="1" applyBorder="1" applyAlignment="1">
      <alignment horizontal="right" vertical="center" wrapText="1" indent="2"/>
    </xf>
    <xf numFmtId="0" fontId="12" fillId="4" borderId="0" xfId="0" applyFont="1" applyFill="1" applyAlignment="1">
      <alignment horizontal="right"/>
    </xf>
    <xf numFmtId="0" fontId="12" fillId="0" borderId="22" xfId="0" applyFont="1" applyBorder="1" applyAlignment="1">
      <alignment horizontal="right"/>
    </xf>
    <xf numFmtId="0" fontId="12" fillId="0" borderId="34" xfId="0" applyFont="1" applyBorder="1" applyAlignment="1">
      <alignment horizontal="right"/>
    </xf>
    <xf numFmtId="0" fontId="12" fillId="7" borderId="16" xfId="0" applyFont="1" applyFill="1" applyBorder="1" applyAlignment="1">
      <alignment horizontal="right"/>
    </xf>
    <xf numFmtId="0" fontId="12" fillId="7" borderId="11" xfId="0" applyFont="1" applyFill="1" applyBorder="1" applyAlignment="1">
      <alignment horizontal="right"/>
    </xf>
    <xf numFmtId="0" fontId="12" fillId="7" borderId="38" xfId="0" applyFont="1" applyFill="1" applyBorder="1" applyAlignment="1">
      <alignment horizontal="right"/>
    </xf>
    <xf numFmtId="165" fontId="0" fillId="0" borderId="19" xfId="2" applyNumberFormat="1" applyFont="1" applyFill="1" applyBorder="1"/>
    <xf numFmtId="165" fontId="9" fillId="0" borderId="19" xfId="2" applyNumberFormat="1" applyFont="1" applyFill="1" applyBorder="1" applyAlignment="1">
      <alignment horizontal="right" indent="2"/>
    </xf>
    <xf numFmtId="165" fontId="15" fillId="0" borderId="40" xfId="2" applyNumberFormat="1" applyFont="1" applyFill="1" applyBorder="1" applyAlignment="1">
      <alignment horizontal="right" indent="2"/>
    </xf>
    <xf numFmtId="0" fontId="3" fillId="0" borderId="7" xfId="0" applyFont="1" applyBorder="1" applyAlignment="1">
      <alignment horizontal="center" vertical="center" wrapText="1"/>
    </xf>
    <xf numFmtId="0" fontId="0" fillId="2" borderId="15" xfId="0" applyFill="1" applyBorder="1" applyAlignment="1">
      <alignment vertical="center" wrapText="1"/>
    </xf>
    <xf numFmtId="166" fontId="0" fillId="2" borderId="25" xfId="0" applyNumberFormat="1" applyFill="1" applyBorder="1" applyAlignment="1">
      <alignment horizontal="right" indent="2"/>
    </xf>
    <xf numFmtId="4" fontId="0" fillId="6" borderId="21" xfId="0" applyNumberFormat="1" applyFill="1" applyBorder="1" applyAlignment="1">
      <alignment horizontal="right" indent="2"/>
    </xf>
    <xf numFmtId="4" fontId="0" fillId="6" borderId="26" xfId="0" applyNumberFormat="1" applyFill="1" applyBorder="1" applyAlignment="1">
      <alignment horizontal="right" indent="2"/>
    </xf>
    <xf numFmtId="4" fontId="0" fillId="0" borderId="0" xfId="0" applyNumberFormat="1" applyAlignment="1">
      <alignment horizontal="left"/>
    </xf>
    <xf numFmtId="43" fontId="0" fillId="6" borderId="24" xfId="5" applyFont="1" applyFill="1" applyBorder="1" applyAlignment="1">
      <alignment horizontal="right" indent="2"/>
    </xf>
    <xf numFmtId="166" fontId="0" fillId="2" borderId="31" xfId="0" applyNumberFormat="1" applyFill="1" applyBorder="1" applyAlignment="1">
      <alignment horizontal="right" indent="2"/>
    </xf>
    <xf numFmtId="4" fontId="0" fillId="6" borderId="32" xfId="0" applyNumberFormat="1" applyFill="1" applyBorder="1" applyAlignment="1">
      <alignment horizontal="right" indent="2"/>
    </xf>
    <xf numFmtId="4" fontId="0" fillId="6" borderId="30" xfId="0" applyNumberFormat="1" applyFill="1" applyBorder="1" applyAlignment="1">
      <alignment horizontal="right" indent="2"/>
    </xf>
    <xf numFmtId="4" fontId="0" fillId="6" borderId="28" xfId="0" applyNumberFormat="1" applyFill="1" applyBorder="1" applyAlignment="1">
      <alignment horizontal="right" indent="2"/>
    </xf>
    <xf numFmtId="43" fontId="0" fillId="6" borderId="30" xfId="5" applyFont="1" applyFill="1" applyBorder="1" applyAlignment="1">
      <alignment horizontal="right" indent="2"/>
    </xf>
    <xf numFmtId="166" fontId="0" fillId="2" borderId="37" xfId="0" applyNumberFormat="1" applyFill="1" applyBorder="1" applyAlignment="1">
      <alignment horizontal="right" indent="2"/>
    </xf>
    <xf numFmtId="4" fontId="3" fillId="6" borderId="33" xfId="0" applyNumberFormat="1" applyFont="1" applyFill="1" applyBorder="1" applyAlignment="1">
      <alignment horizontal="right" indent="2"/>
    </xf>
    <xf numFmtId="4" fontId="3" fillId="6" borderId="39" xfId="0" applyNumberFormat="1" applyFont="1" applyFill="1" applyBorder="1" applyAlignment="1">
      <alignment horizontal="right" indent="2"/>
    </xf>
    <xf numFmtId="4" fontId="0" fillId="0" borderId="42" xfId="0" applyNumberFormat="1" applyBorder="1" applyAlignment="1">
      <alignment horizontal="right" indent="2"/>
    </xf>
    <xf numFmtId="4" fontId="3" fillId="6" borderId="34" xfId="0" applyNumberFormat="1" applyFont="1" applyFill="1" applyBorder="1" applyAlignment="1">
      <alignment horizontal="right" indent="2"/>
    </xf>
    <xf numFmtId="43" fontId="0" fillId="6" borderId="36" xfId="5" applyFont="1" applyFill="1" applyBorder="1" applyAlignment="1">
      <alignment horizontal="right" indent="2"/>
    </xf>
    <xf numFmtId="3" fontId="0" fillId="2" borderId="44" xfId="0" applyNumberFormat="1" applyFill="1" applyBorder="1" applyAlignment="1">
      <alignment horizontal="right" indent="2"/>
    </xf>
    <xf numFmtId="43" fontId="0" fillId="0" borderId="43" xfId="5" applyFont="1" applyBorder="1" applyAlignment="1">
      <alignment horizontal="right" indent="2"/>
    </xf>
    <xf numFmtId="166" fontId="0" fillId="2" borderId="46" xfId="0" applyNumberFormat="1" applyFill="1" applyBorder="1" applyAlignment="1">
      <alignment horizontal="right" indent="2"/>
    </xf>
    <xf numFmtId="4" fontId="0" fillId="4" borderId="21" xfId="0" applyNumberFormat="1" applyFill="1" applyBorder="1" applyAlignment="1">
      <alignment horizontal="right" indent="2"/>
    </xf>
    <xf numFmtId="4" fontId="0" fillId="4" borderId="17" xfId="0" applyNumberFormat="1" applyFill="1" applyBorder="1" applyAlignment="1">
      <alignment horizontal="right" indent="2"/>
    </xf>
    <xf numFmtId="4" fontId="0" fillId="4" borderId="62" xfId="0" applyNumberFormat="1" applyFill="1" applyBorder="1" applyAlignment="1">
      <alignment horizontal="right" indent="2"/>
    </xf>
    <xf numFmtId="43" fontId="0" fillId="4" borderId="17" xfId="5" applyFont="1" applyFill="1" applyBorder="1" applyAlignment="1">
      <alignment horizontal="right" indent="2"/>
    </xf>
    <xf numFmtId="166" fontId="0" fillId="2" borderId="10" xfId="0" applyNumberFormat="1" applyFill="1" applyBorder="1" applyAlignment="1">
      <alignment horizontal="right" indent="2"/>
    </xf>
    <xf numFmtId="4" fontId="0" fillId="4" borderId="18" xfId="0" applyNumberFormat="1" applyFill="1" applyBorder="1" applyAlignment="1">
      <alignment horizontal="right" indent="2"/>
    </xf>
    <xf numFmtId="43" fontId="0" fillId="0" borderId="10" xfId="0" applyNumberFormat="1" applyBorder="1"/>
    <xf numFmtId="43" fontId="0" fillId="4" borderId="18" xfId="5" applyFont="1" applyFill="1" applyBorder="1" applyAlignment="1">
      <alignment horizontal="right" indent="2"/>
    </xf>
    <xf numFmtId="4" fontId="0" fillId="4" borderId="50" xfId="0" applyNumberFormat="1" applyFill="1" applyBorder="1" applyAlignment="1">
      <alignment horizontal="right" indent="2"/>
    </xf>
    <xf numFmtId="166" fontId="0" fillId="2" borderId="35" xfId="0" applyNumberFormat="1" applyFill="1" applyBorder="1" applyAlignment="1">
      <alignment horizontal="right" indent="2"/>
    </xf>
    <xf numFmtId="4" fontId="3" fillId="4" borderId="33" xfId="0" applyNumberFormat="1" applyFont="1" applyFill="1" applyBorder="1" applyAlignment="1">
      <alignment horizontal="right" indent="2"/>
    </xf>
    <xf numFmtId="4" fontId="3" fillId="4" borderId="66" xfId="0" applyNumberFormat="1" applyFont="1" applyFill="1" applyBorder="1" applyAlignment="1">
      <alignment horizontal="right" indent="2"/>
    </xf>
    <xf numFmtId="4" fontId="0" fillId="0" borderId="53" xfId="0" applyNumberFormat="1" applyBorder="1" applyAlignment="1">
      <alignment horizontal="right" indent="2"/>
    </xf>
    <xf numFmtId="43" fontId="0" fillId="0" borderId="53" xfId="5" applyFont="1" applyBorder="1" applyAlignment="1">
      <alignment horizontal="right" indent="2"/>
    </xf>
    <xf numFmtId="43" fontId="18" fillId="0" borderId="34" xfId="5" applyFont="1" applyFill="1" applyBorder="1" applyAlignment="1">
      <alignment horizontal="center" vertical="center" wrapText="1"/>
    </xf>
    <xf numFmtId="0" fontId="0" fillId="2" borderId="44" xfId="0" applyFill="1" applyBorder="1" applyAlignment="1">
      <alignment horizontal="right" vertical="center" wrapText="1"/>
    </xf>
    <xf numFmtId="0" fontId="3" fillId="0" borderId="18" xfId="0" applyFont="1" applyBorder="1" applyAlignment="1">
      <alignment horizontal="center" vertical="center" wrapText="1"/>
    </xf>
    <xf numFmtId="4" fontId="0" fillId="2" borderId="25" xfId="0" applyNumberFormat="1" applyFill="1" applyBorder="1" applyAlignment="1">
      <alignment horizontal="right" indent="2"/>
    </xf>
    <xf numFmtId="43" fontId="0" fillId="4" borderId="27" xfId="5" applyFont="1" applyFill="1" applyBorder="1" applyAlignment="1">
      <alignment horizontal="right" vertical="center" wrapText="1" indent="2"/>
    </xf>
    <xf numFmtId="165" fontId="13" fillId="2" borderId="41" xfId="2" applyNumberFormat="1" applyFont="1" applyFill="1" applyBorder="1" applyAlignment="1">
      <alignment horizontal="right" indent="2"/>
    </xf>
    <xf numFmtId="3" fontId="0" fillId="4" borderId="16" xfId="0" applyNumberFormat="1" applyFill="1" applyBorder="1" applyAlignment="1">
      <alignment horizontal="right" indent="2"/>
    </xf>
    <xf numFmtId="0" fontId="12" fillId="0" borderId="2" xfId="0" applyFont="1" applyBorder="1" applyAlignment="1">
      <alignment vertical="center" wrapText="1"/>
    </xf>
    <xf numFmtId="4" fontId="95" fillId="4" borderId="25" xfId="0" applyNumberFormat="1" applyFont="1" applyFill="1" applyBorder="1" applyAlignment="1">
      <alignment horizontal="right" indent="2"/>
    </xf>
    <xf numFmtId="4" fontId="0" fillId="4" borderId="59" xfId="0" applyNumberFormat="1" applyFill="1" applyBorder="1" applyAlignment="1">
      <alignment horizontal="right" indent="2"/>
    </xf>
    <xf numFmtId="4" fontId="0" fillId="4" borderId="32" xfId="0" applyNumberFormat="1" applyFill="1" applyBorder="1" applyAlignment="1">
      <alignment horizontal="right" indent="2"/>
    </xf>
    <xf numFmtId="43" fontId="0" fillId="4" borderId="27" xfId="5" applyFont="1" applyFill="1" applyBorder="1" applyAlignment="1">
      <alignment horizontal="right" indent="2"/>
    </xf>
    <xf numFmtId="43" fontId="0" fillId="0" borderId="18" xfId="5" applyFont="1" applyBorder="1" applyAlignment="1">
      <alignment horizontal="right" indent="2"/>
    </xf>
    <xf numFmtId="3" fontId="95" fillId="4" borderId="19" xfId="0" applyNumberFormat="1" applyFont="1" applyFill="1" applyBorder="1" applyAlignment="1">
      <alignment horizontal="right" indent="2"/>
    </xf>
    <xf numFmtId="43" fontId="0" fillId="4" borderId="21" xfId="5" applyFont="1" applyFill="1" applyBorder="1" applyAlignment="1">
      <alignment horizontal="right" indent="2"/>
    </xf>
    <xf numFmtId="43" fontId="0" fillId="4" borderId="33" xfId="5" applyFont="1" applyFill="1" applyBorder="1" applyAlignment="1">
      <alignment horizontal="right" indent="2"/>
    </xf>
    <xf numFmtId="4" fontId="95" fillId="4" borderId="59" xfId="0" applyNumberFormat="1" applyFont="1" applyFill="1" applyBorder="1" applyAlignment="1">
      <alignment horizontal="right" indent="2"/>
    </xf>
    <xf numFmtId="4" fontId="0" fillId="4" borderId="26" xfId="0" applyNumberFormat="1" applyFill="1" applyBorder="1" applyAlignment="1">
      <alignment horizontal="right" indent="2"/>
    </xf>
    <xf numFmtId="165" fontId="20" fillId="4" borderId="39" xfId="2" applyNumberFormat="1" applyFont="1" applyFill="1" applyBorder="1" applyAlignment="1">
      <alignment horizontal="right" indent="2"/>
    </xf>
    <xf numFmtId="4" fontId="11" fillId="0" borderId="18" xfId="0" applyNumberFormat="1" applyFont="1" applyBorder="1" applyAlignment="1">
      <alignment horizontal="center" vertical="center" textRotation="90" wrapText="1"/>
    </xf>
    <xf numFmtId="4" fontId="0" fillId="0" borderId="11" xfId="0" applyNumberFormat="1" applyBorder="1" applyAlignment="1">
      <alignment horizontal="right"/>
    </xf>
    <xf numFmtId="4" fontId="3" fillId="0" borderId="11" xfId="0" applyNumberFormat="1" applyFont="1" applyBorder="1" applyAlignment="1">
      <alignment horizontal="right"/>
    </xf>
    <xf numFmtId="165" fontId="134" fillId="0" borderId="18" xfId="2" applyNumberFormat="1" applyFont="1" applyFill="1" applyBorder="1" applyAlignment="1">
      <alignment horizontal="right" indent="2"/>
    </xf>
    <xf numFmtId="165" fontId="134" fillId="0" borderId="0" xfId="2" applyNumberFormat="1" applyFont="1" applyFill="1" applyBorder="1" applyAlignment="1">
      <alignment horizontal="right" indent="2"/>
    </xf>
    <xf numFmtId="165" fontId="134" fillId="0" borderId="11" xfId="2" applyNumberFormat="1" applyFont="1" applyFill="1" applyBorder="1" applyAlignment="1">
      <alignment horizontal="right" indent="2"/>
    </xf>
    <xf numFmtId="4" fontId="11" fillId="6" borderId="17" xfId="0" applyNumberFormat="1" applyFont="1" applyFill="1" applyBorder="1" applyAlignment="1">
      <alignment horizontal="center" vertical="center" textRotation="90" wrapText="1"/>
    </xf>
    <xf numFmtId="4" fontId="0" fillId="6" borderId="6" xfId="0" applyNumberFormat="1" applyFill="1" applyBorder="1"/>
    <xf numFmtId="4" fontId="0" fillId="6" borderId="62" xfId="0" applyNumberFormat="1" applyFill="1" applyBorder="1" applyAlignment="1">
      <alignment horizontal="right"/>
    </xf>
    <xf numFmtId="4" fontId="0" fillId="0" borderId="6" xfId="0" applyNumberFormat="1" applyBorder="1" applyAlignment="1">
      <alignment horizontal="right"/>
    </xf>
    <xf numFmtId="4" fontId="15" fillId="6" borderId="46" xfId="2" applyNumberFormat="1" applyFont="1" applyFill="1" applyBorder="1" applyAlignment="1">
      <alignment horizontal="right" indent="2"/>
    </xf>
    <xf numFmtId="4" fontId="15" fillId="0" borderId="6" xfId="2" applyNumberFormat="1" applyFont="1" applyFill="1" applyBorder="1" applyAlignment="1">
      <alignment horizontal="right"/>
    </xf>
    <xf numFmtId="4" fontId="15" fillId="6" borderId="47" xfId="2" applyNumberFormat="1" applyFont="1" applyFill="1" applyBorder="1" applyAlignment="1">
      <alignment horizontal="right" indent="2"/>
    </xf>
    <xf numFmtId="4" fontId="15" fillId="6" borderId="65" xfId="2" applyNumberFormat="1" applyFont="1" applyFill="1" applyBorder="1" applyAlignment="1">
      <alignment horizontal="right" indent="2"/>
    </xf>
    <xf numFmtId="4" fontId="15" fillId="0" borderId="11" xfId="2" applyNumberFormat="1" applyFont="1" applyFill="1" applyBorder="1" applyAlignment="1">
      <alignment horizontal="right" indent="2"/>
    </xf>
    <xf numFmtId="4" fontId="15" fillId="6" borderId="17" xfId="2" applyNumberFormat="1" applyFont="1" applyFill="1" applyBorder="1" applyAlignment="1">
      <alignment horizontal="right" indent="2"/>
    </xf>
    <xf numFmtId="4" fontId="15" fillId="6" borderId="79" xfId="2" applyNumberFormat="1" applyFont="1" applyFill="1" applyBorder="1" applyAlignment="1">
      <alignment horizontal="right" indent="2"/>
    </xf>
    <xf numFmtId="4" fontId="15" fillId="0" borderId="0" xfId="2" applyNumberFormat="1" applyFont="1" applyFill="1" applyBorder="1" applyAlignment="1">
      <alignment horizontal="right" indent="2"/>
    </xf>
    <xf numFmtId="165" fontId="15" fillId="6" borderId="72" xfId="2" applyNumberFormat="1" applyFont="1" applyFill="1" applyBorder="1" applyAlignment="1">
      <alignment horizontal="right" indent="2"/>
    </xf>
    <xf numFmtId="3" fontId="9" fillId="6" borderId="36" xfId="0" applyNumberFormat="1" applyFont="1" applyFill="1" applyBorder="1" applyAlignment="1">
      <alignment horizontal="right" indent="2"/>
    </xf>
    <xf numFmtId="3" fontId="9" fillId="6" borderId="64" xfId="0" applyNumberFormat="1" applyFont="1" applyFill="1" applyBorder="1" applyAlignment="1">
      <alignment horizontal="right" indent="2"/>
    </xf>
    <xf numFmtId="0" fontId="12" fillId="0" borderId="3" xfId="0" applyFont="1" applyBorder="1" applyAlignment="1">
      <alignment horizontal="right"/>
    </xf>
    <xf numFmtId="0" fontId="12" fillId="0" borderId="16" xfId="0" applyFont="1" applyBorder="1" applyAlignment="1">
      <alignment horizontal="right" vertical="center"/>
    </xf>
    <xf numFmtId="0" fontId="0" fillId="0" borderId="70" xfId="0" applyBorder="1" applyAlignment="1">
      <alignment vertical="center"/>
    </xf>
    <xf numFmtId="0" fontId="5" fillId="0" borderId="5" xfId="0" applyFont="1" applyBorder="1" applyAlignment="1">
      <alignment horizontal="left" vertical="center"/>
    </xf>
    <xf numFmtId="178" fontId="0" fillId="0" borderId="18" xfId="0" applyNumberFormat="1" applyBorder="1" applyAlignment="1">
      <alignment horizontal="right"/>
    </xf>
    <xf numFmtId="9" fontId="12" fillId="0" borderId="11" xfId="2" applyFont="1" applyFill="1" applyBorder="1" applyAlignment="1">
      <alignment horizontal="right"/>
    </xf>
    <xf numFmtId="9" fontId="0" fillId="0" borderId="0" xfId="2" applyFont="1" applyFill="1" applyBorder="1" applyAlignment="1">
      <alignment horizontal="right"/>
    </xf>
    <xf numFmtId="9" fontId="12" fillId="0" borderId="38" xfId="2" applyFont="1" applyFill="1" applyBorder="1" applyAlignment="1">
      <alignment horizontal="right"/>
    </xf>
    <xf numFmtId="0" fontId="0" fillId="0" borderId="18" xfId="0" applyBorder="1" applyAlignment="1">
      <alignment vertical="top" wrapText="1"/>
    </xf>
    <xf numFmtId="0" fontId="5" fillId="0" borderId="16" xfId="0" applyFont="1" applyBorder="1" applyAlignment="1">
      <alignment horizontal="left" vertical="center"/>
    </xf>
    <xf numFmtId="0" fontId="21" fillId="0" borderId="38" xfId="0" applyFont="1" applyBorder="1" applyAlignment="1">
      <alignment horizontal="right"/>
    </xf>
    <xf numFmtId="9" fontId="12" fillId="0" borderId="16" xfId="2" applyFont="1" applyFill="1" applyBorder="1" applyAlignment="1">
      <alignment horizontal="right"/>
    </xf>
    <xf numFmtId="0" fontId="5" fillId="0" borderId="11" xfId="0" applyFont="1" applyBorder="1" applyAlignment="1">
      <alignment horizontal="center"/>
    </xf>
    <xf numFmtId="0" fontId="5" fillId="0" borderId="38" xfId="0" applyFont="1" applyBorder="1" applyAlignment="1">
      <alignment horizontal="center"/>
    </xf>
    <xf numFmtId="0" fontId="0" fillId="0" borderId="2" xfId="0" applyBorder="1"/>
    <xf numFmtId="0" fontId="12" fillId="0" borderId="2" xfId="0" applyFont="1" applyBorder="1" applyAlignment="1">
      <alignment horizontal="right"/>
    </xf>
    <xf numFmtId="0" fontId="12" fillId="0" borderId="5" xfId="0" applyFont="1" applyBorder="1" applyAlignment="1">
      <alignment horizontal="right" vertical="center"/>
    </xf>
    <xf numFmtId="0" fontId="5" fillId="0" borderId="16" xfId="0" applyFont="1" applyBorder="1" applyAlignment="1">
      <alignment horizontal="right"/>
    </xf>
    <xf numFmtId="3" fontId="0" fillId="4" borderId="0" xfId="0" applyNumberFormat="1" applyFill="1"/>
    <xf numFmtId="9" fontId="0" fillId="0" borderId="11" xfId="2" applyFont="1" applyFill="1" applyBorder="1" applyAlignment="1">
      <alignment horizontal="right"/>
    </xf>
    <xf numFmtId="3" fontId="0" fillId="0" borderId="42" xfId="0" applyNumberFormat="1" applyBorder="1" applyAlignment="1">
      <alignment horizontal="left" vertical="center" wrapText="1"/>
    </xf>
    <xf numFmtId="3" fontId="0" fillId="0" borderId="52" xfId="0" applyNumberFormat="1" applyBorder="1"/>
    <xf numFmtId="0" fontId="5" fillId="0" borderId="11" xfId="0" applyFont="1" applyBorder="1" applyAlignment="1">
      <alignment horizontal="left"/>
    </xf>
    <xf numFmtId="165" fontId="20" fillId="4" borderId="66" xfId="2" applyNumberFormat="1" applyFont="1" applyFill="1" applyBorder="1" applyAlignment="1">
      <alignment horizontal="right" indent="2"/>
    </xf>
    <xf numFmtId="165" fontId="20" fillId="0" borderId="11" xfId="2" applyNumberFormat="1" applyFont="1" applyFill="1" applyBorder="1" applyAlignment="1">
      <alignment horizontal="right" vertical="center" wrapText="1" indent="2"/>
    </xf>
    <xf numFmtId="3" fontId="0" fillId="6" borderId="47" xfId="0" applyNumberFormat="1" applyFill="1" applyBorder="1" applyAlignment="1">
      <alignment horizontal="right" indent="2"/>
    </xf>
    <xf numFmtId="3" fontId="0" fillId="6" borderId="65" xfId="0" applyNumberFormat="1" applyFill="1" applyBorder="1" applyAlignment="1">
      <alignment horizontal="right" indent="2"/>
    </xf>
    <xf numFmtId="3" fontId="0" fillId="0" borderId="13" xfId="0" applyNumberFormat="1" applyBorder="1" applyAlignment="1">
      <alignment horizontal="right" indent="2"/>
    </xf>
    <xf numFmtId="3" fontId="9" fillId="0" borderId="42" xfId="0" applyNumberFormat="1" applyFont="1" applyBorder="1" applyAlignment="1">
      <alignment horizontal="right" indent="2"/>
    </xf>
    <xf numFmtId="0" fontId="6" fillId="31" borderId="2" xfId="0" applyFont="1" applyFill="1" applyBorder="1"/>
    <xf numFmtId="0" fontId="0" fillId="4" borderId="4" xfId="0" quotePrefix="1" applyFill="1" applyBorder="1" applyAlignment="1">
      <alignment horizontal="center" vertical="center" wrapText="1"/>
    </xf>
    <xf numFmtId="0" fontId="3" fillId="0" borderId="13" xfId="0" applyFont="1" applyBorder="1" applyAlignment="1">
      <alignment vertical="center" wrapText="1"/>
    </xf>
    <xf numFmtId="4" fontId="0" fillId="0" borderId="19" xfId="0" applyNumberFormat="1" applyBorder="1" applyAlignment="1">
      <alignment horizontal="right"/>
    </xf>
    <xf numFmtId="4" fontId="0" fillId="0" borderId="44" xfId="0" applyNumberFormat="1" applyBorder="1" applyAlignment="1">
      <alignment horizontal="right" vertical="center"/>
    </xf>
    <xf numFmtId="166" fontId="0" fillId="4" borderId="134" xfId="0" applyNumberFormat="1" applyFill="1" applyBorder="1" applyAlignment="1">
      <alignment horizontal="right" indent="2"/>
    </xf>
    <xf numFmtId="4" fontId="0" fillId="0" borderId="0" xfId="5" applyNumberFormat="1" applyFont="1" applyFill="1" applyAlignment="1">
      <alignment horizontal="right"/>
    </xf>
    <xf numFmtId="4" fontId="0" fillId="0" borderId="50" xfId="0" applyNumberFormat="1" applyBorder="1" applyAlignment="1">
      <alignment horizontal="right"/>
    </xf>
    <xf numFmtId="166" fontId="0" fillId="4" borderId="135" xfId="0" applyNumberFormat="1" applyFill="1" applyBorder="1" applyAlignment="1">
      <alignment horizontal="right" indent="2"/>
    </xf>
    <xf numFmtId="0" fontId="0" fillId="12" borderId="0" xfId="0" applyFill="1"/>
    <xf numFmtId="0" fontId="45" fillId="0" borderId="11" xfId="0" applyFont="1" applyBorder="1" applyAlignment="1">
      <alignment vertical="center" wrapText="1"/>
    </xf>
    <xf numFmtId="3" fontId="56" fillId="4" borderId="46" xfId="0" applyNumberFormat="1" applyFont="1" applyFill="1" applyBorder="1" applyAlignment="1">
      <alignment horizontal="right" indent="2"/>
    </xf>
    <xf numFmtId="3" fontId="56" fillId="4" borderId="23" xfId="0" applyNumberFormat="1" applyFont="1" applyFill="1" applyBorder="1" applyAlignment="1">
      <alignment horizontal="right" indent="2"/>
    </xf>
    <xf numFmtId="166" fontId="0" fillId="0" borderId="47" xfId="0" applyNumberFormat="1" applyBorder="1" applyAlignment="1">
      <alignment horizontal="right" indent="2"/>
    </xf>
    <xf numFmtId="165" fontId="0" fillId="4" borderId="22" xfId="2" applyNumberFormat="1" applyFont="1" applyFill="1" applyBorder="1" applyAlignment="1">
      <alignment horizontal="right" indent="2"/>
    </xf>
    <xf numFmtId="166" fontId="22" fillId="6" borderId="22" xfId="0" applyNumberFormat="1" applyFont="1" applyFill="1" applyBorder="1" applyAlignment="1">
      <alignment horizontal="right" indent="2"/>
    </xf>
    <xf numFmtId="3" fontId="22" fillId="6" borderId="22" xfId="0" applyNumberFormat="1" applyFont="1" applyFill="1" applyBorder="1" applyAlignment="1">
      <alignment horizontal="right" indent="2"/>
    </xf>
    <xf numFmtId="0" fontId="4" fillId="0" borderId="0" xfId="3" applyBorder="1" applyAlignment="1">
      <alignment horizontal="left"/>
    </xf>
    <xf numFmtId="0" fontId="29" fillId="0" borderId="4" xfId="0" applyFont="1" applyBorder="1" applyAlignment="1">
      <alignment horizontal="center"/>
    </xf>
    <xf numFmtId="3" fontId="12" fillId="6" borderId="48" xfId="0" applyNumberFormat="1" applyFont="1" applyFill="1" applyBorder="1" applyAlignment="1">
      <alignment horizontal="right" indent="2"/>
    </xf>
    <xf numFmtId="3" fontId="12" fillId="6" borderId="47" xfId="0" applyNumberFormat="1" applyFont="1" applyFill="1" applyBorder="1" applyAlignment="1">
      <alignment horizontal="right" indent="2"/>
    </xf>
    <xf numFmtId="3" fontId="5" fillId="6" borderId="47" xfId="0" applyNumberFormat="1" applyFont="1" applyFill="1" applyBorder="1" applyAlignment="1">
      <alignment horizontal="right" indent="2"/>
    </xf>
    <xf numFmtId="3" fontId="5" fillId="6" borderId="48" xfId="0" applyNumberFormat="1" applyFont="1" applyFill="1" applyBorder="1" applyAlignment="1">
      <alignment horizontal="right" indent="2"/>
    </xf>
    <xf numFmtId="3" fontId="5" fillId="12" borderId="30" xfId="0" applyNumberFormat="1" applyFont="1" applyFill="1" applyBorder="1" applyAlignment="1">
      <alignment horizontal="right" indent="2"/>
    </xf>
    <xf numFmtId="3" fontId="49" fillId="12" borderId="30" xfId="0" applyNumberFormat="1" applyFont="1" applyFill="1" applyBorder="1" applyAlignment="1">
      <alignment horizontal="right" indent="2"/>
    </xf>
    <xf numFmtId="3" fontId="5" fillId="6" borderId="24" xfId="0" applyNumberFormat="1" applyFont="1" applyFill="1" applyBorder="1" applyAlignment="1">
      <alignment horizontal="right" indent="2"/>
    </xf>
    <xf numFmtId="3" fontId="5" fillId="6" borderId="25" xfId="0" applyNumberFormat="1" applyFont="1" applyFill="1" applyBorder="1" applyAlignment="1">
      <alignment horizontal="right" indent="2"/>
    </xf>
    <xf numFmtId="3" fontId="5" fillId="6" borderId="30" xfId="0" applyNumberFormat="1" applyFont="1" applyFill="1" applyBorder="1" applyAlignment="1">
      <alignment horizontal="right" indent="2"/>
    </xf>
    <xf numFmtId="3" fontId="5" fillId="6" borderId="31" xfId="0" applyNumberFormat="1" applyFont="1" applyFill="1" applyBorder="1" applyAlignment="1">
      <alignment horizontal="right" indent="2"/>
    </xf>
    <xf numFmtId="3" fontId="5" fillId="6" borderId="36" xfId="0" applyNumberFormat="1" applyFont="1" applyFill="1" applyBorder="1" applyAlignment="1">
      <alignment horizontal="right" indent="2"/>
    </xf>
    <xf numFmtId="3" fontId="5" fillId="6" borderId="37" xfId="0" applyNumberFormat="1" applyFont="1" applyFill="1" applyBorder="1" applyAlignment="1">
      <alignment horizontal="right" indent="2"/>
    </xf>
    <xf numFmtId="3" fontId="5" fillId="12" borderId="36" xfId="0" applyNumberFormat="1" applyFont="1" applyFill="1" applyBorder="1" applyAlignment="1">
      <alignment horizontal="right" indent="2"/>
    </xf>
    <xf numFmtId="166" fontId="12" fillId="0" borderId="43" xfId="0" applyNumberFormat="1" applyFont="1" applyBorder="1" applyAlignment="1">
      <alignment horizontal="right" indent="2"/>
    </xf>
    <xf numFmtId="166" fontId="12" fillId="0" borderId="44" xfId="0" applyNumberFormat="1" applyFont="1" applyBorder="1" applyAlignment="1">
      <alignment horizontal="right" indent="2"/>
    </xf>
    <xf numFmtId="3" fontId="5" fillId="4" borderId="47" xfId="0" applyNumberFormat="1" applyFont="1" applyFill="1" applyBorder="1" applyAlignment="1">
      <alignment horizontal="right" indent="2"/>
    </xf>
    <xf numFmtId="3" fontId="5" fillId="4" borderId="48" xfId="0" applyNumberFormat="1" applyFont="1" applyFill="1" applyBorder="1" applyAlignment="1">
      <alignment horizontal="right" indent="2"/>
    </xf>
    <xf numFmtId="3" fontId="5" fillId="4" borderId="49" xfId="0" applyNumberFormat="1" applyFont="1" applyFill="1" applyBorder="1" applyAlignment="1">
      <alignment horizontal="right" indent="2"/>
    </xf>
    <xf numFmtId="3" fontId="5" fillId="12" borderId="49" xfId="0" applyNumberFormat="1" applyFont="1" applyFill="1" applyBorder="1" applyAlignment="1">
      <alignment horizontal="right" indent="2"/>
    </xf>
    <xf numFmtId="3" fontId="5" fillId="12" borderId="47" xfId="0" applyNumberFormat="1" applyFont="1" applyFill="1" applyBorder="1" applyAlignment="1">
      <alignment horizontal="right" indent="2"/>
    </xf>
    <xf numFmtId="3" fontId="5" fillId="4" borderId="50" xfId="0" applyNumberFormat="1" applyFont="1" applyFill="1" applyBorder="1" applyAlignment="1">
      <alignment horizontal="right" indent="2"/>
    </xf>
    <xf numFmtId="3" fontId="5" fillId="4" borderId="30" xfId="0" applyNumberFormat="1" applyFont="1" applyFill="1" applyBorder="1" applyAlignment="1">
      <alignment horizontal="right" indent="2"/>
    </xf>
    <xf numFmtId="3" fontId="5" fillId="4" borderId="31" xfId="0" applyNumberFormat="1" applyFont="1" applyFill="1" applyBorder="1" applyAlignment="1">
      <alignment horizontal="right" indent="2"/>
    </xf>
    <xf numFmtId="3" fontId="5" fillId="4" borderId="36" xfId="0" applyNumberFormat="1" applyFont="1" applyFill="1" applyBorder="1" applyAlignment="1">
      <alignment horizontal="right" indent="2"/>
    </xf>
    <xf numFmtId="3" fontId="5" fillId="4" borderId="37" xfId="0" applyNumberFormat="1" applyFont="1" applyFill="1" applyBorder="1" applyAlignment="1">
      <alignment horizontal="right" indent="2"/>
    </xf>
    <xf numFmtId="166" fontId="12" fillId="4" borderId="24" xfId="0" applyNumberFormat="1" applyFont="1" applyFill="1" applyBorder="1" applyAlignment="1">
      <alignment horizontal="right" indent="2"/>
    </xf>
    <xf numFmtId="166" fontId="12" fillId="4" borderId="51" xfId="0" applyNumberFormat="1" applyFont="1" applyFill="1" applyBorder="1" applyAlignment="1">
      <alignment horizontal="right" indent="2"/>
    </xf>
    <xf numFmtId="166" fontId="5" fillId="4" borderId="24" xfId="0" applyNumberFormat="1" applyFont="1" applyFill="1" applyBorder="1" applyAlignment="1">
      <alignment horizontal="right" indent="2"/>
    </xf>
    <xf numFmtId="166" fontId="5" fillId="4" borderId="51" xfId="0" applyNumberFormat="1" applyFont="1" applyFill="1" applyBorder="1" applyAlignment="1">
      <alignment horizontal="right" indent="2"/>
    </xf>
    <xf numFmtId="166" fontId="5" fillId="12" borderId="24" xfId="0" applyNumberFormat="1" applyFont="1" applyFill="1" applyBorder="1" applyAlignment="1">
      <alignment horizontal="right" indent="2"/>
    </xf>
    <xf numFmtId="3" fontId="5" fillId="12" borderId="24" xfId="0" applyNumberFormat="1" applyFont="1" applyFill="1" applyBorder="1" applyAlignment="1">
      <alignment horizontal="right" indent="2"/>
    </xf>
    <xf numFmtId="166" fontId="12" fillId="4" borderId="25" xfId="0" applyNumberFormat="1" applyFont="1" applyFill="1" applyBorder="1" applyAlignment="1">
      <alignment horizontal="right" indent="2"/>
    </xf>
    <xf numFmtId="166" fontId="12" fillId="4" borderId="27" xfId="0" applyNumberFormat="1" applyFont="1" applyFill="1" applyBorder="1" applyAlignment="1">
      <alignment horizontal="right" indent="2"/>
    </xf>
    <xf numFmtId="166" fontId="12" fillId="4" borderId="9" xfId="0" applyNumberFormat="1" applyFont="1" applyFill="1" applyBorder="1" applyAlignment="1">
      <alignment horizontal="right" indent="2"/>
    </xf>
    <xf numFmtId="166" fontId="12" fillId="4" borderId="18" xfId="0" applyNumberFormat="1" applyFont="1" applyFill="1" applyBorder="1" applyAlignment="1">
      <alignment horizontal="right" indent="2"/>
    </xf>
    <xf numFmtId="3" fontId="77" fillId="4" borderId="18" xfId="0" applyNumberFormat="1" applyFont="1" applyFill="1" applyBorder="1" applyAlignment="1">
      <alignment horizontal="right" indent="2"/>
    </xf>
    <xf numFmtId="166" fontId="12" fillId="4" borderId="48" xfId="0" applyNumberFormat="1" applyFont="1" applyFill="1" applyBorder="1" applyAlignment="1">
      <alignment horizontal="right" indent="2"/>
    </xf>
    <xf numFmtId="166" fontId="5" fillId="4" borderId="47" xfId="0" applyNumberFormat="1" applyFont="1" applyFill="1" applyBorder="1" applyAlignment="1">
      <alignment horizontal="right" indent="2"/>
    </xf>
    <xf numFmtId="166" fontId="5" fillId="4" borderId="48" xfId="0" applyNumberFormat="1" applyFont="1" applyFill="1" applyBorder="1" applyAlignment="1">
      <alignment horizontal="right" indent="2"/>
    </xf>
    <xf numFmtId="166" fontId="5" fillId="4" borderId="30" xfId="0" applyNumberFormat="1" applyFont="1" applyFill="1" applyBorder="1" applyAlignment="1">
      <alignment horizontal="right" indent="2"/>
    </xf>
    <xf numFmtId="166" fontId="38" fillId="4" borderId="30" xfId="0" applyNumberFormat="1" applyFont="1" applyFill="1" applyBorder="1" applyAlignment="1">
      <alignment horizontal="right" indent="2"/>
    </xf>
    <xf numFmtId="166" fontId="12" fillId="4" borderId="31" xfId="0" applyNumberFormat="1" applyFont="1" applyFill="1" applyBorder="1" applyAlignment="1">
      <alignment horizontal="right" indent="2"/>
    </xf>
    <xf numFmtId="166" fontId="46" fillId="4" borderId="30" xfId="0" applyNumberFormat="1" applyFont="1" applyFill="1" applyBorder="1" applyAlignment="1">
      <alignment horizontal="right" indent="2"/>
    </xf>
    <xf numFmtId="166" fontId="5" fillId="4" borderId="31" xfId="0" applyNumberFormat="1" applyFont="1" applyFill="1" applyBorder="1" applyAlignment="1">
      <alignment horizontal="right" indent="2"/>
    </xf>
    <xf numFmtId="166" fontId="12" fillId="4" borderId="30" xfId="0" applyNumberFormat="1" applyFont="1" applyFill="1" applyBorder="1" applyAlignment="1">
      <alignment horizontal="right" indent="2"/>
    </xf>
    <xf numFmtId="0" fontId="77" fillId="0" borderId="0" xfId="0" applyFont="1"/>
    <xf numFmtId="43" fontId="77" fillId="0" borderId="0" xfId="5" applyFont="1"/>
    <xf numFmtId="166" fontId="5" fillId="4" borderId="18" xfId="0" applyNumberFormat="1" applyFont="1" applyFill="1" applyBorder="1" applyAlignment="1">
      <alignment horizontal="right" indent="2"/>
    </xf>
    <xf numFmtId="166" fontId="5" fillId="12" borderId="47" xfId="0" applyNumberFormat="1" applyFont="1" applyFill="1" applyBorder="1" applyAlignment="1">
      <alignment horizontal="right" indent="2"/>
    </xf>
    <xf numFmtId="3" fontId="5" fillId="4" borderId="24" xfId="0" applyNumberFormat="1" applyFont="1" applyFill="1" applyBorder="1" applyAlignment="1">
      <alignment horizontal="right" indent="2"/>
    </xf>
    <xf numFmtId="3" fontId="12" fillId="4" borderId="58" xfId="0" applyNumberFormat="1" applyFont="1" applyFill="1" applyBorder="1" applyAlignment="1">
      <alignment horizontal="right" indent="2"/>
    </xf>
    <xf numFmtId="3" fontId="5" fillId="4" borderId="58" xfId="0" applyNumberFormat="1" applyFont="1" applyFill="1" applyBorder="1" applyAlignment="1">
      <alignment horizontal="right" indent="2"/>
    </xf>
    <xf numFmtId="3" fontId="54" fillId="4" borderId="24" xfId="0" applyNumberFormat="1" applyFont="1" applyFill="1" applyBorder="1" applyAlignment="1">
      <alignment horizontal="right" indent="2"/>
    </xf>
    <xf numFmtId="3" fontId="83" fillId="4" borderId="24" xfId="0" applyNumberFormat="1" applyFont="1" applyFill="1" applyBorder="1" applyAlignment="1">
      <alignment horizontal="right" indent="2"/>
    </xf>
    <xf numFmtId="3" fontId="5" fillId="4" borderId="25" xfId="0" applyNumberFormat="1" applyFont="1" applyFill="1" applyBorder="1" applyAlignment="1">
      <alignment horizontal="right" indent="2"/>
    </xf>
    <xf numFmtId="3" fontId="40" fillId="6" borderId="47" xfId="0" applyNumberFormat="1" applyFont="1" applyFill="1" applyBorder="1" applyAlignment="1">
      <alignment horizontal="right" indent="2"/>
    </xf>
    <xf numFmtId="3" fontId="40" fillId="6" borderId="48" xfId="0" applyNumberFormat="1" applyFont="1" applyFill="1" applyBorder="1" applyAlignment="1">
      <alignment horizontal="right" indent="2"/>
    </xf>
    <xf numFmtId="3" fontId="84" fillId="6" borderId="47" xfId="0" applyNumberFormat="1" applyFont="1" applyFill="1" applyBorder="1" applyAlignment="1">
      <alignment horizontal="right" indent="2"/>
    </xf>
    <xf numFmtId="3" fontId="84" fillId="6" borderId="48" xfId="0" applyNumberFormat="1" applyFont="1" applyFill="1" applyBorder="1" applyAlignment="1">
      <alignment horizontal="right" indent="2"/>
    </xf>
    <xf numFmtId="0" fontId="79" fillId="0" borderId="10" xfId="0" applyFont="1" applyBorder="1"/>
    <xf numFmtId="0" fontId="2" fillId="6" borderId="38" xfId="0" applyFont="1" applyFill="1" applyBorder="1" applyAlignment="1">
      <alignment horizontal="right"/>
    </xf>
    <xf numFmtId="3" fontId="4" fillId="7" borderId="12" xfId="3" applyNumberFormat="1" applyFill="1" applyBorder="1" applyAlignment="1">
      <alignment horizontal="left"/>
    </xf>
    <xf numFmtId="3" fontId="3" fillId="7" borderId="24" xfId="0" applyNumberFormat="1" applyFont="1" applyFill="1" applyBorder="1" applyAlignment="1">
      <alignment horizontal="right" indent="2"/>
    </xf>
    <xf numFmtId="3" fontId="3" fillId="7" borderId="25" xfId="0" applyNumberFormat="1" applyFont="1" applyFill="1" applyBorder="1" applyAlignment="1">
      <alignment horizontal="right" indent="2"/>
    </xf>
    <xf numFmtId="10" fontId="12" fillId="6" borderId="24" xfId="2" applyNumberFormat="1" applyFont="1" applyFill="1" applyBorder="1" applyAlignment="1">
      <alignment horizontal="right" indent="2"/>
    </xf>
    <xf numFmtId="165" fontId="12" fillId="6" borderId="51" xfId="2" applyNumberFormat="1" applyFont="1" applyFill="1" applyBorder="1" applyAlignment="1">
      <alignment horizontal="right" indent="2"/>
    </xf>
    <xf numFmtId="165" fontId="12" fillId="6" borderId="21" xfId="2" applyNumberFormat="1" applyFont="1" applyFill="1" applyBorder="1" applyAlignment="1">
      <alignment horizontal="right" indent="2"/>
    </xf>
    <xf numFmtId="165" fontId="12" fillId="6" borderId="24" xfId="2" applyNumberFormat="1" applyFont="1" applyFill="1" applyBorder="1" applyAlignment="1">
      <alignment horizontal="right" indent="2"/>
    </xf>
    <xf numFmtId="0" fontId="0" fillId="4" borderId="0" xfId="0" quotePrefix="1" applyFill="1" applyAlignment="1">
      <alignment horizontal="center" vertical="center"/>
    </xf>
    <xf numFmtId="165" fontId="9" fillId="0" borderId="4" xfId="0" applyNumberFormat="1" applyFont="1" applyBorder="1" applyAlignment="1">
      <alignment horizontal="center" vertical="center" wrapText="1"/>
    </xf>
    <xf numFmtId="0" fontId="39" fillId="0" borderId="5" xfId="3" applyFont="1" applyFill="1" applyBorder="1" applyAlignment="1">
      <alignment horizontal="center" vertical="center" wrapText="1"/>
    </xf>
    <xf numFmtId="0" fontId="3" fillId="3" borderId="12" xfId="0" applyFont="1" applyFill="1" applyBorder="1" applyAlignment="1">
      <alignment horizontal="left" vertical="center"/>
    </xf>
    <xf numFmtId="0" fontId="0" fillId="3" borderId="13" xfId="0" applyFill="1" applyBorder="1"/>
    <xf numFmtId="0" fontId="0" fillId="3" borderId="14" xfId="0" applyFill="1" applyBorder="1" applyAlignment="1">
      <alignment vertical="center" wrapText="1"/>
    </xf>
    <xf numFmtId="3" fontId="0" fillId="3" borderId="12" xfId="0" applyNumberFormat="1" applyFill="1" applyBorder="1" applyAlignment="1">
      <alignment vertical="center" wrapText="1"/>
    </xf>
    <xf numFmtId="0" fontId="0" fillId="3" borderId="15" xfId="0" applyFill="1" applyBorder="1" applyAlignment="1">
      <alignment vertical="center" wrapText="1"/>
    </xf>
    <xf numFmtId="0" fontId="0" fillId="3" borderId="12" xfId="0" applyFill="1" applyBorder="1" applyAlignment="1">
      <alignment vertical="center" wrapText="1"/>
    </xf>
    <xf numFmtId="0" fontId="2" fillId="3" borderId="12" xfId="0" applyFont="1" applyFill="1" applyBorder="1" applyAlignment="1">
      <alignment vertical="center" wrapText="1"/>
    </xf>
    <xf numFmtId="0" fontId="2" fillId="0" borderId="44" xfId="0" applyFont="1" applyBorder="1"/>
    <xf numFmtId="0" fontId="2" fillId="3" borderId="13" xfId="0" applyFont="1" applyFill="1" applyBorder="1" applyAlignment="1">
      <alignment vertical="center" wrapText="1"/>
    </xf>
    <xf numFmtId="0" fontId="22" fillId="0" borderId="12" xfId="0" applyFont="1" applyBorder="1" applyAlignment="1">
      <alignment vertical="center" wrapText="1"/>
    </xf>
    <xf numFmtId="0" fontId="22" fillId="0" borderId="15" xfId="0" applyFont="1" applyBorder="1" applyAlignment="1">
      <alignment vertical="center" wrapText="1"/>
    </xf>
    <xf numFmtId="0" fontId="22" fillId="0" borderId="44" xfId="0" applyFont="1" applyBorder="1"/>
    <xf numFmtId="0" fontId="22" fillId="0" borderId="16" xfId="0" applyFont="1" applyBorder="1"/>
    <xf numFmtId="0" fontId="22" fillId="0" borderId="13" xfId="0" applyFont="1" applyBorder="1" applyAlignment="1">
      <alignment vertical="center" wrapText="1"/>
    </xf>
    <xf numFmtId="3" fontId="2" fillId="3" borderId="24" xfId="0" applyNumberFormat="1" applyFont="1" applyFill="1" applyBorder="1" applyAlignment="1">
      <alignment horizontal="right" indent="2"/>
    </xf>
    <xf numFmtId="3" fontId="2" fillId="3" borderId="25" xfId="0" applyNumberFormat="1" applyFont="1" applyFill="1" applyBorder="1" applyAlignment="1">
      <alignment horizontal="right" indent="2"/>
    </xf>
    <xf numFmtId="3" fontId="2" fillId="3" borderId="63" xfId="0" applyNumberFormat="1" applyFont="1" applyFill="1" applyBorder="1" applyAlignment="1">
      <alignment horizontal="right" indent="2"/>
    </xf>
    <xf numFmtId="3" fontId="0" fillId="3" borderId="63" xfId="0" applyNumberFormat="1" applyFill="1" applyBorder="1" applyAlignment="1">
      <alignment horizontal="right" indent="2"/>
    </xf>
    <xf numFmtId="3" fontId="0" fillId="18" borderId="24" xfId="0" applyNumberFormat="1" applyFill="1" applyBorder="1" applyAlignment="1">
      <alignment horizontal="right" indent="2"/>
    </xf>
    <xf numFmtId="3" fontId="0" fillId="12" borderId="25" xfId="0" applyNumberFormat="1" applyFill="1" applyBorder="1" applyAlignment="1">
      <alignment horizontal="right" indent="2"/>
    </xf>
    <xf numFmtId="3" fontId="0" fillId="12" borderId="63" xfId="0" applyNumberFormat="1" applyFill="1" applyBorder="1" applyAlignment="1">
      <alignment horizontal="right" indent="2"/>
    </xf>
    <xf numFmtId="3" fontId="0" fillId="18" borderId="25" xfId="0" applyNumberFormat="1" applyFill="1" applyBorder="1" applyAlignment="1">
      <alignment horizontal="right" indent="2"/>
    </xf>
    <xf numFmtId="3" fontId="0" fillId="18" borderId="63" xfId="0" applyNumberFormat="1" applyFill="1" applyBorder="1" applyAlignment="1">
      <alignment horizontal="right" indent="2"/>
    </xf>
    <xf numFmtId="3" fontId="0" fillId="3" borderId="29" xfId="0" applyNumberFormat="1" applyFill="1" applyBorder="1" applyAlignment="1">
      <alignment horizontal="right" indent="2"/>
    </xf>
    <xf numFmtId="3" fontId="0" fillId="3" borderId="30" xfId="0" applyNumberFormat="1" applyFill="1" applyBorder="1" applyAlignment="1">
      <alignment horizontal="right" indent="2"/>
    </xf>
    <xf numFmtId="3" fontId="0" fillId="3" borderId="31" xfId="0" applyNumberFormat="1" applyFill="1" applyBorder="1" applyAlignment="1">
      <alignment horizontal="right" indent="2"/>
    </xf>
    <xf numFmtId="3" fontId="2" fillId="3" borderId="30" xfId="0" applyNumberFormat="1" applyFont="1" applyFill="1" applyBorder="1" applyAlignment="1">
      <alignment horizontal="right" indent="2"/>
    </xf>
    <xf numFmtId="3" fontId="2" fillId="3" borderId="81" xfId="0" applyNumberFormat="1" applyFont="1" applyFill="1" applyBorder="1" applyAlignment="1">
      <alignment horizontal="right" indent="2"/>
    </xf>
    <xf numFmtId="3" fontId="0" fillId="3" borderId="81" xfId="0" applyNumberFormat="1" applyFill="1" applyBorder="1" applyAlignment="1">
      <alignment horizontal="right" indent="2"/>
    </xf>
    <xf numFmtId="3" fontId="56" fillId="12" borderId="25" xfId="0" applyNumberFormat="1" applyFont="1" applyFill="1" applyBorder="1" applyAlignment="1">
      <alignment horizontal="right" indent="2"/>
    </xf>
    <xf numFmtId="3" fontId="0" fillId="18" borderId="30" xfId="0" applyNumberFormat="1" applyFill="1" applyBorder="1" applyAlignment="1">
      <alignment horizontal="right" indent="2"/>
    </xf>
    <xf numFmtId="3" fontId="0" fillId="12" borderId="81" xfId="0" applyNumberFormat="1" applyFill="1" applyBorder="1" applyAlignment="1">
      <alignment horizontal="right" indent="2"/>
    </xf>
    <xf numFmtId="3" fontId="86" fillId="3" borderId="30" xfId="0" applyNumberFormat="1" applyFont="1" applyFill="1" applyBorder="1" applyAlignment="1">
      <alignment horizontal="right" indent="2"/>
    </xf>
    <xf numFmtId="3" fontId="86" fillId="3" borderId="31" xfId="0" applyNumberFormat="1" applyFont="1" applyFill="1" applyBorder="1" applyAlignment="1">
      <alignment horizontal="right" indent="2"/>
    </xf>
    <xf numFmtId="3" fontId="86" fillId="3" borderId="81" xfId="0" applyNumberFormat="1" applyFont="1" applyFill="1" applyBorder="1" applyAlignment="1">
      <alignment horizontal="right" indent="2"/>
    </xf>
    <xf numFmtId="3" fontId="86" fillId="18" borderId="30" xfId="0" applyNumberFormat="1" applyFont="1" applyFill="1" applyBorder="1" applyAlignment="1">
      <alignment horizontal="right" indent="2"/>
    </xf>
    <xf numFmtId="3" fontId="86" fillId="18" borderId="31" xfId="0" applyNumberFormat="1" applyFont="1" applyFill="1" applyBorder="1" applyAlignment="1">
      <alignment horizontal="right" indent="2"/>
    </xf>
    <xf numFmtId="3" fontId="86" fillId="12" borderId="81" xfId="0" applyNumberFormat="1" applyFont="1" applyFill="1" applyBorder="1" applyAlignment="1">
      <alignment horizontal="right" indent="2"/>
    </xf>
    <xf numFmtId="3" fontId="2" fillId="3" borderId="36" xfId="0" applyNumberFormat="1" applyFont="1" applyFill="1" applyBorder="1" applyAlignment="1">
      <alignment horizontal="right" indent="2"/>
    </xf>
    <xf numFmtId="3" fontId="2" fillId="3" borderId="37" xfId="0" applyNumberFormat="1" applyFont="1" applyFill="1" applyBorder="1" applyAlignment="1">
      <alignment horizontal="right" indent="2"/>
    </xf>
    <xf numFmtId="3" fontId="2" fillId="3" borderId="64" xfId="0" applyNumberFormat="1" applyFont="1" applyFill="1" applyBorder="1" applyAlignment="1">
      <alignment horizontal="right" indent="2"/>
    </xf>
    <xf numFmtId="3" fontId="0" fillId="3" borderId="64" xfId="0" applyNumberFormat="1" applyFill="1" applyBorder="1" applyAlignment="1">
      <alignment horizontal="right" indent="2"/>
    </xf>
    <xf numFmtId="3" fontId="0" fillId="18" borderId="36" xfId="0" applyNumberFormat="1" applyFill="1" applyBorder="1" applyAlignment="1">
      <alignment horizontal="right" indent="2"/>
    </xf>
    <xf numFmtId="3" fontId="0" fillId="18" borderId="37" xfId="0" applyNumberFormat="1" applyFill="1" applyBorder="1" applyAlignment="1">
      <alignment horizontal="right" indent="2"/>
    </xf>
    <xf numFmtId="3" fontId="0" fillId="12" borderId="64" xfId="0" applyNumberFormat="1" applyFill="1" applyBorder="1" applyAlignment="1">
      <alignment horizontal="right" indent="2"/>
    </xf>
    <xf numFmtId="3" fontId="22" fillId="0" borderId="16" xfId="0" applyNumberFormat="1" applyFont="1" applyBorder="1" applyAlignment="1">
      <alignment horizontal="center"/>
    </xf>
    <xf numFmtId="3" fontId="2" fillId="4" borderId="79" xfId="0" applyNumberFormat="1" applyFont="1" applyFill="1" applyBorder="1" applyAlignment="1">
      <alignment horizontal="right" indent="2"/>
    </xf>
    <xf numFmtId="3" fontId="0" fillId="12" borderId="79" xfId="0" applyNumberFormat="1" applyFill="1" applyBorder="1" applyAlignment="1">
      <alignment horizontal="right" indent="2"/>
    </xf>
    <xf numFmtId="3" fontId="86" fillId="4" borderId="49" xfId="0" applyNumberFormat="1" applyFont="1" applyFill="1" applyBorder="1" applyAlignment="1">
      <alignment horizontal="right" indent="2"/>
    </xf>
    <xf numFmtId="3" fontId="86" fillId="4" borderId="50" xfId="0" applyNumberFormat="1" applyFont="1" applyFill="1" applyBorder="1" applyAlignment="1">
      <alignment horizontal="right" indent="2"/>
    </xf>
    <xf numFmtId="3" fontId="86" fillId="0" borderId="0" xfId="0" applyNumberFormat="1" applyFont="1" applyAlignment="1">
      <alignment horizontal="right" indent="2"/>
    </xf>
    <xf numFmtId="3" fontId="103" fillId="4" borderId="72" xfId="0" applyNumberFormat="1" applyFont="1" applyFill="1" applyBorder="1" applyAlignment="1">
      <alignment horizontal="right" indent="2"/>
    </xf>
    <xf numFmtId="3" fontId="103" fillId="12" borderId="72" xfId="0" applyNumberFormat="1" applyFont="1" applyFill="1" applyBorder="1" applyAlignment="1">
      <alignment horizontal="right" indent="2"/>
    </xf>
    <xf numFmtId="3" fontId="2" fillId="4" borderId="72" xfId="0" applyNumberFormat="1" applyFont="1" applyFill="1" applyBorder="1" applyAlignment="1">
      <alignment horizontal="right" indent="2"/>
    </xf>
    <xf numFmtId="3" fontId="2" fillId="4" borderId="81" xfId="0" applyNumberFormat="1" applyFont="1" applyFill="1" applyBorder="1" applyAlignment="1">
      <alignment horizontal="right" indent="2"/>
    </xf>
    <xf numFmtId="3" fontId="0" fillId="12" borderId="30" xfId="0" applyNumberFormat="1" applyFill="1" applyBorder="1" applyAlignment="1">
      <alignment horizontal="right" indent="2"/>
    </xf>
    <xf numFmtId="3" fontId="2" fillId="4" borderId="36" xfId="0" applyNumberFormat="1" applyFont="1" applyFill="1" applyBorder="1" applyAlignment="1">
      <alignment horizontal="right" indent="2"/>
    </xf>
    <xf numFmtId="3" fontId="2" fillId="4" borderId="35" xfId="0" applyNumberFormat="1" applyFont="1" applyFill="1" applyBorder="1" applyAlignment="1">
      <alignment horizontal="right" indent="2"/>
    </xf>
    <xf numFmtId="3" fontId="0" fillId="12" borderId="35" xfId="0" applyNumberFormat="1" applyFill="1" applyBorder="1" applyAlignment="1">
      <alignment horizontal="right" indent="2"/>
    </xf>
    <xf numFmtId="3" fontId="0" fillId="0" borderId="16" xfId="0" applyNumberFormat="1" applyBorder="1" applyAlignment="1">
      <alignment horizontal="right" vertical="center" wrapText="1"/>
    </xf>
    <xf numFmtId="165" fontId="49" fillId="0" borderId="34" xfId="2" applyNumberFormat="1" applyFont="1" applyFill="1" applyBorder="1" applyAlignment="1">
      <alignment horizontal="right" indent="2"/>
    </xf>
    <xf numFmtId="3" fontId="0" fillId="4" borderId="87" xfId="0" applyNumberFormat="1" applyFill="1" applyBorder="1" applyAlignment="1">
      <alignment horizontal="right" indent="2"/>
    </xf>
    <xf numFmtId="0" fontId="12" fillId="0" borderId="2" xfId="0" applyFont="1" applyBorder="1" applyAlignment="1">
      <alignment horizontal="center" vertical="center" wrapText="1"/>
    </xf>
    <xf numFmtId="3" fontId="0" fillId="0" borderId="0" xfId="0" applyNumberFormat="1" applyAlignment="1">
      <alignment horizontal="left" vertical="center" indent="2"/>
    </xf>
    <xf numFmtId="3" fontId="0" fillId="12" borderId="31" xfId="0" applyNumberFormat="1" applyFill="1" applyBorder="1" applyAlignment="1">
      <alignment horizontal="right" indent="2"/>
    </xf>
    <xf numFmtId="165" fontId="19" fillId="4" borderId="64" xfId="2" applyNumberFormat="1" applyFont="1" applyFill="1" applyBorder="1" applyAlignment="1">
      <alignment horizontal="right" indent="2"/>
    </xf>
    <xf numFmtId="0" fontId="3" fillId="3" borderId="43" xfId="0" applyFont="1" applyFill="1" applyBorder="1" applyAlignment="1">
      <alignment horizontal="left"/>
    </xf>
    <xf numFmtId="0" fontId="3" fillId="3" borderId="16" xfId="0" applyFont="1" applyFill="1" applyBorder="1" applyAlignment="1">
      <alignment horizontal="left"/>
    </xf>
    <xf numFmtId="3" fontId="0" fillId="3" borderId="14" xfId="0" applyNumberFormat="1" applyFill="1" applyBorder="1" applyAlignment="1">
      <alignment horizontal="right" indent="2"/>
    </xf>
    <xf numFmtId="3" fontId="0" fillId="3" borderId="12" xfId="0" applyNumberFormat="1" applyFill="1" applyBorder="1" applyAlignment="1">
      <alignment horizontal="right" indent="2"/>
    </xf>
    <xf numFmtId="3" fontId="0" fillId="3" borderId="15" xfId="0" applyNumberFormat="1" applyFill="1" applyBorder="1" applyAlignment="1">
      <alignment horizontal="right" indent="2"/>
    </xf>
    <xf numFmtId="3" fontId="0" fillId="3" borderId="13" xfId="0" applyNumberFormat="1" applyFill="1" applyBorder="1" applyAlignment="1">
      <alignment horizontal="right" indent="2"/>
    </xf>
    <xf numFmtId="0" fontId="0" fillId="3" borderId="17" xfId="0" applyFill="1" applyBorder="1" applyAlignment="1">
      <alignment horizontal="right"/>
    </xf>
    <xf numFmtId="3" fontId="23" fillId="3" borderId="63" xfId="0" applyNumberFormat="1" applyFont="1" applyFill="1" applyBorder="1" applyAlignment="1">
      <alignment horizontal="right" indent="2"/>
    </xf>
    <xf numFmtId="3" fontId="2" fillId="3" borderId="23" xfId="0" applyNumberFormat="1" applyFont="1" applyFill="1" applyBorder="1" applyAlignment="1">
      <alignment horizontal="right" indent="2"/>
    </xf>
    <xf numFmtId="0" fontId="0" fillId="3" borderId="18" xfId="0" applyFill="1" applyBorder="1" applyAlignment="1">
      <alignment horizontal="right"/>
    </xf>
    <xf numFmtId="0" fontId="0" fillId="3" borderId="53" xfId="0" applyFill="1" applyBorder="1" applyAlignment="1">
      <alignment horizontal="right"/>
    </xf>
    <xf numFmtId="0" fontId="0" fillId="3" borderId="38" xfId="0" applyFill="1" applyBorder="1" applyAlignment="1">
      <alignment horizontal="right"/>
    </xf>
    <xf numFmtId="0" fontId="11" fillId="0" borderId="0" xfId="0" applyFont="1" applyAlignment="1">
      <alignment horizontal="center" vertical="center" textRotation="90" wrapText="1"/>
    </xf>
    <xf numFmtId="0" fontId="3" fillId="7" borderId="43" xfId="0" applyFont="1" applyFill="1" applyBorder="1" applyAlignment="1">
      <alignment horizontal="left"/>
    </xf>
    <xf numFmtId="0" fontId="3" fillId="7" borderId="16" xfId="0" applyFont="1" applyFill="1" applyBorder="1" applyAlignment="1">
      <alignment horizontal="left"/>
    </xf>
    <xf numFmtId="0" fontId="0" fillId="7" borderId="17" xfId="0" applyFill="1" applyBorder="1" applyAlignment="1">
      <alignment horizontal="right"/>
    </xf>
    <xf numFmtId="0" fontId="0" fillId="7" borderId="62" xfId="0" applyFill="1" applyBorder="1" applyAlignment="1">
      <alignment horizontal="right"/>
    </xf>
    <xf numFmtId="3" fontId="2" fillId="7" borderId="24" xfId="0" applyNumberFormat="1" applyFont="1" applyFill="1" applyBorder="1" applyAlignment="1">
      <alignment horizontal="right" indent="2"/>
    </xf>
    <xf numFmtId="3" fontId="2" fillId="7" borderId="23" xfId="0" applyNumberFormat="1" applyFont="1" applyFill="1" applyBorder="1" applyAlignment="1">
      <alignment horizontal="right" indent="2"/>
    </xf>
    <xf numFmtId="0" fontId="0" fillId="7" borderId="18" xfId="0" applyFill="1" applyBorder="1" applyAlignment="1">
      <alignment horizontal="right"/>
    </xf>
    <xf numFmtId="0" fontId="0" fillId="7" borderId="53" xfId="0" applyFill="1" applyBorder="1" applyAlignment="1">
      <alignment horizontal="right"/>
    </xf>
    <xf numFmtId="3" fontId="2" fillId="0" borderId="18" xfId="0" applyNumberFormat="1" applyFont="1" applyBorder="1" applyAlignment="1">
      <alignment horizontal="right" indent="2"/>
    </xf>
    <xf numFmtId="3" fontId="3" fillId="0" borderId="18" xfId="0" applyNumberFormat="1" applyFont="1" applyBorder="1" applyAlignment="1">
      <alignment horizontal="right" indent="2"/>
    </xf>
    <xf numFmtId="3" fontId="3" fillId="0" borderId="0" xfId="0" applyNumberFormat="1" applyFont="1" applyAlignment="1">
      <alignment horizontal="right" indent="2"/>
    </xf>
    <xf numFmtId="3" fontId="3" fillId="0" borderId="11" xfId="0" applyNumberFormat="1" applyFont="1" applyBorder="1" applyAlignment="1">
      <alignment horizontal="right" indent="2"/>
    </xf>
    <xf numFmtId="0" fontId="11" fillId="3" borderId="18" xfId="0" applyFont="1" applyFill="1" applyBorder="1" applyAlignment="1">
      <alignment horizontal="center" vertical="center" textRotation="90" wrapText="1"/>
    </xf>
    <xf numFmtId="0" fontId="0" fillId="3" borderId="0" xfId="0" applyFill="1"/>
    <xf numFmtId="0" fontId="17" fillId="3" borderId="11" xfId="0" applyFont="1" applyFill="1" applyBorder="1" applyAlignment="1">
      <alignment horizontal="right"/>
    </xf>
    <xf numFmtId="165" fontId="143" fillId="0" borderId="18" xfId="2" applyNumberFormat="1" applyFont="1" applyFill="1" applyBorder="1" applyAlignment="1">
      <alignment horizontal="right" indent="2"/>
    </xf>
    <xf numFmtId="165" fontId="143" fillId="0" borderId="0" xfId="2" applyNumberFormat="1" applyFont="1" applyFill="1" applyBorder="1" applyAlignment="1">
      <alignment horizontal="right" indent="2"/>
    </xf>
    <xf numFmtId="165" fontId="143" fillId="0" borderId="11" xfId="2" applyNumberFormat="1" applyFont="1" applyFill="1" applyBorder="1" applyAlignment="1">
      <alignment horizontal="right" indent="2"/>
    </xf>
    <xf numFmtId="3" fontId="26" fillId="3" borderId="46" xfId="2" applyNumberFormat="1" applyFont="1" applyFill="1" applyBorder="1" applyAlignment="1">
      <alignment horizontal="right" indent="2"/>
    </xf>
    <xf numFmtId="3" fontId="26" fillId="3" borderId="47" xfId="2" applyNumberFormat="1" applyFont="1" applyFill="1" applyBorder="1" applyAlignment="1">
      <alignment horizontal="right" indent="2"/>
    </xf>
    <xf numFmtId="3" fontId="26" fillId="3" borderId="65" xfId="2" applyNumberFormat="1" applyFont="1" applyFill="1" applyBorder="1" applyAlignment="1">
      <alignment horizontal="right" indent="2"/>
    </xf>
    <xf numFmtId="3" fontId="26" fillId="3" borderId="17" xfId="2" applyNumberFormat="1" applyFont="1" applyFill="1" applyBorder="1" applyAlignment="1">
      <alignment horizontal="right" indent="2"/>
    </xf>
    <xf numFmtId="3" fontId="26" fillId="3" borderId="79" xfId="2" applyNumberFormat="1" applyFont="1" applyFill="1" applyBorder="1" applyAlignment="1">
      <alignment horizontal="right" indent="2"/>
    </xf>
    <xf numFmtId="3" fontId="21" fillId="3" borderId="17" xfId="2" applyNumberFormat="1" applyFont="1" applyFill="1" applyBorder="1" applyAlignment="1">
      <alignment horizontal="right" indent="2"/>
    </xf>
    <xf numFmtId="3" fontId="21" fillId="3" borderId="65" xfId="2" applyNumberFormat="1" applyFont="1" applyFill="1" applyBorder="1" applyAlignment="1">
      <alignment horizontal="right" indent="2"/>
    </xf>
    <xf numFmtId="3" fontId="21" fillId="0" borderId="0" xfId="2" applyNumberFormat="1" applyFont="1" applyFill="1" applyBorder="1" applyAlignment="1">
      <alignment horizontal="right" indent="2"/>
    </xf>
    <xf numFmtId="3" fontId="21" fillId="0" borderId="11" xfId="2" applyNumberFormat="1" applyFont="1" applyFill="1" applyBorder="1" applyAlignment="1">
      <alignment horizontal="right" indent="2"/>
    </xf>
    <xf numFmtId="3" fontId="21" fillId="3" borderId="79" xfId="2" applyNumberFormat="1" applyFont="1" applyFill="1" applyBorder="1" applyAlignment="1">
      <alignment horizontal="right" indent="2"/>
    </xf>
    <xf numFmtId="0" fontId="41" fillId="3" borderId="17" xfId="0" applyFont="1" applyFill="1" applyBorder="1" applyAlignment="1">
      <alignment horizontal="center" vertical="center" textRotation="90" wrapText="1"/>
    </xf>
    <xf numFmtId="165" fontId="42" fillId="3" borderId="65" xfId="2" applyNumberFormat="1" applyFont="1" applyFill="1" applyBorder="1" applyAlignment="1">
      <alignment horizontal="right" indent="2"/>
    </xf>
    <xf numFmtId="0" fontId="2" fillId="3" borderId="62" xfId="0" applyFont="1" applyFill="1" applyBorder="1" applyAlignment="1">
      <alignment horizontal="right"/>
    </xf>
    <xf numFmtId="3" fontId="42" fillId="3" borderId="46" xfId="2" applyNumberFormat="1" applyFont="1" applyFill="1" applyBorder="1" applyAlignment="1">
      <alignment horizontal="right" indent="2"/>
    </xf>
    <xf numFmtId="3" fontId="42" fillId="3" borderId="47" xfId="2" applyNumberFormat="1" applyFont="1" applyFill="1" applyBorder="1" applyAlignment="1">
      <alignment horizontal="right" indent="2"/>
    </xf>
    <xf numFmtId="3" fontId="42" fillId="3" borderId="65" xfId="2" applyNumberFormat="1" applyFont="1" applyFill="1" applyBorder="1" applyAlignment="1">
      <alignment horizontal="right" indent="2"/>
    </xf>
    <xf numFmtId="3" fontId="42" fillId="3" borderId="10" xfId="2" applyNumberFormat="1" applyFont="1" applyFill="1" applyBorder="1" applyAlignment="1">
      <alignment horizontal="right" indent="2"/>
    </xf>
    <xf numFmtId="3" fontId="42" fillId="3" borderId="6" xfId="2" applyNumberFormat="1" applyFont="1" applyFill="1" applyBorder="1" applyAlignment="1">
      <alignment horizontal="right"/>
    </xf>
    <xf numFmtId="165" fontId="42" fillId="3" borderId="17" xfId="2" applyNumberFormat="1" applyFont="1" applyFill="1" applyBorder="1" applyAlignment="1">
      <alignment horizontal="right"/>
    </xf>
    <xf numFmtId="0" fontId="2" fillId="3" borderId="11" xfId="0" applyFont="1" applyFill="1" applyBorder="1"/>
    <xf numFmtId="3" fontId="21" fillId="3" borderId="10" xfId="2" applyNumberFormat="1" applyFont="1" applyFill="1" applyBorder="1" applyAlignment="1">
      <alignment horizontal="right" indent="2"/>
    </xf>
    <xf numFmtId="3" fontId="21" fillId="3" borderId="6" xfId="2" applyNumberFormat="1" applyFont="1" applyFill="1" applyBorder="1" applyAlignment="1">
      <alignment horizontal="right"/>
    </xf>
    <xf numFmtId="165" fontId="21" fillId="3" borderId="17" xfId="2" applyNumberFormat="1" applyFont="1" applyFill="1" applyBorder="1" applyAlignment="1">
      <alignment horizontal="right"/>
    </xf>
    <xf numFmtId="0" fontId="0" fillId="3" borderId="11" xfId="0" applyFill="1" applyBorder="1"/>
    <xf numFmtId="165" fontId="0" fillId="3" borderId="23" xfId="2" applyNumberFormat="1" applyFont="1" applyFill="1" applyBorder="1"/>
    <xf numFmtId="165" fontId="0" fillId="3" borderId="24" xfId="2" applyNumberFormat="1" applyFont="1" applyFill="1" applyBorder="1"/>
    <xf numFmtId="165" fontId="0" fillId="3" borderId="51" xfId="2" applyNumberFormat="1" applyFont="1" applyFill="1" applyBorder="1"/>
    <xf numFmtId="165" fontId="0" fillId="3" borderId="21" xfId="2" applyNumberFormat="1" applyFont="1" applyFill="1" applyBorder="1"/>
    <xf numFmtId="165" fontId="0" fillId="3" borderId="63" xfId="2" applyNumberFormat="1" applyFont="1" applyFill="1" applyBorder="1"/>
    <xf numFmtId="0" fontId="0" fillId="3" borderId="22" xfId="0" applyFill="1" applyBorder="1"/>
    <xf numFmtId="3" fontId="0" fillId="3" borderId="62" xfId="0" applyNumberFormat="1" applyFill="1" applyBorder="1" applyAlignment="1">
      <alignment horizontal="right"/>
    </xf>
    <xf numFmtId="3" fontId="0" fillId="3" borderId="23" xfId="2" applyNumberFormat="1" applyFont="1" applyFill="1" applyBorder="1"/>
    <xf numFmtId="3" fontId="0" fillId="3" borderId="24" xfId="2" applyNumberFormat="1" applyFont="1" applyFill="1" applyBorder="1"/>
    <xf numFmtId="3" fontId="0" fillId="3" borderId="51" xfId="2" applyNumberFormat="1" applyFont="1" applyFill="1" applyBorder="1"/>
    <xf numFmtId="3" fontId="0" fillId="3" borderId="21" xfId="2" applyNumberFormat="1" applyFont="1" applyFill="1" applyBorder="1"/>
    <xf numFmtId="3" fontId="0" fillId="0" borderId="0" xfId="2" applyNumberFormat="1" applyFont="1" applyFill="1" applyBorder="1"/>
    <xf numFmtId="3" fontId="0" fillId="3" borderId="63" xfId="2" applyNumberFormat="1" applyFont="1" applyFill="1" applyBorder="1"/>
    <xf numFmtId="0" fontId="63" fillId="3" borderId="22" xfId="0" applyFont="1" applyFill="1" applyBorder="1" applyAlignment="1">
      <alignment horizontal="right"/>
    </xf>
    <xf numFmtId="165" fontId="27" fillId="3" borderId="23" xfId="2" applyNumberFormat="1" applyFont="1" applyFill="1" applyBorder="1" applyAlignment="1">
      <alignment horizontal="right" indent="2"/>
    </xf>
    <xf numFmtId="165" fontId="27" fillId="3" borderId="24" xfId="2" applyNumberFormat="1" applyFont="1" applyFill="1" applyBorder="1" applyAlignment="1">
      <alignment horizontal="right" indent="2"/>
    </xf>
    <xf numFmtId="165" fontId="27" fillId="3" borderId="51" xfId="2" applyNumberFormat="1" applyFont="1" applyFill="1" applyBorder="1" applyAlignment="1">
      <alignment horizontal="right" indent="2"/>
    </xf>
    <xf numFmtId="165" fontId="27" fillId="3" borderId="21" xfId="2" applyNumberFormat="1" applyFont="1" applyFill="1" applyBorder="1" applyAlignment="1">
      <alignment horizontal="right" indent="2"/>
    </xf>
    <xf numFmtId="165" fontId="27" fillId="3" borderId="63" xfId="2" applyNumberFormat="1" applyFont="1" applyFill="1" applyBorder="1" applyAlignment="1">
      <alignment horizontal="right" indent="2"/>
    </xf>
    <xf numFmtId="0" fontId="63" fillId="3" borderId="34" xfId="0" applyFont="1" applyFill="1" applyBorder="1" applyAlignment="1">
      <alignment horizontal="right"/>
    </xf>
    <xf numFmtId="165" fontId="26" fillId="3" borderId="35" xfId="2" applyNumberFormat="1" applyFont="1" applyFill="1" applyBorder="1" applyAlignment="1">
      <alignment horizontal="right" indent="2"/>
    </xf>
    <xf numFmtId="165" fontId="26" fillId="3" borderId="36" xfId="2" applyNumberFormat="1" applyFont="1" applyFill="1" applyBorder="1" applyAlignment="1">
      <alignment horizontal="right" indent="2"/>
    </xf>
    <xf numFmtId="165" fontId="26" fillId="3" borderId="66" xfId="2" applyNumberFormat="1" applyFont="1" applyFill="1" applyBorder="1" applyAlignment="1">
      <alignment horizontal="right" indent="2"/>
    </xf>
    <xf numFmtId="165" fontId="26" fillId="3" borderId="33" xfId="2" applyNumberFormat="1" applyFont="1" applyFill="1" applyBorder="1" applyAlignment="1">
      <alignment horizontal="right" indent="2"/>
    </xf>
    <xf numFmtId="165" fontId="26" fillId="3" borderId="64" xfId="2" applyNumberFormat="1" applyFont="1" applyFill="1" applyBorder="1" applyAlignment="1">
      <alignment horizontal="right" indent="2"/>
    </xf>
    <xf numFmtId="3" fontId="3" fillId="6" borderId="25" xfId="0" applyNumberFormat="1" applyFont="1" applyFill="1" applyBorder="1" applyAlignment="1">
      <alignment horizontal="right" indent="2"/>
    </xf>
    <xf numFmtId="3" fontId="3" fillId="6" borderId="22" xfId="0" applyNumberFormat="1" applyFont="1" applyFill="1" applyBorder="1" applyAlignment="1">
      <alignment horizontal="right" indent="2"/>
    </xf>
    <xf numFmtId="3" fontId="3" fillId="12" borderId="24" xfId="0" applyNumberFormat="1" applyFont="1" applyFill="1" applyBorder="1" applyAlignment="1">
      <alignment horizontal="right" indent="2"/>
    </xf>
    <xf numFmtId="3" fontId="3" fillId="12" borderId="25" xfId="0" applyNumberFormat="1" applyFont="1" applyFill="1" applyBorder="1" applyAlignment="1">
      <alignment horizontal="right" indent="2"/>
    </xf>
    <xf numFmtId="3" fontId="3" fillId="12" borderId="22" xfId="0" applyNumberFormat="1" applyFont="1" applyFill="1" applyBorder="1" applyAlignment="1">
      <alignment horizontal="right" indent="2"/>
    </xf>
    <xf numFmtId="3" fontId="3" fillId="6" borderId="30" xfId="0" applyNumberFormat="1" applyFont="1" applyFill="1" applyBorder="1" applyAlignment="1">
      <alignment horizontal="right" indent="2"/>
    </xf>
    <xf numFmtId="3" fontId="3" fillId="6" borderId="31" xfId="0" applyNumberFormat="1" applyFont="1" applyFill="1" applyBorder="1" applyAlignment="1">
      <alignment horizontal="right" indent="2"/>
    </xf>
    <xf numFmtId="3" fontId="3" fillId="6" borderId="27" xfId="0" applyNumberFormat="1" applyFont="1" applyFill="1" applyBorder="1" applyAlignment="1">
      <alignment horizontal="right" indent="2"/>
    </xf>
    <xf numFmtId="3" fontId="3" fillId="6" borderId="28" xfId="0" applyNumberFormat="1" applyFont="1" applyFill="1" applyBorder="1" applyAlignment="1">
      <alignment horizontal="right" indent="2"/>
    </xf>
    <xf numFmtId="3" fontId="3" fillId="12" borderId="30" xfId="0" applyNumberFormat="1" applyFont="1" applyFill="1" applyBorder="1" applyAlignment="1">
      <alignment horizontal="right" indent="2"/>
    </xf>
    <xf numFmtId="3" fontId="3" fillId="12" borderId="31" xfId="0" applyNumberFormat="1" applyFont="1" applyFill="1" applyBorder="1" applyAlignment="1">
      <alignment horizontal="right" indent="2"/>
    </xf>
    <xf numFmtId="3" fontId="3" fillId="12" borderId="28" xfId="0" applyNumberFormat="1" applyFont="1" applyFill="1" applyBorder="1" applyAlignment="1">
      <alignment horizontal="right" indent="2"/>
    </xf>
    <xf numFmtId="3" fontId="2" fillId="4" borderId="11" xfId="0" applyNumberFormat="1" applyFont="1" applyFill="1" applyBorder="1" applyAlignment="1">
      <alignment horizontal="right" indent="2"/>
    </xf>
    <xf numFmtId="3" fontId="0" fillId="4" borderId="0" xfId="0" applyNumberFormat="1" applyFill="1" applyAlignment="1">
      <alignment horizontal="left"/>
    </xf>
    <xf numFmtId="3" fontId="67" fillId="4" borderId="48" xfId="0" applyNumberFormat="1" applyFont="1" applyFill="1" applyBorder="1" applyAlignment="1">
      <alignment horizontal="right" indent="2"/>
    </xf>
    <xf numFmtId="3" fontId="3" fillId="4" borderId="62" xfId="0" applyNumberFormat="1" applyFont="1" applyFill="1" applyBorder="1" applyAlignment="1">
      <alignment horizontal="right" indent="2"/>
    </xf>
    <xf numFmtId="3" fontId="67" fillId="12" borderId="48" xfId="0" applyNumberFormat="1" applyFont="1" applyFill="1" applyBorder="1" applyAlignment="1">
      <alignment horizontal="right" indent="2"/>
    </xf>
    <xf numFmtId="3" fontId="3" fillId="12" borderId="62" xfId="0" applyNumberFormat="1" applyFont="1" applyFill="1" applyBorder="1" applyAlignment="1">
      <alignment horizontal="right" indent="2"/>
    </xf>
    <xf numFmtId="3" fontId="67" fillId="4" borderId="31" xfId="0" applyNumberFormat="1" applyFont="1" applyFill="1" applyBorder="1" applyAlignment="1">
      <alignment horizontal="right" indent="2"/>
    </xf>
    <xf numFmtId="3" fontId="3" fillId="4" borderId="28" xfId="0" applyNumberFormat="1" applyFont="1" applyFill="1" applyBorder="1" applyAlignment="1">
      <alignment horizontal="right" indent="2"/>
    </xf>
    <xf numFmtId="3" fontId="67" fillId="12" borderId="31" xfId="0" applyNumberFormat="1" applyFont="1" applyFill="1" applyBorder="1" applyAlignment="1">
      <alignment horizontal="right" indent="2"/>
    </xf>
    <xf numFmtId="3" fontId="3" fillId="12" borderId="37" xfId="0" applyNumberFormat="1" applyFont="1" applyFill="1" applyBorder="1" applyAlignment="1">
      <alignment horizontal="right" indent="2"/>
    </xf>
    <xf numFmtId="3" fontId="3" fillId="12" borderId="34" xfId="0" applyNumberFormat="1" applyFont="1" applyFill="1" applyBorder="1" applyAlignment="1">
      <alignment horizontal="right" indent="2"/>
    </xf>
    <xf numFmtId="3" fontId="0" fillId="0" borderId="0" xfId="0" applyNumberFormat="1" applyAlignment="1">
      <alignment horizontal="right" vertical="center" wrapText="1"/>
    </xf>
    <xf numFmtId="165" fontId="13" fillId="0" borderId="11" xfId="2" applyNumberFormat="1" applyFont="1" applyBorder="1" applyAlignment="1">
      <alignment vertical="center" wrapText="1"/>
    </xf>
    <xf numFmtId="3" fontId="79" fillId="0" borderId="0" xfId="0" applyNumberFormat="1" applyFont="1" applyAlignment="1">
      <alignment horizontal="right" vertical="center"/>
    </xf>
    <xf numFmtId="3" fontId="45" fillId="4" borderId="24" xfId="0" applyNumberFormat="1" applyFont="1" applyFill="1" applyBorder="1" applyAlignment="1">
      <alignment horizontal="right" vertical="center" wrapText="1" indent="2"/>
    </xf>
    <xf numFmtId="3" fontId="3" fillId="4" borderId="22" xfId="0" applyNumberFormat="1" applyFont="1" applyFill="1" applyBorder="1" applyAlignment="1">
      <alignment horizontal="right" vertical="center" wrapText="1" indent="2"/>
    </xf>
    <xf numFmtId="3" fontId="45" fillId="4" borderId="21" xfId="0" applyNumberFormat="1" applyFont="1" applyFill="1" applyBorder="1" applyAlignment="1">
      <alignment horizontal="right" vertical="center" wrapText="1" indent="2"/>
    </xf>
    <xf numFmtId="3" fontId="45" fillId="4" borderId="22" xfId="0" applyNumberFormat="1" applyFont="1" applyFill="1" applyBorder="1" applyAlignment="1">
      <alignment horizontal="right" vertical="center" wrapText="1" indent="2"/>
    </xf>
    <xf numFmtId="3" fontId="45" fillId="4" borderId="25" xfId="0" applyNumberFormat="1" applyFont="1" applyFill="1" applyBorder="1" applyAlignment="1">
      <alignment horizontal="right" indent="2"/>
    </xf>
    <xf numFmtId="3" fontId="3" fillId="12" borderId="21" xfId="0" applyNumberFormat="1" applyFont="1" applyFill="1" applyBorder="1" applyAlignment="1">
      <alignment horizontal="right" vertical="center" wrapText="1" indent="2"/>
    </xf>
    <xf numFmtId="3" fontId="3" fillId="4" borderId="27" xfId="0" applyNumberFormat="1" applyFont="1" applyFill="1" applyBorder="1" applyAlignment="1">
      <alignment horizontal="right" vertical="center" wrapText="1" indent="2"/>
    </xf>
    <xf numFmtId="3" fontId="45" fillId="4" borderId="9" xfId="0" applyNumberFormat="1" applyFont="1" applyFill="1" applyBorder="1" applyAlignment="1">
      <alignment horizontal="right" indent="2"/>
    </xf>
    <xf numFmtId="3" fontId="45" fillId="4" borderId="28" xfId="0" applyNumberFormat="1" applyFont="1" applyFill="1" applyBorder="1" applyAlignment="1">
      <alignment horizontal="right" vertical="center" wrapText="1" indent="2"/>
    </xf>
    <xf numFmtId="165" fontId="13" fillId="0" borderId="0" xfId="2" applyNumberFormat="1" applyFont="1" applyAlignment="1">
      <alignment horizontal="center" vertical="center" wrapText="1"/>
    </xf>
    <xf numFmtId="165" fontId="13" fillId="0" borderId="28" xfId="2" applyNumberFormat="1" applyFont="1" applyBorder="1" applyAlignment="1">
      <alignment horizontal="center" vertical="center" wrapText="1"/>
    </xf>
    <xf numFmtId="3" fontId="45" fillId="4" borderId="48" xfId="0" applyNumberFormat="1" applyFont="1" applyFill="1" applyBorder="1" applyAlignment="1">
      <alignment horizontal="right" indent="2"/>
    </xf>
    <xf numFmtId="3" fontId="45" fillId="4" borderId="62" xfId="0" applyNumberFormat="1" applyFont="1" applyFill="1" applyBorder="1" applyAlignment="1">
      <alignment horizontal="right" indent="2"/>
    </xf>
    <xf numFmtId="3" fontId="87" fillId="4" borderId="47" xfId="0" applyNumberFormat="1" applyFont="1" applyFill="1" applyBorder="1" applyAlignment="1">
      <alignment horizontal="right" indent="2"/>
    </xf>
    <xf numFmtId="165" fontId="19" fillId="4" borderId="30" xfId="2" applyNumberFormat="1" applyFont="1" applyFill="1" applyBorder="1" applyAlignment="1">
      <alignment horizontal="right" indent="2"/>
    </xf>
    <xf numFmtId="165" fontId="19" fillId="4" borderId="31" xfId="2" applyNumberFormat="1" applyFont="1" applyFill="1" applyBorder="1" applyAlignment="1">
      <alignment horizontal="right" indent="2"/>
    </xf>
    <xf numFmtId="165" fontId="19" fillId="0" borderId="0" xfId="2" applyNumberFormat="1" applyFont="1" applyAlignment="1">
      <alignment horizontal="right" vertical="center" wrapText="1" indent="2"/>
    </xf>
    <xf numFmtId="165" fontId="19" fillId="4" borderId="27" xfId="2" applyNumberFormat="1" applyFont="1" applyFill="1" applyBorder="1" applyAlignment="1">
      <alignment horizontal="right" indent="2"/>
    </xf>
    <xf numFmtId="165" fontId="19" fillId="4" borderId="32" xfId="2" applyNumberFormat="1" applyFont="1" applyFill="1" applyBorder="1" applyAlignment="1">
      <alignment horizontal="right" indent="2"/>
    </xf>
    <xf numFmtId="165" fontId="0" fillId="6" borderId="21" xfId="0" applyNumberFormat="1" applyFill="1" applyBorder="1"/>
    <xf numFmtId="165" fontId="0" fillId="6" borderId="22" xfId="0" applyNumberFormat="1" applyFill="1" applyBorder="1" applyAlignment="1">
      <alignment horizontal="right" indent="2"/>
    </xf>
    <xf numFmtId="165" fontId="0" fillId="6" borderId="62" xfId="0" applyNumberFormat="1" applyFill="1" applyBorder="1" applyAlignment="1">
      <alignment horizontal="right"/>
    </xf>
    <xf numFmtId="165" fontId="0" fillId="6" borderId="21" xfId="0" applyNumberFormat="1" applyFill="1" applyBorder="1" applyAlignment="1">
      <alignment horizontal="right" indent="2"/>
    </xf>
    <xf numFmtId="165" fontId="27" fillId="0" borderId="8" xfId="0" applyNumberFormat="1" applyFont="1" applyBorder="1" applyAlignment="1">
      <alignment horizontal="right"/>
    </xf>
    <xf numFmtId="165" fontId="27" fillId="0" borderId="0" xfId="0" applyNumberFormat="1" applyFont="1" applyAlignment="1">
      <alignment horizontal="right" indent="2"/>
    </xf>
    <xf numFmtId="165" fontId="27" fillId="0" borderId="9" xfId="0" applyNumberFormat="1" applyFont="1" applyBorder="1" applyAlignment="1">
      <alignment horizontal="right"/>
    </xf>
    <xf numFmtId="3" fontId="0" fillId="21" borderId="11" xfId="0" applyNumberFormat="1" applyFill="1" applyBorder="1" applyAlignment="1">
      <alignment horizontal="right" vertical="center" wrapText="1" indent="2"/>
    </xf>
    <xf numFmtId="166" fontId="67" fillId="6" borderId="63" xfId="0" applyNumberFormat="1" applyFont="1" applyFill="1" applyBorder="1" applyAlignment="1">
      <alignment horizontal="right" indent="2"/>
    </xf>
    <xf numFmtId="3" fontId="0" fillId="0" borderId="85" xfId="0" applyNumberFormat="1" applyBorder="1" applyAlignment="1">
      <alignment horizontal="right" indent="2"/>
    </xf>
    <xf numFmtId="3" fontId="3" fillId="4" borderId="49" xfId="0" applyNumberFormat="1" applyFont="1" applyFill="1" applyBorder="1" applyAlignment="1">
      <alignment horizontal="right" indent="2"/>
    </xf>
    <xf numFmtId="3" fontId="3" fillId="4" borderId="11" xfId="0" applyNumberFormat="1" applyFont="1" applyFill="1" applyBorder="1" applyAlignment="1">
      <alignment horizontal="right" indent="2"/>
    </xf>
    <xf numFmtId="165" fontId="13" fillId="0" borderId="11" xfId="2" applyNumberFormat="1" applyFont="1" applyFill="1" applyBorder="1" applyAlignment="1">
      <alignment vertical="center" wrapText="1"/>
    </xf>
    <xf numFmtId="0" fontId="12" fillId="0" borderId="3" xfId="0" applyFont="1" applyBorder="1"/>
    <xf numFmtId="3" fontId="3" fillId="4" borderId="24" xfId="0" applyNumberFormat="1" applyFont="1" applyFill="1" applyBorder="1" applyAlignment="1">
      <alignment horizontal="right" indent="2"/>
    </xf>
    <xf numFmtId="3" fontId="37" fillId="6" borderId="12" xfId="0" applyNumberFormat="1" applyFont="1" applyFill="1" applyBorder="1" applyAlignment="1">
      <alignment horizontal="right" indent="2"/>
    </xf>
    <xf numFmtId="165" fontId="27" fillId="6" borderId="21" xfId="0" applyNumberFormat="1" applyFont="1" applyFill="1" applyBorder="1" applyAlignment="1">
      <alignment horizontal="right" indent="2"/>
    </xf>
    <xf numFmtId="0" fontId="11" fillId="15" borderId="2" xfId="0" applyFont="1" applyFill="1" applyBorder="1" applyAlignment="1">
      <alignment horizontal="center" vertical="center" textRotation="90" wrapText="1"/>
    </xf>
    <xf numFmtId="0" fontId="0" fillId="15" borderId="3" xfId="0" applyFill="1" applyBorder="1" applyAlignment="1">
      <alignment horizontal="right" vertical="center"/>
    </xf>
    <xf numFmtId="0" fontId="39" fillId="0" borderId="5" xfId="3" applyFont="1" applyBorder="1" applyAlignment="1">
      <alignment horizontal="center" vertical="center" wrapText="1"/>
    </xf>
    <xf numFmtId="0" fontId="0" fillId="15" borderId="12" xfId="0" applyFill="1" applyBorder="1" applyAlignment="1">
      <alignment vertical="center" wrapText="1"/>
    </xf>
    <xf numFmtId="0" fontId="0" fillId="15" borderId="15" xfId="0" applyFill="1" applyBorder="1" applyAlignment="1">
      <alignment vertical="center" wrapText="1"/>
    </xf>
    <xf numFmtId="0" fontId="0" fillId="15" borderId="13" xfId="0" applyFill="1" applyBorder="1" applyAlignment="1">
      <alignment vertical="center" wrapText="1"/>
    </xf>
    <xf numFmtId="3" fontId="0" fillId="15" borderId="21" xfId="0" applyNumberFormat="1" applyFill="1" applyBorder="1" applyAlignment="1">
      <alignment horizontal="right" indent="2"/>
    </xf>
    <xf numFmtId="3" fontId="0" fillId="15" borderId="26" xfId="0" applyNumberFormat="1" applyFill="1" applyBorder="1" applyAlignment="1">
      <alignment horizontal="right" indent="2"/>
    </xf>
    <xf numFmtId="3" fontId="0" fillId="15" borderId="63" xfId="0" applyNumberFormat="1" applyFill="1" applyBorder="1" applyAlignment="1">
      <alignment horizontal="right" indent="2"/>
    </xf>
    <xf numFmtId="0" fontId="2" fillId="15" borderId="22" xfId="0" applyFont="1" applyFill="1" applyBorder="1" applyAlignment="1">
      <alignment horizontal="right"/>
    </xf>
    <xf numFmtId="166" fontId="0" fillId="15" borderId="30" xfId="0" applyNumberFormat="1" applyFill="1" applyBorder="1" applyAlignment="1">
      <alignment horizontal="right" indent="2"/>
    </xf>
    <xf numFmtId="166" fontId="0" fillId="15" borderId="31" xfId="0" applyNumberFormat="1" applyFill="1" applyBorder="1" applyAlignment="1">
      <alignment horizontal="right" indent="2"/>
    </xf>
    <xf numFmtId="3" fontId="0" fillId="15" borderId="27" xfId="0" applyNumberFormat="1" applyFill="1" applyBorder="1" applyAlignment="1">
      <alignment horizontal="right" indent="2"/>
    </xf>
    <xf numFmtId="3" fontId="0" fillId="15" borderId="32" xfId="0" applyNumberFormat="1" applyFill="1" applyBorder="1" applyAlignment="1">
      <alignment horizontal="right" indent="2"/>
    </xf>
    <xf numFmtId="3" fontId="0" fillId="15" borderId="30" xfId="0" applyNumberFormat="1" applyFill="1" applyBorder="1" applyAlignment="1">
      <alignment horizontal="right" indent="2"/>
    </xf>
    <xf numFmtId="3" fontId="0" fillId="15" borderId="81" xfId="0" applyNumberFormat="1" applyFill="1" applyBorder="1" applyAlignment="1">
      <alignment horizontal="right" indent="2"/>
    </xf>
    <xf numFmtId="3" fontId="3" fillId="15" borderId="33" xfId="0" applyNumberFormat="1" applyFont="1" applyFill="1" applyBorder="1" applyAlignment="1">
      <alignment horizontal="right" indent="2"/>
    </xf>
    <xf numFmtId="3" fontId="3" fillId="15" borderId="39" xfId="0" applyNumberFormat="1" applyFont="1" applyFill="1" applyBorder="1" applyAlignment="1">
      <alignment horizontal="right" indent="2"/>
    </xf>
    <xf numFmtId="3" fontId="3" fillId="15" borderId="36" xfId="0" applyNumberFormat="1" applyFont="1" applyFill="1" applyBorder="1" applyAlignment="1">
      <alignment horizontal="right" indent="2"/>
    </xf>
    <xf numFmtId="3" fontId="3" fillId="15" borderId="64" xfId="0" applyNumberFormat="1" applyFont="1" applyFill="1" applyBorder="1" applyAlignment="1">
      <alignment horizontal="right" indent="2"/>
    </xf>
    <xf numFmtId="166" fontId="0" fillId="6" borderId="46" xfId="0" applyNumberFormat="1" applyFill="1" applyBorder="1" applyAlignment="1">
      <alignment horizontal="right" indent="2"/>
    </xf>
    <xf numFmtId="166" fontId="0" fillId="6" borderId="10" xfId="0" applyNumberFormat="1" applyFill="1" applyBorder="1" applyAlignment="1">
      <alignment horizontal="right" indent="2"/>
    </xf>
    <xf numFmtId="166" fontId="13" fillId="0" borderId="33" xfId="2" applyNumberFormat="1" applyFont="1" applyBorder="1" applyAlignment="1">
      <alignment horizontal="right" indent="2"/>
    </xf>
    <xf numFmtId="166" fontId="13" fillId="0" borderId="41" xfId="2" applyNumberFormat="1" applyFont="1" applyBorder="1" applyAlignment="1">
      <alignment horizontal="right" indent="2"/>
    </xf>
    <xf numFmtId="166" fontId="13" fillId="0" borderId="33" xfId="2" applyNumberFormat="1" applyFont="1" applyBorder="1" applyAlignment="1">
      <alignment horizontal="center" vertical="center" wrapText="1"/>
    </xf>
    <xf numFmtId="166" fontId="13" fillId="0" borderId="38" xfId="2" applyNumberFormat="1" applyFont="1" applyBorder="1" applyAlignment="1">
      <alignment horizontal="center" vertical="center" wrapText="1"/>
    </xf>
    <xf numFmtId="166" fontId="0" fillId="0" borderId="20" xfId="0" applyNumberFormat="1" applyBorder="1" applyAlignment="1">
      <alignment horizontal="right" indent="2"/>
    </xf>
    <xf numFmtId="165" fontId="13" fillId="6" borderId="46" xfId="2" applyNumberFormat="1" applyFont="1" applyFill="1" applyBorder="1" applyAlignment="1">
      <alignment horizontal="right" indent="2"/>
    </xf>
    <xf numFmtId="165" fontId="18" fillId="0" borderId="0" xfId="2" applyNumberFormat="1" applyFont="1" applyAlignment="1">
      <alignment horizontal="right" indent="2"/>
    </xf>
    <xf numFmtId="3" fontId="0" fillId="6" borderId="7" xfId="0" applyNumberFormat="1" applyFill="1" applyBorder="1" applyAlignment="1">
      <alignment horizontal="right" indent="2"/>
    </xf>
    <xf numFmtId="166" fontId="12" fillId="4" borderId="4" xfId="0" applyNumberFormat="1" applyFont="1" applyFill="1" applyBorder="1" applyAlignment="1">
      <alignment horizontal="center" vertical="center" wrapText="1"/>
    </xf>
    <xf numFmtId="3" fontId="0" fillId="0" borderId="4" xfId="0" applyNumberFormat="1" applyBorder="1" applyAlignment="1">
      <alignment horizontal="right" indent="2"/>
    </xf>
    <xf numFmtId="166" fontId="47" fillId="0" borderId="43" xfId="0" applyNumberFormat="1" applyFont="1" applyBorder="1" applyAlignment="1">
      <alignment horizontal="right" indent="2"/>
    </xf>
    <xf numFmtId="166" fontId="20" fillId="4" borderId="37" xfId="2" applyNumberFormat="1" applyFont="1" applyFill="1" applyBorder="1" applyAlignment="1">
      <alignment horizontal="right" indent="2"/>
    </xf>
    <xf numFmtId="166" fontId="0" fillId="15" borderId="12" xfId="0" applyNumberFormat="1" applyFill="1" applyBorder="1" applyAlignment="1">
      <alignment horizontal="right" indent="2"/>
    </xf>
    <xf numFmtId="166" fontId="0" fillId="15" borderId="15" xfId="0" applyNumberFormat="1" applyFill="1" applyBorder="1" applyAlignment="1">
      <alignment horizontal="right" indent="2"/>
    </xf>
    <xf numFmtId="166" fontId="23" fillId="15" borderId="25" xfId="0" applyNumberFormat="1" applyFont="1" applyFill="1" applyBorder="1" applyAlignment="1">
      <alignment horizontal="right" indent="2"/>
    </xf>
    <xf numFmtId="3" fontId="23" fillId="15" borderId="8" xfId="0" applyNumberFormat="1" applyFont="1" applyFill="1" applyBorder="1" applyAlignment="1">
      <alignment horizontal="right" indent="2"/>
    </xf>
    <xf numFmtId="3" fontId="0" fillId="15" borderId="8" xfId="0" applyNumberFormat="1" applyFill="1" applyBorder="1" applyAlignment="1">
      <alignment horizontal="right" indent="2"/>
    </xf>
    <xf numFmtId="3" fontId="0" fillId="15" borderId="41" xfId="0" applyNumberFormat="1" applyFill="1" applyBorder="1" applyAlignment="1">
      <alignment horizontal="right" indent="2"/>
    </xf>
    <xf numFmtId="3" fontId="12" fillId="15" borderId="23" xfId="0" applyNumberFormat="1" applyFont="1" applyFill="1" applyBorder="1" applyAlignment="1">
      <alignment horizontal="right" indent="2"/>
    </xf>
    <xf numFmtId="3" fontId="66" fillId="15" borderId="24" xfId="2" applyNumberFormat="1" applyFont="1" applyFill="1" applyBorder="1" applyAlignment="1">
      <alignment horizontal="right" indent="2"/>
    </xf>
    <xf numFmtId="3" fontId="66" fillId="0" borderId="0" xfId="2" applyNumberFormat="1" applyFont="1" applyAlignment="1">
      <alignment horizontal="right" indent="2"/>
    </xf>
    <xf numFmtId="3" fontId="66" fillId="0" borderId="11" xfId="2" applyNumberFormat="1" applyFont="1" applyBorder="1" applyAlignment="1">
      <alignment horizontal="right" indent="2"/>
    </xf>
    <xf numFmtId="3" fontId="66" fillId="0" borderId="8" xfId="2" applyNumberFormat="1" applyFont="1" applyBorder="1" applyAlignment="1">
      <alignment horizontal="right" indent="2"/>
    </xf>
    <xf numFmtId="3" fontId="66" fillId="15" borderId="23" xfId="2" applyNumberFormat="1" applyFont="1" applyFill="1" applyBorder="1" applyAlignment="1">
      <alignment horizontal="right" indent="2"/>
    </xf>
    <xf numFmtId="3" fontId="42" fillId="15" borderId="63" xfId="2" applyNumberFormat="1" applyFont="1" applyFill="1" applyBorder="1" applyAlignment="1">
      <alignment horizontal="right" indent="2"/>
    </xf>
    <xf numFmtId="165" fontId="42" fillId="0" borderId="0" xfId="2" applyNumberFormat="1" applyFont="1" applyAlignment="1">
      <alignment horizontal="right"/>
    </xf>
    <xf numFmtId="165" fontId="15" fillId="15" borderId="46" xfId="2" applyNumberFormat="1" applyFont="1" applyFill="1" applyBorder="1" applyAlignment="1">
      <alignment horizontal="right" indent="2"/>
    </xf>
    <xf numFmtId="165" fontId="15" fillId="15" borderId="47" xfId="2" applyNumberFormat="1" applyFont="1" applyFill="1" applyBorder="1" applyAlignment="1">
      <alignment horizontal="right" indent="2"/>
    </xf>
    <xf numFmtId="165" fontId="15" fillId="15" borderId="65" xfId="2" applyNumberFormat="1" applyFont="1" applyFill="1" applyBorder="1" applyAlignment="1">
      <alignment horizontal="right" indent="2"/>
    </xf>
    <xf numFmtId="165" fontId="15" fillId="0" borderId="11" xfId="2" applyNumberFormat="1" applyFont="1" applyBorder="1" applyAlignment="1">
      <alignment horizontal="right" indent="2"/>
    </xf>
    <xf numFmtId="165" fontId="15" fillId="15" borderId="17" xfId="2" applyNumberFormat="1" applyFont="1" applyFill="1" applyBorder="1" applyAlignment="1">
      <alignment horizontal="right" indent="2"/>
    </xf>
    <xf numFmtId="165" fontId="15" fillId="15" borderId="79" xfId="2" applyNumberFormat="1" applyFont="1" applyFill="1" applyBorder="1" applyAlignment="1">
      <alignment horizontal="right" indent="2"/>
    </xf>
    <xf numFmtId="165" fontId="21" fillId="15" borderId="23" xfId="2" applyNumberFormat="1" applyFont="1" applyFill="1" applyBorder="1" applyAlignment="1">
      <alignment horizontal="right" indent="2"/>
    </xf>
    <xf numFmtId="165" fontId="21" fillId="0" borderId="8" xfId="2" applyNumberFormat="1" applyFont="1" applyBorder="1" applyAlignment="1">
      <alignment horizontal="right" indent="2"/>
    </xf>
    <xf numFmtId="165" fontId="21" fillId="15" borderId="24" xfId="2" applyNumberFormat="1" applyFont="1" applyFill="1" applyBorder="1" applyAlignment="1">
      <alignment horizontal="right" indent="2"/>
    </xf>
    <xf numFmtId="165" fontId="21" fillId="15" borderId="51" xfId="2" applyNumberFormat="1" applyFont="1" applyFill="1" applyBorder="1" applyAlignment="1">
      <alignment horizontal="right" indent="2"/>
    </xf>
    <xf numFmtId="165" fontId="21" fillId="0" borderId="11" xfId="2" applyNumberFormat="1" applyFont="1" applyBorder="1" applyAlignment="1">
      <alignment horizontal="right" indent="2"/>
    </xf>
    <xf numFmtId="165" fontId="21" fillId="15" borderId="21" xfId="2" applyNumberFormat="1" applyFont="1" applyFill="1" applyBorder="1" applyAlignment="1">
      <alignment horizontal="right" indent="2"/>
    </xf>
    <xf numFmtId="165" fontId="21" fillId="0" borderId="0" xfId="2" applyNumberFormat="1" applyFont="1" applyAlignment="1">
      <alignment horizontal="right" indent="2"/>
    </xf>
    <xf numFmtId="165" fontId="21" fillId="15" borderId="63" xfId="2" applyNumberFormat="1" applyFont="1" applyFill="1" applyBorder="1" applyAlignment="1">
      <alignment horizontal="right" indent="2"/>
    </xf>
    <xf numFmtId="165" fontId="21" fillId="15" borderId="22" xfId="2" applyNumberFormat="1" applyFont="1" applyFill="1" applyBorder="1" applyAlignment="1">
      <alignment horizontal="right" indent="2"/>
    </xf>
    <xf numFmtId="0" fontId="0" fillId="15" borderId="51" xfId="0" applyFill="1" applyBorder="1"/>
    <xf numFmtId="0" fontId="0" fillId="15" borderId="21" xfId="0" applyFill="1" applyBorder="1"/>
    <xf numFmtId="0" fontId="0" fillId="15" borderId="63" xfId="0" applyFill="1" applyBorder="1"/>
    <xf numFmtId="3" fontId="9" fillId="15" borderId="23" xfId="0" applyNumberFormat="1" applyFont="1" applyFill="1" applyBorder="1" applyAlignment="1">
      <alignment horizontal="right" indent="2"/>
    </xf>
    <xf numFmtId="3" fontId="9" fillId="15" borderId="24" xfId="0" applyNumberFormat="1" applyFont="1" applyFill="1" applyBorder="1" applyAlignment="1">
      <alignment horizontal="right" indent="2"/>
    </xf>
    <xf numFmtId="3" fontId="9" fillId="15" borderId="51" xfId="0" applyNumberFormat="1" applyFont="1" applyFill="1" applyBorder="1" applyAlignment="1">
      <alignment horizontal="right" indent="2"/>
    </xf>
    <xf numFmtId="3" fontId="9" fillId="15" borderId="21" xfId="0" applyNumberFormat="1" applyFont="1" applyFill="1" applyBorder="1" applyAlignment="1">
      <alignment horizontal="right" indent="2"/>
    </xf>
    <xf numFmtId="3" fontId="9" fillId="15" borderId="63" xfId="0" applyNumberFormat="1" applyFont="1" applyFill="1" applyBorder="1" applyAlignment="1">
      <alignment horizontal="right" indent="2"/>
    </xf>
    <xf numFmtId="3" fontId="9" fillId="15" borderId="22" xfId="0" applyNumberFormat="1" applyFont="1" applyFill="1" applyBorder="1" applyAlignment="1">
      <alignment horizontal="right" indent="2"/>
    </xf>
    <xf numFmtId="165" fontId="15" fillId="15" borderId="35" xfId="2" applyNumberFormat="1" applyFont="1" applyFill="1" applyBorder="1" applyAlignment="1">
      <alignment horizontal="right" indent="2"/>
    </xf>
    <xf numFmtId="165" fontId="15" fillId="15" borderId="36" xfId="2" applyNumberFormat="1" applyFont="1" applyFill="1" applyBorder="1" applyAlignment="1">
      <alignment horizontal="right" indent="2"/>
    </xf>
    <xf numFmtId="165" fontId="15" fillId="15" borderId="66" xfId="2" applyNumberFormat="1" applyFont="1" applyFill="1" applyBorder="1" applyAlignment="1">
      <alignment horizontal="right" indent="2"/>
    </xf>
    <xf numFmtId="165" fontId="15" fillId="15" borderId="33" xfId="2" applyNumberFormat="1" applyFont="1" applyFill="1" applyBorder="1" applyAlignment="1">
      <alignment horizontal="right" indent="2"/>
    </xf>
    <xf numFmtId="165" fontId="15" fillId="0" borderId="38" xfId="2" applyNumberFormat="1" applyFont="1" applyBorder="1" applyAlignment="1">
      <alignment horizontal="right" indent="2"/>
    </xf>
    <xf numFmtId="165" fontId="15" fillId="15" borderId="64" xfId="2" applyNumberFormat="1" applyFont="1" applyFill="1" applyBorder="1" applyAlignment="1">
      <alignment horizontal="right" indent="2"/>
    </xf>
    <xf numFmtId="165" fontId="15" fillId="15" borderId="34" xfId="2" applyNumberFormat="1" applyFont="1" applyFill="1" applyBorder="1" applyAlignment="1">
      <alignment horizontal="right" indent="2"/>
    </xf>
    <xf numFmtId="0" fontId="6" fillId="11" borderId="2" xfId="0" applyFont="1" applyFill="1" applyBorder="1" applyAlignment="1">
      <alignment vertical="center"/>
    </xf>
    <xf numFmtId="0" fontId="4" fillId="0" borderId="0" xfId="3" applyAlignment="1">
      <alignment vertical="center"/>
    </xf>
    <xf numFmtId="43" fontId="0" fillId="4" borderId="14" xfId="5" applyFont="1" applyFill="1" applyBorder="1" applyAlignment="1">
      <alignment vertical="center" wrapText="1"/>
    </xf>
    <xf numFmtId="43" fontId="0" fillId="0" borderId="10" xfId="5" applyFont="1" applyFill="1" applyBorder="1" applyAlignment="1">
      <alignment vertical="center" wrapText="1"/>
    </xf>
    <xf numFmtId="3" fontId="145" fillId="0" borderId="0" xfId="0" applyNumberFormat="1" applyFont="1" applyAlignment="1">
      <alignment horizontal="right" vertical="center"/>
    </xf>
    <xf numFmtId="0" fontId="145" fillId="0" borderId="0" xfId="0" applyFont="1" applyAlignment="1">
      <alignment horizontal="right" vertical="center"/>
    </xf>
    <xf numFmtId="0" fontId="3" fillId="0" borderId="0" xfId="0" applyFont="1" applyAlignment="1">
      <alignment vertical="center"/>
    </xf>
    <xf numFmtId="3" fontId="0" fillId="0" borderId="7" xfId="0" applyNumberFormat="1" applyBorder="1" applyAlignment="1">
      <alignment vertical="center"/>
    </xf>
    <xf numFmtId="0" fontId="0" fillId="0" borderId="10" xfId="0" quotePrefix="1" applyBorder="1" applyAlignment="1">
      <alignment vertical="center"/>
    </xf>
    <xf numFmtId="3" fontId="2" fillId="19" borderId="10" xfId="0" applyNumberFormat="1" applyFont="1" applyFill="1" applyBorder="1" applyAlignment="1">
      <alignment horizontal="right" vertical="center"/>
    </xf>
    <xf numFmtId="3" fontId="0" fillId="19" borderId="10" xfId="0" applyNumberFormat="1" applyFill="1" applyBorder="1" applyAlignment="1">
      <alignment horizontal="right" vertical="center" wrapText="1"/>
    </xf>
    <xf numFmtId="0" fontId="2" fillId="0" borderId="10" xfId="0" applyFont="1" applyBorder="1" applyAlignment="1">
      <alignment vertical="center"/>
    </xf>
    <xf numFmtId="43" fontId="0" fillId="0" borderId="0" xfId="0" applyNumberFormat="1"/>
    <xf numFmtId="0" fontId="144" fillId="0" borderId="0" xfId="0" applyFont="1"/>
    <xf numFmtId="0" fontId="0" fillId="0" borderId="18" xfId="0" quotePrefix="1" applyBorder="1" applyAlignment="1">
      <alignment horizontal="center"/>
    </xf>
    <xf numFmtId="0" fontId="0" fillId="0" borderId="11" xfId="0" quotePrefix="1" applyBorder="1" applyAlignment="1">
      <alignment horizontal="center"/>
    </xf>
    <xf numFmtId="0" fontId="0" fillId="0" borderId="18" xfId="0" applyBorder="1" applyAlignment="1">
      <alignment horizontal="center"/>
    </xf>
    <xf numFmtId="0" fontId="0" fillId="6" borderId="16" xfId="0" applyFill="1" applyBorder="1"/>
    <xf numFmtId="0" fontId="0" fillId="6" borderId="44" xfId="0" applyFill="1" applyBorder="1"/>
    <xf numFmtId="3" fontId="0" fillId="0" borderId="47" xfId="0" applyNumberFormat="1" applyBorder="1" applyAlignment="1">
      <alignment horizontal="left"/>
    </xf>
    <xf numFmtId="3" fontId="0" fillId="0" borderId="24" xfId="0" applyNumberFormat="1" applyBorder="1" applyAlignment="1">
      <alignment horizontal="left"/>
    </xf>
    <xf numFmtId="0" fontId="79" fillId="0" borderId="44" xfId="0" applyFont="1" applyBorder="1" applyAlignment="1">
      <alignment horizontal="right"/>
    </xf>
    <xf numFmtId="0" fontId="79" fillId="0" borderId="0" xfId="0" applyFont="1" applyAlignment="1">
      <alignment horizontal="right"/>
    </xf>
    <xf numFmtId="3" fontId="3" fillId="6" borderId="0" xfId="0" applyNumberFormat="1" applyFont="1" applyFill="1" applyAlignment="1">
      <alignment horizontal="right" indent="2"/>
    </xf>
    <xf numFmtId="3" fontId="3" fillId="6" borderId="23" xfId="0" applyNumberFormat="1" applyFont="1" applyFill="1" applyBorder="1" applyAlignment="1">
      <alignment horizontal="right" indent="2"/>
    </xf>
    <xf numFmtId="0" fontId="79" fillId="0" borderId="0" xfId="0" applyFont="1" applyAlignment="1">
      <alignment horizontal="center"/>
    </xf>
    <xf numFmtId="4" fontId="0" fillId="0" borderId="10" xfId="0" applyNumberFormat="1" applyBorder="1"/>
    <xf numFmtId="3" fontId="3" fillId="6" borderId="10" xfId="0" applyNumberFormat="1" applyFont="1" applyFill="1" applyBorder="1" applyAlignment="1">
      <alignment horizontal="right" indent="2"/>
    </xf>
    <xf numFmtId="0" fontId="0" fillId="0" borderId="53" xfId="0" applyBorder="1" applyAlignment="1">
      <alignment horizontal="right"/>
    </xf>
    <xf numFmtId="3" fontId="0" fillId="0" borderId="36" xfId="0" applyNumberFormat="1" applyBorder="1" applyAlignment="1">
      <alignment horizontal="right" indent="2"/>
    </xf>
    <xf numFmtId="3" fontId="3" fillId="6" borderId="42" xfId="0" applyNumberFormat="1" applyFont="1" applyFill="1" applyBorder="1" applyAlignment="1">
      <alignment horizontal="right" indent="2"/>
    </xf>
    <xf numFmtId="0" fontId="79" fillId="0" borderId="42" xfId="0" applyFont="1" applyBorder="1" applyAlignment="1">
      <alignment horizontal="right"/>
    </xf>
    <xf numFmtId="3" fontId="3" fillId="21" borderId="10" xfId="0" applyNumberFormat="1" applyFont="1" applyFill="1" applyBorder="1" applyAlignment="1">
      <alignment horizontal="right" indent="2"/>
    </xf>
    <xf numFmtId="3" fontId="3" fillId="4" borderId="38" xfId="0" applyNumberFormat="1" applyFont="1" applyFill="1" applyBorder="1" applyAlignment="1">
      <alignment horizontal="right" indent="2"/>
    </xf>
    <xf numFmtId="3" fontId="3" fillId="4" borderId="35" xfId="0" applyNumberFormat="1" applyFont="1" applyFill="1" applyBorder="1" applyAlignment="1">
      <alignment horizontal="right" indent="2"/>
    </xf>
    <xf numFmtId="3" fontId="3" fillId="4" borderId="11" xfId="0" applyNumberFormat="1" applyFont="1" applyFill="1" applyBorder="1" applyAlignment="1">
      <alignment horizontal="right" vertical="center" wrapText="1" indent="2"/>
    </xf>
    <xf numFmtId="0" fontId="79" fillId="0" borderId="0" xfId="0" applyFont="1" applyAlignment="1">
      <alignment horizontal="left"/>
    </xf>
    <xf numFmtId="3" fontId="3" fillId="4" borderId="23" xfId="0" applyNumberFormat="1" applyFont="1" applyFill="1" applyBorder="1" applyAlignment="1">
      <alignment horizontal="right" vertical="center" wrapText="1" indent="2"/>
    </xf>
    <xf numFmtId="3" fontId="3" fillId="4" borderId="10" xfId="0" applyNumberFormat="1" applyFont="1" applyFill="1" applyBorder="1" applyAlignment="1">
      <alignment horizontal="right" vertical="center" wrapText="1" indent="2"/>
    </xf>
    <xf numFmtId="3" fontId="2" fillId="4" borderId="27" xfId="0" applyNumberFormat="1" applyFont="1" applyFill="1" applyBorder="1" applyAlignment="1">
      <alignment horizontal="right" vertical="center" wrapText="1" indent="2"/>
    </xf>
    <xf numFmtId="3" fontId="89" fillId="4" borderId="27" xfId="0" applyNumberFormat="1" applyFont="1" applyFill="1" applyBorder="1" applyAlignment="1">
      <alignment horizontal="right" vertical="center" wrapText="1" indent="2"/>
    </xf>
    <xf numFmtId="3" fontId="89" fillId="4" borderId="11" xfId="0" applyNumberFormat="1" applyFont="1" applyFill="1" applyBorder="1" applyAlignment="1">
      <alignment horizontal="right" vertical="center" wrapText="1" indent="2"/>
    </xf>
    <xf numFmtId="3" fontId="89" fillId="4" borderId="29" xfId="0" applyNumberFormat="1" applyFont="1" applyFill="1" applyBorder="1" applyAlignment="1">
      <alignment horizontal="right" vertical="center" wrapText="1" indent="2"/>
    </xf>
    <xf numFmtId="3" fontId="23" fillId="0" borderId="0" xfId="0" applyNumberFormat="1" applyFont="1" applyAlignment="1">
      <alignment horizontal="right" vertical="center" wrapText="1" indent="2"/>
    </xf>
    <xf numFmtId="3" fontId="89" fillId="4" borderId="10" xfId="0" applyNumberFormat="1" applyFont="1" applyFill="1" applyBorder="1" applyAlignment="1">
      <alignment horizontal="right" vertical="center" wrapText="1" indent="2"/>
    </xf>
    <xf numFmtId="3" fontId="0" fillId="4" borderId="29" xfId="0" applyNumberFormat="1" applyFill="1" applyBorder="1" applyAlignment="1">
      <alignment horizontal="right" vertical="center" wrapText="1" indent="2"/>
    </xf>
    <xf numFmtId="165" fontId="30" fillId="0" borderId="42" xfId="2" applyNumberFormat="1" applyFont="1" applyFill="1" applyBorder="1" applyAlignment="1">
      <alignment horizontal="center" vertical="center" wrapText="1"/>
    </xf>
    <xf numFmtId="0" fontId="87" fillId="0" borderId="0" xfId="0" applyFont="1" applyAlignment="1">
      <alignment horizontal="right"/>
    </xf>
    <xf numFmtId="0" fontId="16" fillId="0" borderId="11" xfId="0" applyFont="1" applyBorder="1" applyAlignment="1">
      <alignment horizontal="right"/>
    </xf>
    <xf numFmtId="0" fontId="3" fillId="0" borderId="1" xfId="0" applyFont="1" applyBorder="1" applyAlignment="1">
      <alignment horizontal="left"/>
    </xf>
    <xf numFmtId="0" fontId="5" fillId="0" borderId="4" xfId="0" applyFont="1" applyBorder="1" applyAlignment="1">
      <alignment horizontal="center"/>
    </xf>
    <xf numFmtId="3" fontId="3" fillId="4" borderId="67" xfId="0" applyNumberFormat="1" applyFont="1" applyFill="1" applyBorder="1" applyAlignment="1">
      <alignment horizontal="right" indent="2"/>
    </xf>
    <xf numFmtId="3" fontId="3" fillId="4" borderId="3" xfId="0" applyNumberFormat="1" applyFont="1" applyFill="1" applyBorder="1" applyAlignment="1">
      <alignment horizontal="right" vertical="center" wrapText="1" indent="2"/>
    </xf>
    <xf numFmtId="0" fontId="79" fillId="0" borderId="1" xfId="0" applyFont="1" applyBorder="1" applyAlignment="1">
      <alignment horizontal="left"/>
    </xf>
    <xf numFmtId="0" fontId="0" fillId="0" borderId="3" xfId="0" applyBorder="1" applyAlignment="1">
      <alignment horizontal="right"/>
    </xf>
    <xf numFmtId="3" fontId="3" fillId="4" borderId="4" xfId="0" applyNumberFormat="1" applyFont="1" applyFill="1" applyBorder="1" applyAlignment="1">
      <alignment horizontal="right" indent="2"/>
    </xf>
    <xf numFmtId="3" fontId="79" fillId="0" borderId="2" xfId="0" applyNumberFormat="1" applyFont="1" applyBorder="1" applyAlignment="1">
      <alignment horizontal="right" indent="2"/>
    </xf>
    <xf numFmtId="3" fontId="3" fillId="4" borderId="4" xfId="0" applyNumberFormat="1" applyFont="1" applyFill="1" applyBorder="1" applyAlignment="1">
      <alignment horizontal="right" vertical="center" wrapText="1" indent="2"/>
    </xf>
    <xf numFmtId="165" fontId="9" fillId="0" borderId="5" xfId="0" applyNumberFormat="1" applyFont="1" applyBorder="1" applyAlignment="1">
      <alignment horizontal="right" indent="2"/>
    </xf>
    <xf numFmtId="166" fontId="79" fillId="0" borderId="0" xfId="0" applyNumberFormat="1" applyFont="1" applyAlignment="1">
      <alignment horizontal="right" indent="2"/>
    </xf>
    <xf numFmtId="166" fontId="3" fillId="21" borderId="30" xfId="0" applyNumberFormat="1" applyFont="1" applyFill="1" applyBorder="1" applyAlignment="1">
      <alignment horizontal="right" indent="2"/>
    </xf>
    <xf numFmtId="166" fontId="3" fillId="21" borderId="11" xfId="0" applyNumberFormat="1" applyFont="1" applyFill="1" applyBorder="1" applyAlignment="1">
      <alignment horizontal="right" indent="2"/>
    </xf>
    <xf numFmtId="3" fontId="79" fillId="0" borderId="0" xfId="0" applyNumberFormat="1" applyFont="1" applyAlignment="1">
      <alignment horizontal="left"/>
    </xf>
    <xf numFmtId="166" fontId="79" fillId="0" borderId="0" xfId="0" applyNumberFormat="1" applyFont="1" applyAlignment="1">
      <alignment horizontal="left"/>
    </xf>
    <xf numFmtId="166" fontId="3" fillId="0" borderId="0" xfId="0" applyNumberFormat="1" applyFont="1" applyAlignment="1">
      <alignment horizontal="right" indent="2"/>
    </xf>
    <xf numFmtId="3" fontId="0" fillId="21" borderId="9" xfId="0" applyNumberFormat="1" applyFill="1" applyBorder="1" applyAlignment="1">
      <alignment horizontal="right"/>
    </xf>
    <xf numFmtId="0" fontId="2" fillId="21" borderId="9" xfId="0" applyFont="1" applyFill="1" applyBorder="1" applyAlignment="1">
      <alignment horizontal="right"/>
    </xf>
    <xf numFmtId="166" fontId="3" fillId="21" borderId="18" xfId="0" applyNumberFormat="1" applyFont="1" applyFill="1" applyBorder="1" applyAlignment="1">
      <alignment horizontal="right" indent="2"/>
    </xf>
    <xf numFmtId="3" fontId="2" fillId="4" borderId="11" xfId="0" applyNumberFormat="1" applyFont="1" applyFill="1" applyBorder="1" applyAlignment="1">
      <alignment horizontal="right" wrapText="1" indent="2"/>
    </xf>
    <xf numFmtId="3" fontId="2" fillId="0" borderId="11" xfId="0" applyNumberFormat="1" applyFont="1" applyBorder="1" applyAlignment="1">
      <alignment horizontal="right" wrapText="1" indent="2"/>
    </xf>
    <xf numFmtId="165" fontId="0" fillId="4" borderId="24" xfId="2" applyNumberFormat="1" applyFont="1" applyFill="1" applyBorder="1" applyAlignment="1">
      <alignment horizontal="right" indent="2"/>
    </xf>
    <xf numFmtId="165" fontId="2" fillId="4" borderId="79" xfId="2" applyNumberFormat="1" applyFont="1" applyFill="1" applyBorder="1" applyAlignment="1">
      <alignment horizontal="right" indent="2"/>
    </xf>
    <xf numFmtId="165" fontId="0" fillId="4" borderId="11" xfId="2" applyNumberFormat="1" applyFont="1" applyFill="1" applyBorder="1" applyAlignment="1">
      <alignment horizontal="right" vertical="center" wrapText="1" indent="2"/>
    </xf>
    <xf numFmtId="3" fontId="2" fillId="4" borderId="85" xfId="0" applyNumberFormat="1" applyFont="1" applyFill="1" applyBorder="1" applyAlignment="1">
      <alignment horizontal="right" indent="2"/>
    </xf>
    <xf numFmtId="3" fontId="3" fillId="21" borderId="30" xfId="0" applyNumberFormat="1" applyFont="1" applyFill="1" applyBorder="1" applyAlignment="1">
      <alignment horizontal="right" indent="2"/>
    </xf>
    <xf numFmtId="3" fontId="3" fillId="21" borderId="11" xfId="0" applyNumberFormat="1" applyFont="1" applyFill="1" applyBorder="1" applyAlignment="1">
      <alignment horizontal="right" vertical="center" wrapText="1" indent="2"/>
    </xf>
    <xf numFmtId="3" fontId="89" fillId="4" borderId="27" xfId="0" applyNumberFormat="1" applyFont="1" applyFill="1" applyBorder="1" applyAlignment="1">
      <alignment horizontal="right" indent="2"/>
    </xf>
    <xf numFmtId="3" fontId="79" fillId="0" borderId="0" xfId="0" applyNumberFormat="1" applyFont="1"/>
    <xf numFmtId="3" fontId="89" fillId="4" borderId="24" xfId="0" applyNumberFormat="1" applyFont="1" applyFill="1" applyBorder="1" applyAlignment="1">
      <alignment horizontal="right" indent="2"/>
    </xf>
    <xf numFmtId="3" fontId="89" fillId="21" borderId="24" xfId="0" applyNumberFormat="1" applyFont="1" applyFill="1" applyBorder="1" applyAlignment="1">
      <alignment horizontal="right" indent="2"/>
    </xf>
    <xf numFmtId="3" fontId="89" fillId="21" borderId="11" xfId="0" applyNumberFormat="1" applyFont="1" applyFill="1" applyBorder="1" applyAlignment="1">
      <alignment horizontal="right" vertical="center" wrapText="1" indent="2"/>
    </xf>
    <xf numFmtId="172" fontId="79" fillId="0" borderId="0" xfId="0" applyNumberFormat="1" applyFont="1" applyAlignment="1">
      <alignment horizontal="right" indent="2"/>
    </xf>
    <xf numFmtId="3" fontId="89" fillId="21" borderId="27" xfId="0" applyNumberFormat="1" applyFont="1" applyFill="1" applyBorder="1" applyAlignment="1">
      <alignment horizontal="right" indent="2"/>
    </xf>
    <xf numFmtId="165" fontId="20" fillId="4" borderId="30" xfId="2" applyNumberFormat="1" applyFont="1" applyFill="1" applyBorder="1" applyAlignment="1">
      <alignment horizontal="right" indent="2"/>
    </xf>
    <xf numFmtId="165" fontId="20" fillId="4" borderId="81" xfId="2" applyNumberFormat="1" applyFont="1" applyFill="1" applyBorder="1" applyAlignment="1">
      <alignment horizontal="right" indent="2"/>
    </xf>
    <xf numFmtId="3" fontId="23" fillId="6" borderId="14" xfId="0" applyNumberFormat="1" applyFont="1" applyFill="1" applyBorder="1" applyAlignment="1">
      <alignment horizontal="right" indent="2"/>
    </xf>
    <xf numFmtId="3" fontId="23" fillId="6" borderId="35" xfId="0" applyNumberFormat="1" applyFont="1" applyFill="1" applyBorder="1" applyAlignment="1">
      <alignment horizontal="right" indent="2"/>
    </xf>
    <xf numFmtId="0" fontId="24" fillId="7" borderId="18" xfId="0" applyFont="1" applyFill="1" applyBorder="1" applyAlignment="1">
      <alignment horizontal="left" vertical="center" wrapText="1"/>
    </xf>
    <xf numFmtId="3" fontId="3" fillId="7" borderId="8" xfId="0" applyNumberFormat="1" applyFont="1" applyFill="1" applyBorder="1" applyAlignment="1">
      <alignment horizontal="right" indent="2"/>
    </xf>
    <xf numFmtId="0" fontId="79" fillId="0" borderId="0" xfId="0" applyFont="1"/>
    <xf numFmtId="3" fontId="3" fillId="7" borderId="22" xfId="0" applyNumberFormat="1" applyFont="1" applyFill="1" applyBorder="1" applyAlignment="1">
      <alignment horizontal="right" indent="2"/>
    </xf>
    <xf numFmtId="3" fontId="3" fillId="21" borderId="24" xfId="0" applyNumberFormat="1" applyFont="1" applyFill="1" applyBorder="1" applyAlignment="1">
      <alignment horizontal="right" indent="2"/>
    </xf>
    <xf numFmtId="0" fontId="79" fillId="0" borderId="42" xfId="0" applyFont="1" applyBorder="1"/>
    <xf numFmtId="3" fontId="3" fillId="21" borderId="22" xfId="0" applyNumberFormat="1" applyFont="1" applyFill="1" applyBorder="1" applyAlignment="1">
      <alignment horizontal="right" indent="2"/>
    </xf>
    <xf numFmtId="3" fontId="3" fillId="7" borderId="36" xfId="0" applyNumberFormat="1" applyFont="1" applyFill="1" applyBorder="1" applyAlignment="1">
      <alignment horizontal="right" indent="2"/>
    </xf>
    <xf numFmtId="3" fontId="3" fillId="7" borderId="41" xfId="0" applyNumberFormat="1" applyFont="1" applyFill="1" applyBorder="1" applyAlignment="1">
      <alignment horizontal="right" indent="2"/>
    </xf>
    <xf numFmtId="3" fontId="79" fillId="0" borderId="42" xfId="0" applyNumberFormat="1" applyFont="1" applyBorder="1" applyAlignment="1">
      <alignment horizontal="right" indent="2"/>
    </xf>
    <xf numFmtId="3" fontId="3" fillId="7" borderId="34" xfId="0" applyNumberFormat="1" applyFont="1" applyFill="1" applyBorder="1" applyAlignment="1">
      <alignment horizontal="right" indent="2"/>
    </xf>
    <xf numFmtId="165" fontId="9" fillId="0" borderId="5" xfId="0" applyNumberFormat="1" applyFont="1" applyBorder="1" applyAlignment="1">
      <alignment horizontal="center"/>
    </xf>
    <xf numFmtId="165" fontId="9" fillId="0" borderId="10" xfId="0" applyNumberFormat="1" applyFont="1" applyBorder="1" applyAlignment="1">
      <alignment horizontal="center"/>
    </xf>
    <xf numFmtId="176" fontId="25" fillId="0" borderId="0" xfId="2" applyNumberFormat="1" applyFont="1" applyFill="1" applyBorder="1" applyAlignment="1">
      <alignment horizontal="right" indent="2"/>
    </xf>
    <xf numFmtId="43" fontId="12" fillId="0" borderId="0" xfId="0" applyNumberFormat="1" applyFont="1"/>
    <xf numFmtId="0" fontId="38" fillId="0" borderId="0" xfId="0" applyFont="1"/>
    <xf numFmtId="3" fontId="12" fillId="6" borderId="62" xfId="0" applyNumberFormat="1" applyFont="1" applyFill="1" applyBorder="1" applyAlignment="1">
      <alignment horizontal="right" indent="2"/>
    </xf>
    <xf numFmtId="3" fontId="5" fillId="6" borderId="62" xfId="0" applyNumberFormat="1" applyFont="1" applyFill="1" applyBorder="1" applyAlignment="1">
      <alignment horizontal="right" indent="2"/>
    </xf>
    <xf numFmtId="3" fontId="0" fillId="21" borderId="21" xfId="0" applyNumberFormat="1" applyFill="1" applyBorder="1" applyAlignment="1">
      <alignment horizontal="right" indent="2"/>
    </xf>
    <xf numFmtId="3" fontId="12" fillId="6" borderId="22" xfId="0" applyNumberFormat="1" applyFont="1" applyFill="1" applyBorder="1" applyAlignment="1">
      <alignment horizontal="right" indent="2"/>
    </xf>
    <xf numFmtId="3" fontId="5" fillId="6" borderId="22" xfId="0" applyNumberFormat="1" applyFont="1" applyFill="1" applyBorder="1" applyAlignment="1">
      <alignment horizontal="right" indent="2"/>
    </xf>
    <xf numFmtId="3" fontId="0" fillId="21" borderId="24" xfId="0" applyNumberFormat="1" applyFill="1" applyBorder="1" applyAlignment="1">
      <alignment horizontal="right" indent="2"/>
    </xf>
    <xf numFmtId="3" fontId="12" fillId="6" borderId="28" xfId="0" applyNumberFormat="1" applyFont="1" applyFill="1" applyBorder="1" applyAlignment="1">
      <alignment horizontal="right" indent="2"/>
    </xf>
    <xf numFmtId="3" fontId="0" fillId="21" borderId="30" xfId="0" applyNumberFormat="1" applyFill="1" applyBorder="1" applyAlignment="1">
      <alignment horizontal="right" indent="2"/>
    </xf>
    <xf numFmtId="3" fontId="12" fillId="6" borderId="34" xfId="0" applyNumberFormat="1" applyFont="1" applyFill="1" applyBorder="1" applyAlignment="1">
      <alignment horizontal="right" indent="2"/>
    </xf>
    <xf numFmtId="3" fontId="5" fillId="6" borderId="34" xfId="0" applyNumberFormat="1" applyFont="1" applyFill="1" applyBorder="1" applyAlignment="1">
      <alignment horizontal="right" indent="2"/>
    </xf>
    <xf numFmtId="3" fontId="5" fillId="4" borderId="22" xfId="0" applyNumberFormat="1" applyFont="1" applyFill="1" applyBorder="1" applyAlignment="1">
      <alignment horizontal="right" indent="2"/>
    </xf>
    <xf numFmtId="3" fontId="3" fillId="4" borderId="50" xfId="0" applyNumberFormat="1" applyFont="1" applyFill="1" applyBorder="1" applyAlignment="1">
      <alignment horizontal="right" indent="2"/>
    </xf>
    <xf numFmtId="3" fontId="5" fillId="4" borderId="11" xfId="0" applyNumberFormat="1" applyFont="1" applyFill="1" applyBorder="1" applyAlignment="1">
      <alignment horizontal="right" indent="2"/>
    </xf>
    <xf numFmtId="3" fontId="3" fillId="4" borderId="31" xfId="0" applyNumberFormat="1" applyFont="1" applyFill="1" applyBorder="1" applyAlignment="1">
      <alignment horizontal="right" indent="2"/>
    </xf>
    <xf numFmtId="3" fontId="5" fillId="4" borderId="28" xfId="0" applyNumberFormat="1" applyFont="1" applyFill="1" applyBorder="1" applyAlignment="1">
      <alignment horizontal="right" indent="2"/>
    </xf>
    <xf numFmtId="3" fontId="0" fillId="21" borderId="49" xfId="0" applyNumberFormat="1" applyFill="1" applyBorder="1" applyAlignment="1">
      <alignment horizontal="right" indent="2"/>
    </xf>
    <xf numFmtId="3" fontId="5" fillId="4" borderId="34" xfId="0" applyNumberFormat="1" applyFont="1" applyFill="1" applyBorder="1" applyAlignment="1">
      <alignment horizontal="right" indent="2"/>
    </xf>
    <xf numFmtId="3" fontId="0" fillId="21" borderId="36" xfId="0" applyNumberFormat="1" applyFill="1" applyBorder="1" applyAlignment="1">
      <alignment horizontal="right" indent="2"/>
    </xf>
    <xf numFmtId="3" fontId="12" fillId="0" borderId="44" xfId="0" applyNumberFormat="1" applyFont="1" applyBorder="1" applyAlignment="1">
      <alignment horizontal="right" vertical="center" wrapText="1" indent="2"/>
    </xf>
    <xf numFmtId="0" fontId="12" fillId="0" borderId="53" xfId="0" applyFont="1" applyBorder="1" applyAlignment="1">
      <alignment horizontal="right"/>
    </xf>
    <xf numFmtId="3" fontId="12" fillId="0" borderId="7" xfId="0" applyNumberFormat="1" applyFont="1" applyBorder="1" applyAlignment="1">
      <alignment horizontal="right" indent="2"/>
    </xf>
    <xf numFmtId="0" fontId="12" fillId="0" borderId="38" xfId="0" applyFont="1" applyBorder="1"/>
    <xf numFmtId="0" fontId="12" fillId="0" borderId="2" xfId="0" applyFont="1" applyBorder="1"/>
    <xf numFmtId="0" fontId="29" fillId="0" borderId="4" xfId="0" applyFont="1" applyBorder="1" applyAlignment="1">
      <alignment wrapText="1"/>
    </xf>
    <xf numFmtId="3" fontId="52" fillId="0" borderId="43" xfId="3" applyNumberFormat="1" applyFont="1" applyBorder="1" applyAlignment="1">
      <alignment horizontal="left"/>
    </xf>
    <xf numFmtId="3" fontId="52" fillId="4" borderId="49" xfId="3" applyNumberFormat="1" applyFont="1" applyFill="1" applyBorder="1" applyAlignment="1">
      <alignment horizontal="left"/>
    </xf>
    <xf numFmtId="3" fontId="52" fillId="4" borderId="47" xfId="3" applyNumberFormat="1" applyFont="1" applyFill="1" applyBorder="1" applyAlignment="1">
      <alignment horizontal="left"/>
    </xf>
    <xf numFmtId="3" fontId="4" fillId="4" borderId="49" xfId="3" applyNumberFormat="1" applyFill="1" applyBorder="1" applyAlignment="1">
      <alignment horizontal="left"/>
    </xf>
    <xf numFmtId="3" fontId="4" fillId="4" borderId="47" xfId="3" applyNumberFormat="1" applyFill="1" applyBorder="1" applyAlignment="1">
      <alignment horizontal="left"/>
    </xf>
    <xf numFmtId="0" fontId="38" fillId="4" borderId="28" xfId="0" applyFont="1" applyFill="1" applyBorder="1" applyAlignment="1">
      <alignment horizontal="right"/>
    </xf>
    <xf numFmtId="3" fontId="3" fillId="4" borderId="48" xfId="0" applyNumberFormat="1" applyFont="1" applyFill="1" applyBorder="1" applyAlignment="1">
      <alignment horizontal="right" indent="2"/>
    </xf>
    <xf numFmtId="3" fontId="5" fillId="4" borderId="63" xfId="0" applyNumberFormat="1" applyFont="1" applyFill="1" applyBorder="1" applyAlignment="1">
      <alignment horizontal="right" wrapText="1" indent="2"/>
    </xf>
    <xf numFmtId="3" fontId="5" fillId="4" borderId="63" xfId="0" applyNumberFormat="1" applyFont="1" applyFill="1" applyBorder="1" applyAlignment="1">
      <alignment horizontal="right" vertical="center" wrapText="1" indent="2"/>
    </xf>
    <xf numFmtId="3" fontId="29" fillId="4" borderId="47" xfId="0" applyNumberFormat="1" applyFont="1" applyFill="1" applyBorder="1" applyAlignment="1">
      <alignment horizontal="left"/>
    </xf>
    <xf numFmtId="3" fontId="147" fillId="4" borderId="49" xfId="3" applyNumberFormat="1" applyFont="1" applyFill="1" applyBorder="1" applyAlignment="1">
      <alignment horizontal="right" indent="2"/>
    </xf>
    <xf numFmtId="3" fontId="131" fillId="4" borderId="49" xfId="3" applyNumberFormat="1" applyFont="1" applyFill="1" applyBorder="1" applyAlignment="1">
      <alignment horizontal="right" indent="2"/>
    </xf>
    <xf numFmtId="3" fontId="12" fillId="4" borderId="49" xfId="0" applyNumberFormat="1" applyFont="1" applyFill="1" applyBorder="1" applyAlignment="1">
      <alignment horizontal="left"/>
    </xf>
    <xf numFmtId="3" fontId="5" fillId="4" borderId="18" xfId="0" applyNumberFormat="1" applyFont="1" applyFill="1" applyBorder="1" applyAlignment="1">
      <alignment horizontal="right" indent="2"/>
    </xf>
    <xf numFmtId="3" fontId="5" fillId="4" borderId="81" xfId="0" applyNumberFormat="1" applyFont="1" applyFill="1" applyBorder="1" applyAlignment="1">
      <alignment horizontal="right" vertical="center" wrapText="1" indent="2"/>
    </xf>
    <xf numFmtId="3" fontId="2" fillId="0" borderId="11" xfId="0" applyNumberFormat="1" applyFont="1" applyBorder="1" applyAlignment="1">
      <alignment horizontal="right"/>
    </xf>
    <xf numFmtId="3" fontId="29" fillId="0" borderId="18" xfId="0" applyNumberFormat="1" applyFont="1" applyBorder="1" applyAlignment="1">
      <alignment horizontal="left"/>
    </xf>
    <xf numFmtId="3" fontId="4" fillId="0" borderId="18" xfId="3" applyNumberFormat="1" applyBorder="1" applyAlignment="1">
      <alignment horizontal="left"/>
    </xf>
    <xf numFmtId="3" fontId="12" fillId="0" borderId="60" xfId="0" applyNumberFormat="1" applyFont="1" applyBorder="1"/>
    <xf numFmtId="3" fontId="45" fillId="4" borderId="75" xfId="0" applyNumberFormat="1" applyFont="1" applyFill="1" applyBorder="1" applyAlignment="1">
      <alignment horizontal="right" indent="2"/>
    </xf>
    <xf numFmtId="3" fontId="12" fillId="0" borderId="42" xfId="0" applyNumberFormat="1" applyFont="1" applyBorder="1" applyAlignment="1">
      <alignment horizontal="right" vertical="center" wrapText="1" indent="2"/>
    </xf>
    <xf numFmtId="0" fontId="3" fillId="0" borderId="11" xfId="0" applyFont="1" applyBorder="1" applyAlignment="1">
      <alignment horizontal="left"/>
    </xf>
    <xf numFmtId="3" fontId="2" fillId="0" borderId="5" xfId="0" applyNumberFormat="1" applyFont="1" applyBorder="1" applyAlignment="1">
      <alignment horizontal="right" indent="2"/>
    </xf>
    <xf numFmtId="3" fontId="38" fillId="0" borderId="11" xfId="0" applyNumberFormat="1" applyFont="1" applyBorder="1"/>
    <xf numFmtId="3" fontId="0" fillId="21" borderId="43" xfId="0" applyNumberFormat="1" applyFill="1" applyBorder="1" applyAlignment="1">
      <alignment horizontal="right" indent="2"/>
    </xf>
    <xf numFmtId="3" fontId="38" fillId="0" borderId="11" xfId="0" applyNumberFormat="1" applyFont="1" applyBorder="1" applyAlignment="1">
      <alignment horizontal="right" vertical="center" wrapText="1" indent="2"/>
    </xf>
    <xf numFmtId="3" fontId="46" fillId="0" borderId="11" xfId="0" applyNumberFormat="1" applyFont="1" applyBorder="1" applyAlignment="1">
      <alignment horizontal="right" wrapText="1" indent="2"/>
    </xf>
    <xf numFmtId="3" fontId="0" fillId="21" borderId="47" xfId="0" applyNumberFormat="1" applyFill="1" applyBorder="1" applyAlignment="1">
      <alignment horizontal="right" indent="2"/>
    </xf>
    <xf numFmtId="3" fontId="3" fillId="4" borderId="76" xfId="0" applyNumberFormat="1" applyFont="1" applyFill="1" applyBorder="1" applyAlignment="1">
      <alignment horizontal="right" indent="2"/>
    </xf>
    <xf numFmtId="165" fontId="12" fillId="0" borderId="42" xfId="2" applyNumberFormat="1" applyFont="1" applyBorder="1" applyAlignment="1">
      <alignment horizontal="right" vertical="center" wrapText="1" indent="2"/>
    </xf>
    <xf numFmtId="3" fontId="12" fillId="6" borderId="79" xfId="0" applyNumberFormat="1" applyFont="1" applyFill="1" applyBorder="1" applyAlignment="1">
      <alignment horizontal="right" vertical="center" wrapText="1" indent="2"/>
    </xf>
    <xf numFmtId="165" fontId="21" fillId="0" borderId="22" xfId="2" applyNumberFormat="1" applyFont="1" applyBorder="1"/>
    <xf numFmtId="3" fontId="12" fillId="6" borderId="63" xfId="0" applyNumberFormat="1" applyFont="1" applyFill="1" applyBorder="1" applyAlignment="1">
      <alignment horizontal="right" vertical="center" wrapText="1" indent="2"/>
    </xf>
    <xf numFmtId="0" fontId="10" fillId="7" borderId="43" xfId="0" applyFont="1" applyFill="1" applyBorder="1" applyAlignment="1">
      <alignment horizontal="left" vertical="center"/>
    </xf>
    <xf numFmtId="0" fontId="70" fillId="7" borderId="16" xfId="0" applyFont="1" applyFill="1" applyBorder="1" applyAlignment="1">
      <alignment horizontal="right"/>
    </xf>
    <xf numFmtId="3" fontId="70" fillId="7" borderId="14" xfId="0" applyNumberFormat="1" applyFont="1" applyFill="1" applyBorder="1" applyAlignment="1">
      <alignment horizontal="right" indent="2"/>
    </xf>
    <xf numFmtId="3" fontId="70" fillId="7" borderId="12" xfId="0" applyNumberFormat="1" applyFont="1" applyFill="1" applyBorder="1" applyAlignment="1">
      <alignment horizontal="right" indent="2"/>
    </xf>
    <xf numFmtId="3" fontId="70" fillId="7" borderId="15" xfId="0" applyNumberFormat="1" applyFont="1" applyFill="1" applyBorder="1" applyAlignment="1">
      <alignment horizontal="right" indent="2"/>
    </xf>
    <xf numFmtId="0" fontId="10" fillId="7" borderId="18" xfId="0" applyFont="1" applyFill="1" applyBorder="1" applyAlignment="1">
      <alignment horizontal="center" vertical="center" textRotation="90" wrapText="1"/>
    </xf>
    <xf numFmtId="0" fontId="70" fillId="7" borderId="11" xfId="0" applyFont="1" applyFill="1" applyBorder="1" applyAlignment="1">
      <alignment horizontal="right"/>
    </xf>
    <xf numFmtId="3" fontId="40" fillId="7" borderId="23" xfId="0" applyNumberFormat="1" applyFont="1" applyFill="1" applyBorder="1" applyAlignment="1">
      <alignment horizontal="right" indent="2"/>
    </xf>
    <xf numFmtId="3" fontId="40" fillId="7" borderId="8" xfId="0" applyNumberFormat="1" applyFont="1" applyFill="1" applyBorder="1" applyAlignment="1">
      <alignment horizontal="right" indent="2"/>
    </xf>
    <xf numFmtId="0" fontId="10" fillId="7" borderId="18" xfId="0" applyFont="1" applyFill="1" applyBorder="1" applyAlignment="1">
      <alignment horizontal="center" vertical="center" textRotation="90"/>
    </xf>
    <xf numFmtId="3" fontId="70" fillId="7" borderId="23" xfId="0" applyNumberFormat="1" applyFont="1" applyFill="1" applyBorder="1" applyAlignment="1">
      <alignment horizontal="right" indent="2"/>
    </xf>
    <xf numFmtId="3" fontId="70" fillId="7" borderId="24" xfId="0" applyNumberFormat="1" applyFont="1" applyFill="1" applyBorder="1" applyAlignment="1">
      <alignment horizontal="right" indent="2"/>
    </xf>
    <xf numFmtId="3" fontId="70" fillId="7" borderId="25" xfId="0" applyNumberFormat="1" applyFont="1" applyFill="1" applyBorder="1" applyAlignment="1">
      <alignment horizontal="right" indent="2"/>
    </xf>
    <xf numFmtId="3" fontId="70" fillId="7" borderId="8" xfId="0" applyNumberFormat="1" applyFont="1" applyFill="1" applyBorder="1" applyAlignment="1">
      <alignment horizontal="right" indent="2"/>
    </xf>
    <xf numFmtId="0" fontId="10" fillId="7" borderId="53" xfId="0" applyFont="1" applyFill="1" applyBorder="1" applyAlignment="1">
      <alignment horizontal="center" vertical="center" textRotation="90" wrapText="1"/>
    </xf>
    <xf numFmtId="0" fontId="70" fillId="7" borderId="38" xfId="0" applyFont="1" applyFill="1" applyBorder="1" applyAlignment="1">
      <alignment horizontal="right"/>
    </xf>
    <xf numFmtId="3" fontId="70" fillId="7" borderId="35" xfId="0" applyNumberFormat="1" applyFont="1" applyFill="1" applyBorder="1" applyAlignment="1">
      <alignment horizontal="right" indent="2"/>
    </xf>
    <xf numFmtId="3" fontId="70" fillId="7" borderId="36" xfId="0" applyNumberFormat="1" applyFont="1" applyFill="1" applyBorder="1" applyAlignment="1">
      <alignment horizontal="right" indent="2"/>
    </xf>
    <xf numFmtId="3" fontId="70" fillId="7" borderId="37" xfId="0" applyNumberFormat="1" applyFont="1" applyFill="1" applyBorder="1" applyAlignment="1">
      <alignment horizontal="right" indent="2"/>
    </xf>
    <xf numFmtId="3" fontId="70" fillId="7" borderId="41" xfId="0" applyNumberFormat="1" applyFont="1" applyFill="1" applyBorder="1" applyAlignment="1">
      <alignment horizontal="right" indent="2"/>
    </xf>
    <xf numFmtId="0" fontId="148" fillId="0" borderId="18" xfId="0" applyFont="1" applyBorder="1" applyAlignment="1">
      <alignment horizontal="center" vertical="center" textRotation="90" wrapText="1"/>
    </xf>
    <xf numFmtId="0" fontId="149" fillId="0" borderId="0" xfId="0" applyFont="1"/>
    <xf numFmtId="3" fontId="10" fillId="6" borderId="17" xfId="0" applyNumberFormat="1" applyFont="1" applyFill="1" applyBorder="1" applyAlignment="1">
      <alignment horizontal="center" vertical="center" textRotation="90" wrapText="1"/>
    </xf>
    <xf numFmtId="3" fontId="12" fillId="6" borderId="6" xfId="0" applyNumberFormat="1" applyFont="1" applyFill="1" applyBorder="1"/>
    <xf numFmtId="3" fontId="12" fillId="6" borderId="62" xfId="0" applyNumberFormat="1" applyFont="1" applyFill="1" applyBorder="1" applyAlignment="1">
      <alignment horizontal="right"/>
    </xf>
    <xf numFmtId="3" fontId="26" fillId="6" borderId="79" xfId="2" applyNumberFormat="1" applyFont="1" applyFill="1" applyBorder="1" applyAlignment="1">
      <alignment horizontal="right" indent="2"/>
    </xf>
    <xf numFmtId="165" fontId="10" fillId="6" borderId="21" xfId="0" applyNumberFormat="1" applyFont="1" applyFill="1" applyBorder="1" applyAlignment="1">
      <alignment horizontal="center" vertical="center" textRotation="90" wrapText="1"/>
    </xf>
    <xf numFmtId="165" fontId="12" fillId="6" borderId="8" xfId="0" applyNumberFormat="1" applyFont="1" applyFill="1" applyBorder="1"/>
    <xf numFmtId="165" fontId="21" fillId="6" borderId="22" xfId="2" applyNumberFormat="1" applyFont="1" applyFill="1" applyBorder="1" applyAlignment="1">
      <alignment horizontal="right"/>
    </xf>
    <xf numFmtId="165" fontId="12" fillId="6" borderId="21" xfId="0" applyNumberFormat="1" applyFont="1" applyFill="1" applyBorder="1" applyAlignment="1">
      <alignment horizontal="right" indent="2"/>
    </xf>
    <xf numFmtId="165" fontId="36" fillId="0" borderId="0" xfId="2" applyNumberFormat="1" applyFont="1" applyFill="1" applyBorder="1" applyAlignment="1">
      <alignment horizontal="right" indent="4"/>
    </xf>
    <xf numFmtId="165" fontId="12" fillId="0" borderId="0" xfId="0" applyNumberFormat="1" applyFont="1"/>
    <xf numFmtId="165" fontId="85" fillId="0" borderId="0" xfId="2" applyNumberFormat="1" applyFont="1" applyFill="1" applyBorder="1" applyAlignment="1">
      <alignment horizontal="right" indent="4"/>
    </xf>
    <xf numFmtId="165" fontId="12" fillId="6" borderId="22" xfId="2" applyNumberFormat="1" applyFont="1" applyFill="1" applyBorder="1" applyAlignment="1">
      <alignment horizontal="right"/>
    </xf>
    <xf numFmtId="165" fontId="12" fillId="6" borderId="24" xfId="0" applyNumberFormat="1" applyFont="1" applyFill="1" applyBorder="1"/>
    <xf numFmtId="3" fontId="10" fillId="6" borderId="21" xfId="0" applyNumberFormat="1" applyFont="1" applyFill="1" applyBorder="1" applyAlignment="1">
      <alignment horizontal="center" vertical="center" textRotation="90" wrapText="1"/>
    </xf>
    <xf numFmtId="3" fontId="12" fillId="6" borderId="8" xfId="0" applyNumberFormat="1" applyFont="1" applyFill="1" applyBorder="1"/>
    <xf numFmtId="3" fontId="12" fillId="6" borderId="22" xfId="2" applyNumberFormat="1" applyFont="1" applyFill="1" applyBorder="1" applyAlignment="1">
      <alignment horizontal="right"/>
    </xf>
    <xf numFmtId="3" fontId="12" fillId="6" borderId="51" xfId="0" applyNumberFormat="1" applyFont="1" applyFill="1" applyBorder="1" applyAlignment="1">
      <alignment horizontal="right" indent="2"/>
    </xf>
    <xf numFmtId="3" fontId="85" fillId="0" borderId="0" xfId="2" applyNumberFormat="1" applyFont="1" applyFill="1" applyBorder="1" applyAlignment="1">
      <alignment horizontal="right" indent="4"/>
    </xf>
    <xf numFmtId="3" fontId="0" fillId="0" borderId="11" xfId="2" applyNumberFormat="1" applyFont="1" applyBorder="1" applyAlignment="1">
      <alignment horizontal="right" indent="2"/>
    </xf>
    <xf numFmtId="165" fontId="27" fillId="6" borderId="23" xfId="0" applyNumberFormat="1" applyFont="1" applyFill="1" applyBorder="1" applyAlignment="1">
      <alignment horizontal="right" indent="4"/>
    </xf>
    <xf numFmtId="165" fontId="27" fillId="6" borderId="24" xfId="0" applyNumberFormat="1" applyFont="1" applyFill="1" applyBorder="1" applyAlignment="1">
      <alignment horizontal="right" indent="4"/>
    </xf>
    <xf numFmtId="165" fontId="27" fillId="6" borderId="51" xfId="0" applyNumberFormat="1" applyFont="1" applyFill="1" applyBorder="1" applyAlignment="1">
      <alignment horizontal="right" indent="4"/>
    </xf>
    <xf numFmtId="165" fontId="27" fillId="6" borderId="63" xfId="0" applyNumberFormat="1" applyFont="1" applyFill="1" applyBorder="1" applyAlignment="1">
      <alignment horizontal="right" indent="4"/>
    </xf>
    <xf numFmtId="165" fontId="10" fillId="6" borderId="33" xfId="0" applyNumberFormat="1" applyFont="1" applyFill="1" applyBorder="1" applyAlignment="1">
      <alignment horizontal="center" vertical="center" textRotation="90" wrapText="1"/>
    </xf>
    <xf numFmtId="165" fontId="12" fillId="6" borderId="41" xfId="0" applyNumberFormat="1" applyFont="1" applyFill="1" applyBorder="1"/>
    <xf numFmtId="165" fontId="12" fillId="6" borderId="34" xfId="0" applyNumberFormat="1" applyFont="1" applyFill="1" applyBorder="1" applyAlignment="1">
      <alignment horizontal="right"/>
    </xf>
    <xf numFmtId="165" fontId="26" fillId="6" borderId="35" xfId="2" applyNumberFormat="1" applyFont="1" applyFill="1" applyBorder="1" applyAlignment="1">
      <alignment horizontal="right" indent="4"/>
    </xf>
    <xf numFmtId="165" fontId="26" fillId="6" borderId="36" xfId="2" applyNumberFormat="1" applyFont="1" applyFill="1" applyBorder="1" applyAlignment="1">
      <alignment horizontal="right" indent="4"/>
    </xf>
    <xf numFmtId="165" fontId="26" fillId="6" borderId="66" xfId="2" applyNumberFormat="1" applyFont="1" applyFill="1" applyBorder="1" applyAlignment="1">
      <alignment horizontal="right" indent="4"/>
    </xf>
    <xf numFmtId="165" fontId="12" fillId="0" borderId="42" xfId="0" applyNumberFormat="1" applyFont="1" applyBorder="1" applyAlignment="1">
      <alignment horizontal="right" indent="4"/>
    </xf>
    <xf numFmtId="165" fontId="26" fillId="6" borderId="64" xfId="2" applyNumberFormat="1" applyFont="1" applyFill="1" applyBorder="1" applyAlignment="1">
      <alignment horizontal="right" indent="4"/>
    </xf>
    <xf numFmtId="165" fontId="9" fillId="0" borderId="38" xfId="2" applyNumberFormat="1" applyFont="1" applyBorder="1" applyAlignment="1">
      <alignment horizontal="right" indent="4"/>
    </xf>
    <xf numFmtId="0" fontId="3" fillId="0" borderId="0" xfId="0" applyFont="1" applyAlignment="1">
      <alignment horizontal="center"/>
    </xf>
    <xf numFmtId="0" fontId="12" fillId="0" borderId="10" xfId="0" applyFont="1" applyBorder="1" applyAlignment="1">
      <alignment horizontal="center"/>
    </xf>
    <xf numFmtId="3" fontId="52" fillId="0" borderId="0" xfId="3" applyNumberFormat="1" applyFont="1" applyBorder="1" applyAlignment="1">
      <alignment horizontal="left" wrapText="1"/>
    </xf>
    <xf numFmtId="3" fontId="4" fillId="0" borderId="0" xfId="3" applyNumberFormat="1" applyBorder="1" applyAlignment="1">
      <alignment horizontal="left" wrapText="1"/>
    </xf>
    <xf numFmtId="3" fontId="0" fillId="0" borderId="44" xfId="0" applyNumberFormat="1" applyBorder="1" applyAlignment="1">
      <alignment horizontal="center" vertical="center" wrapText="1"/>
    </xf>
    <xf numFmtId="3" fontId="0" fillId="0" borderId="0" xfId="0" applyNumberFormat="1" applyAlignment="1">
      <alignment horizontal="center" vertical="center" wrapText="1"/>
    </xf>
    <xf numFmtId="3" fontId="4" fillId="0" borderId="43" xfId="3" applyNumberFormat="1" applyBorder="1" applyAlignment="1">
      <alignment horizontal="center" wrapText="1"/>
    </xf>
    <xf numFmtId="3" fontId="2" fillId="21" borderId="48" xfId="0" applyNumberFormat="1" applyFont="1" applyFill="1" applyBorder="1" applyAlignment="1">
      <alignment horizontal="right" indent="2"/>
    </xf>
    <xf numFmtId="3" fontId="2" fillId="21" borderId="50" xfId="0" applyNumberFormat="1" applyFont="1" applyFill="1" applyBorder="1" applyAlignment="1">
      <alignment horizontal="right" indent="2"/>
    </xf>
    <xf numFmtId="3" fontId="2" fillId="0" borderId="42" xfId="0" applyNumberFormat="1" applyFont="1" applyBorder="1" applyAlignment="1">
      <alignment horizontal="left"/>
    </xf>
    <xf numFmtId="3" fontId="2" fillId="21" borderId="31" xfId="0" applyNumberFormat="1" applyFont="1" applyFill="1" applyBorder="1" applyAlignment="1">
      <alignment horizontal="right" indent="2"/>
    </xf>
    <xf numFmtId="3" fontId="2" fillId="21" borderId="36" xfId="0" applyNumberFormat="1" applyFont="1" applyFill="1" applyBorder="1" applyAlignment="1">
      <alignment horizontal="right" indent="2"/>
    </xf>
    <xf numFmtId="3" fontId="56" fillId="4" borderId="29" xfId="0" applyNumberFormat="1" applyFont="1" applyFill="1" applyBorder="1" applyAlignment="1">
      <alignment horizontal="right" indent="2"/>
    </xf>
    <xf numFmtId="3" fontId="56" fillId="4" borderId="27" xfId="0" applyNumberFormat="1" applyFont="1" applyFill="1" applyBorder="1" applyAlignment="1">
      <alignment horizontal="right" indent="2"/>
    </xf>
    <xf numFmtId="3" fontId="56" fillId="4" borderId="9" xfId="0" applyNumberFormat="1" applyFont="1" applyFill="1" applyBorder="1" applyAlignment="1">
      <alignment horizontal="right" indent="2"/>
    </xf>
    <xf numFmtId="165" fontId="55" fillId="0" borderId="11" xfId="2" applyNumberFormat="1" applyFont="1" applyFill="1" applyBorder="1" applyAlignment="1"/>
    <xf numFmtId="3" fontId="56" fillId="4" borderId="27" xfId="0" applyNumberFormat="1" applyFont="1" applyFill="1" applyBorder="1" applyAlignment="1">
      <alignment horizontal="right" vertical="center" wrapText="1" indent="2"/>
    </xf>
    <xf numFmtId="165" fontId="55" fillId="0" borderId="35" xfId="2" applyNumberFormat="1" applyFont="1" applyFill="1" applyBorder="1" applyAlignment="1">
      <alignment horizontal="right" indent="2"/>
    </xf>
    <xf numFmtId="0" fontId="62" fillId="0" borderId="0" xfId="0" applyFont="1" applyAlignment="1">
      <alignment horizontal="right"/>
    </xf>
    <xf numFmtId="165" fontId="55" fillId="0" borderId="33" xfId="2" applyNumberFormat="1" applyFont="1" applyFill="1" applyBorder="1" applyAlignment="1">
      <alignment horizontal="right" indent="2"/>
    </xf>
    <xf numFmtId="165" fontId="55" fillId="0" borderId="0" xfId="2" applyNumberFormat="1" applyFont="1" applyFill="1" applyBorder="1" applyAlignment="1">
      <alignment horizontal="right" indent="2"/>
    </xf>
    <xf numFmtId="3" fontId="56" fillId="4" borderId="4" xfId="0" applyNumberFormat="1" applyFont="1" applyFill="1" applyBorder="1" applyAlignment="1">
      <alignment horizontal="right" indent="2"/>
    </xf>
    <xf numFmtId="3" fontId="56" fillId="4" borderId="67" xfId="0" applyNumberFormat="1" applyFont="1" applyFill="1" applyBorder="1" applyAlignment="1">
      <alignment horizontal="right" indent="2"/>
    </xf>
    <xf numFmtId="165" fontId="55" fillId="0" borderId="3" xfId="2" applyNumberFormat="1" applyFont="1" applyFill="1" applyBorder="1" applyAlignment="1"/>
    <xf numFmtId="3" fontId="56" fillId="0" borderId="68" xfId="0" applyNumberFormat="1" applyFont="1" applyBorder="1" applyAlignment="1">
      <alignment horizontal="right" indent="2"/>
    </xf>
    <xf numFmtId="3" fontId="56" fillId="0" borderId="19" xfId="0" applyNumberFormat="1" applyFont="1" applyBorder="1" applyAlignment="1">
      <alignment horizontal="right" indent="2"/>
    </xf>
    <xf numFmtId="165" fontId="53" fillId="0" borderId="0" xfId="0" applyNumberFormat="1" applyFont="1" applyAlignment="1">
      <alignment horizontal="right" indent="2"/>
    </xf>
    <xf numFmtId="0" fontId="53" fillId="4" borderId="5" xfId="0" applyFont="1" applyFill="1" applyBorder="1" applyAlignment="1">
      <alignment horizontal="center" vertical="center" wrapText="1"/>
    </xf>
    <xf numFmtId="0" fontId="53" fillId="0" borderId="11" xfId="0" applyFont="1" applyBorder="1" applyAlignment="1">
      <alignment horizontal="right" vertical="center"/>
    </xf>
    <xf numFmtId="165" fontId="53" fillId="0" borderId="4" xfId="0" applyNumberFormat="1" applyFont="1" applyBorder="1" applyAlignment="1">
      <alignment vertical="center" wrapText="1"/>
    </xf>
    <xf numFmtId="0" fontId="53" fillId="0" borderId="0" xfId="0" applyFont="1" applyAlignment="1">
      <alignment horizontal="right" vertical="center"/>
    </xf>
    <xf numFmtId="0" fontId="52" fillId="0" borderId="42" xfId="3" applyFont="1" applyBorder="1" applyAlignment="1">
      <alignment horizontal="center" vertical="center" wrapText="1"/>
    </xf>
    <xf numFmtId="0" fontId="53" fillId="0" borderId="10" xfId="0" applyFont="1" applyBorder="1" applyAlignment="1">
      <alignment horizontal="center" vertical="center" wrapText="1"/>
    </xf>
    <xf numFmtId="3" fontId="56" fillId="0" borderId="5" xfId="0" applyNumberFormat="1" applyFont="1" applyBorder="1" applyAlignment="1">
      <alignment horizontal="right" indent="2"/>
    </xf>
    <xf numFmtId="0" fontId="67" fillId="0" borderId="0" xfId="0" applyFont="1" applyAlignment="1">
      <alignment horizontal="right"/>
    </xf>
    <xf numFmtId="3" fontId="56" fillId="0" borderId="43" xfId="0" applyNumberFormat="1" applyFont="1" applyBorder="1" applyAlignment="1">
      <alignment horizontal="right" indent="2"/>
    </xf>
    <xf numFmtId="165" fontId="53" fillId="0" borderId="16" xfId="0" applyNumberFormat="1" applyFont="1" applyBorder="1" applyAlignment="1">
      <alignment horizontal="right" indent="2"/>
    </xf>
    <xf numFmtId="3" fontId="56" fillId="4" borderId="47" xfId="0" applyNumberFormat="1" applyFont="1" applyFill="1" applyBorder="1" applyAlignment="1">
      <alignment horizontal="right" indent="2"/>
    </xf>
    <xf numFmtId="3" fontId="56" fillId="4" borderId="48" xfId="0" applyNumberFormat="1" applyFont="1" applyFill="1" applyBorder="1" applyAlignment="1">
      <alignment horizontal="right" indent="2"/>
    </xf>
    <xf numFmtId="3" fontId="56" fillId="4" borderId="49" xfId="0" applyNumberFormat="1" applyFont="1" applyFill="1" applyBorder="1" applyAlignment="1">
      <alignment horizontal="right" indent="2"/>
    </xf>
    <xf numFmtId="3" fontId="56" fillId="4" borderId="50" xfId="0" applyNumberFormat="1" applyFont="1" applyFill="1" applyBorder="1" applyAlignment="1">
      <alignment horizontal="right" indent="2"/>
    </xf>
    <xf numFmtId="3" fontId="56" fillId="22" borderId="30" xfId="0" applyNumberFormat="1" applyFont="1" applyFill="1" applyBorder="1" applyAlignment="1">
      <alignment horizontal="right" indent="2"/>
    </xf>
    <xf numFmtId="165" fontId="55" fillId="22" borderId="11" xfId="2" applyNumberFormat="1" applyFont="1" applyFill="1" applyBorder="1" applyAlignment="1"/>
    <xf numFmtId="3" fontId="56" fillId="4" borderId="30" xfId="0" applyNumberFormat="1" applyFont="1" applyFill="1" applyBorder="1" applyAlignment="1">
      <alignment horizontal="right" indent="2"/>
    </xf>
    <xf numFmtId="3" fontId="56" fillId="0" borderId="31" xfId="0" applyNumberFormat="1" applyFont="1" applyBorder="1" applyAlignment="1">
      <alignment horizontal="right" indent="2"/>
    </xf>
    <xf numFmtId="3" fontId="0" fillId="22" borderId="23" xfId="0" applyNumberFormat="1" applyFill="1" applyBorder="1" applyAlignment="1">
      <alignment horizontal="right" indent="2"/>
    </xf>
    <xf numFmtId="165" fontId="19" fillId="0" borderId="19" xfId="2" applyNumberFormat="1" applyFont="1" applyFill="1" applyBorder="1" applyAlignment="1">
      <alignment horizontal="right" indent="2"/>
    </xf>
    <xf numFmtId="3" fontId="23" fillId="0" borderId="19" xfId="0" applyNumberFormat="1" applyFont="1" applyBorder="1" applyAlignment="1">
      <alignment horizontal="right" indent="2"/>
    </xf>
    <xf numFmtId="3" fontId="3" fillId="28" borderId="13" xfId="0" applyNumberFormat="1" applyFont="1" applyFill="1" applyBorder="1" applyAlignment="1">
      <alignment horizontal="right"/>
    </xf>
    <xf numFmtId="3" fontId="0" fillId="0" borderId="44" xfId="0" applyNumberFormat="1" applyBorder="1" applyAlignment="1">
      <alignment horizontal="right"/>
    </xf>
    <xf numFmtId="3" fontId="0" fillId="0" borderId="15" xfId="0" applyNumberFormat="1" applyBorder="1" applyAlignment="1">
      <alignment horizontal="right"/>
    </xf>
    <xf numFmtId="3" fontId="0" fillId="28" borderId="51" xfId="0" applyNumberFormat="1" applyFill="1" applyBorder="1" applyAlignment="1">
      <alignment horizontal="right" indent="2"/>
    </xf>
    <xf numFmtId="3" fontId="3" fillId="28" borderId="22" xfId="0" applyNumberFormat="1" applyFont="1" applyFill="1" applyBorder="1" applyAlignment="1">
      <alignment horizontal="right"/>
    </xf>
    <xf numFmtId="3" fontId="0" fillId="0" borderId="25" xfId="0" applyNumberFormat="1" applyBorder="1" applyAlignment="1">
      <alignment horizontal="right"/>
    </xf>
    <xf numFmtId="3" fontId="0" fillId="28" borderId="66" xfId="0" applyNumberFormat="1" applyFill="1" applyBorder="1" applyAlignment="1">
      <alignment horizontal="right" indent="2"/>
    </xf>
    <xf numFmtId="3" fontId="0" fillId="0" borderId="57" xfId="0" applyNumberFormat="1" applyBorder="1"/>
    <xf numFmtId="165" fontId="9" fillId="0" borderId="86" xfId="0" applyNumberFormat="1" applyFont="1" applyBorder="1" applyAlignment="1">
      <alignment horizontal="right" indent="2"/>
    </xf>
    <xf numFmtId="3" fontId="18" fillId="0" borderId="49" xfId="0" applyNumberFormat="1" applyFont="1" applyBorder="1" applyAlignment="1">
      <alignment horizontal="right" indent="2"/>
    </xf>
    <xf numFmtId="3" fontId="18" fillId="0" borderId="52" xfId="0" applyNumberFormat="1" applyFont="1" applyBorder="1" applyAlignment="1">
      <alignment horizontal="right" indent="2"/>
    </xf>
    <xf numFmtId="3" fontId="18" fillId="0" borderId="50" xfId="0" applyNumberFormat="1" applyFont="1" applyBorder="1" applyAlignment="1">
      <alignment horizontal="right" indent="2"/>
    </xf>
    <xf numFmtId="165" fontId="9" fillId="0" borderId="72" xfId="0" applyNumberFormat="1" applyFont="1" applyBorder="1" applyAlignment="1">
      <alignment horizontal="right" indent="2"/>
    </xf>
    <xf numFmtId="3" fontId="24" fillId="0" borderId="49" xfId="0" applyNumberFormat="1" applyFont="1" applyBorder="1" applyAlignment="1">
      <alignment horizontal="right" indent="2"/>
    </xf>
    <xf numFmtId="3" fontId="24" fillId="0" borderId="52" xfId="0" applyNumberFormat="1" applyFont="1" applyBorder="1" applyAlignment="1">
      <alignment horizontal="right" indent="2"/>
    </xf>
    <xf numFmtId="3" fontId="24" fillId="0" borderId="50" xfId="0" applyNumberFormat="1" applyFont="1" applyBorder="1" applyAlignment="1">
      <alignment horizontal="right" indent="2"/>
    </xf>
    <xf numFmtId="165" fontId="10" fillId="0" borderId="72" xfId="0" applyNumberFormat="1" applyFont="1" applyBorder="1" applyAlignment="1">
      <alignment horizontal="right" indent="2"/>
    </xf>
    <xf numFmtId="165" fontId="25" fillId="0" borderId="49" xfId="2" applyNumberFormat="1" applyFont="1" applyFill="1" applyBorder="1" applyAlignment="1">
      <alignment horizontal="right" indent="2"/>
    </xf>
    <xf numFmtId="165" fontId="25" fillId="0" borderId="52" xfId="2" applyNumberFormat="1" applyFont="1" applyFill="1" applyBorder="1" applyAlignment="1">
      <alignment horizontal="right" indent="2"/>
    </xf>
    <xf numFmtId="165" fontId="25" fillId="0" borderId="50" xfId="2" applyNumberFormat="1" applyFont="1" applyFill="1" applyBorder="1" applyAlignment="1">
      <alignment horizontal="right" indent="2"/>
    </xf>
    <xf numFmtId="165" fontId="25" fillId="0" borderId="72" xfId="2" applyNumberFormat="1" applyFont="1" applyFill="1" applyBorder="1" applyAlignment="1">
      <alignment horizontal="right" indent="2"/>
    </xf>
    <xf numFmtId="3" fontId="11" fillId="6" borderId="17" xfId="0" applyNumberFormat="1" applyFont="1" applyFill="1" applyBorder="1" applyAlignment="1">
      <alignment horizontal="right" vertical="center" wrapText="1" indent="1"/>
    </xf>
    <xf numFmtId="3" fontId="0" fillId="6" borderId="6" xfId="0" applyNumberFormat="1" applyFill="1" applyBorder="1" applyAlignment="1">
      <alignment horizontal="right" indent="1"/>
    </xf>
    <xf numFmtId="3" fontId="0" fillId="6" borderId="62" xfId="0" applyNumberFormat="1" applyFill="1" applyBorder="1" applyAlignment="1">
      <alignment horizontal="right" indent="1"/>
    </xf>
    <xf numFmtId="3" fontId="0" fillId="0" borderId="6" xfId="0" applyNumberFormat="1" applyBorder="1" applyAlignment="1">
      <alignment horizontal="right" indent="1"/>
    </xf>
    <xf numFmtId="3" fontId="26" fillId="6" borderId="46" xfId="2" applyNumberFormat="1" applyFont="1" applyFill="1" applyBorder="1" applyAlignment="1">
      <alignment horizontal="right" indent="3"/>
    </xf>
    <xf numFmtId="3" fontId="26" fillId="0" borderId="6" xfId="2" applyNumberFormat="1" applyFont="1" applyFill="1" applyBorder="1" applyAlignment="1">
      <alignment horizontal="right" indent="1"/>
    </xf>
    <xf numFmtId="3" fontId="26" fillId="6" borderId="47" xfId="2" applyNumberFormat="1" applyFont="1" applyFill="1" applyBorder="1" applyAlignment="1">
      <alignment horizontal="right" indent="3"/>
    </xf>
    <xf numFmtId="3" fontId="26" fillId="6" borderId="65" xfId="2" applyNumberFormat="1" applyFont="1" applyFill="1" applyBorder="1" applyAlignment="1">
      <alignment horizontal="right" indent="3"/>
    </xf>
    <xf numFmtId="3" fontId="26" fillId="0" borderId="11" xfId="2" applyNumberFormat="1" applyFont="1" applyFill="1" applyBorder="1" applyAlignment="1">
      <alignment horizontal="right" indent="3"/>
    </xf>
    <xf numFmtId="3" fontId="26" fillId="6" borderId="17" xfId="2" applyNumberFormat="1" applyFont="1" applyFill="1" applyBorder="1" applyAlignment="1">
      <alignment horizontal="right" indent="3"/>
    </xf>
    <xf numFmtId="3" fontId="26" fillId="22" borderId="79" xfId="2" applyNumberFormat="1" applyFont="1" applyFill="1" applyBorder="1" applyAlignment="1">
      <alignment horizontal="right" indent="3"/>
    </xf>
    <xf numFmtId="3" fontId="0" fillId="0" borderId="0" xfId="0" applyNumberFormat="1" applyAlignment="1">
      <alignment horizontal="right" indent="1"/>
    </xf>
    <xf numFmtId="3" fontId="26" fillId="0" borderId="0" xfId="2" applyNumberFormat="1" applyFont="1" applyFill="1" applyBorder="1" applyAlignment="1">
      <alignment horizontal="right" indent="3"/>
    </xf>
    <xf numFmtId="3" fontId="26" fillId="6" borderId="62" xfId="2" applyNumberFormat="1" applyFont="1" applyFill="1" applyBorder="1" applyAlignment="1">
      <alignment horizontal="right" indent="3"/>
    </xf>
    <xf numFmtId="3" fontId="26" fillId="6" borderId="48" xfId="2" applyNumberFormat="1" applyFont="1" applyFill="1" applyBorder="1" applyAlignment="1">
      <alignment horizontal="right" indent="3"/>
    </xf>
    <xf numFmtId="3" fontId="26" fillId="0" borderId="50" xfId="2" applyNumberFormat="1" applyFont="1" applyFill="1" applyBorder="1" applyAlignment="1">
      <alignment horizontal="right" indent="3"/>
    </xf>
    <xf numFmtId="3" fontId="26" fillId="0" borderId="72" xfId="2" applyNumberFormat="1" applyFont="1" applyFill="1" applyBorder="1" applyAlignment="1">
      <alignment horizontal="right" indent="3"/>
    </xf>
    <xf numFmtId="3" fontId="26" fillId="0" borderId="18" xfId="2" applyNumberFormat="1" applyFont="1" applyFill="1" applyBorder="1" applyAlignment="1">
      <alignment horizontal="right" indent="3"/>
    </xf>
    <xf numFmtId="165" fontId="11" fillId="6" borderId="21" xfId="0" applyNumberFormat="1" applyFont="1" applyFill="1" applyBorder="1" applyAlignment="1">
      <alignment horizontal="right" vertical="center" wrapText="1" indent="1"/>
    </xf>
    <xf numFmtId="165" fontId="0" fillId="6" borderId="8" xfId="0" applyNumberFormat="1" applyFill="1" applyBorder="1" applyAlignment="1">
      <alignment horizontal="right" indent="1"/>
    </xf>
    <xf numFmtId="165" fontId="0" fillId="6" borderId="22" xfId="0" applyNumberFormat="1" applyFill="1" applyBorder="1" applyAlignment="1">
      <alignment horizontal="right" indent="1"/>
    </xf>
    <xf numFmtId="165" fontId="0" fillId="0" borderId="8" xfId="0" applyNumberFormat="1" applyBorder="1" applyAlignment="1">
      <alignment horizontal="right" indent="1"/>
    </xf>
    <xf numFmtId="165" fontId="0" fillId="6" borderId="23" xfId="0" applyNumberFormat="1" applyFill="1" applyBorder="1" applyAlignment="1">
      <alignment horizontal="right" indent="1"/>
    </xf>
    <xf numFmtId="165" fontId="0" fillId="6" borderId="24" xfId="0" applyNumberFormat="1" applyFill="1" applyBorder="1" applyAlignment="1">
      <alignment horizontal="right" indent="1"/>
    </xf>
    <xf numFmtId="165" fontId="0" fillId="6" borderId="51" xfId="0" applyNumberFormat="1" applyFill="1" applyBorder="1" applyAlignment="1">
      <alignment horizontal="right" indent="1"/>
    </xf>
    <xf numFmtId="165" fontId="0" fillId="0" borderId="11" xfId="0" applyNumberFormat="1" applyBorder="1" applyAlignment="1">
      <alignment horizontal="right" indent="1"/>
    </xf>
    <xf numFmtId="165" fontId="0" fillId="6" borderId="21" xfId="0" applyNumberFormat="1" applyFill="1" applyBorder="1" applyAlignment="1">
      <alignment horizontal="right" indent="1"/>
    </xf>
    <xf numFmtId="165" fontId="0" fillId="22" borderId="63" xfId="0" applyNumberFormat="1" applyFill="1" applyBorder="1" applyAlignment="1">
      <alignment horizontal="right" indent="1"/>
    </xf>
    <xf numFmtId="165" fontId="0" fillId="0" borderId="0" xfId="0" applyNumberFormat="1" applyAlignment="1">
      <alignment horizontal="right" indent="1"/>
    </xf>
    <xf numFmtId="165" fontId="0" fillId="6" borderId="25" xfId="0" applyNumberFormat="1" applyFill="1" applyBorder="1" applyAlignment="1">
      <alignment horizontal="right" indent="1"/>
    </xf>
    <xf numFmtId="165" fontId="0" fillId="0" borderId="50" xfId="0" applyNumberFormat="1" applyBorder="1" applyAlignment="1">
      <alignment horizontal="right" indent="1"/>
    </xf>
    <xf numFmtId="165" fontId="0" fillId="0" borderId="72" xfId="0" applyNumberFormat="1" applyBorder="1" applyAlignment="1">
      <alignment horizontal="right" indent="1"/>
    </xf>
    <xf numFmtId="165" fontId="0" fillId="0" borderId="18" xfId="0" applyNumberFormat="1" applyBorder="1" applyAlignment="1">
      <alignment horizontal="right" indent="1"/>
    </xf>
    <xf numFmtId="165" fontId="0" fillId="6" borderId="62" xfId="0" applyNumberFormat="1" applyFill="1" applyBorder="1" applyAlignment="1">
      <alignment horizontal="right" indent="1"/>
    </xf>
    <xf numFmtId="3" fontId="11" fillId="6" borderId="21" xfId="0" applyNumberFormat="1" applyFont="1" applyFill="1" applyBorder="1" applyAlignment="1">
      <alignment horizontal="right" vertical="center" wrapText="1" indent="1"/>
    </xf>
    <xf numFmtId="3" fontId="0" fillId="6" borderId="8" xfId="0" applyNumberFormat="1" applyFill="1" applyBorder="1" applyAlignment="1">
      <alignment horizontal="right" indent="1"/>
    </xf>
    <xf numFmtId="3" fontId="0" fillId="0" borderId="8" xfId="0" applyNumberFormat="1" applyBorder="1" applyAlignment="1">
      <alignment horizontal="right" indent="1"/>
    </xf>
    <xf numFmtId="3" fontId="0" fillId="6" borderId="23" xfId="0" applyNumberFormat="1" applyFill="1" applyBorder="1" applyAlignment="1">
      <alignment horizontal="right" indent="1"/>
    </xf>
    <xf numFmtId="3" fontId="0" fillId="6" borderId="24" xfId="0" applyNumberFormat="1" applyFill="1" applyBorder="1" applyAlignment="1">
      <alignment horizontal="right" indent="1"/>
    </xf>
    <xf numFmtId="3" fontId="0" fillId="6" borderId="51" xfId="0" applyNumberFormat="1" applyFill="1" applyBorder="1" applyAlignment="1">
      <alignment horizontal="right" indent="1"/>
    </xf>
    <xf numFmtId="3" fontId="0" fillId="0" borderId="11" xfId="0" applyNumberFormat="1" applyBorder="1" applyAlignment="1">
      <alignment horizontal="right" indent="1"/>
    </xf>
    <xf numFmtId="3" fontId="0" fillId="6" borderId="21" xfId="0" applyNumberFormat="1" applyFill="1" applyBorder="1" applyAlignment="1">
      <alignment horizontal="right" indent="1"/>
    </xf>
    <xf numFmtId="3" fontId="0" fillId="22" borderId="63" xfId="0" applyNumberFormat="1" applyFill="1" applyBorder="1" applyAlignment="1">
      <alignment horizontal="right" indent="1"/>
    </xf>
    <xf numFmtId="3" fontId="0" fillId="6" borderId="22" xfId="0" applyNumberFormat="1" applyFill="1" applyBorder="1" applyAlignment="1">
      <alignment horizontal="right" indent="1"/>
    </xf>
    <xf numFmtId="3" fontId="0" fillId="6" borderId="25" xfId="0" applyNumberFormat="1" applyFill="1" applyBorder="1" applyAlignment="1">
      <alignment horizontal="right" indent="1"/>
    </xf>
    <xf numFmtId="3" fontId="0" fillId="0" borderId="50" xfId="0" applyNumberFormat="1" applyBorder="1" applyAlignment="1">
      <alignment horizontal="right" indent="1"/>
    </xf>
    <xf numFmtId="3" fontId="0" fillId="0" borderId="72" xfId="0" applyNumberFormat="1" applyBorder="1" applyAlignment="1">
      <alignment horizontal="right" indent="1"/>
    </xf>
    <xf numFmtId="3" fontId="0" fillId="0" borderId="18" xfId="0" applyNumberFormat="1" applyBorder="1" applyAlignment="1">
      <alignment horizontal="right" indent="1"/>
    </xf>
    <xf numFmtId="165" fontId="63" fillId="6" borderId="22" xfId="0" applyNumberFormat="1" applyFont="1" applyFill="1" applyBorder="1" applyAlignment="1">
      <alignment horizontal="right" indent="1"/>
    </xf>
    <xf numFmtId="165" fontId="3" fillId="0" borderId="8" xfId="0" applyNumberFormat="1" applyFont="1" applyBorder="1" applyAlignment="1">
      <alignment horizontal="right" indent="1"/>
    </xf>
    <xf numFmtId="165" fontId="27" fillId="6" borderId="23" xfId="0" applyNumberFormat="1" applyFont="1" applyFill="1" applyBorder="1" applyAlignment="1">
      <alignment horizontal="right" indent="3"/>
    </xf>
    <xf numFmtId="165" fontId="27" fillId="0" borderId="8" xfId="0" applyNumberFormat="1" applyFont="1" applyBorder="1" applyAlignment="1">
      <alignment horizontal="right" indent="1"/>
    </xf>
    <xf numFmtId="165" fontId="27" fillId="6" borderId="24" xfId="0" applyNumberFormat="1" applyFont="1" applyFill="1" applyBorder="1" applyAlignment="1">
      <alignment horizontal="right" indent="3"/>
    </xf>
    <xf numFmtId="165" fontId="27" fillId="6" borderId="51" xfId="0" applyNumberFormat="1" applyFont="1" applyFill="1" applyBorder="1" applyAlignment="1">
      <alignment horizontal="right" indent="3"/>
    </xf>
    <xf numFmtId="165" fontId="27" fillId="0" borderId="11" xfId="0" applyNumberFormat="1" applyFont="1" applyBorder="1" applyAlignment="1">
      <alignment horizontal="right" indent="3"/>
    </xf>
    <xf numFmtId="165" fontId="27" fillId="6" borderId="21" xfId="0" applyNumberFormat="1" applyFont="1" applyFill="1" applyBorder="1" applyAlignment="1">
      <alignment horizontal="right" indent="3"/>
    </xf>
    <xf numFmtId="165" fontId="27" fillId="22" borderId="63" xfId="0" applyNumberFormat="1" applyFont="1" applyFill="1" applyBorder="1" applyAlignment="1">
      <alignment horizontal="right" indent="3"/>
    </xf>
    <xf numFmtId="165" fontId="27" fillId="0" borderId="0" xfId="0" applyNumberFormat="1" applyFont="1" applyAlignment="1">
      <alignment horizontal="right" indent="3"/>
    </xf>
    <xf numFmtId="165" fontId="27" fillId="6" borderId="22" xfId="0" applyNumberFormat="1" applyFont="1" applyFill="1" applyBorder="1" applyAlignment="1">
      <alignment horizontal="right" indent="3"/>
    </xf>
    <xf numFmtId="165" fontId="27" fillId="6" borderId="25" xfId="0" applyNumberFormat="1" applyFont="1" applyFill="1" applyBorder="1" applyAlignment="1">
      <alignment horizontal="right" indent="3"/>
    </xf>
    <xf numFmtId="165" fontId="27" fillId="0" borderId="50" xfId="0" applyNumberFormat="1" applyFont="1" applyBorder="1" applyAlignment="1">
      <alignment horizontal="right" indent="3"/>
    </xf>
    <xf numFmtId="165" fontId="27" fillId="0" borderId="72" xfId="0" applyNumberFormat="1" applyFont="1" applyBorder="1" applyAlignment="1">
      <alignment horizontal="right" indent="3"/>
    </xf>
    <xf numFmtId="165" fontId="27" fillId="0" borderId="18" xfId="0" applyNumberFormat="1" applyFont="1" applyBorder="1" applyAlignment="1">
      <alignment horizontal="right" indent="3"/>
    </xf>
    <xf numFmtId="165" fontId="11" fillId="6" borderId="33" xfId="0" applyNumberFormat="1" applyFont="1" applyFill="1" applyBorder="1" applyAlignment="1">
      <alignment horizontal="right" vertical="center" wrapText="1" indent="1"/>
    </xf>
    <xf numFmtId="165" fontId="0" fillId="6" borderId="41" xfId="0" applyNumberFormat="1" applyFill="1" applyBorder="1" applyAlignment="1">
      <alignment horizontal="right" indent="1"/>
    </xf>
    <xf numFmtId="165" fontId="0" fillId="0" borderId="9" xfId="0" applyNumberFormat="1" applyBorder="1" applyAlignment="1">
      <alignment horizontal="right" indent="1"/>
    </xf>
    <xf numFmtId="165" fontId="26" fillId="6" borderId="35" xfId="2" applyNumberFormat="1" applyFont="1" applyFill="1" applyBorder="1" applyAlignment="1">
      <alignment horizontal="right" indent="3"/>
    </xf>
    <xf numFmtId="165" fontId="27" fillId="0" borderId="9" xfId="0" applyNumberFormat="1" applyFont="1" applyBorder="1" applyAlignment="1">
      <alignment horizontal="right" indent="1"/>
    </xf>
    <xf numFmtId="165" fontId="26" fillId="6" borderId="36" xfId="2" applyNumberFormat="1" applyFont="1" applyFill="1" applyBorder="1" applyAlignment="1">
      <alignment horizontal="right" indent="3"/>
    </xf>
    <xf numFmtId="165" fontId="26" fillId="6" borderId="66" xfId="2" applyNumberFormat="1" applyFont="1" applyFill="1" applyBorder="1" applyAlignment="1">
      <alignment horizontal="right" indent="3"/>
    </xf>
    <xf numFmtId="165" fontId="27" fillId="0" borderId="38" xfId="2" applyNumberFormat="1" applyFont="1" applyFill="1" applyBorder="1" applyAlignment="1">
      <alignment horizontal="right" indent="3"/>
    </xf>
    <xf numFmtId="165" fontId="26" fillId="6" borderId="33" xfId="2" applyNumberFormat="1" applyFont="1" applyFill="1" applyBorder="1" applyAlignment="1">
      <alignment horizontal="right" indent="3"/>
    </xf>
    <xf numFmtId="165" fontId="26" fillId="22" borderId="64" xfId="2" applyNumberFormat="1" applyFont="1" applyFill="1" applyBorder="1" applyAlignment="1">
      <alignment horizontal="right" indent="3"/>
    </xf>
    <xf numFmtId="165" fontId="26" fillId="0" borderId="42" xfId="2" applyNumberFormat="1" applyFont="1" applyFill="1" applyBorder="1" applyAlignment="1">
      <alignment horizontal="right" indent="3"/>
    </xf>
    <xf numFmtId="165" fontId="26" fillId="6" borderId="34" xfId="2" applyNumberFormat="1" applyFont="1" applyFill="1" applyBorder="1" applyAlignment="1">
      <alignment horizontal="right" indent="3"/>
    </xf>
    <xf numFmtId="165" fontId="26" fillId="6" borderId="37" xfId="2" applyNumberFormat="1" applyFont="1" applyFill="1" applyBorder="1" applyAlignment="1">
      <alignment horizontal="right" indent="3"/>
    </xf>
    <xf numFmtId="165" fontId="26" fillId="0" borderId="82" xfId="2" applyNumberFormat="1" applyFont="1" applyFill="1" applyBorder="1" applyAlignment="1">
      <alignment horizontal="right" indent="3"/>
    </xf>
    <xf numFmtId="165" fontId="27" fillId="0" borderId="85" xfId="2" applyNumberFormat="1" applyFont="1" applyFill="1" applyBorder="1" applyAlignment="1">
      <alignment horizontal="right" indent="3"/>
    </xf>
    <xf numFmtId="165" fontId="26" fillId="0" borderId="18" xfId="2" applyNumberFormat="1" applyFont="1" applyFill="1" applyBorder="1" applyAlignment="1">
      <alignment horizontal="right" indent="3"/>
    </xf>
    <xf numFmtId="3" fontId="2" fillId="6" borderId="24" xfId="0" applyNumberFormat="1" applyFont="1" applyFill="1" applyBorder="1" applyAlignment="1">
      <alignment horizontal="right" indent="2"/>
    </xf>
    <xf numFmtId="3" fontId="67" fillId="6" borderId="24" xfId="0" applyNumberFormat="1" applyFont="1" applyFill="1" applyBorder="1" applyAlignment="1">
      <alignment horizontal="right" indent="2"/>
    </xf>
    <xf numFmtId="3" fontId="3" fillId="6" borderId="26" xfId="0" applyNumberFormat="1" applyFont="1" applyFill="1" applyBorder="1" applyAlignment="1">
      <alignment horizontal="right" indent="2"/>
    </xf>
    <xf numFmtId="3" fontId="67" fillId="6" borderId="21" xfId="0" applyNumberFormat="1" applyFont="1" applyFill="1" applyBorder="1" applyAlignment="1">
      <alignment horizontal="right" indent="2"/>
    </xf>
    <xf numFmtId="3" fontId="45" fillId="6" borderId="22" xfId="0" applyNumberFormat="1" applyFont="1" applyFill="1" applyBorder="1" applyAlignment="1">
      <alignment horizontal="right" indent="2"/>
    </xf>
    <xf numFmtId="3" fontId="45" fillId="6" borderId="28" xfId="0" applyNumberFormat="1" applyFont="1" applyFill="1" applyBorder="1" applyAlignment="1">
      <alignment horizontal="right" indent="2"/>
    </xf>
    <xf numFmtId="3" fontId="2" fillId="6" borderId="30" xfId="0" applyNumberFormat="1" applyFont="1" applyFill="1" applyBorder="1" applyAlignment="1">
      <alignment horizontal="right" indent="2"/>
    </xf>
    <xf numFmtId="3" fontId="67" fillId="6" borderId="30" xfId="0" applyNumberFormat="1" applyFont="1" applyFill="1" applyBorder="1" applyAlignment="1">
      <alignment horizontal="right" indent="2"/>
    </xf>
    <xf numFmtId="3" fontId="3" fillId="6" borderId="32" xfId="0" applyNumberFormat="1" applyFont="1" applyFill="1" applyBorder="1" applyAlignment="1">
      <alignment horizontal="right" indent="2"/>
    </xf>
    <xf numFmtId="3" fontId="67" fillId="6" borderId="27" xfId="0" applyNumberFormat="1" applyFont="1" applyFill="1" applyBorder="1" applyAlignment="1">
      <alignment horizontal="right" indent="2"/>
    </xf>
    <xf numFmtId="3" fontId="56" fillId="6" borderId="27" xfId="0" applyNumberFormat="1" applyFont="1" applyFill="1" applyBorder="1" applyAlignment="1">
      <alignment horizontal="right" indent="2"/>
    </xf>
    <xf numFmtId="3" fontId="2" fillId="6" borderId="36" xfId="0" applyNumberFormat="1" applyFont="1" applyFill="1" applyBorder="1" applyAlignment="1">
      <alignment horizontal="right" indent="2"/>
    </xf>
    <xf numFmtId="3" fontId="67" fillId="6" borderId="36" xfId="0" applyNumberFormat="1" applyFont="1" applyFill="1" applyBorder="1" applyAlignment="1">
      <alignment horizontal="right" indent="2"/>
    </xf>
    <xf numFmtId="3" fontId="45" fillId="6" borderId="34" xfId="0" applyNumberFormat="1" applyFont="1" applyFill="1" applyBorder="1" applyAlignment="1">
      <alignment horizontal="right" indent="2"/>
    </xf>
    <xf numFmtId="3" fontId="67" fillId="4" borderId="47" xfId="0" applyNumberFormat="1" applyFont="1" applyFill="1" applyBorder="1" applyAlignment="1">
      <alignment horizontal="right" indent="2"/>
    </xf>
    <xf numFmtId="3" fontId="3" fillId="4" borderId="59" xfId="0" applyNumberFormat="1" applyFont="1" applyFill="1" applyBorder="1" applyAlignment="1">
      <alignment horizontal="right" indent="2"/>
    </xf>
    <xf numFmtId="3" fontId="67" fillId="4" borderId="17" xfId="0" applyNumberFormat="1" applyFont="1" applyFill="1" applyBorder="1" applyAlignment="1">
      <alignment horizontal="right" indent="2"/>
    </xf>
    <xf numFmtId="3" fontId="56" fillId="4" borderId="17" xfId="0" applyNumberFormat="1" applyFont="1" applyFill="1" applyBorder="1" applyAlignment="1">
      <alignment horizontal="right" indent="2"/>
    </xf>
    <xf numFmtId="3" fontId="3" fillId="4" borderId="39" xfId="0" applyNumberFormat="1" applyFont="1" applyFill="1" applyBorder="1" applyAlignment="1">
      <alignment horizontal="right" indent="2"/>
    </xf>
    <xf numFmtId="3" fontId="67" fillId="4" borderId="33" xfId="0" applyNumberFormat="1" applyFont="1" applyFill="1" applyBorder="1" applyAlignment="1">
      <alignment horizontal="right" indent="2"/>
    </xf>
    <xf numFmtId="3" fontId="45" fillId="4" borderId="34" xfId="0" applyNumberFormat="1" applyFont="1" applyFill="1" applyBorder="1" applyAlignment="1">
      <alignment horizontal="right" indent="2"/>
    </xf>
    <xf numFmtId="3" fontId="3" fillId="4" borderId="26" xfId="0" applyNumberFormat="1" applyFont="1" applyFill="1" applyBorder="1" applyAlignment="1">
      <alignment horizontal="right" indent="2"/>
    </xf>
    <xf numFmtId="3" fontId="67" fillId="4" borderId="21" xfId="0" applyNumberFormat="1" applyFont="1" applyFill="1" applyBorder="1" applyAlignment="1">
      <alignment horizontal="right" indent="2"/>
    </xf>
    <xf numFmtId="3" fontId="56" fillId="4" borderId="24" xfId="0" applyNumberFormat="1" applyFont="1" applyFill="1" applyBorder="1" applyAlignment="1">
      <alignment horizontal="right" indent="2"/>
    </xf>
    <xf numFmtId="3" fontId="56" fillId="4" borderId="21" xfId="0" applyNumberFormat="1" applyFont="1" applyFill="1" applyBorder="1" applyAlignment="1">
      <alignment horizontal="right" indent="2"/>
    </xf>
    <xf numFmtId="0" fontId="77" fillId="0" borderId="4" xfId="0" applyFont="1" applyBorder="1" applyAlignment="1">
      <alignment horizontal="center"/>
    </xf>
    <xf numFmtId="0" fontId="12" fillId="4" borderId="16" xfId="0" applyFont="1" applyFill="1" applyBorder="1" applyAlignment="1">
      <alignment horizontal="center" vertical="center" wrapText="1"/>
    </xf>
    <xf numFmtId="165" fontId="30" fillId="0" borderId="11" xfId="2" applyNumberFormat="1" applyFont="1" applyFill="1" applyBorder="1" applyAlignment="1">
      <alignment horizontal="left"/>
    </xf>
    <xf numFmtId="165" fontId="19" fillId="0" borderId="42" xfId="2" applyNumberFormat="1" applyFont="1" applyBorder="1" applyAlignment="1">
      <alignment horizontal="center" vertical="center" wrapText="1"/>
    </xf>
    <xf numFmtId="3" fontId="89" fillId="6" borderId="21" xfId="0" applyNumberFormat="1" applyFont="1" applyFill="1" applyBorder="1" applyAlignment="1">
      <alignment horizontal="right" indent="2"/>
    </xf>
    <xf numFmtId="165" fontId="25" fillId="0" borderId="0" xfId="2" applyNumberFormat="1" applyFont="1" applyFill="1" applyBorder="1" applyAlignment="1">
      <alignment horizontal="center"/>
    </xf>
    <xf numFmtId="165" fontId="12" fillId="6" borderId="8" xfId="2" applyNumberFormat="1" applyFont="1" applyFill="1" applyBorder="1" applyAlignment="1">
      <alignment horizontal="right" indent="2"/>
    </xf>
    <xf numFmtId="165" fontId="12" fillId="6" borderId="22" xfId="2" applyNumberFormat="1" applyFont="1" applyFill="1" applyBorder="1" applyAlignment="1">
      <alignment horizontal="right" indent="2"/>
    </xf>
    <xf numFmtId="165" fontId="12" fillId="6" borderId="21" xfId="0" applyNumberFormat="1" applyFont="1" applyFill="1" applyBorder="1"/>
    <xf numFmtId="165" fontId="12" fillId="6" borderId="22" xfId="0" applyNumberFormat="1" applyFont="1" applyFill="1" applyBorder="1"/>
    <xf numFmtId="165" fontId="27" fillId="6" borderId="8" xfId="0" applyNumberFormat="1" applyFont="1" applyFill="1" applyBorder="1" applyAlignment="1">
      <alignment horizontal="right" indent="4"/>
    </xf>
    <xf numFmtId="165" fontId="27" fillId="6" borderId="22" xfId="0" applyNumberFormat="1" applyFont="1" applyFill="1" applyBorder="1" applyAlignment="1">
      <alignment horizontal="right" indent="4"/>
    </xf>
    <xf numFmtId="165" fontId="26" fillId="6" borderId="41" xfId="2" applyNumberFormat="1" applyFont="1" applyFill="1" applyBorder="1" applyAlignment="1">
      <alignment horizontal="right" indent="4"/>
    </xf>
    <xf numFmtId="165" fontId="26" fillId="6" borderId="34" xfId="2" applyNumberFormat="1" applyFont="1" applyFill="1" applyBorder="1" applyAlignment="1">
      <alignment horizontal="right" indent="4"/>
    </xf>
    <xf numFmtId="3" fontId="22" fillId="0" borderId="43" xfId="0" applyNumberFormat="1" applyFont="1" applyBorder="1" applyAlignment="1">
      <alignment horizontal="right" indent="2"/>
    </xf>
    <xf numFmtId="3" fontId="22" fillId="0" borderId="44" xfId="0" applyNumberFormat="1" applyFont="1" applyBorder="1" applyAlignment="1">
      <alignment horizontal="right" indent="2"/>
    </xf>
    <xf numFmtId="3" fontId="14" fillId="4" borderId="31" xfId="0" applyNumberFormat="1" applyFont="1" applyFill="1" applyBorder="1" applyAlignment="1">
      <alignment horizontal="right" indent="2"/>
    </xf>
    <xf numFmtId="3" fontId="14" fillId="4" borderId="47" xfId="0" applyNumberFormat="1" applyFont="1" applyFill="1" applyBorder="1" applyAlignment="1">
      <alignment horizontal="right" indent="2"/>
    </xf>
    <xf numFmtId="3" fontId="14" fillId="4" borderId="50" xfId="0" applyNumberFormat="1" applyFont="1" applyFill="1" applyBorder="1" applyAlignment="1">
      <alignment horizontal="right" indent="2"/>
    </xf>
    <xf numFmtId="3" fontId="14" fillId="4" borderId="49" xfId="0" applyNumberFormat="1" applyFont="1" applyFill="1" applyBorder="1" applyAlignment="1">
      <alignment horizontal="right" indent="2"/>
    </xf>
    <xf numFmtId="3" fontId="14" fillId="0" borderId="11" xfId="0" applyNumberFormat="1" applyFont="1" applyBorder="1" applyAlignment="1">
      <alignment horizontal="right" vertical="center" wrapText="1" indent="2"/>
    </xf>
    <xf numFmtId="3" fontId="14" fillId="4" borderId="53" xfId="0" applyNumberFormat="1" applyFont="1" applyFill="1" applyBorder="1" applyAlignment="1">
      <alignment horizontal="right" indent="2"/>
    </xf>
    <xf numFmtId="3" fontId="14" fillId="0" borderId="42" xfId="0" applyNumberFormat="1" applyFont="1" applyBorder="1" applyAlignment="1">
      <alignment horizontal="right" vertical="center" wrapText="1" indent="2"/>
    </xf>
    <xf numFmtId="3" fontId="14" fillId="0" borderId="38" xfId="0" applyNumberFormat="1" applyFont="1" applyBorder="1" applyAlignment="1">
      <alignment horizontal="right" vertical="center" wrapText="1" indent="2"/>
    </xf>
    <xf numFmtId="3" fontId="22" fillId="0" borderId="44" xfId="0" applyNumberFormat="1" applyFont="1" applyBorder="1"/>
    <xf numFmtId="3" fontId="14" fillId="4" borderId="30" xfId="0" applyNumberFormat="1" applyFont="1" applyFill="1" applyBorder="1" applyAlignment="1">
      <alignment horizontal="right" indent="2"/>
    </xf>
    <xf numFmtId="0" fontId="3" fillId="3" borderId="69" xfId="0" applyFont="1" applyFill="1" applyBorder="1" applyAlignment="1">
      <alignment horizontal="left"/>
    </xf>
    <xf numFmtId="0" fontId="3" fillId="3" borderId="71" xfId="0" applyFont="1" applyFill="1" applyBorder="1" applyAlignment="1">
      <alignment horizontal="left"/>
    </xf>
    <xf numFmtId="3" fontId="22" fillId="0" borderId="44" xfId="0" applyNumberFormat="1" applyFont="1" applyBorder="1" applyAlignment="1">
      <alignment horizontal="left" vertical="center" wrapText="1" indent="2"/>
    </xf>
    <xf numFmtId="3" fontId="14" fillId="3" borderId="25" xfId="0" applyNumberFormat="1" applyFont="1" applyFill="1" applyBorder="1" applyAlignment="1">
      <alignment horizontal="right" indent="2"/>
    </xf>
    <xf numFmtId="0" fontId="3" fillId="7" borderId="69" xfId="0" applyFont="1" applyFill="1" applyBorder="1" applyAlignment="1">
      <alignment horizontal="left"/>
    </xf>
    <xf numFmtId="0" fontId="3" fillId="7" borderId="71" xfId="0" applyFont="1" applyFill="1" applyBorder="1" applyAlignment="1">
      <alignment horizontal="left"/>
    </xf>
    <xf numFmtId="3" fontId="14" fillId="7" borderId="25" xfId="0" applyNumberFormat="1" applyFont="1" applyFill="1" applyBorder="1" applyAlignment="1">
      <alignment horizontal="right" indent="2"/>
    </xf>
    <xf numFmtId="3" fontId="26" fillId="3" borderId="62" xfId="2" applyNumberFormat="1" applyFont="1" applyFill="1" applyBorder="1" applyAlignment="1">
      <alignment horizontal="right" indent="2"/>
    </xf>
    <xf numFmtId="165" fontId="0" fillId="3" borderId="22" xfId="2" applyNumberFormat="1" applyFont="1" applyFill="1" applyBorder="1" applyAlignment="1">
      <alignment horizontal="right" indent="2"/>
    </xf>
    <xf numFmtId="165" fontId="0" fillId="3" borderId="22" xfId="2" applyNumberFormat="1" applyFont="1" applyFill="1" applyBorder="1"/>
    <xf numFmtId="165" fontId="26" fillId="3" borderId="138" xfId="2" applyNumberFormat="1" applyFont="1" applyFill="1" applyBorder="1" applyAlignment="1">
      <alignment horizontal="right" indent="2"/>
    </xf>
    <xf numFmtId="165" fontId="26" fillId="3" borderId="88" xfId="2" applyNumberFormat="1" applyFont="1" applyFill="1" applyBorder="1" applyAlignment="1">
      <alignment horizontal="right" indent="2"/>
    </xf>
    <xf numFmtId="165" fontId="26" fillId="3" borderId="25" xfId="2" applyNumberFormat="1" applyFont="1" applyFill="1" applyBorder="1" applyAlignment="1">
      <alignment horizontal="right" indent="2"/>
    </xf>
    <xf numFmtId="3" fontId="27" fillId="3" borderId="138" xfId="0" applyNumberFormat="1" applyFont="1" applyFill="1" applyBorder="1" applyAlignment="1">
      <alignment horizontal="right" indent="2"/>
    </xf>
    <xf numFmtId="3" fontId="27" fillId="3" borderId="88" xfId="0" applyNumberFormat="1" applyFont="1" applyFill="1" applyBorder="1" applyAlignment="1">
      <alignment horizontal="right" indent="2"/>
    </xf>
    <xf numFmtId="3" fontId="27" fillId="3" borderId="25" xfId="0" applyNumberFormat="1" applyFont="1" applyFill="1" applyBorder="1" applyAlignment="1">
      <alignment horizontal="right" indent="2"/>
    </xf>
    <xf numFmtId="3" fontId="0" fillId="3" borderId="22" xfId="2" applyNumberFormat="1" applyFont="1" applyFill="1" applyBorder="1"/>
    <xf numFmtId="165" fontId="63" fillId="3" borderId="22" xfId="0" applyNumberFormat="1" applyFont="1" applyFill="1" applyBorder="1" applyAlignment="1">
      <alignment horizontal="right"/>
    </xf>
    <xf numFmtId="165" fontId="27" fillId="3" borderId="22" xfId="2" applyNumberFormat="1" applyFont="1" applyFill="1" applyBorder="1" applyAlignment="1">
      <alignment horizontal="right" indent="2"/>
    </xf>
    <xf numFmtId="165" fontId="63" fillId="3" borderId="34" xfId="0" applyNumberFormat="1" applyFont="1" applyFill="1" applyBorder="1" applyAlignment="1">
      <alignment horizontal="right"/>
    </xf>
    <xf numFmtId="165" fontId="26" fillId="3" borderId="34" xfId="2" applyNumberFormat="1" applyFont="1" applyFill="1" applyBorder="1" applyAlignment="1">
      <alignment horizontal="right" indent="2"/>
    </xf>
    <xf numFmtId="1" fontId="29" fillId="6" borderId="22" xfId="0" applyNumberFormat="1" applyFont="1" applyFill="1" applyBorder="1" applyAlignment="1">
      <alignment horizontal="right" indent="2"/>
    </xf>
    <xf numFmtId="165" fontId="29" fillId="6" borderId="22" xfId="0" applyNumberFormat="1" applyFont="1" applyFill="1" applyBorder="1" applyAlignment="1">
      <alignment horizontal="right" indent="2"/>
    </xf>
    <xf numFmtId="3" fontId="3" fillId="21" borderId="47" xfId="0" applyNumberFormat="1" applyFont="1" applyFill="1" applyBorder="1" applyAlignment="1">
      <alignment horizontal="right" indent="2"/>
    </xf>
    <xf numFmtId="3" fontId="45" fillId="7" borderId="24" xfId="0" applyNumberFormat="1" applyFont="1" applyFill="1" applyBorder="1" applyAlignment="1">
      <alignment horizontal="right" indent="2"/>
    </xf>
    <xf numFmtId="3" fontId="46" fillId="6" borderId="47" xfId="0" applyNumberFormat="1" applyFont="1" applyFill="1" applyBorder="1" applyAlignment="1">
      <alignment horizontal="right" indent="2"/>
    </xf>
    <xf numFmtId="3" fontId="46" fillId="12" borderId="48" xfId="0" applyNumberFormat="1" applyFont="1" applyFill="1" applyBorder="1" applyAlignment="1">
      <alignment horizontal="right" indent="2"/>
    </xf>
    <xf numFmtId="3" fontId="30" fillId="12" borderId="48" xfId="0" applyNumberFormat="1" applyFont="1" applyFill="1" applyBorder="1" applyAlignment="1">
      <alignment horizontal="right" indent="2"/>
    </xf>
    <xf numFmtId="3" fontId="30" fillId="12" borderId="25" xfId="0" applyNumberFormat="1" applyFont="1" applyFill="1" applyBorder="1" applyAlignment="1">
      <alignment horizontal="right" indent="2"/>
    </xf>
    <xf numFmtId="3" fontId="30" fillId="12" borderId="31" xfId="0" applyNumberFormat="1" applyFont="1" applyFill="1" applyBorder="1" applyAlignment="1">
      <alignment horizontal="right" indent="2"/>
    </xf>
    <xf numFmtId="3" fontId="46" fillId="12" borderId="31" xfId="0" applyNumberFormat="1" applyFont="1" applyFill="1" applyBorder="1" applyAlignment="1">
      <alignment horizontal="right" indent="2"/>
    </xf>
    <xf numFmtId="3" fontId="46" fillId="12" borderId="37" xfId="0" applyNumberFormat="1" applyFont="1" applyFill="1" applyBorder="1" applyAlignment="1">
      <alignment horizontal="right" indent="2"/>
    </xf>
    <xf numFmtId="3" fontId="46" fillId="12" borderId="51" xfId="0" applyNumberFormat="1" applyFont="1" applyFill="1" applyBorder="1" applyAlignment="1">
      <alignment horizontal="right" indent="2"/>
    </xf>
    <xf numFmtId="166" fontId="46" fillId="4" borderId="48" xfId="0" applyNumberFormat="1" applyFont="1" applyFill="1" applyBorder="1" applyAlignment="1">
      <alignment horizontal="right" indent="2"/>
    </xf>
    <xf numFmtId="166" fontId="46" fillId="4" borderId="31" xfId="0" applyNumberFormat="1" applyFont="1" applyFill="1" applyBorder="1" applyAlignment="1">
      <alignment horizontal="right" indent="2"/>
    </xf>
    <xf numFmtId="166" fontId="38" fillId="4" borderId="25" xfId="0" applyNumberFormat="1" applyFont="1" applyFill="1" applyBorder="1" applyAlignment="1">
      <alignment horizontal="right" indent="2"/>
    </xf>
    <xf numFmtId="166" fontId="38" fillId="4" borderId="31" xfId="0" applyNumberFormat="1" applyFont="1" applyFill="1" applyBorder="1" applyAlignment="1">
      <alignment horizontal="right" indent="2"/>
    </xf>
    <xf numFmtId="3" fontId="46" fillId="4" borderId="49" xfId="0" applyNumberFormat="1" applyFont="1" applyFill="1" applyBorder="1" applyAlignment="1">
      <alignment horizontal="right" indent="2"/>
    </xf>
    <xf numFmtId="0" fontId="12" fillId="0" borderId="0" xfId="0" quotePrefix="1" applyFont="1" applyAlignment="1">
      <alignment horizontal="center" vertical="center"/>
    </xf>
    <xf numFmtId="0" fontId="29" fillId="0" borderId="4" xfId="0" applyFont="1" applyBorder="1" applyAlignment="1">
      <alignment horizontal="center" vertical="center" wrapText="1"/>
    </xf>
    <xf numFmtId="0" fontId="0" fillId="0" borderId="14" xfId="0" applyBorder="1" applyAlignment="1">
      <alignment vertical="center" wrapText="1"/>
    </xf>
    <xf numFmtId="3" fontId="0" fillId="6" borderId="48" xfId="0" applyNumberFormat="1" applyFill="1" applyBorder="1" applyAlignment="1">
      <alignment horizontal="right" indent="2"/>
    </xf>
    <xf numFmtId="10" fontId="122" fillId="6" borderId="11" xfId="2" applyNumberFormat="1" applyFont="1" applyFill="1" applyBorder="1"/>
    <xf numFmtId="10" fontId="122" fillId="6" borderId="11" xfId="0" applyNumberFormat="1" applyFont="1" applyFill="1" applyBorder="1"/>
    <xf numFmtId="10" fontId="122" fillId="6" borderId="38" xfId="0" applyNumberFormat="1" applyFont="1" applyFill="1" applyBorder="1"/>
    <xf numFmtId="3" fontId="60" fillId="0" borderId="16" xfId="0" applyNumberFormat="1" applyFont="1" applyBorder="1"/>
    <xf numFmtId="165" fontId="122" fillId="0" borderId="11" xfId="2" applyNumberFormat="1" applyFont="1" applyBorder="1"/>
    <xf numFmtId="165" fontId="122" fillId="0" borderId="62" xfId="2" applyNumberFormat="1" applyFont="1" applyBorder="1"/>
    <xf numFmtId="3" fontId="0" fillId="4" borderId="49" xfId="0" applyNumberFormat="1" applyFill="1" applyBorder="1" applyAlignment="1">
      <alignment horizontal="right" wrapText="1" indent="2"/>
    </xf>
    <xf numFmtId="4" fontId="12" fillId="0" borderId="0" xfId="0" applyNumberFormat="1" applyFont="1" applyAlignment="1">
      <alignment horizontal="right" indent="2"/>
    </xf>
    <xf numFmtId="165" fontId="122" fillId="0" borderId="28" xfId="2" applyNumberFormat="1" applyFont="1" applyBorder="1"/>
    <xf numFmtId="43" fontId="12" fillId="0" borderId="0" xfId="11" applyFont="1" applyAlignment="1">
      <alignment horizontal="right" indent="2"/>
    </xf>
    <xf numFmtId="165" fontId="122" fillId="0" borderId="38" xfId="2" applyNumberFormat="1" applyFont="1" applyBorder="1"/>
    <xf numFmtId="165" fontId="122" fillId="0" borderId="16" xfId="2" applyNumberFormat="1" applyFont="1" applyBorder="1" applyAlignment="1">
      <alignment vertical="center" wrapText="1"/>
    </xf>
    <xf numFmtId="3" fontId="0" fillId="0" borderId="16" xfId="0" applyNumberFormat="1" applyBorder="1" applyAlignment="1">
      <alignment horizontal="left" vertical="center"/>
    </xf>
    <xf numFmtId="3" fontId="12" fillId="0" borderId="16" xfId="0" applyNumberFormat="1" applyFont="1" applyBorder="1" applyAlignment="1">
      <alignment horizontal="left" vertical="center"/>
    </xf>
    <xf numFmtId="10" fontId="59" fillId="0" borderId="35" xfId="2" applyNumberFormat="1" applyFont="1" applyBorder="1" applyAlignment="1">
      <alignment horizontal="right" indent="1"/>
    </xf>
    <xf numFmtId="10" fontId="20" fillId="0" borderId="0" xfId="0" applyNumberFormat="1" applyFont="1" applyAlignment="1">
      <alignment horizontal="right" indent="1"/>
    </xf>
    <xf numFmtId="10" fontId="59" fillId="0" borderId="33" xfId="2" applyNumberFormat="1" applyFont="1" applyBorder="1" applyAlignment="1">
      <alignment horizontal="right" indent="1"/>
    </xf>
    <xf numFmtId="10" fontId="59" fillId="0" borderId="41" xfId="2" applyNumberFormat="1" applyFont="1" applyBorder="1" applyAlignment="1">
      <alignment horizontal="right" indent="1"/>
    </xf>
    <xf numFmtId="10" fontId="59" fillId="0" borderId="38" xfId="2" applyNumberFormat="1" applyFont="1" applyBorder="1" applyAlignment="1">
      <alignment horizontal="right" indent="1"/>
    </xf>
    <xf numFmtId="10" fontId="59" fillId="0" borderId="33" xfId="2" applyNumberFormat="1" applyFont="1" applyBorder="1" applyAlignment="1">
      <alignment horizontal="right" vertical="center" wrapText="1" indent="1"/>
    </xf>
    <xf numFmtId="10" fontId="122" fillId="0" borderId="38" xfId="2" applyNumberFormat="1" applyFont="1" applyBorder="1" applyAlignment="1">
      <alignment horizontal="right" vertical="center" wrapText="1" indent="1"/>
    </xf>
    <xf numFmtId="10" fontId="36" fillId="0" borderId="42" xfId="2" applyNumberFormat="1" applyFont="1" applyBorder="1" applyAlignment="1">
      <alignment horizontal="center" vertical="center" wrapText="1"/>
    </xf>
    <xf numFmtId="10" fontId="36" fillId="0" borderId="38" xfId="2" applyNumberFormat="1" applyFont="1" applyBorder="1" applyAlignment="1">
      <alignment horizontal="right" indent="2"/>
    </xf>
    <xf numFmtId="10" fontId="36" fillId="0" borderId="0" xfId="2" applyNumberFormat="1" applyFont="1" applyAlignment="1">
      <alignment horizontal="center" vertical="center" wrapText="1"/>
    </xf>
    <xf numFmtId="10" fontId="36" fillId="0" borderId="33" xfId="2" applyNumberFormat="1" applyFont="1" applyBorder="1" applyAlignment="1">
      <alignment horizontal="right" indent="2"/>
    </xf>
    <xf numFmtId="10" fontId="13" fillId="0" borderId="34" xfId="2" applyNumberFormat="1" applyFont="1" applyBorder="1" applyAlignment="1">
      <alignment horizontal="right" indent="1"/>
    </xf>
    <xf numFmtId="10" fontId="122" fillId="0" borderId="42" xfId="2" applyNumberFormat="1" applyFont="1" applyBorder="1" applyAlignment="1">
      <alignment horizontal="right" vertical="center" wrapText="1" indent="1"/>
    </xf>
    <xf numFmtId="0" fontId="8" fillId="0" borderId="43" xfId="0" applyFont="1" applyBorder="1" applyAlignment="1">
      <alignment horizontal="left"/>
    </xf>
    <xf numFmtId="0" fontId="12" fillId="0" borderId="10" xfId="0" applyFont="1" applyBorder="1" applyAlignment="1">
      <alignment horizontal="right"/>
    </xf>
    <xf numFmtId="0" fontId="12" fillId="0" borderId="7" xfId="0" applyFont="1" applyBorder="1" applyAlignment="1">
      <alignment horizontal="right"/>
    </xf>
    <xf numFmtId="0" fontId="0" fillId="4" borderId="17" xfId="0" applyFill="1" applyBorder="1" applyAlignment="1">
      <alignment horizontal="right"/>
    </xf>
    <xf numFmtId="0" fontId="0" fillId="4" borderId="62" xfId="0" applyFill="1" applyBorder="1" applyAlignment="1">
      <alignment horizontal="right"/>
    </xf>
    <xf numFmtId="3" fontId="12" fillId="0" borderId="0" xfId="0" applyNumberFormat="1" applyFont="1" applyAlignment="1">
      <alignment horizontal="left" vertical="center"/>
    </xf>
    <xf numFmtId="4" fontId="0" fillId="0" borderId="0" xfId="0" applyNumberFormat="1" applyAlignment="1">
      <alignment horizontal="left" indent="2"/>
    </xf>
    <xf numFmtId="165" fontId="59" fillId="0" borderId="11" xfId="2" applyNumberFormat="1" applyFont="1" applyBorder="1"/>
    <xf numFmtId="3" fontId="12" fillId="0" borderId="47" xfId="0" applyNumberFormat="1" applyFont="1" applyBorder="1" applyAlignment="1">
      <alignment horizontal="right" indent="2"/>
    </xf>
    <xf numFmtId="0" fontId="0" fillId="4" borderId="53" xfId="0" applyFill="1" applyBorder="1" applyAlignment="1">
      <alignment horizontal="right"/>
    </xf>
    <xf numFmtId="3" fontId="0" fillId="4" borderId="136" xfId="0" applyNumberFormat="1" applyFill="1" applyBorder="1" applyAlignment="1">
      <alignment horizontal="right" indent="2"/>
    </xf>
    <xf numFmtId="3" fontId="2" fillId="0" borderId="0" xfId="0" applyNumberFormat="1" applyFont="1" applyAlignment="1">
      <alignment horizontal="right"/>
    </xf>
    <xf numFmtId="3" fontId="12" fillId="0" borderId="0" xfId="0" applyNumberFormat="1" applyFont="1" applyAlignment="1">
      <alignment vertical="center"/>
    </xf>
    <xf numFmtId="3" fontId="45" fillId="0" borderId="0" xfId="0" applyNumberFormat="1" applyFont="1" applyAlignment="1">
      <alignment horizontal="right" wrapText="1" indent="2"/>
    </xf>
    <xf numFmtId="3" fontId="12" fillId="0" borderId="0" xfId="0" applyNumberFormat="1" applyFont="1" applyAlignment="1">
      <alignment vertical="center" wrapText="1"/>
    </xf>
    <xf numFmtId="3" fontId="2" fillId="0" borderId="0" xfId="0" applyNumberFormat="1" applyFont="1" applyAlignment="1">
      <alignment horizontal="right" wrapText="1" indent="2"/>
    </xf>
    <xf numFmtId="0" fontId="0" fillId="4" borderId="18" xfId="0" applyFill="1" applyBorder="1" applyAlignment="1">
      <alignment horizontal="right"/>
    </xf>
    <xf numFmtId="0" fontId="0" fillId="4" borderId="11" xfId="0" applyFill="1" applyBorder="1" applyAlignment="1">
      <alignment horizontal="right"/>
    </xf>
    <xf numFmtId="0" fontId="0" fillId="4" borderId="38" xfId="0" applyFill="1" applyBorder="1" applyAlignment="1">
      <alignment horizontal="right"/>
    </xf>
    <xf numFmtId="3" fontId="0" fillId="4" borderId="137" xfId="0" applyNumberFormat="1" applyFill="1" applyBorder="1" applyAlignment="1">
      <alignment horizontal="right" indent="2"/>
    </xf>
    <xf numFmtId="3" fontId="0" fillId="6" borderId="64" xfId="0" applyNumberFormat="1" applyFill="1" applyBorder="1" applyAlignment="1">
      <alignment horizontal="right" vertical="center" wrapText="1" indent="2"/>
    </xf>
    <xf numFmtId="0" fontId="70" fillId="0" borderId="0" xfId="0" applyFont="1" applyAlignment="1">
      <alignment horizontal="right"/>
    </xf>
    <xf numFmtId="3" fontId="70" fillId="0" borderId="16" xfId="0" applyNumberFormat="1" applyFont="1" applyBorder="1"/>
    <xf numFmtId="3" fontId="70" fillId="0" borderId="44" xfId="0" applyNumberFormat="1" applyFont="1" applyBorder="1" applyAlignment="1">
      <alignment horizontal="right" indent="2"/>
    </xf>
    <xf numFmtId="3" fontId="70" fillId="0" borderId="16" xfId="0" applyNumberFormat="1" applyFont="1" applyBorder="1" applyAlignment="1">
      <alignment horizontal="right" indent="2"/>
    </xf>
    <xf numFmtId="0" fontId="70" fillId="0" borderId="8" xfId="0" applyFont="1" applyBorder="1" applyAlignment="1">
      <alignment horizontal="right"/>
    </xf>
    <xf numFmtId="3" fontId="70" fillId="0" borderId="11" xfId="0" applyNumberFormat="1" applyFont="1" applyBorder="1" applyAlignment="1">
      <alignment horizontal="right" vertical="center" wrapText="1" indent="2"/>
    </xf>
    <xf numFmtId="3" fontId="40" fillId="0" borderId="0" xfId="0" applyNumberFormat="1" applyFont="1" applyAlignment="1">
      <alignment horizontal="right" indent="2"/>
    </xf>
    <xf numFmtId="3" fontId="40" fillId="0" borderId="11" xfId="0" applyNumberFormat="1" applyFont="1" applyBorder="1" applyAlignment="1">
      <alignment horizontal="right" indent="2"/>
    </xf>
    <xf numFmtId="3" fontId="70" fillId="0" borderId="0" xfId="0" applyNumberFormat="1" applyFont="1" applyAlignment="1">
      <alignment horizontal="right" indent="2"/>
    </xf>
    <xf numFmtId="3" fontId="70" fillId="0" borderId="11" xfId="0" applyNumberFormat="1" applyFont="1" applyBorder="1" applyAlignment="1">
      <alignment horizontal="right" indent="2"/>
    </xf>
    <xf numFmtId="0" fontId="70" fillId="0" borderId="9" xfId="0" applyFont="1" applyBorder="1" applyAlignment="1">
      <alignment horizontal="right"/>
    </xf>
    <xf numFmtId="3" fontId="70" fillId="0" borderId="38" xfId="0" applyNumberFormat="1" applyFont="1" applyBorder="1" applyAlignment="1">
      <alignment horizontal="right" vertical="center" wrapText="1" indent="2"/>
    </xf>
    <xf numFmtId="3" fontId="70" fillId="0" borderId="42" xfId="0" applyNumberFormat="1" applyFont="1" applyBorder="1" applyAlignment="1">
      <alignment horizontal="right" indent="2"/>
    </xf>
    <xf numFmtId="3" fontId="70" fillId="0" borderId="38" xfId="0" applyNumberFormat="1" applyFont="1" applyBorder="1" applyAlignment="1">
      <alignment horizontal="right" indent="2"/>
    </xf>
    <xf numFmtId="3" fontId="5" fillId="0" borderId="18" xfId="0" applyNumberFormat="1" applyFont="1" applyBorder="1" applyAlignment="1">
      <alignment horizontal="right" indent="2"/>
    </xf>
    <xf numFmtId="3" fontId="5" fillId="0" borderId="0" xfId="0" applyNumberFormat="1" applyFont="1" applyAlignment="1">
      <alignment horizontal="right" indent="2"/>
    </xf>
    <xf numFmtId="3" fontId="5" fillId="0" borderId="11" xfId="0" applyNumberFormat="1" applyFont="1" applyBorder="1" applyAlignment="1">
      <alignment horizontal="right" indent="2"/>
    </xf>
    <xf numFmtId="0" fontId="150" fillId="0" borderId="11" xfId="0" applyFont="1" applyBorder="1" applyAlignment="1">
      <alignment horizontal="right"/>
    </xf>
    <xf numFmtId="0" fontId="149" fillId="0" borderId="0" xfId="0" applyFont="1" applyAlignment="1">
      <alignment horizontal="right"/>
    </xf>
    <xf numFmtId="165" fontId="143" fillId="0" borderId="18" xfId="2" applyNumberFormat="1" applyFont="1" applyBorder="1" applyAlignment="1">
      <alignment horizontal="right" indent="2"/>
    </xf>
    <xf numFmtId="165" fontId="143" fillId="0" borderId="0" xfId="2" applyNumberFormat="1" applyFont="1" applyAlignment="1">
      <alignment horizontal="right" indent="2"/>
    </xf>
    <xf numFmtId="3" fontId="149" fillId="0" borderId="0" xfId="0" applyNumberFormat="1" applyFont="1" applyAlignment="1">
      <alignment horizontal="right" indent="2"/>
    </xf>
    <xf numFmtId="3" fontId="151" fillId="0" borderId="11" xfId="0" applyNumberFormat="1" applyFont="1" applyBorder="1" applyAlignment="1">
      <alignment horizontal="right" indent="2"/>
    </xf>
    <xf numFmtId="165" fontId="143" fillId="0" borderId="11" xfId="2" applyNumberFormat="1" applyFont="1" applyBorder="1" applyAlignment="1">
      <alignment horizontal="right" indent="2"/>
    </xf>
    <xf numFmtId="3" fontId="12" fillId="0" borderId="6" xfId="0" applyNumberFormat="1" applyFont="1" applyBorder="1" applyAlignment="1">
      <alignment horizontal="right"/>
    </xf>
    <xf numFmtId="3" fontId="85" fillId="0" borderId="11" xfId="0" applyNumberFormat="1" applyFont="1" applyBorder="1" applyAlignment="1">
      <alignment horizontal="right" indent="2"/>
    </xf>
    <xf numFmtId="165" fontId="12" fillId="0" borderId="8" xfId="0" applyNumberFormat="1" applyFont="1" applyBorder="1"/>
    <xf numFmtId="165" fontId="12" fillId="0" borderId="0" xfId="0" applyNumberFormat="1" applyFont="1" applyAlignment="1">
      <alignment horizontal="right"/>
    </xf>
    <xf numFmtId="165" fontId="12" fillId="0" borderId="0" xfId="0" applyNumberFormat="1" applyFont="1" applyAlignment="1">
      <alignment horizontal="right" indent="4"/>
    </xf>
    <xf numFmtId="165" fontId="85" fillId="0" borderId="11" xfId="0" applyNumberFormat="1" applyFont="1" applyBorder="1" applyAlignment="1">
      <alignment horizontal="right" indent="4"/>
    </xf>
    <xf numFmtId="165" fontId="36" fillId="0" borderId="0" xfId="2" applyNumberFormat="1" applyFont="1" applyAlignment="1">
      <alignment horizontal="right" indent="4"/>
    </xf>
    <xf numFmtId="165" fontId="85" fillId="0" borderId="0" xfId="2" applyNumberFormat="1" applyFont="1" applyAlignment="1">
      <alignment horizontal="right" indent="4"/>
    </xf>
    <xf numFmtId="165" fontId="54" fillId="0" borderId="0" xfId="0" applyNumberFormat="1" applyFont="1" applyAlignment="1">
      <alignment horizontal="right" indent="4"/>
    </xf>
    <xf numFmtId="3" fontId="12" fillId="0" borderId="8" xfId="0" applyNumberFormat="1" applyFont="1" applyBorder="1"/>
    <xf numFmtId="3" fontId="12" fillId="0" borderId="0" xfId="0" applyNumberFormat="1" applyFont="1" applyAlignment="1">
      <alignment horizontal="right" indent="4"/>
    </xf>
    <xf numFmtId="3" fontId="85" fillId="0" borderId="11" xfId="0" applyNumberFormat="1" applyFont="1" applyBorder="1" applyAlignment="1">
      <alignment horizontal="right" indent="4"/>
    </xf>
    <xf numFmtId="3" fontId="85" fillId="0" borderId="0" xfId="2" applyNumberFormat="1" applyFont="1" applyAlignment="1">
      <alignment horizontal="right" indent="4"/>
    </xf>
    <xf numFmtId="3" fontId="54" fillId="0" borderId="0" xfId="0" applyNumberFormat="1" applyFont="1" applyAlignment="1">
      <alignment horizontal="right" indent="4"/>
    </xf>
    <xf numFmtId="165" fontId="85" fillId="0" borderId="0" xfId="0" applyNumberFormat="1" applyFont="1" applyAlignment="1">
      <alignment horizontal="right" indent="4"/>
    </xf>
    <xf numFmtId="165" fontId="5" fillId="0" borderId="8" xfId="0" applyNumberFormat="1" applyFont="1" applyBorder="1" applyAlignment="1">
      <alignment horizontal="right"/>
    </xf>
    <xf numFmtId="165" fontId="27" fillId="0" borderId="8" xfId="0" applyNumberFormat="1" applyFont="1" applyBorder="1" applyAlignment="1">
      <alignment horizontal="right" indent="2"/>
    </xf>
    <xf numFmtId="165" fontId="12" fillId="0" borderId="9" xfId="0" applyNumberFormat="1" applyFont="1" applyBorder="1" applyAlignment="1">
      <alignment horizontal="right"/>
    </xf>
    <xf numFmtId="165" fontId="27" fillId="0" borderId="9" xfId="0" applyNumberFormat="1" applyFont="1" applyBorder="1" applyAlignment="1">
      <alignment horizontal="right" indent="2"/>
    </xf>
    <xf numFmtId="165" fontId="27" fillId="0" borderId="38" xfId="2" applyNumberFormat="1" applyFont="1" applyBorder="1" applyAlignment="1">
      <alignment horizontal="right" indent="4"/>
    </xf>
    <xf numFmtId="165" fontId="85" fillId="0" borderId="38" xfId="0" applyNumberFormat="1" applyFont="1" applyBorder="1" applyAlignment="1">
      <alignment horizontal="right" indent="4"/>
    </xf>
    <xf numFmtId="165" fontId="12" fillId="0" borderId="0" xfId="0" applyNumberFormat="1" applyFont="1" applyAlignment="1">
      <alignment horizontal="right" indent="2"/>
    </xf>
    <xf numFmtId="165" fontId="54" fillId="0" borderId="42" xfId="0" applyNumberFormat="1" applyFont="1" applyBorder="1" applyAlignment="1">
      <alignment horizontal="right" indent="4"/>
    </xf>
    <xf numFmtId="0" fontId="12" fillId="0" borderId="4" xfId="0" applyFont="1" applyBorder="1" applyAlignment="1">
      <alignment horizontal="center" wrapText="1"/>
    </xf>
    <xf numFmtId="0" fontId="52" fillId="0" borderId="4" xfId="3" applyFont="1" applyBorder="1" applyAlignment="1">
      <alignment horizontal="center" wrapText="1"/>
    </xf>
    <xf numFmtId="0" fontId="52" fillId="0" borderId="16" xfId="3" applyFont="1" applyBorder="1" applyAlignment="1">
      <alignment horizontal="center" vertical="center" wrapText="1"/>
    </xf>
    <xf numFmtId="0" fontId="0" fillId="3" borderId="13" xfId="0" applyFill="1" applyBorder="1" applyAlignment="1">
      <alignment vertical="center" wrapText="1"/>
    </xf>
    <xf numFmtId="0" fontId="22" fillId="0" borderId="44" xfId="0" applyFont="1" applyBorder="1" applyAlignment="1">
      <alignment horizontal="center"/>
    </xf>
    <xf numFmtId="0" fontId="22" fillId="0" borderId="13" xfId="0" applyFont="1" applyBorder="1" applyAlignment="1">
      <alignment horizontal="center" vertical="center" wrapText="1"/>
    </xf>
    <xf numFmtId="3" fontId="0" fillId="0" borderId="11" xfId="0" applyNumberFormat="1" applyBorder="1" applyAlignment="1">
      <alignment horizontal="right" vertical="center" wrapText="1"/>
    </xf>
    <xf numFmtId="165" fontId="30" fillId="0" borderId="35" xfId="2" applyNumberFormat="1" applyFont="1" applyBorder="1" applyAlignment="1">
      <alignment horizontal="right" indent="2"/>
    </xf>
    <xf numFmtId="165" fontId="30" fillId="0" borderId="33" xfId="2" applyNumberFormat="1" applyFont="1" applyBorder="1" applyAlignment="1">
      <alignment horizontal="right" indent="2"/>
    </xf>
    <xf numFmtId="165" fontId="30" fillId="0" borderId="41" xfId="2" applyNumberFormat="1" applyFont="1" applyBorder="1" applyAlignment="1">
      <alignment horizontal="right" indent="2"/>
    </xf>
    <xf numFmtId="165" fontId="30" fillId="0" borderId="33" xfId="2" applyNumberFormat="1" applyFont="1" applyBorder="1" applyAlignment="1">
      <alignment horizontal="center" vertical="center" wrapText="1"/>
    </xf>
    <xf numFmtId="165" fontId="30" fillId="0" borderId="38" xfId="2" applyNumberFormat="1" applyFont="1" applyBorder="1" applyAlignment="1">
      <alignment horizontal="center" vertical="center" wrapText="1"/>
    </xf>
    <xf numFmtId="165" fontId="30" fillId="0" borderId="42" xfId="2" applyNumberFormat="1" applyFont="1" applyBorder="1" applyAlignment="1">
      <alignment horizontal="center" vertical="center" wrapText="1"/>
    </xf>
    <xf numFmtId="165" fontId="30" fillId="0" borderId="34" xfId="2" applyNumberFormat="1" applyFont="1" applyBorder="1" applyAlignment="1">
      <alignment horizontal="right" indent="2"/>
    </xf>
    <xf numFmtId="3" fontId="22" fillId="0" borderId="0" xfId="0" applyNumberFormat="1" applyFont="1" applyAlignment="1">
      <alignment horizontal="left" indent="2"/>
    </xf>
    <xf numFmtId="0" fontId="22" fillId="4" borderId="0" xfId="0" applyFont="1" applyFill="1" applyAlignment="1">
      <alignment horizontal="right"/>
    </xf>
    <xf numFmtId="3" fontId="14" fillId="4" borderId="0" xfId="0" applyNumberFormat="1" applyFont="1" applyFill="1" applyAlignment="1">
      <alignment horizontal="right" indent="2"/>
    </xf>
    <xf numFmtId="3" fontId="22" fillId="0" borderId="0" xfId="0" applyNumberFormat="1" applyFont="1" applyAlignment="1">
      <alignment horizontal="left" vertical="center" wrapText="1" indent="2"/>
    </xf>
    <xf numFmtId="0" fontId="0" fillId="3" borderId="24" xfId="0" applyFill="1" applyBorder="1" applyAlignment="1">
      <alignment horizontal="right"/>
    </xf>
    <xf numFmtId="0" fontId="0" fillId="3" borderId="63" xfId="0" applyFill="1" applyBorder="1" applyAlignment="1">
      <alignment horizontal="right"/>
    </xf>
    <xf numFmtId="0" fontId="0" fillId="3" borderId="36" xfId="0" applyFill="1" applyBorder="1" applyAlignment="1">
      <alignment horizontal="right"/>
    </xf>
    <xf numFmtId="0" fontId="0" fillId="3" borderId="64" xfId="0" applyFill="1" applyBorder="1" applyAlignment="1">
      <alignment horizontal="right"/>
    </xf>
    <xf numFmtId="0" fontId="0" fillId="7" borderId="24" xfId="0" applyFill="1" applyBorder="1" applyAlignment="1">
      <alignment horizontal="right"/>
    </xf>
    <xf numFmtId="0" fontId="0" fillId="7" borderId="63" xfId="0" applyFill="1" applyBorder="1" applyAlignment="1">
      <alignment horizontal="right"/>
    </xf>
    <xf numFmtId="0" fontId="0" fillId="7" borderId="36" xfId="0" applyFill="1" applyBorder="1" applyAlignment="1">
      <alignment horizontal="right"/>
    </xf>
    <xf numFmtId="0" fontId="0" fillId="7" borderId="64" xfId="0" applyFill="1" applyBorder="1" applyAlignment="1">
      <alignment horizontal="right"/>
    </xf>
    <xf numFmtId="165" fontId="25" fillId="0" borderId="49" xfId="2" applyNumberFormat="1" applyFont="1" applyBorder="1" applyAlignment="1">
      <alignment horizontal="right" indent="2"/>
    </xf>
    <xf numFmtId="165" fontId="25" fillId="0" borderId="52" xfId="2" applyNumberFormat="1" applyFont="1" applyBorder="1" applyAlignment="1">
      <alignment horizontal="right" indent="2"/>
    </xf>
    <xf numFmtId="0" fontId="0" fillId="3" borderId="138" xfId="0" applyFill="1" applyBorder="1"/>
    <xf numFmtId="0" fontId="0" fillId="3" borderId="88" xfId="0" applyFill="1" applyBorder="1"/>
    <xf numFmtId="0" fontId="0" fillId="3" borderId="25" xfId="0" applyFill="1" applyBorder="1"/>
    <xf numFmtId="3" fontId="0" fillId="0" borderId="0" xfId="2" applyNumberFormat="1" applyFont="1" applyAlignment="1">
      <alignment horizontal="right"/>
    </xf>
    <xf numFmtId="165" fontId="0" fillId="3" borderId="22" xfId="0" applyNumberFormat="1" applyFill="1" applyBorder="1" applyAlignment="1">
      <alignment horizontal="right"/>
    </xf>
    <xf numFmtId="165" fontId="0" fillId="3" borderId="22" xfId="0" applyNumberFormat="1" applyFill="1" applyBorder="1"/>
    <xf numFmtId="165" fontId="0" fillId="0" borderId="0" xfId="2" applyNumberFormat="1" applyFont="1" applyAlignment="1">
      <alignment horizontal="right"/>
    </xf>
    <xf numFmtId="165" fontId="0" fillId="0" borderId="11" xfId="2" applyNumberFormat="1" applyFont="1" applyBorder="1" applyAlignment="1">
      <alignment horizontal="right" indent="1"/>
    </xf>
    <xf numFmtId="3" fontId="0" fillId="3" borderId="22" xfId="0" applyNumberFormat="1" applyFill="1" applyBorder="1" applyAlignment="1">
      <alignment horizontal="right"/>
    </xf>
    <xf numFmtId="3" fontId="0" fillId="0" borderId="11" xfId="2" applyNumberFormat="1" applyFont="1" applyBorder="1" applyAlignment="1">
      <alignment horizontal="right" indent="1"/>
    </xf>
    <xf numFmtId="165" fontId="27" fillId="0" borderId="0" xfId="2" applyNumberFormat="1" applyFont="1" applyAlignment="1">
      <alignment horizontal="right" indent="2"/>
    </xf>
    <xf numFmtId="0" fontId="0" fillId="3" borderId="139" xfId="0" applyFill="1" applyBorder="1"/>
    <xf numFmtId="0" fontId="0" fillId="3" borderId="140" xfId="0" applyFill="1" applyBorder="1"/>
    <xf numFmtId="0" fontId="0" fillId="3" borderId="136" xfId="0" applyFill="1" applyBorder="1"/>
    <xf numFmtId="165" fontId="10" fillId="0" borderId="85" xfId="0" applyNumberFormat="1" applyFont="1" applyBorder="1" applyAlignment="1">
      <alignment horizontal="right" indent="2"/>
    </xf>
    <xf numFmtId="165" fontId="0" fillId="0" borderId="42" xfId="2" applyNumberFormat="1" applyFont="1" applyBorder="1" applyAlignment="1">
      <alignment horizontal="right" indent="2"/>
    </xf>
    <xf numFmtId="166" fontId="18" fillId="2" borderId="10" xfId="0" applyNumberFormat="1" applyFont="1" applyFill="1" applyBorder="1" applyAlignment="1">
      <alignment horizontal="right" vertical="center"/>
    </xf>
    <xf numFmtId="0" fontId="16" fillId="0" borderId="0" xfId="0" applyFont="1"/>
    <xf numFmtId="0" fontId="98" fillId="0" borderId="0" xfId="0" applyFont="1"/>
    <xf numFmtId="0" fontId="14" fillId="0" borderId="0" xfId="0" applyFont="1" applyAlignment="1">
      <alignment vertical="center"/>
    </xf>
    <xf numFmtId="174" fontId="153" fillId="0" borderId="0" xfId="1" applyNumberFormat="1" applyFont="1"/>
    <xf numFmtId="174" fontId="153" fillId="0" borderId="0" xfId="1" applyNumberFormat="1" applyFont="1" applyAlignment="1">
      <alignment horizontal="center"/>
    </xf>
    <xf numFmtId="174" fontId="156" fillId="0" borderId="0" xfId="1" applyNumberFormat="1" applyFont="1"/>
    <xf numFmtId="174" fontId="156" fillId="17" borderId="44" xfId="1" applyNumberFormat="1" applyFont="1" applyFill="1" applyBorder="1" applyAlignment="1">
      <alignment horizontal="center"/>
    </xf>
    <xf numFmtId="174" fontId="156" fillId="17" borderId="0" xfId="1" applyNumberFormat="1" applyFont="1" applyFill="1" applyAlignment="1">
      <alignment horizontal="center"/>
    </xf>
    <xf numFmtId="174" fontId="153" fillId="0" borderId="42" xfId="1" applyNumberFormat="1" applyFont="1" applyBorder="1" applyAlignment="1">
      <alignment horizontal="center"/>
    </xf>
    <xf numFmtId="174" fontId="153" fillId="0" borderId="53" xfId="1" applyNumberFormat="1" applyFont="1" applyBorder="1" applyAlignment="1">
      <alignment horizontal="center"/>
    </xf>
    <xf numFmtId="174" fontId="153" fillId="17" borderId="42" xfId="1" applyNumberFormat="1" applyFont="1" applyFill="1" applyBorder="1" applyAlignment="1">
      <alignment horizontal="center"/>
    </xf>
    <xf numFmtId="174" fontId="153" fillId="0" borderId="42" xfId="1" applyNumberFormat="1" applyFont="1" applyBorder="1" applyAlignment="1">
      <alignment horizontal="center" wrapText="1"/>
    </xf>
    <xf numFmtId="174" fontId="153" fillId="0" borderId="38" xfId="1" applyNumberFormat="1" applyFont="1" applyBorder="1" applyAlignment="1">
      <alignment horizontal="center"/>
    </xf>
    <xf numFmtId="174" fontId="157" fillId="0" borderId="0" xfId="1" applyNumberFormat="1" applyFont="1" applyAlignment="1">
      <alignment horizontal="center" wrapText="1"/>
    </xf>
    <xf numFmtId="174" fontId="157" fillId="17" borderId="0" xfId="1" applyNumberFormat="1" applyFont="1" applyFill="1" applyAlignment="1">
      <alignment horizontal="center" wrapText="1"/>
    </xf>
    <xf numFmtId="174" fontId="153" fillId="0" borderId="0" xfId="1" applyNumberFormat="1" applyFont="1" applyAlignment="1">
      <alignment horizontal="right"/>
    </xf>
    <xf numFmtId="174" fontId="153" fillId="0" borderId="18" xfId="1" applyNumberFormat="1" applyFont="1" applyBorder="1" applyAlignment="1">
      <alignment horizontal="right"/>
    </xf>
    <xf numFmtId="174" fontId="153" fillId="17" borderId="0" xfId="1" applyNumberFormat="1" applyFont="1" applyFill="1" applyAlignment="1">
      <alignment horizontal="right"/>
    </xf>
    <xf numFmtId="174" fontId="153" fillId="35" borderId="0" xfId="1" applyNumberFormat="1" applyFont="1" applyFill="1" applyAlignment="1">
      <alignment horizontal="right"/>
    </xf>
    <xf numFmtId="174" fontId="153" fillId="0" borderId="18" xfId="1" applyNumberFormat="1" applyFont="1" applyBorder="1"/>
    <xf numFmtId="174" fontId="153" fillId="35" borderId="0" xfId="1" applyNumberFormat="1" applyFont="1" applyFill="1"/>
    <xf numFmtId="174" fontId="153" fillId="35" borderId="18" xfId="1" applyNumberFormat="1" applyFont="1" applyFill="1" applyBorder="1"/>
    <xf numFmtId="174" fontId="153" fillId="35" borderId="0" xfId="1" applyNumberFormat="1" applyFont="1" applyFill="1" applyAlignment="1">
      <alignment horizontal="center"/>
    </xf>
    <xf numFmtId="174" fontId="153" fillId="33" borderId="0" xfId="1" applyNumberFormat="1" applyFont="1" applyFill="1"/>
    <xf numFmtId="174" fontId="153" fillId="33" borderId="0" xfId="1" applyNumberFormat="1" applyFont="1" applyFill="1" applyAlignment="1">
      <alignment horizontal="right"/>
    </xf>
    <xf numFmtId="174" fontId="153" fillId="33" borderId="18" xfId="1" applyNumberFormat="1" applyFont="1" applyFill="1" applyBorder="1" applyAlignment="1">
      <alignment horizontal="right"/>
    </xf>
    <xf numFmtId="174" fontId="153" fillId="0" borderId="18" xfId="1" applyNumberFormat="1" applyFont="1" applyBorder="1" applyAlignment="1">
      <alignment horizontal="center"/>
    </xf>
    <xf numFmtId="174" fontId="153" fillId="17" borderId="0" xfId="1" applyNumberFormat="1" applyFont="1" applyFill="1" applyAlignment="1">
      <alignment horizontal="center"/>
    </xf>
    <xf numFmtId="174" fontId="153" fillId="17" borderId="0" xfId="1" applyNumberFormat="1" applyFont="1" applyFill="1"/>
    <xf numFmtId="174" fontId="157" fillId="0" borderId="0" xfId="1" applyNumberFormat="1" applyFont="1"/>
    <xf numFmtId="49" fontId="153" fillId="0" borderId="0" xfId="1" applyNumberFormat="1" applyFont="1"/>
    <xf numFmtId="49" fontId="155" fillId="17" borderId="0" xfId="1" applyNumberFormat="1" applyFont="1" applyFill="1" applyAlignment="1">
      <alignment horizontal="center"/>
    </xf>
    <xf numFmtId="49" fontId="153" fillId="0" borderId="0" xfId="1" applyNumberFormat="1" applyFont="1" applyAlignment="1">
      <alignment horizontal="center"/>
    </xf>
    <xf numFmtId="174" fontId="153" fillId="15" borderId="0" xfId="1" applyNumberFormat="1" applyFont="1" applyFill="1" applyAlignment="1">
      <alignment horizontal="right"/>
    </xf>
    <xf numFmtId="174" fontId="153" fillId="36" borderId="0" xfId="1" applyNumberFormat="1" applyFont="1" applyFill="1"/>
    <xf numFmtId="174" fontId="153" fillId="15" borderId="0" xfId="1" applyNumberFormat="1" applyFont="1" applyFill="1"/>
    <xf numFmtId="174" fontId="158" fillId="0" borderId="0" xfId="1" applyNumberFormat="1" applyFont="1"/>
    <xf numFmtId="49" fontId="155" fillId="34" borderId="0" xfId="1" applyNumberFormat="1" applyFont="1" applyFill="1"/>
    <xf numFmtId="174" fontId="156" fillId="0" borderId="44" xfId="1" applyNumberFormat="1" applyFont="1" applyBorder="1"/>
    <xf numFmtId="174" fontId="153" fillId="0" borderId="53" xfId="1" applyNumberFormat="1" applyFont="1" applyBorder="1"/>
    <xf numFmtId="0" fontId="11" fillId="0" borderId="18" xfId="0" applyFont="1" applyBorder="1" applyAlignment="1">
      <alignment horizontal="center" vertical="center" textRotation="90" wrapText="1"/>
    </xf>
    <xf numFmtId="3" fontId="0" fillId="0" borderId="46" xfId="0" applyNumberFormat="1" applyBorder="1" applyAlignment="1">
      <alignment horizontal="right" indent="2"/>
    </xf>
    <xf numFmtId="3" fontId="0" fillId="0" borderId="24" xfId="0" applyNumberFormat="1" applyBorder="1" applyAlignment="1">
      <alignment horizontal="right" indent="2"/>
    </xf>
    <xf numFmtId="0" fontId="0" fillId="33" borderId="0" xfId="0" applyFill="1"/>
    <xf numFmtId="10" fontId="153" fillId="0" borderId="0" xfId="1" applyNumberFormat="1" applyFont="1" applyAlignment="1">
      <alignment horizontal="center"/>
    </xf>
    <xf numFmtId="0" fontId="7" fillId="4" borderId="0" xfId="0" applyFont="1" applyFill="1" applyAlignment="1">
      <alignment horizontal="left"/>
    </xf>
    <xf numFmtId="0" fontId="8" fillId="4" borderId="0" xfId="0" applyFont="1" applyFill="1" applyAlignment="1">
      <alignment horizontal="center"/>
    </xf>
    <xf numFmtId="0" fontId="0" fillId="0" borderId="53" xfId="0" applyBorder="1" applyAlignment="1">
      <alignment horizontal="center"/>
    </xf>
    <xf numFmtId="0" fontId="0" fillId="0" borderId="42" xfId="0" applyBorder="1" applyAlignment="1">
      <alignment horizontal="center"/>
    </xf>
    <xf numFmtId="0" fontId="0" fillId="0" borderId="38" xfId="0" applyBorder="1" applyAlignment="1">
      <alignment horizontal="center"/>
    </xf>
    <xf numFmtId="0" fontId="4" fillId="0" borderId="3" xfId="3" applyBorder="1" applyAlignment="1">
      <alignment horizontal="center" vertical="center" wrapText="1"/>
    </xf>
    <xf numFmtId="0" fontId="0" fillId="0" borderId="17" xfId="0" applyBorder="1" applyAlignment="1">
      <alignment vertical="center" wrapText="1"/>
    </xf>
    <xf numFmtId="0" fontId="0" fillId="0" borderId="6" xfId="0" applyBorder="1" applyAlignment="1">
      <alignment vertical="center"/>
    </xf>
    <xf numFmtId="0" fontId="0" fillId="0" borderId="12" xfId="0" applyBorder="1" applyAlignment="1">
      <alignment vertical="center"/>
    </xf>
    <xf numFmtId="0" fontId="0" fillId="0" borderId="16" xfId="0" applyBorder="1" applyAlignment="1">
      <alignment vertical="center" wrapText="1"/>
    </xf>
    <xf numFmtId="3" fontId="3" fillId="0" borderId="85" xfId="0" applyNumberFormat="1" applyFont="1" applyBorder="1" applyAlignment="1">
      <alignment horizontal="right" indent="2"/>
    </xf>
    <xf numFmtId="177" fontId="0" fillId="0" borderId="10" xfId="0" applyNumberFormat="1" applyBorder="1"/>
    <xf numFmtId="3" fontId="3" fillId="0" borderId="31" xfId="0" applyNumberFormat="1" applyFont="1" applyBorder="1" applyAlignment="1">
      <alignment horizontal="right" indent="2"/>
    </xf>
    <xf numFmtId="4" fontId="0" fillId="0" borderId="7" xfId="0" applyNumberFormat="1" applyBorder="1"/>
    <xf numFmtId="3" fontId="0" fillId="0" borderId="18" xfId="0" applyNumberFormat="1" applyBorder="1" applyAlignment="1">
      <alignment horizontal="right" vertical="center" wrapText="1"/>
    </xf>
    <xf numFmtId="3" fontId="2" fillId="32" borderId="25" xfId="0" applyNumberFormat="1" applyFont="1" applyFill="1" applyBorder="1" applyAlignment="1">
      <alignment horizontal="right" indent="2"/>
    </xf>
    <xf numFmtId="165" fontId="30" fillId="32" borderId="9" xfId="2" applyNumberFormat="1" applyFont="1" applyFill="1" applyBorder="1" applyAlignment="1">
      <alignment horizontal="right" indent="2"/>
    </xf>
    <xf numFmtId="165" fontId="55" fillId="0" borderId="38" xfId="2" applyNumberFormat="1" applyFont="1" applyBorder="1" applyAlignment="1">
      <alignment horizontal="right" indent="2"/>
    </xf>
    <xf numFmtId="3" fontId="0" fillId="0" borderId="87" xfId="0" applyNumberFormat="1" applyBorder="1" applyAlignment="1">
      <alignment horizontal="right" indent="2"/>
    </xf>
    <xf numFmtId="0" fontId="1" fillId="4" borderId="5" xfId="3" applyFont="1" applyFill="1" applyBorder="1" applyAlignment="1">
      <alignment horizontal="center" vertical="center" wrapText="1"/>
    </xf>
    <xf numFmtId="0" fontId="38" fillId="32" borderId="4" xfId="0" applyFont="1" applyFill="1" applyBorder="1" applyAlignment="1">
      <alignment horizontal="center" vertical="center" wrapText="1"/>
    </xf>
    <xf numFmtId="3" fontId="2" fillId="6" borderId="62" xfId="0" applyNumberFormat="1" applyFont="1" applyFill="1" applyBorder="1" applyAlignment="1">
      <alignment horizontal="right" indent="2"/>
    </xf>
    <xf numFmtId="3" fontId="0" fillId="6" borderId="49" xfId="0" applyNumberFormat="1" applyFill="1" applyBorder="1" applyAlignment="1">
      <alignment horizontal="right" indent="2"/>
    </xf>
    <xf numFmtId="3" fontId="2" fillId="6" borderId="28" xfId="0" applyNumberFormat="1" applyFont="1" applyFill="1" applyBorder="1" applyAlignment="1">
      <alignment horizontal="right" indent="2"/>
    </xf>
    <xf numFmtId="3" fontId="0" fillId="0" borderId="18" xfId="0" applyNumberFormat="1" applyBorder="1" applyAlignment="1">
      <alignment horizontal="left" indent="2"/>
    </xf>
    <xf numFmtId="3" fontId="2" fillId="32" borderId="48" xfId="0" applyNumberFormat="1" applyFont="1" applyFill="1" applyBorder="1" applyAlignment="1">
      <alignment horizontal="right" indent="2"/>
    </xf>
    <xf numFmtId="3" fontId="0" fillId="32" borderId="31" xfId="0" applyNumberFormat="1" applyFill="1" applyBorder="1" applyAlignment="1">
      <alignment horizontal="right" indent="2"/>
    </xf>
    <xf numFmtId="3" fontId="2" fillId="32" borderId="31" xfId="0" applyNumberFormat="1" applyFont="1" applyFill="1" applyBorder="1" applyAlignment="1">
      <alignment horizontal="right" indent="2"/>
    </xf>
    <xf numFmtId="0" fontId="3" fillId="4" borderId="62" xfId="0" applyFont="1" applyFill="1" applyBorder="1" applyAlignment="1">
      <alignment horizontal="right"/>
    </xf>
    <xf numFmtId="0" fontId="3" fillId="4" borderId="22" xfId="0" applyFont="1" applyFill="1" applyBorder="1" applyAlignment="1">
      <alignment horizontal="right"/>
    </xf>
    <xf numFmtId="3" fontId="0" fillId="0" borderId="52" xfId="0" applyNumberFormat="1" applyBorder="1" applyAlignment="1">
      <alignment horizontal="left" vertical="center" wrapText="1"/>
    </xf>
    <xf numFmtId="3" fontId="2" fillId="4" borderId="37" xfId="0" applyNumberFormat="1" applyFont="1" applyFill="1" applyBorder="1" applyAlignment="1">
      <alignment horizontal="right" indent="2"/>
    </xf>
    <xf numFmtId="165" fontId="19" fillId="0" borderId="31" xfId="2" applyNumberFormat="1" applyFont="1" applyBorder="1" applyAlignment="1">
      <alignment horizontal="right" indent="2"/>
    </xf>
    <xf numFmtId="165" fontId="0" fillId="6" borderId="24" xfId="0" applyNumberFormat="1" applyFill="1" applyBorder="1" applyAlignment="1">
      <alignment horizontal="right" indent="2"/>
    </xf>
    <xf numFmtId="165" fontId="0" fillId="6" borderId="51" xfId="0" applyNumberFormat="1" applyFill="1" applyBorder="1" applyAlignment="1">
      <alignment horizontal="right" indent="2"/>
    </xf>
    <xf numFmtId="3" fontId="0" fillId="7" borderId="0" xfId="0" applyNumberFormat="1" applyFill="1" applyAlignment="1">
      <alignment horizontal="right" indent="2"/>
    </xf>
    <xf numFmtId="0" fontId="0" fillId="0" borderId="12" xfId="0" applyBorder="1" applyAlignment="1">
      <alignment horizontal="center" vertical="center" wrapText="1"/>
    </xf>
    <xf numFmtId="3" fontId="0" fillId="0" borderId="43" xfId="0" applyNumberFormat="1" applyBorder="1" applyAlignment="1">
      <alignment horizontal="right" vertical="center" wrapText="1" indent="2"/>
    </xf>
    <xf numFmtId="3" fontId="0" fillId="0" borderId="19" xfId="0" applyNumberFormat="1" applyBorder="1" applyAlignment="1">
      <alignment horizontal="center"/>
    </xf>
    <xf numFmtId="165" fontId="49" fillId="0" borderId="53" xfId="2" applyNumberFormat="1" applyFont="1" applyBorder="1" applyAlignment="1">
      <alignment horizontal="center" vertical="center" wrapText="1"/>
    </xf>
    <xf numFmtId="165" fontId="49" fillId="0" borderId="42" xfId="2" applyNumberFormat="1" applyFont="1" applyBorder="1" applyAlignment="1">
      <alignment horizontal="right" indent="2"/>
    </xf>
    <xf numFmtId="165" fontId="49" fillId="0" borderId="38" xfId="2" applyNumberFormat="1" applyFont="1" applyBorder="1" applyAlignment="1">
      <alignment horizontal="center" vertical="center" wrapText="1"/>
    </xf>
    <xf numFmtId="165" fontId="9" fillId="0" borderId="16" xfId="0" applyNumberFormat="1" applyFont="1" applyBorder="1" applyAlignment="1">
      <alignment horizontal="left" indent="2"/>
    </xf>
    <xf numFmtId="3" fontId="0" fillId="0" borderId="33" xfId="0" applyNumberFormat="1" applyBorder="1" applyAlignment="1">
      <alignment horizontal="right" indent="2"/>
    </xf>
    <xf numFmtId="3" fontId="0" fillId="0" borderId="43" xfId="0" applyNumberFormat="1" applyBorder="1" applyAlignment="1">
      <alignment wrapText="1"/>
    </xf>
    <xf numFmtId="3" fontId="0" fillId="0" borderId="44" xfId="0" applyNumberFormat="1" applyBorder="1" applyAlignment="1">
      <alignment wrapText="1"/>
    </xf>
    <xf numFmtId="3" fontId="0" fillId="4" borderId="18" xfId="0" applyNumberFormat="1" applyFill="1" applyBorder="1" applyAlignment="1">
      <alignment horizontal="right" vertical="center" wrapText="1" indent="2"/>
    </xf>
    <xf numFmtId="3" fontId="0" fillId="0" borderId="11" xfId="0" applyNumberFormat="1" applyBorder="1" applyAlignment="1">
      <alignment horizontal="left" vertical="center"/>
    </xf>
    <xf numFmtId="3" fontId="0" fillId="0" borderId="84" xfId="0" applyNumberFormat="1" applyBorder="1" applyAlignment="1">
      <alignment horizontal="right" vertical="center" wrapText="1" indent="2"/>
    </xf>
    <xf numFmtId="3" fontId="0" fillId="7" borderId="15" xfId="0" applyNumberFormat="1" applyFill="1" applyBorder="1"/>
    <xf numFmtId="3" fontId="0" fillId="7" borderId="8" xfId="0" applyNumberFormat="1" applyFill="1" applyBorder="1" applyAlignment="1">
      <alignment horizontal="right" vertical="center" wrapText="1" indent="2"/>
    </xf>
    <xf numFmtId="3" fontId="0" fillId="7" borderId="41" xfId="0" applyNumberFormat="1" applyFill="1" applyBorder="1" applyAlignment="1">
      <alignment horizontal="right" vertical="center" wrapText="1" indent="2"/>
    </xf>
    <xf numFmtId="165" fontId="15" fillId="6" borderId="24" xfId="2" applyNumberFormat="1" applyFont="1" applyFill="1" applyBorder="1" applyAlignment="1">
      <alignment horizontal="right" indent="2"/>
    </xf>
    <xf numFmtId="165" fontId="15" fillId="6" borderId="51" xfId="2" applyNumberFormat="1" applyFont="1" applyFill="1" applyBorder="1" applyAlignment="1">
      <alignment horizontal="right" indent="2"/>
    </xf>
    <xf numFmtId="165" fontId="15" fillId="6" borderId="21" xfId="2" applyNumberFormat="1" applyFont="1" applyFill="1" applyBorder="1" applyAlignment="1">
      <alignment horizontal="right" indent="2"/>
    </xf>
    <xf numFmtId="165" fontId="15" fillId="6" borderId="22" xfId="2" applyNumberFormat="1" applyFont="1" applyFill="1" applyBorder="1" applyAlignment="1">
      <alignment horizontal="right" indent="2"/>
    </xf>
    <xf numFmtId="3" fontId="9" fillId="6" borderId="22" xfId="0" applyNumberFormat="1" applyFont="1" applyFill="1" applyBorder="1" applyAlignment="1">
      <alignment horizontal="right" indent="2"/>
    </xf>
    <xf numFmtId="165" fontId="15" fillId="0" borderId="0" xfId="2" applyNumberFormat="1" applyFont="1" applyAlignment="1">
      <alignment horizontal="right"/>
    </xf>
    <xf numFmtId="165" fontId="15" fillId="0" borderId="0" xfId="2" applyNumberFormat="1" applyFont="1" applyAlignment="1">
      <alignment horizontal="left"/>
    </xf>
    <xf numFmtId="165" fontId="9" fillId="0" borderId="9" xfId="2" applyNumberFormat="1" applyFont="1" applyBorder="1" applyAlignment="1">
      <alignment horizontal="right"/>
    </xf>
    <xf numFmtId="165" fontId="9" fillId="6" borderId="34" xfId="2" applyNumberFormat="1" applyFont="1" applyFill="1" applyBorder="1" applyAlignment="1">
      <alignment horizontal="right" indent="2"/>
    </xf>
    <xf numFmtId="165" fontId="1" fillId="6" borderId="24" xfId="2" applyNumberFormat="1" applyFill="1" applyBorder="1" applyAlignment="1">
      <alignment horizontal="right" indent="2"/>
    </xf>
    <xf numFmtId="165" fontId="1" fillId="6" borderId="51" xfId="2" applyNumberFormat="1" applyFill="1" applyBorder="1" applyAlignment="1">
      <alignment horizontal="right" indent="2"/>
    </xf>
    <xf numFmtId="165" fontId="1" fillId="0" borderId="0" xfId="2" applyNumberFormat="1" applyAlignment="1">
      <alignment horizontal="right" indent="2"/>
    </xf>
    <xf numFmtId="165" fontId="1" fillId="0" borderId="11" xfId="2" applyNumberFormat="1" applyBorder="1" applyAlignment="1">
      <alignment horizontal="right" indent="2"/>
    </xf>
    <xf numFmtId="165" fontId="1" fillId="6" borderId="21" xfId="2" applyNumberFormat="1" applyFill="1" applyBorder="1" applyAlignment="1">
      <alignment horizontal="right" indent="2"/>
    </xf>
    <xf numFmtId="165" fontId="1" fillId="0" borderId="19" xfId="2" applyNumberFormat="1" applyBorder="1" applyAlignment="1">
      <alignment horizontal="right" indent="2"/>
    </xf>
    <xf numFmtId="165" fontId="1" fillId="6" borderId="63" xfId="2" applyNumberFormat="1" applyFill="1" applyBorder="1" applyAlignment="1">
      <alignment horizontal="right" indent="2"/>
    </xf>
    <xf numFmtId="0" fontId="0" fillId="6" borderId="17" xfId="0" applyFill="1" applyBorder="1" applyAlignment="1">
      <alignment vertical="center" wrapText="1"/>
    </xf>
    <xf numFmtId="174" fontId="0" fillId="6" borderId="6" xfId="1" applyNumberFormat="1" applyFont="1" applyFill="1" applyBorder="1" applyAlignment="1">
      <alignment vertical="center" wrapText="1"/>
    </xf>
    <xf numFmtId="3" fontId="3" fillId="6" borderId="41" xfId="0" applyNumberFormat="1" applyFont="1" applyFill="1" applyBorder="1" applyAlignment="1">
      <alignment horizontal="right" indent="2"/>
    </xf>
    <xf numFmtId="10" fontId="0" fillId="0" borderId="7" xfId="2" applyNumberFormat="1" applyFont="1" applyBorder="1"/>
    <xf numFmtId="3" fontId="16" fillId="4" borderId="49" xfId="0" applyNumberFormat="1" applyFont="1" applyFill="1" applyBorder="1" applyAlignment="1">
      <alignment horizontal="right" indent="2"/>
    </xf>
    <xf numFmtId="3" fontId="16" fillId="4" borderId="50" xfId="0" applyNumberFormat="1" applyFont="1" applyFill="1" applyBorder="1" applyAlignment="1">
      <alignment horizontal="right" indent="2"/>
    </xf>
    <xf numFmtId="3" fontId="56" fillId="4" borderId="25" xfId="0" applyNumberFormat="1" applyFont="1" applyFill="1" applyBorder="1" applyAlignment="1">
      <alignment horizontal="right" indent="2"/>
    </xf>
    <xf numFmtId="165" fontId="55" fillId="0" borderId="33" xfId="2" applyNumberFormat="1" applyFont="1" applyBorder="1" applyAlignment="1">
      <alignment horizontal="right" indent="2"/>
    </xf>
    <xf numFmtId="165" fontId="55" fillId="0" borderId="41" xfId="2" applyNumberFormat="1" applyFont="1" applyBorder="1" applyAlignment="1">
      <alignment horizontal="right" indent="2"/>
    </xf>
    <xf numFmtId="3" fontId="0" fillId="0" borderId="3" xfId="0" applyNumberFormat="1" applyBorder="1" applyAlignment="1">
      <alignment horizontal="right" indent="2"/>
    </xf>
    <xf numFmtId="3" fontId="56" fillId="0" borderId="38" xfId="0" applyNumberFormat="1" applyFont="1" applyBorder="1" applyAlignment="1">
      <alignment horizontal="right" indent="2"/>
    </xf>
    <xf numFmtId="3" fontId="56" fillId="0" borderId="16" xfId="0" applyNumberFormat="1" applyFont="1" applyBorder="1" applyAlignment="1">
      <alignment horizontal="right" indent="2"/>
    </xf>
    <xf numFmtId="3" fontId="56" fillId="4" borderId="69" xfId="0" applyNumberFormat="1" applyFont="1" applyFill="1" applyBorder="1" applyAlignment="1">
      <alignment horizontal="right" indent="2"/>
    </xf>
    <xf numFmtId="3" fontId="0" fillId="4" borderId="97" xfId="0" applyNumberFormat="1" applyFill="1" applyBorder="1" applyAlignment="1">
      <alignment horizontal="right" indent="2"/>
    </xf>
    <xf numFmtId="3" fontId="0" fillId="6" borderId="15" xfId="0" applyNumberFormat="1" applyFill="1" applyBorder="1" applyAlignment="1">
      <alignment horizontal="left" indent="2"/>
    </xf>
    <xf numFmtId="3" fontId="56" fillId="6" borderId="25" xfId="0" applyNumberFormat="1" applyFont="1" applyFill="1" applyBorder="1" applyAlignment="1">
      <alignment horizontal="right" indent="2"/>
    </xf>
    <xf numFmtId="3" fontId="26" fillId="6" borderId="147" xfId="2" applyNumberFormat="1" applyFont="1" applyFill="1" applyBorder="1" applyAlignment="1">
      <alignment horizontal="right" indent="2"/>
    </xf>
    <xf numFmtId="165" fontId="0" fillId="6" borderId="148" xfId="0" applyNumberFormat="1" applyFill="1" applyBorder="1"/>
    <xf numFmtId="165" fontId="0" fillId="6" borderId="8" xfId="0" applyNumberFormat="1" applyFill="1" applyBorder="1" applyAlignment="1">
      <alignment horizontal="right" indent="2"/>
    </xf>
    <xf numFmtId="165" fontId="0" fillId="0" borderId="11" xfId="0" applyNumberFormat="1" applyBorder="1" applyAlignment="1">
      <alignment horizontal="right" indent="2"/>
    </xf>
    <xf numFmtId="3" fontId="0" fillId="6" borderId="148" xfId="0" applyNumberFormat="1" applyFill="1" applyBorder="1" applyAlignment="1">
      <alignment horizontal="right" indent="2"/>
    </xf>
    <xf numFmtId="165" fontId="27" fillId="6" borderId="148" xfId="0" applyNumberFormat="1" applyFont="1" applyFill="1" applyBorder="1" applyAlignment="1">
      <alignment horizontal="right" indent="2"/>
    </xf>
    <xf numFmtId="165" fontId="26" fillId="6" borderId="149" xfId="2" applyNumberFormat="1" applyFont="1" applyFill="1" applyBorder="1" applyAlignment="1">
      <alignment horizontal="right" indent="4"/>
    </xf>
    <xf numFmtId="0" fontId="16" fillId="4" borderId="6" xfId="0" applyFont="1" applyFill="1" applyBorder="1" applyAlignment="1">
      <alignment horizontal="right"/>
    </xf>
    <xf numFmtId="0" fontId="12" fillId="0" borderId="53" xfId="0" applyFont="1" applyBorder="1" applyAlignment="1">
      <alignment horizontal="center" vertical="center" wrapText="1"/>
    </xf>
    <xf numFmtId="0" fontId="12" fillId="0" borderId="42" xfId="0" applyFont="1" applyBorder="1" applyAlignment="1">
      <alignment horizontal="center" vertical="center" wrapText="1"/>
    </xf>
    <xf numFmtId="3" fontId="29" fillId="0" borderId="0" xfId="0" applyNumberFormat="1" applyFont="1" applyAlignment="1">
      <alignment vertical="center" wrapText="1"/>
    </xf>
    <xf numFmtId="3" fontId="0" fillId="0" borderId="69" xfId="0" applyNumberFormat="1" applyBorder="1" applyAlignment="1">
      <alignment horizontal="left"/>
    </xf>
    <xf numFmtId="3" fontId="3" fillId="0" borderId="70" xfId="0" applyNumberFormat="1" applyFont="1" applyBorder="1" applyAlignment="1">
      <alignment horizontal="right" vertical="center" wrapText="1" indent="2"/>
    </xf>
    <xf numFmtId="3" fontId="0" fillId="0" borderId="12" xfId="0" applyNumberFormat="1" applyBorder="1" applyAlignment="1">
      <alignment horizontal="left"/>
    </xf>
    <xf numFmtId="3" fontId="0" fillId="4" borderId="150" xfId="0" applyNumberFormat="1" applyFill="1" applyBorder="1" applyAlignment="1">
      <alignment horizontal="right" indent="2"/>
    </xf>
    <xf numFmtId="3" fontId="57" fillId="4" borderId="21" xfId="0" applyNumberFormat="1" applyFont="1" applyFill="1" applyBorder="1" applyAlignment="1">
      <alignment horizontal="right" vertical="center" wrapText="1" indent="2"/>
    </xf>
    <xf numFmtId="3" fontId="0" fillId="4" borderId="79" xfId="0" applyNumberFormat="1" applyFill="1" applyBorder="1" applyAlignment="1">
      <alignment horizontal="center" vertical="center" wrapText="1"/>
    </xf>
    <xf numFmtId="3" fontId="3" fillId="4" borderId="63" xfId="0" applyNumberFormat="1" applyFont="1" applyFill="1" applyBorder="1" applyAlignment="1">
      <alignment horizontal="right" vertical="center" wrapText="1"/>
    </xf>
    <xf numFmtId="3" fontId="16" fillId="4" borderId="63" xfId="0" applyNumberFormat="1" applyFont="1" applyFill="1" applyBorder="1" applyAlignment="1">
      <alignment horizontal="right" vertical="center" wrapText="1"/>
    </xf>
    <xf numFmtId="3" fontId="0" fillId="4" borderId="63" xfId="0" applyNumberFormat="1" applyFill="1" applyBorder="1" applyAlignment="1">
      <alignment horizontal="right" vertical="center" wrapText="1"/>
    </xf>
    <xf numFmtId="3" fontId="3" fillId="4" borderId="63" xfId="0" applyNumberFormat="1" applyFont="1" applyFill="1" applyBorder="1" applyAlignment="1">
      <alignment horizontal="right" vertical="center"/>
    </xf>
    <xf numFmtId="3" fontId="16" fillId="4" borderId="63" xfId="0" applyNumberFormat="1" applyFont="1" applyFill="1" applyBorder="1" applyAlignment="1">
      <alignment horizontal="right" vertical="center"/>
    </xf>
    <xf numFmtId="3" fontId="16" fillId="4" borderId="64" xfId="0" applyNumberFormat="1" applyFont="1" applyFill="1" applyBorder="1" applyAlignment="1">
      <alignment horizontal="right" vertical="center" wrapText="1"/>
    </xf>
    <xf numFmtId="3" fontId="0" fillId="0" borderId="71" xfId="0" applyNumberFormat="1" applyBorder="1"/>
    <xf numFmtId="3" fontId="0" fillId="4" borderId="63" xfId="0" applyNumberFormat="1" applyFill="1" applyBorder="1" applyAlignment="1">
      <alignment horizontal="right" vertical="center" wrapText="1" indent="2"/>
    </xf>
    <xf numFmtId="3" fontId="3" fillId="4" borderId="63" xfId="0" applyNumberFormat="1" applyFont="1" applyFill="1" applyBorder="1" applyAlignment="1">
      <alignment horizontal="right" indent="2"/>
    </xf>
    <xf numFmtId="3" fontId="87" fillId="4" borderId="63" xfId="0" applyNumberFormat="1" applyFont="1" applyFill="1" applyBorder="1" applyAlignment="1">
      <alignment horizontal="right" indent="2"/>
    </xf>
    <xf numFmtId="3" fontId="35" fillId="0" borderId="44" xfId="3" applyNumberFormat="1" applyFont="1" applyBorder="1" applyAlignment="1">
      <alignment horizontal="right" wrapText="1" indent="2"/>
    </xf>
    <xf numFmtId="3" fontId="0" fillId="0" borderId="43" xfId="0" applyNumberFormat="1" applyBorder="1" applyAlignment="1">
      <alignment horizontal="center" vertical="center" wrapText="1"/>
    </xf>
    <xf numFmtId="3" fontId="67" fillId="4" borderId="36" xfId="0" applyNumberFormat="1" applyFont="1" applyFill="1" applyBorder="1" applyAlignment="1">
      <alignment vertical="center"/>
    </xf>
    <xf numFmtId="3" fontId="67" fillId="4" borderId="37" xfId="0" applyNumberFormat="1" applyFont="1" applyFill="1" applyBorder="1" applyAlignment="1">
      <alignment vertical="center"/>
    </xf>
    <xf numFmtId="165" fontId="110" fillId="0" borderId="0" xfId="0" applyNumberFormat="1" applyFont="1" applyAlignment="1">
      <alignment horizontal="right" indent="2"/>
    </xf>
    <xf numFmtId="3" fontId="9" fillId="6" borderId="62" xfId="2" applyNumberFormat="1" applyFont="1" applyFill="1" applyBorder="1" applyAlignment="1">
      <alignment horizontal="right" indent="2"/>
    </xf>
    <xf numFmtId="3" fontId="12" fillId="6" borderId="17" xfId="2" applyNumberFormat="1" applyFont="1" applyFill="1" applyBorder="1" applyAlignment="1">
      <alignment horizontal="right" indent="2"/>
    </xf>
    <xf numFmtId="3" fontId="12" fillId="6" borderId="65" xfId="2" applyNumberFormat="1" applyFont="1" applyFill="1" applyBorder="1" applyAlignment="1">
      <alignment horizontal="right" indent="2"/>
    </xf>
    <xf numFmtId="3" fontId="12" fillId="0" borderId="0" xfId="2" applyNumberFormat="1" applyFont="1" applyAlignment="1">
      <alignment horizontal="right" indent="2"/>
    </xf>
    <xf numFmtId="3" fontId="12" fillId="0" borderId="11" xfId="2" applyNumberFormat="1" applyFont="1" applyBorder="1" applyAlignment="1">
      <alignment horizontal="right" indent="2"/>
    </xf>
    <xf numFmtId="3" fontId="12" fillId="0" borderId="19" xfId="2" applyNumberFormat="1" applyFont="1" applyBorder="1" applyAlignment="1">
      <alignment horizontal="right" indent="2"/>
    </xf>
    <xf numFmtId="3" fontId="12" fillId="6" borderId="79" xfId="2" applyNumberFormat="1" applyFont="1" applyFill="1" applyBorder="1" applyAlignment="1">
      <alignment horizontal="right" indent="2"/>
    </xf>
    <xf numFmtId="165" fontId="31" fillId="0" borderId="5" xfId="2" applyNumberFormat="1" applyFont="1" applyBorder="1" applyAlignment="1">
      <alignment horizontal="center" vertical="center" wrapText="1"/>
    </xf>
    <xf numFmtId="165" fontId="3" fillId="4" borderId="7" xfId="2" applyNumberFormat="1" applyFont="1" applyFill="1" applyBorder="1" applyAlignment="1">
      <alignment horizontal="center" vertical="center"/>
    </xf>
    <xf numFmtId="165" fontId="0" fillId="4" borderId="5" xfId="2" quotePrefix="1" applyNumberFormat="1" applyFont="1" applyFill="1" applyBorder="1" applyAlignment="1">
      <alignment horizontal="center" vertical="center"/>
    </xf>
    <xf numFmtId="165" fontId="12" fillId="0" borderId="4" xfId="2" applyNumberFormat="1" applyFont="1" applyBorder="1" applyAlignment="1">
      <alignment horizontal="center"/>
    </xf>
    <xf numFmtId="165" fontId="12" fillId="0" borderId="16" xfId="2" applyNumberFormat="1" applyFont="1" applyBorder="1" applyAlignment="1">
      <alignment horizontal="center" vertical="center" wrapText="1"/>
    </xf>
    <xf numFmtId="165" fontId="9" fillId="0" borderId="16" xfId="2" applyNumberFormat="1" applyFont="1" applyBorder="1" applyAlignment="1">
      <alignment vertical="center" wrapText="1"/>
    </xf>
    <xf numFmtId="165" fontId="9" fillId="0" borderId="4" xfId="2" applyNumberFormat="1" applyFont="1" applyBorder="1" applyAlignment="1">
      <alignment vertical="center" wrapText="1"/>
    </xf>
    <xf numFmtId="3" fontId="56" fillId="0" borderId="0" xfId="0" applyNumberFormat="1" applyFont="1" applyAlignment="1">
      <alignment horizontal="left" indent="2"/>
    </xf>
    <xf numFmtId="3" fontId="56" fillId="0" borderId="0" xfId="0" applyNumberFormat="1" applyFont="1" applyAlignment="1">
      <alignment horizontal="right" vertical="center" wrapText="1" indent="2"/>
    </xf>
    <xf numFmtId="0" fontId="56" fillId="0" borderId="10" xfId="0" applyFont="1" applyBorder="1"/>
    <xf numFmtId="3" fontId="56" fillId="4" borderId="18" xfId="0" applyNumberFormat="1" applyFont="1" applyFill="1" applyBorder="1" applyAlignment="1">
      <alignment horizontal="right" indent="2"/>
    </xf>
    <xf numFmtId="165" fontId="9" fillId="0" borderId="13" xfId="2" applyNumberFormat="1" applyFont="1" applyBorder="1" applyAlignment="1">
      <alignment horizontal="right" indent="2"/>
    </xf>
    <xf numFmtId="165" fontId="10" fillId="0" borderId="11" xfId="2" applyNumberFormat="1" applyFont="1" applyBorder="1" applyAlignment="1">
      <alignment horizontal="right" indent="2"/>
    </xf>
    <xf numFmtId="165" fontId="12" fillId="4" borderId="0" xfId="2" applyNumberFormat="1" applyFont="1" applyFill="1" applyAlignment="1">
      <alignment horizontal="left" vertical="top" wrapText="1"/>
    </xf>
    <xf numFmtId="0" fontId="6" fillId="4" borderId="0" xfId="4" applyFont="1" applyFill="1" applyAlignment="1">
      <alignment horizontal="center"/>
    </xf>
    <xf numFmtId="0" fontId="3" fillId="0" borderId="0" xfId="4" applyFont="1" applyAlignment="1">
      <alignment horizontal="center" vertical="center"/>
    </xf>
    <xf numFmtId="0" fontId="12" fillId="0" borderId="0" xfId="4" quotePrefix="1" applyFont="1" applyAlignment="1">
      <alignment horizontal="center" vertical="center"/>
    </xf>
    <xf numFmtId="0" fontId="12" fillId="0" borderId="0" xfId="4" applyFont="1" applyAlignment="1">
      <alignment horizontal="center" wrapText="1"/>
    </xf>
    <xf numFmtId="0" fontId="12" fillId="0" borderId="11" xfId="4" applyFont="1" applyBorder="1" applyAlignment="1">
      <alignment horizontal="center" vertical="center" wrapText="1"/>
    </xf>
    <xf numFmtId="0" fontId="5" fillId="0" borderId="5" xfId="4" applyFont="1" applyBorder="1" applyAlignment="1">
      <alignment horizontal="center" vertical="center" wrapText="1"/>
    </xf>
    <xf numFmtId="0" fontId="12" fillId="0" borderId="43" xfId="4" applyFont="1" applyBorder="1" applyAlignment="1">
      <alignment vertical="center" wrapText="1"/>
    </xf>
    <xf numFmtId="0" fontId="12" fillId="0" borderId="16" xfId="4" applyFont="1" applyBorder="1" applyAlignment="1">
      <alignment vertical="center" wrapText="1"/>
    </xf>
    <xf numFmtId="0" fontId="12" fillId="0" borderId="44" xfId="4" applyFont="1" applyBorder="1" applyAlignment="1">
      <alignment vertical="center" wrapText="1"/>
    </xf>
    <xf numFmtId="3" fontId="5" fillId="0" borderId="0" xfId="4" applyNumberFormat="1" applyFont="1" applyAlignment="1">
      <alignment horizontal="right" indent="2"/>
    </xf>
    <xf numFmtId="10" fontId="36" fillId="0" borderId="11" xfId="4" applyNumberFormat="1" applyFont="1" applyBorder="1"/>
    <xf numFmtId="10" fontId="36" fillId="0" borderId="38" xfId="4" applyNumberFormat="1" applyFont="1" applyBorder="1"/>
    <xf numFmtId="3" fontId="5" fillId="0" borderId="36" xfId="4" applyNumberFormat="1" applyFont="1" applyBorder="1" applyAlignment="1">
      <alignment horizontal="right" indent="2"/>
    </xf>
    <xf numFmtId="3" fontId="36" fillId="0" borderId="16" xfId="4" applyNumberFormat="1" applyFont="1" applyBorder="1"/>
    <xf numFmtId="3" fontId="83" fillId="0" borderId="0" xfId="4" applyNumberFormat="1" applyFont="1" applyAlignment="1">
      <alignment horizontal="right" indent="2"/>
    </xf>
    <xf numFmtId="3" fontId="12" fillId="0" borderId="43" xfId="4" applyNumberFormat="1" applyFont="1" applyBorder="1" applyAlignment="1">
      <alignment vertical="center" wrapText="1"/>
    </xf>
    <xf numFmtId="3" fontId="12" fillId="0" borderId="0" xfId="4" applyNumberFormat="1" applyFont="1" applyAlignment="1">
      <alignment horizontal="right" vertical="center" wrapText="1" indent="2"/>
    </xf>
    <xf numFmtId="3" fontId="12" fillId="0" borderId="44" xfId="4" applyNumberFormat="1" applyFont="1" applyBorder="1" applyAlignment="1">
      <alignment vertical="center" wrapText="1"/>
    </xf>
    <xf numFmtId="10" fontId="29" fillId="0" borderId="7" xfId="4" applyNumberFormat="1" applyFont="1" applyBorder="1"/>
    <xf numFmtId="0" fontId="12" fillId="0" borderId="4" xfId="4" applyFont="1" applyBorder="1" applyAlignment="1">
      <alignment vertical="center" wrapText="1"/>
    </xf>
    <xf numFmtId="3" fontId="12" fillId="0" borderId="0" xfId="4" applyNumberFormat="1" applyFont="1" applyAlignment="1">
      <alignment horizontal="center" vertical="center" wrapText="1"/>
    </xf>
    <xf numFmtId="3" fontId="12" fillId="4" borderId="0" xfId="4" applyNumberFormat="1" applyFont="1" applyFill="1" applyAlignment="1">
      <alignment horizontal="right" indent="2"/>
    </xf>
    <xf numFmtId="3" fontId="83" fillId="4" borderId="0" xfId="4" applyNumberFormat="1" applyFont="1" applyFill="1" applyAlignment="1">
      <alignment horizontal="right" indent="2"/>
    </xf>
    <xf numFmtId="3" fontId="54" fillId="0" borderId="0" xfId="4" applyNumberFormat="1" applyFont="1" applyAlignment="1">
      <alignment horizontal="right" vertical="center" wrapText="1" indent="2"/>
    </xf>
    <xf numFmtId="3" fontId="5" fillId="4" borderId="0" xfId="4" applyNumberFormat="1" applyFont="1" applyFill="1" applyAlignment="1">
      <alignment horizontal="right" indent="2"/>
    </xf>
    <xf numFmtId="3" fontId="40" fillId="4" borderId="0" xfId="4" applyNumberFormat="1" applyFont="1" applyFill="1" applyAlignment="1">
      <alignment horizontal="right" indent="2"/>
    </xf>
    <xf numFmtId="0" fontId="12" fillId="0" borderId="0" xfId="4" applyFont="1" applyAlignment="1">
      <alignment horizontal="center" vertical="center" wrapText="1"/>
    </xf>
    <xf numFmtId="3" fontId="70" fillId="0" borderId="44" xfId="4" applyNumberFormat="1" applyFont="1" applyBorder="1" applyAlignment="1">
      <alignment horizontal="right" indent="2"/>
    </xf>
    <xf numFmtId="3" fontId="70" fillId="7" borderId="43" xfId="4" applyNumberFormat="1" applyFont="1" applyFill="1" applyBorder="1" applyAlignment="1">
      <alignment horizontal="right" indent="2"/>
    </xf>
    <xf numFmtId="3" fontId="70" fillId="0" borderId="44" xfId="4" applyNumberFormat="1" applyFont="1" applyBorder="1"/>
    <xf numFmtId="0" fontId="70" fillId="0" borderId="16" xfId="4" applyFont="1" applyBorder="1" applyAlignment="1">
      <alignment horizontal="right"/>
    </xf>
    <xf numFmtId="0" fontId="70" fillId="0" borderId="5" xfId="4" applyFont="1" applyBorder="1"/>
    <xf numFmtId="3" fontId="40" fillId="0" borderId="0" xfId="4" applyNumberFormat="1" applyFont="1" applyAlignment="1">
      <alignment horizontal="right" indent="2"/>
    </xf>
    <xf numFmtId="3" fontId="40" fillId="7" borderId="18" xfId="4" applyNumberFormat="1" applyFont="1" applyFill="1" applyBorder="1" applyAlignment="1">
      <alignment horizontal="right" indent="2"/>
    </xf>
    <xf numFmtId="3" fontId="70" fillId="0" borderId="0" xfId="4" applyNumberFormat="1" applyFont="1" applyAlignment="1">
      <alignment horizontal="right" vertical="center" wrapText="1" indent="2"/>
    </xf>
    <xf numFmtId="0" fontId="70" fillId="0" borderId="11" xfId="4" applyFont="1" applyBorder="1" applyAlignment="1">
      <alignment horizontal="right"/>
    </xf>
    <xf numFmtId="0" fontId="70" fillId="0" borderId="10" xfId="4" applyFont="1" applyBorder="1"/>
    <xf numFmtId="3" fontId="70" fillId="0" borderId="0" xfId="4" applyNumberFormat="1" applyFont="1" applyAlignment="1">
      <alignment horizontal="right" indent="2"/>
    </xf>
    <xf numFmtId="3" fontId="70" fillId="7" borderId="18" xfId="4" applyNumberFormat="1" applyFont="1" applyFill="1" applyBorder="1" applyAlignment="1">
      <alignment horizontal="right" indent="2"/>
    </xf>
    <xf numFmtId="3" fontId="70" fillId="0" borderId="42" xfId="4" applyNumberFormat="1" applyFont="1" applyBorder="1" applyAlignment="1">
      <alignment horizontal="right" indent="2"/>
    </xf>
    <xf numFmtId="3" fontId="70" fillId="7" borderId="53" xfId="4" applyNumberFormat="1" applyFont="1" applyFill="1" applyBorder="1" applyAlignment="1">
      <alignment horizontal="right" indent="2"/>
    </xf>
    <xf numFmtId="3" fontId="70" fillId="0" borderId="42" xfId="4" applyNumberFormat="1" applyFont="1" applyBorder="1" applyAlignment="1">
      <alignment horizontal="right" vertical="center" wrapText="1" indent="2"/>
    </xf>
    <xf numFmtId="0" fontId="70" fillId="0" borderId="38" xfId="4" applyFont="1" applyBorder="1" applyAlignment="1">
      <alignment horizontal="right"/>
    </xf>
    <xf numFmtId="0" fontId="70" fillId="0" borderId="7" xfId="4" applyFont="1" applyBorder="1"/>
    <xf numFmtId="3" fontId="54" fillId="0" borderId="18" xfId="4" applyNumberFormat="1" applyFont="1" applyBorder="1" applyAlignment="1">
      <alignment horizontal="right" indent="2"/>
    </xf>
    <xf numFmtId="3" fontId="54" fillId="0" borderId="0" xfId="4" applyNumberFormat="1" applyFont="1" applyAlignment="1">
      <alignment horizontal="right" indent="2"/>
    </xf>
    <xf numFmtId="3" fontId="54" fillId="0" borderId="11" xfId="4" applyNumberFormat="1" applyFont="1" applyBorder="1" applyAlignment="1">
      <alignment horizontal="right" indent="2"/>
    </xf>
    <xf numFmtId="3" fontId="85" fillId="0" borderId="18" xfId="4" applyNumberFormat="1" applyFont="1" applyBorder="1" applyAlignment="1">
      <alignment horizontal="right" indent="2"/>
    </xf>
    <xf numFmtId="3" fontId="85" fillId="0" borderId="0" xfId="4" applyNumberFormat="1" applyFont="1" applyAlignment="1">
      <alignment horizontal="right" indent="2"/>
    </xf>
    <xf numFmtId="3" fontId="85" fillId="0" borderId="11" xfId="4" applyNumberFormat="1" applyFont="1" applyBorder="1" applyAlignment="1">
      <alignment horizontal="right" indent="2"/>
    </xf>
    <xf numFmtId="3" fontId="85" fillId="0" borderId="38" xfId="4" applyNumberFormat="1" applyFont="1" applyBorder="1" applyAlignment="1">
      <alignment horizontal="right" indent="2"/>
    </xf>
    <xf numFmtId="3" fontId="54" fillId="0" borderId="42" xfId="4" applyNumberFormat="1" applyFont="1" applyBorder="1" applyAlignment="1">
      <alignment horizontal="right" indent="2"/>
    </xf>
    <xf numFmtId="3" fontId="54" fillId="0" borderId="38" xfId="4" applyNumberFormat="1" applyFont="1" applyBorder="1" applyAlignment="1">
      <alignment horizontal="right" indent="2"/>
    </xf>
    <xf numFmtId="4" fontId="0" fillId="15" borderId="21" xfId="0" applyNumberFormat="1" applyFill="1" applyBorder="1" applyAlignment="1">
      <alignment horizontal="right" indent="2"/>
    </xf>
    <xf numFmtId="4" fontId="0" fillId="15" borderId="26" xfId="0" applyNumberFormat="1" applyFill="1" applyBorder="1" applyAlignment="1">
      <alignment horizontal="right" indent="2"/>
    </xf>
    <xf numFmtId="4" fontId="0" fillId="15" borderId="27" xfId="0" applyNumberFormat="1" applyFill="1" applyBorder="1" applyAlignment="1">
      <alignment horizontal="right" indent="2"/>
    </xf>
    <xf numFmtId="4" fontId="0" fillId="15" borderId="32" xfId="0" applyNumberFormat="1" applyFill="1" applyBorder="1" applyAlignment="1">
      <alignment horizontal="right" indent="2"/>
    </xf>
    <xf numFmtId="4" fontId="3" fillId="15" borderId="33" xfId="0" applyNumberFormat="1" applyFont="1" applyFill="1" applyBorder="1" applyAlignment="1">
      <alignment horizontal="right" indent="2"/>
    </xf>
    <xf numFmtId="4" fontId="3" fillId="15" borderId="39" xfId="0" applyNumberFormat="1" applyFont="1" applyFill="1" applyBorder="1" applyAlignment="1">
      <alignment horizontal="right" indent="2"/>
    </xf>
    <xf numFmtId="4" fontId="3" fillId="15" borderId="36" xfId="0" applyNumberFormat="1" applyFont="1" applyFill="1" applyBorder="1" applyAlignment="1">
      <alignment horizontal="right" indent="2"/>
    </xf>
    <xf numFmtId="4" fontId="3" fillId="15" borderId="64" xfId="0" applyNumberFormat="1" applyFont="1" applyFill="1" applyBorder="1" applyAlignment="1">
      <alignment horizontal="right" indent="2"/>
    </xf>
    <xf numFmtId="4" fontId="0" fillId="4" borderId="22" xfId="0" applyNumberFormat="1" applyFill="1" applyBorder="1" applyAlignment="1">
      <alignment horizontal="right" indent="2"/>
    </xf>
    <xf numFmtId="0" fontId="0" fillId="4" borderId="18" xfId="0" applyFill="1" applyBorder="1" applyAlignment="1">
      <alignment horizontal="right" indent="2"/>
    </xf>
    <xf numFmtId="0" fontId="0" fillId="4" borderId="0" xfId="0" applyFill="1" applyAlignment="1">
      <alignment horizontal="right" indent="2"/>
    </xf>
    <xf numFmtId="4" fontId="3" fillId="4" borderId="36" xfId="0" applyNumberFormat="1" applyFont="1" applyFill="1" applyBorder="1" applyAlignment="1">
      <alignment horizontal="right" indent="2"/>
    </xf>
    <xf numFmtId="4" fontId="3" fillId="4" borderId="37" xfId="0" applyNumberFormat="1" applyFont="1" applyFill="1" applyBorder="1" applyAlignment="1">
      <alignment horizontal="right" indent="2"/>
    </xf>
    <xf numFmtId="4" fontId="3" fillId="4" borderId="34" xfId="0" applyNumberFormat="1" applyFont="1" applyFill="1" applyBorder="1" applyAlignment="1">
      <alignment horizontal="right" indent="2"/>
    </xf>
    <xf numFmtId="4" fontId="0" fillId="0" borderId="43" xfId="0" applyNumberFormat="1" applyBorder="1" applyAlignment="1">
      <alignment horizontal="right" vertical="center" wrapText="1"/>
    </xf>
    <xf numFmtId="165" fontId="4" fillId="0" borderId="4" xfId="3" applyNumberFormat="1" applyBorder="1" applyAlignment="1">
      <alignment horizontal="center" vertical="center" wrapText="1"/>
    </xf>
    <xf numFmtId="4" fontId="0" fillId="4" borderId="62" xfId="0" applyNumberFormat="1" applyFill="1" applyBorder="1" applyAlignment="1">
      <alignment horizontal="right" vertical="center" wrapText="1" indent="2"/>
    </xf>
    <xf numFmtId="4" fontId="0" fillId="2" borderId="22" xfId="0" applyNumberFormat="1" applyFill="1" applyBorder="1" applyAlignment="1">
      <alignment horizontal="right" vertical="center" wrapText="1" indent="2"/>
    </xf>
    <xf numFmtId="3" fontId="23" fillId="15" borderId="22" xfId="0" applyNumberFormat="1" applyFont="1" applyFill="1" applyBorder="1" applyAlignment="1">
      <alignment horizontal="right" indent="2"/>
    </xf>
    <xf numFmtId="3" fontId="0" fillId="15" borderId="22" xfId="0" applyNumberFormat="1" applyFill="1" applyBorder="1" applyAlignment="1">
      <alignment horizontal="right" indent="2"/>
    </xf>
    <xf numFmtId="3" fontId="0" fillId="15" borderId="34" xfId="0" applyNumberFormat="1" applyFill="1" applyBorder="1" applyAlignment="1">
      <alignment horizontal="right" indent="2"/>
    </xf>
    <xf numFmtId="165" fontId="25" fillId="0" borderId="17" xfId="2" applyNumberFormat="1" applyFont="1" applyBorder="1" applyAlignment="1">
      <alignment horizontal="right" indent="2"/>
    </xf>
    <xf numFmtId="3" fontId="66" fillId="15" borderId="51" xfId="2" applyNumberFormat="1" applyFont="1" applyFill="1" applyBorder="1" applyAlignment="1">
      <alignment horizontal="right" indent="2"/>
    </xf>
    <xf numFmtId="3" fontId="66" fillId="15" borderId="21" xfId="2" applyNumberFormat="1" applyFont="1" applyFill="1" applyBorder="1" applyAlignment="1">
      <alignment horizontal="right" indent="2"/>
    </xf>
    <xf numFmtId="3" fontId="66" fillId="15" borderId="22" xfId="2" applyNumberFormat="1" applyFont="1" applyFill="1" applyBorder="1" applyAlignment="1">
      <alignment horizontal="right" indent="2"/>
    </xf>
    <xf numFmtId="3" fontId="42" fillId="15" borderId="22" xfId="2" applyNumberFormat="1" applyFont="1" applyFill="1" applyBorder="1" applyAlignment="1">
      <alignment horizontal="right" indent="2"/>
    </xf>
    <xf numFmtId="165" fontId="15" fillId="15" borderId="62" xfId="2" applyNumberFormat="1" applyFont="1" applyFill="1" applyBorder="1" applyAlignment="1">
      <alignment horizontal="right" indent="2"/>
    </xf>
    <xf numFmtId="0" fontId="3" fillId="0" borderId="18" xfId="0" applyFont="1" applyBorder="1" applyAlignment="1">
      <alignment horizontal="center" vertical="center"/>
    </xf>
    <xf numFmtId="0" fontId="0" fillId="0" borderId="18" xfId="0" applyBorder="1" applyAlignment="1">
      <alignment horizontal="center" vertical="center" wrapText="1"/>
    </xf>
    <xf numFmtId="0" fontId="0" fillId="0" borderId="11" xfId="0" applyBorder="1" applyAlignment="1">
      <alignment horizontal="center" vertical="center" wrapText="1"/>
    </xf>
    <xf numFmtId="3" fontId="56" fillId="0" borderId="42" xfId="0" applyNumberFormat="1" applyFont="1" applyBorder="1" applyAlignment="1">
      <alignment horizontal="right" indent="2"/>
    </xf>
    <xf numFmtId="166" fontId="56" fillId="6" borderId="27" xfId="0" applyNumberFormat="1" applyFont="1" applyFill="1" applyBorder="1" applyAlignment="1">
      <alignment horizontal="right" indent="2"/>
    </xf>
    <xf numFmtId="166" fontId="56" fillId="6" borderId="28" xfId="0" applyNumberFormat="1" applyFont="1" applyFill="1" applyBorder="1" applyAlignment="1">
      <alignment horizontal="right" indent="2"/>
    </xf>
    <xf numFmtId="3" fontId="56" fillId="0" borderId="18" xfId="0" applyNumberFormat="1" applyFont="1" applyBorder="1" applyAlignment="1">
      <alignment horizontal="right" indent="2"/>
    </xf>
    <xf numFmtId="166" fontId="56" fillId="0" borderId="0" xfId="0" applyNumberFormat="1" applyFont="1" applyAlignment="1">
      <alignment horizontal="left" indent="2"/>
    </xf>
    <xf numFmtId="0" fontId="2" fillId="0" borderId="5" xfId="0" applyFont="1" applyBorder="1"/>
    <xf numFmtId="166" fontId="56" fillId="4" borderId="17" xfId="0" applyNumberFormat="1" applyFont="1" applyFill="1" applyBorder="1" applyAlignment="1">
      <alignment horizontal="right" indent="2"/>
    </xf>
    <xf numFmtId="166" fontId="56" fillId="4" borderId="62" xfId="0" applyNumberFormat="1" applyFont="1" applyFill="1" applyBorder="1" applyAlignment="1">
      <alignment horizontal="right" indent="2"/>
    </xf>
    <xf numFmtId="166" fontId="2" fillId="0" borderId="0" xfId="0" applyNumberFormat="1" applyFont="1" applyAlignment="1">
      <alignment horizontal="left"/>
    </xf>
    <xf numFmtId="166" fontId="56" fillId="4" borderId="33" xfId="0" applyNumberFormat="1" applyFont="1" applyFill="1" applyBorder="1" applyAlignment="1">
      <alignment horizontal="right" indent="2"/>
    </xf>
    <xf numFmtId="166" fontId="56" fillId="4" borderId="34" xfId="0" applyNumberFormat="1" applyFont="1" applyFill="1" applyBorder="1" applyAlignment="1">
      <alignment horizontal="right" indent="2"/>
    </xf>
    <xf numFmtId="166" fontId="56" fillId="0" borderId="44" xfId="0" applyNumberFormat="1" applyFont="1" applyBorder="1" applyAlignment="1">
      <alignment horizontal="left" indent="2"/>
    </xf>
    <xf numFmtId="0" fontId="67" fillId="0" borderId="18" xfId="0" applyFont="1" applyBorder="1" applyAlignment="1">
      <alignment horizontal="center" vertical="center" wrapText="1"/>
    </xf>
    <xf numFmtId="0" fontId="67" fillId="0" borderId="11" xfId="0" applyFont="1" applyBorder="1" applyAlignment="1">
      <alignment horizontal="center" vertical="center" wrapText="1"/>
    </xf>
    <xf numFmtId="166" fontId="56" fillId="4" borderId="24" xfId="0" applyNumberFormat="1" applyFont="1" applyFill="1" applyBorder="1" applyAlignment="1">
      <alignment horizontal="right" vertical="center" wrapText="1" indent="2"/>
    </xf>
    <xf numFmtId="166" fontId="56" fillId="4" borderId="21" xfId="0" applyNumberFormat="1" applyFont="1" applyFill="1" applyBorder="1" applyAlignment="1">
      <alignment horizontal="right" vertical="center" wrapText="1" indent="2"/>
    </xf>
    <xf numFmtId="166" fontId="56" fillId="4" borderId="22" xfId="0" applyNumberFormat="1" applyFont="1" applyFill="1" applyBorder="1" applyAlignment="1">
      <alignment horizontal="right" vertical="center" wrapText="1" indent="2"/>
    </xf>
    <xf numFmtId="166" fontId="56" fillId="0" borderId="0" xfId="0" applyNumberFormat="1" applyFont="1" applyAlignment="1">
      <alignment horizontal="right" vertical="center" wrapText="1" indent="2"/>
    </xf>
    <xf numFmtId="166" fontId="56" fillId="4" borderId="28" xfId="0" applyNumberFormat="1" applyFont="1" applyFill="1" applyBorder="1" applyAlignment="1">
      <alignment horizontal="right" vertical="center" wrapText="1" indent="2"/>
    </xf>
    <xf numFmtId="166" fontId="56" fillId="0" borderId="0" xfId="0" applyNumberFormat="1" applyFont="1" applyAlignment="1">
      <alignment horizontal="left" vertical="center"/>
    </xf>
    <xf numFmtId="166" fontId="56" fillId="0" borderId="11" xfId="0" applyNumberFormat="1" applyFont="1" applyBorder="1" applyAlignment="1">
      <alignment horizontal="right" vertical="center" wrapText="1" indent="2"/>
    </xf>
    <xf numFmtId="166" fontId="67" fillId="4" borderId="27" xfId="0" applyNumberFormat="1" applyFont="1" applyFill="1" applyBorder="1" applyAlignment="1">
      <alignment horizontal="right" vertical="center" wrapText="1" indent="2"/>
    </xf>
    <xf numFmtId="166" fontId="67" fillId="4" borderId="9" xfId="0" applyNumberFormat="1" applyFont="1" applyFill="1" applyBorder="1" applyAlignment="1">
      <alignment horizontal="right" indent="2"/>
    </xf>
    <xf numFmtId="166" fontId="67" fillId="0" borderId="11" xfId="0" applyNumberFormat="1" applyFont="1" applyBorder="1" applyAlignment="1">
      <alignment horizontal="right" vertical="center" wrapText="1" indent="2"/>
    </xf>
    <xf numFmtId="165" fontId="55" fillId="0" borderId="27" xfId="2" applyNumberFormat="1" applyFont="1" applyBorder="1" applyAlignment="1">
      <alignment horizontal="center" vertical="center" wrapText="1"/>
    </xf>
    <xf numFmtId="165" fontId="55" fillId="0" borderId="9" xfId="2" applyNumberFormat="1" applyFont="1" applyBorder="1" applyAlignment="1">
      <alignment horizontal="center" vertical="center"/>
    </xf>
    <xf numFmtId="165" fontId="55" fillId="0" borderId="0" xfId="2" applyNumberFormat="1" applyFont="1" applyAlignment="1">
      <alignment horizontal="center" vertical="center" wrapText="1"/>
    </xf>
    <xf numFmtId="165" fontId="55" fillId="0" borderId="11" xfId="2" applyNumberFormat="1" applyFont="1" applyBorder="1" applyAlignment="1">
      <alignment horizontal="center" vertical="center" wrapText="1"/>
    </xf>
    <xf numFmtId="166" fontId="67" fillId="0" borderId="18" xfId="0" applyNumberFormat="1" applyFont="1" applyBorder="1" applyAlignment="1">
      <alignment horizontal="right" indent="2"/>
    </xf>
    <xf numFmtId="166" fontId="67" fillId="0" borderId="0" xfId="0" applyNumberFormat="1" applyFont="1" applyAlignment="1">
      <alignment horizontal="right" indent="2"/>
    </xf>
    <xf numFmtId="166" fontId="67" fillId="0" borderId="11" xfId="0" applyNumberFormat="1" applyFont="1" applyBorder="1" applyAlignment="1">
      <alignment horizontal="right" indent="2"/>
    </xf>
    <xf numFmtId="165" fontId="160" fillId="0" borderId="18" xfId="2" applyNumberFormat="1" applyFont="1" applyBorder="1" applyAlignment="1">
      <alignment horizontal="right" indent="2"/>
    </xf>
    <xf numFmtId="165" fontId="160" fillId="0" borderId="0" xfId="2" applyNumberFormat="1" applyFont="1" applyAlignment="1">
      <alignment horizontal="right" indent="2"/>
    </xf>
    <xf numFmtId="165" fontId="160" fillId="0" borderId="11" xfId="2" applyNumberFormat="1" applyFont="1" applyBorder="1" applyAlignment="1">
      <alignment horizontal="right" indent="2"/>
    </xf>
    <xf numFmtId="3" fontId="21" fillId="6" borderId="47" xfId="2" applyNumberFormat="1" applyFont="1" applyFill="1" applyBorder="1" applyAlignment="1">
      <alignment horizontal="right" indent="2"/>
    </xf>
    <xf numFmtId="3" fontId="161" fillId="0" borderId="0" xfId="2" applyNumberFormat="1" applyFont="1" applyAlignment="1">
      <alignment horizontal="center"/>
    </xf>
    <xf numFmtId="165" fontId="0" fillId="0" borderId="0" xfId="0" applyNumberFormat="1" applyAlignment="1">
      <alignment horizontal="center"/>
    </xf>
    <xf numFmtId="3" fontId="16" fillId="6" borderId="24" xfId="0" applyNumberFormat="1" applyFont="1" applyFill="1" applyBorder="1"/>
    <xf numFmtId="3" fontId="16" fillId="6" borderId="51" xfId="0" applyNumberFormat="1" applyFont="1" applyFill="1" applyBorder="1"/>
    <xf numFmtId="165" fontId="16" fillId="6" borderId="24" xfId="0" applyNumberFormat="1" applyFont="1" applyFill="1" applyBorder="1"/>
    <xf numFmtId="165" fontId="16" fillId="6" borderId="51" xfId="0" applyNumberFormat="1" applyFont="1" applyFill="1" applyBorder="1"/>
    <xf numFmtId="3" fontId="16" fillId="6" borderId="25" xfId="0" applyNumberFormat="1" applyFont="1" applyFill="1" applyBorder="1" applyAlignment="1">
      <alignment horizontal="right" indent="2"/>
    </xf>
    <xf numFmtId="3" fontId="0" fillId="0" borderId="57" xfId="0" applyNumberFormat="1" applyBorder="1" applyAlignment="1">
      <alignment horizontal="left"/>
    </xf>
    <xf numFmtId="0" fontId="16" fillId="6" borderId="22" xfId="0" applyFont="1" applyFill="1" applyBorder="1" applyAlignment="1">
      <alignment horizontal="right"/>
    </xf>
    <xf numFmtId="165" fontId="13" fillId="0" borderId="8" xfId="2" applyNumberFormat="1" applyFont="1" applyBorder="1"/>
    <xf numFmtId="165" fontId="13" fillId="0" borderId="41" xfId="2" applyNumberFormat="1" applyFont="1" applyBorder="1"/>
    <xf numFmtId="3" fontId="0" fillId="4" borderId="9" xfId="0" applyNumberFormat="1" applyFill="1" applyBorder="1" applyAlignment="1">
      <alignment horizontal="right" vertical="center" wrapText="1" indent="2"/>
    </xf>
    <xf numFmtId="165" fontId="13" fillId="0" borderId="41" xfId="2" applyNumberFormat="1" applyFont="1" applyBorder="1" applyAlignment="1">
      <alignment horizontal="center" vertical="center" wrapText="1"/>
    </xf>
    <xf numFmtId="3" fontId="3" fillId="6" borderId="151" xfId="0" applyNumberFormat="1" applyFont="1" applyFill="1" applyBorder="1" applyAlignment="1">
      <alignment horizontal="right" indent="2"/>
    </xf>
    <xf numFmtId="3" fontId="0" fillId="6" borderId="88" xfId="0" applyNumberFormat="1" applyFill="1" applyBorder="1" applyAlignment="1">
      <alignment horizontal="right" indent="2"/>
    </xf>
    <xf numFmtId="3" fontId="0" fillId="0" borderId="0" xfId="0" applyNumberFormat="1" applyAlignment="1">
      <alignment vertical="top"/>
    </xf>
    <xf numFmtId="3" fontId="0" fillId="0" borderId="89" xfId="0" applyNumberFormat="1" applyBorder="1" applyAlignment="1">
      <alignment horizontal="right" indent="2"/>
    </xf>
    <xf numFmtId="3" fontId="0" fillId="0" borderId="89" xfId="0" applyNumberFormat="1" applyBorder="1"/>
    <xf numFmtId="3" fontId="4" fillId="0" borderId="0" xfId="3" applyNumberFormat="1" applyAlignment="1">
      <alignment horizontal="right" indent="2"/>
    </xf>
    <xf numFmtId="172" fontId="56" fillId="0" borderId="0" xfId="0" applyNumberFormat="1" applyFont="1" applyAlignment="1">
      <alignment horizontal="left" vertical="top"/>
    </xf>
    <xf numFmtId="3" fontId="0" fillId="0" borderId="0" xfId="0" applyNumberFormat="1" applyAlignment="1">
      <alignment horizontal="left" vertical="center" wrapText="1" indent="2"/>
    </xf>
    <xf numFmtId="3" fontId="12" fillId="32" borderId="11" xfId="0" applyNumberFormat="1" applyFont="1" applyFill="1" applyBorder="1" applyAlignment="1">
      <alignment horizontal="right" indent="2"/>
    </xf>
    <xf numFmtId="172" fontId="2" fillId="0" borderId="0" xfId="0" applyNumberFormat="1" applyFont="1" applyAlignment="1">
      <alignment horizontal="left" vertical="top"/>
    </xf>
    <xf numFmtId="172" fontId="2" fillId="0" borderId="42" xfId="0" applyNumberFormat="1" applyFont="1" applyBorder="1" applyAlignment="1">
      <alignment horizontal="left" vertical="top"/>
    </xf>
    <xf numFmtId="165" fontId="13" fillId="0" borderId="28" xfId="2" applyNumberFormat="1" applyFont="1" applyFill="1" applyBorder="1" applyAlignment="1">
      <alignment horizontal="center" vertical="center" wrapText="1"/>
    </xf>
    <xf numFmtId="3" fontId="3" fillId="12" borderId="18" xfId="0" quotePrefix="1" applyNumberFormat="1" applyFont="1" applyFill="1" applyBorder="1" applyAlignment="1">
      <alignment horizontal="right" indent="2"/>
    </xf>
    <xf numFmtId="0" fontId="3" fillId="4" borderId="38" xfId="0" applyFont="1" applyFill="1" applyBorder="1" applyAlignment="1">
      <alignment horizontal="center"/>
    </xf>
    <xf numFmtId="0" fontId="5" fillId="4" borderId="16" xfId="0" applyFont="1" applyFill="1" applyBorder="1" applyAlignment="1">
      <alignment horizontal="center"/>
    </xf>
    <xf numFmtId="0" fontId="29" fillId="0" borderId="5" xfId="0" applyFont="1" applyBorder="1" applyAlignment="1">
      <alignment horizontal="center" vertical="center" wrapText="1"/>
    </xf>
    <xf numFmtId="0" fontId="4" fillId="0" borderId="44" xfId="3" applyBorder="1" applyAlignment="1">
      <alignment vertical="center" wrapText="1"/>
    </xf>
    <xf numFmtId="0" fontId="29" fillId="0" borderId="16" xfId="0" applyFont="1" applyBorder="1" applyAlignment="1">
      <alignment vertical="center" wrapText="1"/>
    </xf>
    <xf numFmtId="166" fontId="77" fillId="0" borderId="0" xfId="0" applyNumberFormat="1" applyFont="1" applyAlignment="1">
      <alignment horizontal="right"/>
    </xf>
    <xf numFmtId="3" fontId="53" fillId="6" borderId="47" xfId="0" applyNumberFormat="1" applyFont="1" applyFill="1" applyBorder="1" applyAlignment="1">
      <alignment horizontal="right" indent="2"/>
    </xf>
    <xf numFmtId="3" fontId="53" fillId="6" borderId="48" xfId="0" applyNumberFormat="1" applyFont="1" applyFill="1" applyBorder="1" applyAlignment="1">
      <alignment horizontal="right" indent="2"/>
    </xf>
    <xf numFmtId="0" fontId="53" fillId="0" borderId="0" xfId="0" applyFont="1" applyAlignment="1">
      <alignment horizontal="center"/>
    </xf>
    <xf numFmtId="10" fontId="162" fillId="0" borderId="11" xfId="2" applyNumberFormat="1" applyFont="1" applyBorder="1"/>
    <xf numFmtId="166" fontId="12" fillId="0" borderId="0" xfId="0" applyNumberFormat="1" applyFont="1" applyAlignment="1">
      <alignment horizontal="center"/>
    </xf>
    <xf numFmtId="3" fontId="53" fillId="6" borderId="6" xfId="0" applyNumberFormat="1" applyFont="1" applyFill="1" applyBorder="1" applyAlignment="1">
      <alignment horizontal="right"/>
    </xf>
    <xf numFmtId="165" fontId="138" fillId="0" borderId="11" xfId="2" applyNumberFormat="1" applyFont="1" applyBorder="1"/>
    <xf numFmtId="3" fontId="53" fillId="6" borderId="8" xfId="0" applyNumberFormat="1" applyFont="1" applyFill="1" applyBorder="1" applyAlignment="1">
      <alignment horizontal="right"/>
    </xf>
    <xf numFmtId="3" fontId="62" fillId="6" borderId="47" xfId="0" applyNumberFormat="1" applyFont="1" applyFill="1" applyBorder="1" applyAlignment="1">
      <alignment horizontal="right" indent="2"/>
    </xf>
    <xf numFmtId="3" fontId="62" fillId="6" borderId="48" xfId="0" applyNumberFormat="1" applyFont="1" applyFill="1" applyBorder="1" applyAlignment="1">
      <alignment horizontal="right" indent="2"/>
    </xf>
    <xf numFmtId="3" fontId="21" fillId="6" borderId="30" xfId="0" applyNumberFormat="1" applyFont="1" applyFill="1" applyBorder="1" applyAlignment="1">
      <alignment horizontal="right" indent="2"/>
    </xf>
    <xf numFmtId="3" fontId="62" fillId="6" borderId="8" xfId="0" applyNumberFormat="1" applyFont="1" applyFill="1" applyBorder="1" applyAlignment="1">
      <alignment horizontal="right"/>
    </xf>
    <xf numFmtId="3" fontId="62" fillId="6" borderId="24" xfId="0" applyNumberFormat="1" applyFont="1" applyFill="1" applyBorder="1" applyAlignment="1">
      <alignment horizontal="right" indent="2"/>
    </xf>
    <xf numFmtId="3" fontId="62" fillId="6" borderId="25" xfId="0" applyNumberFormat="1" applyFont="1" applyFill="1" applyBorder="1" applyAlignment="1">
      <alignment horizontal="right" indent="2"/>
    </xf>
    <xf numFmtId="3" fontId="62" fillId="6" borderId="30" xfId="0" applyNumberFormat="1" applyFont="1" applyFill="1" applyBorder="1" applyAlignment="1">
      <alignment horizontal="right" indent="2"/>
    </xf>
    <xf numFmtId="3" fontId="62" fillId="6" borderId="31" xfId="0" applyNumberFormat="1" applyFont="1" applyFill="1" applyBorder="1" applyAlignment="1">
      <alignment horizontal="right" indent="2"/>
    </xf>
    <xf numFmtId="3" fontId="53" fillId="6" borderId="30" xfId="0" applyNumberFormat="1" applyFont="1" applyFill="1" applyBorder="1" applyAlignment="1">
      <alignment horizontal="right" indent="2"/>
    </xf>
    <xf numFmtId="166" fontId="53" fillId="0" borderId="0" xfId="0" applyNumberFormat="1" applyFont="1" applyAlignment="1">
      <alignment horizontal="center"/>
    </xf>
    <xf numFmtId="3" fontId="62" fillId="0" borderId="8" xfId="0" applyNumberFormat="1" applyFont="1" applyBorder="1" applyAlignment="1">
      <alignment horizontal="right"/>
    </xf>
    <xf numFmtId="165" fontId="163" fillId="0" borderId="11" xfId="2" applyNumberFormat="1" applyFont="1" applyBorder="1"/>
    <xf numFmtId="3" fontId="53" fillId="6" borderId="31" xfId="0" applyNumberFormat="1" applyFont="1" applyFill="1" applyBorder="1" applyAlignment="1">
      <alignment horizontal="right" indent="2"/>
    </xf>
    <xf numFmtId="3" fontId="83" fillId="6" borderId="36" xfId="0" applyNumberFormat="1" applyFont="1" applyFill="1" applyBorder="1" applyAlignment="1">
      <alignment horizontal="right" indent="2"/>
    </xf>
    <xf numFmtId="3" fontId="83" fillId="6" borderId="37" xfId="0" applyNumberFormat="1" applyFont="1" applyFill="1" applyBorder="1" applyAlignment="1">
      <alignment horizontal="right" indent="2"/>
    </xf>
    <xf numFmtId="0" fontId="121" fillId="0" borderId="42" xfId="0" applyFont="1" applyBorder="1" applyAlignment="1">
      <alignment horizontal="center" vertical="center" wrapText="1"/>
    </xf>
    <xf numFmtId="166" fontId="35" fillId="0" borderId="42" xfId="0" applyNumberFormat="1" applyFont="1" applyBorder="1" applyAlignment="1">
      <alignment horizontal="left" vertical="center"/>
    </xf>
    <xf numFmtId="3" fontId="83" fillId="6" borderId="41" xfId="0" applyNumberFormat="1" applyFont="1" applyFill="1" applyBorder="1" applyAlignment="1">
      <alignment horizontal="right"/>
    </xf>
    <xf numFmtId="3" fontId="12" fillId="0" borderId="44" xfId="0" applyNumberFormat="1" applyFont="1" applyBorder="1" applyAlignment="1">
      <alignment horizontal="center"/>
    </xf>
    <xf numFmtId="3" fontId="162" fillId="0" borderId="16" xfId="0" applyNumberFormat="1" applyFont="1" applyBorder="1"/>
    <xf numFmtId="165" fontId="138" fillId="0" borderId="16" xfId="0" applyNumberFormat="1" applyFont="1" applyBorder="1"/>
    <xf numFmtId="3" fontId="53" fillId="4" borderId="48" xfId="0" applyNumberFormat="1" applyFont="1" applyFill="1" applyBorder="1" applyAlignment="1">
      <alignment horizontal="right" indent="2"/>
    </xf>
    <xf numFmtId="165" fontId="162" fillId="0" borderId="11" xfId="2" applyNumberFormat="1" applyFont="1" applyBorder="1"/>
    <xf numFmtId="3" fontId="83" fillId="4" borderId="6" xfId="0" applyNumberFormat="1" applyFont="1" applyFill="1" applyBorder="1" applyAlignment="1">
      <alignment horizontal="right"/>
    </xf>
    <xf numFmtId="3" fontId="83" fillId="4" borderId="8" xfId="0" applyNumberFormat="1" applyFont="1" applyFill="1" applyBorder="1" applyAlignment="1">
      <alignment horizontal="right"/>
    </xf>
    <xf numFmtId="3" fontId="53" fillId="4" borderId="31" xfId="0" applyNumberFormat="1" applyFont="1" applyFill="1" applyBorder="1" applyAlignment="1">
      <alignment horizontal="right" indent="2"/>
    </xf>
    <xf numFmtId="3" fontId="53" fillId="4" borderId="24" xfId="0" applyNumberFormat="1" applyFont="1" applyFill="1" applyBorder="1" applyAlignment="1">
      <alignment horizontal="right" indent="2"/>
    </xf>
    <xf numFmtId="3" fontId="53" fillId="4" borderId="8" xfId="0" applyNumberFormat="1" applyFont="1" applyFill="1" applyBorder="1" applyAlignment="1">
      <alignment horizontal="right"/>
    </xf>
    <xf numFmtId="165" fontId="164" fillId="0" borderId="11" xfId="2" applyNumberFormat="1" applyFont="1" applyBorder="1"/>
    <xf numFmtId="3" fontId="53" fillId="4" borderId="30" xfId="0" applyNumberFormat="1" applyFont="1" applyFill="1" applyBorder="1" applyAlignment="1">
      <alignment horizontal="right" indent="2"/>
    </xf>
    <xf numFmtId="3" fontId="53" fillId="0" borderId="8" xfId="0" applyNumberFormat="1" applyFont="1" applyBorder="1" applyAlignment="1">
      <alignment horizontal="right"/>
    </xf>
    <xf numFmtId="0" fontId="53" fillId="0" borderId="0" xfId="0" applyFont="1" applyAlignment="1">
      <alignment horizontal="right"/>
    </xf>
    <xf numFmtId="3" fontId="83" fillId="4" borderId="37" xfId="0" applyNumberFormat="1" applyFont="1" applyFill="1" applyBorder="1" applyAlignment="1">
      <alignment horizontal="right" indent="2"/>
    </xf>
    <xf numFmtId="3" fontId="83" fillId="4" borderId="36" xfId="0" applyNumberFormat="1" applyFont="1" applyFill="1" applyBorder="1" applyAlignment="1">
      <alignment horizontal="right" indent="2"/>
    </xf>
    <xf numFmtId="3" fontId="83" fillId="4" borderId="41" xfId="0" applyNumberFormat="1" applyFont="1" applyFill="1" applyBorder="1" applyAlignment="1">
      <alignment horizontal="right"/>
    </xf>
    <xf numFmtId="165" fontId="136" fillId="0" borderId="16" xfId="2" applyNumberFormat="1" applyFont="1" applyBorder="1" applyAlignment="1">
      <alignment vertical="center" wrapText="1"/>
    </xf>
    <xf numFmtId="0" fontId="12" fillId="0" borderId="44" xfId="0" applyFont="1" applyBorder="1" applyAlignment="1">
      <alignment horizontal="right"/>
    </xf>
    <xf numFmtId="3" fontId="83" fillId="4" borderId="51" xfId="0" applyNumberFormat="1" applyFont="1" applyFill="1" applyBorder="1" applyAlignment="1">
      <alignment horizontal="right" indent="2"/>
    </xf>
    <xf numFmtId="3" fontId="5" fillId="4" borderId="6" xfId="0" applyNumberFormat="1" applyFont="1" applyFill="1" applyBorder="1" applyAlignment="1">
      <alignment horizontal="right"/>
    </xf>
    <xf numFmtId="166" fontId="53" fillId="4" borderId="24" xfId="0" applyNumberFormat="1" applyFont="1" applyFill="1" applyBorder="1" applyAlignment="1">
      <alignment horizontal="right" indent="2"/>
    </xf>
    <xf numFmtId="166" fontId="53" fillId="4" borderId="25" xfId="0" applyNumberFormat="1" applyFont="1" applyFill="1" applyBorder="1" applyAlignment="1">
      <alignment horizontal="right" indent="2"/>
    </xf>
    <xf numFmtId="3" fontId="53" fillId="0" borderId="0" xfId="0" applyNumberFormat="1" applyFont="1" applyAlignment="1">
      <alignment horizontal="right" vertical="center" wrapText="1" indent="2"/>
    </xf>
    <xf numFmtId="166" fontId="121" fillId="4" borderId="8" xfId="0" applyNumberFormat="1" applyFont="1" applyFill="1" applyBorder="1" applyAlignment="1">
      <alignment horizontal="center" vertical="center" wrapText="1"/>
    </xf>
    <xf numFmtId="166" fontId="83" fillId="4" borderId="8" xfId="0" applyNumberFormat="1" applyFont="1" applyFill="1" applyBorder="1" applyAlignment="1">
      <alignment horizontal="right"/>
    </xf>
    <xf numFmtId="166" fontId="53" fillId="4" borderId="27" xfId="0" applyNumberFormat="1" applyFont="1" applyFill="1" applyBorder="1" applyAlignment="1">
      <alignment horizontal="right" indent="2"/>
    </xf>
    <xf numFmtId="166" fontId="53" fillId="4" borderId="9" xfId="0" applyNumberFormat="1" applyFont="1" applyFill="1" applyBorder="1" applyAlignment="1">
      <alignment horizontal="right" indent="2"/>
    </xf>
    <xf numFmtId="166" fontId="53" fillId="4" borderId="8" xfId="0" applyNumberFormat="1" applyFont="1" applyFill="1" applyBorder="1" applyAlignment="1">
      <alignment horizontal="right"/>
    </xf>
    <xf numFmtId="165" fontId="55" fillId="0" borderId="42" xfId="2" applyNumberFormat="1" applyFont="1" applyBorder="1" applyAlignment="1">
      <alignment horizontal="right" indent="2"/>
    </xf>
    <xf numFmtId="165" fontId="163" fillId="0" borderId="38" xfId="2" applyNumberFormat="1" applyFont="1" applyBorder="1" applyAlignment="1">
      <alignment horizontal="right" indent="2"/>
    </xf>
    <xf numFmtId="165" fontId="136" fillId="0" borderId="38" xfId="2" applyNumberFormat="1" applyFont="1" applyBorder="1" applyAlignment="1">
      <alignment horizontal="right" indent="2"/>
    </xf>
    <xf numFmtId="3" fontId="53" fillId="0" borderId="43" xfId="0" applyNumberFormat="1" applyFont="1" applyBorder="1" applyAlignment="1">
      <alignment horizontal="right" indent="2"/>
    </xf>
    <xf numFmtId="3" fontId="53" fillId="0" borderId="44" xfId="0" applyNumberFormat="1" applyFont="1" applyBorder="1" applyAlignment="1">
      <alignment horizontal="right" indent="2"/>
    </xf>
    <xf numFmtId="3" fontId="120" fillId="0" borderId="16" xfId="0" applyNumberFormat="1" applyFont="1" applyBorder="1" applyAlignment="1">
      <alignment horizontal="right" indent="2"/>
    </xf>
    <xf numFmtId="0" fontId="53" fillId="0" borderId="0" xfId="0" applyFont="1"/>
    <xf numFmtId="3" fontId="29" fillId="0" borderId="16" xfId="0" applyNumberFormat="1" applyFont="1" applyBorder="1" applyAlignment="1">
      <alignment horizontal="right" indent="2"/>
    </xf>
    <xf numFmtId="3" fontId="53" fillId="0" borderId="18" xfId="0" applyNumberFormat="1" applyFont="1" applyBorder="1" applyAlignment="1">
      <alignment horizontal="right" indent="2"/>
    </xf>
    <xf numFmtId="3" fontId="120" fillId="0" borderId="11" xfId="0" applyNumberFormat="1" applyFont="1" applyBorder="1" applyAlignment="1">
      <alignment horizontal="right" indent="2"/>
    </xf>
    <xf numFmtId="3" fontId="53" fillId="0" borderId="53" xfId="0" applyNumberFormat="1" applyFont="1" applyBorder="1" applyAlignment="1">
      <alignment horizontal="right" indent="2"/>
    </xf>
    <xf numFmtId="3" fontId="53" fillId="0" borderId="42" xfId="0" applyNumberFormat="1" applyFont="1" applyBorder="1" applyAlignment="1">
      <alignment horizontal="right" indent="2"/>
    </xf>
    <xf numFmtId="3" fontId="120" fillId="0" borderId="38" xfId="0" applyNumberFormat="1" applyFont="1" applyBorder="1" applyAlignment="1">
      <alignment horizontal="right" indent="2"/>
    </xf>
    <xf numFmtId="3" fontId="29" fillId="0" borderId="38" xfId="0" applyNumberFormat="1" applyFont="1" applyBorder="1" applyAlignment="1">
      <alignment horizontal="right" indent="2"/>
    </xf>
    <xf numFmtId="3" fontId="120" fillId="0" borderId="0" xfId="0" applyNumberFormat="1" applyFont="1" applyAlignment="1">
      <alignment horizontal="right" indent="2"/>
    </xf>
    <xf numFmtId="0" fontId="56" fillId="0" borderId="0" xfId="0" applyFont="1"/>
    <xf numFmtId="0" fontId="120" fillId="0" borderId="5" xfId="3" applyFont="1" applyBorder="1" applyAlignment="1">
      <alignment horizontal="center" vertical="center" wrapText="1"/>
    </xf>
    <xf numFmtId="0" fontId="120" fillId="0" borderId="4" xfId="0" applyFont="1" applyBorder="1" applyAlignment="1">
      <alignment vertical="center" wrapText="1"/>
    </xf>
    <xf numFmtId="0" fontId="56" fillId="0" borderId="4" xfId="0" applyFont="1" applyBorder="1"/>
    <xf numFmtId="0" fontId="56" fillId="0" borderId="5" xfId="0" applyFont="1" applyBorder="1"/>
    <xf numFmtId="166" fontId="53" fillId="4" borderId="0" xfId="0" applyNumberFormat="1" applyFont="1" applyFill="1" applyAlignment="1">
      <alignment horizontal="right" indent="2"/>
    </xf>
    <xf numFmtId="3" fontId="53" fillId="0" borderId="0" xfId="0" applyNumberFormat="1" applyFont="1" applyAlignment="1">
      <alignment horizontal="left"/>
    </xf>
    <xf numFmtId="166" fontId="83" fillId="4" borderId="48" xfId="0" applyNumberFormat="1" applyFont="1" applyFill="1" applyBorder="1" applyAlignment="1">
      <alignment horizontal="right" indent="2"/>
    </xf>
    <xf numFmtId="0" fontId="53" fillId="0" borderId="0" xfId="0" applyFont="1" applyAlignment="1">
      <alignment horizontal="left"/>
    </xf>
    <xf numFmtId="43" fontId="83" fillId="0" borderId="0" xfId="5" applyFont="1" applyAlignment="1">
      <alignment horizontal="center"/>
    </xf>
    <xf numFmtId="10" fontId="163" fillId="0" borderId="11" xfId="2" applyNumberFormat="1" applyFont="1" applyBorder="1"/>
    <xf numFmtId="43" fontId="53" fillId="0" borderId="0" xfId="5" applyFont="1" applyAlignment="1">
      <alignment horizontal="left" wrapText="1"/>
    </xf>
    <xf numFmtId="165" fontId="136" fillId="0" borderId="11" xfId="2" applyNumberFormat="1" applyFont="1" applyBorder="1"/>
    <xf numFmtId="43" fontId="53" fillId="0" borderId="0" xfId="5" applyFont="1" applyAlignment="1">
      <alignment horizontal="left"/>
    </xf>
    <xf numFmtId="43" fontId="53" fillId="0" borderId="0" xfId="5" applyFont="1" applyAlignment="1">
      <alignment horizontal="center"/>
    </xf>
    <xf numFmtId="166" fontId="83" fillId="4" borderId="31" xfId="0" applyNumberFormat="1" applyFont="1" applyFill="1" applyBorder="1" applyAlignment="1">
      <alignment horizontal="right" indent="2"/>
    </xf>
    <xf numFmtId="166" fontId="53" fillId="4" borderId="31" xfId="0" applyNumberFormat="1" applyFont="1" applyFill="1" applyBorder="1" applyAlignment="1">
      <alignment horizontal="right" indent="2"/>
    </xf>
    <xf numFmtId="0" fontId="77" fillId="0" borderId="0" xfId="0" applyFont="1" applyAlignment="1">
      <alignment horizontal="center"/>
    </xf>
    <xf numFmtId="0" fontId="83" fillId="0" borderId="0" xfId="0" applyFont="1" applyAlignment="1">
      <alignment horizontal="right"/>
    </xf>
    <xf numFmtId="0" fontId="121" fillId="0" borderId="0" xfId="0" applyFont="1" applyAlignment="1">
      <alignment horizontal="center" vertical="center" wrapText="1"/>
    </xf>
    <xf numFmtId="0" fontId="56" fillId="0" borderId="7" xfId="0" applyFont="1" applyBorder="1"/>
    <xf numFmtId="3" fontId="12" fillId="0" borderId="43" xfId="0" applyNumberFormat="1" applyFont="1" applyBorder="1" applyAlignment="1">
      <alignment horizontal="center"/>
    </xf>
    <xf numFmtId="0" fontId="29" fillId="0" borderId="44" xfId="3" applyFont="1" applyBorder="1" applyAlignment="1">
      <alignment horizontal="center" vertical="center" wrapText="1"/>
    </xf>
    <xf numFmtId="165" fontId="29" fillId="0" borderId="16" xfId="2" applyNumberFormat="1" applyFont="1" applyBorder="1" applyAlignment="1">
      <alignment horizontal="right" indent="2"/>
    </xf>
    <xf numFmtId="3" fontId="12" fillId="0" borderId="43" xfId="0" applyNumberFormat="1" applyFont="1" applyBorder="1" applyAlignment="1">
      <alignment horizontal="center" vertical="center"/>
    </xf>
    <xf numFmtId="165" fontId="29" fillId="0" borderId="16" xfId="2" applyNumberFormat="1" applyFont="1" applyBorder="1" applyAlignment="1">
      <alignment horizontal="left" indent="2"/>
    </xf>
    <xf numFmtId="165" fontId="29" fillId="0" borderId="11" xfId="2" applyNumberFormat="1" applyFont="1" applyBorder="1" applyAlignment="1">
      <alignment horizontal="right" indent="2"/>
    </xf>
    <xf numFmtId="3" fontId="83" fillId="4" borderId="48" xfId="0" applyNumberFormat="1" applyFont="1" applyFill="1" applyBorder="1" applyAlignment="1">
      <alignment horizontal="right" indent="2"/>
    </xf>
    <xf numFmtId="166" fontId="83" fillId="18" borderId="47" xfId="0" applyNumberFormat="1" applyFont="1" applyFill="1" applyBorder="1" applyAlignment="1">
      <alignment horizontal="right" indent="2"/>
    </xf>
    <xf numFmtId="3" fontId="83" fillId="0" borderId="0" xfId="0" applyNumberFormat="1" applyFont="1" applyAlignment="1">
      <alignment horizontal="right"/>
    </xf>
    <xf numFmtId="165" fontId="165" fillId="0" borderId="11" xfId="2" applyNumberFormat="1" applyFont="1" applyBorder="1"/>
    <xf numFmtId="3" fontId="83" fillId="18" borderId="47" xfId="0" applyNumberFormat="1" applyFont="1" applyFill="1" applyBorder="1" applyAlignment="1">
      <alignment horizontal="right" indent="2"/>
    </xf>
    <xf numFmtId="3" fontId="83" fillId="4" borderId="50" xfId="0" applyNumberFormat="1" applyFont="1" applyFill="1" applyBorder="1" applyAlignment="1">
      <alignment horizontal="right" indent="2"/>
    </xf>
    <xf numFmtId="3" fontId="83" fillId="18" borderId="49" xfId="0" applyNumberFormat="1" applyFont="1" applyFill="1" applyBorder="1" applyAlignment="1">
      <alignment horizontal="right" indent="2"/>
    </xf>
    <xf numFmtId="3" fontId="12" fillId="0" borderId="18" xfId="0" applyNumberFormat="1" applyFont="1" applyBorder="1" applyAlignment="1">
      <alignment horizontal="center"/>
    </xf>
    <xf numFmtId="165" fontId="120" fillId="0" borderId="11" xfId="2" applyNumberFormat="1" applyFont="1" applyBorder="1" applyAlignment="1">
      <alignment horizontal="left" indent="2"/>
    </xf>
    <xf numFmtId="3" fontId="53" fillId="0" borderId="0" xfId="0" applyNumberFormat="1" applyFont="1"/>
    <xf numFmtId="3" fontId="53" fillId="0" borderId="18" xfId="0" applyNumberFormat="1" applyFont="1" applyBorder="1" applyAlignment="1">
      <alignment horizontal="center"/>
    </xf>
    <xf numFmtId="3" fontId="120" fillId="0" borderId="0" xfId="0" applyNumberFormat="1" applyFont="1" applyAlignment="1">
      <alignment horizontal="left" wrapText="1"/>
    </xf>
    <xf numFmtId="0" fontId="53" fillId="0" borderId="42" xfId="0" applyFont="1" applyBorder="1" applyAlignment="1">
      <alignment horizontal="right"/>
    </xf>
    <xf numFmtId="165" fontId="163" fillId="0" borderId="38" xfId="2" applyNumberFormat="1" applyFont="1" applyBorder="1"/>
    <xf numFmtId="3" fontId="83" fillId="4" borderId="58" xfId="0" applyNumberFormat="1" applyFont="1" applyFill="1" applyBorder="1" applyAlignment="1">
      <alignment horizontal="right" indent="2"/>
    </xf>
    <xf numFmtId="3" fontId="83" fillId="0" borderId="42" xfId="0" applyNumberFormat="1" applyFont="1" applyBorder="1" applyAlignment="1">
      <alignment horizontal="right"/>
    </xf>
    <xf numFmtId="3" fontId="53" fillId="0" borderId="0" xfId="0" applyNumberFormat="1" applyFont="1" applyAlignment="1">
      <alignment horizontal="center"/>
    </xf>
    <xf numFmtId="165" fontId="120" fillId="0" borderId="11" xfId="2" applyNumberFormat="1" applyFont="1" applyBorder="1" applyAlignment="1">
      <alignment horizontal="right" indent="2"/>
    </xf>
    <xf numFmtId="0" fontId="56" fillId="0" borderId="43" xfId="0" applyFont="1" applyBorder="1" applyAlignment="1">
      <alignment horizontal="center"/>
    </xf>
    <xf numFmtId="3" fontId="53" fillId="0" borderId="44" xfId="0" applyNumberFormat="1" applyFont="1" applyBorder="1" applyAlignment="1">
      <alignment horizontal="center"/>
    </xf>
    <xf numFmtId="3" fontId="53" fillId="0" borderId="44" xfId="0" applyNumberFormat="1" applyFont="1" applyBorder="1" applyAlignment="1">
      <alignment horizontal="left" indent="2"/>
    </xf>
    <xf numFmtId="165" fontId="120" fillId="0" borderId="16" xfId="2" applyNumberFormat="1" applyFont="1" applyBorder="1" applyAlignment="1">
      <alignment horizontal="right" indent="2"/>
    </xf>
    <xf numFmtId="3" fontId="5" fillId="0" borderId="0" xfId="0" applyNumberFormat="1" applyFont="1" applyAlignment="1">
      <alignment horizontal="right"/>
    </xf>
    <xf numFmtId="0" fontId="12" fillId="0" borderId="42" xfId="0" applyFont="1" applyBorder="1" applyAlignment="1">
      <alignment horizontal="right"/>
    </xf>
    <xf numFmtId="0" fontId="31" fillId="0" borderId="42" xfId="0" applyFont="1" applyBorder="1" applyAlignment="1">
      <alignment horizontal="center" vertical="center" wrapText="1"/>
    </xf>
    <xf numFmtId="165" fontId="162" fillId="0" borderId="38" xfId="2" applyNumberFormat="1" applyFont="1" applyBorder="1"/>
    <xf numFmtId="3" fontId="12" fillId="0" borderId="44" xfId="0" applyNumberFormat="1" applyFont="1" applyBorder="1" applyAlignment="1">
      <alignment horizontal="left" indent="2"/>
    </xf>
    <xf numFmtId="174" fontId="5" fillId="0" borderId="0" xfId="1" applyNumberFormat="1" applyFont="1" applyAlignment="1">
      <alignment horizontal="right"/>
    </xf>
    <xf numFmtId="174" fontId="12" fillId="0" borderId="0" xfId="1" applyNumberFormat="1" applyFont="1" applyAlignment="1">
      <alignment horizontal="right"/>
    </xf>
    <xf numFmtId="165" fontId="136" fillId="0" borderId="38" xfId="2" applyNumberFormat="1" applyFont="1" applyBorder="1"/>
    <xf numFmtId="0" fontId="35" fillId="0" borderId="42" xfId="0" applyFont="1" applyBorder="1" applyAlignment="1">
      <alignment horizontal="center" vertical="center" wrapText="1"/>
    </xf>
    <xf numFmtId="174" fontId="12" fillId="0" borderId="42" xfId="1" applyNumberFormat="1" applyFont="1" applyBorder="1" applyAlignment="1">
      <alignment horizontal="right"/>
    </xf>
    <xf numFmtId="165" fontId="136" fillId="0" borderId="0" xfId="2" applyNumberFormat="1" applyFont="1"/>
    <xf numFmtId="3" fontId="0" fillId="0" borderId="12" xfId="0" applyNumberFormat="1" applyBorder="1" applyAlignment="1">
      <alignment horizontal="left" vertical="top" indent="2"/>
    </xf>
    <xf numFmtId="165" fontId="50" fillId="0" borderId="13" xfId="0" applyNumberFormat="1" applyFont="1" applyBorder="1" applyAlignment="1">
      <alignment horizontal="right" indent="2"/>
    </xf>
    <xf numFmtId="0" fontId="3" fillId="7" borderId="25" xfId="0" applyFont="1" applyFill="1" applyBorder="1" applyAlignment="1">
      <alignment horizontal="right" indent="2"/>
    </xf>
    <xf numFmtId="165" fontId="138" fillId="0" borderId="22" xfId="2" applyNumberFormat="1" applyFont="1" applyBorder="1"/>
    <xf numFmtId="165" fontId="139" fillId="0" borderId="22" xfId="2" applyNumberFormat="1" applyFont="1" applyBorder="1"/>
    <xf numFmtId="165" fontId="139" fillId="0" borderId="34" xfId="2" applyNumberFormat="1" applyFont="1" applyBorder="1"/>
    <xf numFmtId="3" fontId="54" fillId="0" borderId="18" xfId="0" applyNumberFormat="1" applyFont="1" applyBorder="1" applyAlignment="1">
      <alignment horizontal="right" indent="2"/>
    </xf>
    <xf numFmtId="3" fontId="54" fillId="0" borderId="0" xfId="0" applyNumberFormat="1" applyFont="1" applyAlignment="1">
      <alignment horizontal="right" indent="2"/>
    </xf>
    <xf numFmtId="3" fontId="140" fillId="0" borderId="11" xfId="0" applyNumberFormat="1" applyFont="1" applyBorder="1" applyAlignment="1">
      <alignment horizontal="right" indent="2"/>
    </xf>
    <xf numFmtId="3" fontId="85" fillId="0" borderId="18" xfId="0" applyNumberFormat="1" applyFont="1" applyBorder="1" applyAlignment="1">
      <alignment horizontal="right" indent="2"/>
    </xf>
    <xf numFmtId="3" fontId="85" fillId="0" borderId="0" xfId="0" applyNumberFormat="1" applyFont="1" applyAlignment="1">
      <alignment horizontal="right" indent="2"/>
    </xf>
    <xf numFmtId="3" fontId="141" fillId="0" borderId="11" xfId="0" applyNumberFormat="1" applyFont="1" applyBorder="1" applyAlignment="1">
      <alignment horizontal="right" indent="2"/>
    </xf>
    <xf numFmtId="165" fontId="36" fillId="0" borderId="18" xfId="2" applyNumberFormat="1" applyFont="1" applyBorder="1" applyAlignment="1">
      <alignment horizontal="right" indent="2"/>
    </xf>
    <xf numFmtId="165" fontId="136" fillId="0" borderId="11" xfId="2" applyNumberFormat="1" applyFont="1" applyBorder="1" applyAlignment="1">
      <alignment horizontal="right" indent="2"/>
    </xf>
    <xf numFmtId="165" fontId="85" fillId="0" borderId="0" xfId="2" applyNumberFormat="1" applyFont="1" applyAlignment="1">
      <alignment horizontal="right" indent="2"/>
    </xf>
    <xf numFmtId="165" fontId="141" fillId="0" borderId="11" xfId="2" applyNumberFormat="1" applyFont="1" applyBorder="1" applyAlignment="1">
      <alignment horizontal="right" indent="2"/>
    </xf>
    <xf numFmtId="165" fontId="26" fillId="6" borderId="6" xfId="2" applyNumberFormat="1" applyFont="1" applyFill="1" applyBorder="1" applyAlignment="1">
      <alignment horizontal="right" indent="2"/>
    </xf>
    <xf numFmtId="3" fontId="27" fillId="6" borderId="8" xfId="0" applyNumberFormat="1" applyFont="1" applyFill="1" applyBorder="1" applyAlignment="1">
      <alignment horizontal="right" indent="2"/>
    </xf>
    <xf numFmtId="165" fontId="27" fillId="6" borderId="8" xfId="2" applyNumberFormat="1" applyFont="1" applyFill="1" applyBorder="1" applyAlignment="1">
      <alignment horizontal="right" indent="2"/>
    </xf>
    <xf numFmtId="0" fontId="29" fillId="0" borderId="0" xfId="0" applyFont="1" applyAlignment="1">
      <alignment horizontal="right"/>
    </xf>
    <xf numFmtId="0" fontId="56" fillId="4" borderId="6" xfId="0" applyFont="1" applyFill="1" applyBorder="1" applyAlignment="1">
      <alignment horizontal="right"/>
    </xf>
    <xf numFmtId="165" fontId="12" fillId="0" borderId="5" xfId="0" applyNumberFormat="1" applyFont="1" applyBorder="1" applyAlignment="1">
      <alignment horizontal="center" vertical="center" wrapText="1"/>
    </xf>
    <xf numFmtId="0" fontId="29" fillId="0" borderId="5" xfId="3" applyFont="1" applyBorder="1" applyAlignment="1">
      <alignment horizontal="center" vertical="center" wrapText="1"/>
    </xf>
    <xf numFmtId="165" fontId="12" fillId="0" borderId="16" xfId="0" applyNumberFormat="1" applyFont="1" applyBorder="1" applyAlignment="1">
      <alignment vertical="center" wrapText="1"/>
    </xf>
    <xf numFmtId="10" fontId="136" fillId="0" borderId="11" xfId="2" applyNumberFormat="1" applyFont="1" applyBorder="1"/>
    <xf numFmtId="165" fontId="49" fillId="0" borderId="11" xfId="0" applyNumberFormat="1" applyFont="1" applyBorder="1"/>
    <xf numFmtId="3" fontId="46" fillId="0" borderId="0" xfId="0" applyNumberFormat="1" applyFont="1" applyAlignment="1">
      <alignment horizontal="right"/>
    </xf>
    <xf numFmtId="0" fontId="88" fillId="6" borderId="21" xfId="0" applyFont="1" applyFill="1" applyBorder="1" applyAlignment="1">
      <alignment horizontal="center"/>
    </xf>
    <xf numFmtId="0" fontId="88" fillId="6" borderId="22" xfId="0" applyFont="1" applyFill="1" applyBorder="1" applyAlignment="1">
      <alignment horizontal="right"/>
    </xf>
    <xf numFmtId="0" fontId="166" fillId="6" borderId="21" xfId="0" applyFont="1" applyFill="1" applyBorder="1" applyAlignment="1">
      <alignment horizontal="center" vertical="center" textRotation="90" wrapText="1"/>
    </xf>
    <xf numFmtId="0" fontId="166" fillId="6" borderId="27" xfId="0" applyFont="1" applyFill="1" applyBorder="1" applyAlignment="1">
      <alignment horizontal="center" vertical="center" textRotation="90" wrapText="1"/>
    </xf>
    <xf numFmtId="0" fontId="88" fillId="6" borderId="28" xfId="0" applyFont="1" applyFill="1" applyBorder="1" applyAlignment="1">
      <alignment horizontal="right"/>
    </xf>
    <xf numFmtId="0" fontId="109" fillId="6" borderId="27" xfId="0" applyFont="1" applyFill="1" applyBorder="1" applyAlignment="1">
      <alignment horizontal="center" vertical="center" textRotation="90" wrapText="1"/>
    </xf>
    <xf numFmtId="166" fontId="12" fillId="0" borderId="0" xfId="0" applyNumberFormat="1" applyFont="1" applyAlignment="1">
      <alignment horizontal="left"/>
    </xf>
    <xf numFmtId="0" fontId="56" fillId="6" borderId="34" xfId="0" applyFont="1" applyFill="1" applyBorder="1" applyAlignment="1">
      <alignment horizontal="right"/>
    </xf>
    <xf numFmtId="165" fontId="49" fillId="0" borderId="38" xfId="0" applyNumberFormat="1" applyFont="1" applyBorder="1"/>
    <xf numFmtId="0" fontId="31" fillId="0" borderId="42" xfId="0" applyFont="1" applyBorder="1" applyAlignment="1">
      <alignment horizontal="left" vertical="center" wrapText="1"/>
    </xf>
    <xf numFmtId="3" fontId="35" fillId="0" borderId="42" xfId="0" applyNumberFormat="1" applyFont="1" applyBorder="1" applyAlignment="1">
      <alignment horizontal="right" vertical="center"/>
    </xf>
    <xf numFmtId="3" fontId="31" fillId="0" borderId="42" xfId="0" applyNumberFormat="1" applyFont="1" applyBorder="1" applyAlignment="1">
      <alignment horizontal="right" vertical="center"/>
    </xf>
    <xf numFmtId="165" fontId="49" fillId="0" borderId="16" xfId="0" applyNumberFormat="1" applyFont="1" applyBorder="1"/>
    <xf numFmtId="3" fontId="136" fillId="0" borderId="16" xfId="0" applyNumberFormat="1" applyFont="1" applyBorder="1"/>
    <xf numFmtId="165" fontId="49" fillId="0" borderId="62" xfId="2" applyNumberFormat="1" applyFont="1" applyBorder="1"/>
    <xf numFmtId="3" fontId="12" fillId="0" borderId="0" xfId="0" applyNumberFormat="1" applyFont="1" applyAlignment="1">
      <alignment horizontal="left"/>
    </xf>
    <xf numFmtId="3" fontId="5" fillId="0" borderId="0" xfId="0" applyNumberFormat="1" applyFont="1" applyAlignment="1">
      <alignment horizontal="left"/>
    </xf>
    <xf numFmtId="165" fontId="49" fillId="0" borderId="28" xfId="2" applyNumberFormat="1" applyFont="1" applyBorder="1"/>
    <xf numFmtId="0" fontId="35" fillId="0" borderId="0" xfId="0" applyFont="1" applyAlignment="1">
      <alignment vertical="center" wrapText="1"/>
    </xf>
    <xf numFmtId="0" fontId="35" fillId="0" borderId="0" xfId="0" applyFont="1" applyAlignment="1">
      <alignment horizontal="left" vertical="center"/>
    </xf>
    <xf numFmtId="3" fontId="35" fillId="0" borderId="0" xfId="0" applyNumberFormat="1" applyFont="1" applyAlignment="1">
      <alignment horizontal="left" vertical="center"/>
    </xf>
    <xf numFmtId="3" fontId="31" fillId="0" borderId="0" xfId="0" applyNumberFormat="1" applyFont="1" applyAlignment="1">
      <alignment horizontal="left" vertical="center"/>
    </xf>
    <xf numFmtId="165" fontId="136" fillId="0" borderId="28" xfId="2" applyNumberFormat="1" applyFont="1" applyBorder="1"/>
    <xf numFmtId="0" fontId="35" fillId="0" borderId="0" xfId="0" applyFont="1" applyAlignment="1">
      <alignment horizontal="left"/>
    </xf>
    <xf numFmtId="0" fontId="137" fillId="0" borderId="0" xfId="0" applyFont="1" applyAlignment="1">
      <alignment vertical="center" wrapText="1"/>
    </xf>
    <xf numFmtId="0" fontId="56" fillId="0" borderId="16" xfId="0" applyFont="1" applyBorder="1"/>
    <xf numFmtId="165" fontId="49" fillId="0" borderId="16" xfId="2" applyNumberFormat="1" applyFont="1" applyBorder="1" applyAlignment="1">
      <alignment vertical="center" wrapText="1"/>
    </xf>
    <xf numFmtId="166" fontId="31" fillId="0" borderId="0" xfId="0" applyNumberFormat="1" applyFont="1" applyAlignment="1">
      <alignment horizontal="center" vertical="center" wrapText="1"/>
    </xf>
    <xf numFmtId="166" fontId="5" fillId="0" borderId="0" xfId="0" applyNumberFormat="1" applyFont="1" applyAlignment="1">
      <alignment horizontal="right"/>
    </xf>
    <xf numFmtId="0" fontId="56" fillId="0" borderId="11" xfId="0" quotePrefix="1" applyFont="1" applyBorder="1" applyAlignment="1">
      <alignment horizontal="right"/>
    </xf>
    <xf numFmtId="165" fontId="49" fillId="0" borderId="33" xfId="2" applyNumberFormat="1" applyFont="1" applyBorder="1" applyAlignment="1">
      <alignment horizontal="right" indent="2"/>
    </xf>
    <xf numFmtId="165" fontId="49" fillId="0" borderId="41" xfId="2" applyNumberFormat="1" applyFont="1" applyBorder="1" applyAlignment="1">
      <alignment horizontal="right" indent="2"/>
    </xf>
    <xf numFmtId="165" fontId="49" fillId="0" borderId="38" xfId="2" applyNumberFormat="1" applyFont="1" applyBorder="1" applyAlignment="1">
      <alignment horizontal="right" indent="2"/>
    </xf>
    <xf numFmtId="165" fontId="49" fillId="0" borderId="33" xfId="2" applyNumberFormat="1" applyFont="1" applyBorder="1" applyAlignment="1">
      <alignment horizontal="center" vertical="center" wrapText="1"/>
    </xf>
    <xf numFmtId="165" fontId="49" fillId="0" borderId="16" xfId="2" applyNumberFormat="1" applyFont="1" applyBorder="1"/>
    <xf numFmtId="3" fontId="0" fillId="4" borderId="16" xfId="0" applyNumberFormat="1" applyFill="1" applyBorder="1" applyAlignment="1">
      <alignment horizontal="right" vertical="center" wrapText="1" indent="2"/>
    </xf>
    <xf numFmtId="3" fontId="29" fillId="0" borderId="0" xfId="0" applyNumberFormat="1" applyFont="1" applyAlignment="1">
      <alignment horizontal="right" indent="2"/>
    </xf>
    <xf numFmtId="165" fontId="12" fillId="0" borderId="4" xfId="0" applyNumberFormat="1" applyFont="1" applyBorder="1" applyAlignment="1">
      <alignment vertical="center" wrapText="1"/>
    </xf>
    <xf numFmtId="0" fontId="29" fillId="0" borderId="4" xfId="0" applyFont="1" applyBorder="1" applyAlignment="1">
      <alignment vertical="center" wrapText="1"/>
    </xf>
    <xf numFmtId="165" fontId="12" fillId="0" borderId="16" xfId="0" applyNumberFormat="1" applyFont="1" applyBorder="1" applyAlignment="1">
      <alignment horizontal="right" indent="2"/>
    </xf>
    <xf numFmtId="166" fontId="12" fillId="4" borderId="0" xfId="0" applyNumberFormat="1" applyFont="1" applyFill="1" applyAlignment="1">
      <alignment horizontal="right" indent="2"/>
    </xf>
    <xf numFmtId="3" fontId="12" fillId="0" borderId="0" xfId="0" applyNumberFormat="1" applyFont="1" applyAlignment="1">
      <alignment horizontal="left" indent="2"/>
    </xf>
    <xf numFmtId="43" fontId="12" fillId="0" borderId="0" xfId="5" applyFont="1" applyAlignment="1">
      <alignment horizontal="center"/>
    </xf>
    <xf numFmtId="0" fontId="77" fillId="0" borderId="0" xfId="0" applyFont="1" applyAlignment="1">
      <alignment horizontal="left"/>
    </xf>
    <xf numFmtId="3" fontId="38" fillId="0" borderId="0" xfId="0" applyNumberFormat="1" applyFont="1" applyAlignment="1">
      <alignment horizontal="right"/>
    </xf>
    <xf numFmtId="0" fontId="77" fillId="0" borderId="0" xfId="0" applyFont="1" applyAlignment="1">
      <alignment horizontal="left" wrapText="1"/>
    </xf>
    <xf numFmtId="43" fontId="77" fillId="0" borderId="0" xfId="5" applyFont="1" applyAlignment="1">
      <alignment horizontal="center" wrapText="1"/>
    </xf>
    <xf numFmtId="43" fontId="12" fillId="0" borderId="0" xfId="5" applyFont="1" applyAlignment="1">
      <alignment horizontal="left"/>
    </xf>
    <xf numFmtId="43" fontId="38" fillId="0" borderId="0" xfId="5" applyFont="1" applyAlignment="1">
      <alignment horizontal="left"/>
    </xf>
    <xf numFmtId="166" fontId="5" fillId="4" borderId="0" xfId="0" applyNumberFormat="1" applyFont="1" applyFill="1" applyAlignment="1">
      <alignment horizontal="right" indent="2"/>
    </xf>
    <xf numFmtId="43" fontId="77" fillId="0" borderId="0" xfId="5" applyFont="1" applyAlignment="1">
      <alignment horizontal="center"/>
    </xf>
    <xf numFmtId="0" fontId="38" fillId="0" borderId="44" xfId="0" applyFont="1" applyBorder="1" applyAlignment="1">
      <alignment horizontal="right"/>
    </xf>
    <xf numFmtId="3" fontId="54" fillId="4" borderId="50" xfId="0" applyNumberFormat="1" applyFont="1" applyFill="1" applyBorder="1" applyAlignment="1">
      <alignment horizontal="right" indent="2"/>
    </xf>
    <xf numFmtId="3" fontId="12" fillId="0" borderId="42" xfId="0" applyNumberFormat="1" applyFont="1" applyBorder="1" applyAlignment="1">
      <alignment horizontal="right"/>
    </xf>
    <xf numFmtId="3" fontId="5" fillId="0" borderId="42" xfId="0" applyNumberFormat="1" applyFont="1" applyBorder="1" applyAlignment="1">
      <alignment horizontal="right"/>
    </xf>
    <xf numFmtId="3" fontId="4" fillId="0" borderId="12" xfId="3" applyNumberFormat="1" applyBorder="1" applyAlignment="1">
      <alignment horizontal="left"/>
    </xf>
    <xf numFmtId="0" fontId="67" fillId="0" borderId="44" xfId="0" applyFont="1" applyBorder="1" applyAlignment="1">
      <alignment horizontal="left"/>
    </xf>
    <xf numFmtId="0" fontId="56" fillId="0" borderId="8" xfId="0" applyFont="1" applyBorder="1" applyAlignment="1">
      <alignment horizontal="right"/>
    </xf>
    <xf numFmtId="0" fontId="56" fillId="0" borderId="9" xfId="0" applyFont="1" applyBorder="1" applyAlignment="1">
      <alignment horizontal="right"/>
    </xf>
    <xf numFmtId="0" fontId="56" fillId="0" borderId="41" xfId="0" applyFont="1" applyBorder="1" applyAlignment="1">
      <alignment horizontal="right"/>
    </xf>
    <xf numFmtId="0" fontId="67" fillId="6" borderId="16" xfId="0" applyFont="1" applyFill="1" applyBorder="1" applyAlignment="1">
      <alignment horizontal="left"/>
    </xf>
    <xf numFmtId="0" fontId="56" fillId="6" borderId="62" xfId="0" applyFont="1" applyFill="1" applyBorder="1" applyAlignment="1">
      <alignment horizontal="right"/>
    </xf>
    <xf numFmtId="174" fontId="38" fillId="0" borderId="0" xfId="1" applyNumberFormat="1" applyFont="1" applyAlignment="1">
      <alignment horizontal="right"/>
    </xf>
    <xf numFmtId="3" fontId="0" fillId="7" borderId="12" xfId="0" applyNumberFormat="1" applyFill="1" applyBorder="1" applyAlignment="1">
      <alignment horizontal="left" vertical="top" indent="2"/>
    </xf>
    <xf numFmtId="165" fontId="49" fillId="0" borderId="22" xfId="2" applyNumberFormat="1" applyFont="1" applyBorder="1"/>
    <xf numFmtId="3" fontId="54" fillId="0" borderId="11" xfId="0" applyNumberFormat="1" applyFont="1" applyBorder="1" applyAlignment="1">
      <alignment horizontal="right" indent="2"/>
    </xf>
    <xf numFmtId="165" fontId="36" fillId="0" borderId="11" xfId="2" applyNumberFormat="1" applyFont="1" applyBorder="1" applyAlignment="1">
      <alignment horizontal="right" indent="2"/>
    </xf>
    <xf numFmtId="165" fontId="85" fillId="0" borderId="11" xfId="2" applyNumberFormat="1" applyFont="1" applyBorder="1" applyAlignment="1">
      <alignment horizontal="right" indent="2"/>
    </xf>
    <xf numFmtId="165" fontId="12" fillId="6" borderId="63" xfId="2" applyNumberFormat="1" applyFont="1" applyFill="1" applyBorder="1" applyAlignment="1">
      <alignment horizontal="right" indent="2"/>
    </xf>
    <xf numFmtId="165" fontId="26" fillId="6" borderId="79" xfId="2" applyNumberFormat="1" applyFont="1" applyFill="1" applyBorder="1" applyAlignment="1">
      <alignment horizontal="right" indent="2"/>
    </xf>
    <xf numFmtId="3" fontId="27" fillId="6" borderId="63" xfId="0" applyNumberFormat="1" applyFont="1" applyFill="1" applyBorder="1" applyAlignment="1">
      <alignment horizontal="right" indent="2"/>
    </xf>
    <xf numFmtId="165" fontId="27" fillId="6" borderId="63" xfId="2" applyNumberFormat="1" applyFont="1" applyFill="1" applyBorder="1" applyAlignment="1">
      <alignment horizontal="right" indent="2"/>
    </xf>
    <xf numFmtId="165" fontId="3" fillId="0" borderId="16" xfId="2" applyNumberFormat="1" applyFont="1" applyBorder="1" applyAlignment="1">
      <alignment horizontal="right" indent="2"/>
    </xf>
    <xf numFmtId="0" fontId="0" fillId="0" borderId="10" xfId="0" applyBorder="1" applyAlignment="1">
      <alignment horizontal="right"/>
    </xf>
    <xf numFmtId="0" fontId="113" fillId="0" borderId="0" xfId="0" applyFont="1" applyAlignment="1">
      <alignment horizontal="right"/>
    </xf>
    <xf numFmtId="0" fontId="113" fillId="0" borderId="10" xfId="0" applyFont="1" applyBorder="1" applyAlignment="1">
      <alignment horizontal="right"/>
    </xf>
    <xf numFmtId="0" fontId="113" fillId="0" borderId="7" xfId="0" applyFont="1" applyBorder="1" applyAlignment="1">
      <alignment horizontal="right"/>
    </xf>
    <xf numFmtId="0" fontId="0" fillId="0" borderId="7" xfId="0" applyBorder="1" applyAlignment="1">
      <alignment horizontal="right"/>
    </xf>
    <xf numFmtId="165" fontId="3" fillId="0" borderId="5" xfId="0" applyNumberFormat="1" applyFont="1" applyBorder="1" applyAlignment="1">
      <alignment horizontal="center"/>
    </xf>
    <xf numFmtId="9" fontId="3" fillId="0" borderId="16" xfId="2" applyFont="1" applyBorder="1" applyAlignment="1">
      <alignment horizontal="right" vertical="center" wrapText="1" indent="2"/>
    </xf>
    <xf numFmtId="0" fontId="16" fillId="0" borderId="10" xfId="0" applyFont="1" applyBorder="1" applyAlignment="1">
      <alignment horizontal="right"/>
    </xf>
    <xf numFmtId="0" fontId="0" fillId="0" borderId="4" xfId="0" applyBorder="1" applyAlignment="1">
      <alignment horizontal="right"/>
    </xf>
    <xf numFmtId="0" fontId="0" fillId="0" borderId="4" xfId="0" applyBorder="1" applyAlignment="1">
      <alignment horizontal="right" vertical="center"/>
    </xf>
    <xf numFmtId="0" fontId="3" fillId="0" borderId="5" xfId="0" applyFont="1" applyBorder="1" applyAlignment="1">
      <alignment horizontal="right"/>
    </xf>
    <xf numFmtId="0" fontId="3" fillId="4" borderId="6" xfId="0" applyFont="1" applyFill="1" applyBorder="1" applyAlignment="1">
      <alignment horizontal="right"/>
    </xf>
    <xf numFmtId="3" fontId="0" fillId="4" borderId="96" xfId="0" applyNumberFormat="1" applyFill="1" applyBorder="1" applyAlignment="1">
      <alignment horizontal="right" indent="2"/>
    </xf>
    <xf numFmtId="3" fontId="0" fillId="5" borderId="96" xfId="0" applyNumberFormat="1" applyFill="1" applyBorder="1" applyAlignment="1">
      <alignment horizontal="right" indent="2"/>
    </xf>
    <xf numFmtId="3" fontId="0" fillId="5" borderId="47" xfId="0" applyNumberFormat="1" applyFill="1" applyBorder="1" applyAlignment="1">
      <alignment horizontal="right" indent="2"/>
    </xf>
    <xf numFmtId="0" fontId="67" fillId="4" borderId="6" xfId="0" applyFont="1" applyFill="1" applyBorder="1" applyAlignment="1">
      <alignment horizontal="right"/>
    </xf>
    <xf numFmtId="9" fontId="0" fillId="0" borderId="11" xfId="2" applyFont="1" applyBorder="1" applyAlignment="1">
      <alignment horizontal="center" vertical="center" wrapText="1"/>
    </xf>
    <xf numFmtId="9" fontId="0" fillId="0" borderId="11" xfId="2" applyFont="1" applyBorder="1" applyAlignment="1">
      <alignment horizontal="right" vertical="center" wrapText="1" indent="2"/>
    </xf>
    <xf numFmtId="0" fontId="88" fillId="4" borderId="6" xfId="0" applyFont="1" applyFill="1" applyBorder="1" applyAlignment="1">
      <alignment horizontal="right"/>
    </xf>
    <xf numFmtId="3" fontId="46" fillId="4" borderId="30" xfId="0" applyNumberFormat="1" applyFont="1" applyFill="1" applyBorder="1" applyAlignment="1">
      <alignment horizontal="right" indent="2"/>
    </xf>
    <xf numFmtId="3" fontId="57" fillId="4" borderId="30" xfId="0" applyNumberFormat="1" applyFont="1" applyFill="1" applyBorder="1" applyAlignment="1">
      <alignment horizontal="right" indent="2"/>
    </xf>
    <xf numFmtId="0" fontId="4" fillId="0" borderId="10" xfId="3" applyBorder="1"/>
    <xf numFmtId="0" fontId="3" fillId="0" borderId="10" xfId="0" applyFont="1" applyBorder="1" applyAlignment="1">
      <alignment horizontal="right"/>
    </xf>
    <xf numFmtId="3" fontId="3" fillId="4" borderId="47" xfId="0" applyNumberFormat="1" applyFont="1" applyFill="1" applyBorder="1" applyAlignment="1">
      <alignment horizontal="center" vertical="center"/>
    </xf>
    <xf numFmtId="3" fontId="0" fillId="0" borderId="11" xfId="0" applyNumberFormat="1" applyBorder="1" applyAlignment="1">
      <alignment horizontal="center" vertical="center" wrapText="1"/>
    </xf>
    <xf numFmtId="0" fontId="5" fillId="4" borderId="4" xfId="0" applyFont="1" applyFill="1" applyBorder="1" applyAlignment="1">
      <alignment vertical="center"/>
    </xf>
    <xf numFmtId="3" fontId="3" fillId="5" borderId="47" xfId="0" applyNumberFormat="1" applyFont="1" applyFill="1" applyBorder="1" applyAlignment="1">
      <alignment horizontal="right" indent="2"/>
    </xf>
    <xf numFmtId="0" fontId="5" fillId="4" borderId="10" xfId="0" applyFont="1" applyFill="1" applyBorder="1" applyAlignment="1">
      <alignment vertical="center"/>
    </xf>
    <xf numFmtId="3" fontId="56" fillId="0" borderId="11" xfId="0" applyNumberFormat="1" applyFont="1" applyBorder="1" applyAlignment="1">
      <alignment horizontal="right" vertical="center" wrapText="1" indent="2"/>
    </xf>
    <xf numFmtId="3" fontId="56" fillId="5" borderId="47" xfId="0" applyNumberFormat="1" applyFont="1" applyFill="1" applyBorder="1" applyAlignment="1">
      <alignment horizontal="right" indent="2"/>
    </xf>
    <xf numFmtId="3" fontId="67" fillId="4" borderId="30" xfId="0" applyNumberFormat="1" applyFont="1" applyFill="1" applyBorder="1" applyAlignment="1">
      <alignment horizontal="right" indent="2"/>
    </xf>
    <xf numFmtId="3" fontId="0" fillId="5" borderId="24" xfId="0" applyNumberFormat="1" applyFill="1" applyBorder="1" applyAlignment="1">
      <alignment horizontal="right" indent="2"/>
    </xf>
    <xf numFmtId="165" fontId="26" fillId="0" borderId="0" xfId="2" applyNumberFormat="1" applyFont="1" applyAlignment="1">
      <alignment horizontal="right" indent="2"/>
    </xf>
    <xf numFmtId="3" fontId="38" fillId="6" borderId="21" xfId="0" applyNumberFormat="1" applyFont="1" applyFill="1" applyBorder="1" applyAlignment="1">
      <alignment horizontal="right" indent="2"/>
    </xf>
    <xf numFmtId="3" fontId="38" fillId="0" borderId="11" xfId="0" applyNumberFormat="1" applyFont="1" applyBorder="1" applyAlignment="1">
      <alignment horizontal="right" indent="2"/>
    </xf>
    <xf numFmtId="3" fontId="27" fillId="0" borderId="0" xfId="0" applyNumberFormat="1" applyFont="1" applyAlignment="1">
      <alignment horizontal="right" indent="2"/>
    </xf>
    <xf numFmtId="165" fontId="42" fillId="6" borderId="33" xfId="2" applyNumberFormat="1" applyFont="1" applyFill="1" applyBorder="1" applyAlignment="1">
      <alignment horizontal="right" indent="2"/>
    </xf>
    <xf numFmtId="3" fontId="52" fillId="0" borderId="0" xfId="3" applyNumberFormat="1" applyFont="1" applyAlignment="1">
      <alignment horizontal="left" wrapText="1"/>
    </xf>
    <xf numFmtId="3" fontId="52" fillId="0" borderId="18" xfId="3" applyNumberFormat="1" applyFont="1" applyBorder="1" applyAlignment="1">
      <alignment horizontal="left" wrapText="1"/>
    </xf>
    <xf numFmtId="3" fontId="52" fillId="0" borderId="11" xfId="3" applyNumberFormat="1" applyFont="1" applyBorder="1" applyAlignment="1">
      <alignment horizontal="left" wrapText="1"/>
    </xf>
    <xf numFmtId="165" fontId="55" fillId="0" borderId="11" xfId="2" applyNumberFormat="1" applyFont="1" applyBorder="1"/>
    <xf numFmtId="3" fontId="56" fillId="4" borderId="28" xfId="0" applyNumberFormat="1" applyFont="1" applyFill="1" applyBorder="1" applyAlignment="1">
      <alignment horizontal="right" indent="2"/>
    </xf>
    <xf numFmtId="165" fontId="55" fillId="0" borderId="33" xfId="2" applyNumberFormat="1" applyFont="1" applyBorder="1" applyAlignment="1">
      <alignment horizontal="center" vertical="center" wrapText="1"/>
    </xf>
    <xf numFmtId="165" fontId="55" fillId="0" borderId="34" xfId="2" applyNumberFormat="1" applyFont="1" applyBorder="1" applyAlignment="1">
      <alignment horizontal="right" indent="2"/>
    </xf>
    <xf numFmtId="165" fontId="55" fillId="0" borderId="3" xfId="2" applyNumberFormat="1" applyFont="1" applyBorder="1"/>
    <xf numFmtId="3" fontId="56" fillId="0" borderId="87" xfId="0" applyNumberFormat="1" applyFont="1" applyBorder="1" applyAlignment="1">
      <alignment horizontal="right" indent="2"/>
    </xf>
    <xf numFmtId="165" fontId="9" fillId="0" borderId="8" xfId="2" applyNumberFormat="1" applyFont="1" applyBorder="1"/>
    <xf numFmtId="165" fontId="1" fillId="0" borderId="11" xfId="2" applyNumberFormat="1" applyBorder="1"/>
    <xf numFmtId="165" fontId="25" fillId="0" borderId="50" xfId="2" applyNumberFormat="1" applyFont="1" applyBorder="1" applyAlignment="1">
      <alignment horizontal="right" indent="2"/>
    </xf>
    <xf numFmtId="165" fontId="25" fillId="0" borderId="72" xfId="2" applyNumberFormat="1" applyFont="1" applyBorder="1" applyAlignment="1">
      <alignment horizontal="right" indent="2"/>
    </xf>
    <xf numFmtId="3" fontId="26" fillId="0" borderId="50" xfId="2" applyNumberFormat="1" applyFont="1" applyBorder="1" applyAlignment="1">
      <alignment horizontal="right" indent="3"/>
    </xf>
    <xf numFmtId="3" fontId="26" fillId="0" borderId="72" xfId="2" applyNumberFormat="1" applyFont="1" applyBorder="1" applyAlignment="1">
      <alignment horizontal="right" indent="3"/>
    </xf>
    <xf numFmtId="3" fontId="26" fillId="0" borderId="0" xfId="2" applyNumberFormat="1" applyFont="1" applyAlignment="1">
      <alignment horizontal="right" indent="3"/>
    </xf>
    <xf numFmtId="165" fontId="26" fillId="0" borderId="82" xfId="2" applyNumberFormat="1" applyFont="1" applyBorder="1" applyAlignment="1">
      <alignment horizontal="right" indent="3"/>
    </xf>
    <xf numFmtId="165" fontId="27" fillId="0" borderId="85" xfId="2" applyNumberFormat="1" applyFont="1" applyBorder="1" applyAlignment="1">
      <alignment horizontal="right" indent="3"/>
    </xf>
    <xf numFmtId="165" fontId="26" fillId="0" borderId="42" xfId="2" applyNumberFormat="1" applyFont="1" applyBorder="1" applyAlignment="1">
      <alignment horizontal="right" indent="3"/>
    </xf>
    <xf numFmtId="0" fontId="145" fillId="0" borderId="4" xfId="0" applyFont="1" applyBorder="1" applyAlignment="1">
      <alignment horizontal="center" vertical="center" wrapText="1"/>
    </xf>
    <xf numFmtId="167" fontId="56" fillId="6" borderId="21" xfId="5" applyNumberFormat="1" applyFont="1" applyFill="1" applyBorder="1" applyAlignment="1">
      <alignment horizontal="right" vertical="center"/>
    </xf>
    <xf numFmtId="165" fontId="10" fillId="0" borderId="11" xfId="2" applyNumberFormat="1" applyFont="1" applyBorder="1" applyAlignment="1">
      <alignment vertical="center"/>
    </xf>
    <xf numFmtId="167" fontId="56" fillId="6" borderId="27" xfId="5" applyNumberFormat="1" applyFont="1" applyFill="1" applyBorder="1" applyAlignment="1">
      <alignment horizontal="right" vertical="center"/>
    </xf>
    <xf numFmtId="3" fontId="29" fillId="0" borderId="0" xfId="0" applyNumberFormat="1" applyFont="1" applyAlignment="1">
      <alignment horizontal="left" vertical="center" wrapText="1"/>
    </xf>
    <xf numFmtId="167" fontId="56" fillId="6" borderId="33" xfId="5" applyNumberFormat="1" applyFont="1" applyFill="1" applyBorder="1" applyAlignment="1">
      <alignment horizontal="right" vertical="center"/>
    </xf>
    <xf numFmtId="165" fontId="10" fillId="0" borderId="38" xfId="2" applyNumberFormat="1" applyFont="1" applyBorder="1" applyAlignment="1">
      <alignment vertical="center"/>
    </xf>
    <xf numFmtId="3" fontId="56" fillId="0" borderId="43" xfId="0" applyNumberFormat="1" applyFont="1" applyBorder="1" applyAlignment="1">
      <alignment horizontal="right" vertical="center"/>
    </xf>
    <xf numFmtId="3" fontId="0" fillId="0" borderId="44" xfId="0" applyNumberFormat="1" applyBorder="1" applyAlignment="1">
      <alignment horizontal="center" vertical="center"/>
    </xf>
    <xf numFmtId="3" fontId="0" fillId="0" borderId="43" xfId="0" applyNumberFormat="1" applyBorder="1" applyAlignment="1">
      <alignment horizontal="center" vertical="center"/>
    </xf>
    <xf numFmtId="3" fontId="0" fillId="0" borderId="16" xfId="0" applyNumberFormat="1" applyBorder="1" applyAlignment="1">
      <alignment horizontal="center" vertical="center"/>
    </xf>
    <xf numFmtId="3" fontId="56" fillId="4" borderId="47" xfId="0" applyNumberFormat="1" applyFont="1" applyFill="1" applyBorder="1" applyAlignment="1">
      <alignment horizontal="right" vertical="center"/>
    </xf>
    <xf numFmtId="3" fontId="56" fillId="4" borderId="65" xfId="0" applyNumberFormat="1" applyFont="1" applyFill="1" applyBorder="1" applyAlignment="1">
      <alignment horizontal="right" vertical="center"/>
    </xf>
    <xf numFmtId="3" fontId="56" fillId="4" borderId="17" xfId="0" applyNumberFormat="1" applyFont="1" applyFill="1" applyBorder="1" applyAlignment="1">
      <alignment horizontal="right" vertical="center"/>
    </xf>
    <xf numFmtId="3" fontId="56" fillId="4" borderId="79" xfId="0" applyNumberFormat="1" applyFont="1" applyFill="1" applyBorder="1" applyAlignment="1">
      <alignment horizontal="right" vertical="center"/>
    </xf>
    <xf numFmtId="3" fontId="56" fillId="4" borderId="24" xfId="0" applyNumberFormat="1" applyFont="1" applyFill="1" applyBorder="1" applyAlignment="1">
      <alignment horizontal="right" vertical="center"/>
    </xf>
    <xf numFmtId="3" fontId="56" fillId="4" borderId="51" xfId="0" applyNumberFormat="1" applyFont="1" applyFill="1" applyBorder="1" applyAlignment="1">
      <alignment horizontal="right" vertical="center"/>
    </xf>
    <xf numFmtId="0" fontId="29" fillId="0" borderId="0" xfId="0" applyFont="1" applyAlignment="1">
      <alignment vertical="center" wrapText="1"/>
    </xf>
    <xf numFmtId="3" fontId="56" fillId="4" borderId="21" xfId="0" applyNumberFormat="1" applyFont="1" applyFill="1" applyBorder="1" applyAlignment="1">
      <alignment horizontal="right" vertical="center"/>
    </xf>
    <xf numFmtId="3" fontId="56" fillId="4" borderId="63" xfId="0" applyNumberFormat="1" applyFont="1" applyFill="1" applyBorder="1" applyAlignment="1">
      <alignment horizontal="right" vertical="center"/>
    </xf>
    <xf numFmtId="0" fontId="29" fillId="0" borderId="0" xfId="0" applyFont="1" applyAlignment="1">
      <alignment horizontal="left" vertical="center" wrapText="1"/>
    </xf>
    <xf numFmtId="3" fontId="56" fillId="4" borderId="36" xfId="0" applyNumberFormat="1" applyFont="1" applyFill="1" applyBorder="1" applyAlignment="1">
      <alignment horizontal="right" vertical="center"/>
    </xf>
    <xf numFmtId="3" fontId="56" fillId="4" borderId="66" xfId="0" applyNumberFormat="1" applyFont="1" applyFill="1" applyBorder="1" applyAlignment="1">
      <alignment horizontal="right" vertical="center"/>
    </xf>
    <xf numFmtId="3" fontId="0" fillId="0" borderId="42" xfId="0" applyNumberFormat="1" applyBorder="1" applyAlignment="1">
      <alignment horizontal="left" vertical="center"/>
    </xf>
    <xf numFmtId="3" fontId="56" fillId="4" borderId="33" xfId="0" applyNumberFormat="1" applyFont="1" applyFill="1" applyBorder="1" applyAlignment="1">
      <alignment horizontal="right" vertical="center"/>
    </xf>
    <xf numFmtId="3" fontId="56" fillId="4" borderId="64" xfId="0" applyNumberFormat="1" applyFont="1" applyFill="1" applyBorder="1" applyAlignment="1">
      <alignment horizontal="right" vertical="center"/>
    </xf>
    <xf numFmtId="165" fontId="13" fillId="0" borderId="16" xfId="2" applyNumberFormat="1" applyFont="1" applyBorder="1" applyAlignment="1">
      <alignment vertical="center"/>
    </xf>
    <xf numFmtId="3" fontId="56" fillId="0" borderId="16" xfId="0" applyNumberFormat="1" applyFont="1" applyBorder="1" applyAlignment="1">
      <alignment horizontal="right" vertical="center"/>
    </xf>
    <xf numFmtId="10" fontId="13" fillId="0" borderId="11" xfId="2" applyNumberFormat="1" applyFont="1" applyBorder="1" applyAlignment="1">
      <alignment vertical="center"/>
    </xf>
    <xf numFmtId="3" fontId="56" fillId="4" borderId="62" xfId="0" applyNumberFormat="1" applyFont="1" applyFill="1" applyBorder="1" applyAlignment="1">
      <alignment horizontal="right" vertical="center"/>
    </xf>
    <xf numFmtId="9" fontId="1" fillId="0" borderId="0" xfId="2" applyAlignment="1">
      <alignment vertical="center"/>
    </xf>
    <xf numFmtId="165" fontId="13" fillId="0" borderId="11" xfId="2" applyNumberFormat="1" applyFont="1" applyBorder="1" applyAlignment="1">
      <alignment vertical="center"/>
    </xf>
    <xf numFmtId="3" fontId="2" fillId="0" borderId="42" xfId="0" applyNumberFormat="1" applyFont="1" applyBorder="1" applyAlignment="1">
      <alignment horizontal="left" vertical="center"/>
    </xf>
    <xf numFmtId="165" fontId="13" fillId="0" borderId="38" xfId="2" applyNumberFormat="1" applyFont="1" applyBorder="1" applyAlignment="1">
      <alignment vertical="center"/>
    </xf>
    <xf numFmtId="10" fontId="30" fillId="0" borderId="53" xfId="2" applyNumberFormat="1" applyFont="1" applyBorder="1" applyAlignment="1">
      <alignment horizontal="center" vertical="center" wrapText="1"/>
    </xf>
    <xf numFmtId="10" fontId="30" fillId="0" borderId="38" xfId="2" applyNumberFormat="1" applyFont="1" applyBorder="1" applyAlignment="1">
      <alignment horizontal="center" vertical="center" wrapText="1"/>
    </xf>
    <xf numFmtId="165" fontId="55" fillId="0" borderId="43" xfId="2" applyNumberFormat="1" applyFont="1" applyBorder="1" applyAlignment="1">
      <alignment horizontal="right" vertical="center"/>
    </xf>
    <xf numFmtId="165" fontId="55" fillId="0" borderId="44" xfId="2" applyNumberFormat="1" applyFont="1" applyBorder="1" applyAlignment="1">
      <alignment horizontal="right" vertical="center"/>
    </xf>
    <xf numFmtId="165" fontId="13" fillId="0" borderId="44" xfId="2" applyNumberFormat="1" applyFont="1" applyBorder="1" applyAlignment="1">
      <alignment horizontal="left" vertical="center"/>
    </xf>
    <xf numFmtId="165" fontId="13" fillId="0" borderId="16" xfId="2" applyNumberFormat="1" applyFont="1" applyBorder="1" applyAlignment="1">
      <alignment horizontal="right" vertical="center"/>
    </xf>
    <xf numFmtId="165" fontId="55" fillId="0" borderId="16" xfId="2" applyNumberFormat="1" applyFont="1" applyBorder="1" applyAlignment="1">
      <alignment horizontal="right" vertical="center"/>
    </xf>
    <xf numFmtId="165" fontId="13" fillId="0" borderId="0" xfId="2" applyNumberFormat="1" applyFont="1" applyAlignment="1">
      <alignment horizontal="left" vertical="center"/>
    </xf>
    <xf numFmtId="165" fontId="13" fillId="0" borderId="11" xfId="2" applyNumberFormat="1" applyFont="1" applyBorder="1" applyAlignment="1">
      <alignment horizontal="right" vertical="center"/>
    </xf>
    <xf numFmtId="3" fontId="56" fillId="4" borderId="22" xfId="0" applyNumberFormat="1" applyFont="1" applyFill="1" applyBorder="1" applyAlignment="1">
      <alignment horizontal="right" vertical="center"/>
    </xf>
    <xf numFmtId="165" fontId="13" fillId="0" borderId="42" xfId="2" applyNumberFormat="1" applyFont="1" applyBorder="1" applyAlignment="1">
      <alignment horizontal="left" vertical="center"/>
    </xf>
    <xf numFmtId="165" fontId="13" fillId="0" borderId="38" xfId="2" applyNumberFormat="1" applyFont="1" applyBorder="1" applyAlignment="1">
      <alignment horizontal="right" vertical="center"/>
    </xf>
    <xf numFmtId="3" fontId="56" fillId="4" borderId="34" xfId="0" applyNumberFormat="1" applyFont="1" applyFill="1" applyBorder="1" applyAlignment="1">
      <alignment horizontal="right" vertical="center"/>
    </xf>
    <xf numFmtId="165" fontId="55" fillId="0" borderId="0" xfId="2" applyNumberFormat="1" applyFont="1" applyAlignment="1">
      <alignment horizontal="right" vertical="center"/>
    </xf>
    <xf numFmtId="165" fontId="13" fillId="0" borderId="0" xfId="2" applyNumberFormat="1" applyFont="1" applyAlignment="1">
      <alignment horizontal="right" vertical="center"/>
    </xf>
    <xf numFmtId="165" fontId="13" fillId="0" borderId="102" xfId="2" applyNumberFormat="1" applyFont="1" applyBorder="1" applyAlignment="1">
      <alignment horizontal="center" vertical="center" wrapText="1"/>
    </xf>
    <xf numFmtId="165" fontId="13" fillId="0" borderId="4" xfId="2" applyNumberFormat="1" applyFont="1" applyBorder="1" applyAlignment="1">
      <alignment horizontal="left" vertical="center" wrapText="1"/>
    </xf>
    <xf numFmtId="165" fontId="13" fillId="0" borderId="4" xfId="2" applyNumberFormat="1" applyFont="1" applyBorder="1" applyAlignment="1">
      <alignment horizontal="right" vertical="center"/>
    </xf>
    <xf numFmtId="0" fontId="4" fillId="0" borderId="115" xfId="3" applyBorder="1" applyAlignment="1">
      <alignment horizontal="center" vertical="center" wrapText="1"/>
    </xf>
    <xf numFmtId="3" fontId="56" fillId="0" borderId="11" xfId="0" applyNumberFormat="1" applyFont="1" applyBorder="1" applyAlignment="1">
      <alignment horizontal="right" vertical="center"/>
    </xf>
    <xf numFmtId="3" fontId="56" fillId="4" borderId="30" xfId="0" applyNumberFormat="1" applyFont="1" applyFill="1" applyBorder="1" applyAlignment="1">
      <alignment horizontal="right" vertical="center"/>
    </xf>
    <xf numFmtId="3" fontId="56" fillId="4" borderId="74" xfId="0" applyNumberFormat="1" applyFont="1" applyFill="1" applyBorder="1" applyAlignment="1">
      <alignment horizontal="right" vertical="center"/>
    </xf>
    <xf numFmtId="3" fontId="56" fillId="0" borderId="12" xfId="0" applyNumberFormat="1" applyFont="1" applyBorder="1" applyAlignment="1">
      <alignment horizontal="right" vertical="center"/>
    </xf>
    <xf numFmtId="3" fontId="56" fillId="0" borderId="15" xfId="0" applyNumberFormat="1" applyFont="1" applyBorder="1" applyAlignment="1">
      <alignment horizontal="right" vertical="center"/>
    </xf>
    <xf numFmtId="165" fontId="9" fillId="0" borderId="11" xfId="2" applyNumberFormat="1" applyFont="1" applyBorder="1" applyAlignment="1">
      <alignment horizontal="right" vertical="center"/>
    </xf>
    <xf numFmtId="165" fontId="87" fillId="0" borderId="43" xfId="2" applyNumberFormat="1" applyFont="1" applyBorder="1" applyAlignment="1">
      <alignment horizontal="center" vertical="center"/>
    </xf>
    <xf numFmtId="165" fontId="20" fillId="0" borderId="44" xfId="2" applyNumberFormat="1" applyFont="1" applyBorder="1" applyAlignment="1">
      <alignment horizontal="left" vertical="center"/>
    </xf>
    <xf numFmtId="165" fontId="20" fillId="0" borderId="18" xfId="2" applyNumberFormat="1" applyFont="1" applyBorder="1" applyAlignment="1">
      <alignment horizontal="right" vertical="center"/>
    </xf>
    <xf numFmtId="165" fontId="20" fillId="0" borderId="102" xfId="2" applyNumberFormat="1" applyFont="1" applyBorder="1" applyAlignment="1">
      <alignment horizontal="right" vertical="center" wrapText="1"/>
    </xf>
    <xf numFmtId="167" fontId="1" fillId="4" borderId="18" xfId="5" applyNumberFormat="1" applyFill="1" applyBorder="1" applyAlignment="1">
      <alignment horizontal="right" vertical="center" indent="3"/>
    </xf>
    <xf numFmtId="165" fontId="15" fillId="0" borderId="0" xfId="2" applyNumberFormat="1" applyFont="1" applyAlignment="1">
      <alignment horizontal="left" vertical="center"/>
    </xf>
    <xf numFmtId="3" fontId="0" fillId="4" borderId="102" xfId="0" applyNumberFormat="1" applyFill="1" applyBorder="1" applyAlignment="1">
      <alignment horizontal="right" vertical="center" wrapText="1"/>
    </xf>
    <xf numFmtId="3" fontId="3" fillId="0" borderId="0" xfId="0" applyNumberFormat="1" applyFont="1" applyAlignment="1">
      <alignment horizontal="center" vertical="center"/>
    </xf>
    <xf numFmtId="3" fontId="0" fillId="4" borderId="102" xfId="0" applyNumberFormat="1" applyFill="1" applyBorder="1" applyAlignment="1">
      <alignment vertical="center"/>
    </xf>
    <xf numFmtId="3" fontId="23" fillId="0" borderId="0" xfId="0" applyNumberFormat="1" applyFont="1" applyAlignment="1">
      <alignment horizontal="left" vertical="center"/>
    </xf>
    <xf numFmtId="3" fontId="0" fillId="4" borderId="112" xfId="0" applyNumberFormat="1" applyFill="1" applyBorder="1" applyAlignment="1">
      <alignment horizontal="right" vertical="center" wrapText="1"/>
    </xf>
    <xf numFmtId="3" fontId="56" fillId="0" borderId="69" xfId="0" applyNumberFormat="1" applyFont="1" applyBorder="1" applyAlignment="1">
      <alignment horizontal="right" vertical="center"/>
    </xf>
    <xf numFmtId="3" fontId="56" fillId="0" borderId="70" xfId="0" applyNumberFormat="1" applyFont="1" applyBorder="1" applyAlignment="1">
      <alignment horizontal="right" vertical="center"/>
    </xf>
    <xf numFmtId="3" fontId="23" fillId="0" borderId="12" xfId="0" applyNumberFormat="1" applyFont="1" applyBorder="1" applyAlignment="1">
      <alignment horizontal="right" vertical="center"/>
    </xf>
    <xf numFmtId="3" fontId="23" fillId="0" borderId="152" xfId="0" applyNumberFormat="1" applyFont="1" applyBorder="1" applyAlignment="1">
      <alignment horizontal="right" vertical="center"/>
    </xf>
    <xf numFmtId="3" fontId="56" fillId="6" borderId="24" xfId="0" applyNumberFormat="1" applyFont="1" applyFill="1" applyBorder="1" applyAlignment="1">
      <alignment horizontal="right" vertical="center"/>
    </xf>
    <xf numFmtId="3" fontId="56" fillId="6" borderId="51" xfId="0" applyNumberFormat="1" applyFont="1" applyFill="1" applyBorder="1" applyAlignment="1">
      <alignment horizontal="right" vertical="center"/>
    </xf>
    <xf numFmtId="3" fontId="23" fillId="6" borderId="21" xfId="0" applyNumberFormat="1" applyFont="1" applyFill="1" applyBorder="1" applyAlignment="1">
      <alignment horizontal="right" vertical="center"/>
    </xf>
    <xf numFmtId="3" fontId="23" fillId="6" borderId="153" xfId="0" applyNumberFormat="1" applyFont="1" applyFill="1" applyBorder="1" applyAlignment="1">
      <alignment horizontal="right" vertical="center"/>
    </xf>
    <xf numFmtId="3" fontId="56" fillId="6" borderId="36" xfId="0" applyNumberFormat="1" applyFont="1" applyFill="1" applyBorder="1" applyAlignment="1">
      <alignment horizontal="right" vertical="center"/>
    </xf>
    <xf numFmtId="3" fontId="56" fillId="6" borderId="66" xfId="0" applyNumberFormat="1" applyFont="1" applyFill="1" applyBorder="1" applyAlignment="1">
      <alignment horizontal="right" vertical="center"/>
    </xf>
    <xf numFmtId="3" fontId="23" fillId="6" borderId="33" xfId="0" applyNumberFormat="1" applyFont="1" applyFill="1" applyBorder="1" applyAlignment="1">
      <alignment horizontal="right" vertical="center"/>
    </xf>
    <xf numFmtId="3" fontId="23" fillId="6" borderId="154" xfId="0" applyNumberFormat="1" applyFont="1" applyFill="1" applyBorder="1" applyAlignment="1">
      <alignment horizontal="right" vertical="center"/>
    </xf>
    <xf numFmtId="165" fontId="13" fillId="0" borderId="0" xfId="2" applyNumberFormat="1" applyFont="1" applyAlignment="1">
      <alignment vertical="center"/>
    </xf>
    <xf numFmtId="3" fontId="18" fillId="0" borderId="0" xfId="0" applyNumberFormat="1" applyFont="1" applyAlignment="1">
      <alignment horizontal="right" vertical="center"/>
    </xf>
    <xf numFmtId="3" fontId="24" fillId="0" borderId="0" xfId="0" applyNumberFormat="1" applyFont="1" applyAlignment="1">
      <alignment horizontal="right" vertical="center"/>
    </xf>
    <xf numFmtId="165" fontId="10" fillId="0" borderId="11" xfId="0" applyNumberFormat="1" applyFont="1" applyBorder="1" applyAlignment="1">
      <alignment horizontal="right" vertical="center"/>
    </xf>
    <xf numFmtId="165" fontId="126" fillId="0" borderId="18" xfId="2" applyNumberFormat="1" applyFont="1" applyBorder="1" applyAlignment="1">
      <alignment horizontal="right" vertical="center"/>
    </xf>
    <xf numFmtId="165" fontId="126" fillId="0" borderId="0" xfId="2" applyNumberFormat="1" applyFont="1" applyAlignment="1">
      <alignment horizontal="left" vertical="center"/>
    </xf>
    <xf numFmtId="165" fontId="126" fillId="0" borderId="11" xfId="2" applyNumberFormat="1" applyFont="1" applyBorder="1" applyAlignment="1">
      <alignment horizontal="right" vertical="center"/>
    </xf>
    <xf numFmtId="165" fontId="126" fillId="0" borderId="0" xfId="2" applyNumberFormat="1" applyFont="1" applyAlignment="1">
      <alignment horizontal="right" vertical="center"/>
    </xf>
    <xf numFmtId="3" fontId="15" fillId="0" borderId="0" xfId="2" applyNumberFormat="1" applyFont="1" applyAlignment="1">
      <alignment horizontal="left" vertical="center"/>
    </xf>
    <xf numFmtId="3" fontId="15" fillId="0" borderId="11" xfId="2" applyNumberFormat="1" applyFont="1" applyBorder="1" applyAlignment="1">
      <alignment horizontal="right" vertical="center"/>
    </xf>
    <xf numFmtId="3" fontId="23" fillId="6" borderId="22" xfId="0" applyNumberFormat="1" applyFont="1" applyFill="1" applyBorder="1" applyAlignment="1">
      <alignment horizontal="right" vertical="center"/>
    </xf>
    <xf numFmtId="165" fontId="1" fillId="0" borderId="0" xfId="2" applyNumberFormat="1" applyAlignment="1">
      <alignment horizontal="left" vertical="center"/>
    </xf>
    <xf numFmtId="165" fontId="1" fillId="0" borderId="11" xfId="2" applyNumberFormat="1" applyBorder="1" applyAlignment="1">
      <alignment vertical="center"/>
    </xf>
    <xf numFmtId="165" fontId="1" fillId="0" borderId="0" xfId="2" applyNumberFormat="1" applyAlignment="1">
      <alignment vertical="center"/>
    </xf>
    <xf numFmtId="165" fontId="56" fillId="6" borderId="24" xfId="2" applyNumberFormat="1" applyFont="1" applyFill="1" applyBorder="1" applyAlignment="1">
      <alignment horizontal="right" vertical="center"/>
    </xf>
    <xf numFmtId="165" fontId="15" fillId="0" borderId="42" xfId="2" applyNumberFormat="1" applyFont="1" applyBorder="1" applyAlignment="1">
      <alignment horizontal="left" vertical="center"/>
    </xf>
    <xf numFmtId="165" fontId="9" fillId="0" borderId="38" xfId="2" applyNumberFormat="1" applyFont="1" applyBorder="1" applyAlignment="1">
      <alignment horizontal="right" vertical="center"/>
    </xf>
    <xf numFmtId="3" fontId="23" fillId="6" borderId="34" xfId="0" applyNumberFormat="1" applyFont="1" applyFill="1" applyBorder="1" applyAlignment="1">
      <alignment horizontal="right" vertical="center"/>
    </xf>
    <xf numFmtId="0" fontId="4" fillId="0" borderId="44" xfId="3" applyBorder="1" applyAlignment="1">
      <alignment wrapText="1"/>
    </xf>
    <xf numFmtId="165" fontId="16" fillId="0" borderId="11" xfId="2" applyNumberFormat="1" applyFont="1" applyBorder="1" applyAlignment="1">
      <alignment horizontal="right"/>
    </xf>
    <xf numFmtId="3" fontId="0" fillId="6" borderId="18" xfId="0" applyNumberFormat="1" applyFill="1" applyBorder="1" applyAlignment="1">
      <alignment horizontal="right" indent="2"/>
    </xf>
    <xf numFmtId="165" fontId="16" fillId="0" borderId="38" xfId="2" applyNumberFormat="1" applyFont="1" applyBorder="1" applyAlignment="1">
      <alignment horizontal="right"/>
    </xf>
    <xf numFmtId="3" fontId="56" fillId="4" borderId="65" xfId="0" applyNumberFormat="1" applyFont="1" applyFill="1" applyBorder="1" applyAlignment="1">
      <alignment horizontal="right" indent="2"/>
    </xf>
    <xf numFmtId="3" fontId="2" fillId="4" borderId="51" xfId="0" applyNumberFormat="1" applyFont="1" applyFill="1" applyBorder="1" applyAlignment="1">
      <alignment horizontal="right" indent="2"/>
    </xf>
    <xf numFmtId="3" fontId="56" fillId="4" borderId="51" xfId="0" applyNumberFormat="1" applyFont="1" applyFill="1" applyBorder="1" applyAlignment="1">
      <alignment horizontal="right" indent="2"/>
    </xf>
    <xf numFmtId="3" fontId="67" fillId="4" borderId="66" xfId="0" applyNumberFormat="1" applyFont="1" applyFill="1" applyBorder="1" applyAlignment="1">
      <alignment horizontal="right" indent="2"/>
    </xf>
    <xf numFmtId="0" fontId="15" fillId="0" borderId="38" xfId="0" applyFont="1" applyBorder="1" applyAlignment="1">
      <alignment horizontal="right"/>
    </xf>
    <xf numFmtId="0" fontId="15" fillId="0" borderId="16" xfId="0" applyFont="1" applyBorder="1" applyAlignment="1">
      <alignment horizontal="right"/>
    </xf>
    <xf numFmtId="3" fontId="50" fillId="0" borderId="4" xfId="2" applyNumberFormat="1" applyFont="1" applyBorder="1" applyAlignment="1">
      <alignment horizontal="right" wrapText="1" indent="2"/>
    </xf>
    <xf numFmtId="0" fontId="15" fillId="0" borderId="4" xfId="0" applyFont="1" applyBorder="1" applyAlignment="1">
      <alignment horizontal="right"/>
    </xf>
    <xf numFmtId="0" fontId="35" fillId="0" borderId="4" xfId="0" applyFont="1" applyBorder="1" applyAlignment="1">
      <alignment wrapText="1"/>
    </xf>
    <xf numFmtId="3" fontId="9" fillId="0" borderId="4" xfId="2" applyNumberFormat="1" applyFont="1" applyBorder="1" applyAlignment="1">
      <alignment horizontal="right" indent="2"/>
    </xf>
    <xf numFmtId="0" fontId="1" fillId="32" borderId="44" xfId="3" applyFont="1" applyFill="1" applyBorder="1" applyAlignment="1">
      <alignment horizontal="center"/>
    </xf>
    <xf numFmtId="3" fontId="0" fillId="4" borderId="65" xfId="0" applyNumberFormat="1" applyFill="1" applyBorder="1" applyAlignment="1">
      <alignment horizontal="right" vertical="center" wrapText="1" indent="2"/>
    </xf>
    <xf numFmtId="3" fontId="0" fillId="32" borderId="11" xfId="0" applyNumberFormat="1" applyFill="1" applyBorder="1" applyAlignment="1">
      <alignment horizontal="right" vertical="center" wrapText="1" indent="2"/>
    </xf>
    <xf numFmtId="3" fontId="0" fillId="32" borderId="51" xfId="0" applyNumberFormat="1" applyFill="1" applyBorder="1" applyAlignment="1">
      <alignment horizontal="right" vertical="center" wrapText="1" indent="2"/>
    </xf>
    <xf numFmtId="3" fontId="0" fillId="4" borderId="74" xfId="0" applyNumberFormat="1" applyFill="1" applyBorder="1" applyAlignment="1">
      <alignment horizontal="right" vertical="center" wrapText="1" indent="2"/>
    </xf>
    <xf numFmtId="3" fontId="0" fillId="4" borderId="81" xfId="0" applyNumberFormat="1" applyFill="1" applyBorder="1" applyAlignment="1">
      <alignment horizontal="right" vertical="center" wrapText="1" indent="2"/>
    </xf>
    <xf numFmtId="3" fontId="9" fillId="0" borderId="0" xfId="2" applyNumberFormat="1" applyFont="1"/>
    <xf numFmtId="0" fontId="3" fillId="0" borderId="16" xfId="0" applyFont="1" applyBorder="1" applyAlignment="1">
      <alignment horizontal="right"/>
    </xf>
    <xf numFmtId="0" fontId="3" fillId="0" borderId="38" xfId="0" applyFont="1" applyBorder="1" applyAlignment="1">
      <alignment horizontal="right"/>
    </xf>
    <xf numFmtId="3" fontId="0" fillId="32" borderId="62" xfId="0" applyNumberFormat="1" applyFill="1" applyBorder="1" applyAlignment="1">
      <alignment horizontal="right" vertical="center" wrapText="1" indent="2"/>
    </xf>
    <xf numFmtId="3" fontId="0" fillId="32" borderId="74" xfId="0" applyNumberFormat="1" applyFill="1" applyBorder="1" applyAlignment="1">
      <alignment horizontal="right" vertical="center" wrapText="1" indent="2"/>
    </xf>
    <xf numFmtId="3" fontId="0" fillId="32" borderId="22" xfId="0" applyNumberFormat="1" applyFill="1" applyBorder="1" applyAlignment="1">
      <alignment horizontal="right" vertical="center" wrapText="1" indent="2"/>
    </xf>
    <xf numFmtId="3" fontId="13" fillId="4" borderId="34" xfId="2" applyNumberFormat="1" applyFont="1" applyFill="1" applyBorder="1"/>
    <xf numFmtId="3" fontId="0" fillId="0" borderId="80" xfId="0" applyNumberFormat="1" applyBorder="1" applyAlignment="1">
      <alignment horizontal="right" vertical="center" wrapText="1" indent="2"/>
    </xf>
    <xf numFmtId="3" fontId="0" fillId="0" borderId="17" xfId="0" applyNumberFormat="1" applyBorder="1" applyAlignment="1">
      <alignment horizontal="right" indent="2"/>
    </xf>
    <xf numFmtId="3" fontId="0" fillId="6" borderId="74" xfId="0" applyNumberFormat="1" applyFill="1" applyBorder="1" applyAlignment="1">
      <alignment horizontal="right" vertical="center" wrapText="1" indent="2"/>
    </xf>
    <xf numFmtId="3" fontId="0" fillId="6" borderId="66" xfId="0" applyNumberFormat="1" applyFill="1" applyBorder="1" applyAlignment="1">
      <alignment horizontal="right" vertical="center" wrapText="1" indent="2"/>
    </xf>
    <xf numFmtId="3" fontId="45" fillId="7" borderId="69" xfId="0" applyNumberFormat="1" applyFont="1" applyFill="1" applyBorder="1" applyAlignment="1">
      <alignment horizontal="right" indent="2"/>
    </xf>
    <xf numFmtId="3" fontId="0" fillId="7" borderId="70" xfId="0" applyNumberFormat="1" applyFill="1" applyBorder="1"/>
    <xf numFmtId="3" fontId="0" fillId="7" borderId="13" xfId="0" applyNumberFormat="1" applyFill="1" applyBorder="1"/>
    <xf numFmtId="3" fontId="0" fillId="7" borderId="51" xfId="0" applyNumberFormat="1" applyFill="1" applyBorder="1" applyAlignment="1">
      <alignment horizontal="right" vertical="center" wrapText="1" indent="2"/>
    </xf>
    <xf numFmtId="3" fontId="0" fillId="7" borderId="22" xfId="0" applyNumberFormat="1" applyFill="1" applyBorder="1" applyAlignment="1">
      <alignment horizontal="right" vertical="center" wrapText="1" indent="2"/>
    </xf>
    <xf numFmtId="3" fontId="0" fillId="7" borderId="66" xfId="0" applyNumberFormat="1" applyFill="1" applyBorder="1" applyAlignment="1">
      <alignment horizontal="right" vertical="center" wrapText="1" indent="2"/>
    </xf>
    <xf numFmtId="3" fontId="0" fillId="7" borderId="34" xfId="0" applyNumberFormat="1" applyFill="1" applyBorder="1" applyAlignment="1">
      <alignment horizontal="right" vertical="center" wrapText="1" indent="2"/>
    </xf>
    <xf numFmtId="0" fontId="18" fillId="0" borderId="11" xfId="0" applyFont="1" applyBorder="1" applyAlignment="1">
      <alignment horizontal="right"/>
    </xf>
    <xf numFmtId="0" fontId="24" fillId="0" borderId="11" xfId="0" applyFont="1" applyBorder="1" applyAlignment="1">
      <alignment horizontal="right"/>
    </xf>
    <xf numFmtId="165" fontId="25" fillId="0" borderId="11" xfId="2" applyNumberFormat="1" applyFont="1" applyBorder="1" applyAlignment="1">
      <alignment horizontal="right"/>
    </xf>
    <xf numFmtId="165" fontId="12" fillId="6" borderId="8" xfId="0" applyNumberFormat="1" applyFont="1" applyFill="1" applyBorder="1" applyAlignment="1">
      <alignment horizontal="right" indent="2"/>
    </xf>
    <xf numFmtId="165" fontId="0" fillId="0" borderId="11" xfId="0" applyNumberFormat="1" applyBorder="1" applyAlignment="1">
      <alignment horizontal="right"/>
    </xf>
    <xf numFmtId="165" fontId="9" fillId="6" borderId="8" xfId="0" applyNumberFormat="1" applyFont="1" applyFill="1" applyBorder="1" applyAlignment="1">
      <alignment horizontal="right" indent="2"/>
    </xf>
    <xf numFmtId="165" fontId="3" fillId="0" borderId="11" xfId="0" applyNumberFormat="1" applyFont="1" applyBorder="1" applyAlignment="1">
      <alignment horizontal="left"/>
    </xf>
    <xf numFmtId="165" fontId="15" fillId="6" borderId="41" xfId="2" applyNumberFormat="1" applyFont="1" applyFill="1" applyBorder="1" applyAlignment="1">
      <alignment horizontal="right" indent="2"/>
    </xf>
    <xf numFmtId="165" fontId="18" fillId="0" borderId="38" xfId="0" applyNumberFormat="1" applyFont="1" applyBorder="1" applyAlignment="1">
      <alignment horizontal="right"/>
    </xf>
    <xf numFmtId="3" fontId="89" fillId="6" borderId="74" xfId="0" applyNumberFormat="1" applyFont="1" applyFill="1" applyBorder="1" applyAlignment="1">
      <alignment horizontal="right" indent="2"/>
    </xf>
    <xf numFmtId="3" fontId="79" fillId="0" borderId="9" xfId="0" applyNumberFormat="1" applyFont="1" applyBorder="1" applyAlignment="1">
      <alignment horizontal="right" indent="2"/>
    </xf>
    <xf numFmtId="3" fontId="89" fillId="6" borderId="81" xfId="0" applyNumberFormat="1" applyFont="1" applyFill="1" applyBorder="1" applyAlignment="1">
      <alignment horizontal="right" indent="2"/>
    </xf>
    <xf numFmtId="3" fontId="89" fillId="12" borderId="74" xfId="0" applyNumberFormat="1" applyFont="1" applyFill="1" applyBorder="1" applyAlignment="1">
      <alignment horizontal="right" indent="2"/>
    </xf>
    <xf numFmtId="166" fontId="56" fillId="12" borderId="21" xfId="0" applyNumberFormat="1" applyFont="1" applyFill="1" applyBorder="1" applyAlignment="1">
      <alignment horizontal="right" indent="2"/>
    </xf>
    <xf numFmtId="166" fontId="56" fillId="12" borderId="51" xfId="0" applyNumberFormat="1" applyFont="1" applyFill="1" applyBorder="1" applyAlignment="1">
      <alignment horizontal="right" indent="2"/>
    </xf>
    <xf numFmtId="166" fontId="56" fillId="0" borderId="8" xfId="0" applyNumberFormat="1" applyFont="1" applyBorder="1" applyAlignment="1">
      <alignment horizontal="left"/>
    </xf>
    <xf numFmtId="166" fontId="56" fillId="6" borderId="63" xfId="0" applyNumberFormat="1" applyFont="1" applyFill="1" applyBorder="1" applyAlignment="1">
      <alignment horizontal="right" indent="2"/>
    </xf>
    <xf numFmtId="166" fontId="2" fillId="12" borderId="27" xfId="0" applyNumberFormat="1" applyFont="1" applyFill="1" applyBorder="1" applyAlignment="1">
      <alignment horizontal="right" indent="2"/>
    </xf>
    <xf numFmtId="166" fontId="2" fillId="12" borderId="74" xfId="0" applyNumberFormat="1" applyFont="1" applyFill="1" applyBorder="1" applyAlignment="1">
      <alignment horizontal="right" indent="2"/>
    </xf>
    <xf numFmtId="166" fontId="2" fillId="0" borderId="8" xfId="0" applyNumberFormat="1" applyFont="1" applyBorder="1" applyAlignment="1">
      <alignment horizontal="left"/>
    </xf>
    <xf numFmtId="166" fontId="2" fillId="6" borderId="81" xfId="0" applyNumberFormat="1" applyFont="1" applyFill="1" applyBorder="1" applyAlignment="1">
      <alignment horizontal="right" indent="2"/>
    </xf>
    <xf numFmtId="166" fontId="56" fillId="12" borderId="33" xfId="0" applyNumberFormat="1" applyFont="1" applyFill="1" applyBorder="1" applyAlignment="1">
      <alignment horizontal="right" indent="2"/>
    </xf>
    <xf numFmtId="166" fontId="56" fillId="12" borderId="37" xfId="0" applyNumberFormat="1" applyFont="1" applyFill="1" applyBorder="1" applyAlignment="1">
      <alignment horizontal="right" indent="2"/>
    </xf>
    <xf numFmtId="166" fontId="56" fillId="6" borderId="64" xfId="0" applyNumberFormat="1" applyFont="1" applyFill="1" applyBorder="1" applyAlignment="1">
      <alignment horizontal="right" indent="2"/>
    </xf>
    <xf numFmtId="3" fontId="56" fillId="0" borderId="43" xfId="0" applyNumberFormat="1" applyFont="1" applyBorder="1" applyAlignment="1">
      <alignment horizontal="left"/>
    </xf>
    <xf numFmtId="166" fontId="56" fillId="0" borderId="16" xfId="0" applyNumberFormat="1" applyFont="1" applyBorder="1" applyAlignment="1">
      <alignment horizontal="left" vertical="center" wrapText="1"/>
    </xf>
    <xf numFmtId="166" fontId="56" fillId="12" borderId="17" xfId="0" applyNumberFormat="1" applyFont="1" applyFill="1" applyBorder="1" applyAlignment="1">
      <alignment horizontal="right" indent="2"/>
    </xf>
    <xf numFmtId="166" fontId="56" fillId="12" borderId="65" xfId="0" applyNumberFormat="1" applyFont="1" applyFill="1" applyBorder="1" applyAlignment="1">
      <alignment horizontal="right" indent="2"/>
    </xf>
    <xf numFmtId="166" fontId="56" fillId="4" borderId="72" xfId="0" applyNumberFormat="1" applyFont="1" applyFill="1" applyBorder="1" applyAlignment="1">
      <alignment horizontal="right" indent="2"/>
    </xf>
    <xf numFmtId="166" fontId="56" fillId="12" borderId="18" xfId="0" quotePrefix="1" applyNumberFormat="1" applyFont="1" applyFill="1" applyBorder="1" applyAlignment="1">
      <alignment horizontal="right" indent="2"/>
    </xf>
    <xf numFmtId="166" fontId="2" fillId="12" borderId="21" xfId="0" applyNumberFormat="1" applyFont="1" applyFill="1" applyBorder="1" applyAlignment="1">
      <alignment horizontal="right" indent="2"/>
    </xf>
    <xf numFmtId="166" fontId="2" fillId="12" borderId="51" xfId="0" applyNumberFormat="1" applyFont="1" applyFill="1" applyBorder="1" applyAlignment="1">
      <alignment horizontal="right" indent="2"/>
    </xf>
    <xf numFmtId="166" fontId="2" fillId="4" borderId="72" xfId="0" applyNumberFormat="1" applyFont="1" applyFill="1" applyBorder="1" applyAlignment="1">
      <alignment horizontal="right" indent="2"/>
    </xf>
    <xf numFmtId="166" fontId="56" fillId="12" borderId="27" xfId="0" applyNumberFormat="1" applyFont="1" applyFill="1" applyBorder="1" applyAlignment="1">
      <alignment horizontal="right" indent="2"/>
    </xf>
    <xf numFmtId="166" fontId="56" fillId="12" borderId="66" xfId="0" applyNumberFormat="1" applyFont="1" applyFill="1" applyBorder="1" applyAlignment="1">
      <alignment horizontal="right" indent="2"/>
    </xf>
    <xf numFmtId="166" fontId="56" fillId="4" borderId="85" xfId="0" applyNumberFormat="1" applyFont="1" applyFill="1" applyBorder="1" applyAlignment="1">
      <alignment horizontal="right" indent="2"/>
    </xf>
    <xf numFmtId="166" fontId="56" fillId="0" borderId="43" xfId="0" applyNumberFormat="1" applyFont="1" applyBorder="1" applyAlignment="1">
      <alignment horizontal="right" vertical="center" wrapText="1"/>
    </xf>
    <xf numFmtId="166" fontId="56" fillId="0" borderId="44" xfId="0" applyNumberFormat="1" applyFont="1" applyBorder="1" applyAlignment="1">
      <alignment horizontal="right" vertical="center" wrapText="1" indent="2"/>
    </xf>
    <xf numFmtId="166" fontId="0" fillId="12" borderId="24" xfId="0" applyNumberFormat="1" applyFill="1" applyBorder="1" applyAlignment="1">
      <alignment horizontal="right" indent="2"/>
    </xf>
    <xf numFmtId="166" fontId="89" fillId="12" borderId="25" xfId="0" applyNumberFormat="1" applyFont="1" applyFill="1" applyBorder="1" applyAlignment="1">
      <alignment horizontal="right" indent="2"/>
    </xf>
    <xf numFmtId="3" fontId="56" fillId="0" borderId="0" xfId="0" applyNumberFormat="1" applyFont="1" applyAlignment="1">
      <alignment horizontal="center" vertical="center" wrapText="1"/>
    </xf>
    <xf numFmtId="3" fontId="2" fillId="0" borderId="43" xfId="0" applyNumberFormat="1" applyFont="1" applyBorder="1" applyAlignment="1">
      <alignment horizontal="left" indent="2"/>
    </xf>
    <xf numFmtId="166" fontId="56" fillId="4" borderId="17" xfId="0" applyNumberFormat="1" applyFont="1" applyFill="1" applyBorder="1" applyAlignment="1">
      <alignment horizontal="center"/>
    </xf>
    <xf numFmtId="3" fontId="56" fillId="0" borderId="0" xfId="0" applyNumberFormat="1" applyFont="1" applyAlignment="1">
      <alignment horizontal="left"/>
    </xf>
    <xf numFmtId="3" fontId="56" fillId="4" borderId="62" xfId="0" applyNumberFormat="1" applyFont="1" applyFill="1" applyBorder="1" applyAlignment="1">
      <alignment horizontal="center"/>
    </xf>
    <xf numFmtId="166" fontId="56" fillId="4" borderId="27" xfId="0" applyNumberFormat="1" applyFont="1" applyFill="1" applyBorder="1" applyAlignment="1">
      <alignment horizontal="center"/>
    </xf>
    <xf numFmtId="166" fontId="56" fillId="4" borderId="21" xfId="0" applyNumberFormat="1" applyFont="1" applyFill="1" applyBorder="1" applyAlignment="1">
      <alignment horizontal="right" indent="2"/>
    </xf>
    <xf numFmtId="166" fontId="56" fillId="4" borderId="21" xfId="0" applyNumberFormat="1" applyFont="1" applyFill="1" applyBorder="1" applyAlignment="1">
      <alignment horizontal="center"/>
    </xf>
    <xf numFmtId="166" fontId="45" fillId="4" borderId="30" xfId="0" applyNumberFormat="1" applyFont="1" applyFill="1" applyBorder="1" applyAlignment="1">
      <alignment horizontal="right" indent="2"/>
    </xf>
    <xf numFmtId="3" fontId="56" fillId="0" borderId="0" xfId="0" applyNumberFormat="1" applyFont="1" applyAlignment="1">
      <alignment horizontal="center"/>
    </xf>
    <xf numFmtId="3" fontId="45" fillId="0" borderId="62" xfId="0" applyNumberFormat="1" applyFont="1" applyBorder="1" applyAlignment="1">
      <alignment horizontal="center"/>
    </xf>
    <xf numFmtId="0" fontId="17" fillId="0" borderId="1" xfId="0" applyFont="1" applyBorder="1"/>
    <xf numFmtId="0" fontId="0" fillId="0" borderId="18" xfId="0" applyBorder="1" applyAlignment="1">
      <alignment wrapText="1"/>
    </xf>
    <xf numFmtId="3" fontId="0" fillId="17" borderId="20" xfId="0" applyNumberFormat="1" applyFill="1" applyBorder="1" applyAlignment="1">
      <alignment horizontal="center" wrapText="1"/>
    </xf>
    <xf numFmtId="165" fontId="53" fillId="0" borderId="11" xfId="0" applyNumberFormat="1" applyFont="1" applyBorder="1"/>
    <xf numFmtId="3" fontId="38" fillId="4" borderId="24" xfId="0" applyNumberFormat="1" applyFont="1" applyFill="1" applyBorder="1" applyAlignment="1">
      <alignment horizontal="right" indent="2"/>
    </xf>
    <xf numFmtId="3" fontId="38" fillId="4" borderId="8" xfId="0" applyNumberFormat="1" applyFont="1" applyFill="1" applyBorder="1" applyAlignment="1">
      <alignment horizontal="right" vertical="center" wrapText="1" indent="2"/>
    </xf>
    <xf numFmtId="165" fontId="53" fillId="0" borderId="11" xfId="0" applyNumberFormat="1" applyFont="1" applyBorder="1" applyAlignment="1">
      <alignment vertical="center" wrapText="1"/>
    </xf>
    <xf numFmtId="3" fontId="38" fillId="4" borderId="30" xfId="0" applyNumberFormat="1" applyFont="1" applyFill="1" applyBorder="1" applyAlignment="1">
      <alignment horizontal="right" indent="2"/>
    </xf>
    <xf numFmtId="3" fontId="38" fillId="4" borderId="74" xfId="0" applyNumberFormat="1" applyFont="1" applyFill="1" applyBorder="1" applyAlignment="1">
      <alignment horizontal="right" vertical="center" wrapText="1" indent="2"/>
    </xf>
    <xf numFmtId="3" fontId="56" fillId="0" borderId="0" xfId="0" applyNumberFormat="1" applyFont="1" applyAlignment="1">
      <alignment horizontal="center" vertical="center"/>
    </xf>
    <xf numFmtId="3" fontId="14" fillId="0" borderId="0" xfId="0" applyNumberFormat="1" applyFont="1" applyAlignment="1">
      <alignment horizontal="left"/>
    </xf>
    <xf numFmtId="3" fontId="38" fillId="4" borderId="47" xfId="0" applyNumberFormat="1" applyFont="1" applyFill="1" applyBorder="1" applyAlignment="1">
      <alignment horizontal="right" indent="2"/>
    </xf>
    <xf numFmtId="3" fontId="38" fillId="4" borderId="6" xfId="0" applyNumberFormat="1" applyFont="1" applyFill="1" applyBorder="1" applyAlignment="1">
      <alignment horizontal="right" vertical="center" wrapText="1" indent="2"/>
    </xf>
    <xf numFmtId="165" fontId="1" fillId="0" borderId="0" xfId="2" applyNumberFormat="1"/>
    <xf numFmtId="0" fontId="29" fillId="0" borderId="43" xfId="3" applyFont="1" applyBorder="1" applyAlignment="1">
      <alignment vertical="center"/>
    </xf>
    <xf numFmtId="0" fontId="29" fillId="0" borderId="44" xfId="3" applyFont="1" applyBorder="1" applyAlignment="1">
      <alignment horizontal="left" vertical="center"/>
    </xf>
    <xf numFmtId="165" fontId="21" fillId="0" borderId="11" xfId="2" applyNumberFormat="1" applyFont="1" applyBorder="1"/>
    <xf numFmtId="3" fontId="12" fillId="32" borderId="48" xfId="0" applyNumberFormat="1" applyFont="1" applyFill="1" applyBorder="1" applyAlignment="1">
      <alignment horizontal="right" indent="2"/>
    </xf>
    <xf numFmtId="165" fontId="21" fillId="0" borderId="11" xfId="0" applyNumberFormat="1" applyFont="1" applyBorder="1"/>
    <xf numFmtId="10" fontId="21" fillId="0" borderId="0" xfId="0" applyNumberFormat="1" applyFont="1"/>
    <xf numFmtId="10" fontId="21" fillId="0" borderId="11" xfId="0" applyNumberFormat="1" applyFont="1" applyBorder="1"/>
    <xf numFmtId="10" fontId="21" fillId="0" borderId="38" xfId="0" applyNumberFormat="1" applyFont="1" applyBorder="1"/>
    <xf numFmtId="3" fontId="21" fillId="0" borderId="16" xfId="0" applyNumberFormat="1" applyFont="1" applyBorder="1"/>
    <xf numFmtId="165" fontId="21" fillId="0" borderId="62" xfId="2" applyNumberFormat="1" applyFont="1" applyBorder="1"/>
    <xf numFmtId="165" fontId="21" fillId="0" borderId="28" xfId="2" applyNumberFormat="1" applyFont="1" applyBorder="1"/>
    <xf numFmtId="165" fontId="21" fillId="0" borderId="42" xfId="2" applyNumberFormat="1" applyFont="1" applyBorder="1"/>
    <xf numFmtId="165" fontId="21" fillId="0" borderId="38" xfId="2" applyNumberFormat="1" applyFont="1" applyBorder="1"/>
    <xf numFmtId="3" fontId="12" fillId="0" borderId="44" xfId="0" applyNumberFormat="1" applyFont="1" applyBorder="1" applyAlignment="1">
      <alignment vertical="center"/>
    </xf>
    <xf numFmtId="165" fontId="21" fillId="0" borderId="44" xfId="2" applyNumberFormat="1" applyFont="1" applyBorder="1" applyAlignment="1">
      <alignment vertical="center" wrapText="1"/>
    </xf>
    <xf numFmtId="165" fontId="21" fillId="0" borderId="16" xfId="2" applyNumberFormat="1" applyFont="1" applyBorder="1" applyAlignment="1">
      <alignment vertical="center" wrapText="1"/>
    </xf>
    <xf numFmtId="165" fontId="21" fillId="0" borderId="0" xfId="2" applyNumberFormat="1" applyFont="1"/>
    <xf numFmtId="165" fontId="36" fillId="32" borderId="33" xfId="2" applyNumberFormat="1" applyFont="1" applyFill="1" applyBorder="1" applyAlignment="1">
      <alignment horizontal="right" indent="2"/>
    </xf>
    <xf numFmtId="165" fontId="170" fillId="32" borderId="42" xfId="2" applyNumberFormat="1" applyFont="1" applyFill="1" applyBorder="1" applyAlignment="1">
      <alignment horizontal="right" indent="2"/>
    </xf>
    <xf numFmtId="165" fontId="21" fillId="0" borderId="38" xfId="2" applyNumberFormat="1" applyFont="1" applyBorder="1" applyAlignment="1">
      <alignment horizontal="right" indent="2"/>
    </xf>
    <xf numFmtId="3" fontId="12" fillId="32" borderId="72" xfId="0" applyNumberFormat="1" applyFont="1" applyFill="1" applyBorder="1" applyAlignment="1">
      <alignment horizontal="right" indent="2"/>
    </xf>
    <xf numFmtId="3" fontId="55" fillId="0" borderId="11" xfId="2" applyNumberFormat="1" applyFont="1" applyBorder="1" applyAlignment="1">
      <alignment horizontal="right" indent="2"/>
    </xf>
    <xf numFmtId="3" fontId="53" fillId="0" borderId="11" xfId="2" applyNumberFormat="1" applyFont="1" applyBorder="1" applyAlignment="1">
      <alignment horizontal="right" indent="2"/>
    </xf>
    <xf numFmtId="3" fontId="55" fillId="0" borderId="38" xfId="2" applyNumberFormat="1" applyFont="1" applyBorder="1" applyAlignment="1">
      <alignment horizontal="right" indent="2"/>
    </xf>
    <xf numFmtId="3" fontId="12" fillId="0" borderId="18" xfId="0" applyNumberFormat="1" applyFont="1" applyBorder="1" applyAlignment="1">
      <alignment horizontal="left"/>
    </xf>
    <xf numFmtId="165" fontId="49" fillId="0" borderId="0" xfId="2" applyNumberFormat="1" applyFont="1"/>
    <xf numFmtId="3" fontId="49" fillId="0" borderId="0" xfId="2" applyNumberFormat="1" applyFont="1"/>
    <xf numFmtId="3" fontId="35" fillId="0" borderId="18" xfId="0" applyNumberFormat="1" applyFont="1" applyBorder="1" applyAlignment="1">
      <alignment horizontal="right" indent="1"/>
    </xf>
    <xf numFmtId="3" fontId="35" fillId="0" borderId="0" xfId="0" applyNumberFormat="1" applyFont="1" applyAlignment="1">
      <alignment horizontal="right" indent="1"/>
    </xf>
    <xf numFmtId="3" fontId="35" fillId="0" borderId="0" xfId="0" applyNumberFormat="1" applyFont="1" applyAlignment="1">
      <alignment horizontal="right" indent="2"/>
    </xf>
    <xf numFmtId="3" fontId="35" fillId="0" borderId="11" xfId="0" applyNumberFormat="1" applyFont="1" applyBorder="1" applyAlignment="1">
      <alignment horizontal="right" indent="2"/>
    </xf>
    <xf numFmtId="3" fontId="35" fillId="0" borderId="18" xfId="0" applyNumberFormat="1" applyFont="1" applyBorder="1" applyAlignment="1">
      <alignment horizontal="right" indent="2"/>
    </xf>
    <xf numFmtId="3" fontId="3" fillId="0" borderId="18" xfId="0" applyNumberFormat="1" applyFont="1" applyBorder="1" applyAlignment="1">
      <alignment horizontal="right" indent="1"/>
    </xf>
    <xf numFmtId="3" fontId="3" fillId="0" borderId="0" xfId="0" applyNumberFormat="1" applyFont="1" applyAlignment="1">
      <alignment horizontal="right" indent="1"/>
    </xf>
    <xf numFmtId="3" fontId="31" fillId="0" borderId="11" xfId="0" applyNumberFormat="1" applyFont="1" applyBorder="1" applyAlignment="1">
      <alignment horizontal="right" indent="2"/>
    </xf>
    <xf numFmtId="165" fontId="122" fillId="0" borderId="18" xfId="2" applyNumberFormat="1" applyFont="1" applyBorder="1" applyAlignment="1">
      <alignment horizontal="right" indent="1"/>
    </xf>
    <xf numFmtId="165" fontId="122" fillId="0" borderId="0" xfId="2" applyNumberFormat="1" applyFont="1" applyAlignment="1">
      <alignment horizontal="right" indent="1"/>
    </xf>
    <xf numFmtId="165" fontId="122" fillId="0" borderId="0" xfId="2" applyNumberFormat="1" applyFont="1" applyAlignment="1">
      <alignment horizontal="right" indent="2"/>
    </xf>
    <xf numFmtId="165" fontId="122" fillId="0" borderId="11" xfId="2" applyNumberFormat="1" applyFont="1" applyBorder="1" applyAlignment="1">
      <alignment horizontal="right" indent="2"/>
    </xf>
    <xf numFmtId="165" fontId="122" fillId="0" borderId="18" xfId="2" applyNumberFormat="1" applyFont="1" applyBorder="1" applyAlignment="1">
      <alignment horizontal="right" indent="2"/>
    </xf>
    <xf numFmtId="165" fontId="171" fillId="0" borderId="11" xfId="2" applyNumberFormat="1" applyFont="1" applyBorder="1" applyAlignment="1">
      <alignment horizontal="right" indent="2"/>
    </xf>
    <xf numFmtId="0" fontId="0" fillId="0" borderId="11" xfId="0" applyBorder="1" applyAlignment="1">
      <alignment horizontal="left"/>
    </xf>
    <xf numFmtId="0" fontId="16" fillId="0" borderId="18" xfId="0" applyFont="1" applyBorder="1" applyAlignment="1">
      <alignment horizontal="right"/>
    </xf>
    <xf numFmtId="1" fontId="0" fillId="0" borderId="10" xfId="0" applyNumberFormat="1" applyBorder="1"/>
    <xf numFmtId="165" fontId="13" fillId="0" borderId="10" xfId="0" applyNumberFormat="1" applyFont="1" applyBorder="1"/>
    <xf numFmtId="165" fontId="13" fillId="0" borderId="5" xfId="0" applyNumberFormat="1" applyFont="1" applyBorder="1"/>
    <xf numFmtId="3" fontId="3" fillId="4" borderId="74" xfId="0" applyNumberFormat="1" applyFont="1" applyFill="1" applyBorder="1" applyAlignment="1">
      <alignment horizontal="right" indent="2"/>
    </xf>
    <xf numFmtId="3" fontId="87" fillId="4" borderId="18" xfId="0" applyNumberFormat="1" applyFont="1" applyFill="1" applyBorder="1" applyAlignment="1">
      <alignment horizontal="right" indent="2"/>
    </xf>
    <xf numFmtId="3" fontId="87" fillId="4" borderId="0" xfId="0" applyNumberFormat="1" applyFont="1" applyFill="1" applyAlignment="1">
      <alignment horizontal="right" indent="2"/>
    </xf>
    <xf numFmtId="3" fontId="87" fillId="4" borderId="11" xfId="0" applyNumberFormat="1" applyFont="1" applyFill="1" applyBorder="1" applyAlignment="1">
      <alignment horizontal="right" indent="2"/>
    </xf>
    <xf numFmtId="3" fontId="87" fillId="0" borderId="0" xfId="0" applyNumberFormat="1" applyFont="1" applyAlignment="1">
      <alignment horizontal="left"/>
    </xf>
    <xf numFmtId="3" fontId="2" fillId="0" borderId="38" xfId="0" applyNumberFormat="1" applyFont="1" applyBorder="1" applyAlignment="1">
      <alignment horizontal="left"/>
    </xf>
    <xf numFmtId="165" fontId="13" fillId="0" borderId="5" xfId="2" applyNumberFormat="1" applyFont="1" applyBorder="1" applyAlignment="1">
      <alignment vertical="center" wrapText="1"/>
    </xf>
    <xf numFmtId="3" fontId="87" fillId="4" borderId="24" xfId="0" applyNumberFormat="1" applyFont="1" applyFill="1" applyBorder="1" applyAlignment="1">
      <alignment horizontal="right" indent="2"/>
    </xf>
    <xf numFmtId="3" fontId="16" fillId="0" borderId="0" xfId="0" applyNumberFormat="1" applyFont="1" applyAlignment="1">
      <alignment horizontal="left"/>
    </xf>
    <xf numFmtId="3" fontId="87" fillId="4" borderId="24" xfId="0" applyNumberFormat="1" applyFont="1" applyFill="1" applyBorder="1" applyAlignment="1">
      <alignment horizontal="right" vertical="center" wrapText="1" indent="2"/>
    </xf>
    <xf numFmtId="0" fontId="87" fillId="0" borderId="0" xfId="0" applyFont="1"/>
    <xf numFmtId="165" fontId="9" fillId="0" borderId="5" xfId="2" applyNumberFormat="1" applyFont="1" applyBorder="1" applyAlignment="1">
      <alignment horizontal="right" indent="2"/>
    </xf>
    <xf numFmtId="165" fontId="9" fillId="0" borderId="10" xfId="2" applyNumberFormat="1" applyFont="1" applyBorder="1" applyAlignment="1">
      <alignment horizontal="right" indent="2"/>
    </xf>
    <xf numFmtId="165" fontId="9" fillId="0" borderId="5" xfId="0" applyNumberFormat="1" applyFont="1" applyBorder="1" applyAlignment="1">
      <alignment horizontal="right" wrapText="1"/>
    </xf>
    <xf numFmtId="165" fontId="9" fillId="0" borderId="14" xfId="0" applyNumberFormat="1" applyFont="1" applyBorder="1" applyAlignment="1">
      <alignment horizontal="right" indent="2"/>
    </xf>
    <xf numFmtId="165" fontId="13" fillId="0" borderId="23" xfId="2" applyNumberFormat="1" applyFont="1" applyBorder="1"/>
    <xf numFmtId="165" fontId="13" fillId="0" borderId="35" xfId="2" applyNumberFormat="1" applyFont="1" applyBorder="1"/>
    <xf numFmtId="165" fontId="9" fillId="0" borderId="10" xfId="0" applyNumberFormat="1" applyFont="1" applyBorder="1" applyAlignment="1">
      <alignment horizontal="right" indent="2"/>
    </xf>
    <xf numFmtId="165" fontId="10" fillId="0" borderId="10" xfId="0" applyNumberFormat="1" applyFont="1" applyBorder="1" applyAlignment="1">
      <alignment horizontal="right" indent="2"/>
    </xf>
    <xf numFmtId="3" fontId="15" fillId="0" borderId="10" xfId="2" applyNumberFormat="1" applyFont="1" applyBorder="1" applyAlignment="1">
      <alignment horizontal="right" indent="2"/>
    </xf>
    <xf numFmtId="165" fontId="15" fillId="0" borderId="10" xfId="2" applyNumberFormat="1" applyFont="1" applyBorder="1" applyAlignment="1">
      <alignment horizontal="right" indent="2"/>
    </xf>
    <xf numFmtId="0" fontId="12" fillId="6" borderId="63" xfId="0" applyFont="1" applyFill="1" applyBorder="1"/>
    <xf numFmtId="174" fontId="9" fillId="6" borderId="63" xfId="1" applyNumberFormat="1" applyFont="1" applyFill="1" applyBorder="1" applyAlignment="1">
      <alignment horizontal="right" indent="2"/>
    </xf>
    <xf numFmtId="0" fontId="1" fillId="0" borderId="44" xfId="3" applyFont="1" applyBorder="1"/>
    <xf numFmtId="3" fontId="0" fillId="6" borderId="79" xfId="0" applyNumberFormat="1" applyFill="1" applyBorder="1" applyAlignment="1">
      <alignment horizontal="right" indent="2"/>
    </xf>
    <xf numFmtId="3" fontId="56" fillId="0" borderId="50" xfId="0" applyNumberFormat="1" applyFont="1" applyBorder="1" applyAlignment="1">
      <alignment horizontal="left"/>
    </xf>
    <xf numFmtId="3" fontId="56" fillId="4" borderId="79" xfId="0" applyNumberFormat="1" applyFont="1" applyFill="1" applyBorder="1" applyAlignment="1">
      <alignment horizontal="right" indent="2"/>
    </xf>
    <xf numFmtId="3" fontId="3" fillId="0" borderId="49" xfId="0" applyNumberFormat="1" applyFont="1" applyBorder="1" applyAlignment="1">
      <alignment horizontal="center" vertical="center" wrapText="1"/>
    </xf>
    <xf numFmtId="0" fontId="1" fillId="4" borderId="4" xfId="3" applyFont="1" applyFill="1" applyBorder="1" applyAlignment="1">
      <alignment horizontal="center" vertical="center" wrapText="1"/>
    </xf>
    <xf numFmtId="3" fontId="0" fillId="0" borderId="45" xfId="0" applyNumberFormat="1" applyBorder="1" applyAlignment="1">
      <alignment horizontal="center" vertical="center"/>
    </xf>
    <xf numFmtId="166" fontId="2" fillId="4" borderId="65" xfId="0" applyNumberFormat="1" applyFont="1" applyFill="1" applyBorder="1" applyAlignment="1">
      <alignment horizontal="right" indent="2"/>
    </xf>
    <xf numFmtId="166" fontId="2" fillId="0" borderId="72" xfId="0" applyNumberFormat="1" applyFont="1" applyBorder="1" applyAlignment="1">
      <alignment horizontal="right" indent="2"/>
    </xf>
    <xf numFmtId="166" fontId="0" fillId="0" borderId="72" xfId="0" applyNumberFormat="1" applyBorder="1" applyAlignment="1">
      <alignment horizontal="right" indent="2"/>
    </xf>
    <xf numFmtId="166" fontId="3" fillId="4" borderId="41" xfId="0" applyNumberFormat="1" applyFont="1" applyFill="1" applyBorder="1" applyAlignment="1">
      <alignment horizontal="right" indent="2"/>
    </xf>
    <xf numFmtId="166" fontId="3" fillId="0" borderId="38" xfId="0" applyNumberFormat="1" applyFont="1" applyBorder="1" applyAlignment="1">
      <alignment horizontal="right" indent="2"/>
    </xf>
    <xf numFmtId="1" fontId="12" fillId="6" borderId="22" xfId="0" applyNumberFormat="1" applyFont="1" applyFill="1" applyBorder="1" applyAlignment="1">
      <alignment horizontal="right" indent="2"/>
    </xf>
    <xf numFmtId="9" fontId="12" fillId="6" borderId="22" xfId="0" applyNumberFormat="1" applyFont="1" applyFill="1" applyBorder="1" applyAlignment="1">
      <alignment horizontal="right" indent="2"/>
    </xf>
    <xf numFmtId="165" fontId="12" fillId="6" borderId="21" xfId="2" applyNumberFormat="1" applyFont="1" applyFill="1" applyBorder="1"/>
    <xf numFmtId="3" fontId="12" fillId="6" borderId="21" xfId="2" applyNumberFormat="1" applyFont="1" applyFill="1" applyBorder="1" applyAlignment="1">
      <alignment horizontal="right" indent="2"/>
    </xf>
    <xf numFmtId="0" fontId="0" fillId="4" borderId="4" xfId="0" applyFill="1" applyBorder="1" applyAlignment="1">
      <alignment horizontal="center" vertical="center" wrapText="1"/>
    </xf>
    <xf numFmtId="0" fontId="5" fillId="4" borderId="4" xfId="0" applyFont="1" applyFill="1" applyBorder="1" applyAlignment="1">
      <alignment horizontal="center" vertical="center" wrapText="1"/>
    </xf>
    <xf numFmtId="183" fontId="0" fillId="4" borderId="27" xfId="1" applyNumberFormat="1" applyFont="1" applyFill="1" applyBorder="1" applyAlignment="1">
      <alignment horizontal="right" vertical="center"/>
    </xf>
    <xf numFmtId="166" fontId="0" fillId="4" borderId="22" xfId="0" applyNumberFormat="1" applyFill="1" applyBorder="1" applyAlignment="1">
      <alignment horizontal="right" vertical="center"/>
    </xf>
    <xf numFmtId="3" fontId="0" fillId="4" borderId="22" xfId="0" applyNumberFormat="1" applyFill="1" applyBorder="1" applyAlignment="1">
      <alignment horizontal="right" vertical="center"/>
    </xf>
    <xf numFmtId="3" fontId="0" fillId="4" borderId="28" xfId="0" applyNumberFormat="1" applyFill="1" applyBorder="1" applyAlignment="1">
      <alignment horizontal="right" vertical="center"/>
    </xf>
    <xf numFmtId="0" fontId="0" fillId="0" borderId="53" xfId="0" applyBorder="1" applyAlignment="1">
      <alignment vertical="center"/>
    </xf>
    <xf numFmtId="3" fontId="0" fillId="0" borderId="38" xfId="0" applyNumberFormat="1" applyBorder="1" applyAlignment="1">
      <alignment horizontal="right" vertical="center"/>
    </xf>
    <xf numFmtId="166" fontId="0" fillId="4" borderId="62" xfId="0" applyNumberFormat="1" applyFill="1" applyBorder="1" applyAlignment="1">
      <alignment horizontal="right" vertical="center"/>
    </xf>
    <xf numFmtId="3" fontId="0" fillId="4" borderId="21" xfId="0" applyNumberFormat="1" applyFill="1" applyBorder="1" applyAlignment="1">
      <alignment horizontal="right" vertical="center"/>
    </xf>
    <xf numFmtId="3" fontId="0" fillId="32" borderId="21" xfId="0" applyNumberFormat="1" applyFill="1" applyBorder="1" applyAlignment="1">
      <alignment horizontal="right" vertical="center"/>
    </xf>
    <xf numFmtId="166" fontId="0" fillId="0" borderId="42" xfId="0" applyNumberFormat="1" applyBorder="1" applyAlignment="1">
      <alignment horizontal="right" vertical="center"/>
    </xf>
    <xf numFmtId="166" fontId="0" fillId="4" borderId="34" xfId="0" applyNumberFormat="1" applyFill="1" applyBorder="1" applyAlignment="1">
      <alignment horizontal="right" vertical="center"/>
    </xf>
    <xf numFmtId="3" fontId="0" fillId="4" borderId="27" xfId="0" applyNumberFormat="1" applyFill="1" applyBorder="1" applyAlignment="1">
      <alignment horizontal="right" vertical="center"/>
    </xf>
    <xf numFmtId="165" fontId="13" fillId="0" borderId="33" xfId="2" applyNumberFormat="1" applyFont="1" applyBorder="1" applyAlignment="1">
      <alignment horizontal="right" vertical="center"/>
    </xf>
    <xf numFmtId="165" fontId="13" fillId="0" borderId="42" xfId="2" applyNumberFormat="1" applyFont="1" applyBorder="1" applyAlignment="1">
      <alignment horizontal="right" vertical="center"/>
    </xf>
    <xf numFmtId="3" fontId="0" fillId="4" borderId="33" xfId="0" applyNumberFormat="1" applyFill="1" applyBorder="1" applyAlignment="1">
      <alignment horizontal="right" vertical="center"/>
    </xf>
    <xf numFmtId="3" fontId="0" fillId="4" borderId="34" xfId="0" applyNumberFormat="1" applyFill="1" applyBorder="1" applyAlignment="1">
      <alignment horizontal="right" vertical="center"/>
    </xf>
    <xf numFmtId="3" fontId="0" fillId="4" borderId="17" xfId="0" applyNumberFormat="1" applyFill="1" applyBorder="1" applyAlignment="1">
      <alignment horizontal="right" vertical="center"/>
    </xf>
    <xf numFmtId="3" fontId="2" fillId="4" borderId="17" xfId="0" applyNumberFormat="1" applyFont="1" applyFill="1" applyBorder="1" applyAlignment="1">
      <alignment horizontal="right" vertical="center"/>
    </xf>
    <xf numFmtId="3" fontId="2" fillId="0" borderId="0" xfId="0" applyNumberFormat="1" applyFont="1" applyAlignment="1">
      <alignment horizontal="right" vertical="center"/>
    </xf>
    <xf numFmtId="3" fontId="2" fillId="4" borderId="62" xfId="0" applyNumberFormat="1" applyFont="1" applyFill="1" applyBorder="1" applyAlignment="1">
      <alignment horizontal="right" vertical="center"/>
    </xf>
    <xf numFmtId="3" fontId="2" fillId="4" borderId="53" xfId="0" applyNumberFormat="1" applyFont="1" applyFill="1" applyBorder="1" applyAlignment="1">
      <alignment horizontal="right" vertical="center"/>
    </xf>
    <xf numFmtId="3" fontId="2" fillId="0" borderId="42" xfId="0" applyNumberFormat="1" applyFont="1" applyBorder="1" applyAlignment="1">
      <alignment horizontal="right" vertical="center"/>
    </xf>
    <xf numFmtId="3" fontId="2" fillId="4" borderId="38" xfId="0" applyNumberFormat="1" applyFont="1" applyFill="1" applyBorder="1" applyAlignment="1">
      <alignment horizontal="right" vertical="center"/>
    </xf>
    <xf numFmtId="9" fontId="2" fillId="0" borderId="43" xfId="2" applyFont="1" applyBorder="1" applyAlignment="1">
      <alignment horizontal="right" vertical="center"/>
    </xf>
    <xf numFmtId="9" fontId="2" fillId="0" borderId="44" xfId="2" applyFont="1" applyBorder="1" applyAlignment="1">
      <alignment horizontal="right" vertical="center"/>
    </xf>
    <xf numFmtId="9" fontId="2" fillId="0" borderId="16" xfId="2" applyFont="1" applyBorder="1" applyAlignment="1">
      <alignment horizontal="right" vertical="center"/>
    </xf>
    <xf numFmtId="9" fontId="2" fillId="0" borderId="10" xfId="2" applyFont="1" applyBorder="1" applyAlignment="1">
      <alignment horizontal="right" vertical="center"/>
    </xf>
    <xf numFmtId="165" fontId="20" fillId="0" borderId="33" xfId="2" applyNumberFormat="1" applyFont="1" applyBorder="1" applyAlignment="1">
      <alignment horizontal="right" vertical="center"/>
    </xf>
    <xf numFmtId="165" fontId="20" fillId="0" borderId="42" xfId="2" applyNumberFormat="1" applyFont="1" applyBorder="1" applyAlignment="1">
      <alignment horizontal="right" vertical="center"/>
    </xf>
    <xf numFmtId="165" fontId="20" fillId="0" borderId="34" xfId="2" applyNumberFormat="1" applyFont="1" applyBorder="1" applyAlignment="1">
      <alignment horizontal="right" vertical="center"/>
    </xf>
    <xf numFmtId="165" fontId="20" fillId="0" borderId="10" xfId="2" applyNumberFormat="1" applyFont="1" applyBorder="1" applyAlignment="1">
      <alignment horizontal="right" vertical="center"/>
    </xf>
    <xf numFmtId="3" fontId="0" fillId="4" borderId="12" xfId="0" applyNumberFormat="1" applyFill="1" applyBorder="1" applyAlignment="1">
      <alignment horizontal="right" vertical="center"/>
    </xf>
    <xf numFmtId="3" fontId="0" fillId="4" borderId="13" xfId="0" applyNumberFormat="1" applyFill="1" applyBorder="1" applyAlignment="1">
      <alignment horizontal="right" vertical="center"/>
    </xf>
    <xf numFmtId="3" fontId="23" fillId="4" borderId="21" xfId="0" applyNumberFormat="1" applyFont="1" applyFill="1" applyBorder="1" applyAlignment="1">
      <alignment horizontal="right" vertical="center"/>
    </xf>
    <xf numFmtId="3" fontId="23" fillId="0" borderId="0" xfId="0" applyNumberFormat="1" applyFont="1" applyAlignment="1">
      <alignment horizontal="right" vertical="center"/>
    </xf>
    <xf numFmtId="3" fontId="23" fillId="4" borderId="22" xfId="0" applyNumberFormat="1" applyFont="1" applyFill="1" applyBorder="1" applyAlignment="1">
      <alignment horizontal="right" vertical="center"/>
    </xf>
    <xf numFmtId="166" fontId="18" fillId="0" borderId="11" xfId="0" applyNumberFormat="1" applyFont="1" applyBorder="1" applyAlignment="1">
      <alignment horizontal="right" vertical="center"/>
    </xf>
    <xf numFmtId="3" fontId="0" fillId="0" borderId="18" xfId="0" applyNumberFormat="1" applyBorder="1" applyAlignment="1">
      <alignment vertical="center"/>
    </xf>
    <xf numFmtId="3" fontId="0" fillId="0" borderId="11" xfId="0" applyNumberFormat="1" applyBorder="1" applyAlignment="1">
      <alignment vertical="center"/>
    </xf>
    <xf numFmtId="166" fontId="24" fillId="0" borderId="11" xfId="0" applyNumberFormat="1" applyFont="1" applyBorder="1" applyAlignment="1">
      <alignment horizontal="right" vertical="center"/>
    </xf>
    <xf numFmtId="165" fontId="25" fillId="0" borderId="18" xfId="2" applyNumberFormat="1" applyFont="1" applyBorder="1" applyAlignment="1">
      <alignment horizontal="right" vertical="center"/>
    </xf>
    <xf numFmtId="165" fontId="25" fillId="0" borderId="11" xfId="2" applyNumberFormat="1" applyFont="1" applyBorder="1" applyAlignment="1">
      <alignment horizontal="right" vertical="center"/>
    </xf>
    <xf numFmtId="3" fontId="15" fillId="9" borderId="17" xfId="2" applyNumberFormat="1" applyFont="1" applyFill="1" applyBorder="1" applyAlignment="1">
      <alignment horizontal="right" vertical="center"/>
    </xf>
    <xf numFmtId="3" fontId="15" fillId="0" borderId="0" xfId="2" applyNumberFormat="1" applyFont="1" applyAlignment="1">
      <alignment horizontal="right" vertical="center"/>
    </xf>
    <xf numFmtId="3" fontId="15" fillId="9" borderId="62" xfId="2" applyNumberFormat="1" applyFont="1" applyFill="1" applyBorder="1" applyAlignment="1">
      <alignment horizontal="right" vertical="center"/>
    </xf>
    <xf numFmtId="9" fontId="0" fillId="9" borderId="21" xfId="2" applyFont="1" applyFill="1" applyBorder="1" applyAlignment="1">
      <alignment vertical="center"/>
    </xf>
    <xf numFmtId="9" fontId="0" fillId="9" borderId="22" xfId="2" applyFont="1" applyFill="1" applyBorder="1" applyAlignment="1">
      <alignment vertical="center"/>
    </xf>
    <xf numFmtId="165" fontId="0" fillId="9" borderId="21" xfId="2" applyNumberFormat="1" applyFont="1" applyFill="1" applyBorder="1" applyAlignment="1">
      <alignment vertical="center"/>
    </xf>
    <xf numFmtId="165" fontId="0" fillId="9" borderId="22" xfId="2" applyNumberFormat="1" applyFont="1" applyFill="1" applyBorder="1" applyAlignment="1">
      <alignment vertical="center"/>
    </xf>
    <xf numFmtId="183" fontId="0" fillId="9" borderId="21" xfId="1" applyNumberFormat="1" applyFont="1" applyFill="1" applyBorder="1" applyAlignment="1">
      <alignment vertical="center"/>
    </xf>
    <xf numFmtId="183" fontId="0" fillId="0" borderId="0" xfId="1" applyNumberFormat="1" applyFont="1" applyAlignment="1">
      <alignment vertical="center"/>
    </xf>
    <xf numFmtId="183" fontId="0" fillId="9" borderId="22" xfId="1" applyNumberFormat="1" applyFont="1" applyFill="1" applyBorder="1" applyAlignment="1">
      <alignment vertical="center"/>
    </xf>
    <xf numFmtId="0" fontId="0" fillId="9" borderId="21" xfId="0" applyFill="1" applyBorder="1" applyAlignment="1">
      <alignment vertical="center"/>
    </xf>
    <xf numFmtId="3" fontId="9" fillId="9" borderId="33" xfId="0" applyNumberFormat="1" applyFont="1" applyFill="1" applyBorder="1" applyAlignment="1">
      <alignment horizontal="right" vertical="center"/>
    </xf>
    <xf numFmtId="3" fontId="9" fillId="0" borderId="42" xfId="0" applyNumberFormat="1" applyFont="1" applyBorder="1" applyAlignment="1">
      <alignment horizontal="right" vertical="center"/>
    </xf>
    <xf numFmtId="165" fontId="0" fillId="9" borderId="34" xfId="2" applyNumberFormat="1" applyFont="1" applyFill="1" applyBorder="1" applyAlignment="1">
      <alignment vertical="center"/>
    </xf>
    <xf numFmtId="165" fontId="15" fillId="0" borderId="7" xfId="2" applyNumberFormat="1" applyFont="1" applyBorder="1" applyAlignment="1">
      <alignment horizontal="right" vertical="center"/>
    </xf>
    <xf numFmtId="165" fontId="15" fillId="0" borderId="10" xfId="2" applyNumberFormat="1" applyFont="1" applyBorder="1" applyAlignment="1">
      <alignment horizontal="right" vertical="center"/>
    </xf>
    <xf numFmtId="166" fontId="0" fillId="0" borderId="20" xfId="0" applyNumberFormat="1" applyBorder="1" applyAlignment="1">
      <alignment horizontal="center" vertical="center" wrapText="1"/>
    </xf>
    <xf numFmtId="166" fontId="13" fillId="0" borderId="16" xfId="2" applyNumberFormat="1" applyFont="1" applyBorder="1" applyAlignment="1">
      <alignment vertical="center" wrapText="1"/>
    </xf>
    <xf numFmtId="166" fontId="0" fillId="4" borderId="23" xfId="0" applyNumberFormat="1" applyFill="1" applyBorder="1" applyAlignment="1">
      <alignment horizontal="right" vertical="center" wrapText="1" indent="2"/>
    </xf>
    <xf numFmtId="165" fontId="30" fillId="0" borderId="38" xfId="2" applyNumberFormat="1" applyFont="1" applyBorder="1" applyAlignment="1">
      <alignment horizontal="right" indent="2"/>
    </xf>
    <xf numFmtId="9" fontId="15" fillId="0" borderId="11" xfId="2" applyFont="1" applyBorder="1"/>
    <xf numFmtId="166" fontId="13" fillId="0" borderId="11" xfId="2" applyNumberFormat="1" applyFont="1" applyBorder="1"/>
    <xf numFmtId="166" fontId="13" fillId="0" borderId="38" xfId="2" applyNumberFormat="1" applyFont="1" applyBorder="1"/>
    <xf numFmtId="166" fontId="9" fillId="0" borderId="11" xfId="2" applyNumberFormat="1" applyFont="1" applyBorder="1" applyAlignment="1">
      <alignment horizontal="right" indent="2"/>
    </xf>
    <xf numFmtId="166" fontId="0" fillId="0" borderId="44" xfId="0" applyNumberFormat="1" applyBorder="1" applyAlignment="1">
      <alignment horizontal="center"/>
    </xf>
    <xf numFmtId="166" fontId="9" fillId="0" borderId="16" xfId="2" applyNumberFormat="1" applyFont="1" applyBorder="1" applyAlignment="1">
      <alignment horizontal="right" indent="2"/>
    </xf>
    <xf numFmtId="9" fontId="13" fillId="0" borderId="11" xfId="2" applyFont="1" applyBorder="1"/>
    <xf numFmtId="166" fontId="36" fillId="0" borderId="11" xfId="2" applyNumberFormat="1" applyFont="1" applyBorder="1"/>
    <xf numFmtId="166" fontId="20" fillId="0" borderId="42" xfId="2" applyNumberFormat="1" applyFont="1" applyBorder="1" applyAlignment="1">
      <alignment horizontal="right" indent="2"/>
    </xf>
    <xf numFmtId="166" fontId="13" fillId="0" borderId="22" xfId="2" applyNumberFormat="1" applyFont="1" applyBorder="1"/>
    <xf numFmtId="166" fontId="13" fillId="0" borderId="34" xfId="2" applyNumberFormat="1" applyFont="1" applyBorder="1"/>
    <xf numFmtId="166" fontId="13" fillId="0" borderId="0" xfId="2" applyNumberFormat="1" applyFont="1"/>
    <xf numFmtId="9" fontId="9" fillId="0" borderId="13" xfId="2" applyFont="1" applyBorder="1" applyAlignment="1">
      <alignment horizontal="right" indent="2"/>
    </xf>
    <xf numFmtId="166" fontId="56" fillId="0" borderId="44" xfId="0" applyNumberFormat="1" applyFont="1" applyBorder="1" applyAlignment="1">
      <alignment horizontal="right"/>
    </xf>
    <xf numFmtId="166" fontId="56" fillId="0" borderId="13" xfId="0" applyNumberFormat="1" applyFont="1" applyBorder="1" applyAlignment="1">
      <alignment horizontal="right" indent="2"/>
    </xf>
    <xf numFmtId="166" fontId="56" fillId="0" borderId="22" xfId="0" applyNumberFormat="1" applyFont="1" applyBorder="1" applyAlignment="1">
      <alignment horizontal="right" indent="2"/>
    </xf>
    <xf numFmtId="9" fontId="13" fillId="0" borderId="22" xfId="2" applyFont="1" applyBorder="1"/>
    <xf numFmtId="166" fontId="53" fillId="0" borderId="0" xfId="0" applyNumberFormat="1" applyFont="1" applyAlignment="1">
      <alignment horizontal="right"/>
    </xf>
    <xf numFmtId="3" fontId="62" fillId="15" borderId="47" xfId="2" applyNumberFormat="1" applyFont="1" applyFill="1" applyBorder="1" applyAlignment="1">
      <alignment horizontal="right" indent="2"/>
    </xf>
    <xf numFmtId="3" fontId="62" fillId="15" borderId="65" xfId="2" applyNumberFormat="1" applyFont="1" applyFill="1" applyBorder="1" applyAlignment="1">
      <alignment horizontal="right" indent="2"/>
    </xf>
    <xf numFmtId="3" fontId="62" fillId="15" borderId="17" xfId="2" applyNumberFormat="1" applyFont="1" applyFill="1" applyBorder="1" applyAlignment="1">
      <alignment horizontal="right" indent="2"/>
    </xf>
    <xf numFmtId="3" fontId="62" fillId="0" borderId="0" xfId="2" applyNumberFormat="1" applyFont="1" applyAlignment="1">
      <alignment horizontal="right" indent="2"/>
    </xf>
    <xf numFmtId="3" fontId="62" fillId="15" borderId="11" xfId="2" applyNumberFormat="1" applyFont="1" applyFill="1" applyBorder="1" applyAlignment="1">
      <alignment horizontal="right" indent="2"/>
    </xf>
    <xf numFmtId="3" fontId="62" fillId="0" borderId="19" xfId="2" applyNumberFormat="1" applyFont="1" applyBorder="1" applyAlignment="1">
      <alignment horizontal="right" indent="2"/>
    </xf>
    <xf numFmtId="3" fontId="62" fillId="15" borderId="79" xfId="2" applyNumberFormat="1" applyFont="1" applyFill="1" applyBorder="1" applyAlignment="1">
      <alignment horizontal="right" indent="2"/>
    </xf>
    <xf numFmtId="165" fontId="12" fillId="0" borderId="8" xfId="2" applyNumberFormat="1" applyFont="1" applyBorder="1" applyAlignment="1">
      <alignment horizontal="right" indent="2"/>
    </xf>
    <xf numFmtId="165" fontId="53" fillId="15" borderId="21" xfId="2" applyNumberFormat="1" applyFont="1" applyFill="1" applyBorder="1" applyAlignment="1">
      <alignment horizontal="right" indent="2"/>
    </xf>
    <xf numFmtId="165" fontId="53" fillId="0" borderId="0" xfId="2" applyNumberFormat="1" applyFont="1" applyAlignment="1">
      <alignment horizontal="right" indent="2"/>
    </xf>
    <xf numFmtId="165" fontId="53" fillId="15" borderId="11" xfId="2" applyNumberFormat="1" applyFont="1" applyFill="1" applyBorder="1" applyAlignment="1">
      <alignment horizontal="right" indent="2"/>
    </xf>
    <xf numFmtId="43" fontId="1" fillId="6" borderId="24" xfId="5" applyFill="1" applyBorder="1" applyAlignment="1">
      <alignment horizontal="right" indent="2"/>
    </xf>
    <xf numFmtId="43" fontId="1" fillId="6" borderId="30" xfId="5" applyFill="1" applyBorder="1" applyAlignment="1">
      <alignment horizontal="right" indent="2"/>
    </xf>
    <xf numFmtId="43" fontId="1" fillId="6" borderId="36" xfId="5" applyFill="1" applyBorder="1" applyAlignment="1">
      <alignment horizontal="right" indent="2"/>
    </xf>
    <xf numFmtId="43" fontId="1" fillId="0" borderId="43" xfId="5" applyBorder="1" applyAlignment="1">
      <alignment horizontal="right" indent="2"/>
    </xf>
    <xf numFmtId="43" fontId="1" fillId="4" borderId="17" xfId="5" applyFill="1" applyBorder="1" applyAlignment="1">
      <alignment horizontal="right" indent="2"/>
    </xf>
    <xf numFmtId="43" fontId="1" fillId="4" borderId="18" xfId="5" applyFill="1" applyBorder="1" applyAlignment="1">
      <alignment horizontal="right" indent="2"/>
    </xf>
    <xf numFmtId="43" fontId="1" fillId="0" borderId="53" xfId="5" applyBorder="1" applyAlignment="1">
      <alignment horizontal="right" indent="2"/>
    </xf>
    <xf numFmtId="43" fontId="1" fillId="4" borderId="27" xfId="5" applyFill="1" applyBorder="1" applyAlignment="1">
      <alignment horizontal="right" vertical="center" wrapText="1" indent="2"/>
    </xf>
    <xf numFmtId="165" fontId="13" fillId="0" borderId="34" xfId="2" applyNumberFormat="1" applyFont="1" applyBorder="1" applyAlignment="1">
      <alignment horizontal="center" vertical="center" wrapText="1"/>
    </xf>
    <xf numFmtId="43" fontId="1" fillId="4" borderId="27" xfId="5" applyFill="1" applyBorder="1" applyAlignment="1">
      <alignment horizontal="right" indent="2"/>
    </xf>
    <xf numFmtId="43" fontId="1" fillId="0" borderId="18" xfId="5" applyBorder="1" applyAlignment="1">
      <alignment horizontal="right" indent="2"/>
    </xf>
    <xf numFmtId="43" fontId="1" fillId="4" borderId="21" xfId="5" applyFill="1" applyBorder="1" applyAlignment="1">
      <alignment horizontal="right" indent="2"/>
    </xf>
    <xf numFmtId="43" fontId="1" fillId="4" borderId="33" xfId="5" applyFill="1" applyBorder="1" applyAlignment="1">
      <alignment horizontal="right" indent="2"/>
    </xf>
    <xf numFmtId="3" fontId="0" fillId="2" borderId="43" xfId="0" applyNumberFormat="1" applyFill="1" applyBorder="1" applyAlignment="1">
      <alignment horizontal="right" indent="2"/>
    </xf>
    <xf numFmtId="3" fontId="0" fillId="2" borderId="27" xfId="0" applyNumberFormat="1" applyFill="1" applyBorder="1" applyAlignment="1">
      <alignment horizontal="right" indent="2"/>
    </xf>
    <xf numFmtId="165" fontId="20" fillId="2" borderId="33" xfId="2" applyNumberFormat="1" applyFont="1" applyFill="1" applyBorder="1" applyAlignment="1">
      <alignment horizontal="right" indent="2"/>
    </xf>
    <xf numFmtId="3" fontId="0" fillId="2" borderId="12" xfId="0" applyNumberFormat="1" applyFill="1" applyBorder="1" applyAlignment="1">
      <alignment horizontal="right" indent="2"/>
    </xf>
    <xf numFmtId="3" fontId="23" fillId="2" borderId="21" xfId="0" applyNumberFormat="1" applyFont="1" applyFill="1" applyBorder="1" applyAlignment="1">
      <alignment horizontal="right" indent="2"/>
    </xf>
    <xf numFmtId="3" fontId="0" fillId="2" borderId="33" xfId="0" applyNumberFormat="1" applyFill="1" applyBorder="1" applyAlignment="1">
      <alignment horizontal="right" indent="2"/>
    </xf>
    <xf numFmtId="3" fontId="0" fillId="2" borderId="0" xfId="0" applyNumberFormat="1" applyFill="1" applyAlignment="1">
      <alignment horizontal="right" indent="2"/>
    </xf>
    <xf numFmtId="3" fontId="0" fillId="2" borderId="36" xfId="0" applyNumberFormat="1" applyFill="1" applyBorder="1" applyAlignment="1">
      <alignment horizontal="right" indent="2"/>
    </xf>
    <xf numFmtId="4" fontId="18" fillId="2" borderId="18" xfId="0" applyNumberFormat="1" applyFont="1" applyFill="1" applyBorder="1" applyAlignment="1">
      <alignment horizontal="right" indent="2"/>
    </xf>
    <xf numFmtId="4" fontId="24" fillId="2" borderId="18" xfId="0" applyNumberFormat="1" applyFont="1" applyFill="1" applyBorder="1" applyAlignment="1">
      <alignment horizontal="right" indent="2"/>
    </xf>
    <xf numFmtId="165" fontId="134" fillId="2" borderId="18" xfId="2" applyNumberFormat="1" applyFont="1" applyFill="1" applyBorder="1" applyAlignment="1">
      <alignment horizontal="right" indent="2"/>
    </xf>
    <xf numFmtId="165" fontId="134" fillId="0" borderId="11" xfId="2" applyNumberFormat="1" applyFont="1" applyBorder="1" applyAlignment="1">
      <alignment horizontal="right" indent="2"/>
    </xf>
    <xf numFmtId="165" fontId="134" fillId="0" borderId="0" xfId="2" applyNumberFormat="1" applyFont="1" applyAlignment="1">
      <alignment horizontal="right" indent="2"/>
    </xf>
    <xf numFmtId="165" fontId="134" fillId="0" borderId="18" xfId="2" applyNumberFormat="1" applyFont="1" applyBorder="1" applyAlignment="1">
      <alignment horizontal="right" indent="2"/>
    </xf>
    <xf numFmtId="4" fontId="15" fillId="2" borderId="47" xfId="2" applyNumberFormat="1" applyFont="1" applyFill="1" applyBorder="1" applyAlignment="1">
      <alignment horizontal="right" indent="2"/>
    </xf>
    <xf numFmtId="4" fontId="15" fillId="0" borderId="0" xfId="2" applyNumberFormat="1" applyFont="1" applyAlignment="1">
      <alignment horizontal="right" indent="2"/>
    </xf>
    <xf numFmtId="4" fontId="15" fillId="0" borderId="11" xfId="2" applyNumberFormat="1" applyFont="1" applyBorder="1" applyAlignment="1">
      <alignment horizontal="right" indent="2"/>
    </xf>
    <xf numFmtId="3" fontId="42" fillId="2" borderId="17" xfId="2" applyNumberFormat="1" applyFont="1" applyFill="1" applyBorder="1" applyAlignment="1">
      <alignment horizontal="right" indent="2"/>
    </xf>
    <xf numFmtId="165" fontId="15" fillId="2" borderId="47" xfId="2" applyNumberFormat="1" applyFont="1" applyFill="1" applyBorder="1" applyAlignment="1">
      <alignment horizontal="right" indent="2"/>
    </xf>
    <xf numFmtId="3" fontId="9" fillId="2" borderId="24" xfId="0" applyNumberFormat="1" applyFont="1" applyFill="1" applyBorder="1" applyAlignment="1">
      <alignment horizontal="right" indent="2"/>
    </xf>
    <xf numFmtId="165" fontId="15" fillId="2" borderId="49" xfId="2" applyNumberFormat="1" applyFont="1" applyFill="1" applyBorder="1" applyAlignment="1">
      <alignment horizontal="right" indent="2"/>
    </xf>
    <xf numFmtId="165" fontId="9" fillId="2" borderId="36" xfId="2" applyNumberFormat="1" applyFont="1" applyFill="1" applyBorder="1" applyAlignment="1">
      <alignment horizontal="right" indent="2"/>
    </xf>
    <xf numFmtId="165" fontId="28" fillId="2" borderId="0" xfId="2" applyNumberFormat="1" applyFont="1" applyFill="1" applyAlignment="1">
      <alignment horizontal="right"/>
    </xf>
    <xf numFmtId="0" fontId="2" fillId="2" borderId="0" xfId="0" applyFont="1" applyFill="1" applyAlignment="1">
      <alignment horizontal="right"/>
    </xf>
    <xf numFmtId="0" fontId="4" fillId="0" borderId="44" xfId="3" applyBorder="1"/>
    <xf numFmtId="3" fontId="0" fillId="39" borderId="24" xfId="0" applyNumberFormat="1" applyFill="1" applyBorder="1" applyAlignment="1">
      <alignment horizontal="right" indent="2"/>
    </xf>
    <xf numFmtId="3" fontId="0" fillId="39" borderId="25" xfId="0" applyNumberFormat="1" applyFill="1" applyBorder="1" applyAlignment="1">
      <alignment horizontal="right" indent="2"/>
    </xf>
    <xf numFmtId="3" fontId="0" fillId="39" borderId="21" xfId="0" applyNumberFormat="1" applyFill="1" applyBorder="1" applyAlignment="1">
      <alignment horizontal="right" indent="2"/>
    </xf>
    <xf numFmtId="3" fontId="0" fillId="39" borderId="31" xfId="0" applyNumberFormat="1" applyFill="1" applyBorder="1" applyAlignment="1">
      <alignment horizontal="right" indent="2"/>
    </xf>
    <xf numFmtId="3" fontId="0" fillId="39" borderId="30" xfId="0" applyNumberFormat="1" applyFill="1" applyBorder="1" applyAlignment="1">
      <alignment horizontal="right" indent="2"/>
    </xf>
    <xf numFmtId="3" fontId="0" fillId="39" borderId="36" xfId="0" applyNumberFormat="1" applyFill="1" applyBorder="1" applyAlignment="1">
      <alignment horizontal="right" indent="2"/>
    </xf>
    <xf numFmtId="3" fontId="0" fillId="39" borderId="37" xfId="0" applyNumberFormat="1" applyFill="1" applyBorder="1" applyAlignment="1">
      <alignment horizontal="right" indent="2"/>
    </xf>
    <xf numFmtId="0" fontId="0" fillId="0" borderId="42" xfId="0" applyBorder="1" applyAlignment="1">
      <alignment horizontal="left"/>
    </xf>
    <xf numFmtId="3" fontId="0" fillId="39" borderId="33" xfId="0" applyNumberFormat="1" applyFill="1" applyBorder="1" applyAlignment="1">
      <alignment horizontal="right" indent="2"/>
    </xf>
    <xf numFmtId="3" fontId="5" fillId="4" borderId="35" xfId="0" applyNumberFormat="1" applyFont="1" applyFill="1" applyBorder="1" applyAlignment="1">
      <alignment horizontal="right" indent="2"/>
    </xf>
    <xf numFmtId="0" fontId="39" fillId="0" borderId="4" xfId="3" applyFont="1" applyBorder="1" applyAlignment="1">
      <alignment horizontal="center" vertical="center" wrapText="1"/>
    </xf>
    <xf numFmtId="0" fontId="1" fillId="0" borderId="4" xfId="3" applyFont="1" applyBorder="1" applyAlignment="1">
      <alignment horizontal="center" vertical="center" wrapText="1"/>
    </xf>
    <xf numFmtId="166" fontId="0" fillId="0" borderId="15" xfId="0" applyNumberFormat="1" applyBorder="1" applyAlignment="1">
      <alignment horizontal="right" indent="2"/>
    </xf>
    <xf numFmtId="3" fontId="1" fillId="6" borderId="24" xfId="2" applyNumberFormat="1" applyFill="1" applyBorder="1" applyAlignment="1">
      <alignment horizontal="right" indent="2"/>
    </xf>
    <xf numFmtId="3" fontId="1" fillId="6" borderId="51" xfId="2" applyNumberFormat="1" applyFill="1" applyBorder="1" applyAlignment="1">
      <alignment horizontal="right" indent="2"/>
    </xf>
    <xf numFmtId="3" fontId="1" fillId="0" borderId="0" xfId="2" applyNumberFormat="1" applyAlignment="1">
      <alignment horizontal="right" indent="2"/>
    </xf>
    <xf numFmtId="3" fontId="1" fillId="0" borderId="11" xfId="2" applyNumberFormat="1" applyBorder="1" applyAlignment="1">
      <alignment horizontal="right" indent="2"/>
    </xf>
    <xf numFmtId="3" fontId="1" fillId="0" borderId="8" xfId="2" applyNumberFormat="1" applyBorder="1" applyAlignment="1">
      <alignment horizontal="right" indent="2"/>
    </xf>
    <xf numFmtId="3" fontId="1" fillId="6" borderId="21" xfId="2" applyNumberFormat="1" applyFill="1" applyBorder="1" applyAlignment="1">
      <alignment horizontal="right" indent="2"/>
    </xf>
    <xf numFmtId="0" fontId="14" fillId="2" borderId="0" xfId="0" applyFont="1" applyFill="1"/>
    <xf numFmtId="9" fontId="0" fillId="0" borderId="0" xfId="2" applyFont="1" applyAlignment="1">
      <alignment horizontal="right"/>
    </xf>
    <xf numFmtId="9" fontId="0" fillId="0" borderId="0" xfId="2" applyFont="1" applyAlignment="1">
      <alignment vertical="center"/>
    </xf>
    <xf numFmtId="49" fontId="0" fillId="0" borderId="0" xfId="0" applyNumberFormat="1" applyAlignment="1">
      <alignment horizontal="left" vertical="center"/>
    </xf>
    <xf numFmtId="9" fontId="0" fillId="0" borderId="11" xfId="2" applyFont="1" applyBorder="1" applyAlignment="1">
      <alignment horizontal="right"/>
    </xf>
    <xf numFmtId="3" fontId="2" fillId="0" borderId="11" xfId="0" applyNumberFormat="1" applyFont="1" applyBorder="1"/>
    <xf numFmtId="3" fontId="2" fillId="4" borderId="65" xfId="0" applyNumberFormat="1" applyFont="1" applyFill="1" applyBorder="1" applyAlignment="1">
      <alignment horizontal="right" indent="2"/>
    </xf>
    <xf numFmtId="3" fontId="62" fillId="6" borderId="17" xfId="2" applyNumberFormat="1" applyFont="1" applyFill="1" applyBorder="1" applyAlignment="1">
      <alignment horizontal="right" indent="2"/>
    </xf>
    <xf numFmtId="3" fontId="62" fillId="6" borderId="79" xfId="2" applyNumberFormat="1" applyFont="1" applyFill="1" applyBorder="1" applyAlignment="1">
      <alignment horizontal="right" indent="2"/>
    </xf>
    <xf numFmtId="3" fontId="62" fillId="0" borderId="6" xfId="2" applyNumberFormat="1" applyFont="1" applyBorder="1" applyAlignment="1">
      <alignment horizontal="right"/>
    </xf>
    <xf numFmtId="3" fontId="15" fillId="6" borderId="24" xfId="0" applyNumberFormat="1" applyFont="1" applyFill="1" applyBorder="1" applyAlignment="1">
      <alignment horizontal="right" indent="2"/>
    </xf>
    <xf numFmtId="3" fontId="15" fillId="6" borderId="63" xfId="0" applyNumberFormat="1" applyFont="1" applyFill="1" applyBorder="1" applyAlignment="1">
      <alignment horizontal="right" indent="2"/>
    </xf>
    <xf numFmtId="0" fontId="0" fillId="0" borderId="69" xfId="0" applyBorder="1" applyAlignment="1">
      <alignment horizontal="center" vertical="center" wrapText="1"/>
    </xf>
    <xf numFmtId="0" fontId="0" fillId="0" borderId="70" xfId="0" applyBorder="1" applyAlignment="1">
      <alignment horizontal="center" vertical="center"/>
    </xf>
    <xf numFmtId="16" fontId="0" fillId="4" borderId="9" xfId="0" applyNumberFormat="1" applyFill="1" applyBorder="1" applyAlignment="1">
      <alignment horizontal="center"/>
    </xf>
    <xf numFmtId="3" fontId="0" fillId="0" borderId="26" xfId="0" applyNumberFormat="1" applyBorder="1" applyAlignment="1">
      <alignment horizontal="left"/>
    </xf>
    <xf numFmtId="3" fontId="3" fillId="0" borderId="42" xfId="0" applyNumberFormat="1" applyFont="1" applyBorder="1" applyAlignment="1">
      <alignment horizontal="right" indent="2"/>
    </xf>
    <xf numFmtId="3" fontId="0" fillId="0" borderId="59" xfId="0" applyNumberFormat="1" applyBorder="1" applyAlignment="1">
      <alignment horizontal="left"/>
    </xf>
    <xf numFmtId="3" fontId="0" fillId="0" borderId="83" xfId="0" applyNumberFormat="1" applyBorder="1" applyAlignment="1">
      <alignment horizontal="right" indent="2"/>
    </xf>
    <xf numFmtId="165" fontId="20" fillId="0" borderId="39" xfId="2" applyNumberFormat="1" applyFont="1" applyBorder="1" applyAlignment="1">
      <alignment horizontal="right" indent="2"/>
    </xf>
    <xf numFmtId="165" fontId="173" fillId="0" borderId="0" xfId="2" applyNumberFormat="1" applyFont="1" applyAlignment="1">
      <alignment horizontal="left"/>
    </xf>
    <xf numFmtId="165" fontId="15" fillId="0" borderId="6" xfId="2" applyNumberFormat="1" applyFont="1" applyBorder="1" applyAlignment="1">
      <alignment horizontal="right" indent="2"/>
    </xf>
    <xf numFmtId="3" fontId="9" fillId="0" borderId="8" xfId="0" applyNumberFormat="1" applyFont="1" applyBorder="1" applyAlignment="1">
      <alignment horizontal="right" indent="2"/>
    </xf>
    <xf numFmtId="165" fontId="15" fillId="0" borderId="41" xfId="2" applyNumberFormat="1" applyFont="1" applyBorder="1" applyAlignment="1">
      <alignment horizontal="right" indent="2"/>
    </xf>
    <xf numFmtId="0" fontId="52" fillId="0" borderId="4" xfId="3" applyFont="1" applyBorder="1" applyAlignment="1">
      <alignment horizontal="center" vertical="top" wrapText="1"/>
    </xf>
    <xf numFmtId="165" fontId="39" fillId="0" borderId="3" xfId="3" applyNumberFormat="1" applyFont="1" applyBorder="1" applyAlignment="1">
      <alignment horizontal="right" wrapText="1" indent="2"/>
    </xf>
    <xf numFmtId="3" fontId="12" fillId="4" borderId="4" xfId="0" applyNumberFormat="1" applyFont="1" applyFill="1" applyBorder="1" applyAlignment="1">
      <alignment horizontal="right" wrapText="1" indent="2"/>
    </xf>
    <xf numFmtId="0" fontId="12" fillId="0" borderId="15" xfId="0" applyFont="1" applyBorder="1"/>
    <xf numFmtId="0" fontId="29" fillId="0" borderId="16" xfId="0" applyFont="1" applyBorder="1"/>
    <xf numFmtId="166" fontId="12" fillId="6" borderId="63" xfId="0" applyNumberFormat="1" applyFont="1" applyFill="1" applyBorder="1" applyAlignment="1">
      <alignment horizontal="right" indent="2"/>
    </xf>
    <xf numFmtId="0" fontId="29" fillId="0" borderId="11" xfId="0" applyFont="1" applyBorder="1"/>
    <xf numFmtId="3" fontId="12" fillId="6" borderId="81" xfId="0" applyNumberFormat="1" applyFont="1" applyFill="1" applyBorder="1" applyAlignment="1">
      <alignment horizontal="right" indent="2"/>
    </xf>
    <xf numFmtId="3" fontId="86" fillId="6" borderId="30" xfId="0" applyNumberFormat="1" applyFont="1" applyFill="1" applyBorder="1" applyAlignment="1">
      <alignment horizontal="right" indent="2"/>
    </xf>
    <xf numFmtId="166" fontId="12" fillId="6" borderId="81" xfId="0" applyNumberFormat="1" applyFont="1" applyFill="1" applyBorder="1" applyAlignment="1">
      <alignment horizontal="right" indent="2"/>
    </xf>
    <xf numFmtId="3" fontId="86" fillId="6" borderId="31" xfId="0" applyNumberFormat="1" applyFont="1" applyFill="1" applyBorder="1" applyAlignment="1">
      <alignment horizontal="right" indent="2"/>
    </xf>
    <xf numFmtId="0" fontId="29" fillId="0" borderId="11" xfId="0" applyFont="1" applyBorder="1" applyAlignment="1">
      <alignment horizontal="left" vertical="top" wrapText="1"/>
    </xf>
    <xf numFmtId="166" fontId="12" fillId="6" borderId="64" xfId="0" applyNumberFormat="1" applyFont="1" applyFill="1" applyBorder="1" applyAlignment="1">
      <alignment horizontal="right" indent="2"/>
    </xf>
    <xf numFmtId="3" fontId="5" fillId="6" borderId="66" xfId="0" applyNumberFormat="1" applyFont="1" applyFill="1" applyBorder="1" applyAlignment="1">
      <alignment horizontal="right" indent="2"/>
    </xf>
    <xf numFmtId="0" fontId="29" fillId="0" borderId="38" xfId="0" applyFont="1" applyBorder="1"/>
    <xf numFmtId="166" fontId="12" fillId="0" borderId="16" xfId="0" applyNumberFormat="1" applyFont="1" applyBorder="1" applyAlignment="1">
      <alignment horizontal="right" indent="2"/>
    </xf>
    <xf numFmtId="166" fontId="12" fillId="4" borderId="79" xfId="0" applyNumberFormat="1" applyFont="1" applyFill="1" applyBorder="1" applyAlignment="1">
      <alignment horizontal="right" indent="2"/>
    </xf>
    <xf numFmtId="0" fontId="29" fillId="0" borderId="52" xfId="0" applyFont="1" applyBorder="1"/>
    <xf numFmtId="166" fontId="12" fillId="4" borderId="64" xfId="0" applyNumberFormat="1" applyFont="1" applyFill="1" applyBorder="1" applyAlignment="1">
      <alignment horizontal="right" indent="2"/>
    </xf>
    <xf numFmtId="3" fontId="5" fillId="4" borderId="53" xfId="0" applyNumberFormat="1" applyFont="1" applyFill="1" applyBorder="1" applyAlignment="1">
      <alignment horizontal="right" indent="2"/>
    </xf>
    <xf numFmtId="0" fontId="29" fillId="0" borderId="84" xfId="0" applyFont="1" applyBorder="1"/>
    <xf numFmtId="166" fontId="12" fillId="0" borderId="16" xfId="0" applyNumberFormat="1" applyFont="1" applyBorder="1" applyAlignment="1">
      <alignment horizontal="right" vertical="center" wrapText="1" indent="2"/>
    </xf>
    <xf numFmtId="166" fontId="12" fillId="4" borderId="81" xfId="0" applyNumberFormat="1" applyFont="1" applyFill="1" applyBorder="1" applyAlignment="1">
      <alignment horizontal="right" vertical="center" wrapText="1" indent="2"/>
    </xf>
    <xf numFmtId="3" fontId="0" fillId="40" borderId="11" xfId="0" applyNumberFormat="1" applyFill="1" applyBorder="1" applyAlignment="1">
      <alignment horizontal="right" vertical="center" wrapText="1" indent="2"/>
    </xf>
    <xf numFmtId="166" fontId="36" fillId="0" borderId="38" xfId="2" applyNumberFormat="1" applyFont="1" applyBorder="1" applyAlignment="1">
      <alignment horizontal="center" vertical="center" wrapText="1"/>
    </xf>
    <xf numFmtId="166" fontId="13" fillId="0" borderId="11" xfId="2" applyNumberFormat="1" applyFont="1" applyBorder="1" applyAlignment="1">
      <alignment horizontal="center" vertical="center" wrapText="1"/>
    </xf>
    <xf numFmtId="166" fontId="0" fillId="4" borderId="79" xfId="0" applyNumberFormat="1" applyFill="1" applyBorder="1" applyAlignment="1">
      <alignment horizontal="right" vertical="center" wrapText="1" indent="2"/>
    </xf>
    <xf numFmtId="165" fontId="13" fillId="4" borderId="62" xfId="2" applyNumberFormat="1" applyFont="1" applyFill="1" applyBorder="1" applyAlignment="1">
      <alignment horizontal="center" vertical="center" wrapText="1"/>
    </xf>
    <xf numFmtId="166" fontId="0" fillId="4" borderId="64" xfId="0" applyNumberFormat="1" applyFill="1" applyBorder="1" applyAlignment="1">
      <alignment horizontal="right" vertical="center" wrapText="1" indent="2"/>
    </xf>
    <xf numFmtId="3" fontId="0" fillId="4" borderId="34" xfId="0" applyNumberFormat="1" applyFill="1" applyBorder="1" applyAlignment="1">
      <alignment horizontal="right" vertical="center" wrapText="1" indent="2"/>
    </xf>
    <xf numFmtId="166" fontId="12" fillId="4" borderId="3" xfId="0" applyNumberFormat="1" applyFont="1" applyFill="1" applyBorder="1" applyAlignment="1">
      <alignment horizontal="center" vertical="center" wrapText="1"/>
    </xf>
    <xf numFmtId="166" fontId="12" fillId="0" borderId="11" xfId="0" applyNumberFormat="1" applyFont="1" applyBorder="1"/>
    <xf numFmtId="3" fontId="12" fillId="0" borderId="24" xfId="0" applyNumberFormat="1" applyFont="1" applyBorder="1" applyAlignment="1">
      <alignment horizontal="center"/>
    </xf>
    <xf numFmtId="166" fontId="12" fillId="4" borderId="79" xfId="0" applyNumberFormat="1" applyFont="1" applyFill="1" applyBorder="1" applyAlignment="1">
      <alignment horizontal="right" vertical="center" wrapText="1" indent="2"/>
    </xf>
    <xf numFmtId="166" fontId="9" fillId="0" borderId="11" xfId="0" applyNumberFormat="1" applyFont="1" applyBorder="1"/>
    <xf numFmtId="166" fontId="12" fillId="4" borderId="63" xfId="0" applyNumberFormat="1" applyFont="1" applyFill="1" applyBorder="1" applyAlignment="1">
      <alignment horizontal="right" vertical="center" wrapText="1" indent="2"/>
    </xf>
    <xf numFmtId="166" fontId="9" fillId="0" borderId="11" xfId="0" applyNumberFormat="1" applyFont="1" applyBorder="1" applyAlignment="1">
      <alignment vertical="center" wrapText="1"/>
    </xf>
    <xf numFmtId="3" fontId="53" fillId="0" borderId="11" xfId="2" applyNumberFormat="1" applyFont="1" applyBorder="1"/>
    <xf numFmtId="166" fontId="12" fillId="4" borderId="64" xfId="0" applyNumberFormat="1" applyFont="1" applyFill="1" applyBorder="1" applyAlignment="1">
      <alignment horizontal="right" vertical="center" wrapText="1" indent="2"/>
    </xf>
    <xf numFmtId="3" fontId="53" fillId="0" borderId="38" xfId="2" applyNumberFormat="1" applyFont="1" applyBorder="1"/>
    <xf numFmtId="3" fontId="12" fillId="4" borderId="42" xfId="0" applyNumberFormat="1" applyFont="1" applyFill="1" applyBorder="1" applyAlignment="1">
      <alignment horizontal="right" vertical="center" wrapText="1" indent="2"/>
    </xf>
    <xf numFmtId="3" fontId="53" fillId="0" borderId="11" xfId="0" applyNumberFormat="1" applyFont="1" applyBorder="1"/>
    <xf numFmtId="166" fontId="12" fillId="4" borderId="62" xfId="0" applyNumberFormat="1" applyFont="1" applyFill="1" applyBorder="1" applyAlignment="1">
      <alignment horizontal="right" vertical="center" wrapText="1" indent="2"/>
    </xf>
    <xf numFmtId="166" fontId="53" fillId="0" borderId="11" xfId="2" applyNumberFormat="1" applyFont="1" applyBorder="1"/>
    <xf numFmtId="166" fontId="12" fillId="4" borderId="22" xfId="0" applyNumberFormat="1" applyFont="1" applyFill="1" applyBorder="1" applyAlignment="1">
      <alignment horizontal="right" vertical="center" wrapText="1" indent="2"/>
    </xf>
    <xf numFmtId="3" fontId="0" fillId="4" borderId="155" xfId="0" applyNumberFormat="1" applyFill="1" applyBorder="1" applyAlignment="1">
      <alignment horizontal="right" indent="2"/>
    </xf>
    <xf numFmtId="165" fontId="53" fillId="0" borderId="11" xfId="2" applyNumberFormat="1" applyFont="1" applyBorder="1"/>
    <xf numFmtId="3" fontId="0" fillId="0" borderId="155" xfId="0" applyNumberFormat="1" applyBorder="1" applyAlignment="1">
      <alignment horizontal="right" indent="2"/>
    </xf>
    <xf numFmtId="3" fontId="0" fillId="6" borderId="62" xfId="0" applyNumberFormat="1" applyFill="1" applyBorder="1" applyAlignment="1">
      <alignment horizontal="right" vertical="center" wrapText="1" indent="2"/>
    </xf>
    <xf numFmtId="3" fontId="0" fillId="6" borderId="22" xfId="0" applyNumberFormat="1" applyFill="1" applyBorder="1" applyAlignment="1">
      <alignment horizontal="right" vertical="center" wrapText="1" indent="2"/>
    </xf>
    <xf numFmtId="3" fontId="0" fillId="6" borderId="34" xfId="0" applyNumberFormat="1" applyFill="1" applyBorder="1" applyAlignment="1">
      <alignment horizontal="right" vertical="center" wrapText="1" indent="2"/>
    </xf>
    <xf numFmtId="3" fontId="0" fillId="0" borderId="6" xfId="2" applyNumberFormat="1" applyFont="1" applyBorder="1" applyAlignment="1">
      <alignment horizontal="right"/>
    </xf>
    <xf numFmtId="167" fontId="15" fillId="6" borderId="79" xfId="5" applyNumberFormat="1" applyFont="1" applyFill="1" applyBorder="1" applyAlignment="1">
      <alignment horizontal="right" indent="2"/>
    </xf>
    <xf numFmtId="165" fontId="3" fillId="0" borderId="8" xfId="2" applyNumberFormat="1" applyFont="1" applyBorder="1" applyAlignment="1">
      <alignment horizontal="right"/>
    </xf>
    <xf numFmtId="165" fontId="0" fillId="0" borderId="9" xfId="2" applyNumberFormat="1" applyFont="1" applyBorder="1" applyAlignment="1">
      <alignment horizontal="right"/>
    </xf>
    <xf numFmtId="165" fontId="9" fillId="0" borderId="29" xfId="2" applyNumberFormat="1" applyFont="1" applyBorder="1" applyAlignment="1">
      <alignment horizontal="right"/>
    </xf>
    <xf numFmtId="0" fontId="56" fillId="0" borderId="4" xfId="0" applyFont="1" applyBorder="1" applyAlignment="1">
      <alignment horizontal="center" vertical="center"/>
    </xf>
    <xf numFmtId="0" fontId="52" fillId="0" borderId="4" xfId="3" applyFont="1" applyBorder="1" applyAlignment="1">
      <alignment horizontal="center" vertical="center" wrapText="1"/>
    </xf>
    <xf numFmtId="0" fontId="35" fillId="4" borderId="5" xfId="0" applyFont="1" applyFill="1" applyBorder="1" applyAlignment="1">
      <alignment horizontal="center" vertical="center" wrapText="1"/>
    </xf>
    <xf numFmtId="0" fontId="56" fillId="4" borderId="5" xfId="3" applyFont="1" applyFill="1" applyBorder="1" applyAlignment="1">
      <alignment horizontal="center" vertical="center" wrapText="1"/>
    </xf>
    <xf numFmtId="0" fontId="12" fillId="6" borderId="43" xfId="0" applyFont="1" applyFill="1" applyBorder="1" applyAlignment="1">
      <alignment vertical="center" wrapText="1"/>
    </xf>
    <xf numFmtId="0" fontId="12" fillId="6" borderId="44" xfId="0" applyFont="1" applyFill="1" applyBorder="1" applyAlignment="1">
      <alignment vertical="center" wrapText="1"/>
    </xf>
    <xf numFmtId="0" fontId="12" fillId="6" borderId="16" xfId="0" applyFont="1" applyFill="1" applyBorder="1"/>
    <xf numFmtId="3" fontId="12" fillId="6" borderId="11" xfId="0" applyNumberFormat="1" applyFont="1" applyFill="1" applyBorder="1" applyAlignment="1">
      <alignment horizontal="right" indent="2"/>
    </xf>
    <xf numFmtId="3" fontId="12" fillId="0" borderId="50" xfId="0" applyNumberFormat="1" applyFont="1" applyBorder="1"/>
    <xf numFmtId="3" fontId="12" fillId="0" borderId="19" xfId="0" applyNumberFormat="1" applyFont="1" applyBorder="1" applyAlignment="1">
      <alignment horizontal="right" indent="2"/>
    </xf>
    <xf numFmtId="166" fontId="0" fillId="6" borderId="11" xfId="0" applyNumberFormat="1" applyFill="1" applyBorder="1" applyAlignment="1">
      <alignment horizontal="right" indent="2"/>
    </xf>
    <xf numFmtId="3" fontId="12" fillId="0" borderId="19" xfId="0" applyNumberFormat="1" applyFont="1" applyBorder="1"/>
    <xf numFmtId="3" fontId="12" fillId="0" borderId="19" xfId="0" applyNumberFormat="1" applyFont="1" applyBorder="1" applyAlignment="1">
      <alignment horizontal="left"/>
    </xf>
    <xf numFmtId="3" fontId="12" fillId="6" borderId="38" xfId="0" applyNumberFormat="1" applyFont="1" applyFill="1" applyBorder="1" applyAlignment="1">
      <alignment horizontal="right" indent="2"/>
    </xf>
    <xf numFmtId="3" fontId="12" fillId="0" borderId="40" xfId="0" applyNumberFormat="1" applyFont="1" applyBorder="1"/>
    <xf numFmtId="166" fontId="0" fillId="6" borderId="38" xfId="0" applyNumberFormat="1" applyFill="1" applyBorder="1" applyAlignment="1">
      <alignment horizontal="right" indent="2"/>
    </xf>
    <xf numFmtId="3" fontId="12" fillId="0" borderId="50" xfId="0" applyNumberFormat="1" applyFont="1" applyBorder="1" applyAlignment="1">
      <alignment horizontal="right" indent="2"/>
    </xf>
    <xf numFmtId="3" fontId="12" fillId="0" borderId="50" xfId="0" applyNumberFormat="1" applyFont="1" applyBorder="1" applyAlignment="1">
      <alignment horizontal="left"/>
    </xf>
    <xf numFmtId="3" fontId="5" fillId="4" borderId="41" xfId="0" applyNumberFormat="1" applyFont="1" applyFill="1" applyBorder="1" applyAlignment="1">
      <alignment horizontal="right" indent="2"/>
    </xf>
    <xf numFmtId="0" fontId="12" fillId="0" borderId="44" xfId="0" applyFont="1" applyBorder="1" applyAlignment="1">
      <alignment horizontal="right" vertical="center" wrapText="1"/>
    </xf>
    <xf numFmtId="3" fontId="12" fillId="4" borderId="27" xfId="0" applyNumberFormat="1" applyFont="1" applyFill="1" applyBorder="1" applyAlignment="1">
      <alignment horizontal="right" vertical="center" wrapText="1" indent="2"/>
    </xf>
    <xf numFmtId="165" fontId="13" fillId="0" borderId="42" xfId="2" applyNumberFormat="1" applyFont="1" applyBorder="1"/>
    <xf numFmtId="165" fontId="13" fillId="0" borderId="44" xfId="2" applyNumberFormat="1" applyFont="1" applyBorder="1"/>
    <xf numFmtId="0" fontId="39" fillId="0" borderId="1" xfId="3" applyFont="1" applyBorder="1" applyAlignment="1">
      <alignment horizontal="center" vertical="top" wrapText="1"/>
    </xf>
    <xf numFmtId="0" fontId="12" fillId="0" borderId="2" xfId="0" applyFont="1" applyBorder="1" applyAlignment="1">
      <alignment horizontal="right" vertical="center"/>
    </xf>
    <xf numFmtId="165" fontId="13" fillId="0" borderId="2" xfId="2" applyNumberFormat="1" applyFont="1" applyBorder="1"/>
    <xf numFmtId="3" fontId="13" fillId="4" borderId="3" xfId="2" applyNumberFormat="1" applyFont="1" applyFill="1" applyBorder="1" applyAlignment="1">
      <alignment horizontal="right" indent="2"/>
    </xf>
    <xf numFmtId="166" fontId="9" fillId="6" borderId="11" xfId="0" applyNumberFormat="1" applyFont="1" applyFill="1" applyBorder="1"/>
    <xf numFmtId="165" fontId="4" fillId="0" borderId="11" xfId="3" applyNumberFormat="1" applyBorder="1" applyAlignment="1">
      <alignment vertical="center" wrapText="1"/>
    </xf>
    <xf numFmtId="3" fontId="9" fillId="0" borderId="11" xfId="2" applyNumberFormat="1" applyFont="1" applyBorder="1"/>
    <xf numFmtId="165" fontId="12" fillId="4" borderId="38" xfId="2" applyNumberFormat="1" applyFont="1" applyFill="1" applyBorder="1" applyAlignment="1">
      <alignment horizontal="right" vertical="center" wrapText="1" indent="2"/>
    </xf>
    <xf numFmtId="3" fontId="12" fillId="6" borderId="16" xfId="0" applyNumberFormat="1" applyFont="1" applyFill="1" applyBorder="1" applyAlignment="1">
      <alignment horizontal="right" vertical="center" wrapText="1" indent="2"/>
    </xf>
    <xf numFmtId="3" fontId="12" fillId="6" borderId="11" xfId="0" applyNumberFormat="1" applyFont="1" applyFill="1" applyBorder="1"/>
    <xf numFmtId="0" fontId="0" fillId="0" borderId="3" xfId="0" applyBorder="1" applyAlignment="1">
      <alignment horizontal="center" vertical="center" wrapText="1"/>
    </xf>
    <xf numFmtId="165" fontId="1" fillId="0" borderId="38" xfId="2" applyNumberFormat="1" applyBorder="1"/>
    <xf numFmtId="3" fontId="22" fillId="0" borderId="16" xfId="0" applyNumberFormat="1" applyFont="1" applyBorder="1"/>
    <xf numFmtId="3" fontId="45" fillId="4" borderId="72" xfId="0" applyNumberFormat="1" applyFont="1" applyFill="1" applyBorder="1" applyAlignment="1">
      <alignment horizontal="right" indent="2"/>
    </xf>
    <xf numFmtId="3" fontId="0" fillId="0" borderId="12" xfId="0" applyNumberFormat="1" applyBorder="1" applyAlignment="1">
      <alignment horizontal="right" vertical="center" wrapText="1"/>
    </xf>
    <xf numFmtId="3" fontId="0" fillId="0" borderId="15" xfId="0" applyNumberFormat="1" applyBorder="1" applyAlignment="1">
      <alignment horizontal="right" vertical="center" wrapText="1"/>
    </xf>
    <xf numFmtId="3" fontId="0" fillId="0" borderId="11" xfId="0" applyNumberFormat="1" applyBorder="1" applyAlignment="1">
      <alignment vertical="center" wrapText="1"/>
    </xf>
    <xf numFmtId="3" fontId="0" fillId="4" borderId="30" xfId="0" applyNumberFormat="1" applyFill="1" applyBorder="1" applyAlignment="1">
      <alignment horizontal="right" vertical="center" wrapText="1" indent="2"/>
    </xf>
    <xf numFmtId="3" fontId="0" fillId="32" borderId="27" xfId="0" applyNumberFormat="1" applyFill="1" applyBorder="1" applyAlignment="1">
      <alignment horizontal="right" indent="2"/>
    </xf>
    <xf numFmtId="3" fontId="0" fillId="32" borderId="63" xfId="0" applyNumberFormat="1" applyFill="1" applyBorder="1" applyAlignment="1">
      <alignment horizontal="right" indent="2"/>
    </xf>
    <xf numFmtId="165" fontId="13" fillId="0" borderId="38" xfId="2" applyNumberFormat="1" applyFont="1" applyBorder="1" applyAlignment="1">
      <alignment vertical="center" wrapText="1"/>
    </xf>
    <xf numFmtId="3" fontId="0" fillId="0" borderId="3" xfId="0" applyNumberFormat="1" applyBorder="1" applyAlignment="1">
      <alignment vertical="center" wrapText="1"/>
    </xf>
    <xf numFmtId="0" fontId="0" fillId="4" borderId="46" xfId="0" applyFill="1" applyBorder="1" applyAlignment="1">
      <alignment horizontal="right"/>
    </xf>
    <xf numFmtId="0" fontId="0" fillId="4" borderId="7" xfId="0" applyFill="1" applyBorder="1" applyAlignment="1">
      <alignment horizontal="right"/>
    </xf>
    <xf numFmtId="3" fontId="0" fillId="0" borderId="38" xfId="0" applyNumberFormat="1" applyBorder="1" applyAlignment="1">
      <alignment vertical="center" wrapText="1"/>
    </xf>
    <xf numFmtId="0" fontId="3" fillId="0" borderId="5" xfId="0" applyFont="1" applyBorder="1" applyAlignment="1">
      <alignment horizontal="left"/>
    </xf>
    <xf numFmtId="0" fontId="12" fillId="4" borderId="10" xfId="0" applyFont="1" applyFill="1" applyBorder="1" applyAlignment="1">
      <alignment horizontal="right"/>
    </xf>
    <xf numFmtId="0" fontId="12" fillId="4" borderId="7" xfId="0" applyFont="1" applyFill="1" applyBorder="1" applyAlignment="1">
      <alignment horizontal="right"/>
    </xf>
    <xf numFmtId="165" fontId="1" fillId="0" borderId="11" xfId="2" applyNumberFormat="1" applyBorder="1" applyAlignment="1">
      <alignment horizontal="right"/>
    </xf>
    <xf numFmtId="3" fontId="0" fillId="0" borderId="79" xfId="0" applyNumberFormat="1" applyBorder="1" applyAlignment="1">
      <alignment horizontal="right" indent="2"/>
    </xf>
    <xf numFmtId="165" fontId="19" fillId="0" borderId="36" xfId="2" applyNumberFormat="1" applyFont="1" applyBorder="1" applyAlignment="1">
      <alignment horizontal="right" indent="2"/>
    </xf>
    <xf numFmtId="165" fontId="19" fillId="0" borderId="37" xfId="2" applyNumberFormat="1" applyFont="1" applyBorder="1" applyAlignment="1">
      <alignment horizontal="right" indent="2"/>
    </xf>
    <xf numFmtId="165" fontId="19" fillId="0" borderId="64" xfId="2" applyNumberFormat="1" applyFont="1" applyBorder="1" applyAlignment="1">
      <alignment horizontal="right" indent="2"/>
    </xf>
    <xf numFmtId="0" fontId="0" fillId="0" borderId="43" xfId="0" applyBorder="1" applyAlignment="1">
      <alignment horizontal="right"/>
    </xf>
    <xf numFmtId="3" fontId="21" fillId="0" borderId="0" xfId="2" applyNumberFormat="1" applyFont="1" applyAlignment="1">
      <alignment horizontal="right" indent="2"/>
    </xf>
    <xf numFmtId="3" fontId="21" fillId="0" borderId="11" xfId="2" applyNumberFormat="1" applyFont="1" applyBorder="1" applyAlignment="1">
      <alignment horizontal="right" indent="2"/>
    </xf>
    <xf numFmtId="165" fontId="42" fillId="3" borderId="17" xfId="2" applyNumberFormat="1" applyFont="1" applyFill="1" applyBorder="1" applyAlignment="1">
      <alignment horizontal="right" indent="2"/>
    </xf>
    <xf numFmtId="165" fontId="1" fillId="3" borderId="21" xfId="2" applyNumberFormat="1" applyFill="1" applyBorder="1"/>
    <xf numFmtId="165" fontId="1" fillId="3" borderId="51" xfId="2" applyNumberFormat="1" applyFill="1" applyBorder="1"/>
    <xf numFmtId="165" fontId="1" fillId="3" borderId="63" xfId="2" applyNumberFormat="1" applyFill="1" applyBorder="1"/>
    <xf numFmtId="3" fontId="1" fillId="3" borderId="21" xfId="2" applyNumberFormat="1" applyFill="1" applyBorder="1"/>
    <xf numFmtId="3" fontId="1" fillId="3" borderId="51" xfId="2" applyNumberFormat="1" applyFill="1" applyBorder="1"/>
    <xf numFmtId="3" fontId="1" fillId="0" borderId="0" xfId="2" applyNumberFormat="1"/>
    <xf numFmtId="3" fontId="1" fillId="0" borderId="11" xfId="2" applyNumberFormat="1" applyBorder="1"/>
    <xf numFmtId="3" fontId="1" fillId="3" borderId="63" xfId="2" applyNumberFormat="1" applyFill="1" applyBorder="1"/>
    <xf numFmtId="3" fontId="4" fillId="0" borderId="0" xfId="3" applyNumberFormat="1" applyAlignment="1">
      <alignment horizontal="center" vertical="center" wrapText="1"/>
    </xf>
    <xf numFmtId="3" fontId="4" fillId="0" borderId="16" xfId="3" applyNumberFormat="1" applyBorder="1" applyAlignment="1">
      <alignment horizontal="center" vertical="center" wrapText="1"/>
    </xf>
    <xf numFmtId="166" fontId="4" fillId="0" borderId="43" xfId="3" applyNumberFormat="1" applyBorder="1" applyAlignment="1">
      <alignment wrapText="1"/>
    </xf>
    <xf numFmtId="3" fontId="4" fillId="0" borderId="0" xfId="3" applyNumberFormat="1" applyAlignment="1">
      <alignment wrapText="1"/>
    </xf>
    <xf numFmtId="0" fontId="4" fillId="0" borderId="10" xfId="3" applyBorder="1" applyAlignment="1">
      <alignment horizontal="center" wrapText="1"/>
    </xf>
    <xf numFmtId="0" fontId="0" fillId="0" borderId="5" xfId="0" applyBorder="1" applyAlignment="1">
      <alignment horizontal="center"/>
    </xf>
    <xf numFmtId="4" fontId="56" fillId="6" borderId="51" xfId="0" applyNumberFormat="1" applyFont="1" applyFill="1" applyBorder="1" applyAlignment="1">
      <alignment horizontal="right" indent="2"/>
    </xf>
    <xf numFmtId="4" fontId="56" fillId="6" borderId="21" xfId="0" applyNumberFormat="1" applyFont="1" applyFill="1" applyBorder="1" applyAlignment="1">
      <alignment horizontal="right" indent="2"/>
    </xf>
    <xf numFmtId="4" fontId="56" fillId="6" borderId="66" xfId="0" applyNumberFormat="1" applyFont="1" applyFill="1" applyBorder="1" applyAlignment="1">
      <alignment horizontal="right" indent="2"/>
    </xf>
    <xf numFmtId="4" fontId="56" fillId="6" borderId="29" xfId="0" applyNumberFormat="1" applyFont="1" applyFill="1" applyBorder="1" applyAlignment="1">
      <alignment horizontal="right" indent="2"/>
    </xf>
    <xf numFmtId="4" fontId="56" fillId="6" borderId="28" xfId="0" applyNumberFormat="1" applyFont="1" applyFill="1" applyBorder="1" applyAlignment="1">
      <alignment horizontal="right" indent="2"/>
    </xf>
    <xf numFmtId="4" fontId="56" fillId="4" borderId="33" xfId="0" applyNumberFormat="1" applyFont="1" applyFill="1" applyBorder="1" applyAlignment="1">
      <alignment horizontal="right" indent="2"/>
    </xf>
    <xf numFmtId="4" fontId="56" fillId="4" borderId="34" xfId="0" applyNumberFormat="1" applyFont="1" applyFill="1" applyBorder="1" applyAlignment="1">
      <alignment horizontal="right" indent="2"/>
    </xf>
    <xf numFmtId="166" fontId="56" fillId="0" borderId="52" xfId="0" applyNumberFormat="1" applyFont="1" applyBorder="1" applyAlignment="1">
      <alignment horizontal="right" vertical="center" wrapText="1"/>
    </xf>
    <xf numFmtId="166" fontId="56" fillId="4" borderId="22" xfId="0" applyNumberFormat="1" applyFont="1" applyFill="1" applyBorder="1" applyAlignment="1">
      <alignment horizontal="right" indent="2"/>
    </xf>
    <xf numFmtId="166" fontId="56" fillId="0" borderId="50" xfId="0" applyNumberFormat="1" applyFont="1" applyBorder="1" applyAlignment="1">
      <alignment horizontal="left" wrapText="1"/>
    </xf>
    <xf numFmtId="165" fontId="1" fillId="0" borderId="0" xfId="2" applyNumberFormat="1" applyAlignment="1">
      <alignment horizontal="right"/>
    </xf>
    <xf numFmtId="166" fontId="56" fillId="6" borderId="69" xfId="0" applyNumberFormat="1" applyFont="1" applyFill="1" applyBorder="1" applyAlignment="1">
      <alignment horizontal="right" indent="2"/>
    </xf>
    <xf numFmtId="4" fontId="56" fillId="6" borderId="97" xfId="0" applyNumberFormat="1" applyFont="1" applyFill="1" applyBorder="1" applyAlignment="1">
      <alignment horizontal="right" indent="2"/>
    </xf>
    <xf numFmtId="3" fontId="0" fillId="0" borderId="86" xfId="0" applyNumberFormat="1" applyBorder="1"/>
    <xf numFmtId="3" fontId="0" fillId="0" borderId="18" xfId="0" applyNumberFormat="1" applyBorder="1" applyAlignment="1">
      <alignment horizontal="right" vertical="center" wrapText="1" indent="2"/>
    </xf>
    <xf numFmtId="166" fontId="51" fillId="0" borderId="0" xfId="0" applyNumberFormat="1" applyFont="1" applyAlignment="1">
      <alignment horizontal="right" indent="2"/>
    </xf>
    <xf numFmtId="3" fontId="1" fillId="0" borderId="50" xfId="3" applyNumberFormat="1" applyFont="1" applyBorder="1" applyAlignment="1">
      <alignment horizontal="left"/>
    </xf>
    <xf numFmtId="3" fontId="0" fillId="4" borderId="156" xfId="0" applyNumberFormat="1" applyFill="1" applyBorder="1" applyAlignment="1">
      <alignment horizontal="right" indent="2"/>
    </xf>
    <xf numFmtId="0" fontId="0" fillId="0" borderId="18" xfId="0" applyBorder="1" applyAlignment="1">
      <alignment horizontal="right" vertical="center" wrapText="1"/>
    </xf>
    <xf numFmtId="3" fontId="56" fillId="4" borderId="47" xfId="0" applyNumberFormat="1" applyFont="1" applyFill="1" applyBorder="1" applyAlignment="1">
      <alignment horizontal="right" wrapText="1" indent="2"/>
    </xf>
    <xf numFmtId="3" fontId="87" fillId="4" borderId="30" xfId="0" applyNumberFormat="1" applyFont="1" applyFill="1" applyBorder="1" applyAlignment="1">
      <alignment horizontal="right"/>
    </xf>
    <xf numFmtId="3" fontId="87" fillId="0" borderId="50" xfId="0" applyNumberFormat="1" applyFont="1" applyBorder="1" applyAlignment="1">
      <alignment horizontal="right"/>
    </xf>
    <xf numFmtId="3" fontId="87" fillId="4" borderId="47" xfId="0" applyNumberFormat="1" applyFont="1" applyFill="1" applyBorder="1" applyAlignment="1">
      <alignment wrapText="1"/>
    </xf>
    <xf numFmtId="3" fontId="87" fillId="0" borderId="72" xfId="0" applyNumberFormat="1" applyFont="1" applyBorder="1" applyAlignment="1">
      <alignment horizontal="right"/>
    </xf>
    <xf numFmtId="3" fontId="87" fillId="4" borderId="18" xfId="0" applyNumberFormat="1" applyFont="1" applyFill="1" applyBorder="1" applyAlignment="1">
      <alignment horizontal="right"/>
    </xf>
    <xf numFmtId="3" fontId="56" fillId="4" borderId="24" xfId="0" applyNumberFormat="1" applyFont="1" applyFill="1" applyBorder="1" applyAlignment="1">
      <alignment horizontal="right" wrapText="1" indent="2"/>
    </xf>
    <xf numFmtId="3" fontId="56" fillId="4" borderId="30" xfId="0" applyNumberFormat="1" applyFont="1" applyFill="1" applyBorder="1" applyAlignment="1">
      <alignment horizontal="right" wrapText="1" indent="2"/>
    </xf>
    <xf numFmtId="3" fontId="56" fillId="4" borderId="18" xfId="0" applyNumberFormat="1" applyFont="1" applyFill="1" applyBorder="1" applyAlignment="1">
      <alignment horizontal="right" wrapText="1" indent="2"/>
    </xf>
    <xf numFmtId="0" fontId="2" fillId="4" borderId="9" xfId="0" applyFont="1" applyFill="1" applyBorder="1" applyAlignment="1">
      <alignment horizontal="right" vertical="center"/>
    </xf>
    <xf numFmtId="0" fontId="0" fillId="0" borderId="157" xfId="0" applyBorder="1" applyAlignment="1">
      <alignment vertical="center" wrapText="1"/>
    </xf>
    <xf numFmtId="166" fontId="0" fillId="4" borderId="158" xfId="0" applyNumberFormat="1" applyFill="1" applyBorder="1" applyAlignment="1">
      <alignment horizontal="right" indent="2"/>
    </xf>
    <xf numFmtId="166" fontId="0" fillId="0" borderId="159" xfId="0" applyNumberFormat="1" applyBorder="1" applyAlignment="1">
      <alignment horizontal="right" indent="2"/>
    </xf>
    <xf numFmtId="166" fontId="2" fillId="4" borderId="24" xfId="0" applyNumberFormat="1" applyFont="1" applyFill="1" applyBorder="1" applyAlignment="1">
      <alignment horizontal="right" vertical="center" wrapText="1" indent="2"/>
    </xf>
    <xf numFmtId="165" fontId="55" fillId="0" borderId="42" xfId="2" applyNumberFormat="1" applyFont="1" applyBorder="1" applyAlignment="1">
      <alignment horizontal="center"/>
    </xf>
    <xf numFmtId="165" fontId="55" fillId="0" borderId="38" xfId="2" applyNumberFormat="1" applyFont="1" applyBorder="1" applyAlignment="1">
      <alignment horizontal="center" vertical="center" wrapText="1"/>
    </xf>
    <xf numFmtId="3" fontId="2" fillId="0" borderId="43" xfId="0" applyNumberFormat="1" applyFont="1" applyBorder="1" applyAlignment="1">
      <alignment horizontal="left"/>
    </xf>
    <xf numFmtId="3" fontId="0" fillId="0" borderId="81" xfId="0" applyNumberFormat="1" applyBorder="1" applyAlignment="1">
      <alignment horizontal="right" indent="2"/>
    </xf>
    <xf numFmtId="3" fontId="13" fillId="0" borderId="44" xfId="2" applyNumberFormat="1" applyFont="1" applyBorder="1" applyAlignment="1">
      <alignment horizontal="center" vertical="center" wrapText="1"/>
    </xf>
    <xf numFmtId="182" fontId="13" fillId="0" borderId="43" xfId="1" applyNumberFormat="1" applyFont="1" applyBorder="1" applyAlignment="1">
      <alignment horizontal="center" vertical="center" wrapText="1"/>
    </xf>
    <xf numFmtId="3" fontId="13" fillId="0" borderId="16" xfId="2" applyNumberFormat="1" applyFont="1" applyBorder="1" applyAlignment="1">
      <alignment horizontal="center" vertical="center" wrapText="1"/>
    </xf>
    <xf numFmtId="3" fontId="102" fillId="0" borderId="42" xfId="0" applyNumberFormat="1" applyFont="1" applyBorder="1" applyAlignment="1">
      <alignment horizontal="left"/>
    </xf>
    <xf numFmtId="174" fontId="4" fillId="0" borderId="43" xfId="3" applyNumberFormat="1" applyBorder="1" applyAlignment="1">
      <alignment horizontal="left"/>
    </xf>
    <xf numFmtId="3" fontId="2" fillId="0" borderId="51" xfId="0" applyNumberFormat="1" applyFont="1" applyBorder="1" applyAlignment="1">
      <alignment horizontal="right" indent="2"/>
    </xf>
    <xf numFmtId="3" fontId="2" fillId="0" borderId="52" xfId="0" applyNumberFormat="1" applyFont="1" applyBorder="1" applyAlignment="1">
      <alignment horizontal="right" indent="2"/>
    </xf>
    <xf numFmtId="3" fontId="0" fillId="0" borderId="74" xfId="0" applyNumberFormat="1" applyBorder="1" applyAlignment="1">
      <alignment horizontal="right" indent="2"/>
    </xf>
    <xf numFmtId="165" fontId="87" fillId="0" borderId="42" xfId="2" applyNumberFormat="1" applyFont="1" applyBorder="1" applyAlignment="1">
      <alignment horizontal="right" indent="2"/>
    </xf>
    <xf numFmtId="174" fontId="0" fillId="6" borderId="30" xfId="1" applyNumberFormat="1" applyFont="1" applyFill="1" applyBorder="1" applyAlignment="1">
      <alignment horizontal="right" indent="2"/>
    </xf>
    <xf numFmtId="3" fontId="23" fillId="6" borderId="36" xfId="0" applyNumberFormat="1" applyFont="1" applyFill="1" applyBorder="1" applyAlignment="1">
      <alignment horizontal="right" indent="2"/>
    </xf>
    <xf numFmtId="0" fontId="2" fillId="0" borderId="0" xfId="0" applyFont="1" applyAlignment="1">
      <alignment horizontal="center"/>
    </xf>
    <xf numFmtId="165" fontId="125" fillId="0" borderId="0" xfId="2" applyNumberFormat="1" applyFont="1" applyAlignment="1">
      <alignment horizontal="left" indent="2"/>
    </xf>
    <xf numFmtId="3" fontId="15" fillId="0" borderId="0" xfId="2" applyNumberFormat="1" applyFont="1" applyAlignment="1">
      <alignment horizontal="center"/>
    </xf>
    <xf numFmtId="0" fontId="16" fillId="4" borderId="8" xfId="0" applyFont="1" applyFill="1" applyBorder="1" applyAlignment="1">
      <alignment horizontal="right"/>
    </xf>
    <xf numFmtId="165" fontId="30" fillId="0" borderId="42" xfId="2" applyNumberFormat="1" applyFont="1" applyBorder="1" applyAlignment="1">
      <alignment horizontal="right" indent="2"/>
    </xf>
    <xf numFmtId="166" fontId="3" fillId="0" borderId="12" xfId="0" applyNumberFormat="1" applyFont="1" applyBorder="1" applyAlignment="1">
      <alignment horizontal="left" vertical="center"/>
    </xf>
    <xf numFmtId="166" fontId="0" fillId="0" borderId="13" xfId="0" applyNumberFormat="1" applyBorder="1"/>
    <xf numFmtId="166" fontId="0" fillId="0" borderId="12" xfId="0" applyNumberFormat="1" applyBorder="1" applyAlignment="1">
      <alignment vertical="center" wrapText="1"/>
    </xf>
    <xf numFmtId="166" fontId="0" fillId="0" borderId="15" xfId="0" applyNumberFormat="1" applyBorder="1" applyAlignment="1">
      <alignment vertical="center" wrapText="1"/>
    </xf>
    <xf numFmtId="166" fontId="0" fillId="0" borderId="44" xfId="0" applyNumberFormat="1" applyBorder="1" applyAlignment="1">
      <alignment horizontal="center" vertical="center"/>
    </xf>
    <xf numFmtId="166" fontId="0" fillId="0" borderId="19" xfId="0" applyNumberFormat="1" applyBorder="1" applyAlignment="1">
      <alignment horizontal="left" vertical="center"/>
    </xf>
    <xf numFmtId="166" fontId="3" fillId="15" borderId="36" xfId="0" applyNumberFormat="1" applyFont="1" applyFill="1" applyBorder="1" applyAlignment="1">
      <alignment horizontal="right" indent="2"/>
    </xf>
    <xf numFmtId="166" fontId="3" fillId="15" borderId="37" xfId="0" applyNumberFormat="1" applyFont="1" applyFill="1" applyBorder="1" applyAlignment="1">
      <alignment horizontal="right" indent="2"/>
    </xf>
    <xf numFmtId="166" fontId="3" fillId="15" borderId="39" xfId="0" applyNumberFormat="1" applyFont="1" applyFill="1" applyBorder="1" applyAlignment="1">
      <alignment horizontal="right" indent="2"/>
    </xf>
    <xf numFmtId="166" fontId="3" fillId="4" borderId="36" xfId="0" applyNumberFormat="1" applyFont="1" applyFill="1" applyBorder="1" applyAlignment="1">
      <alignment horizontal="right" indent="2"/>
    </xf>
    <xf numFmtId="166" fontId="3" fillId="4" borderId="64" xfId="0" applyNumberFormat="1" applyFont="1" applyFill="1" applyBorder="1" applyAlignment="1">
      <alignment horizontal="right" indent="2"/>
    </xf>
    <xf numFmtId="166" fontId="2" fillId="7" borderId="13" xfId="0" applyNumberFormat="1" applyFont="1" applyFill="1" applyBorder="1" applyAlignment="1">
      <alignment horizontal="right" indent="2"/>
    </xf>
    <xf numFmtId="9" fontId="36" fillId="0" borderId="22" xfId="2" applyFont="1" applyBorder="1"/>
    <xf numFmtId="166" fontId="2" fillId="7" borderId="22" xfId="0" applyNumberFormat="1" applyFont="1" applyFill="1" applyBorder="1" applyAlignment="1">
      <alignment horizontal="right" indent="2"/>
    </xf>
    <xf numFmtId="166" fontId="2" fillId="7" borderId="34" xfId="0" applyNumberFormat="1" applyFont="1" applyFill="1" applyBorder="1" applyAlignment="1">
      <alignment horizontal="right" indent="2"/>
    </xf>
    <xf numFmtId="165" fontId="21" fillId="15" borderId="65" xfId="2" applyNumberFormat="1" applyFont="1" applyFill="1" applyBorder="1" applyAlignment="1">
      <alignment horizontal="right" indent="2"/>
    </xf>
    <xf numFmtId="0" fontId="1" fillId="15" borderId="62" xfId="0" applyFont="1" applyFill="1" applyBorder="1" applyAlignment="1">
      <alignment horizontal="right"/>
    </xf>
    <xf numFmtId="0" fontId="1" fillId="0" borderId="6" xfId="0" applyFont="1" applyBorder="1" applyAlignment="1">
      <alignment horizontal="right"/>
    </xf>
    <xf numFmtId="3" fontId="21" fillId="15" borderId="47" xfId="2" applyNumberFormat="1" applyFont="1" applyFill="1" applyBorder="1" applyAlignment="1">
      <alignment horizontal="right" indent="2"/>
    </xf>
    <xf numFmtId="3" fontId="21" fillId="15" borderId="65" xfId="2" applyNumberFormat="1" applyFont="1" applyFill="1" applyBorder="1" applyAlignment="1">
      <alignment horizontal="right" indent="2"/>
    </xf>
    <xf numFmtId="3" fontId="21" fillId="0" borderId="6" xfId="2" applyNumberFormat="1" applyFont="1" applyBorder="1" applyAlignment="1">
      <alignment horizontal="right"/>
    </xf>
    <xf numFmtId="3" fontId="21" fillId="15" borderId="17" xfId="2" applyNumberFormat="1" applyFont="1" applyFill="1" applyBorder="1" applyAlignment="1">
      <alignment horizontal="right" indent="2"/>
    </xf>
    <xf numFmtId="3" fontId="21" fillId="0" borderId="19" xfId="2" applyNumberFormat="1" applyFont="1" applyBorder="1" applyAlignment="1">
      <alignment horizontal="right" indent="2"/>
    </xf>
    <xf numFmtId="3" fontId="21" fillId="15" borderId="79" xfId="2" applyNumberFormat="1" applyFont="1" applyFill="1" applyBorder="1" applyAlignment="1">
      <alignment horizontal="right" indent="2"/>
    </xf>
    <xf numFmtId="165" fontId="13" fillId="32" borderId="38" xfId="2" applyNumberFormat="1" applyFont="1" applyFill="1" applyBorder="1" applyAlignment="1">
      <alignment horizontal="center" vertical="center" wrapText="1"/>
    </xf>
    <xf numFmtId="0" fontId="3" fillId="4" borderId="8" xfId="0" applyFont="1" applyFill="1" applyBorder="1" applyAlignment="1">
      <alignment horizontal="right"/>
    </xf>
    <xf numFmtId="0" fontId="3" fillId="4" borderId="9" xfId="0" applyFont="1" applyFill="1" applyBorder="1" applyAlignment="1">
      <alignment horizontal="right"/>
    </xf>
    <xf numFmtId="0" fontId="12" fillId="0" borderId="1" xfId="0" applyFont="1" applyBorder="1" applyAlignment="1">
      <alignment vertical="center" wrapText="1"/>
    </xf>
    <xf numFmtId="166" fontId="0" fillId="0" borderId="16" xfId="0" applyNumberFormat="1" applyBorder="1" applyAlignment="1">
      <alignment vertical="center" wrapText="1"/>
    </xf>
    <xf numFmtId="166" fontId="0" fillId="0" borderId="84" xfId="0" applyNumberFormat="1" applyBorder="1" applyAlignment="1">
      <alignment horizontal="right"/>
    </xf>
    <xf numFmtId="166" fontId="0" fillId="0" borderId="52" xfId="0" applyNumberFormat="1" applyBorder="1" applyAlignment="1">
      <alignment horizontal="left"/>
    </xf>
    <xf numFmtId="0" fontId="45" fillId="0" borderId="16" xfId="0" applyFont="1" applyBorder="1" applyAlignment="1">
      <alignment vertical="center" wrapText="1"/>
    </xf>
    <xf numFmtId="0" fontId="38" fillId="0" borderId="4" xfId="0" applyFont="1" applyBorder="1" applyAlignment="1">
      <alignment horizontal="center" vertical="center" wrapText="1"/>
    </xf>
    <xf numFmtId="166" fontId="0" fillId="0" borderId="43" xfId="0" applyNumberFormat="1" applyBorder="1" applyAlignment="1">
      <alignment horizontal="left" indent="2"/>
    </xf>
    <xf numFmtId="0" fontId="29" fillId="0" borderId="15" xfId="0" applyFont="1" applyBorder="1" applyAlignment="1">
      <alignment vertical="center"/>
    </xf>
    <xf numFmtId="165" fontId="49" fillId="0" borderId="33" xfId="2" applyNumberFormat="1" applyFont="1" applyBorder="1" applyAlignment="1">
      <alignment horizontal="right" vertical="center" wrapText="1" indent="2"/>
    </xf>
    <xf numFmtId="165" fontId="30" fillId="0" borderId="42" xfId="2" applyNumberFormat="1" applyFont="1" applyBorder="1" applyAlignment="1">
      <alignment horizontal="left" indent="2"/>
    </xf>
    <xf numFmtId="3" fontId="4" fillId="0" borderId="0" xfId="3" applyNumberFormat="1" applyAlignment="1">
      <alignment horizontal="left"/>
    </xf>
    <xf numFmtId="3" fontId="2" fillId="0" borderId="19" xfId="0" applyNumberFormat="1" applyFont="1" applyBorder="1" applyAlignment="1">
      <alignment horizontal="left"/>
    </xf>
    <xf numFmtId="3" fontId="45" fillId="0" borderId="18" xfId="0" applyNumberFormat="1" applyFont="1" applyBorder="1" applyAlignment="1">
      <alignment horizontal="right" indent="2"/>
    </xf>
    <xf numFmtId="3" fontId="45" fillId="0" borderId="0" xfId="0" applyNumberFormat="1" applyFont="1" applyAlignment="1">
      <alignment horizontal="left"/>
    </xf>
    <xf numFmtId="165" fontId="66" fillId="0" borderId="0" xfId="2" applyNumberFormat="1" applyFont="1" applyAlignment="1">
      <alignment horizontal="right" indent="2"/>
    </xf>
    <xf numFmtId="165" fontId="66" fillId="0" borderId="11" xfId="2" applyNumberFormat="1" applyFont="1" applyBorder="1" applyAlignment="1">
      <alignment horizontal="right" indent="2"/>
    </xf>
    <xf numFmtId="165" fontId="66" fillId="0" borderId="6" xfId="2" applyNumberFormat="1" applyFont="1" applyBorder="1" applyAlignment="1">
      <alignment horizontal="right" indent="2"/>
    </xf>
    <xf numFmtId="3" fontId="0" fillId="6" borderId="62" xfId="0" applyNumberFormat="1" applyFill="1" applyBorder="1" applyAlignment="1">
      <alignment horizontal="right" indent="2"/>
    </xf>
    <xf numFmtId="165" fontId="30" fillId="0" borderId="42" xfId="2" applyNumberFormat="1" applyFont="1" applyBorder="1" applyAlignment="1">
      <alignment horizontal="left"/>
    </xf>
    <xf numFmtId="165" fontId="48" fillId="0" borderId="0" xfId="2" applyNumberFormat="1" applyFont="1" applyAlignment="1">
      <alignment horizontal="left"/>
    </xf>
    <xf numFmtId="3" fontId="4" fillId="0" borderId="43" xfId="3" applyNumberFormat="1" applyBorder="1" applyAlignment="1">
      <alignment horizontal="left" wrapText="1"/>
    </xf>
    <xf numFmtId="165" fontId="15" fillId="0" borderId="11" xfId="2" applyNumberFormat="1" applyFont="1" applyBorder="1"/>
    <xf numFmtId="166" fontId="0" fillId="4" borderId="36" xfId="0" applyNumberFormat="1" applyFill="1" applyBorder="1" applyAlignment="1">
      <alignment horizontal="right" indent="4"/>
    </xf>
    <xf numFmtId="165" fontId="20" fillId="4" borderId="34" xfId="2" applyNumberFormat="1" applyFont="1" applyFill="1" applyBorder="1" applyAlignment="1">
      <alignment horizontal="right" vertical="center" wrapText="1" indent="2"/>
    </xf>
    <xf numFmtId="166" fontId="0" fillId="0" borderId="62" xfId="0" applyNumberFormat="1" applyBorder="1" applyAlignment="1">
      <alignment horizontal="right" vertical="center" wrapText="1" indent="2"/>
    </xf>
    <xf numFmtId="166" fontId="0" fillId="7" borderId="22" xfId="0" applyNumberFormat="1" applyFill="1" applyBorder="1" applyAlignment="1">
      <alignment horizontal="right" vertical="center" wrapText="1" indent="2"/>
    </xf>
    <xf numFmtId="166" fontId="47" fillId="0" borderId="0" xfId="0" applyNumberFormat="1" applyFont="1" applyAlignment="1">
      <alignment horizontal="left"/>
    </xf>
    <xf numFmtId="3" fontId="20" fillId="0" borderId="0" xfId="2" applyNumberFormat="1" applyFont="1" applyAlignment="1">
      <alignment horizontal="right" indent="2"/>
    </xf>
    <xf numFmtId="3" fontId="20" fillId="0" borderId="11" xfId="2" applyNumberFormat="1" applyFont="1" applyBorder="1" applyAlignment="1">
      <alignment horizontal="right" indent="2"/>
    </xf>
    <xf numFmtId="3" fontId="20" fillId="0" borderId="6" xfId="2" applyNumberFormat="1" applyFont="1" applyBorder="1" applyAlignment="1">
      <alignment horizontal="right"/>
    </xf>
    <xf numFmtId="9" fontId="1" fillId="6" borderId="51" xfId="2" applyFill="1" applyBorder="1" applyAlignment="1">
      <alignment horizontal="right" indent="2"/>
    </xf>
    <xf numFmtId="9" fontId="1" fillId="0" borderId="0" xfId="2" applyAlignment="1">
      <alignment horizontal="right" indent="4"/>
    </xf>
    <xf numFmtId="9" fontId="1" fillId="0" borderId="11" xfId="2" applyBorder="1" applyAlignment="1">
      <alignment horizontal="right" indent="4"/>
    </xf>
    <xf numFmtId="9" fontId="1" fillId="0" borderId="8" xfId="2" applyBorder="1" applyAlignment="1">
      <alignment horizontal="right" indent="4"/>
    </xf>
    <xf numFmtId="9" fontId="1" fillId="6" borderId="24" xfId="2" applyFill="1" applyBorder="1" applyAlignment="1">
      <alignment horizontal="right" indent="2"/>
    </xf>
    <xf numFmtId="9" fontId="1" fillId="6" borderId="22" xfId="2" applyFill="1" applyBorder="1" applyAlignment="1">
      <alignment horizontal="right" indent="2"/>
    </xf>
    <xf numFmtId="165" fontId="1" fillId="0" borderId="0" xfId="2" applyNumberFormat="1" applyAlignment="1">
      <alignment horizontal="right" indent="4"/>
    </xf>
    <xf numFmtId="165" fontId="1" fillId="0" borderId="11" xfId="2" applyNumberFormat="1" applyBorder="1" applyAlignment="1">
      <alignment horizontal="right" indent="4"/>
    </xf>
    <xf numFmtId="165" fontId="1" fillId="0" borderId="8" xfId="2" applyNumberFormat="1" applyBorder="1" applyAlignment="1">
      <alignment horizontal="right" indent="4"/>
    </xf>
    <xf numFmtId="165" fontId="1" fillId="6" borderId="22" xfId="2" applyNumberFormat="1" applyFill="1" applyBorder="1" applyAlignment="1">
      <alignment horizontal="right" indent="2"/>
    </xf>
    <xf numFmtId="3" fontId="1" fillId="6" borderId="22" xfId="2" applyNumberFormat="1" applyFill="1" applyBorder="1" applyAlignment="1">
      <alignment horizontal="right" indent="2"/>
    </xf>
    <xf numFmtId="9" fontId="1" fillId="6" borderId="21" xfId="2" applyFill="1" applyBorder="1" applyAlignment="1">
      <alignment horizontal="right" indent="2"/>
    </xf>
    <xf numFmtId="9" fontId="1" fillId="0" borderId="0" xfId="2" applyAlignment="1">
      <alignment horizontal="right" indent="2"/>
    </xf>
    <xf numFmtId="9" fontId="1" fillId="0" borderId="11" xfId="2" applyBorder="1" applyAlignment="1">
      <alignment horizontal="right" indent="2"/>
    </xf>
    <xf numFmtId="9" fontId="1" fillId="0" borderId="8" xfId="2" applyBorder="1" applyAlignment="1">
      <alignment horizontal="right" indent="2"/>
    </xf>
    <xf numFmtId="165" fontId="1" fillId="0" borderId="8" xfId="2" applyNumberFormat="1" applyBorder="1" applyAlignment="1">
      <alignment horizontal="right"/>
    </xf>
    <xf numFmtId="165" fontId="18" fillId="0" borderId="42" xfId="2" applyNumberFormat="1" applyFont="1" applyBorder="1" applyAlignment="1">
      <alignment horizontal="right" indent="2"/>
    </xf>
    <xf numFmtId="165" fontId="18" fillId="0" borderId="38" xfId="2" applyNumberFormat="1" applyFont="1" applyBorder="1" applyAlignment="1">
      <alignment horizontal="right" indent="2"/>
    </xf>
    <xf numFmtId="165" fontId="18" fillId="0" borderId="8" xfId="2" applyNumberFormat="1" applyFont="1" applyBorder="1" applyAlignment="1">
      <alignment horizontal="right"/>
    </xf>
    <xf numFmtId="166" fontId="56" fillId="4" borderId="18" xfId="0" applyNumberFormat="1" applyFont="1" applyFill="1" applyBorder="1" applyAlignment="1">
      <alignment horizontal="right" indent="2"/>
    </xf>
    <xf numFmtId="166" fontId="56" fillId="4" borderId="11" xfId="0" applyNumberFormat="1" applyFont="1" applyFill="1" applyBorder="1" applyAlignment="1">
      <alignment horizontal="right" indent="2"/>
    </xf>
    <xf numFmtId="166" fontId="0" fillId="4" borderId="18" xfId="0" applyNumberFormat="1" applyFill="1" applyBorder="1" applyAlignment="1">
      <alignment horizontal="center" vertical="center"/>
    </xf>
    <xf numFmtId="166" fontId="0" fillId="4" borderId="11" xfId="0" applyNumberFormat="1" applyFill="1" applyBorder="1" applyAlignment="1">
      <alignment horizontal="center" vertical="center"/>
    </xf>
    <xf numFmtId="166" fontId="0" fillId="4" borderId="47" xfId="0" applyNumberFormat="1" applyFill="1" applyBorder="1" applyAlignment="1">
      <alignment horizontal="center" vertical="center"/>
    </xf>
    <xf numFmtId="166" fontId="0" fillId="4" borderId="62" xfId="0" applyNumberFormat="1" applyFill="1" applyBorder="1" applyAlignment="1">
      <alignment horizontal="center" vertical="center"/>
    </xf>
    <xf numFmtId="166" fontId="0" fillId="4" borderId="22" xfId="0" applyNumberFormat="1" applyFill="1" applyBorder="1" applyAlignment="1">
      <alignment horizontal="center" vertical="center"/>
    </xf>
    <xf numFmtId="166" fontId="0" fillId="0" borderId="0" xfId="0" applyNumberFormat="1" applyAlignment="1">
      <alignment horizontal="center" vertical="center"/>
    </xf>
    <xf numFmtId="3" fontId="0" fillId="0" borderId="18" xfId="0" applyNumberFormat="1" applyBorder="1" applyAlignment="1">
      <alignment horizontal="center"/>
    </xf>
    <xf numFmtId="166" fontId="0" fillId="0" borderId="18" xfId="0" applyNumberFormat="1" applyBorder="1" applyAlignment="1">
      <alignment horizontal="right" vertical="center" wrapText="1" indent="2"/>
    </xf>
    <xf numFmtId="0" fontId="0" fillId="0" borderId="18" xfId="0" applyBorder="1" applyAlignment="1">
      <alignment horizontal="right" indent="2"/>
    </xf>
    <xf numFmtId="3" fontId="9" fillId="0" borderId="18" xfId="0" applyNumberFormat="1" applyFont="1" applyBorder="1" applyAlignment="1">
      <alignment horizontal="right" indent="2"/>
    </xf>
    <xf numFmtId="0" fontId="39" fillId="4" borderId="5" xfId="3" applyFont="1" applyFill="1" applyBorder="1" applyAlignment="1">
      <alignment horizontal="center" vertical="center" wrapText="1"/>
    </xf>
    <xf numFmtId="0" fontId="0" fillId="0" borderId="12" xfId="0" applyBorder="1" applyAlignment="1">
      <alignment horizontal="left" vertical="center" wrapText="1"/>
    </xf>
    <xf numFmtId="166" fontId="0" fillId="6" borderId="51" xfId="0" applyNumberFormat="1" applyFill="1" applyBorder="1" applyAlignment="1">
      <alignment horizontal="right" indent="2"/>
    </xf>
    <xf numFmtId="9" fontId="1" fillId="0" borderId="11" xfId="2" applyBorder="1" applyAlignment="1">
      <alignment horizontal="right"/>
    </xf>
    <xf numFmtId="166" fontId="0" fillId="6" borderId="74" xfId="0" applyNumberFormat="1" applyFill="1" applyBorder="1" applyAlignment="1">
      <alignment horizontal="right" indent="2"/>
    </xf>
    <xf numFmtId="166" fontId="0" fillId="6" borderId="66" xfId="0" applyNumberFormat="1" applyFill="1" applyBorder="1" applyAlignment="1">
      <alignment horizontal="right" indent="2"/>
    </xf>
    <xf numFmtId="9" fontId="1" fillId="0" borderId="38" xfId="2" applyBorder="1" applyAlignment="1">
      <alignment horizontal="right"/>
    </xf>
    <xf numFmtId="166" fontId="2" fillId="4" borderId="51" xfId="0" applyNumberFormat="1" applyFont="1" applyFill="1" applyBorder="1" applyAlignment="1">
      <alignment horizontal="right" indent="2"/>
    </xf>
    <xf numFmtId="166" fontId="2" fillId="4" borderId="18" xfId="0" applyNumberFormat="1" applyFont="1" applyFill="1" applyBorder="1" applyAlignment="1">
      <alignment horizontal="right" indent="2"/>
    </xf>
    <xf numFmtId="166" fontId="2" fillId="4" borderId="19" xfId="0" applyNumberFormat="1" applyFont="1" applyFill="1" applyBorder="1" applyAlignment="1">
      <alignment horizontal="right" indent="2"/>
    </xf>
    <xf numFmtId="166" fontId="0" fillId="4" borderId="66" xfId="0" applyNumberFormat="1" applyFill="1" applyBorder="1" applyAlignment="1">
      <alignment horizontal="right" indent="2"/>
    </xf>
    <xf numFmtId="166" fontId="2" fillId="4" borderId="21" xfId="0" applyNumberFormat="1" applyFont="1" applyFill="1" applyBorder="1" applyAlignment="1">
      <alignment horizontal="right" indent="2"/>
    </xf>
    <xf numFmtId="166" fontId="2" fillId="4" borderId="8" xfId="0" applyNumberFormat="1" applyFont="1" applyFill="1" applyBorder="1" applyAlignment="1">
      <alignment horizontal="right" indent="2"/>
    </xf>
    <xf numFmtId="165" fontId="30" fillId="0" borderId="0" xfId="2" applyNumberFormat="1" applyFont="1" applyAlignment="1">
      <alignment horizontal="right" indent="2"/>
    </xf>
    <xf numFmtId="3" fontId="12" fillId="4" borderId="43" xfId="0" applyNumberFormat="1" applyFont="1" applyFill="1" applyBorder="1" applyAlignment="1">
      <alignment horizontal="center" wrapText="1"/>
    </xf>
    <xf numFmtId="165" fontId="13" fillId="0" borderId="1" xfId="2" applyNumberFormat="1" applyFont="1" applyBorder="1" applyAlignment="1">
      <alignment horizontal="right" indent="2"/>
    </xf>
    <xf numFmtId="0" fontId="15" fillId="0" borderId="3" xfId="0" applyFont="1" applyBorder="1" applyAlignment="1">
      <alignment horizontal="right"/>
    </xf>
    <xf numFmtId="3" fontId="30" fillId="0" borderId="43" xfId="0" applyNumberFormat="1" applyFont="1" applyBorder="1" applyAlignment="1">
      <alignment horizontal="right" indent="2"/>
    </xf>
    <xf numFmtId="3" fontId="30" fillId="0" borderId="44" xfId="0" applyNumberFormat="1" applyFont="1" applyBorder="1" applyAlignment="1">
      <alignment horizontal="right" indent="2"/>
    </xf>
    <xf numFmtId="3" fontId="30" fillId="0" borderId="16" xfId="0" applyNumberFormat="1" applyFont="1" applyBorder="1" applyAlignment="1">
      <alignment horizontal="right" indent="2"/>
    </xf>
    <xf numFmtId="3" fontId="12" fillId="4" borderId="66" xfId="0" applyNumberFormat="1" applyFont="1" applyFill="1" applyBorder="1" applyAlignment="1">
      <alignment horizontal="right" indent="2"/>
    </xf>
    <xf numFmtId="166" fontId="12" fillId="4" borderId="21" xfId="0" applyNumberFormat="1" applyFont="1" applyFill="1" applyBorder="1" applyAlignment="1">
      <alignment horizontal="right" indent="2"/>
    </xf>
    <xf numFmtId="3" fontId="30" fillId="0" borderId="5" xfId="0" applyNumberFormat="1" applyFont="1" applyBorder="1" applyAlignment="1">
      <alignment horizontal="left" indent="2"/>
    </xf>
    <xf numFmtId="166" fontId="30" fillId="0" borderId="0" xfId="0" applyNumberFormat="1" applyFont="1" applyAlignment="1">
      <alignment horizontal="left"/>
    </xf>
    <xf numFmtId="166" fontId="2" fillId="4" borderId="28" xfId="0" applyNumberFormat="1" applyFont="1" applyFill="1" applyBorder="1" applyAlignment="1">
      <alignment horizontal="right" indent="2"/>
    </xf>
    <xf numFmtId="166" fontId="0" fillId="0" borderId="13" xfId="0" applyNumberFormat="1" applyBorder="1" applyAlignment="1">
      <alignment horizontal="right" indent="2"/>
    </xf>
    <xf numFmtId="166" fontId="23" fillId="6" borderId="24" xfId="0" applyNumberFormat="1" applyFont="1" applyFill="1" applyBorder="1" applyAlignment="1">
      <alignment horizontal="right" indent="2"/>
    </xf>
    <xf numFmtId="166" fontId="23" fillId="6" borderId="51" xfId="0" applyNumberFormat="1" applyFont="1" applyFill="1" applyBorder="1" applyAlignment="1">
      <alignment horizontal="right" indent="2"/>
    </xf>
    <xf numFmtId="166" fontId="0" fillId="0" borderId="16" xfId="0" applyNumberFormat="1" applyBorder="1" applyAlignment="1">
      <alignment horizontal="right"/>
    </xf>
    <xf numFmtId="166" fontId="56" fillId="7" borderId="51" xfId="0" applyNumberFormat="1" applyFont="1" applyFill="1" applyBorder="1" applyAlignment="1">
      <alignment horizontal="right" indent="2"/>
    </xf>
    <xf numFmtId="166" fontId="0" fillId="7" borderId="51" xfId="0" applyNumberFormat="1" applyFill="1" applyBorder="1" applyAlignment="1">
      <alignment horizontal="right" vertical="center" wrapText="1" indent="2"/>
    </xf>
    <xf numFmtId="166" fontId="18" fillId="0" borderId="11" xfId="0" applyNumberFormat="1" applyFont="1" applyBorder="1" applyAlignment="1">
      <alignment horizontal="right"/>
    </xf>
    <xf numFmtId="166" fontId="24" fillId="0" borderId="11" xfId="0" applyNumberFormat="1" applyFont="1" applyBorder="1" applyAlignment="1">
      <alignment horizontal="right"/>
    </xf>
    <xf numFmtId="165" fontId="15" fillId="0" borderId="11" xfId="2" applyNumberFormat="1" applyFont="1" applyBorder="1" applyAlignment="1">
      <alignment horizontal="right"/>
    </xf>
    <xf numFmtId="165" fontId="15" fillId="0" borderId="19" xfId="2" applyNumberFormat="1" applyFont="1" applyBorder="1" applyAlignment="1">
      <alignment horizontal="right" indent="2"/>
    </xf>
    <xf numFmtId="3" fontId="42" fillId="0" borderId="11" xfId="2" applyNumberFormat="1" applyFont="1" applyBorder="1" applyAlignment="1">
      <alignment horizontal="right"/>
    </xf>
    <xf numFmtId="166" fontId="1" fillId="6" borderId="21" xfId="2" applyNumberFormat="1" applyFill="1" applyBorder="1" applyAlignment="1">
      <alignment horizontal="right" indent="2"/>
    </xf>
    <xf numFmtId="166" fontId="1" fillId="6" borderId="51" xfId="2" applyNumberFormat="1" applyFill="1" applyBorder="1" applyAlignment="1">
      <alignment horizontal="right" indent="2"/>
    </xf>
    <xf numFmtId="166" fontId="1" fillId="0" borderId="0" xfId="2" applyNumberFormat="1" applyAlignment="1">
      <alignment horizontal="right" indent="2"/>
    </xf>
    <xf numFmtId="166" fontId="1" fillId="0" borderId="11" xfId="2" applyNumberFormat="1" applyBorder="1" applyAlignment="1">
      <alignment horizontal="right" indent="2"/>
    </xf>
    <xf numFmtId="166" fontId="1" fillId="0" borderId="19" xfId="2" applyNumberFormat="1" applyBorder="1" applyAlignment="1">
      <alignment horizontal="right" indent="2"/>
    </xf>
    <xf numFmtId="166" fontId="1" fillId="6" borderId="63" xfId="2" applyNumberFormat="1" applyFill="1" applyBorder="1" applyAlignment="1">
      <alignment horizontal="right" indent="2"/>
    </xf>
    <xf numFmtId="165" fontId="9" fillId="0" borderId="0" xfId="2" applyNumberFormat="1" applyFont="1" applyAlignment="1">
      <alignment horizontal="right" indent="4"/>
    </xf>
    <xf numFmtId="165" fontId="9" fillId="0" borderId="19" xfId="2" applyNumberFormat="1" applyFont="1" applyBorder="1" applyAlignment="1">
      <alignment horizontal="right" indent="4"/>
    </xf>
    <xf numFmtId="165" fontId="15" fillId="0" borderId="42" xfId="2" applyNumberFormat="1" applyFont="1" applyBorder="1" applyAlignment="1">
      <alignment horizontal="right" indent="4"/>
    </xf>
    <xf numFmtId="165" fontId="15" fillId="0" borderId="40" xfId="2" applyNumberFormat="1" applyFont="1" applyBorder="1" applyAlignment="1">
      <alignment horizontal="right" indent="4"/>
    </xf>
    <xf numFmtId="0" fontId="0" fillId="0" borderId="28" xfId="0" applyBorder="1" applyAlignment="1">
      <alignment horizontal="right"/>
    </xf>
    <xf numFmtId="3" fontId="56" fillId="7" borderId="24" xfId="0" applyNumberFormat="1" applyFont="1" applyFill="1" applyBorder="1" applyAlignment="1">
      <alignment horizontal="right" indent="2"/>
    </xf>
    <xf numFmtId="0" fontId="0" fillId="0" borderId="0" xfId="0" quotePrefix="1" applyAlignment="1">
      <alignment horizontal="center" vertical="center"/>
    </xf>
    <xf numFmtId="3" fontId="79" fillId="0" borderId="0" xfId="0" applyNumberFormat="1" applyFont="1" applyAlignment="1">
      <alignment horizontal="center"/>
    </xf>
    <xf numFmtId="165" fontId="30" fillId="0" borderId="11" xfId="0" applyNumberFormat="1" applyFont="1" applyBorder="1"/>
    <xf numFmtId="3" fontId="79" fillId="0" borderId="42" xfId="0" applyNumberFormat="1" applyFont="1" applyBorder="1" applyAlignment="1">
      <alignment horizontal="center"/>
    </xf>
    <xf numFmtId="3" fontId="79" fillId="0" borderId="0" xfId="0" applyNumberFormat="1" applyFont="1" applyAlignment="1">
      <alignment horizontal="right" wrapText="1" indent="2"/>
    </xf>
    <xf numFmtId="3" fontId="56" fillId="0" borderId="43" xfId="0" applyNumberFormat="1" applyFont="1" applyBorder="1" applyAlignment="1">
      <alignment horizontal="right" vertical="center" wrapText="1"/>
    </xf>
    <xf numFmtId="3" fontId="0" fillId="2" borderId="1" xfId="0" applyNumberFormat="1" applyFill="1" applyBorder="1" applyAlignment="1">
      <alignment horizontal="right" indent="2"/>
    </xf>
    <xf numFmtId="3" fontId="0" fillId="0" borderId="2" xfId="0" applyNumberFormat="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0" fillId="4" borderId="1" xfId="0" applyFill="1" applyBorder="1" applyAlignment="1">
      <alignment horizontal="center" vertical="center" wrapText="1"/>
    </xf>
    <xf numFmtId="3" fontId="4" fillId="2" borderId="43" xfId="3" applyNumberFormat="1" applyFill="1" applyBorder="1" applyAlignment="1">
      <alignment horizontal="center" wrapText="1"/>
    </xf>
    <xf numFmtId="3" fontId="0" fillId="0" borderId="42" xfId="0" applyNumberFormat="1" applyBorder="1" applyAlignment="1">
      <alignment horizontal="center" vertical="center" wrapText="1"/>
    </xf>
    <xf numFmtId="3" fontId="67" fillId="4" borderId="62" xfId="0" applyNumberFormat="1" applyFont="1" applyFill="1" applyBorder="1" applyAlignment="1">
      <alignment horizontal="right" indent="2"/>
    </xf>
    <xf numFmtId="3" fontId="0" fillId="2" borderId="0" xfId="0" applyNumberFormat="1" applyFill="1" applyAlignment="1">
      <alignment horizontal="right" vertical="center" wrapText="1" indent="2"/>
    </xf>
    <xf numFmtId="3" fontId="18" fillId="2" borderId="18" xfId="0" applyNumberFormat="1" applyFont="1" applyFill="1" applyBorder="1" applyAlignment="1">
      <alignment horizontal="right" indent="2"/>
    </xf>
    <xf numFmtId="3" fontId="18" fillId="0" borderId="0" xfId="0" applyNumberFormat="1" applyFont="1" applyAlignment="1">
      <alignment horizontal="center"/>
    </xf>
    <xf numFmtId="3" fontId="24" fillId="2" borderId="18" xfId="0" applyNumberFormat="1" applyFont="1" applyFill="1" applyBorder="1" applyAlignment="1">
      <alignment horizontal="right" indent="2"/>
    </xf>
    <xf numFmtId="3" fontId="24" fillId="0" borderId="0" xfId="0" applyNumberFormat="1" applyFont="1" applyAlignment="1">
      <alignment horizontal="center"/>
    </xf>
    <xf numFmtId="165" fontId="25" fillId="2" borderId="18" xfId="2" applyNumberFormat="1" applyFont="1" applyFill="1" applyBorder="1" applyAlignment="1">
      <alignment horizontal="right" indent="2"/>
    </xf>
    <xf numFmtId="3" fontId="26" fillId="2" borderId="17" xfId="2" applyNumberFormat="1" applyFont="1" applyFill="1" applyBorder="1" applyAlignment="1">
      <alignment horizontal="right" indent="2"/>
    </xf>
    <xf numFmtId="165" fontId="12" fillId="2" borderId="21" xfId="2" applyNumberFormat="1" applyFont="1" applyFill="1" applyBorder="1" applyAlignment="1">
      <alignment horizontal="right" indent="2"/>
    </xf>
    <xf numFmtId="165" fontId="12" fillId="2" borderId="21" xfId="0" applyNumberFormat="1" applyFont="1" applyFill="1" applyBorder="1"/>
    <xf numFmtId="165" fontId="27" fillId="2" borderId="21" xfId="0" applyNumberFormat="1" applyFont="1" applyFill="1" applyBorder="1" applyAlignment="1">
      <alignment horizontal="right" indent="2"/>
    </xf>
    <xf numFmtId="165" fontId="26" fillId="2" borderId="33" xfId="2" applyNumberFormat="1" applyFont="1" applyFill="1" applyBorder="1" applyAlignment="1">
      <alignment horizontal="right" indent="2"/>
    </xf>
    <xf numFmtId="0" fontId="12" fillId="0" borderId="0" xfId="0" applyFont="1" applyAlignment="1">
      <alignment horizontal="center" vertical="top"/>
    </xf>
    <xf numFmtId="0" fontId="12" fillId="4" borderId="0" xfId="0" applyFont="1" applyFill="1" applyAlignment="1">
      <alignment horizontal="center" vertical="top" wrapText="1"/>
    </xf>
    <xf numFmtId="9" fontId="1" fillId="0" borderId="0" xfId="2"/>
    <xf numFmtId="165" fontId="13" fillId="0" borderId="44" xfId="2" applyNumberFormat="1" applyFont="1" applyBorder="1" applyAlignment="1">
      <alignment horizontal="left" indent="2"/>
    </xf>
    <xf numFmtId="165" fontId="48" fillId="0" borderId="0" xfId="2" applyNumberFormat="1" applyFont="1" applyAlignment="1">
      <alignment horizontal="right"/>
    </xf>
    <xf numFmtId="166" fontId="56" fillId="4" borderId="11" xfId="0" applyNumberFormat="1" applyFont="1" applyFill="1" applyBorder="1" applyAlignment="1">
      <alignment horizontal="right" indent="4"/>
    </xf>
    <xf numFmtId="166" fontId="56" fillId="4" borderId="62" xfId="0" applyNumberFormat="1" applyFont="1" applyFill="1" applyBorder="1" applyAlignment="1">
      <alignment horizontal="right" indent="4"/>
    </xf>
    <xf numFmtId="166" fontId="56" fillId="4" borderId="22" xfId="0" applyNumberFormat="1" applyFont="1" applyFill="1" applyBorder="1" applyAlignment="1">
      <alignment horizontal="right" indent="4"/>
    </xf>
    <xf numFmtId="166" fontId="56" fillId="4" borderId="47" xfId="0" applyNumberFormat="1" applyFont="1" applyFill="1" applyBorder="1" applyAlignment="1">
      <alignment horizontal="right" indent="4"/>
    </xf>
    <xf numFmtId="166" fontId="56" fillId="0" borderId="0" xfId="0" applyNumberFormat="1" applyFont="1" applyAlignment="1">
      <alignment horizontal="right" indent="4"/>
    </xf>
    <xf numFmtId="166" fontId="56" fillId="4" borderId="28" xfId="0" applyNumberFormat="1" applyFont="1" applyFill="1" applyBorder="1" applyAlignment="1">
      <alignment horizontal="right" indent="4"/>
    </xf>
    <xf numFmtId="166" fontId="56" fillId="4" borderId="30" xfId="0" applyNumberFormat="1" applyFont="1" applyFill="1" applyBorder="1" applyAlignment="1">
      <alignment horizontal="right" indent="4"/>
    </xf>
    <xf numFmtId="166" fontId="56" fillId="0" borderId="42" xfId="0" applyNumberFormat="1" applyFont="1" applyBorder="1" applyAlignment="1">
      <alignment horizontal="right" indent="4"/>
    </xf>
    <xf numFmtId="166" fontId="56" fillId="4" borderId="64" xfId="0" applyNumberFormat="1" applyFont="1" applyFill="1" applyBorder="1" applyAlignment="1">
      <alignment horizontal="right" indent="4"/>
    </xf>
    <xf numFmtId="3" fontId="56" fillId="4" borderId="62" xfId="0" applyNumberFormat="1" applyFont="1" applyFill="1" applyBorder="1" applyAlignment="1">
      <alignment horizontal="right" indent="2"/>
    </xf>
    <xf numFmtId="9" fontId="56" fillId="0" borderId="0" xfId="2" applyFont="1"/>
    <xf numFmtId="9" fontId="9" fillId="0" borderId="42" xfId="2" applyFont="1" applyBorder="1" applyAlignment="1">
      <alignment horizontal="right" indent="4"/>
    </xf>
    <xf numFmtId="0" fontId="0" fillId="6" borderId="15" xfId="0" applyFill="1" applyBorder="1" applyAlignment="1">
      <alignment horizontal="center" vertical="center" wrapText="1"/>
    </xf>
    <xf numFmtId="3" fontId="12" fillId="0" borderId="16" xfId="0" applyNumberFormat="1" applyFont="1" applyBorder="1" applyAlignment="1">
      <alignment horizontal="left"/>
    </xf>
    <xf numFmtId="165" fontId="9" fillId="0" borderId="9" xfId="2" applyNumberFormat="1" applyFont="1" applyBorder="1" applyAlignment="1">
      <alignment horizontal="right" indent="2"/>
    </xf>
    <xf numFmtId="0" fontId="4" fillId="0" borderId="3" xfId="3" applyBorder="1" applyAlignment="1">
      <alignment vertical="center" wrapText="1"/>
    </xf>
    <xf numFmtId="165" fontId="9" fillId="0" borderId="12" xfId="2" applyNumberFormat="1" applyFont="1" applyBorder="1" applyAlignment="1">
      <alignment horizontal="left"/>
    </xf>
    <xf numFmtId="166" fontId="0" fillId="8" borderId="24" xfId="0" applyNumberFormat="1" applyFill="1" applyBorder="1" applyAlignment="1">
      <alignment horizontal="right" indent="2"/>
    </xf>
    <xf numFmtId="166" fontId="0" fillId="8" borderId="6" xfId="0" applyNumberFormat="1" applyFill="1" applyBorder="1" applyAlignment="1">
      <alignment horizontal="right" indent="2"/>
    </xf>
    <xf numFmtId="165" fontId="9" fillId="0" borderId="0" xfId="2" applyNumberFormat="1" applyFont="1" applyAlignment="1">
      <alignment horizontal="left"/>
    </xf>
    <xf numFmtId="166" fontId="0" fillId="8" borderId="58" xfId="0" applyNumberFormat="1" applyFill="1" applyBorder="1" applyAlignment="1">
      <alignment horizontal="right" indent="2"/>
    </xf>
    <xf numFmtId="166" fontId="0" fillId="8" borderId="41" xfId="0" applyNumberFormat="1" applyFill="1" applyBorder="1" applyAlignment="1">
      <alignment horizontal="right" indent="2"/>
    </xf>
    <xf numFmtId="166" fontId="2" fillId="4" borderId="0" xfId="0" applyNumberFormat="1" applyFont="1" applyFill="1" applyAlignment="1">
      <alignment horizontal="right" vertical="center" wrapText="1" indent="2"/>
    </xf>
    <xf numFmtId="3" fontId="2" fillId="4" borderId="9" xfId="0" applyNumberFormat="1" applyFont="1" applyFill="1" applyBorder="1" applyAlignment="1">
      <alignment horizontal="right" indent="2"/>
    </xf>
    <xf numFmtId="3" fontId="0" fillId="0" borderId="52" xfId="0" applyNumberFormat="1" applyBorder="1" applyAlignment="1">
      <alignment horizontal="right" vertical="center" wrapText="1"/>
    </xf>
    <xf numFmtId="165" fontId="13" fillId="4" borderId="38" xfId="2" applyNumberFormat="1" applyFont="1" applyFill="1" applyBorder="1" applyAlignment="1">
      <alignment horizontal="center" vertical="center" wrapText="1"/>
    </xf>
    <xf numFmtId="165" fontId="1" fillId="0" borderId="4" xfId="3" applyNumberFormat="1" applyFont="1" applyBorder="1" applyAlignment="1">
      <alignment vertical="center" wrapText="1"/>
    </xf>
    <xf numFmtId="0" fontId="0" fillId="0" borderId="4" xfId="3" applyFont="1" applyBorder="1" applyAlignment="1">
      <alignment horizontal="center" vertical="center" wrapText="1"/>
    </xf>
    <xf numFmtId="3" fontId="12" fillId="0" borderId="43" xfId="0" applyNumberFormat="1" applyFont="1" applyBorder="1"/>
    <xf numFmtId="3" fontId="0" fillId="7" borderId="62" xfId="0" applyNumberFormat="1" applyFill="1" applyBorder="1" applyAlignment="1">
      <alignment horizontal="right" vertical="center" wrapText="1" indent="2"/>
    </xf>
    <xf numFmtId="166" fontId="0" fillId="22" borderId="21" xfId="0" applyNumberFormat="1" applyFill="1" applyBorder="1" applyAlignment="1">
      <alignment horizontal="right" vertical="center" indent="2"/>
    </xf>
    <xf numFmtId="0" fontId="12" fillId="0" borderId="20" xfId="0" applyFont="1" applyBorder="1" applyAlignment="1">
      <alignment vertical="center" wrapText="1"/>
    </xf>
    <xf numFmtId="0" fontId="2" fillId="0" borderId="16" xfId="0" applyFont="1" applyBorder="1"/>
    <xf numFmtId="10" fontId="0" fillId="0" borderId="10" xfId="0" applyNumberFormat="1" applyBorder="1"/>
    <xf numFmtId="9" fontId="0" fillId="0" borderId="10" xfId="0" applyNumberFormat="1" applyBorder="1"/>
    <xf numFmtId="165" fontId="16" fillId="4" borderId="36" xfId="2" applyNumberFormat="1" applyFont="1" applyFill="1" applyBorder="1" applyAlignment="1">
      <alignment horizontal="right" indent="2"/>
    </xf>
    <xf numFmtId="0" fontId="67" fillId="4" borderId="8" xfId="0" applyFont="1" applyFill="1" applyBorder="1" applyAlignment="1">
      <alignment horizontal="right"/>
    </xf>
    <xf numFmtId="0" fontId="56" fillId="4" borderId="8" xfId="0" applyFont="1" applyFill="1" applyBorder="1" applyAlignment="1">
      <alignment horizontal="right"/>
    </xf>
    <xf numFmtId="43" fontId="69" fillId="0" borderId="0" xfId="13" applyNumberFormat="1" applyFont="1" applyAlignment="1">
      <alignment horizontal="center"/>
    </xf>
    <xf numFmtId="165" fontId="30" fillId="0" borderId="11" xfId="6" applyNumberFormat="1" applyFont="1" applyBorder="1"/>
    <xf numFmtId="165" fontId="30" fillId="0" borderId="16" xfId="6" applyNumberFormat="1" applyFont="1" applyBorder="1" applyAlignment="1">
      <alignment vertical="center" wrapText="1"/>
    </xf>
    <xf numFmtId="165" fontId="13" fillId="0" borderId="33" xfId="6" applyNumberFormat="1" applyFont="1" applyBorder="1" applyAlignment="1">
      <alignment horizontal="right" indent="2"/>
    </xf>
    <xf numFmtId="165" fontId="13" fillId="0" borderId="41" xfId="6" applyNumberFormat="1" applyFont="1" applyBorder="1" applyAlignment="1">
      <alignment horizontal="right" indent="2"/>
    </xf>
    <xf numFmtId="165" fontId="30" fillId="0" borderId="38" xfId="6" applyNumberFormat="1" applyFont="1" applyBorder="1"/>
    <xf numFmtId="165" fontId="13" fillId="0" borderId="18" xfId="6" applyNumberFormat="1" applyFont="1" applyBorder="1" applyAlignment="1">
      <alignment horizontal="right" indent="2"/>
    </xf>
    <xf numFmtId="165" fontId="13" fillId="0" borderId="0" xfId="6" applyNumberFormat="1" applyFont="1" applyAlignment="1">
      <alignment horizontal="right" indent="2"/>
    </xf>
    <xf numFmtId="165" fontId="30" fillId="0" borderId="11" xfId="6" applyNumberFormat="1" applyFont="1" applyBorder="1" applyAlignment="1">
      <alignment horizontal="right" indent="2"/>
    </xf>
    <xf numFmtId="165" fontId="13" fillId="0" borderId="18" xfId="6" applyNumberFormat="1" applyFont="1" applyBorder="1" applyAlignment="1">
      <alignment horizontal="center" vertical="center" wrapText="1"/>
    </xf>
    <xf numFmtId="165" fontId="13" fillId="0" borderId="11" xfId="6" applyNumberFormat="1" applyFont="1" applyBorder="1" applyAlignment="1">
      <alignment horizontal="center" vertical="center" wrapText="1"/>
    </xf>
    <xf numFmtId="165" fontId="38" fillId="0" borderId="16" xfId="6" applyNumberFormat="1" applyFont="1" applyBorder="1" applyAlignment="1">
      <alignment horizontal="right" indent="2"/>
    </xf>
    <xf numFmtId="165" fontId="38" fillId="0" borderId="11" xfId="6" applyNumberFormat="1" applyFont="1" applyBorder="1" applyAlignment="1">
      <alignment horizontal="right" indent="2"/>
    </xf>
    <xf numFmtId="165" fontId="20" fillId="0" borderId="42" xfId="6" applyNumberFormat="1" applyFont="1" applyBorder="1" applyAlignment="1">
      <alignment horizontal="right" indent="2"/>
    </xf>
    <xf numFmtId="165" fontId="30" fillId="0" borderId="22" xfId="6" applyNumberFormat="1" applyFont="1" applyBorder="1"/>
    <xf numFmtId="165" fontId="30" fillId="0" borderId="34" xfId="6" applyNumberFormat="1" applyFont="1" applyBorder="1"/>
    <xf numFmtId="165" fontId="30" fillId="0" borderId="0" xfId="6" applyNumberFormat="1" applyFont="1"/>
    <xf numFmtId="165" fontId="25" fillId="0" borderId="18" xfId="6" applyNumberFormat="1" applyFont="1" applyBorder="1" applyAlignment="1">
      <alignment horizontal="right" indent="2"/>
    </xf>
    <xf numFmtId="165" fontId="25" fillId="0" borderId="0" xfId="6" applyNumberFormat="1" applyFont="1" applyAlignment="1">
      <alignment horizontal="right" indent="2"/>
    </xf>
    <xf numFmtId="165" fontId="25" fillId="0" borderId="11" xfId="6" applyNumberFormat="1" applyFont="1" applyBorder="1" applyAlignment="1">
      <alignment horizontal="right" indent="2"/>
    </xf>
    <xf numFmtId="165" fontId="25" fillId="0" borderId="0" xfId="6" applyNumberFormat="1" applyFont="1" applyAlignment="1">
      <alignment horizontal="right"/>
    </xf>
    <xf numFmtId="3" fontId="15" fillId="0" borderId="0" xfId="6" applyNumberFormat="1" applyFont="1" applyAlignment="1">
      <alignment horizontal="right" indent="2"/>
    </xf>
    <xf numFmtId="3" fontId="15" fillId="0" borderId="11" xfId="6" applyNumberFormat="1" applyFont="1" applyBorder="1" applyAlignment="1">
      <alignment horizontal="right" indent="2"/>
    </xf>
    <xf numFmtId="3" fontId="15" fillId="0" borderId="6" xfId="6" applyNumberFormat="1" applyFont="1" applyBorder="1" applyAlignment="1">
      <alignment horizontal="right"/>
    </xf>
    <xf numFmtId="165" fontId="1" fillId="6" borderId="24" xfId="6" applyNumberFormat="1" applyFont="1" applyFill="1" applyBorder="1" applyAlignment="1">
      <alignment horizontal="right" indent="2"/>
    </xf>
    <xf numFmtId="165" fontId="1" fillId="6" borderId="51" xfId="6" applyNumberFormat="1" applyFont="1" applyFill="1" applyBorder="1" applyAlignment="1">
      <alignment horizontal="right" indent="2"/>
    </xf>
    <xf numFmtId="165" fontId="1" fillId="0" borderId="0" xfId="6" applyNumberFormat="1" applyFont="1" applyAlignment="1">
      <alignment horizontal="right" indent="2"/>
    </xf>
    <xf numFmtId="165" fontId="1" fillId="0" borderId="11" xfId="6" applyNumberFormat="1" applyFont="1" applyBorder="1" applyAlignment="1">
      <alignment horizontal="right" indent="2"/>
    </xf>
    <xf numFmtId="165" fontId="1" fillId="0" borderId="8" xfId="6" applyNumberFormat="1" applyFont="1" applyBorder="1" applyAlignment="1">
      <alignment horizontal="right" indent="2"/>
    </xf>
    <xf numFmtId="165" fontId="1" fillId="6" borderId="21" xfId="6" applyNumberFormat="1" applyFont="1" applyFill="1" applyBorder="1" applyAlignment="1">
      <alignment horizontal="right" indent="2"/>
    </xf>
    <xf numFmtId="165" fontId="1" fillId="6" borderId="11" xfId="6" applyNumberFormat="1" applyFont="1" applyFill="1" applyBorder="1" applyAlignment="1">
      <alignment horizontal="right" indent="2"/>
    </xf>
    <xf numFmtId="3" fontId="1" fillId="6" borderId="24" xfId="6" applyNumberFormat="1" applyFont="1" applyFill="1" applyBorder="1" applyAlignment="1">
      <alignment horizontal="right" indent="2"/>
    </xf>
    <xf numFmtId="3" fontId="1" fillId="6" borderId="51" xfId="6" applyNumberFormat="1" applyFont="1" applyFill="1" applyBorder="1" applyAlignment="1">
      <alignment horizontal="right" indent="2"/>
    </xf>
    <xf numFmtId="3" fontId="1" fillId="0" borderId="0" xfId="6" applyNumberFormat="1" applyFont="1" applyAlignment="1">
      <alignment horizontal="right" indent="2"/>
    </xf>
    <xf numFmtId="3" fontId="1" fillId="0" borderId="11" xfId="6" applyNumberFormat="1" applyFont="1" applyBorder="1" applyAlignment="1">
      <alignment horizontal="right" indent="2"/>
    </xf>
    <xf numFmtId="3" fontId="1" fillId="0" borderId="8" xfId="6" applyNumberFormat="1" applyFont="1" applyBorder="1" applyAlignment="1">
      <alignment horizontal="right" indent="2"/>
    </xf>
    <xf numFmtId="3" fontId="1" fillId="6" borderId="21" xfId="6" applyNumberFormat="1" applyFont="1" applyFill="1" applyBorder="1" applyAlignment="1">
      <alignment horizontal="right" indent="2"/>
    </xf>
    <xf numFmtId="3" fontId="1" fillId="6" borderId="11" xfId="6" applyNumberFormat="1" applyFont="1" applyFill="1" applyBorder="1" applyAlignment="1">
      <alignment horizontal="right" indent="2"/>
    </xf>
    <xf numFmtId="165" fontId="9" fillId="0" borderId="42" xfId="6" applyNumberFormat="1" applyFont="1" applyBorder="1" applyAlignment="1">
      <alignment horizontal="right" indent="4"/>
    </xf>
    <xf numFmtId="165" fontId="9" fillId="0" borderId="38" xfId="6" applyNumberFormat="1" applyFont="1" applyBorder="1" applyAlignment="1">
      <alignment horizontal="right" indent="4"/>
    </xf>
    <xf numFmtId="165" fontId="9" fillId="0" borderId="8" xfId="6" applyNumberFormat="1" applyFont="1" applyBorder="1" applyAlignment="1">
      <alignment horizontal="right" indent="2"/>
    </xf>
    <xf numFmtId="0" fontId="56" fillId="0" borderId="0" xfId="0" applyFont="1" applyAlignment="1">
      <alignment horizontal="center"/>
    </xf>
    <xf numFmtId="166" fontId="79" fillId="0" borderId="0" xfId="0" applyNumberFormat="1" applyFont="1" applyAlignment="1">
      <alignment horizontal="center"/>
    </xf>
    <xf numFmtId="166" fontId="56" fillId="4" borderId="23" xfId="0" applyNumberFormat="1" applyFont="1" applyFill="1" applyBorder="1" applyAlignment="1">
      <alignment horizontal="right" vertical="center" wrapText="1" indent="2"/>
    </xf>
    <xf numFmtId="166" fontId="56" fillId="0" borderId="0" xfId="0" applyNumberFormat="1" applyFont="1" applyAlignment="1">
      <alignment horizontal="center"/>
    </xf>
    <xf numFmtId="166" fontId="56" fillId="4" borderId="29" xfId="0" applyNumberFormat="1" applyFont="1" applyFill="1" applyBorder="1" applyAlignment="1">
      <alignment horizontal="right" vertical="center" wrapText="1" indent="2"/>
    </xf>
    <xf numFmtId="165" fontId="49" fillId="0" borderId="35" xfId="2" applyNumberFormat="1" applyFont="1" applyBorder="1" applyAlignment="1">
      <alignment horizontal="center" vertical="center" wrapText="1"/>
    </xf>
    <xf numFmtId="165" fontId="49" fillId="0" borderId="7" xfId="2" applyNumberFormat="1" applyFont="1" applyBorder="1" applyAlignment="1">
      <alignment horizontal="center" vertical="center" wrapText="1"/>
    </xf>
    <xf numFmtId="165" fontId="49" fillId="0" borderId="11" xfId="2" applyNumberFormat="1" applyFont="1" applyBorder="1" applyAlignment="1">
      <alignment horizontal="center" vertical="center" wrapText="1"/>
    </xf>
    <xf numFmtId="9" fontId="56" fillId="0" borderId="43" xfId="2" applyFont="1" applyBorder="1" applyAlignment="1">
      <alignment horizontal="right" indent="2"/>
    </xf>
    <xf numFmtId="9" fontId="2" fillId="0" borderId="44" xfId="2" applyFont="1" applyBorder="1" applyAlignment="1">
      <alignment horizontal="right" indent="2"/>
    </xf>
    <xf numFmtId="165" fontId="20" fillId="0" borderId="41" xfId="2" applyNumberFormat="1" applyFont="1" applyBorder="1" applyAlignment="1">
      <alignment horizontal="right" indent="2"/>
    </xf>
    <xf numFmtId="165" fontId="20" fillId="0" borderId="11" xfId="2" applyNumberFormat="1" applyFont="1" applyBorder="1" applyAlignment="1">
      <alignment horizontal="right" indent="2"/>
    </xf>
    <xf numFmtId="176" fontId="25" fillId="0" borderId="0" xfId="2" applyNumberFormat="1" applyFont="1" applyAlignment="1">
      <alignment horizontal="right" indent="2"/>
    </xf>
    <xf numFmtId="165" fontId="6" fillId="0" borderId="0" xfId="2" applyNumberFormat="1" applyFont="1" applyAlignment="1">
      <alignment horizontal="center" vertical="center"/>
    </xf>
    <xf numFmtId="165" fontId="3" fillId="0" borderId="11" xfId="2" applyNumberFormat="1" applyFont="1" applyBorder="1" applyAlignment="1">
      <alignment horizontal="center" vertical="center" wrapText="1"/>
    </xf>
    <xf numFmtId="165" fontId="3" fillId="0" borderId="11" xfId="2" applyNumberFormat="1" applyFont="1" applyBorder="1" applyAlignment="1">
      <alignment horizontal="center" vertical="center"/>
    </xf>
    <xf numFmtId="165" fontId="0" fillId="0" borderId="0" xfId="2" applyNumberFormat="1" applyFont="1" applyAlignment="1">
      <alignment horizontal="center" vertical="center"/>
    </xf>
    <xf numFmtId="165" fontId="0" fillId="0" borderId="4" xfId="2" quotePrefix="1" applyNumberFormat="1" applyFont="1" applyBorder="1" applyAlignment="1">
      <alignment horizontal="center" vertical="center"/>
    </xf>
    <xf numFmtId="165" fontId="0" fillId="0" borderId="4" xfId="2" applyNumberFormat="1" applyFont="1" applyBorder="1" applyAlignment="1">
      <alignment horizontal="center" vertical="center"/>
    </xf>
    <xf numFmtId="0" fontId="0" fillId="0" borderId="11" xfId="0" applyBorder="1" applyAlignment="1">
      <alignment horizontal="center" vertical="center"/>
    </xf>
    <xf numFmtId="0" fontId="176" fillId="0" borderId="4" xfId="3" applyFont="1" applyBorder="1" applyAlignment="1">
      <alignment vertical="center" wrapText="1"/>
    </xf>
    <xf numFmtId="165" fontId="0" fillId="0" borderId="4" xfId="2" applyNumberFormat="1" applyFont="1" applyBorder="1" applyAlignment="1">
      <alignment vertical="center"/>
    </xf>
    <xf numFmtId="0" fontId="0" fillId="4" borderId="4" xfId="0" applyFill="1" applyBorder="1" applyAlignment="1">
      <alignment vertical="center" wrapText="1"/>
    </xf>
    <xf numFmtId="165" fontId="12" fillId="0" borderId="4" xfId="2" applyNumberFormat="1" applyFont="1" applyBorder="1" applyAlignment="1">
      <alignment horizontal="center" vertical="center" wrapText="1"/>
    </xf>
    <xf numFmtId="0" fontId="4" fillId="0" borderId="0" xfId="3" applyAlignment="1">
      <alignment horizontal="center" vertical="center" wrapText="1"/>
    </xf>
    <xf numFmtId="0" fontId="0" fillId="0" borderId="4" xfId="0" applyBorder="1" applyAlignment="1">
      <alignment vertical="center" wrapText="1"/>
    </xf>
    <xf numFmtId="0" fontId="4" fillId="0" borderId="11" xfId="3" applyBorder="1" applyAlignment="1">
      <alignment horizontal="center" vertical="center" wrapText="1"/>
    </xf>
    <xf numFmtId="43" fontId="0" fillId="0" borderId="12" xfId="5" applyFont="1" applyBorder="1" applyAlignment="1">
      <alignment vertical="center" wrapText="1"/>
    </xf>
    <xf numFmtId="43" fontId="0" fillId="0" borderId="15" xfId="5" applyFont="1" applyBorder="1" applyAlignment="1">
      <alignment vertical="center" wrapText="1"/>
    </xf>
    <xf numFmtId="165" fontId="0" fillId="0" borderId="16" xfId="2" applyNumberFormat="1" applyFont="1" applyBorder="1" applyAlignment="1">
      <alignment vertical="center" wrapText="1"/>
    </xf>
    <xf numFmtId="43" fontId="0" fillId="0" borderId="0" xfId="5" applyFont="1" applyAlignment="1">
      <alignment vertical="center" wrapText="1"/>
    </xf>
    <xf numFmtId="43" fontId="0" fillId="0" borderId="13" xfId="5" applyFont="1" applyBorder="1" applyAlignment="1">
      <alignment vertical="center" wrapText="1"/>
    </xf>
    <xf numFmtId="43" fontId="0" fillId="0" borderId="11" xfId="5" applyFont="1" applyBorder="1" applyAlignment="1">
      <alignment vertical="center" wrapText="1"/>
    </xf>
    <xf numFmtId="3" fontId="145" fillId="4" borderId="18" xfId="0" applyNumberFormat="1" applyFont="1" applyFill="1" applyBorder="1" applyAlignment="1">
      <alignment horizontal="right" vertical="center"/>
    </xf>
    <xf numFmtId="0" fontId="145" fillId="0" borderId="0" xfId="0" applyFont="1" applyAlignment="1">
      <alignment horizontal="left" vertical="center"/>
    </xf>
    <xf numFmtId="3" fontId="145" fillId="4" borderId="0" xfId="0" applyNumberFormat="1" applyFont="1" applyFill="1" applyAlignment="1">
      <alignment horizontal="right" vertical="center"/>
    </xf>
    <xf numFmtId="165" fontId="145" fillId="0" borderId="11" xfId="2" applyNumberFormat="1" applyFont="1" applyBorder="1" applyAlignment="1">
      <alignment horizontal="right" vertical="center"/>
    </xf>
    <xf numFmtId="3" fontId="145" fillId="4" borderId="11" xfId="0" applyNumberFormat="1" applyFont="1" applyFill="1" applyBorder="1" applyAlignment="1">
      <alignment horizontal="right" vertical="center"/>
    </xf>
    <xf numFmtId="3" fontId="0" fillId="0" borderId="8" xfId="0" applyNumberFormat="1" applyBorder="1" applyAlignment="1">
      <alignment horizontal="left" vertical="center"/>
    </xf>
    <xf numFmtId="3" fontId="0" fillId="4" borderId="8" xfId="0" applyNumberFormat="1" applyFill="1" applyBorder="1" applyAlignment="1">
      <alignment horizontal="right" vertical="center"/>
    </xf>
    <xf numFmtId="3" fontId="0" fillId="0" borderId="9" xfId="0" applyNumberFormat="1" applyBorder="1" applyAlignment="1">
      <alignment horizontal="right" vertical="center"/>
    </xf>
    <xf numFmtId="3" fontId="0" fillId="4" borderId="9" xfId="0" applyNumberFormat="1" applyFill="1" applyBorder="1" applyAlignment="1">
      <alignment horizontal="right" vertical="center"/>
    </xf>
    <xf numFmtId="165" fontId="0" fillId="0" borderId="11" xfId="2" applyNumberFormat="1" applyFont="1" applyBorder="1" applyAlignment="1">
      <alignment horizontal="right" vertical="center"/>
    </xf>
    <xf numFmtId="3" fontId="3" fillId="4" borderId="33" xfId="0" applyNumberFormat="1" applyFont="1" applyFill="1" applyBorder="1" applyAlignment="1">
      <alignment horizontal="right" vertical="center"/>
    </xf>
    <xf numFmtId="3" fontId="0" fillId="0" borderId="41" xfId="0" applyNumberFormat="1" applyBorder="1" applyAlignment="1">
      <alignment horizontal="right" vertical="center"/>
    </xf>
    <xf numFmtId="3" fontId="3" fillId="4" borderId="41" xfId="0" applyNumberFormat="1" applyFont="1" applyFill="1" applyBorder="1" applyAlignment="1">
      <alignment horizontal="right" vertical="center"/>
    </xf>
    <xf numFmtId="165" fontId="0" fillId="0" borderId="38" xfId="2" applyNumberFormat="1" applyFont="1" applyBorder="1" applyAlignment="1">
      <alignment horizontal="right" vertical="center"/>
    </xf>
    <xf numFmtId="3" fontId="3" fillId="4" borderId="34" xfId="0" applyNumberFormat="1" applyFont="1" applyFill="1" applyBorder="1" applyAlignment="1">
      <alignment horizontal="right" vertical="center"/>
    </xf>
    <xf numFmtId="165" fontId="0" fillId="0" borderId="16" xfId="2" applyNumberFormat="1" applyFont="1" applyBorder="1" applyAlignment="1">
      <alignment horizontal="right" vertical="center"/>
    </xf>
    <xf numFmtId="3" fontId="0" fillId="4" borderId="6" xfId="0" applyNumberFormat="1" applyFill="1" applyBorder="1" applyAlignment="1">
      <alignment horizontal="right" vertical="center"/>
    </xf>
    <xf numFmtId="3" fontId="0" fillId="4" borderId="62" xfId="0" applyNumberFormat="1" applyFill="1" applyBorder="1" applyAlignment="1">
      <alignment horizontal="right" vertical="center"/>
    </xf>
    <xf numFmtId="165" fontId="0" fillId="0" borderId="11" xfId="2" applyNumberFormat="1" applyFont="1" applyBorder="1" applyAlignment="1">
      <alignment horizontal="right" vertical="center" wrapText="1"/>
    </xf>
    <xf numFmtId="3" fontId="0" fillId="0" borderId="10" xfId="0" applyNumberFormat="1" applyBorder="1" applyAlignment="1">
      <alignment horizontal="right" vertical="center" wrapText="1"/>
    </xf>
    <xf numFmtId="165" fontId="0" fillId="0" borderId="16" xfId="2" applyNumberFormat="1" applyFont="1" applyBorder="1" applyAlignment="1">
      <alignment horizontal="right" vertical="center" wrapText="1"/>
    </xf>
    <xf numFmtId="3" fontId="0" fillId="0" borderId="8" xfId="0" applyNumberFormat="1" applyBorder="1" applyAlignment="1">
      <alignment horizontal="right" vertical="center"/>
    </xf>
    <xf numFmtId="165" fontId="13" fillId="0" borderId="41" xfId="2" applyNumberFormat="1" applyFont="1" applyBorder="1" applyAlignment="1">
      <alignment horizontal="right" vertical="center"/>
    </xf>
    <xf numFmtId="165" fontId="13" fillId="0" borderId="27" xfId="2" applyNumberFormat="1" applyFont="1" applyBorder="1" applyAlignment="1">
      <alignment horizontal="right" vertical="center"/>
    </xf>
    <xf numFmtId="165" fontId="13" fillId="0" borderId="9" xfId="2" applyNumberFormat="1" applyFont="1" applyBorder="1" applyAlignment="1">
      <alignment horizontal="right" vertical="center"/>
    </xf>
    <xf numFmtId="165" fontId="13" fillId="0" borderId="28" xfId="2" applyNumberFormat="1" applyFont="1" applyBorder="1" applyAlignment="1">
      <alignment horizontal="right" vertical="center"/>
    </xf>
    <xf numFmtId="3" fontId="0" fillId="4" borderId="0" xfId="0" applyNumberFormat="1" applyFill="1" applyAlignment="1">
      <alignment horizontal="right" vertical="center"/>
    </xf>
    <xf numFmtId="3" fontId="0" fillId="4" borderId="11" xfId="0" applyNumberFormat="1" applyFill="1" applyBorder="1" applyAlignment="1">
      <alignment horizontal="right" vertical="center"/>
    </xf>
    <xf numFmtId="3" fontId="0" fillId="4" borderId="42" xfId="0" applyNumberFormat="1" applyFill="1" applyBorder="1" applyAlignment="1">
      <alignment horizontal="right" vertical="center"/>
    </xf>
    <xf numFmtId="3" fontId="0" fillId="4" borderId="38" xfId="0" applyNumberFormat="1" applyFill="1" applyBorder="1" applyAlignment="1">
      <alignment horizontal="right" vertical="center"/>
    </xf>
    <xf numFmtId="165" fontId="0" fillId="0" borderId="0" xfId="2" applyNumberFormat="1" applyFont="1" applyAlignment="1">
      <alignment horizontal="right" vertical="center"/>
    </xf>
    <xf numFmtId="165" fontId="12" fillId="0" borderId="3" xfId="2" applyNumberFormat="1" applyFont="1" applyBorder="1" applyAlignment="1">
      <alignment horizontal="center" vertical="center" wrapText="1"/>
    </xf>
    <xf numFmtId="0" fontId="4" fillId="0" borderId="10" xfId="3" applyBorder="1" applyAlignment="1">
      <alignment vertical="center"/>
    </xf>
    <xf numFmtId="3" fontId="0" fillId="32" borderId="8" xfId="0" applyNumberFormat="1" applyFill="1" applyBorder="1" applyAlignment="1">
      <alignment horizontal="right" vertical="center"/>
    </xf>
    <xf numFmtId="3" fontId="0" fillId="32" borderId="22" xfId="0" applyNumberFormat="1" applyFill="1" applyBorder="1" applyAlignment="1">
      <alignment horizontal="right" vertical="center"/>
    </xf>
    <xf numFmtId="3" fontId="0" fillId="4" borderId="41" xfId="0" applyNumberFormat="1" applyFill="1" applyBorder="1" applyAlignment="1">
      <alignment horizontal="right" vertical="center"/>
    </xf>
    <xf numFmtId="3" fontId="2" fillId="0" borderId="6" xfId="0" applyNumberFormat="1" applyFont="1" applyBorder="1" applyAlignment="1">
      <alignment horizontal="right" vertical="center"/>
    </xf>
    <xf numFmtId="3" fontId="2" fillId="4" borderId="6" xfId="0" applyNumberFormat="1" applyFont="1" applyFill="1" applyBorder="1" applyAlignment="1">
      <alignment horizontal="right" vertical="center"/>
    </xf>
    <xf numFmtId="165" fontId="2" fillId="0" borderId="11" xfId="2" applyNumberFormat="1" applyFont="1" applyBorder="1" applyAlignment="1">
      <alignment horizontal="right" vertical="center"/>
    </xf>
    <xf numFmtId="3" fontId="2" fillId="4" borderId="42" xfId="0" applyNumberFormat="1" applyFont="1" applyFill="1" applyBorder="1" applyAlignment="1">
      <alignment horizontal="right" vertical="center"/>
    </xf>
    <xf numFmtId="165" fontId="20" fillId="0" borderId="41" xfId="2" applyNumberFormat="1" applyFont="1" applyBorder="1" applyAlignment="1">
      <alignment horizontal="right" vertical="center"/>
    </xf>
    <xf numFmtId="165" fontId="20" fillId="0" borderId="38" xfId="2" applyNumberFormat="1" applyFont="1" applyBorder="1" applyAlignment="1">
      <alignment horizontal="right" vertical="center"/>
    </xf>
    <xf numFmtId="3" fontId="0" fillId="0" borderId="15" xfId="0" applyNumberFormat="1" applyBorder="1" applyAlignment="1">
      <alignment horizontal="right" vertical="center"/>
    </xf>
    <xf numFmtId="3" fontId="0" fillId="4" borderId="15" xfId="0" applyNumberFormat="1" applyFill="1" applyBorder="1" applyAlignment="1">
      <alignment horizontal="right" vertical="center"/>
    </xf>
    <xf numFmtId="3" fontId="23" fillId="0" borderId="8" xfId="0" applyNumberFormat="1" applyFont="1" applyBorder="1" applyAlignment="1">
      <alignment horizontal="right" vertical="center"/>
    </xf>
    <xf numFmtId="3" fontId="23" fillId="4" borderId="8" xfId="0" applyNumberFormat="1" applyFont="1" applyFill="1" applyBorder="1" applyAlignment="1">
      <alignment horizontal="right" vertical="center"/>
    </xf>
    <xf numFmtId="165" fontId="23" fillId="0" borderId="11" xfId="2" applyNumberFormat="1" applyFont="1" applyBorder="1" applyAlignment="1">
      <alignment horizontal="right" vertical="center"/>
    </xf>
    <xf numFmtId="165" fontId="18" fillId="0" borderId="11" xfId="2" applyNumberFormat="1" applyFont="1" applyBorder="1" applyAlignment="1">
      <alignment horizontal="right" vertical="center"/>
    </xf>
    <xf numFmtId="165" fontId="24" fillId="0" borderId="11" xfId="2" applyNumberFormat="1" applyFont="1" applyBorder="1" applyAlignment="1">
      <alignment horizontal="right" vertical="center"/>
    </xf>
    <xf numFmtId="165" fontId="24" fillId="0" borderId="0" xfId="0" applyNumberFormat="1" applyFont="1" applyAlignment="1">
      <alignment horizontal="right" vertical="center"/>
    </xf>
    <xf numFmtId="3" fontId="15" fillId="6" borderId="6" xfId="2" applyNumberFormat="1" applyFont="1" applyFill="1" applyBorder="1" applyAlignment="1">
      <alignment horizontal="right" vertical="center"/>
    </xf>
    <xf numFmtId="165" fontId="15" fillId="0" borderId="11" xfId="2" applyNumberFormat="1" applyFont="1" applyBorder="1" applyAlignment="1">
      <alignment horizontal="right" vertical="center"/>
    </xf>
    <xf numFmtId="3" fontId="15" fillId="6" borderId="62" xfId="2" applyNumberFormat="1" applyFont="1" applyFill="1" applyBorder="1" applyAlignment="1">
      <alignment horizontal="right" vertical="center"/>
    </xf>
    <xf numFmtId="165" fontId="0" fillId="0" borderId="11" xfId="2" applyNumberFormat="1" applyFont="1" applyBorder="1" applyAlignment="1">
      <alignment vertical="center"/>
    </xf>
    <xf numFmtId="165" fontId="0" fillId="6" borderId="22" xfId="2" applyNumberFormat="1" applyFont="1" applyFill="1" applyBorder="1" applyAlignment="1">
      <alignment vertical="center"/>
    </xf>
    <xf numFmtId="0" fontId="0" fillId="6" borderId="22" xfId="0" applyFill="1" applyBorder="1" applyAlignment="1">
      <alignment vertical="center"/>
    </xf>
    <xf numFmtId="0" fontId="0" fillId="6" borderId="33" xfId="0" applyFill="1" applyBorder="1" applyAlignment="1">
      <alignment vertical="center"/>
    </xf>
    <xf numFmtId="166" fontId="18" fillId="0" borderId="42" xfId="0" applyNumberFormat="1" applyFont="1" applyBorder="1" applyAlignment="1">
      <alignment horizontal="right" vertical="center"/>
    </xf>
    <xf numFmtId="165" fontId="0" fillId="0" borderId="38" xfId="2" applyNumberFormat="1" applyFont="1" applyBorder="1" applyAlignment="1">
      <alignment vertical="center"/>
    </xf>
    <xf numFmtId="166" fontId="24" fillId="0" borderId="42" xfId="0" applyNumberFormat="1" applyFont="1" applyBorder="1" applyAlignment="1">
      <alignment horizontal="right" vertical="center"/>
    </xf>
    <xf numFmtId="0" fontId="0" fillId="6" borderId="34" xfId="0" applyFill="1" applyBorder="1" applyAlignment="1">
      <alignment vertical="center"/>
    </xf>
    <xf numFmtId="165" fontId="12" fillId="0" borderId="0" xfId="2" applyNumberFormat="1" applyFont="1" applyAlignment="1">
      <alignment horizontal="center" vertical="center"/>
    </xf>
    <xf numFmtId="165" fontId="12" fillId="0" borderId="0" xfId="2" applyNumberFormat="1" applyFont="1" applyAlignment="1">
      <alignment vertical="center"/>
    </xf>
    <xf numFmtId="165" fontId="12" fillId="0" borderId="0" xfId="2" applyNumberFormat="1" applyFont="1" applyAlignment="1">
      <alignment horizontal="left" vertical="center" wrapText="1"/>
    </xf>
    <xf numFmtId="0" fontId="6" fillId="17" borderId="2" xfId="0" applyFont="1" applyFill="1" applyBorder="1" applyAlignment="1">
      <alignment vertical="center"/>
    </xf>
    <xf numFmtId="0" fontId="177" fillId="0" borderId="4" xfId="0" applyFont="1" applyBorder="1" applyAlignment="1">
      <alignment horizontal="center" vertical="center" wrapText="1"/>
    </xf>
    <xf numFmtId="3" fontId="4" fillId="0" borderId="1" xfId="3" applyNumberFormat="1" applyBorder="1" applyAlignment="1">
      <alignment horizontal="center" vertical="center" wrapText="1"/>
    </xf>
    <xf numFmtId="3" fontId="0" fillId="0" borderId="12" xfId="3" applyNumberFormat="1" applyFont="1" applyBorder="1" applyAlignment="1">
      <alignment horizontal="left" vertical="center"/>
    </xf>
    <xf numFmtId="3" fontId="0" fillId="0" borderId="15" xfId="0" applyNumberFormat="1" applyBorder="1" applyAlignment="1">
      <alignment horizontal="left" vertical="center"/>
    </xf>
    <xf numFmtId="3" fontId="13" fillId="0" borderId="43" xfId="2" applyNumberFormat="1" applyFont="1" applyBorder="1" applyAlignment="1">
      <alignment horizontal="center" vertical="center" wrapText="1"/>
    </xf>
    <xf numFmtId="3" fontId="13" fillId="0" borderId="44" xfId="2" applyNumberFormat="1" applyFont="1" applyBorder="1" applyAlignment="1">
      <alignment horizontal="right" indent="2"/>
    </xf>
    <xf numFmtId="165" fontId="4" fillId="0" borderId="3" xfId="3" applyNumberFormat="1" applyBorder="1" applyAlignment="1">
      <alignment vertical="center" wrapText="1"/>
    </xf>
    <xf numFmtId="3" fontId="178" fillId="0" borderId="18" xfId="2" applyNumberFormat="1" applyFont="1" applyBorder="1" applyAlignment="1">
      <alignment horizontal="right" indent="2"/>
    </xf>
    <xf numFmtId="3" fontId="51" fillId="0" borderId="15" xfId="0" applyNumberFormat="1" applyFont="1" applyBorder="1" applyAlignment="1">
      <alignment horizontal="right" indent="2"/>
    </xf>
    <xf numFmtId="165" fontId="178" fillId="0" borderId="44" xfId="2" applyNumberFormat="1" applyFont="1" applyBorder="1" applyAlignment="1">
      <alignment horizontal="left"/>
    </xf>
    <xf numFmtId="165" fontId="170" fillId="0" borderId="16" xfId="2" applyNumberFormat="1" applyFont="1" applyBorder="1"/>
    <xf numFmtId="0" fontId="51" fillId="0" borderId="0" xfId="0" applyFont="1" applyAlignment="1">
      <alignment horizontal="right"/>
    </xf>
    <xf numFmtId="3" fontId="51" fillId="0" borderId="15" xfId="0" applyNumberFormat="1" applyFont="1" applyBorder="1" applyAlignment="1">
      <alignment horizontal="left"/>
    </xf>
    <xf numFmtId="3" fontId="3" fillId="4" borderId="6" xfId="0" applyNumberFormat="1" applyFont="1" applyFill="1" applyBorder="1" applyAlignment="1">
      <alignment horizontal="right" indent="2"/>
    </xf>
    <xf numFmtId="165" fontId="59" fillId="0" borderId="0" xfId="2" applyNumberFormat="1" applyFont="1" applyAlignment="1">
      <alignment horizontal="left"/>
    </xf>
    <xf numFmtId="165" fontId="16" fillId="6" borderId="24" xfId="2" applyNumberFormat="1" applyFont="1" applyFill="1" applyBorder="1" applyAlignment="1">
      <alignment horizontal="right" indent="2"/>
    </xf>
    <xf numFmtId="165" fontId="16" fillId="6" borderId="51" xfId="2" applyNumberFormat="1" applyFont="1" applyFill="1" applyBorder="1" applyAlignment="1">
      <alignment horizontal="right" indent="2"/>
    </xf>
    <xf numFmtId="3" fontId="9" fillId="6" borderId="36" xfId="2" applyNumberFormat="1" applyFont="1" applyFill="1" applyBorder="1" applyAlignment="1">
      <alignment horizontal="right" indent="4"/>
    </xf>
    <xf numFmtId="3" fontId="9" fillId="6" borderId="66" xfId="2" applyNumberFormat="1" applyFont="1" applyFill="1" applyBorder="1" applyAlignment="1">
      <alignment horizontal="right" indent="4"/>
    </xf>
    <xf numFmtId="0" fontId="12" fillId="4" borderId="3" xfId="3" applyFont="1" applyFill="1" applyBorder="1" applyAlignment="1">
      <alignment vertical="center" wrapText="1"/>
    </xf>
    <xf numFmtId="0" fontId="0" fillId="0" borderId="13" xfId="0" applyBorder="1" applyAlignment="1">
      <alignment horizontal="left" vertical="center"/>
    </xf>
    <xf numFmtId="4" fontId="0" fillId="0" borderId="43" xfId="0" applyNumberFormat="1" applyBorder="1" applyAlignment="1">
      <alignment horizontal="right" wrapText="1" indent="2"/>
    </xf>
    <xf numFmtId="0" fontId="51" fillId="0" borderId="0" xfId="0" applyFont="1" applyAlignment="1">
      <alignment vertical="center"/>
    </xf>
    <xf numFmtId="0" fontId="103" fillId="0" borderId="0" xfId="0" applyFont="1" applyAlignment="1">
      <alignment horizontal="right" vertical="center"/>
    </xf>
    <xf numFmtId="3" fontId="0" fillId="0" borderId="0" xfId="2" applyNumberFormat="1" applyFont="1" applyAlignment="1">
      <alignment vertical="center"/>
    </xf>
    <xf numFmtId="3" fontId="103" fillId="0" borderId="0" xfId="0" applyNumberFormat="1" applyFont="1" applyAlignment="1">
      <alignment vertical="center"/>
    </xf>
    <xf numFmtId="165" fontId="103" fillId="0" borderId="0" xfId="2" applyNumberFormat="1" applyFont="1" applyAlignment="1">
      <alignment vertical="center"/>
    </xf>
    <xf numFmtId="166" fontId="2" fillId="42" borderId="51" xfId="0" applyNumberFormat="1" applyFont="1" applyFill="1" applyBorder="1" applyAlignment="1">
      <alignment horizontal="right" indent="2"/>
    </xf>
    <xf numFmtId="4" fontId="0" fillId="33" borderId="0" xfId="0" applyNumberFormat="1" applyFill="1"/>
    <xf numFmtId="0" fontId="3" fillId="33" borderId="0" xfId="0" applyFont="1" applyFill="1" applyAlignment="1">
      <alignment wrapText="1"/>
    </xf>
    <xf numFmtId="0" fontId="3" fillId="4" borderId="0" xfId="0" applyFont="1" applyFill="1" applyAlignment="1">
      <alignment horizontal="center" vertical="center"/>
    </xf>
    <xf numFmtId="0" fontId="6" fillId="23" borderId="0" xfId="0" applyFont="1" applyFill="1" applyAlignment="1">
      <alignment horizontal="center"/>
    </xf>
    <xf numFmtId="0" fontId="12" fillId="4" borderId="0" xfId="0" applyFont="1" applyFill="1" applyAlignment="1">
      <alignment horizontal="center" vertical="center" wrapText="1"/>
    </xf>
    <xf numFmtId="10" fontId="0" fillId="0" borderId="0" xfId="0" applyNumberFormat="1"/>
    <xf numFmtId="0" fontId="6" fillId="7" borderId="0" xfId="0" applyFont="1" applyFill="1" applyAlignment="1">
      <alignment horizontal="center"/>
    </xf>
    <xf numFmtId="0" fontId="12" fillId="4" borderId="11" xfId="0" applyFont="1" applyFill="1" applyBorder="1" applyAlignment="1">
      <alignment horizontal="center" vertical="center" wrapText="1"/>
    </xf>
    <xf numFmtId="166" fontId="12" fillId="6" borderId="8" xfId="0" applyNumberFormat="1" applyFont="1" applyFill="1" applyBorder="1" applyAlignment="1">
      <alignment horizontal="right" indent="2"/>
    </xf>
    <xf numFmtId="166" fontId="12" fillId="6" borderId="9" xfId="0" applyNumberFormat="1" applyFont="1" applyFill="1" applyBorder="1" applyAlignment="1">
      <alignment horizontal="right" indent="2"/>
    </xf>
    <xf numFmtId="3" fontId="0" fillId="40" borderId="0" xfId="0" applyNumberFormat="1" applyFill="1" applyAlignment="1">
      <alignment horizontal="right" vertical="center" wrapText="1" indent="2"/>
    </xf>
    <xf numFmtId="165" fontId="13" fillId="0" borderId="0" xfId="2" applyNumberFormat="1" applyFont="1" applyBorder="1" applyAlignment="1">
      <alignment horizontal="center" vertical="center" wrapText="1"/>
    </xf>
    <xf numFmtId="3" fontId="13" fillId="0" borderId="0" xfId="2" applyNumberFormat="1" applyFont="1" applyBorder="1" applyAlignment="1">
      <alignment horizontal="right" indent="2"/>
    </xf>
    <xf numFmtId="3" fontId="13" fillId="0" borderId="0" xfId="2" applyNumberFormat="1" applyFont="1" applyBorder="1"/>
    <xf numFmtId="166" fontId="9" fillId="0" borderId="0" xfId="0" applyNumberFormat="1" applyFont="1"/>
    <xf numFmtId="166" fontId="9" fillId="0" borderId="0" xfId="0" applyNumberFormat="1" applyFont="1" applyAlignment="1">
      <alignment vertical="center" wrapText="1"/>
    </xf>
    <xf numFmtId="3" fontId="9" fillId="0" borderId="0" xfId="0" applyNumberFormat="1" applyFont="1" applyAlignment="1">
      <alignment vertical="center" wrapText="1"/>
    </xf>
    <xf numFmtId="3" fontId="9" fillId="0" borderId="0" xfId="0" applyNumberFormat="1" applyFont="1"/>
    <xf numFmtId="3" fontId="53" fillId="0" borderId="0" xfId="2" applyNumberFormat="1" applyFont="1" applyBorder="1"/>
    <xf numFmtId="166" fontId="53" fillId="0" borderId="0" xfId="2" applyNumberFormat="1" applyFont="1" applyBorder="1"/>
    <xf numFmtId="165" fontId="53" fillId="0" borderId="0" xfId="2" applyNumberFormat="1" applyFont="1" applyBorder="1"/>
    <xf numFmtId="3" fontId="0" fillId="7" borderId="0" xfId="0" applyNumberFormat="1" applyFill="1"/>
    <xf numFmtId="165" fontId="0" fillId="6" borderId="0" xfId="2" applyNumberFormat="1" applyFont="1" applyFill="1" applyBorder="1" applyAlignment="1">
      <alignment horizontal="right" indent="2"/>
    </xf>
    <xf numFmtId="165" fontId="0" fillId="6" borderId="0" xfId="2" applyNumberFormat="1" applyFont="1" applyFill="1" applyBorder="1"/>
    <xf numFmtId="3" fontId="0" fillId="6" borderId="0" xfId="2" applyNumberFormat="1" applyFont="1" applyFill="1" applyBorder="1" applyAlignment="1">
      <alignment horizontal="right" indent="2"/>
    </xf>
    <xf numFmtId="165" fontId="9" fillId="6" borderId="0" xfId="2" applyNumberFormat="1" applyFont="1" applyFill="1" applyBorder="1" applyAlignment="1">
      <alignment horizontal="right" indent="4"/>
    </xf>
    <xf numFmtId="165" fontId="10" fillId="0" borderId="22" xfId="2" applyNumberFormat="1" applyFont="1" applyBorder="1"/>
    <xf numFmtId="0" fontId="159" fillId="38" borderId="0" xfId="0" applyFont="1" applyFill="1" applyAlignment="1">
      <alignment horizontal="center"/>
    </xf>
    <xf numFmtId="3" fontId="12" fillId="4" borderId="11" xfId="0" applyNumberFormat="1" applyFont="1" applyFill="1" applyBorder="1" applyAlignment="1">
      <alignment horizontal="right" wrapText="1" indent="2"/>
    </xf>
    <xf numFmtId="3" fontId="3" fillId="4" borderId="0" xfId="0" applyNumberFormat="1" applyFont="1" applyFill="1" applyAlignment="1">
      <alignment horizontal="right" indent="2"/>
    </xf>
    <xf numFmtId="165" fontId="13" fillId="4" borderId="0" xfId="2" applyNumberFormat="1" applyFont="1" applyFill="1" applyBorder="1" applyAlignment="1">
      <alignment horizontal="center" vertical="center" wrapText="1"/>
    </xf>
    <xf numFmtId="3" fontId="12" fillId="4" borderId="0" xfId="0" applyNumberFormat="1" applyFont="1" applyFill="1" applyAlignment="1">
      <alignment horizontal="right" wrapText="1" indent="2"/>
    </xf>
    <xf numFmtId="3" fontId="13" fillId="4" borderId="0" xfId="2" applyNumberFormat="1" applyFont="1" applyFill="1" applyBorder="1"/>
    <xf numFmtId="165" fontId="13" fillId="0" borderId="0" xfId="2" applyNumberFormat="1" applyFont="1" applyBorder="1"/>
    <xf numFmtId="3" fontId="0" fillId="6" borderId="0" xfId="0" applyNumberFormat="1" applyFill="1" applyAlignment="1">
      <alignment horizontal="right" vertical="center" wrapText="1" indent="2"/>
    </xf>
    <xf numFmtId="167" fontId="15" fillId="6" borderId="0" xfId="5" applyNumberFormat="1" applyFont="1" applyFill="1" applyBorder="1" applyAlignment="1">
      <alignment horizontal="right" indent="2"/>
    </xf>
    <xf numFmtId="0" fontId="0" fillId="6" borderId="0" xfId="0" applyFill="1" applyAlignment="1">
      <alignment horizontal="right" indent="2"/>
    </xf>
    <xf numFmtId="165" fontId="9" fillId="6" borderId="0" xfId="2" applyNumberFormat="1" applyFont="1" applyFill="1" applyBorder="1" applyAlignment="1">
      <alignment horizontal="right" indent="2"/>
    </xf>
    <xf numFmtId="174" fontId="153" fillId="33" borderId="0" xfId="1" applyNumberFormat="1" applyFont="1" applyFill="1" applyAlignment="1">
      <alignment horizontal="center"/>
    </xf>
    <xf numFmtId="0" fontId="3" fillId="10" borderId="0" xfId="0" applyFont="1" applyFill="1" applyAlignment="1">
      <alignment wrapText="1"/>
    </xf>
    <xf numFmtId="0" fontId="0" fillId="10" borderId="0" xfId="0" applyFill="1"/>
    <xf numFmtId="0" fontId="68" fillId="33" borderId="0" xfId="4" applyFill="1"/>
    <xf numFmtId="3" fontId="0" fillId="0" borderId="43" xfId="0" applyNumberFormat="1" applyBorder="1" applyAlignment="1">
      <alignment horizontal="center"/>
    </xf>
    <xf numFmtId="165" fontId="30" fillId="4" borderId="53" xfId="2" applyNumberFormat="1" applyFont="1" applyFill="1" applyBorder="1" applyAlignment="1">
      <alignment horizontal="right" indent="2"/>
    </xf>
    <xf numFmtId="165" fontId="2" fillId="4" borderId="42" xfId="2" applyNumberFormat="1" applyFont="1" applyFill="1" applyBorder="1" applyAlignment="1">
      <alignment horizontal="right" indent="2"/>
    </xf>
    <xf numFmtId="165" fontId="9" fillId="0" borderId="0" xfId="2" applyNumberFormat="1" applyFont="1" applyFill="1" applyBorder="1" applyAlignment="1">
      <alignment horizontal="center"/>
    </xf>
    <xf numFmtId="3" fontId="56" fillId="0" borderId="43" xfId="0" applyNumberFormat="1" applyFont="1" applyBorder="1" applyAlignment="1">
      <alignment horizontal="left" indent="2"/>
    </xf>
    <xf numFmtId="3" fontId="56" fillId="4" borderId="6" xfId="0" applyNumberFormat="1" applyFont="1" applyFill="1" applyBorder="1" applyAlignment="1">
      <alignment horizontal="right" indent="2"/>
    </xf>
    <xf numFmtId="3" fontId="56" fillId="4" borderId="8" xfId="0" applyNumberFormat="1" applyFont="1" applyFill="1" applyBorder="1" applyAlignment="1">
      <alignment horizontal="right" indent="2"/>
    </xf>
    <xf numFmtId="3" fontId="56" fillId="4" borderId="0" xfId="0" applyNumberFormat="1" applyFont="1" applyFill="1" applyAlignment="1">
      <alignment horizontal="right" vertical="center" wrapText="1" indent="2"/>
    </xf>
    <xf numFmtId="3" fontId="35" fillId="0" borderId="43" xfId="0" applyNumberFormat="1" applyFont="1" applyBorder="1" applyAlignment="1">
      <alignment horizontal="left"/>
    </xf>
    <xf numFmtId="165" fontId="88" fillId="4" borderId="33" xfId="2" applyNumberFormat="1" applyFont="1" applyFill="1" applyBorder="1" applyAlignment="1">
      <alignment horizontal="right" indent="2"/>
    </xf>
    <xf numFmtId="165" fontId="16" fillId="0" borderId="38" xfId="2" applyNumberFormat="1" applyFont="1" applyFill="1" applyBorder="1" applyAlignment="1">
      <alignment horizontal="right" indent="2"/>
    </xf>
    <xf numFmtId="3" fontId="2" fillId="0" borderId="84" xfId="0" applyNumberFormat="1" applyFont="1" applyBorder="1" applyAlignment="1">
      <alignment horizontal="right" vertical="center" wrapText="1" indent="2"/>
    </xf>
    <xf numFmtId="3" fontId="35" fillId="7" borderId="12" xfId="0" applyNumberFormat="1" applyFont="1" applyFill="1" applyBorder="1" applyAlignment="1">
      <alignment horizontal="left"/>
    </xf>
    <xf numFmtId="0" fontId="21" fillId="0" borderId="0" xfId="0" applyFont="1" applyAlignment="1">
      <alignment horizontal="left" vertical="top" wrapText="1"/>
    </xf>
    <xf numFmtId="0" fontId="52" fillId="0" borderId="0" xfId="3" applyFont="1" applyAlignment="1">
      <alignment wrapText="1"/>
    </xf>
    <xf numFmtId="165" fontId="1" fillId="0" borderId="0" xfId="2" applyNumberFormat="1" applyFont="1" applyAlignment="1">
      <alignment horizontal="right" indent="2"/>
    </xf>
    <xf numFmtId="165" fontId="1" fillId="0" borderId="11" xfId="2" applyNumberFormat="1" applyFont="1" applyBorder="1" applyAlignment="1">
      <alignment horizontal="right" indent="2"/>
    </xf>
    <xf numFmtId="165" fontId="1" fillId="0" borderId="19" xfId="2" applyNumberFormat="1" applyFont="1" applyBorder="1" applyAlignment="1">
      <alignment horizontal="right" indent="2"/>
    </xf>
    <xf numFmtId="165" fontId="1" fillId="6" borderId="63" xfId="2" applyNumberFormat="1" applyFont="1" applyFill="1" applyBorder="1" applyAlignment="1">
      <alignment horizontal="right" indent="2"/>
    </xf>
    <xf numFmtId="4" fontId="0" fillId="6" borderId="8" xfId="0" applyNumberFormat="1" applyFill="1" applyBorder="1" applyAlignment="1">
      <alignment horizontal="right" indent="2"/>
    </xf>
    <xf numFmtId="4" fontId="0" fillId="6" borderId="33" xfId="0" applyNumberFormat="1" applyFill="1" applyBorder="1" applyAlignment="1">
      <alignment horizontal="right" indent="2"/>
    </xf>
    <xf numFmtId="4" fontId="3" fillId="6" borderId="41" xfId="0" applyNumberFormat="1" applyFont="1" applyFill="1" applyBorder="1" applyAlignment="1">
      <alignment horizontal="right" indent="2"/>
    </xf>
    <xf numFmtId="9" fontId="3" fillId="0" borderId="38" xfId="2" applyFont="1" applyFill="1" applyBorder="1" applyAlignment="1">
      <alignment horizontal="right" indent="2"/>
    </xf>
    <xf numFmtId="4" fontId="0" fillId="4" borderId="8" xfId="0" applyNumberFormat="1" applyFill="1" applyBorder="1" applyAlignment="1">
      <alignment horizontal="right" indent="2"/>
    </xf>
    <xf numFmtId="4" fontId="0" fillId="4" borderId="33" xfId="0" applyNumberFormat="1" applyFill="1" applyBorder="1" applyAlignment="1">
      <alignment horizontal="right" indent="2"/>
    </xf>
    <xf numFmtId="4" fontId="0" fillId="4" borderId="41" xfId="0" applyNumberFormat="1" applyFill="1" applyBorder="1" applyAlignment="1">
      <alignment horizontal="right" indent="2"/>
    </xf>
    <xf numFmtId="9" fontId="0" fillId="0" borderId="38" xfId="2" applyFont="1" applyFill="1" applyBorder="1" applyAlignment="1">
      <alignment horizontal="right" indent="2"/>
    </xf>
    <xf numFmtId="4" fontId="0" fillId="4" borderId="21" xfId="0" applyNumberFormat="1" applyFill="1" applyBorder="1" applyAlignment="1">
      <alignment horizontal="right" vertical="center" wrapText="1" indent="2"/>
    </xf>
    <xf numFmtId="165" fontId="55" fillId="0" borderId="144" xfId="2" applyNumberFormat="1" applyFont="1" applyFill="1" applyBorder="1" applyAlignment="1">
      <alignment horizontal="right" indent="2"/>
    </xf>
    <xf numFmtId="165" fontId="55" fillId="0" borderId="145" xfId="2" applyNumberFormat="1" applyFont="1" applyFill="1" applyBorder="1" applyAlignment="1">
      <alignment horizontal="right" indent="2"/>
    </xf>
    <xf numFmtId="165" fontId="13" fillId="0" borderId="145" xfId="2" applyNumberFormat="1" applyFont="1" applyFill="1" applyBorder="1" applyAlignment="1">
      <alignment horizontal="center" vertical="center" wrapText="1"/>
    </xf>
    <xf numFmtId="165" fontId="13" fillId="0" borderId="146" xfId="2" applyNumberFormat="1" applyFont="1" applyFill="1" applyBorder="1" applyAlignment="1">
      <alignment horizontal="right" indent="2"/>
    </xf>
    <xf numFmtId="0" fontId="12" fillId="0" borderId="3" xfId="0" applyFont="1" applyBorder="1" applyAlignment="1">
      <alignment horizontal="center" wrapText="1"/>
    </xf>
    <xf numFmtId="4" fontId="0" fillId="4" borderId="6" xfId="0" applyNumberFormat="1" applyFill="1" applyBorder="1" applyAlignment="1">
      <alignment horizontal="right" indent="2"/>
    </xf>
    <xf numFmtId="9" fontId="56" fillId="0" borderId="11" xfId="2" applyFont="1" applyFill="1" applyBorder="1" applyAlignment="1">
      <alignment horizontal="right" indent="2"/>
    </xf>
    <xf numFmtId="9" fontId="56" fillId="0" borderId="0" xfId="2" applyFont="1" applyFill="1" applyBorder="1" applyAlignment="1">
      <alignment horizontal="right" indent="2"/>
    </xf>
    <xf numFmtId="165" fontId="56" fillId="0" borderId="11" xfId="2" applyNumberFormat="1" applyFont="1" applyFill="1" applyBorder="1" applyAlignment="1">
      <alignment horizontal="right" indent="2"/>
    </xf>
    <xf numFmtId="9" fontId="2" fillId="0" borderId="11" xfId="2" applyFont="1" applyFill="1" applyBorder="1" applyAlignment="1">
      <alignment horizontal="right" indent="2"/>
    </xf>
    <xf numFmtId="10" fontId="56" fillId="0" borderId="11" xfId="2" applyNumberFormat="1" applyFont="1" applyFill="1" applyBorder="1" applyAlignment="1">
      <alignment horizontal="right" indent="2"/>
    </xf>
    <xf numFmtId="165" fontId="18" fillId="0" borderId="11" xfId="2" applyNumberFormat="1" applyFont="1" applyFill="1" applyBorder="1" applyAlignment="1">
      <alignment horizontal="right" indent="2"/>
    </xf>
    <xf numFmtId="3" fontId="14" fillId="6" borderId="26" xfId="0" applyNumberFormat="1" applyFont="1" applyFill="1" applyBorder="1" applyAlignment="1">
      <alignment horizontal="right" indent="2"/>
    </xf>
    <xf numFmtId="167" fontId="1" fillId="4" borderId="74" xfId="5" applyNumberFormat="1" applyFont="1" applyFill="1" applyBorder="1" applyAlignment="1">
      <alignment horizontal="right" indent="2"/>
    </xf>
    <xf numFmtId="165" fontId="190" fillId="0" borderId="27" xfId="2" applyNumberFormat="1" applyFont="1" applyBorder="1" applyAlignment="1">
      <alignment horizontal="center" vertical="center" wrapText="1"/>
    </xf>
    <xf numFmtId="165" fontId="190" fillId="0" borderId="42" xfId="2" applyNumberFormat="1" applyFont="1" applyBorder="1" applyAlignment="1">
      <alignment horizontal="center" vertical="center" wrapText="1"/>
    </xf>
    <xf numFmtId="165" fontId="190" fillId="0" borderId="38" xfId="2" applyNumberFormat="1" applyFont="1" applyBorder="1" applyAlignment="1">
      <alignment horizontal="center" vertical="center" wrapText="1"/>
    </xf>
    <xf numFmtId="165" fontId="13" fillId="0" borderId="16" xfId="2" applyNumberFormat="1" applyFont="1" applyFill="1" applyBorder="1"/>
    <xf numFmtId="3" fontId="0" fillId="4" borderId="5" xfId="0" applyNumberFormat="1" applyFill="1" applyBorder="1" applyAlignment="1">
      <alignment horizontal="right" vertical="center" indent="2"/>
    </xf>
    <xf numFmtId="165" fontId="13" fillId="0" borderId="11" xfId="2" applyNumberFormat="1" applyFont="1" applyFill="1" applyBorder="1"/>
    <xf numFmtId="165" fontId="1" fillId="4" borderId="36" xfId="2" applyNumberFormat="1" applyFont="1" applyFill="1" applyBorder="1" applyAlignment="1">
      <alignment horizontal="right" indent="2"/>
    </xf>
    <xf numFmtId="165" fontId="109" fillId="0" borderId="18" xfId="2" applyNumberFormat="1" applyFont="1" applyFill="1" applyBorder="1" applyAlignment="1">
      <alignment horizontal="right" indent="2"/>
    </xf>
    <xf numFmtId="165" fontId="109" fillId="0" borderId="0" xfId="2" applyNumberFormat="1" applyFont="1" applyFill="1" applyBorder="1" applyAlignment="1">
      <alignment horizontal="right" indent="2"/>
    </xf>
    <xf numFmtId="165" fontId="109" fillId="0" borderId="11" xfId="2" applyNumberFormat="1" applyFont="1" applyFill="1" applyBorder="1"/>
    <xf numFmtId="165" fontId="109" fillId="0" borderId="0" xfId="2" applyNumberFormat="1" applyFont="1" applyFill="1" applyAlignment="1">
      <alignment horizontal="right" indent="2"/>
    </xf>
    <xf numFmtId="165" fontId="109" fillId="0" borderId="11" xfId="2" applyNumberFormat="1" applyFont="1" applyFill="1" applyBorder="1" applyAlignment="1">
      <alignment horizontal="right" indent="2"/>
    </xf>
    <xf numFmtId="0" fontId="3" fillId="0" borderId="43" xfId="0" applyFont="1" applyBorder="1" applyAlignment="1">
      <alignment horizontal="center" vertical="center"/>
    </xf>
    <xf numFmtId="0" fontId="3" fillId="0" borderId="53" xfId="0" applyFont="1" applyBorder="1" applyAlignment="1">
      <alignment horizontal="center" vertical="center"/>
    </xf>
    <xf numFmtId="165" fontId="6" fillId="0" borderId="0" xfId="2" applyNumberFormat="1" applyFont="1" applyFill="1" applyBorder="1" applyAlignment="1">
      <alignment horizontal="center"/>
    </xf>
    <xf numFmtId="0" fontId="29" fillId="0" borderId="4" xfId="0" applyFont="1" applyBorder="1" applyAlignment="1">
      <alignment horizontal="center" wrapText="1"/>
    </xf>
    <xf numFmtId="0" fontId="141" fillId="0" borderId="16" xfId="0" applyFont="1" applyBorder="1" applyAlignment="1">
      <alignment horizontal="center" vertical="center" wrapText="1"/>
    </xf>
    <xf numFmtId="165" fontId="47" fillId="0" borderId="173" xfId="2" applyNumberFormat="1" applyFont="1" applyBorder="1" applyAlignment="1">
      <alignment horizontal="right" indent="2"/>
    </xf>
    <xf numFmtId="0" fontId="0" fillId="0" borderId="5" xfId="0" applyBorder="1" applyAlignment="1">
      <alignment horizontal="center" vertical="center" wrapText="1"/>
    </xf>
    <xf numFmtId="3" fontId="22" fillId="0" borderId="72" xfId="0" applyNumberFormat="1" applyFont="1" applyBorder="1" applyAlignment="1">
      <alignment horizontal="right" indent="2"/>
    </xf>
    <xf numFmtId="3" fontId="0" fillId="0" borderId="0" xfId="0" applyNumberFormat="1" applyAlignment="1">
      <alignment wrapText="1"/>
    </xf>
    <xf numFmtId="165" fontId="18" fillId="0" borderId="11" xfId="0" applyNumberFormat="1" applyFont="1" applyBorder="1" applyAlignment="1">
      <alignment horizontal="right" indent="2"/>
    </xf>
    <xf numFmtId="3" fontId="2" fillId="0" borderId="0" xfId="0" applyNumberFormat="1" applyFont="1" applyAlignment="1">
      <alignment horizontal="left" indent="2"/>
    </xf>
    <xf numFmtId="3" fontId="56" fillId="0" borderId="0" xfId="0" applyNumberFormat="1" applyFont="1" applyAlignment="1">
      <alignment horizontal="left" vertical="center" wrapText="1"/>
    </xf>
    <xf numFmtId="3" fontId="56" fillId="0" borderId="0" xfId="0" applyNumberFormat="1" applyFont="1" applyAlignment="1">
      <alignment horizontal="left" vertical="center"/>
    </xf>
    <xf numFmtId="3" fontId="14" fillId="0" borderId="11" xfId="0" applyNumberFormat="1" applyFont="1" applyBorder="1" applyAlignment="1">
      <alignment horizontal="right" indent="2"/>
    </xf>
    <xf numFmtId="3" fontId="14" fillId="0" borderId="16" xfId="0" applyNumberFormat="1" applyFont="1" applyBorder="1" applyAlignment="1">
      <alignment horizontal="right" indent="2"/>
    </xf>
    <xf numFmtId="3" fontId="19" fillId="3" borderId="62" xfId="2" applyNumberFormat="1" applyFont="1" applyFill="1" applyBorder="1" applyAlignment="1">
      <alignment horizontal="right" indent="2"/>
    </xf>
    <xf numFmtId="165" fontId="161" fillId="3" borderId="22" xfId="2" applyNumberFormat="1" applyFont="1" applyFill="1" applyBorder="1" applyAlignment="1">
      <alignment horizontal="right" indent="2"/>
    </xf>
    <xf numFmtId="165" fontId="19" fillId="3" borderId="34" xfId="2" applyNumberFormat="1" applyFont="1" applyFill="1" applyBorder="1" applyAlignment="1">
      <alignment horizontal="right" indent="2"/>
    </xf>
    <xf numFmtId="0" fontId="29" fillId="4" borderId="0" xfId="0" applyFont="1" applyFill="1" applyAlignment="1">
      <alignment horizontal="left" vertical="top" wrapText="1"/>
    </xf>
    <xf numFmtId="164" fontId="12" fillId="0" borderId="44" xfId="1" applyFont="1" applyBorder="1"/>
    <xf numFmtId="3" fontId="12" fillId="4" borderId="17" xfId="4" applyNumberFormat="1" applyFont="1" applyFill="1" applyBorder="1" applyAlignment="1">
      <alignment horizontal="right" indent="2"/>
    </xf>
    <xf numFmtId="3" fontId="12" fillId="4" borderId="6" xfId="4" applyNumberFormat="1" applyFont="1" applyFill="1" applyBorder="1" applyAlignment="1">
      <alignment horizontal="right" indent="2"/>
    </xf>
    <xf numFmtId="3" fontId="12" fillId="4" borderId="21" xfId="4" applyNumberFormat="1" applyFont="1" applyFill="1" applyBorder="1" applyAlignment="1">
      <alignment horizontal="right" indent="2"/>
    </xf>
    <xf numFmtId="3" fontId="12" fillId="4" borderId="8" xfId="4" applyNumberFormat="1" applyFont="1" applyFill="1" applyBorder="1" applyAlignment="1">
      <alignment horizontal="right" indent="2"/>
    </xf>
    <xf numFmtId="3" fontId="5" fillId="4" borderId="33" xfId="4" applyNumberFormat="1" applyFont="1" applyFill="1" applyBorder="1" applyAlignment="1">
      <alignment horizontal="right" indent="2"/>
    </xf>
    <xf numFmtId="3" fontId="12" fillId="4" borderId="41" xfId="4" applyNumberFormat="1" applyFont="1" applyFill="1" applyBorder="1" applyAlignment="1">
      <alignment horizontal="right" indent="2"/>
    </xf>
    <xf numFmtId="3" fontId="12" fillId="0" borderId="44" xfId="4" applyNumberFormat="1" applyFont="1" applyBorder="1" applyAlignment="1">
      <alignment horizontal="left" indent="2"/>
    </xf>
    <xf numFmtId="3" fontId="5" fillId="4" borderId="17" xfId="4" applyNumberFormat="1" applyFont="1" applyFill="1" applyBorder="1" applyAlignment="1">
      <alignment horizontal="right" indent="2"/>
    </xf>
    <xf numFmtId="3" fontId="5" fillId="4" borderId="27" xfId="4" applyNumberFormat="1" applyFont="1" applyFill="1" applyBorder="1" applyAlignment="1">
      <alignment horizontal="right" indent="2"/>
    </xf>
    <xf numFmtId="3" fontId="12" fillId="0" borderId="0" xfId="4" applyNumberFormat="1" applyFont="1" applyAlignment="1">
      <alignment horizontal="left" indent="2"/>
    </xf>
    <xf numFmtId="3" fontId="5" fillId="4" borderId="21" xfId="4" applyNumberFormat="1" applyFont="1" applyFill="1" applyBorder="1" applyAlignment="1">
      <alignment horizontal="right" indent="2"/>
    </xf>
    <xf numFmtId="0" fontId="12" fillId="0" borderId="1" xfId="4" applyFont="1" applyBorder="1" applyAlignment="1">
      <alignment horizontal="center" vertical="center" wrapText="1"/>
    </xf>
    <xf numFmtId="0" fontId="12" fillId="0" borderId="2" xfId="4" applyFont="1" applyBorder="1"/>
    <xf numFmtId="0" fontId="12" fillId="0" borderId="3" xfId="4" applyFont="1" applyBorder="1" applyAlignment="1">
      <alignment vertical="center" wrapText="1"/>
    </xf>
    <xf numFmtId="3" fontId="5" fillId="0" borderId="18" xfId="4" applyNumberFormat="1" applyFont="1" applyBorder="1" applyAlignment="1">
      <alignment horizontal="right" indent="2"/>
    </xf>
    <xf numFmtId="3" fontId="12" fillId="0" borderId="0" xfId="4" applyNumberFormat="1" applyFont="1" applyAlignment="1">
      <alignment horizontal="left" vertical="center"/>
    </xf>
    <xf numFmtId="3" fontId="12" fillId="0" borderId="11" xfId="4" applyNumberFormat="1" applyFont="1" applyBorder="1" applyAlignment="1">
      <alignment horizontal="left"/>
    </xf>
    <xf numFmtId="3" fontId="53" fillId="0" borderId="44" xfId="4" applyNumberFormat="1" applyFont="1" applyBorder="1"/>
    <xf numFmtId="3" fontId="83" fillId="4" borderId="18" xfId="4" applyNumberFormat="1" applyFont="1" applyFill="1" applyBorder="1" applyAlignment="1">
      <alignment horizontal="right" indent="2"/>
    </xf>
    <xf numFmtId="3" fontId="12" fillId="4" borderId="33" xfId="4" applyNumberFormat="1" applyFont="1" applyFill="1" applyBorder="1" applyAlignment="1">
      <alignment horizontal="right" indent="2"/>
    </xf>
    <xf numFmtId="3" fontId="84" fillId="0" borderId="47" xfId="4" applyNumberFormat="1" applyFont="1" applyBorder="1" applyAlignment="1">
      <alignment horizontal="right" indent="2"/>
    </xf>
    <xf numFmtId="3" fontId="12" fillId="0" borderId="8" xfId="4" applyNumberFormat="1" applyFont="1" applyBorder="1" applyAlignment="1">
      <alignment horizontal="right" indent="2"/>
    </xf>
    <xf numFmtId="0" fontId="6" fillId="0" borderId="2" xfId="0" applyFont="1" applyBorder="1"/>
    <xf numFmtId="165" fontId="10" fillId="0" borderId="10" xfId="0" quotePrefix="1" applyNumberFormat="1" applyFont="1" applyBorder="1" applyAlignment="1">
      <alignment horizontal="center" vertical="center" wrapText="1"/>
    </xf>
    <xf numFmtId="165" fontId="9" fillId="0" borderId="10" xfId="0" applyNumberFormat="1" applyFont="1" applyBorder="1" applyAlignment="1">
      <alignment horizontal="center" vertical="center" wrapText="1"/>
    </xf>
    <xf numFmtId="165" fontId="9" fillId="0" borderId="10" xfId="0" applyNumberFormat="1" applyFont="1" applyBorder="1" applyAlignment="1">
      <alignment vertical="center" wrapText="1"/>
    </xf>
    <xf numFmtId="165" fontId="13" fillId="0" borderId="0" xfId="2" applyNumberFormat="1" applyFont="1" applyFill="1" applyBorder="1"/>
    <xf numFmtId="3" fontId="66" fillId="0" borderId="0" xfId="2" applyNumberFormat="1" applyFont="1" applyBorder="1" applyAlignment="1">
      <alignment horizontal="right" indent="2"/>
    </xf>
    <xf numFmtId="3" fontId="42" fillId="0" borderId="0" xfId="2" applyNumberFormat="1" applyFont="1" applyBorder="1" applyAlignment="1">
      <alignment horizontal="right" indent="2"/>
    </xf>
    <xf numFmtId="165" fontId="15" fillId="0" borderId="0" xfId="2" applyNumberFormat="1" applyFont="1" applyBorder="1" applyAlignment="1">
      <alignment horizontal="right" indent="2"/>
    </xf>
    <xf numFmtId="165" fontId="21" fillId="0" borderId="0" xfId="2" applyNumberFormat="1" applyFont="1" applyBorder="1" applyAlignment="1">
      <alignment horizontal="right" indent="2"/>
    </xf>
    <xf numFmtId="165" fontId="21" fillId="0" borderId="0" xfId="2" applyNumberFormat="1" applyFont="1" applyFill="1" applyBorder="1" applyAlignment="1">
      <alignment horizontal="right" indent="2"/>
    </xf>
    <xf numFmtId="165" fontId="30" fillId="0" borderId="9" xfId="2" applyNumberFormat="1" applyFont="1" applyBorder="1" applyAlignment="1">
      <alignment horizontal="center" vertical="center"/>
    </xf>
    <xf numFmtId="3" fontId="23" fillId="7" borderId="21" xfId="0" applyNumberFormat="1" applyFont="1" applyFill="1" applyBorder="1" applyAlignment="1">
      <alignment horizontal="right" indent="2"/>
    </xf>
    <xf numFmtId="3" fontId="2" fillId="0" borderId="16" xfId="0" applyNumberFormat="1" applyFont="1" applyBorder="1" applyAlignment="1">
      <alignment horizontal="center"/>
    </xf>
    <xf numFmtId="3" fontId="2" fillId="0" borderId="16" xfId="0" applyNumberFormat="1" applyFont="1" applyBorder="1" applyAlignment="1">
      <alignment horizontal="center" vertical="center"/>
    </xf>
    <xf numFmtId="166" fontId="16" fillId="4" borderId="47" xfId="0" applyNumberFormat="1" applyFont="1" applyFill="1" applyBorder="1" applyAlignment="1">
      <alignment horizontal="right" indent="2"/>
    </xf>
    <xf numFmtId="0" fontId="1" fillId="0" borderId="12" xfId="3" applyFont="1" applyFill="1" applyBorder="1" applyAlignment="1">
      <alignment horizontal="left" vertical="center"/>
    </xf>
    <xf numFmtId="0" fontId="1" fillId="0" borderId="15" xfId="3" applyFont="1" applyFill="1" applyBorder="1" applyAlignment="1">
      <alignment vertical="center"/>
    </xf>
    <xf numFmtId="0" fontId="45" fillId="0" borderId="12" xfId="0" applyFont="1" applyBorder="1" applyAlignment="1">
      <alignment horizontal="left" vertical="center"/>
    </xf>
    <xf numFmtId="0" fontId="4" fillId="0" borderId="15" xfId="3" applyFill="1" applyBorder="1" applyAlignment="1">
      <alignment vertical="center"/>
    </xf>
    <xf numFmtId="166" fontId="29" fillId="0" borderId="0" xfId="0" applyNumberFormat="1" applyFont="1" applyAlignment="1">
      <alignment horizontal="left"/>
    </xf>
    <xf numFmtId="166" fontId="0" fillId="0" borderId="37" xfId="0" applyNumberFormat="1" applyBorder="1" applyAlignment="1">
      <alignment horizontal="right" indent="2"/>
    </xf>
    <xf numFmtId="0" fontId="0" fillId="4" borderId="8" xfId="0" applyFill="1" applyBorder="1" applyAlignment="1">
      <alignment horizontal="left"/>
    </xf>
    <xf numFmtId="3" fontId="0" fillId="0" borderId="0" xfId="0" applyNumberFormat="1" applyAlignment="1">
      <alignment horizontal="right" indent="4"/>
    </xf>
    <xf numFmtId="0" fontId="11" fillId="6" borderId="17" xfId="0" applyFont="1" applyFill="1" applyBorder="1" applyAlignment="1">
      <alignment horizontal="right" vertical="center" textRotation="90" wrapText="1"/>
    </xf>
    <xf numFmtId="166" fontId="0" fillId="6" borderId="24" xfId="0" applyNumberFormat="1" applyFill="1" applyBorder="1"/>
    <xf numFmtId="166" fontId="0" fillId="6" borderId="51" xfId="0" applyNumberFormat="1" applyFill="1" applyBorder="1"/>
    <xf numFmtId="0" fontId="11" fillId="6" borderId="21" xfId="0" applyFont="1" applyFill="1" applyBorder="1" applyAlignment="1">
      <alignment horizontal="right" vertical="center" textRotation="90" wrapText="1"/>
    </xf>
    <xf numFmtId="9" fontId="0" fillId="6" borderId="51" xfId="2" applyFont="1" applyFill="1" applyBorder="1"/>
    <xf numFmtId="165" fontId="15" fillId="6" borderId="47" xfId="2" applyNumberFormat="1" applyFont="1" applyFill="1" applyBorder="1" applyAlignment="1"/>
    <xf numFmtId="165" fontId="15" fillId="6" borderId="65" xfId="2" applyNumberFormat="1" applyFont="1" applyFill="1" applyBorder="1" applyAlignment="1"/>
    <xf numFmtId="3" fontId="9" fillId="6" borderId="24" xfId="0" applyNumberFormat="1" applyFont="1" applyFill="1" applyBorder="1"/>
    <xf numFmtId="3" fontId="9" fillId="6" borderId="51" xfId="0" applyNumberFormat="1" applyFont="1" applyFill="1" applyBorder="1"/>
    <xf numFmtId="0" fontId="11" fillId="6" borderId="33" xfId="0" applyFont="1" applyFill="1" applyBorder="1" applyAlignment="1">
      <alignment horizontal="right" vertical="center" textRotation="90" wrapText="1"/>
    </xf>
    <xf numFmtId="3" fontId="3" fillId="6" borderId="47" xfId="0" applyNumberFormat="1" applyFont="1" applyFill="1" applyBorder="1" applyAlignment="1">
      <alignment horizontal="right" indent="2"/>
    </xf>
    <xf numFmtId="3" fontId="2" fillId="4" borderId="22" xfId="0" applyNumberFormat="1" applyFont="1" applyFill="1" applyBorder="1" applyAlignment="1">
      <alignment horizontal="right" vertical="center" wrapText="1" indent="2"/>
    </xf>
    <xf numFmtId="3" fontId="2" fillId="4" borderId="28" xfId="0" applyNumberFormat="1" applyFont="1" applyFill="1" applyBorder="1" applyAlignment="1">
      <alignment horizontal="right" vertical="center" wrapText="1" indent="2"/>
    </xf>
    <xf numFmtId="3" fontId="56" fillId="4" borderId="22" xfId="0" applyNumberFormat="1" applyFont="1" applyFill="1" applyBorder="1" applyAlignment="1">
      <alignment horizontal="right" vertical="center" wrapText="1" indent="2"/>
    </xf>
    <xf numFmtId="3" fontId="56" fillId="4" borderId="28" xfId="0" applyNumberFormat="1" applyFont="1" applyFill="1" applyBorder="1" applyAlignment="1">
      <alignment horizontal="right" vertical="center" wrapText="1" indent="2"/>
    </xf>
    <xf numFmtId="3" fontId="0" fillId="6" borderId="58" xfId="0" applyNumberFormat="1" applyFill="1" applyBorder="1" applyAlignment="1">
      <alignment horizontal="right" indent="2"/>
    </xf>
    <xf numFmtId="165" fontId="107" fillId="0" borderId="0" xfId="2" applyNumberFormat="1" applyFont="1" applyFill="1" applyBorder="1" applyAlignment="1">
      <alignment horizontal="left" indent="2"/>
    </xf>
    <xf numFmtId="176" fontId="25" fillId="0" borderId="11" xfId="2" applyNumberFormat="1" applyFont="1" applyFill="1" applyBorder="1" applyAlignment="1">
      <alignment horizontal="right" indent="2"/>
    </xf>
    <xf numFmtId="3" fontId="0" fillId="4" borderId="11" xfId="0" applyNumberFormat="1" applyFill="1" applyBorder="1"/>
    <xf numFmtId="0" fontId="0" fillId="4" borderId="8" xfId="0" quotePrefix="1" applyFill="1" applyBorder="1" applyAlignment="1">
      <alignment horizontal="right"/>
    </xf>
    <xf numFmtId="0" fontId="5" fillId="0" borderId="5" xfId="0" applyFont="1" applyBorder="1" applyAlignment="1">
      <alignment horizontal="center" wrapText="1"/>
    </xf>
    <xf numFmtId="3" fontId="0" fillId="0" borderId="5" xfId="0" applyNumberFormat="1" applyBorder="1" applyAlignment="1">
      <alignment horizontal="right" wrapText="1"/>
    </xf>
    <xf numFmtId="0" fontId="0" fillId="0" borderId="5" xfId="0" applyBorder="1" applyAlignment="1">
      <alignment wrapText="1"/>
    </xf>
    <xf numFmtId="0" fontId="5" fillId="0" borderId="10" xfId="0" applyFont="1" applyBorder="1"/>
    <xf numFmtId="174" fontId="0" fillId="4" borderId="0" xfId="1" applyNumberFormat="1" applyFont="1" applyFill="1"/>
    <xf numFmtId="165" fontId="16" fillId="4" borderId="41" xfId="2" applyNumberFormat="1" applyFont="1" applyFill="1" applyBorder="1" applyAlignment="1">
      <alignment horizontal="right" indent="2"/>
    </xf>
    <xf numFmtId="165" fontId="12" fillId="0" borderId="13" xfId="0" applyNumberFormat="1" applyFont="1" applyBorder="1" applyAlignment="1">
      <alignment horizontal="right" indent="2"/>
    </xf>
    <xf numFmtId="3" fontId="0" fillId="7" borderId="43" xfId="0" applyNumberFormat="1" applyFill="1" applyBorder="1"/>
    <xf numFmtId="3" fontId="0" fillId="7" borderId="18" xfId="0" applyNumberFormat="1" applyFill="1" applyBorder="1" applyAlignment="1">
      <alignment horizontal="right" vertical="center" wrapText="1" indent="2"/>
    </xf>
    <xf numFmtId="3" fontId="0" fillId="7" borderId="53" xfId="0" applyNumberFormat="1" applyFill="1" applyBorder="1" applyAlignment="1">
      <alignment horizontal="right" vertical="center" wrapText="1" indent="2"/>
    </xf>
    <xf numFmtId="3" fontId="9" fillId="6" borderId="0" xfId="0" applyNumberFormat="1" applyFont="1" applyFill="1" applyAlignment="1">
      <alignment horizontal="right" indent="2"/>
    </xf>
    <xf numFmtId="3" fontId="9" fillId="0" borderId="38" xfId="0" applyNumberFormat="1" applyFont="1" applyBorder="1" applyAlignment="1">
      <alignment horizontal="right" indent="2"/>
    </xf>
    <xf numFmtId="165" fontId="1" fillId="6" borderId="23" xfId="2" applyNumberFormat="1" applyFont="1" applyFill="1" applyBorder="1" applyAlignment="1">
      <alignment horizontal="right" indent="2"/>
    </xf>
    <xf numFmtId="165" fontId="1" fillId="0" borderId="8" xfId="2" applyNumberFormat="1" applyFont="1" applyBorder="1" applyAlignment="1">
      <alignment horizontal="right" indent="2"/>
    </xf>
    <xf numFmtId="0" fontId="0" fillId="6" borderId="6" xfId="0" applyFill="1" applyBorder="1" applyAlignment="1">
      <alignment vertical="center" wrapText="1"/>
    </xf>
    <xf numFmtId="3" fontId="23" fillId="0" borderId="72" xfId="0" applyNumberFormat="1" applyFont="1" applyBorder="1" applyAlignment="1">
      <alignment horizontal="right" indent="2"/>
    </xf>
    <xf numFmtId="0" fontId="11" fillId="2" borderId="18" xfId="0" applyFont="1" applyFill="1" applyBorder="1" applyAlignment="1">
      <alignment horizontal="center" vertical="center" textRotation="90" wrapText="1"/>
    </xf>
    <xf numFmtId="0" fontId="0" fillId="2" borderId="11" xfId="0" applyFill="1" applyBorder="1" applyAlignment="1">
      <alignment horizontal="right"/>
    </xf>
    <xf numFmtId="3" fontId="56" fillId="2" borderId="48" xfId="0" applyNumberFormat="1" applyFont="1" applyFill="1" applyBorder="1" applyAlignment="1">
      <alignment horizontal="right" indent="2"/>
    </xf>
    <xf numFmtId="3" fontId="0" fillId="2" borderId="17" xfId="0" applyNumberFormat="1" applyFill="1" applyBorder="1" applyAlignment="1">
      <alignment horizontal="right" indent="2"/>
    </xf>
    <xf numFmtId="3" fontId="56" fillId="2" borderId="25" xfId="0" applyNumberFormat="1" applyFont="1" applyFill="1" applyBorder="1" applyAlignment="1">
      <alignment horizontal="right" indent="2"/>
    </xf>
    <xf numFmtId="3" fontId="0" fillId="2" borderId="30" xfId="0" applyNumberFormat="1" applyFill="1" applyBorder="1" applyAlignment="1">
      <alignment horizontal="right" indent="2"/>
    </xf>
    <xf numFmtId="3" fontId="56" fillId="2" borderId="31" xfId="0" applyNumberFormat="1" applyFont="1" applyFill="1" applyBorder="1" applyAlignment="1">
      <alignment horizontal="right" indent="2"/>
    </xf>
    <xf numFmtId="3" fontId="0" fillId="4" borderId="69" xfId="0" applyNumberFormat="1" applyFill="1" applyBorder="1" applyAlignment="1">
      <alignment horizontal="right" indent="2"/>
    </xf>
    <xf numFmtId="167" fontId="1" fillId="6" borderId="10" xfId="5" applyNumberFormat="1" applyFont="1" applyFill="1" applyBorder="1" applyAlignment="1">
      <alignment horizontal="right" indent="2"/>
    </xf>
    <xf numFmtId="167" fontId="1" fillId="6" borderId="10" xfId="5" applyNumberFormat="1" applyFont="1" applyFill="1" applyBorder="1" applyAlignment="1">
      <alignment horizontal="left" vertical="center" wrapText="1" indent="4"/>
    </xf>
    <xf numFmtId="167" fontId="1" fillId="6" borderId="10" xfId="5" applyNumberFormat="1" applyFont="1" applyFill="1" applyBorder="1" applyAlignment="1">
      <alignment vertical="center" wrapText="1"/>
    </xf>
    <xf numFmtId="167" fontId="1" fillId="6" borderId="7" xfId="5" applyNumberFormat="1" applyFont="1" applyFill="1" applyBorder="1" applyAlignment="1">
      <alignment horizontal="right" indent="2"/>
    </xf>
    <xf numFmtId="167" fontId="1" fillId="6" borderId="7" xfId="5" applyNumberFormat="1" applyFont="1" applyFill="1" applyBorder="1" applyAlignment="1">
      <alignment vertical="center" wrapText="1"/>
    </xf>
    <xf numFmtId="167" fontId="1" fillId="4" borderId="12" xfId="5" applyNumberFormat="1" applyFont="1" applyFill="1" applyBorder="1" applyAlignment="1">
      <alignment horizontal="right" indent="2"/>
    </xf>
    <xf numFmtId="167" fontId="1" fillId="4" borderId="14" xfId="5" applyNumberFormat="1" applyFont="1" applyFill="1" applyBorder="1" applyAlignment="1">
      <alignment horizontal="right" indent="2"/>
    </xf>
    <xf numFmtId="167" fontId="1" fillId="4" borderId="18" xfId="5" applyNumberFormat="1" applyFont="1" applyFill="1" applyBorder="1" applyAlignment="1">
      <alignment horizontal="right" indent="2"/>
    </xf>
    <xf numFmtId="167" fontId="1" fillId="4" borderId="23" xfId="5" applyNumberFormat="1" applyFont="1" applyFill="1" applyBorder="1" applyAlignment="1">
      <alignment horizontal="right" indent="2"/>
    </xf>
    <xf numFmtId="167" fontId="1" fillId="4" borderId="51" xfId="5" applyNumberFormat="1" applyFont="1" applyFill="1" applyBorder="1" applyAlignment="1">
      <alignment horizontal="right" indent="2"/>
    </xf>
    <xf numFmtId="167" fontId="1" fillId="4" borderId="53" xfId="5" applyNumberFormat="1" applyFont="1" applyFill="1" applyBorder="1" applyAlignment="1">
      <alignment horizontal="right" indent="2"/>
    </xf>
    <xf numFmtId="167" fontId="1" fillId="4" borderId="7" xfId="5" applyNumberFormat="1" applyFont="1" applyFill="1" applyBorder="1" applyAlignment="1">
      <alignment horizontal="right" indent="2"/>
    </xf>
    <xf numFmtId="167" fontId="1" fillId="4" borderId="66" xfId="5" applyNumberFormat="1" applyFont="1" applyFill="1" applyBorder="1" applyAlignment="1">
      <alignment horizontal="right" indent="2"/>
    </xf>
    <xf numFmtId="165" fontId="4" fillId="0" borderId="0" xfId="3" applyNumberFormat="1" applyAlignment="1">
      <alignment horizontal="center" vertical="center"/>
    </xf>
    <xf numFmtId="165" fontId="1" fillId="4" borderId="30" xfId="2" applyNumberFormat="1" applyFont="1" applyFill="1" applyBorder="1" applyAlignment="1">
      <alignment horizontal="right" indent="2"/>
    </xf>
    <xf numFmtId="167" fontId="1" fillId="4" borderId="24" xfId="5" applyNumberFormat="1" applyFont="1" applyFill="1" applyBorder="1" applyAlignment="1">
      <alignment horizontal="right" indent="2"/>
    </xf>
    <xf numFmtId="167" fontId="1" fillId="4" borderId="30" xfId="5" applyNumberFormat="1" applyFont="1" applyFill="1" applyBorder="1" applyAlignment="1">
      <alignment horizontal="right" indent="2"/>
    </xf>
    <xf numFmtId="10" fontId="109" fillId="23" borderId="11" xfId="2" applyNumberFormat="1" applyFont="1" applyFill="1" applyBorder="1" applyAlignment="1">
      <alignment horizontal="right" indent="2"/>
    </xf>
    <xf numFmtId="3" fontId="56" fillId="0" borderId="18" xfId="3" applyNumberFormat="1" applyFont="1" applyBorder="1" applyAlignment="1">
      <alignment horizontal="left"/>
    </xf>
    <xf numFmtId="0" fontId="38" fillId="4" borderId="0" xfId="4" applyFont="1" applyFill="1" applyAlignment="1">
      <alignment horizontal="center"/>
    </xf>
    <xf numFmtId="0" fontId="3" fillId="4" borderId="0" xfId="4" applyFont="1" applyFill="1" applyAlignment="1">
      <alignment horizontal="center" vertical="center"/>
    </xf>
    <xf numFmtId="0" fontId="12" fillId="4" borderId="0" xfId="4" applyFont="1" applyFill="1" applyAlignment="1">
      <alignment horizontal="center"/>
    </xf>
    <xf numFmtId="0" fontId="12" fillId="4" borderId="0" xfId="4" quotePrefix="1" applyFont="1" applyFill="1" applyAlignment="1">
      <alignment horizontal="center" vertical="center"/>
    </xf>
    <xf numFmtId="0" fontId="12" fillId="0" borderId="0" xfId="4" applyFont="1" applyAlignment="1">
      <alignment horizontal="left" wrapText="1"/>
    </xf>
    <xf numFmtId="0" fontId="12" fillId="0" borderId="5" xfId="4" applyFont="1" applyBorder="1" applyAlignment="1">
      <alignment horizontal="right" vertical="center"/>
    </xf>
    <xf numFmtId="0" fontId="3" fillId="0" borderId="12" xfId="4" applyFont="1" applyBorder="1" applyAlignment="1">
      <alignment horizontal="left" vertical="center"/>
    </xf>
    <xf numFmtId="0" fontId="68" fillId="0" borderId="13" xfId="4" applyBorder="1"/>
    <xf numFmtId="0" fontId="5" fillId="0" borderId="5" xfId="4" applyFont="1" applyBorder="1" applyAlignment="1">
      <alignment horizontal="left" vertical="center"/>
    </xf>
    <xf numFmtId="0" fontId="5" fillId="0" borderId="0" xfId="4" applyFont="1" applyAlignment="1">
      <alignment horizontal="left" vertical="center"/>
    </xf>
    <xf numFmtId="0" fontId="12" fillId="0" borderId="5" xfId="4" applyFont="1" applyBorder="1" applyAlignment="1">
      <alignment vertical="center" wrapText="1"/>
    </xf>
    <xf numFmtId="0" fontId="5" fillId="0" borderId="18" xfId="4" applyFont="1" applyBorder="1" applyAlignment="1">
      <alignment horizontal="left" vertical="center"/>
    </xf>
    <xf numFmtId="0" fontId="5" fillId="0" borderId="11" xfId="4" applyFont="1" applyBorder="1" applyAlignment="1">
      <alignment horizontal="left" vertical="center"/>
    </xf>
    <xf numFmtId="0" fontId="12" fillId="0" borderId="10" xfId="4" applyFont="1" applyBorder="1" applyAlignment="1">
      <alignment horizontal="right"/>
    </xf>
    <xf numFmtId="3" fontId="12" fillId="0" borderId="18" xfId="4" applyNumberFormat="1" applyFont="1" applyBorder="1" applyAlignment="1">
      <alignment horizontal="right"/>
    </xf>
    <xf numFmtId="0" fontId="12" fillId="0" borderId="7" xfId="4" applyFont="1" applyBorder="1" applyAlignment="1">
      <alignment horizontal="right"/>
    </xf>
    <xf numFmtId="0" fontId="5" fillId="0" borderId="16" xfId="4" applyFont="1" applyBorder="1" applyAlignment="1">
      <alignment horizontal="left" vertical="center"/>
    </xf>
    <xf numFmtId="0" fontId="5" fillId="0" borderId="10" xfId="4" applyFont="1" applyBorder="1" applyAlignment="1">
      <alignment horizontal="left" vertical="center"/>
    </xf>
    <xf numFmtId="3" fontId="5" fillId="0" borderId="0" xfId="4" applyNumberFormat="1" applyFont="1" applyAlignment="1">
      <alignment horizontal="left" vertical="center"/>
    </xf>
    <xf numFmtId="3" fontId="12" fillId="0" borderId="0" xfId="4" applyNumberFormat="1" applyFont="1" applyAlignment="1">
      <alignment horizontal="right"/>
    </xf>
    <xf numFmtId="3" fontId="12" fillId="0" borderId="6" xfId="4" applyNumberFormat="1" applyFont="1" applyBorder="1" applyAlignment="1">
      <alignment horizontal="right"/>
    </xf>
    <xf numFmtId="0" fontId="12" fillId="0" borderId="6" xfId="4" applyFont="1" applyBorder="1" applyAlignment="1">
      <alignment horizontal="right"/>
    </xf>
    <xf numFmtId="3" fontId="12" fillId="0" borderId="9" xfId="4" applyNumberFormat="1" applyFont="1" applyBorder="1" applyAlignment="1">
      <alignment horizontal="right"/>
    </xf>
    <xf numFmtId="0" fontId="12" fillId="0" borderId="9" xfId="4" applyFont="1" applyBorder="1" applyAlignment="1">
      <alignment horizontal="right"/>
    </xf>
    <xf numFmtId="0" fontId="5" fillId="0" borderId="16" xfId="4" applyFont="1" applyBorder="1" applyAlignment="1">
      <alignment horizontal="left"/>
    </xf>
    <xf numFmtId="0" fontId="5" fillId="0" borderId="5" xfId="4" applyFont="1" applyBorder="1" applyAlignment="1">
      <alignment horizontal="left"/>
    </xf>
    <xf numFmtId="0" fontId="5" fillId="0" borderId="0" xfId="4" applyFont="1" applyAlignment="1">
      <alignment horizontal="left"/>
    </xf>
    <xf numFmtId="3" fontId="35" fillId="0" borderId="5" xfId="4" applyNumberFormat="1" applyFont="1" applyBorder="1" applyAlignment="1">
      <alignment horizontal="right" vertical="center" wrapText="1" indent="1"/>
    </xf>
    <xf numFmtId="3" fontId="5" fillId="0" borderId="0" xfId="4" applyNumberFormat="1" applyFont="1" applyAlignment="1">
      <alignment horizontal="left"/>
    </xf>
    <xf numFmtId="10" fontId="12" fillId="0" borderId="53" xfId="4" applyNumberFormat="1" applyFont="1" applyBorder="1"/>
    <xf numFmtId="10" fontId="12" fillId="0" borderId="38" xfId="4" applyNumberFormat="1" applyFont="1" applyBorder="1" applyAlignment="1">
      <alignment horizontal="right"/>
    </xf>
    <xf numFmtId="10" fontId="12" fillId="0" borderId="7" xfId="4" applyNumberFormat="1" applyFont="1" applyBorder="1" applyAlignment="1">
      <alignment horizontal="right"/>
    </xf>
    <xf numFmtId="10" fontId="12" fillId="0" borderId="0" xfId="4" applyNumberFormat="1" applyFont="1" applyAlignment="1">
      <alignment horizontal="right"/>
    </xf>
    <xf numFmtId="10" fontId="21" fillId="0" borderId="0" xfId="4" applyNumberFormat="1" applyFont="1" applyAlignment="1">
      <alignment horizontal="right"/>
    </xf>
    <xf numFmtId="0" fontId="8" fillId="0" borderId="43" xfId="4" applyFont="1" applyBorder="1" applyAlignment="1">
      <alignment horizontal="left"/>
    </xf>
    <xf numFmtId="0" fontId="12" fillId="0" borderId="16" xfId="4" applyFont="1" applyBorder="1" applyAlignment="1">
      <alignment horizontal="right"/>
    </xf>
    <xf numFmtId="0" fontId="38" fillId="0" borderId="38" xfId="4" applyFont="1" applyBorder="1" applyAlignment="1">
      <alignment horizontal="right"/>
    </xf>
    <xf numFmtId="0" fontId="12" fillId="0" borderId="4" xfId="4" applyFont="1" applyBorder="1" applyAlignment="1">
      <alignment horizontal="right" vertical="center"/>
    </xf>
    <xf numFmtId="0" fontId="5" fillId="0" borderId="16" xfId="4" applyFont="1" applyBorder="1" applyAlignment="1">
      <alignment horizontal="right"/>
    </xf>
    <xf numFmtId="0" fontId="5" fillId="0" borderId="5" xfId="4" applyFont="1" applyBorder="1" applyAlignment="1">
      <alignment horizontal="right"/>
    </xf>
    <xf numFmtId="0" fontId="5" fillId="0" borderId="0" xfId="4" applyFont="1" applyAlignment="1">
      <alignment horizontal="right"/>
    </xf>
    <xf numFmtId="0" fontId="12" fillId="4" borderId="11" xfId="4" applyFont="1" applyFill="1" applyBorder="1" applyAlignment="1">
      <alignment horizontal="right"/>
    </xf>
    <xf numFmtId="0" fontId="5" fillId="0" borderId="10" xfId="4" applyFont="1" applyBorder="1" applyAlignment="1">
      <alignment horizontal="right"/>
    </xf>
    <xf numFmtId="3" fontId="53" fillId="0" borderId="11" xfId="4" applyNumberFormat="1" applyFont="1" applyBorder="1" applyAlignment="1">
      <alignment horizontal="left" vertical="center"/>
    </xf>
    <xf numFmtId="0" fontId="5" fillId="0" borderId="10" xfId="4" applyFont="1" applyBorder="1" applyAlignment="1">
      <alignment horizontal="left"/>
    </xf>
    <xf numFmtId="3" fontId="5" fillId="2" borderId="0" xfId="4" applyNumberFormat="1" applyFont="1" applyFill="1" applyAlignment="1">
      <alignment horizontal="right" indent="2"/>
    </xf>
    <xf numFmtId="0" fontId="34" fillId="0" borderId="0" xfId="4" applyFont="1" applyAlignment="1">
      <alignment horizontal="center" vertical="center" textRotation="90" wrapText="1"/>
    </xf>
    <xf numFmtId="0" fontId="5" fillId="0" borderId="6" xfId="4" applyFont="1" applyBorder="1" applyAlignment="1">
      <alignment horizontal="right"/>
    </xf>
    <xf numFmtId="3" fontId="70" fillId="0" borderId="16" xfId="4" applyNumberFormat="1" applyFont="1" applyBorder="1"/>
    <xf numFmtId="0" fontId="70" fillId="0" borderId="8" xfId="4" applyFont="1" applyBorder="1" applyAlignment="1">
      <alignment horizontal="right"/>
    </xf>
    <xf numFmtId="3" fontId="70" fillId="0" borderId="11" xfId="4" applyNumberFormat="1" applyFont="1" applyBorder="1" applyAlignment="1">
      <alignment horizontal="right" vertical="center" wrapText="1" indent="2"/>
    </xf>
    <xf numFmtId="0" fontId="70" fillId="0" borderId="9" xfId="4" applyFont="1" applyBorder="1" applyAlignment="1">
      <alignment horizontal="right"/>
    </xf>
    <xf numFmtId="3" fontId="70" fillId="0" borderId="38" xfId="4" applyNumberFormat="1" applyFont="1" applyBorder="1" applyAlignment="1">
      <alignment horizontal="right" vertical="center" wrapText="1" indent="2"/>
    </xf>
    <xf numFmtId="3" fontId="54" fillId="0" borderId="10" xfId="4" applyNumberFormat="1" applyFont="1" applyBorder="1" applyAlignment="1">
      <alignment horizontal="right" indent="2"/>
    </xf>
    <xf numFmtId="0" fontId="5" fillId="0" borderId="11" xfId="4" applyFont="1" applyBorder="1" applyAlignment="1">
      <alignment horizontal="right"/>
    </xf>
    <xf numFmtId="3" fontId="85" fillId="0" borderId="10" xfId="4" applyNumberFormat="1" applyFont="1" applyBorder="1" applyAlignment="1">
      <alignment horizontal="right" indent="2"/>
    </xf>
    <xf numFmtId="3" fontId="38" fillId="4" borderId="41" xfId="4" applyNumberFormat="1" applyFont="1" applyFill="1" applyBorder="1" applyAlignment="1">
      <alignment horizontal="right" indent="2"/>
    </xf>
    <xf numFmtId="0" fontId="2" fillId="0" borderId="38" xfId="0" applyFont="1" applyBorder="1" applyAlignment="1">
      <alignment horizontal="center"/>
    </xf>
    <xf numFmtId="0" fontId="6" fillId="0" borderId="3" xfId="0" applyFont="1" applyBorder="1"/>
    <xf numFmtId="0" fontId="0" fillId="4" borderId="11" xfId="0" applyFill="1" applyBorder="1" applyAlignment="1">
      <alignment horizontal="right" indent="2"/>
    </xf>
    <xf numFmtId="4" fontId="3" fillId="4" borderId="64" xfId="0" applyNumberFormat="1" applyFont="1" applyFill="1" applyBorder="1" applyAlignment="1">
      <alignment horizontal="right" indent="2"/>
    </xf>
    <xf numFmtId="0" fontId="16" fillId="0" borderId="0" xfId="0" applyFont="1" applyAlignment="1">
      <alignment horizontal="right" wrapText="1"/>
    </xf>
    <xf numFmtId="166" fontId="0" fillId="42" borderId="11" xfId="0" applyNumberFormat="1" applyFill="1" applyBorder="1" applyAlignment="1">
      <alignment horizontal="right" indent="2"/>
    </xf>
    <xf numFmtId="0" fontId="191" fillId="4" borderId="6" xfId="0" applyFont="1" applyFill="1" applyBorder="1" applyAlignment="1">
      <alignment horizontal="right"/>
    </xf>
    <xf numFmtId="0" fontId="0" fillId="4" borderId="0" xfId="0" applyFill="1"/>
    <xf numFmtId="3" fontId="12" fillId="0" borderId="30" xfId="0" applyNumberFormat="1" applyFont="1" applyBorder="1" applyAlignment="1">
      <alignment horizontal="right" indent="2"/>
    </xf>
    <xf numFmtId="3" fontId="0" fillId="0" borderId="91" xfId="0" applyNumberFormat="1" applyBorder="1" applyAlignment="1">
      <alignment horizontal="right" vertical="center" wrapText="1" indent="2"/>
    </xf>
    <xf numFmtId="0" fontId="6" fillId="30" borderId="0" xfId="0" applyFont="1" applyFill="1" applyAlignment="1">
      <alignment horizontal="center"/>
    </xf>
    <xf numFmtId="0" fontId="46" fillId="0" borderId="0" xfId="0" applyFont="1" applyAlignment="1">
      <alignment horizontal="left"/>
    </xf>
    <xf numFmtId="166" fontId="12" fillId="6" borderId="30" xfId="0" applyNumberFormat="1" applyFont="1" applyFill="1" applyBorder="1" applyAlignment="1">
      <alignment horizontal="right" indent="2"/>
    </xf>
    <xf numFmtId="166" fontId="53" fillId="6" borderId="6" xfId="0" applyNumberFormat="1" applyFont="1" applyFill="1" applyBorder="1" applyAlignment="1">
      <alignment horizontal="right"/>
    </xf>
    <xf numFmtId="166" fontId="53" fillId="6" borderId="8" xfId="0" applyNumberFormat="1" applyFont="1" applyFill="1" applyBorder="1" applyAlignment="1">
      <alignment horizontal="right"/>
    </xf>
    <xf numFmtId="166" fontId="21" fillId="6" borderId="30" xfId="0" applyNumberFormat="1" applyFont="1" applyFill="1" applyBorder="1" applyAlignment="1">
      <alignment horizontal="right" indent="2"/>
    </xf>
    <xf numFmtId="166" fontId="62" fillId="6" borderId="8" xfId="0" applyNumberFormat="1" applyFont="1" applyFill="1" applyBorder="1" applyAlignment="1">
      <alignment horizontal="right"/>
    </xf>
    <xf numFmtId="166" fontId="53" fillId="6" borderId="30" xfId="0" applyNumberFormat="1" applyFont="1" applyFill="1" applyBorder="1" applyAlignment="1">
      <alignment horizontal="right" indent="2"/>
    </xf>
    <xf numFmtId="166" fontId="53" fillId="6" borderId="9" xfId="0" applyNumberFormat="1" applyFont="1" applyFill="1" applyBorder="1" applyAlignment="1">
      <alignment horizontal="right"/>
    </xf>
    <xf numFmtId="166" fontId="5" fillId="6" borderId="36" xfId="0" applyNumberFormat="1" applyFont="1" applyFill="1" applyBorder="1" applyAlignment="1">
      <alignment horizontal="right" indent="2"/>
    </xf>
    <xf numFmtId="166" fontId="83" fillId="6" borderId="41" xfId="0" applyNumberFormat="1" applyFont="1" applyFill="1" applyBorder="1" applyAlignment="1">
      <alignment horizontal="right"/>
    </xf>
    <xf numFmtId="166" fontId="53" fillId="4" borderId="6" xfId="0" applyNumberFormat="1" applyFont="1" applyFill="1" applyBorder="1" applyAlignment="1">
      <alignment horizontal="right"/>
    </xf>
    <xf numFmtId="166" fontId="83" fillId="4" borderId="24" xfId="0" applyNumberFormat="1" applyFont="1" applyFill="1" applyBorder="1" applyAlignment="1">
      <alignment horizontal="right" indent="2"/>
    </xf>
    <xf numFmtId="166" fontId="83" fillId="4" borderId="36" xfId="0" applyNumberFormat="1" applyFont="1" applyFill="1" applyBorder="1" applyAlignment="1">
      <alignment horizontal="right" indent="2"/>
    </xf>
    <xf numFmtId="166" fontId="53" fillId="4" borderId="41" xfId="0" applyNumberFormat="1" applyFont="1" applyFill="1" applyBorder="1" applyAlignment="1">
      <alignment horizontal="right"/>
    </xf>
    <xf numFmtId="166" fontId="12" fillId="4" borderId="6" xfId="0" applyNumberFormat="1" applyFont="1" applyFill="1" applyBorder="1" applyAlignment="1">
      <alignment horizontal="right"/>
    </xf>
    <xf numFmtId="3" fontId="83" fillId="18" borderId="18" xfId="0" applyNumberFormat="1" applyFont="1" applyFill="1" applyBorder="1" applyAlignment="1">
      <alignment horizontal="right" indent="2"/>
    </xf>
    <xf numFmtId="0" fontId="120" fillId="0" borderId="0" xfId="3" applyFont="1" applyBorder="1" applyAlignment="1">
      <alignment horizontal="center" vertical="center" wrapText="1"/>
    </xf>
    <xf numFmtId="0" fontId="38" fillId="0" borderId="0" xfId="0" applyFont="1" applyAlignment="1">
      <alignment horizontal="left"/>
    </xf>
    <xf numFmtId="4" fontId="5" fillId="4" borderId="47" xfId="0" applyNumberFormat="1" applyFont="1" applyFill="1" applyBorder="1" applyAlignment="1">
      <alignment horizontal="right" indent="2"/>
    </xf>
    <xf numFmtId="165" fontId="36" fillId="0" borderId="0" xfId="2" applyNumberFormat="1" applyFont="1" applyBorder="1" applyAlignment="1">
      <alignment horizontal="right" indent="2"/>
    </xf>
    <xf numFmtId="165" fontId="85" fillId="0" borderId="0" xfId="2" applyNumberFormat="1" applyFont="1" applyBorder="1" applyAlignment="1">
      <alignment horizontal="right" indent="2"/>
    </xf>
    <xf numFmtId="3" fontId="53" fillId="6" borderId="9" xfId="0" applyNumberFormat="1" applyFont="1" applyFill="1" applyBorder="1" applyAlignment="1">
      <alignment horizontal="right"/>
    </xf>
    <xf numFmtId="3" fontId="83" fillId="4" borderId="0" xfId="0" applyNumberFormat="1" applyFont="1" applyFill="1" applyAlignment="1">
      <alignment horizontal="right" indent="2"/>
    </xf>
    <xf numFmtId="0" fontId="29" fillId="0" borderId="0" xfId="3" applyFont="1" applyBorder="1" applyAlignment="1">
      <alignment horizontal="center" vertical="center" wrapText="1"/>
    </xf>
    <xf numFmtId="0" fontId="122" fillId="0" borderId="44" xfId="0" applyFont="1" applyBorder="1" applyAlignment="1">
      <alignment vertical="center"/>
    </xf>
    <xf numFmtId="0" fontId="192" fillId="0" borderId="0" xfId="0" applyFont="1" applyAlignment="1">
      <alignment horizontal="center" vertical="center"/>
    </xf>
    <xf numFmtId="0" fontId="122" fillId="0" borderId="4" xfId="0" applyFont="1" applyBorder="1" applyAlignment="1">
      <alignment horizontal="center" vertical="center" wrapText="1"/>
    </xf>
    <xf numFmtId="0" fontId="122" fillId="17" borderId="4" xfId="0" applyFont="1" applyFill="1" applyBorder="1" applyAlignment="1">
      <alignment horizontal="center" vertical="center"/>
    </xf>
    <xf numFmtId="0" fontId="122" fillId="0" borderId="0" xfId="0" applyFont="1" applyAlignment="1">
      <alignment horizontal="center" vertical="center"/>
    </xf>
    <xf numFmtId="0" fontId="122" fillId="4" borderId="4" xfId="0" quotePrefix="1" applyFont="1" applyFill="1" applyBorder="1" applyAlignment="1">
      <alignment horizontal="center" vertical="center"/>
    </xf>
    <xf numFmtId="0" fontId="122" fillId="0" borderId="4" xfId="0" applyFont="1" applyBorder="1" applyAlignment="1">
      <alignment horizontal="center" vertical="center"/>
    </xf>
    <xf numFmtId="0" fontId="122" fillId="0" borderId="0" xfId="0" applyFont="1" applyAlignment="1">
      <alignment vertical="center"/>
    </xf>
    <xf numFmtId="0" fontId="122" fillId="0" borderId="15" xfId="0" applyFont="1" applyBorder="1" applyAlignment="1">
      <alignment vertical="center" wrapText="1"/>
    </xf>
    <xf numFmtId="0" fontId="2" fillId="0" borderId="13" xfId="0" applyFont="1" applyBorder="1" applyAlignment="1">
      <alignment vertical="center" wrapText="1"/>
    </xf>
    <xf numFmtId="9" fontId="122" fillId="4" borderId="9" xfId="2" applyFont="1" applyFill="1" applyBorder="1" applyAlignment="1">
      <alignment horizontal="right" vertical="center"/>
    </xf>
    <xf numFmtId="3" fontId="2" fillId="4" borderId="28" xfId="0" applyNumberFormat="1" applyFont="1" applyFill="1" applyBorder="1" applyAlignment="1">
      <alignment horizontal="right" vertical="center"/>
    </xf>
    <xf numFmtId="9" fontId="47" fillId="4" borderId="9" xfId="2" applyFont="1" applyFill="1" applyBorder="1" applyAlignment="1">
      <alignment horizontal="right" vertical="center"/>
    </xf>
    <xf numFmtId="183" fontId="0" fillId="0" borderId="53" xfId="0" applyNumberFormat="1" applyBorder="1" applyAlignment="1">
      <alignment vertical="center"/>
    </xf>
    <xf numFmtId="9" fontId="122" fillId="0" borderId="42" xfId="2" applyFont="1" applyBorder="1" applyAlignment="1">
      <alignment horizontal="right" vertical="center"/>
    </xf>
    <xf numFmtId="3" fontId="122" fillId="0" borderId="44" xfId="0" applyNumberFormat="1" applyFont="1" applyBorder="1" applyAlignment="1">
      <alignment horizontal="right" vertical="center"/>
    </xf>
    <xf numFmtId="9" fontId="122" fillId="4" borderId="6" xfId="2" applyFont="1" applyFill="1" applyBorder="1" applyAlignment="1">
      <alignment horizontal="right" vertical="center"/>
    </xf>
    <xf numFmtId="9" fontId="122" fillId="4" borderId="8" xfId="2" applyFont="1" applyFill="1" applyBorder="1" applyAlignment="1">
      <alignment horizontal="right" vertical="center"/>
    </xf>
    <xf numFmtId="9" fontId="122" fillId="4" borderId="41" xfId="2" applyFont="1" applyFill="1" applyBorder="1" applyAlignment="1">
      <alignment horizontal="right" vertical="center"/>
    </xf>
    <xf numFmtId="0" fontId="122" fillId="0" borderId="44" xfId="0" applyFont="1" applyBorder="1" applyAlignment="1">
      <alignment horizontal="right" vertical="center" wrapText="1"/>
    </xf>
    <xf numFmtId="3" fontId="122" fillId="4" borderId="8" xfId="0" applyNumberFormat="1" applyFont="1" applyFill="1" applyBorder="1" applyAlignment="1">
      <alignment horizontal="right" vertical="center"/>
    </xf>
    <xf numFmtId="3" fontId="122" fillId="4" borderId="9" xfId="0" applyNumberFormat="1" applyFont="1" applyFill="1" applyBorder="1" applyAlignment="1">
      <alignment horizontal="right" vertical="center"/>
    </xf>
    <xf numFmtId="165" fontId="13" fillId="0" borderId="42" xfId="2" applyNumberFormat="1" applyFont="1" applyFill="1" applyBorder="1" applyAlignment="1">
      <alignment horizontal="right" vertical="center"/>
    </xf>
    <xf numFmtId="3" fontId="122" fillId="4" borderId="41" xfId="0" applyNumberFormat="1" applyFont="1" applyFill="1" applyBorder="1" applyAlignment="1">
      <alignment horizontal="right" vertical="center"/>
    </xf>
    <xf numFmtId="3" fontId="122" fillId="0" borderId="0" xfId="0" applyNumberFormat="1" applyFont="1" applyAlignment="1">
      <alignment horizontal="right" vertical="center"/>
    </xf>
    <xf numFmtId="0" fontId="49" fillId="4" borderId="4" xfId="0" applyFont="1" applyFill="1" applyBorder="1" applyAlignment="1">
      <alignment horizontal="center" vertical="center" wrapText="1"/>
    </xf>
    <xf numFmtId="3" fontId="122" fillId="4" borderId="6" xfId="0" applyNumberFormat="1" applyFont="1" applyFill="1" applyBorder="1" applyAlignment="1">
      <alignment horizontal="right" vertical="center"/>
    </xf>
    <xf numFmtId="3" fontId="47" fillId="4" borderId="6" xfId="0" applyNumberFormat="1" applyFont="1" applyFill="1" applyBorder="1" applyAlignment="1">
      <alignment horizontal="right" vertical="center"/>
    </xf>
    <xf numFmtId="3" fontId="47" fillId="4" borderId="42" xfId="0" applyNumberFormat="1" applyFont="1" applyFill="1" applyBorder="1" applyAlignment="1">
      <alignment horizontal="right" vertical="center"/>
    </xf>
    <xf numFmtId="9" fontId="2" fillId="0" borderId="44" xfId="2" applyFont="1" applyFill="1" applyBorder="1" applyAlignment="1">
      <alignment horizontal="right" vertical="center"/>
    </xf>
    <xf numFmtId="9" fontId="47" fillId="0" borderId="44" xfId="2" applyFont="1" applyBorder="1" applyAlignment="1">
      <alignment horizontal="right" vertical="center"/>
    </xf>
    <xf numFmtId="3" fontId="122" fillId="0" borderId="16" xfId="0" applyNumberFormat="1" applyFont="1" applyBorder="1" applyAlignment="1">
      <alignment horizontal="right" vertical="center"/>
    </xf>
    <xf numFmtId="3" fontId="122" fillId="4" borderId="22" xfId="0" applyNumberFormat="1" applyFont="1" applyFill="1" applyBorder="1" applyAlignment="1">
      <alignment horizontal="right" vertical="center"/>
    </xf>
    <xf numFmtId="3" fontId="122" fillId="4" borderId="28" xfId="0" applyNumberFormat="1" applyFont="1" applyFill="1" applyBorder="1" applyAlignment="1">
      <alignment horizontal="right" vertical="center"/>
    </xf>
    <xf numFmtId="165" fontId="20" fillId="0" borderId="42" xfId="2" applyNumberFormat="1" applyFont="1" applyFill="1" applyBorder="1" applyAlignment="1">
      <alignment horizontal="right" vertical="center"/>
    </xf>
    <xf numFmtId="165" fontId="59" fillId="0" borderId="34" xfId="2" applyNumberFormat="1" applyFont="1" applyBorder="1" applyAlignment="1">
      <alignment horizontal="right" vertical="center"/>
    </xf>
    <xf numFmtId="165" fontId="59" fillId="0" borderId="41" xfId="2" applyNumberFormat="1" applyFont="1" applyBorder="1" applyAlignment="1">
      <alignment horizontal="right" vertical="center"/>
    </xf>
    <xf numFmtId="3" fontId="122" fillId="4" borderId="15" xfId="0" applyNumberFormat="1" applyFont="1" applyFill="1" applyBorder="1" applyAlignment="1">
      <alignment horizontal="right" vertical="center"/>
    </xf>
    <xf numFmtId="3" fontId="193" fillId="4" borderId="8" xfId="0" applyNumberFormat="1" applyFont="1" applyFill="1" applyBorder="1" applyAlignment="1">
      <alignment horizontal="right" vertical="center"/>
    </xf>
    <xf numFmtId="166" fontId="59" fillId="0" borderId="0" xfId="0" applyNumberFormat="1" applyFont="1" applyAlignment="1">
      <alignment horizontal="right" vertical="center"/>
    </xf>
    <xf numFmtId="3" fontId="122" fillId="0" borderId="0" xfId="0" applyNumberFormat="1" applyFont="1" applyAlignment="1">
      <alignment vertical="center"/>
    </xf>
    <xf numFmtId="165" fontId="25" fillId="0" borderId="0" xfId="2" applyNumberFormat="1" applyFont="1" applyBorder="1" applyAlignment="1">
      <alignment horizontal="right" vertical="center"/>
    </xf>
    <xf numFmtId="10" fontId="25" fillId="0" borderId="18" xfId="2" applyNumberFormat="1" applyFont="1" applyBorder="1" applyAlignment="1">
      <alignment horizontal="right" vertical="center"/>
    </xf>
    <xf numFmtId="3" fontId="13" fillId="9" borderId="6" xfId="2" applyNumberFormat="1" applyFont="1" applyFill="1" applyBorder="1" applyAlignment="1">
      <alignment horizontal="right" vertical="center"/>
    </xf>
    <xf numFmtId="9" fontId="122" fillId="9" borderId="8" xfId="2" applyFont="1" applyFill="1" applyBorder="1" applyAlignment="1">
      <alignment vertical="center"/>
    </xf>
    <xf numFmtId="165" fontId="122" fillId="9" borderId="8" xfId="2" applyNumberFormat="1" applyFont="1" applyFill="1" applyBorder="1" applyAlignment="1">
      <alignment vertical="center"/>
    </xf>
    <xf numFmtId="183" fontId="0" fillId="0" borderId="0" xfId="1" applyNumberFormat="1" applyFont="1" applyBorder="1" applyAlignment="1">
      <alignment vertical="center"/>
    </xf>
    <xf numFmtId="183" fontId="122" fillId="9" borderId="8" xfId="1" applyNumberFormat="1" applyFont="1" applyFill="1" applyBorder="1" applyAlignment="1">
      <alignment vertical="center"/>
    </xf>
    <xf numFmtId="165" fontId="122" fillId="9" borderId="41" xfId="2" applyNumberFormat="1" applyFont="1" applyFill="1" applyBorder="1" applyAlignment="1">
      <alignment vertical="center"/>
    </xf>
    <xf numFmtId="165" fontId="13" fillId="6" borderId="7" xfId="2" applyNumberFormat="1" applyFont="1" applyFill="1" applyBorder="1" applyAlignment="1">
      <alignment horizontal="right" vertical="center"/>
    </xf>
    <xf numFmtId="0" fontId="49" fillId="0" borderId="0" xfId="0" applyFont="1" applyAlignment="1">
      <alignment horizontal="center" vertical="center"/>
    </xf>
    <xf numFmtId="0" fontId="49" fillId="0" borderId="0" xfId="0" applyFont="1" applyAlignment="1">
      <alignment vertical="center"/>
    </xf>
    <xf numFmtId="0" fontId="49" fillId="4" borderId="0" xfId="0" applyFont="1" applyFill="1" applyAlignment="1">
      <alignment horizontal="left" vertical="center" wrapText="1"/>
    </xf>
    <xf numFmtId="3" fontId="2" fillId="6" borderId="51" xfId="0" applyNumberFormat="1" applyFont="1" applyFill="1" applyBorder="1" applyAlignment="1">
      <alignment horizontal="right" indent="2"/>
    </xf>
    <xf numFmtId="3" fontId="2" fillId="6" borderId="21" xfId="0" applyNumberFormat="1" applyFont="1" applyFill="1" applyBorder="1" applyAlignment="1">
      <alignment horizontal="right" indent="2"/>
    </xf>
    <xf numFmtId="3" fontId="12" fillId="0" borderId="52" xfId="0" applyNumberFormat="1" applyFont="1" applyBorder="1" applyAlignment="1">
      <alignment horizontal="left"/>
    </xf>
    <xf numFmtId="165" fontId="12" fillId="0" borderId="0" xfId="2" applyNumberFormat="1" applyFont="1" applyBorder="1" applyAlignment="1">
      <alignment horizontal="left"/>
    </xf>
    <xf numFmtId="3" fontId="0" fillId="4" borderId="52" xfId="0" applyNumberFormat="1" applyFill="1" applyBorder="1" applyAlignment="1">
      <alignment horizontal="right" vertical="center" indent="2"/>
    </xf>
    <xf numFmtId="3" fontId="12" fillId="0" borderId="42" xfId="0" applyNumberFormat="1" applyFont="1" applyBorder="1" applyAlignment="1">
      <alignment horizontal="left"/>
    </xf>
    <xf numFmtId="174" fontId="1" fillId="4" borderId="30" xfId="1" applyNumberFormat="1" applyFont="1" applyFill="1" applyBorder="1" applyAlignment="1">
      <alignment horizontal="right" indent="2"/>
    </xf>
    <xf numFmtId="3" fontId="2" fillId="0" borderId="72" xfId="0" applyNumberFormat="1" applyFont="1" applyBorder="1" applyAlignment="1">
      <alignment horizontal="right" indent="2"/>
    </xf>
    <xf numFmtId="3" fontId="2" fillId="0" borderId="74" xfId="0" applyNumberFormat="1" applyFont="1" applyBorder="1" applyAlignment="1">
      <alignment horizontal="right" indent="2"/>
    </xf>
    <xf numFmtId="10" fontId="0" fillId="0" borderId="0" xfId="2" applyNumberFormat="1" applyFont="1" applyBorder="1" applyAlignment="1">
      <alignment horizontal="right" indent="2"/>
    </xf>
    <xf numFmtId="165" fontId="20" fillId="0" borderId="36" xfId="2" applyNumberFormat="1" applyFont="1" applyFill="1" applyBorder="1" applyAlignment="1">
      <alignment horizontal="right" indent="2"/>
    </xf>
    <xf numFmtId="165" fontId="87" fillId="0" borderId="66" xfId="2" applyNumberFormat="1" applyFont="1" applyFill="1" applyBorder="1" applyAlignment="1">
      <alignment horizontal="right" indent="2"/>
    </xf>
    <xf numFmtId="165" fontId="20" fillId="0" borderId="42" xfId="2" applyNumberFormat="1" applyFont="1" applyFill="1" applyBorder="1" applyAlignment="1">
      <alignment horizontal="left"/>
    </xf>
    <xf numFmtId="165" fontId="87" fillId="0" borderId="36" xfId="2" applyNumberFormat="1" applyFont="1" applyFill="1" applyBorder="1" applyAlignment="1">
      <alignment horizontal="right" indent="2"/>
    </xf>
    <xf numFmtId="165" fontId="87" fillId="0" borderId="38" xfId="2" applyNumberFormat="1" applyFont="1" applyFill="1" applyBorder="1" applyAlignment="1">
      <alignment horizontal="right" indent="2"/>
    </xf>
    <xf numFmtId="3" fontId="9" fillId="0" borderId="0" xfId="2" applyNumberFormat="1" applyFont="1" applyBorder="1" applyAlignment="1">
      <alignment horizontal="right" indent="2"/>
    </xf>
    <xf numFmtId="165" fontId="0" fillId="0" borderId="0" xfId="2" applyNumberFormat="1" applyFont="1" applyBorder="1"/>
    <xf numFmtId="3" fontId="86" fillId="4" borderId="0" xfId="0" applyNumberFormat="1" applyFont="1" applyFill="1" applyAlignment="1">
      <alignment horizontal="right" indent="2"/>
    </xf>
    <xf numFmtId="165" fontId="102" fillId="0" borderId="0" xfId="2" applyNumberFormat="1" applyFont="1" applyBorder="1" applyAlignment="1">
      <alignment horizontal="left"/>
    </xf>
    <xf numFmtId="165" fontId="50" fillId="0" borderId="0" xfId="2" applyNumberFormat="1" applyFont="1" applyBorder="1" applyAlignment="1">
      <alignment horizontal="left"/>
    </xf>
    <xf numFmtId="3" fontId="2" fillId="4" borderId="32" xfId="0" applyNumberFormat="1" applyFont="1" applyFill="1" applyBorder="1" applyAlignment="1">
      <alignment horizontal="right" indent="2"/>
    </xf>
    <xf numFmtId="0" fontId="2" fillId="0" borderId="11" xfId="0" applyFont="1" applyBorder="1" applyAlignment="1">
      <alignment horizontal="right" vertical="center"/>
    </xf>
    <xf numFmtId="165" fontId="87" fillId="0" borderId="42" xfId="2" applyNumberFormat="1" applyFont="1" applyFill="1" applyBorder="1" applyAlignment="1">
      <alignment horizontal="right" indent="2"/>
    </xf>
    <xf numFmtId="3" fontId="23" fillId="6" borderId="0" xfId="0" applyNumberFormat="1" applyFont="1" applyFill="1" applyAlignment="1">
      <alignment horizontal="right" indent="2"/>
    </xf>
    <xf numFmtId="3" fontId="22" fillId="6" borderId="0" xfId="0" applyNumberFormat="1" applyFont="1" applyFill="1" applyAlignment="1">
      <alignment horizontal="right" indent="2"/>
    </xf>
    <xf numFmtId="165" fontId="0" fillId="0" borderId="0" xfId="2" applyNumberFormat="1" applyFont="1" applyFill="1" applyAlignment="1">
      <alignment vertical="center"/>
    </xf>
    <xf numFmtId="165" fontId="6" fillId="0" borderId="0" xfId="2" applyNumberFormat="1" applyFont="1" applyFill="1" applyAlignment="1">
      <alignment horizontal="center" vertical="center"/>
    </xf>
    <xf numFmtId="165" fontId="3" fillId="0" borderId="11" xfId="2" applyNumberFormat="1" applyFont="1" applyFill="1" applyBorder="1" applyAlignment="1">
      <alignment horizontal="center" vertical="center" wrapText="1"/>
    </xf>
    <xf numFmtId="165" fontId="3" fillId="0" borderId="11" xfId="2" applyNumberFormat="1" applyFont="1" applyFill="1" applyBorder="1" applyAlignment="1">
      <alignment horizontal="center" vertical="center"/>
    </xf>
    <xf numFmtId="165" fontId="0" fillId="0" borderId="0" xfId="2" applyNumberFormat="1" applyFont="1" applyFill="1" applyAlignment="1">
      <alignment horizontal="center" vertical="center"/>
    </xf>
    <xf numFmtId="165" fontId="0" fillId="0" borderId="4" xfId="2" quotePrefix="1" applyNumberFormat="1" applyFont="1" applyFill="1" applyBorder="1" applyAlignment="1">
      <alignment horizontal="center" vertical="center"/>
    </xf>
    <xf numFmtId="165" fontId="0" fillId="0" borderId="4" xfId="2" applyNumberFormat="1" applyFont="1" applyFill="1" applyBorder="1" applyAlignment="1">
      <alignment horizontal="center" vertical="center"/>
    </xf>
    <xf numFmtId="165" fontId="0" fillId="0" borderId="4" xfId="2" applyNumberFormat="1" applyFont="1" applyFill="1" applyBorder="1" applyAlignment="1">
      <alignment vertical="center"/>
    </xf>
    <xf numFmtId="165" fontId="12" fillId="0" borderId="4" xfId="2" applyNumberFormat="1" applyFont="1" applyFill="1" applyBorder="1" applyAlignment="1">
      <alignment horizontal="center" vertical="center" wrapText="1"/>
    </xf>
    <xf numFmtId="0" fontId="4" fillId="0" borderId="11" xfId="3" applyFill="1" applyBorder="1" applyAlignment="1">
      <alignment horizontal="center" vertical="center" wrapText="1"/>
    </xf>
    <xf numFmtId="43" fontId="0" fillId="0" borderId="12" xfId="5" applyFont="1" applyFill="1" applyBorder="1" applyAlignment="1">
      <alignment vertical="center" wrapText="1"/>
    </xf>
    <xf numFmtId="43" fontId="0" fillId="0" borderId="15" xfId="5" applyFont="1" applyFill="1" applyBorder="1" applyAlignment="1">
      <alignment vertical="center" wrapText="1"/>
    </xf>
    <xf numFmtId="165" fontId="0" fillId="0" borderId="16" xfId="2" applyNumberFormat="1" applyFont="1" applyFill="1" applyBorder="1" applyAlignment="1">
      <alignment vertical="center" wrapText="1"/>
    </xf>
    <xf numFmtId="43" fontId="0" fillId="0" borderId="13" xfId="5" applyFont="1" applyFill="1" applyBorder="1" applyAlignment="1">
      <alignment horizontal="center" vertical="center" wrapText="1"/>
    </xf>
    <xf numFmtId="43" fontId="0" fillId="0" borderId="11" xfId="5" applyFont="1" applyFill="1" applyBorder="1" applyAlignment="1">
      <alignment vertical="center" wrapText="1"/>
    </xf>
    <xf numFmtId="165" fontId="145" fillId="0" borderId="11" xfId="2" applyNumberFormat="1" applyFont="1" applyFill="1" applyBorder="1" applyAlignment="1">
      <alignment horizontal="right" vertical="center"/>
    </xf>
    <xf numFmtId="165" fontId="0" fillId="0" borderId="11" xfId="2" applyNumberFormat="1" applyFont="1" applyFill="1" applyBorder="1" applyAlignment="1">
      <alignment horizontal="right" vertical="center"/>
    </xf>
    <xf numFmtId="165" fontId="0" fillId="0" borderId="38" xfId="2" applyNumberFormat="1" applyFont="1" applyFill="1" applyBorder="1" applyAlignment="1">
      <alignment horizontal="right" vertical="center"/>
    </xf>
    <xf numFmtId="165" fontId="0" fillId="0" borderId="16" xfId="2" applyNumberFormat="1" applyFont="1" applyFill="1" applyBorder="1" applyAlignment="1">
      <alignment horizontal="right" vertical="center"/>
    </xf>
    <xf numFmtId="165" fontId="0" fillId="0" borderId="11" xfId="2" applyNumberFormat="1" applyFont="1" applyFill="1" applyBorder="1" applyAlignment="1">
      <alignment horizontal="right" vertical="center" wrapText="1"/>
    </xf>
    <xf numFmtId="165" fontId="0" fillId="0" borderId="16" xfId="2" applyNumberFormat="1" applyFont="1" applyFill="1" applyBorder="1" applyAlignment="1">
      <alignment horizontal="right" vertical="center" wrapText="1"/>
    </xf>
    <xf numFmtId="165" fontId="13" fillId="0" borderId="41" xfId="2" applyNumberFormat="1" applyFont="1" applyFill="1" applyBorder="1" applyAlignment="1">
      <alignment horizontal="right" vertical="center"/>
    </xf>
    <xf numFmtId="165" fontId="13" fillId="0" borderId="9" xfId="2" applyNumberFormat="1" applyFont="1" applyFill="1" applyBorder="1" applyAlignment="1">
      <alignment horizontal="right" vertical="center"/>
    </xf>
    <xf numFmtId="165" fontId="12" fillId="0" borderId="3" xfId="2" applyNumberFormat="1" applyFont="1" applyFill="1" applyBorder="1" applyAlignment="1">
      <alignment horizontal="center" vertical="center" wrapText="1"/>
    </xf>
    <xf numFmtId="165" fontId="2" fillId="0" borderId="11" xfId="2" applyNumberFormat="1" applyFont="1" applyFill="1" applyBorder="1" applyAlignment="1">
      <alignment horizontal="right" vertical="center"/>
    </xf>
    <xf numFmtId="165" fontId="20" fillId="0" borderId="41" xfId="2" applyNumberFormat="1" applyFont="1" applyFill="1" applyBorder="1" applyAlignment="1">
      <alignment horizontal="right" vertical="center"/>
    </xf>
    <xf numFmtId="165" fontId="20" fillId="0" borderId="38" xfId="2" applyNumberFormat="1" applyFont="1" applyFill="1" applyBorder="1" applyAlignment="1">
      <alignment horizontal="right" vertical="center"/>
    </xf>
    <xf numFmtId="165" fontId="23" fillId="0" borderId="11" xfId="2" applyNumberFormat="1" applyFont="1" applyFill="1" applyBorder="1" applyAlignment="1">
      <alignment horizontal="right" vertical="center"/>
    </xf>
    <xf numFmtId="165" fontId="18" fillId="0" borderId="11" xfId="2" applyNumberFormat="1" applyFont="1" applyFill="1" applyBorder="1" applyAlignment="1">
      <alignment horizontal="right" vertical="center"/>
    </xf>
    <xf numFmtId="165" fontId="24" fillId="0" borderId="11" xfId="2" applyNumberFormat="1" applyFont="1" applyFill="1" applyBorder="1" applyAlignment="1">
      <alignment horizontal="right" vertical="center"/>
    </xf>
    <xf numFmtId="165" fontId="15" fillId="0" borderId="11" xfId="2" applyNumberFormat="1" applyFont="1" applyFill="1" applyBorder="1" applyAlignment="1">
      <alignment horizontal="right" vertical="center"/>
    </xf>
    <xf numFmtId="165" fontId="0" fillId="0" borderId="38" xfId="2" applyNumberFormat="1" applyFont="1" applyFill="1" applyBorder="1" applyAlignment="1">
      <alignment vertical="center"/>
    </xf>
    <xf numFmtId="165" fontId="12" fillId="0" borderId="0" xfId="2" applyNumberFormat="1" applyFont="1" applyFill="1" applyAlignment="1">
      <alignment horizontal="center" vertical="center"/>
    </xf>
    <xf numFmtId="165" fontId="12" fillId="0" borderId="0" xfId="2" applyNumberFormat="1" applyFont="1" applyFill="1" applyAlignment="1">
      <alignment vertical="center"/>
    </xf>
    <xf numFmtId="165" fontId="12" fillId="0" borderId="0" xfId="2" applyNumberFormat="1" applyFont="1" applyFill="1" applyAlignment="1">
      <alignment horizontal="left" vertical="center" wrapText="1"/>
    </xf>
    <xf numFmtId="0" fontId="0" fillId="22" borderId="15" xfId="0" applyFill="1" applyBorder="1" applyAlignment="1">
      <alignment vertical="center" wrapText="1"/>
    </xf>
    <xf numFmtId="165" fontId="10" fillId="0" borderId="11" xfId="2" applyNumberFormat="1" applyFont="1" applyFill="1" applyBorder="1" applyAlignment="1"/>
    <xf numFmtId="165" fontId="10" fillId="0" borderId="11" xfId="0" applyNumberFormat="1" applyFont="1" applyBorder="1"/>
    <xf numFmtId="3" fontId="0" fillId="22" borderId="39" xfId="0" applyNumberFormat="1" applyFill="1" applyBorder="1" applyAlignment="1">
      <alignment horizontal="right" indent="2"/>
    </xf>
    <xf numFmtId="165" fontId="10" fillId="0" borderId="38" xfId="0" applyNumberFormat="1" applyFont="1" applyBorder="1"/>
    <xf numFmtId="3" fontId="4" fillId="0" borderId="18" xfId="3" applyNumberFormat="1" applyBorder="1" applyAlignment="1">
      <alignment horizontal="left" wrapText="1"/>
    </xf>
    <xf numFmtId="165" fontId="10" fillId="0" borderId="62" xfId="2" applyNumberFormat="1" applyFont="1" applyFill="1" applyBorder="1" applyAlignment="1"/>
    <xf numFmtId="165" fontId="10" fillId="0" borderId="28" xfId="2" applyNumberFormat="1" applyFont="1" applyFill="1" applyBorder="1" applyAlignment="1"/>
    <xf numFmtId="165" fontId="10" fillId="0" borderId="38" xfId="2" applyNumberFormat="1" applyFont="1" applyFill="1" applyBorder="1" applyAlignment="1"/>
    <xf numFmtId="165" fontId="55" fillId="0" borderId="34" xfId="2" applyNumberFormat="1" applyFont="1" applyFill="1" applyBorder="1" applyAlignment="1">
      <alignment horizontal="right" indent="2"/>
    </xf>
    <xf numFmtId="165" fontId="1" fillId="0" borderId="11" xfId="2" applyNumberFormat="1" applyFont="1" applyBorder="1"/>
    <xf numFmtId="9" fontId="1" fillId="0" borderId="0" xfId="2" applyFont="1"/>
    <xf numFmtId="0" fontId="194" fillId="0" borderId="0" xfId="0" applyFont="1"/>
    <xf numFmtId="174" fontId="25" fillId="0" borderId="0" xfId="1" applyNumberFormat="1" applyFont="1" applyFill="1" applyBorder="1" applyAlignment="1">
      <alignment horizontal="right" indent="2"/>
    </xf>
    <xf numFmtId="3" fontId="21" fillId="0" borderId="19" xfId="2" applyNumberFormat="1" applyFont="1" applyFill="1" applyBorder="1" applyAlignment="1">
      <alignment horizontal="right" indent="2"/>
    </xf>
    <xf numFmtId="165" fontId="49" fillId="32" borderId="42" xfId="2" applyNumberFormat="1" applyFont="1" applyFill="1" applyBorder="1" applyAlignment="1">
      <alignment horizontal="right" indent="2"/>
    </xf>
    <xf numFmtId="3" fontId="21" fillId="0" borderId="6" xfId="2" applyNumberFormat="1" applyFont="1" applyFill="1" applyBorder="1" applyAlignment="1">
      <alignment horizontal="right"/>
    </xf>
    <xf numFmtId="0" fontId="41" fillId="0" borderId="0" xfId="0" applyFont="1"/>
    <xf numFmtId="166" fontId="4" fillId="0" borderId="12" xfId="3" applyNumberFormat="1" applyFill="1" applyBorder="1" applyAlignment="1">
      <alignment vertical="center" wrapText="1"/>
    </xf>
    <xf numFmtId="166" fontId="4" fillId="0" borderId="15" xfId="3" applyNumberFormat="1" applyFill="1" applyBorder="1" applyAlignment="1">
      <alignment vertical="center" wrapText="1"/>
    </xf>
    <xf numFmtId="166" fontId="4" fillId="0" borderId="16" xfId="3" applyNumberFormat="1" applyFill="1" applyBorder="1" applyAlignment="1">
      <alignment vertical="center" wrapText="1"/>
    </xf>
    <xf numFmtId="184" fontId="0" fillId="4" borderId="24" xfId="1" applyNumberFormat="1" applyFont="1" applyFill="1" applyBorder="1" applyAlignment="1">
      <alignment horizontal="right" indent="2"/>
    </xf>
    <xf numFmtId="165" fontId="9" fillId="15" borderId="64" xfId="2" applyNumberFormat="1" applyFont="1" applyFill="1" applyBorder="1" applyAlignment="1">
      <alignment horizontal="right" indent="2"/>
    </xf>
    <xf numFmtId="166" fontId="0" fillId="0" borderId="12" xfId="0" applyNumberFormat="1" applyBorder="1" applyAlignment="1">
      <alignment horizontal="center" vertical="center" wrapText="1"/>
    </xf>
    <xf numFmtId="166" fontId="0" fillId="0" borderId="15" xfId="0" applyNumberFormat="1" applyBorder="1" applyAlignment="1">
      <alignment horizontal="center" vertical="center" wrapText="1"/>
    </xf>
    <xf numFmtId="43" fontId="1" fillId="6" borderId="24" xfId="5" applyFont="1" applyFill="1" applyBorder="1" applyAlignment="1">
      <alignment horizontal="right" indent="2"/>
    </xf>
    <xf numFmtId="43" fontId="1" fillId="6" borderId="30" xfId="5" applyFont="1" applyFill="1" applyBorder="1" applyAlignment="1">
      <alignment horizontal="right" indent="2"/>
    </xf>
    <xf numFmtId="43" fontId="1" fillId="6" borderId="36" xfId="5" applyFont="1" applyFill="1" applyBorder="1" applyAlignment="1">
      <alignment horizontal="right" indent="2"/>
    </xf>
    <xf numFmtId="43" fontId="1" fillId="0" borderId="43" xfId="5" applyFont="1" applyBorder="1" applyAlignment="1">
      <alignment horizontal="right" indent="2"/>
    </xf>
    <xf numFmtId="43" fontId="1" fillId="4" borderId="17" xfId="5" applyFont="1" applyFill="1" applyBorder="1" applyAlignment="1">
      <alignment horizontal="right" indent="2"/>
    </xf>
    <xf numFmtId="43" fontId="1" fillId="4" borderId="18" xfId="5" applyFont="1" applyFill="1" applyBorder="1" applyAlignment="1">
      <alignment horizontal="right" indent="2"/>
    </xf>
    <xf numFmtId="0" fontId="13" fillId="0" borderId="11" xfId="2" applyNumberFormat="1" applyFont="1" applyFill="1" applyBorder="1" applyAlignment="1"/>
    <xf numFmtId="43" fontId="1" fillId="0" borderId="53" xfId="5" applyFont="1" applyBorder="1" applyAlignment="1">
      <alignment horizontal="right" indent="2"/>
    </xf>
    <xf numFmtId="43" fontId="1" fillId="4" borderId="27" xfId="5" applyFont="1" applyFill="1" applyBorder="1" applyAlignment="1">
      <alignment horizontal="right" vertical="center" wrapText="1" indent="2"/>
    </xf>
    <xf numFmtId="43" fontId="1" fillId="4" borderId="27" xfId="5" applyFont="1" applyFill="1" applyBorder="1" applyAlignment="1">
      <alignment horizontal="right" indent="2"/>
    </xf>
    <xf numFmtId="43" fontId="1" fillId="0" borderId="18" xfId="5" applyFont="1" applyBorder="1" applyAlignment="1">
      <alignment horizontal="right" indent="2"/>
    </xf>
    <xf numFmtId="43" fontId="1" fillId="4" borderId="21" xfId="5" applyFont="1" applyFill="1" applyBorder="1" applyAlignment="1">
      <alignment horizontal="right" indent="2"/>
    </xf>
    <xf numFmtId="43" fontId="1" fillId="4" borderId="33" xfId="5" applyFont="1" applyFill="1" applyBorder="1" applyAlignment="1">
      <alignment horizontal="right" indent="2"/>
    </xf>
    <xf numFmtId="165" fontId="10" fillId="0" borderId="11" xfId="2" applyNumberFormat="1" applyFont="1" applyFill="1" applyBorder="1" applyAlignment="1">
      <alignment vertical="center"/>
    </xf>
    <xf numFmtId="165" fontId="10" fillId="0" borderId="38" xfId="2" applyNumberFormat="1" applyFont="1" applyFill="1" applyBorder="1" applyAlignment="1">
      <alignment vertical="center"/>
    </xf>
    <xf numFmtId="10" fontId="13" fillId="0" borderId="11" xfId="2" applyNumberFormat="1" applyFont="1" applyFill="1" applyBorder="1" applyAlignment="1">
      <alignment vertical="center"/>
    </xf>
    <xf numFmtId="10" fontId="30" fillId="0" borderId="53" xfId="2" applyNumberFormat="1" applyFont="1" applyFill="1" applyBorder="1" applyAlignment="1">
      <alignment horizontal="center" vertical="center" wrapText="1"/>
    </xf>
    <xf numFmtId="10" fontId="30" fillId="0" borderId="38" xfId="2" applyNumberFormat="1" applyFont="1" applyFill="1" applyBorder="1" applyAlignment="1">
      <alignment horizontal="center" vertical="center" wrapText="1"/>
    </xf>
    <xf numFmtId="165" fontId="55" fillId="0" borderId="43" xfId="2" applyNumberFormat="1" applyFont="1" applyFill="1" applyBorder="1" applyAlignment="1">
      <alignment horizontal="right" vertical="center"/>
    </xf>
    <xf numFmtId="165" fontId="55" fillId="0" borderId="44" xfId="2" applyNumberFormat="1" applyFont="1" applyFill="1" applyBorder="1" applyAlignment="1">
      <alignment horizontal="right" vertical="center"/>
    </xf>
    <xf numFmtId="165" fontId="55" fillId="0" borderId="16" xfId="2" applyNumberFormat="1" applyFont="1" applyFill="1" applyBorder="1" applyAlignment="1">
      <alignment horizontal="right" vertical="center"/>
    </xf>
    <xf numFmtId="165" fontId="13" fillId="0" borderId="4" xfId="2" applyNumberFormat="1" applyFont="1" applyFill="1" applyBorder="1" applyAlignment="1">
      <alignment horizontal="left" vertical="center" wrapText="1"/>
    </xf>
    <xf numFmtId="165" fontId="13" fillId="0" borderId="4" xfId="2" applyNumberFormat="1" applyFont="1" applyFill="1" applyBorder="1" applyAlignment="1">
      <alignment horizontal="right" vertical="center"/>
    </xf>
    <xf numFmtId="165" fontId="9" fillId="0" borderId="11" xfId="2" applyNumberFormat="1" applyFont="1" applyFill="1" applyBorder="1" applyAlignment="1">
      <alignment horizontal="right" vertical="center"/>
    </xf>
    <xf numFmtId="165" fontId="87" fillId="0" borderId="43" xfId="2" applyNumberFormat="1" applyFont="1" applyFill="1" applyBorder="1" applyAlignment="1">
      <alignment horizontal="center" vertical="center"/>
    </xf>
    <xf numFmtId="165" fontId="20" fillId="0" borderId="44" xfId="2" applyNumberFormat="1" applyFont="1" applyFill="1" applyBorder="1" applyAlignment="1">
      <alignment horizontal="left" vertical="center"/>
    </xf>
    <xf numFmtId="165" fontId="20" fillId="0" borderId="18" xfId="2" applyNumberFormat="1" applyFont="1" applyFill="1" applyBorder="1" applyAlignment="1">
      <alignment horizontal="right" vertical="center"/>
    </xf>
    <xf numFmtId="165" fontId="20" fillId="0" borderId="102" xfId="2" applyNumberFormat="1" applyFont="1" applyFill="1" applyBorder="1" applyAlignment="1">
      <alignment horizontal="right" vertical="center" wrapText="1"/>
    </xf>
    <xf numFmtId="167" fontId="1" fillId="4" borderId="18" xfId="5" applyNumberFormat="1" applyFont="1" applyFill="1" applyBorder="1" applyAlignment="1">
      <alignment horizontal="right" vertical="center" indent="3"/>
    </xf>
    <xf numFmtId="165" fontId="15" fillId="0" borderId="0" xfId="2" applyNumberFormat="1" applyFont="1" applyFill="1" applyBorder="1" applyAlignment="1">
      <alignment horizontal="left" vertical="center"/>
    </xf>
    <xf numFmtId="165" fontId="1" fillId="0" borderId="0" xfId="2" applyNumberFormat="1" applyFont="1" applyFill="1" applyBorder="1" applyAlignment="1">
      <alignment horizontal="left" vertical="center"/>
    </xf>
    <xf numFmtId="165" fontId="1" fillId="0" borderId="11" xfId="2" applyNumberFormat="1" applyFont="1" applyFill="1" applyBorder="1" applyAlignment="1">
      <alignment vertical="center"/>
    </xf>
    <xf numFmtId="165" fontId="1" fillId="0" borderId="0" xfId="2" applyNumberFormat="1" applyFont="1" applyBorder="1" applyAlignment="1">
      <alignment vertical="center"/>
    </xf>
    <xf numFmtId="165" fontId="15" fillId="0" borderId="42" xfId="2" applyNumberFormat="1" applyFont="1" applyFill="1" applyBorder="1" applyAlignment="1">
      <alignment horizontal="left" vertical="center"/>
    </xf>
    <xf numFmtId="165" fontId="9" fillId="0" borderId="38" xfId="2" applyNumberFormat="1" applyFont="1" applyFill="1" applyBorder="1" applyAlignment="1">
      <alignment horizontal="right" vertical="center"/>
    </xf>
    <xf numFmtId="0" fontId="6" fillId="71" borderId="0" xfId="0" applyFont="1" applyFill="1" applyAlignment="1">
      <alignment horizontal="center"/>
    </xf>
    <xf numFmtId="0" fontId="53" fillId="0" borderId="4" xfId="3" applyFont="1" applyBorder="1" applyAlignment="1">
      <alignment horizontal="center" vertical="center" wrapText="1"/>
    </xf>
    <xf numFmtId="165" fontId="16" fillId="0" borderId="11" xfId="2" applyNumberFormat="1" applyFont="1" applyFill="1" applyBorder="1" applyAlignment="1">
      <alignment horizontal="right"/>
    </xf>
    <xf numFmtId="165" fontId="16" fillId="0" borderId="38" xfId="2" applyNumberFormat="1" applyFont="1" applyFill="1" applyBorder="1" applyAlignment="1">
      <alignment horizontal="right"/>
    </xf>
    <xf numFmtId="166" fontId="56" fillId="4" borderId="65" xfId="0" applyNumberFormat="1" applyFont="1" applyFill="1" applyBorder="1" applyAlignment="1">
      <alignment horizontal="right" indent="2"/>
    </xf>
    <xf numFmtId="166" fontId="56" fillId="4" borderId="51" xfId="0" applyNumberFormat="1" applyFont="1" applyFill="1" applyBorder="1" applyAlignment="1">
      <alignment horizontal="right" indent="2"/>
    </xf>
    <xf numFmtId="166" fontId="67" fillId="4" borderId="66" xfId="0" applyNumberFormat="1" applyFont="1" applyFill="1" applyBorder="1" applyAlignment="1">
      <alignment horizontal="right" indent="2"/>
    </xf>
    <xf numFmtId="0" fontId="35" fillId="0" borderId="4" xfId="0" applyFont="1" applyBorder="1" applyAlignment="1">
      <alignment horizontal="center" vertical="center" wrapText="1"/>
    </xf>
    <xf numFmtId="3" fontId="50" fillId="0" borderId="4" xfId="2" applyNumberFormat="1" applyFont="1" applyFill="1" applyBorder="1" applyAlignment="1">
      <alignment horizontal="right" wrapText="1" indent="2"/>
    </xf>
    <xf numFmtId="3" fontId="9" fillId="0" borderId="4" xfId="2" applyNumberFormat="1" applyFont="1" applyFill="1" applyBorder="1" applyAlignment="1">
      <alignment horizontal="right" indent="2"/>
    </xf>
    <xf numFmtId="0" fontId="2" fillId="0" borderId="44" xfId="3" applyFont="1" applyFill="1" applyBorder="1" applyAlignment="1">
      <alignment horizontal="left"/>
    </xf>
    <xf numFmtId="4" fontId="0" fillId="4" borderId="65" xfId="0" applyNumberFormat="1" applyFill="1" applyBorder="1" applyAlignment="1">
      <alignment horizontal="right" vertical="center" wrapText="1" indent="2"/>
    </xf>
    <xf numFmtId="4" fontId="0" fillId="4" borderId="51" xfId="0" applyNumberFormat="1" applyFill="1" applyBorder="1" applyAlignment="1">
      <alignment horizontal="right" vertical="center" wrapText="1" indent="2"/>
    </xf>
    <xf numFmtId="3" fontId="9" fillId="0" borderId="0" xfId="2" applyNumberFormat="1" applyFont="1" applyFill="1" applyBorder="1" applyAlignment="1"/>
    <xf numFmtId="3" fontId="2" fillId="0" borderId="44" xfId="0" applyNumberFormat="1" applyFont="1" applyBorder="1" applyAlignment="1">
      <alignment horizontal="right" vertical="center" wrapText="1" indent="2"/>
    </xf>
    <xf numFmtId="3" fontId="2" fillId="0" borderId="16" xfId="0" applyNumberFormat="1" applyFont="1" applyBorder="1" applyAlignment="1">
      <alignment horizontal="right" vertical="center" wrapText="1" indent="2"/>
    </xf>
    <xf numFmtId="4" fontId="12" fillId="4" borderId="30" xfId="0" applyNumberFormat="1" applyFont="1" applyFill="1" applyBorder="1" applyAlignment="1">
      <alignment horizontal="right" indent="2"/>
    </xf>
    <xf numFmtId="4" fontId="0" fillId="4" borderId="74" xfId="0" applyNumberFormat="1" applyFill="1" applyBorder="1" applyAlignment="1">
      <alignment horizontal="right" vertical="center" wrapText="1" indent="2"/>
    </xf>
    <xf numFmtId="4" fontId="12" fillId="4" borderId="47" xfId="0" applyNumberFormat="1" applyFont="1" applyFill="1" applyBorder="1" applyAlignment="1">
      <alignment horizontal="right" indent="2"/>
    </xf>
    <xf numFmtId="4" fontId="0" fillId="4" borderId="81" xfId="0" applyNumberFormat="1" applyFill="1" applyBorder="1" applyAlignment="1">
      <alignment horizontal="right" vertical="center" wrapText="1" indent="2"/>
    </xf>
    <xf numFmtId="3" fontId="38" fillId="0" borderId="0" xfId="2" applyNumberFormat="1" applyFont="1" applyFill="1" applyBorder="1" applyAlignment="1"/>
    <xf numFmtId="3" fontId="38" fillId="0" borderId="11" xfId="2" applyNumberFormat="1" applyFont="1" applyFill="1" applyBorder="1" applyAlignment="1"/>
    <xf numFmtId="3" fontId="13" fillId="4" borderId="34" xfId="2" applyNumberFormat="1" applyFont="1" applyFill="1" applyBorder="1" applyAlignment="1"/>
    <xf numFmtId="3" fontId="2" fillId="0" borderId="80" xfId="0" applyNumberFormat="1" applyFont="1" applyBorder="1" applyAlignment="1">
      <alignment horizontal="right" vertical="center" wrapText="1" indent="2"/>
    </xf>
    <xf numFmtId="3" fontId="2" fillId="0" borderId="13" xfId="0" applyNumberFormat="1" applyFont="1" applyBorder="1"/>
    <xf numFmtId="165" fontId="25" fillId="0" borderId="11" xfId="2" applyNumberFormat="1" applyFont="1" applyFill="1" applyBorder="1" applyAlignment="1">
      <alignment horizontal="right"/>
    </xf>
    <xf numFmtId="3" fontId="62" fillId="15" borderId="0" xfId="2" applyNumberFormat="1" applyFont="1" applyFill="1" applyBorder="1" applyAlignment="1">
      <alignment horizontal="right" indent="2"/>
    </xf>
    <xf numFmtId="165" fontId="53" fillId="15" borderId="0" xfId="2" applyNumberFormat="1" applyFont="1" applyFill="1" applyBorder="1" applyAlignment="1">
      <alignment horizontal="right" indent="2"/>
    </xf>
    <xf numFmtId="0" fontId="12" fillId="15" borderId="0" xfId="0" applyFont="1" applyFill="1" applyAlignment="1">
      <alignment horizontal="right" indent="2"/>
    </xf>
    <xf numFmtId="165" fontId="12" fillId="15" borderId="0" xfId="2" applyNumberFormat="1" applyFont="1" applyFill="1" applyBorder="1" applyAlignment="1">
      <alignment horizontal="right" indent="2"/>
    </xf>
    <xf numFmtId="3" fontId="12" fillId="15" borderId="0" xfId="0" applyNumberFormat="1" applyFont="1" applyFill="1" applyAlignment="1">
      <alignment horizontal="right" indent="2"/>
    </xf>
    <xf numFmtId="166" fontId="0" fillId="0" borderId="20" xfId="0" applyNumberFormat="1" applyBorder="1" applyAlignment="1">
      <alignment horizontal="center" vertical="center"/>
    </xf>
    <xf numFmtId="166" fontId="2" fillId="0" borderId="23" xfId="0" applyNumberFormat="1" applyFont="1" applyBorder="1" applyAlignment="1">
      <alignment horizontal="right" vertical="center" wrapText="1" indent="2"/>
    </xf>
    <xf numFmtId="166" fontId="0" fillId="0" borderId="63" xfId="0" applyNumberFormat="1" applyBorder="1" applyAlignment="1">
      <alignment horizontal="right" indent="2"/>
    </xf>
    <xf numFmtId="0" fontId="84" fillId="4" borderId="4" xfId="0" applyFont="1" applyFill="1" applyBorder="1" applyAlignment="1">
      <alignment horizontal="center" vertical="center" wrapText="1"/>
    </xf>
    <xf numFmtId="3" fontId="193" fillId="0" borderId="43" xfId="0" applyNumberFormat="1" applyFont="1" applyBorder="1" applyAlignment="1">
      <alignment horizontal="left"/>
    </xf>
    <xf numFmtId="0" fontId="89" fillId="0" borderId="16" xfId="0" applyFont="1" applyBorder="1" applyAlignment="1">
      <alignment horizontal="center"/>
    </xf>
    <xf numFmtId="166" fontId="89" fillId="4" borderId="6" xfId="0" applyNumberFormat="1" applyFont="1" applyFill="1" applyBorder="1" applyAlignment="1">
      <alignment horizontal="right" indent="2"/>
    </xf>
    <xf numFmtId="166" fontId="89" fillId="4" borderId="62" xfId="0" applyNumberFormat="1" applyFont="1" applyFill="1" applyBorder="1" applyAlignment="1">
      <alignment horizontal="right" indent="2"/>
    </xf>
    <xf numFmtId="166" fontId="89" fillId="4" borderId="0" xfId="0" applyNumberFormat="1" applyFont="1" applyFill="1" applyAlignment="1">
      <alignment horizontal="right" indent="2"/>
    </xf>
    <xf numFmtId="166" fontId="2" fillId="0" borderId="16" xfId="0" applyNumberFormat="1" applyFont="1" applyBorder="1" applyAlignment="1">
      <alignment horizontal="left" indent="2"/>
    </xf>
    <xf numFmtId="3" fontId="62" fillId="0" borderId="0" xfId="2" applyNumberFormat="1" applyFont="1" applyFill="1" applyBorder="1" applyAlignment="1">
      <alignment horizontal="right" indent="2"/>
    </xf>
    <xf numFmtId="3" fontId="62" fillId="0" borderId="19" xfId="2" applyNumberFormat="1" applyFont="1" applyFill="1" applyBorder="1" applyAlignment="1">
      <alignment horizontal="right" indent="2"/>
    </xf>
    <xf numFmtId="165" fontId="53" fillId="0" borderId="0" xfId="2" applyNumberFormat="1" applyFont="1" applyFill="1" applyBorder="1" applyAlignment="1">
      <alignment horizontal="right" indent="2"/>
    </xf>
    <xf numFmtId="166" fontId="2" fillId="0" borderId="42" xfId="0" applyNumberFormat="1" applyFont="1" applyBorder="1" applyAlignment="1">
      <alignment horizontal="right" indent="2"/>
    </xf>
    <xf numFmtId="0" fontId="2" fillId="0" borderId="44" xfId="0" applyFont="1" applyBorder="1" applyAlignment="1">
      <alignment horizontal="center"/>
    </xf>
    <xf numFmtId="166" fontId="2" fillId="4" borderId="6" xfId="0" applyNumberFormat="1" applyFont="1" applyFill="1" applyBorder="1" applyAlignment="1">
      <alignment horizontal="right" indent="2"/>
    </xf>
    <xf numFmtId="166" fontId="20" fillId="4" borderId="41" xfId="2" applyNumberFormat="1" applyFont="1" applyFill="1" applyBorder="1" applyAlignment="1">
      <alignment horizontal="right" indent="2"/>
    </xf>
    <xf numFmtId="166" fontId="56" fillId="0" borderId="15" xfId="0" applyNumberFormat="1" applyFont="1" applyBorder="1" applyAlignment="1">
      <alignment horizontal="right" indent="2"/>
    </xf>
    <xf numFmtId="166" fontId="56" fillId="0" borderId="8" xfId="0" applyNumberFormat="1" applyFont="1" applyBorder="1" applyAlignment="1">
      <alignment horizontal="right" indent="2"/>
    </xf>
    <xf numFmtId="166" fontId="2" fillId="0" borderId="41" xfId="0" applyNumberFormat="1" applyFont="1" applyBorder="1" applyAlignment="1">
      <alignment horizontal="right" indent="2"/>
    </xf>
    <xf numFmtId="166" fontId="0" fillId="0" borderId="44" xfId="0" applyNumberFormat="1" applyBorder="1"/>
    <xf numFmtId="165" fontId="9" fillId="15" borderId="42" xfId="2" applyNumberFormat="1" applyFont="1" applyFill="1" applyBorder="1" applyAlignment="1">
      <alignment horizontal="right" indent="2"/>
    </xf>
    <xf numFmtId="166" fontId="45" fillId="4" borderId="51" xfId="0" applyNumberFormat="1" applyFont="1" applyFill="1" applyBorder="1" applyAlignment="1">
      <alignment horizontal="right" indent="2"/>
    </xf>
    <xf numFmtId="0" fontId="45" fillId="0" borderId="15" xfId="0" applyFont="1" applyBorder="1" applyAlignment="1">
      <alignment vertical="center" wrapText="1"/>
    </xf>
    <xf numFmtId="0" fontId="38" fillId="4" borderId="1" xfId="0" applyFont="1" applyFill="1" applyBorder="1" applyAlignment="1">
      <alignment horizontal="center" vertical="center" wrapText="1"/>
    </xf>
    <xf numFmtId="166" fontId="0" fillId="0" borderId="44" xfId="0" applyNumberFormat="1" applyBorder="1" applyAlignment="1">
      <alignment horizontal="left" indent="2"/>
    </xf>
    <xf numFmtId="0" fontId="0" fillId="0" borderId="3" xfId="0" applyBorder="1" applyAlignment="1">
      <alignment horizontal="center"/>
    </xf>
    <xf numFmtId="3" fontId="0" fillId="0" borderId="19" xfId="0" applyNumberFormat="1" applyBorder="1" applyAlignment="1">
      <alignment horizontal="left" indent="2"/>
    </xf>
    <xf numFmtId="166" fontId="0" fillId="0" borderId="45" xfId="0" applyNumberFormat="1" applyBorder="1" applyAlignment="1">
      <alignment horizontal="center" vertical="center" wrapText="1"/>
    </xf>
    <xf numFmtId="165" fontId="49" fillId="0" borderId="41" xfId="2" applyNumberFormat="1" applyFont="1" applyFill="1" applyBorder="1" applyAlignment="1">
      <alignment horizontal="center" vertical="center" wrapText="1"/>
    </xf>
    <xf numFmtId="166" fontId="45" fillId="7" borderId="8" xfId="0" applyNumberFormat="1" applyFont="1" applyFill="1" applyBorder="1" applyAlignment="1">
      <alignment horizontal="right" indent="2"/>
    </xf>
    <xf numFmtId="3" fontId="62" fillId="15" borderId="59" xfId="2" applyNumberFormat="1" applyFont="1" applyFill="1" applyBorder="1" applyAlignment="1">
      <alignment horizontal="right" indent="2"/>
    </xf>
    <xf numFmtId="165" fontId="12" fillId="15" borderId="26" xfId="2" applyNumberFormat="1" applyFont="1" applyFill="1" applyBorder="1" applyAlignment="1">
      <alignment horizontal="right" indent="2"/>
    </xf>
    <xf numFmtId="0" fontId="12" fillId="15" borderId="26" xfId="0" applyFont="1" applyFill="1" applyBorder="1" applyAlignment="1">
      <alignment horizontal="right" indent="2"/>
    </xf>
    <xf numFmtId="3" fontId="12" fillId="15" borderId="26" xfId="0" applyNumberFormat="1" applyFont="1" applyFill="1" applyBorder="1" applyAlignment="1">
      <alignment horizontal="right" indent="2"/>
    </xf>
    <xf numFmtId="165" fontId="9" fillId="15" borderId="39" xfId="2" applyNumberFormat="1" applyFont="1" applyFill="1" applyBorder="1" applyAlignment="1">
      <alignment horizontal="right" indent="2"/>
    </xf>
    <xf numFmtId="166" fontId="0" fillId="0" borderId="0" xfId="0" applyNumberFormat="1" applyAlignment="1">
      <alignment vertical="center" wrapText="1"/>
    </xf>
    <xf numFmtId="166" fontId="45" fillId="0" borderId="0" xfId="0" applyNumberFormat="1" applyFont="1" applyAlignment="1">
      <alignment horizontal="right" indent="2"/>
    </xf>
    <xf numFmtId="0" fontId="45" fillId="0" borderId="0" xfId="0" applyFont="1" applyAlignment="1">
      <alignment vertical="center" wrapText="1"/>
    </xf>
    <xf numFmtId="0" fontId="38" fillId="0" borderId="0" xfId="0" applyFont="1" applyAlignment="1">
      <alignment horizontal="center" vertical="center" wrapText="1"/>
    </xf>
    <xf numFmtId="166" fontId="20" fillId="0" borderId="0" xfId="2" applyNumberFormat="1" applyFont="1" applyFill="1" applyBorder="1" applyAlignment="1">
      <alignment horizontal="right" indent="2"/>
    </xf>
    <xf numFmtId="166" fontId="22" fillId="0" borderId="0" xfId="0" applyNumberFormat="1" applyFont="1" applyAlignment="1">
      <alignment horizontal="right" indent="2"/>
    </xf>
    <xf numFmtId="165" fontId="28" fillId="0" borderId="0" xfId="2" applyNumberFormat="1" applyFont="1" applyFill="1" applyBorder="1" applyAlignment="1">
      <alignment horizontal="right"/>
    </xf>
    <xf numFmtId="3" fontId="12" fillId="4" borderId="4" xfId="0" applyNumberFormat="1" applyFont="1" applyFill="1" applyBorder="1" applyAlignment="1">
      <alignment horizontal="center" wrapText="1"/>
    </xf>
    <xf numFmtId="165" fontId="1" fillId="0" borderId="19" xfId="2" applyNumberFormat="1" applyFont="1" applyFill="1" applyBorder="1" applyAlignment="1">
      <alignment horizontal="right" indent="2"/>
    </xf>
    <xf numFmtId="166" fontId="1" fillId="6" borderId="21" xfId="2" applyNumberFormat="1" applyFont="1" applyFill="1" applyBorder="1" applyAlignment="1">
      <alignment horizontal="right" indent="2"/>
    </xf>
    <xf numFmtId="166" fontId="1" fillId="0" borderId="19" xfId="2" applyNumberFormat="1" applyFont="1" applyFill="1" applyBorder="1" applyAlignment="1">
      <alignment horizontal="right" indent="2"/>
    </xf>
    <xf numFmtId="166" fontId="1" fillId="6" borderId="63" xfId="2" applyNumberFormat="1" applyFont="1" applyFill="1" applyBorder="1" applyAlignment="1">
      <alignment horizontal="right" indent="2"/>
    </xf>
    <xf numFmtId="0" fontId="2" fillId="0" borderId="4" xfId="0" applyFont="1" applyBorder="1"/>
    <xf numFmtId="0" fontId="0" fillId="0" borderId="15" xfId="0" applyBorder="1" applyAlignment="1">
      <alignment horizontal="center" vertical="center"/>
    </xf>
    <xf numFmtId="0" fontId="0" fillId="0" borderId="20" xfId="0" applyBorder="1" applyAlignment="1">
      <alignment horizontal="center" vertical="center"/>
    </xf>
    <xf numFmtId="0" fontId="2" fillId="0" borderId="7" xfId="0" applyFont="1" applyBorder="1"/>
    <xf numFmtId="0" fontId="56" fillId="0" borderId="4" xfId="3" applyFont="1" applyFill="1" applyBorder="1" applyAlignment="1">
      <alignment horizontal="center" vertical="center" wrapText="1"/>
    </xf>
    <xf numFmtId="3" fontId="2" fillId="0" borderId="0" xfId="0" applyNumberFormat="1" applyFont="1"/>
    <xf numFmtId="4" fontId="67" fillId="6" borderId="21" xfId="0" applyNumberFormat="1" applyFont="1" applyFill="1" applyBorder="1" applyAlignment="1">
      <alignment horizontal="right" indent="2"/>
    </xf>
    <xf numFmtId="166" fontId="67" fillId="6" borderId="21" xfId="0" applyNumberFormat="1" applyFont="1" applyFill="1" applyBorder="1" applyAlignment="1">
      <alignment horizontal="right" indent="2"/>
    </xf>
    <xf numFmtId="4" fontId="45" fillId="6" borderId="21" xfId="0" applyNumberFormat="1" applyFont="1" applyFill="1" applyBorder="1" applyAlignment="1">
      <alignment horizontal="right" indent="2"/>
    </xf>
    <xf numFmtId="3" fontId="4" fillId="0" borderId="0" xfId="3" applyNumberFormat="1" applyBorder="1" applyAlignment="1">
      <alignment horizontal="center" wrapText="1"/>
    </xf>
    <xf numFmtId="4" fontId="67" fillId="4" borderId="17" xfId="0" applyNumberFormat="1" applyFont="1" applyFill="1" applyBorder="1" applyAlignment="1">
      <alignment horizontal="right" indent="2"/>
    </xf>
    <xf numFmtId="166" fontId="67" fillId="4" borderId="17" xfId="0" applyNumberFormat="1" applyFont="1" applyFill="1" applyBorder="1" applyAlignment="1">
      <alignment horizontal="right" indent="2"/>
    </xf>
    <xf numFmtId="4" fontId="67" fillId="4" borderId="33" xfId="0" applyNumberFormat="1" applyFont="1" applyFill="1" applyBorder="1" applyAlignment="1">
      <alignment horizontal="right" indent="2"/>
    </xf>
    <xf numFmtId="166" fontId="67" fillId="4" borderId="33" xfId="0" applyNumberFormat="1" applyFont="1" applyFill="1" applyBorder="1" applyAlignment="1">
      <alignment horizontal="right" indent="2"/>
    </xf>
    <xf numFmtId="166" fontId="0" fillId="0" borderId="44" xfId="0" applyNumberFormat="1" applyBorder="1" applyAlignment="1">
      <alignment horizontal="right" vertical="center" wrapText="1" indent="2"/>
    </xf>
    <xf numFmtId="166" fontId="0" fillId="0" borderId="16" xfId="0" applyNumberFormat="1" applyBorder="1" applyAlignment="1">
      <alignment horizontal="right" vertical="center" wrapText="1"/>
    </xf>
    <xf numFmtId="4" fontId="67" fillId="4" borderId="21" xfId="0" applyNumberFormat="1" applyFont="1" applyFill="1" applyBorder="1" applyAlignment="1">
      <alignment horizontal="right" indent="2"/>
    </xf>
    <xf numFmtId="166" fontId="67" fillId="6" borderId="36" xfId="0" applyNumberFormat="1" applyFont="1" applyFill="1" applyBorder="1" applyAlignment="1">
      <alignment horizontal="right" indent="2"/>
    </xf>
    <xf numFmtId="166" fontId="79" fillId="0" borderId="0" xfId="0" applyNumberFormat="1" applyFont="1" applyAlignment="1">
      <alignment horizontal="right" vertical="center" wrapText="1" indent="2"/>
    </xf>
    <xf numFmtId="0" fontId="0" fillId="4" borderId="1" xfId="0" applyFill="1" applyBorder="1" applyAlignment="1">
      <alignment horizontal="center" wrapText="1"/>
    </xf>
    <xf numFmtId="170" fontId="3" fillId="4" borderId="17" xfId="0" applyNumberFormat="1" applyFont="1" applyFill="1" applyBorder="1" applyAlignment="1">
      <alignment horizontal="right" indent="2"/>
    </xf>
    <xf numFmtId="4" fontId="3" fillId="4" borderId="48" xfId="0" applyNumberFormat="1" applyFont="1" applyFill="1" applyBorder="1" applyAlignment="1">
      <alignment horizontal="right" indent="2"/>
    </xf>
    <xf numFmtId="170" fontId="3" fillId="4" borderId="48" xfId="0" applyNumberFormat="1" applyFont="1" applyFill="1" applyBorder="1" applyAlignment="1">
      <alignment horizontal="right" indent="2"/>
    </xf>
    <xf numFmtId="170" fontId="2" fillId="0" borderId="0" xfId="0" applyNumberFormat="1" applyFont="1" applyAlignment="1">
      <alignment horizontal="right" vertical="center" wrapText="1"/>
    </xf>
    <xf numFmtId="170" fontId="45" fillId="4" borderId="62" xfId="0" applyNumberFormat="1" applyFont="1" applyFill="1" applyBorder="1" applyAlignment="1">
      <alignment horizontal="right" indent="2"/>
    </xf>
    <xf numFmtId="170" fontId="2" fillId="0" borderId="0" xfId="0" applyNumberFormat="1" applyFont="1" applyAlignment="1">
      <alignment horizontal="right" vertical="center" wrapText="1" indent="2"/>
    </xf>
    <xf numFmtId="170" fontId="67" fillId="4" borderId="25" xfId="0" applyNumberFormat="1" applyFont="1" applyFill="1" applyBorder="1" applyAlignment="1">
      <alignment horizontal="right" indent="2"/>
    </xf>
    <xf numFmtId="170" fontId="67" fillId="4" borderId="62" xfId="0" applyNumberFormat="1" applyFont="1" applyFill="1" applyBorder="1" applyAlignment="1">
      <alignment horizontal="right" indent="2"/>
    </xf>
    <xf numFmtId="170" fontId="2" fillId="0" borderId="0" xfId="0" applyNumberFormat="1" applyFont="1" applyAlignment="1">
      <alignment horizontal="left" vertical="center"/>
    </xf>
    <xf numFmtId="4" fontId="3" fillId="4" borderId="31" xfId="0" applyNumberFormat="1" applyFont="1" applyFill="1" applyBorder="1" applyAlignment="1">
      <alignment horizontal="right" indent="2"/>
    </xf>
    <xf numFmtId="170" fontId="87" fillId="4" borderId="27" xfId="0" applyNumberFormat="1" applyFont="1" applyFill="1" applyBorder="1" applyAlignment="1">
      <alignment horizontal="right" indent="2"/>
    </xf>
    <xf numFmtId="170" fontId="87" fillId="0" borderId="0" xfId="0" applyNumberFormat="1" applyFont="1" applyAlignment="1">
      <alignment horizontal="left" vertical="center" indent="2"/>
    </xf>
    <xf numFmtId="170" fontId="0" fillId="4" borderId="62" xfId="0" applyNumberFormat="1" applyFill="1" applyBorder="1" applyAlignment="1">
      <alignment horizontal="right" indent="2"/>
    </xf>
    <xf numFmtId="170" fontId="0" fillId="4" borderId="17" xfId="0" applyNumberFormat="1" applyFill="1" applyBorder="1" applyAlignment="1">
      <alignment horizontal="right" indent="2"/>
    </xf>
    <xf numFmtId="170" fontId="0" fillId="4" borderId="21" xfId="0" applyNumberFormat="1" applyFill="1" applyBorder="1" applyAlignment="1">
      <alignment horizontal="right" indent="2"/>
    </xf>
    <xf numFmtId="170" fontId="0" fillId="4" borderId="33" xfId="0" applyNumberFormat="1" applyFill="1" applyBorder="1" applyAlignment="1">
      <alignment horizontal="right" indent="2"/>
    </xf>
    <xf numFmtId="3" fontId="0" fillId="0" borderId="42" xfId="0" applyNumberFormat="1" applyBorder="1" applyAlignment="1">
      <alignment horizontal="left" vertical="center" wrapText="1" indent="2"/>
    </xf>
    <xf numFmtId="170" fontId="0" fillId="4" borderId="38" xfId="0" applyNumberFormat="1" applyFill="1" applyBorder="1" applyAlignment="1">
      <alignment horizontal="right" indent="2"/>
    </xf>
    <xf numFmtId="170" fontId="0" fillId="4" borderId="27" xfId="0" applyNumberFormat="1" applyFill="1" applyBorder="1" applyAlignment="1">
      <alignment horizontal="right" indent="2"/>
    </xf>
    <xf numFmtId="170" fontId="0" fillId="4" borderId="11" xfId="0" applyNumberFormat="1" applyFill="1" applyBorder="1" applyAlignment="1">
      <alignment horizontal="right" indent="2"/>
    </xf>
    <xf numFmtId="165" fontId="19" fillId="4" borderId="18" xfId="2" applyNumberFormat="1" applyFont="1" applyFill="1" applyBorder="1" applyAlignment="1">
      <alignment horizontal="right" indent="2"/>
    </xf>
    <xf numFmtId="165" fontId="19" fillId="4" borderId="0" xfId="2" applyNumberFormat="1" applyFont="1" applyFill="1" applyBorder="1" applyAlignment="1">
      <alignment horizontal="right" indent="2"/>
    </xf>
    <xf numFmtId="165" fontId="19" fillId="0" borderId="0" xfId="2" applyNumberFormat="1" applyFont="1" applyBorder="1" applyAlignment="1">
      <alignment horizontal="center" vertical="center" wrapText="1"/>
    </xf>
    <xf numFmtId="165" fontId="19" fillId="7" borderId="18" xfId="2" applyNumberFormat="1" applyFont="1" applyFill="1" applyBorder="1" applyAlignment="1">
      <alignment horizontal="left" indent="2"/>
    </xf>
    <xf numFmtId="170" fontId="0" fillId="7" borderId="11" xfId="0" applyNumberFormat="1" applyFill="1" applyBorder="1" applyAlignment="1">
      <alignment horizontal="right" indent="2"/>
    </xf>
    <xf numFmtId="165" fontId="87" fillId="0" borderId="0" xfId="2" applyNumberFormat="1" applyFont="1" applyBorder="1" applyAlignment="1">
      <alignment horizontal="right" vertical="center" wrapText="1" indent="2"/>
    </xf>
    <xf numFmtId="170" fontId="2" fillId="7" borderId="11" xfId="0" applyNumberFormat="1" applyFont="1" applyFill="1" applyBorder="1" applyAlignment="1">
      <alignment horizontal="right" indent="2"/>
    </xf>
    <xf numFmtId="169" fontId="18" fillId="0" borderId="18" xfId="0" applyNumberFormat="1" applyFont="1" applyBorder="1" applyAlignment="1">
      <alignment horizontal="right" indent="2"/>
    </xf>
    <xf numFmtId="3" fontId="0" fillId="0" borderId="84" xfId="0" applyNumberFormat="1" applyBorder="1" applyAlignment="1">
      <alignment horizontal="center"/>
    </xf>
    <xf numFmtId="3" fontId="0" fillId="0" borderId="49" xfId="0" applyNumberFormat="1" applyBorder="1" applyAlignment="1">
      <alignment horizontal="right" vertical="center" wrapText="1" indent="2"/>
    </xf>
    <xf numFmtId="0" fontId="12" fillId="0" borderId="10" xfId="0" applyFont="1" applyBorder="1" applyAlignment="1">
      <alignment vertical="center" wrapText="1"/>
    </xf>
    <xf numFmtId="0" fontId="12" fillId="0" borderId="18" xfId="0" applyFont="1" applyBorder="1" applyAlignment="1">
      <alignment vertical="center" wrapText="1"/>
    </xf>
    <xf numFmtId="0" fontId="12" fillId="0" borderId="11" xfId="0" applyFont="1" applyBorder="1" applyAlignment="1">
      <alignment vertical="center" wrapText="1"/>
    </xf>
    <xf numFmtId="0" fontId="0" fillId="4" borderId="6" xfId="0" applyFill="1" applyBorder="1" applyAlignment="1">
      <alignment horizontal="left"/>
    </xf>
    <xf numFmtId="0" fontId="45" fillId="7" borderId="0" xfId="0" applyFont="1" applyFill="1" applyAlignment="1">
      <alignment horizontal="right"/>
    </xf>
    <xf numFmtId="165" fontId="19" fillId="4" borderId="10" xfId="2" applyNumberFormat="1" applyFont="1" applyFill="1" applyBorder="1" applyAlignment="1">
      <alignment horizontal="right" indent="2"/>
    </xf>
    <xf numFmtId="165" fontId="19" fillId="4" borderId="11" xfId="2" applyNumberFormat="1" applyFont="1" applyFill="1" applyBorder="1" applyAlignment="1">
      <alignment horizontal="right" indent="2"/>
    </xf>
    <xf numFmtId="0" fontId="2" fillId="7" borderId="0" xfId="0" applyFont="1" applyFill="1" applyAlignment="1">
      <alignment horizontal="right"/>
    </xf>
    <xf numFmtId="0" fontId="196" fillId="73" borderId="174" xfId="0" applyFont="1" applyFill="1" applyBorder="1" applyAlignment="1">
      <alignment horizontal="right"/>
    </xf>
    <xf numFmtId="3" fontId="23" fillId="0" borderId="49" xfId="0" applyNumberFormat="1" applyFont="1" applyBorder="1" applyAlignment="1">
      <alignment horizontal="right" indent="2"/>
    </xf>
    <xf numFmtId="3" fontId="23" fillId="0" borderId="18" xfId="0" applyNumberFormat="1" applyFont="1" applyBorder="1" applyAlignment="1">
      <alignment horizontal="right" indent="2"/>
    </xf>
    <xf numFmtId="3" fontId="45" fillId="4" borderId="39" xfId="0" applyNumberFormat="1" applyFont="1" applyFill="1" applyBorder="1" applyAlignment="1">
      <alignment horizontal="right" indent="2"/>
    </xf>
    <xf numFmtId="0" fontId="3" fillId="0" borderId="49" xfId="0" applyFont="1" applyBorder="1" applyAlignment="1">
      <alignment horizontal="center" vertical="center" wrapText="1"/>
    </xf>
    <xf numFmtId="165" fontId="9" fillId="0" borderId="12" xfId="2" applyNumberFormat="1" applyFont="1" applyFill="1" applyBorder="1" applyAlignment="1">
      <alignment horizontal="left"/>
    </xf>
    <xf numFmtId="0" fontId="22" fillId="7" borderId="3" xfId="3" applyFont="1" applyFill="1" applyBorder="1" applyAlignment="1">
      <alignment horizontal="center" vertical="center" wrapText="1"/>
    </xf>
    <xf numFmtId="3" fontId="0" fillId="2" borderId="62" xfId="0" applyNumberFormat="1" applyFill="1" applyBorder="1" applyAlignment="1">
      <alignment horizontal="right" indent="2"/>
    </xf>
    <xf numFmtId="3" fontId="0" fillId="2" borderId="26" xfId="0" applyNumberFormat="1" applyFill="1" applyBorder="1" applyAlignment="1">
      <alignment horizontal="right" indent="2"/>
    </xf>
    <xf numFmtId="3" fontId="0" fillId="2" borderId="8" xfId="0" applyNumberFormat="1" applyFill="1" applyBorder="1" applyAlignment="1">
      <alignment horizontal="right" indent="2"/>
    </xf>
    <xf numFmtId="174" fontId="156" fillId="0" borderId="0" xfId="1" applyNumberFormat="1" applyFont="1" applyAlignment="1">
      <alignment horizontal="center"/>
    </xf>
    <xf numFmtId="49" fontId="155" fillId="34" borderId="0" xfId="1" applyNumberFormat="1" applyFont="1" applyFill="1" applyAlignment="1">
      <alignment horizontal="center"/>
    </xf>
    <xf numFmtId="0" fontId="12" fillId="4" borderId="1"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1" fillId="0" borderId="5" xfId="0" applyFont="1" applyBorder="1" applyAlignment="1">
      <alignment horizontal="center" vertical="center" textRotation="90" wrapText="1"/>
    </xf>
    <xf numFmtId="0" fontId="11" fillId="0" borderId="10" xfId="0" applyFont="1" applyBorder="1" applyAlignment="1">
      <alignment horizontal="center" vertical="center" textRotation="90" wrapText="1"/>
    </xf>
    <xf numFmtId="0" fontId="11" fillId="0" borderId="7" xfId="0" applyFont="1" applyBorder="1" applyAlignment="1">
      <alignment horizontal="center" vertical="center" textRotation="90" wrapText="1"/>
    </xf>
    <xf numFmtId="0" fontId="3" fillId="4" borderId="38" xfId="0" applyFont="1" applyFill="1" applyBorder="1" applyAlignment="1">
      <alignment horizontal="center" vertical="center"/>
    </xf>
    <xf numFmtId="0" fontId="0" fillId="4" borderId="16" xfId="0" quotePrefix="1" applyFill="1" applyBorder="1" applyAlignment="1">
      <alignment horizontal="center"/>
    </xf>
    <xf numFmtId="3" fontId="29" fillId="0" borderId="0" xfId="0" applyNumberFormat="1" applyFont="1" applyAlignment="1">
      <alignment horizontal="center" vertical="center" wrapText="1"/>
    </xf>
    <xf numFmtId="0" fontId="0" fillId="4" borderId="4" xfId="0" quotePrefix="1" applyFill="1" applyBorder="1" applyAlignment="1">
      <alignment horizontal="center" vertical="center"/>
    </xf>
    <xf numFmtId="0" fontId="31" fillId="0" borderId="4" xfId="0" applyFont="1" applyBorder="1" applyAlignment="1">
      <alignment horizontal="center" vertical="center" wrapText="1"/>
    </xf>
    <xf numFmtId="0" fontId="3" fillId="4" borderId="4" xfId="0" applyFont="1" applyFill="1" applyBorder="1" applyAlignment="1">
      <alignment horizontal="center" vertical="center"/>
    </xf>
    <xf numFmtId="0" fontId="12" fillId="0" borderId="0" xfId="4" applyFont="1" applyAlignment="1">
      <alignment horizontal="left" vertical="top" wrapText="1"/>
    </xf>
    <xf numFmtId="0" fontId="3" fillId="0" borderId="4" xfId="0" applyFont="1" applyBorder="1" applyAlignment="1">
      <alignment horizontal="center" vertical="center" wrapText="1"/>
    </xf>
    <xf numFmtId="0" fontId="12" fillId="4" borderId="2" xfId="0" applyFont="1" applyFill="1" applyBorder="1" applyAlignment="1">
      <alignment horizontal="center" vertical="center" wrapText="1"/>
    </xf>
    <xf numFmtId="0" fontId="0" fillId="0" borderId="2" xfId="0" applyBorder="1" applyAlignment="1">
      <alignment horizontal="center" vertical="center"/>
    </xf>
    <xf numFmtId="0" fontId="29" fillId="0" borderId="7" xfId="0" applyFont="1" applyBorder="1" applyAlignment="1">
      <alignment horizontal="left" vertical="center" wrapText="1"/>
    </xf>
    <xf numFmtId="0" fontId="120" fillId="0" borderId="7" xfId="0" applyFont="1" applyBorder="1" applyAlignment="1">
      <alignment horizontal="left" vertical="center" wrapText="1"/>
    </xf>
    <xf numFmtId="3" fontId="29" fillId="0" borderId="7" xfId="0" applyNumberFormat="1" applyFont="1" applyBorder="1" applyAlignment="1">
      <alignment horizontal="left" vertical="center" wrapText="1"/>
    </xf>
    <xf numFmtId="0" fontId="120" fillId="0" borderId="4" xfId="0" applyFont="1" applyBorder="1" applyAlignment="1">
      <alignment horizontal="left" vertical="center" wrapText="1"/>
    </xf>
    <xf numFmtId="0" fontId="29" fillId="0" borderId="4" xfId="0" applyFont="1" applyBorder="1" applyAlignment="1">
      <alignment horizontal="left" vertical="center" wrapText="1"/>
    </xf>
    <xf numFmtId="0" fontId="0" fillId="4" borderId="103" xfId="0" quotePrefix="1" applyFill="1" applyBorder="1" applyAlignment="1">
      <alignment horizontal="center" vertical="center"/>
    </xf>
    <xf numFmtId="0" fontId="0" fillId="4" borderId="16" xfId="0" quotePrefix="1" applyFill="1" applyBorder="1" applyAlignment="1">
      <alignment horizontal="center" vertical="center"/>
    </xf>
    <xf numFmtId="0" fontId="3" fillId="17" borderId="4" xfId="0" applyFont="1" applyFill="1" applyBorder="1" applyAlignment="1">
      <alignment horizontal="center" vertical="center"/>
    </xf>
    <xf numFmtId="0" fontId="1" fillId="4" borderId="1" xfId="3" applyFont="1" applyFill="1" applyBorder="1" applyAlignment="1">
      <alignment horizontal="center" vertical="center" wrapText="1"/>
    </xf>
    <xf numFmtId="0" fontId="1" fillId="4" borderId="3" xfId="3" applyFont="1" applyFill="1" applyBorder="1" applyAlignment="1">
      <alignment horizontal="center" vertical="center" wrapText="1"/>
    </xf>
    <xf numFmtId="0" fontId="0" fillId="4" borderId="1" xfId="3" applyFont="1" applyFill="1" applyBorder="1" applyAlignment="1">
      <alignment horizontal="center" vertical="center" wrapText="1"/>
    </xf>
    <xf numFmtId="0" fontId="0" fillId="4" borderId="3" xfId="3" applyFont="1" applyFill="1" applyBorder="1" applyAlignment="1">
      <alignment horizontal="center" vertical="center" wrapText="1"/>
    </xf>
    <xf numFmtId="0" fontId="2" fillId="0" borderId="11" xfId="0" applyFont="1" applyBorder="1" applyAlignment="1">
      <alignment horizontal="right" vertical="center" wrapText="1"/>
    </xf>
    <xf numFmtId="0" fontId="0" fillId="0" borderId="44" xfId="0" applyBorder="1" applyAlignment="1">
      <alignment horizontal="center" vertical="center"/>
    </xf>
    <xf numFmtId="0" fontId="4" fillId="4" borderId="1" xfId="3" applyFill="1" applyBorder="1" applyAlignment="1">
      <alignment horizontal="center" vertical="center" wrapText="1"/>
    </xf>
    <xf numFmtId="0" fontId="4" fillId="4" borderId="3" xfId="3" applyFill="1" applyBorder="1" applyAlignment="1">
      <alignment horizontal="center" vertical="center" wrapText="1"/>
    </xf>
    <xf numFmtId="2" fontId="0" fillId="0" borderId="0" xfId="0" applyNumberFormat="1" applyAlignment="1">
      <alignment vertical="center"/>
    </xf>
    <xf numFmtId="3" fontId="56" fillId="0" borderId="54" xfId="0" applyNumberFormat="1" applyFont="1" applyBorder="1" applyAlignment="1">
      <alignment horizontal="left"/>
    </xf>
    <xf numFmtId="0" fontId="56" fillId="0" borderId="20" xfId="0" applyFont="1" applyBorder="1" applyAlignment="1">
      <alignment horizontal="center" vertical="center" wrapText="1"/>
    </xf>
    <xf numFmtId="0" fontId="56" fillId="0" borderId="44" xfId="0" applyFont="1" applyBorder="1" applyAlignment="1">
      <alignment horizontal="right" vertical="center" wrapText="1"/>
    </xf>
    <xf numFmtId="3" fontId="56" fillId="0" borderId="16" xfId="0" applyNumberFormat="1" applyFont="1" applyBorder="1" applyAlignment="1">
      <alignment horizontal="right" vertical="center" wrapText="1" indent="2"/>
    </xf>
    <xf numFmtId="3" fontId="56" fillId="0" borderId="50" xfId="0" applyNumberFormat="1" applyFont="1" applyBorder="1" applyAlignment="1">
      <alignment horizontal="right" indent="2"/>
    </xf>
    <xf numFmtId="3" fontId="18" fillId="0" borderId="0" xfId="0" applyNumberFormat="1" applyFont="1" applyAlignment="1">
      <alignment horizontal="left" indent="2"/>
    </xf>
    <xf numFmtId="0" fontId="12" fillId="4" borderId="1" xfId="0" applyFont="1" applyFill="1" applyBorder="1" applyAlignment="1">
      <alignment horizontal="left" vertical="top" wrapText="1"/>
    </xf>
    <xf numFmtId="0" fontId="12" fillId="4" borderId="2" xfId="0" applyFont="1" applyFill="1" applyBorder="1" applyAlignment="1">
      <alignment horizontal="left" vertical="top" wrapText="1"/>
    </xf>
    <xf numFmtId="0" fontId="12" fillId="4" borderId="3" xfId="0" applyFont="1" applyFill="1" applyBorder="1" applyAlignment="1">
      <alignment horizontal="left" vertical="top" wrapText="1"/>
    </xf>
    <xf numFmtId="3" fontId="3" fillId="0" borderId="0" xfId="0" applyNumberFormat="1" applyFont="1" applyAlignment="1">
      <alignment horizontal="center" vertical="center" wrapText="1"/>
    </xf>
    <xf numFmtId="1" fontId="3" fillId="4" borderId="0" xfId="0" applyNumberFormat="1" applyFont="1" applyFill="1" applyAlignment="1">
      <alignment horizontal="center" vertical="center"/>
    </xf>
    <xf numFmtId="0" fontId="3" fillId="4" borderId="11" xfId="0" applyFont="1" applyFill="1" applyBorder="1" applyAlignment="1">
      <alignment horizontal="center" vertical="center"/>
    </xf>
    <xf numFmtId="0" fontId="52" fillId="0" borderId="2" xfId="3" applyFont="1" applyBorder="1" applyAlignment="1">
      <alignment horizontal="center" vertical="center" wrapText="1"/>
    </xf>
    <xf numFmtId="0" fontId="0" fillId="0" borderId="18" xfId="0" applyBorder="1" applyAlignment="1">
      <alignment horizontal="center" wrapText="1"/>
    </xf>
    <xf numFmtId="0" fontId="0" fillId="0" borderId="10" xfId="0" applyBorder="1" applyAlignment="1">
      <alignment horizontal="center" wrapText="1"/>
    </xf>
    <xf numFmtId="165" fontId="3" fillId="0" borderId="5" xfId="2" applyNumberFormat="1" applyFont="1" applyFill="1" applyBorder="1" applyAlignment="1">
      <alignment horizontal="center" vertical="center"/>
    </xf>
    <xf numFmtId="165" fontId="3" fillId="0" borderId="0" xfId="2" applyNumberFormat="1" applyFont="1" applyFill="1" applyBorder="1" applyAlignment="1">
      <alignment horizontal="left" vertical="center"/>
    </xf>
    <xf numFmtId="3" fontId="4" fillId="0" borderId="16" xfId="3" applyNumberFormat="1" applyBorder="1" applyAlignment="1">
      <alignment horizontal="left"/>
    </xf>
    <xf numFmtId="165" fontId="3" fillId="0" borderId="0" xfId="2" applyNumberFormat="1" applyFont="1" applyFill="1" applyBorder="1" applyAlignment="1">
      <alignment horizontal="right" indent="2"/>
    </xf>
    <xf numFmtId="165" fontId="3" fillId="0" borderId="11" xfId="2" applyNumberFormat="1" applyFont="1" applyFill="1" applyBorder="1" applyAlignment="1">
      <alignment horizontal="right" indent="2"/>
    </xf>
    <xf numFmtId="165" fontId="3" fillId="0" borderId="18" xfId="2" applyNumberFormat="1" applyFont="1" applyFill="1" applyBorder="1" applyAlignment="1">
      <alignment horizontal="center" vertical="center"/>
    </xf>
    <xf numFmtId="165" fontId="3" fillId="0" borderId="10" xfId="2" applyNumberFormat="1" applyFont="1" applyFill="1" applyBorder="1" applyAlignment="1">
      <alignment horizontal="center" vertical="center"/>
    </xf>
    <xf numFmtId="9" fontId="3" fillId="0" borderId="0" xfId="2" applyFont="1" applyFill="1" applyBorder="1" applyAlignment="1">
      <alignment horizontal="right" vertical="center" wrapText="1" indent="2"/>
    </xf>
    <xf numFmtId="9" fontId="3" fillId="0" borderId="11" xfId="2" applyFont="1" applyFill="1" applyBorder="1" applyAlignment="1">
      <alignment horizontal="right" vertical="center" wrapText="1" indent="2"/>
    </xf>
    <xf numFmtId="3" fontId="0" fillId="0" borderId="11" xfId="0" applyNumberFormat="1" applyBorder="1" applyAlignment="1">
      <alignment horizontal="left" vertical="center" wrapText="1"/>
    </xf>
    <xf numFmtId="165" fontId="0" fillId="0" borderId="10" xfId="2" applyNumberFormat="1" applyFont="1" applyFill="1" applyBorder="1" applyAlignment="1">
      <alignment horizontal="center"/>
    </xf>
    <xf numFmtId="3" fontId="3" fillId="0" borderId="11" xfId="0" applyNumberFormat="1" applyFont="1" applyBorder="1" applyAlignment="1">
      <alignment horizontal="left" vertical="center"/>
    </xf>
    <xf numFmtId="165" fontId="0" fillId="0" borderId="11" xfId="0" applyNumberFormat="1" applyBorder="1" applyAlignment="1">
      <alignment horizontal="center"/>
    </xf>
    <xf numFmtId="9" fontId="0" fillId="0" borderId="0" xfId="2" applyFont="1" applyFill="1" applyBorder="1" applyAlignment="1">
      <alignment horizontal="right" vertical="center" wrapText="1" indent="2"/>
    </xf>
    <xf numFmtId="3" fontId="4" fillId="0" borderId="11" xfId="3" applyNumberFormat="1" applyFill="1" applyBorder="1" applyAlignment="1">
      <alignment horizontal="left" vertical="center"/>
    </xf>
    <xf numFmtId="3" fontId="0" fillId="0" borderId="11" xfId="0" applyNumberFormat="1" applyBorder="1" applyAlignment="1">
      <alignment horizontal="left" vertical="center" wrapText="1" indent="2"/>
    </xf>
    <xf numFmtId="9" fontId="0" fillId="0" borderId="11" xfId="2" applyFont="1" applyFill="1" applyBorder="1" applyAlignment="1">
      <alignment horizontal="right" vertical="center" wrapText="1" indent="2"/>
    </xf>
    <xf numFmtId="0" fontId="4" fillId="0" borderId="10" xfId="3" applyBorder="1" applyAlignment="1"/>
    <xf numFmtId="3" fontId="0" fillId="0" borderId="11" xfId="0" applyNumberFormat="1" applyBorder="1" applyAlignment="1">
      <alignment horizontal="right" vertical="center" indent="2"/>
    </xf>
    <xf numFmtId="0" fontId="5" fillId="0" borderId="10" xfId="0" applyFont="1" applyBorder="1" applyAlignment="1">
      <alignment vertical="center"/>
    </xf>
    <xf numFmtId="165" fontId="19" fillId="0" borderId="0" xfId="2" applyNumberFormat="1" applyFont="1" applyFill="1" applyBorder="1" applyAlignment="1">
      <alignment horizontal="right" vertical="center" wrapText="1" indent="2"/>
    </xf>
    <xf numFmtId="165" fontId="19" fillId="0" borderId="11" xfId="2" applyNumberFormat="1" applyFont="1" applyFill="1" applyBorder="1" applyAlignment="1">
      <alignment horizontal="right" vertical="center" wrapText="1" indent="2"/>
    </xf>
    <xf numFmtId="165" fontId="42" fillId="0" borderId="38" xfId="2" applyNumberFormat="1" applyFont="1" applyFill="1" applyBorder="1" applyAlignment="1">
      <alignment horizontal="right" indent="2"/>
    </xf>
    <xf numFmtId="166" fontId="87" fillId="12" borderId="27" xfId="0" applyNumberFormat="1" applyFont="1" applyFill="1" applyBorder="1" applyAlignment="1">
      <alignment horizontal="right" indent="2"/>
    </xf>
    <xf numFmtId="166" fontId="87" fillId="12" borderId="74" xfId="0" applyNumberFormat="1" applyFont="1" applyFill="1" applyBorder="1" applyAlignment="1">
      <alignment horizontal="right" indent="2"/>
    </xf>
    <xf numFmtId="166" fontId="16" fillId="0" borderId="0" xfId="0" applyNumberFormat="1" applyFont="1" applyAlignment="1">
      <alignment horizontal="left" vertical="center"/>
    </xf>
    <xf numFmtId="166" fontId="87" fillId="0" borderId="8" xfId="0" applyNumberFormat="1" applyFont="1" applyBorder="1" applyAlignment="1">
      <alignment horizontal="left"/>
    </xf>
    <xf numFmtId="166" fontId="87" fillId="6" borderId="81" xfId="0" applyNumberFormat="1" applyFont="1" applyFill="1" applyBorder="1" applyAlignment="1">
      <alignment horizontal="right" indent="2"/>
    </xf>
    <xf numFmtId="0" fontId="16" fillId="0" borderId="10" xfId="0" applyFont="1" applyBorder="1"/>
    <xf numFmtId="166" fontId="88" fillId="12" borderId="27" xfId="0" applyNumberFormat="1" applyFont="1" applyFill="1" applyBorder="1" applyAlignment="1">
      <alignment horizontal="right" indent="2"/>
    </xf>
    <xf numFmtId="166" fontId="88" fillId="12" borderId="74" xfId="0" applyNumberFormat="1" applyFont="1" applyFill="1" applyBorder="1" applyAlignment="1">
      <alignment horizontal="right" indent="2"/>
    </xf>
    <xf numFmtId="166" fontId="88" fillId="0" borderId="8" xfId="0" applyNumberFormat="1" applyFont="1" applyBorder="1" applyAlignment="1">
      <alignment horizontal="left"/>
    </xf>
    <xf numFmtId="166" fontId="88" fillId="6" borderId="81" xfId="0" applyNumberFormat="1" applyFont="1" applyFill="1" applyBorder="1" applyAlignment="1">
      <alignment horizontal="right" indent="2"/>
    </xf>
    <xf numFmtId="166" fontId="56" fillId="0" borderId="0" xfId="0" applyNumberFormat="1" applyFont="1" applyAlignment="1">
      <alignment horizontal="center" vertical="center"/>
    </xf>
    <xf numFmtId="166" fontId="56" fillId="0" borderId="8" xfId="0" applyNumberFormat="1" applyFont="1" applyBorder="1" applyAlignment="1">
      <alignment horizontal="center" vertical="center"/>
    </xf>
    <xf numFmtId="166" fontId="87" fillId="0" borderId="0" xfId="0" applyNumberFormat="1" applyFont="1" applyAlignment="1">
      <alignment horizontal="right" indent="2"/>
    </xf>
    <xf numFmtId="166" fontId="87" fillId="4" borderId="72" xfId="0" applyNumberFormat="1" applyFont="1" applyFill="1" applyBorder="1" applyAlignment="1">
      <alignment horizontal="right" indent="2"/>
    </xf>
    <xf numFmtId="166" fontId="87" fillId="12" borderId="17" xfId="0" applyNumberFormat="1" applyFont="1" applyFill="1" applyBorder="1" applyAlignment="1">
      <alignment horizontal="right" indent="2"/>
    </xf>
    <xf numFmtId="166" fontId="88" fillId="12" borderId="65" xfId="0" applyNumberFormat="1" applyFont="1" applyFill="1" applyBorder="1" applyAlignment="1">
      <alignment horizontal="right" indent="2"/>
    </xf>
    <xf numFmtId="4" fontId="16" fillId="0" borderId="0" xfId="0" applyNumberFormat="1" applyFont="1" applyAlignment="1">
      <alignment horizontal="left" vertical="center"/>
    </xf>
    <xf numFmtId="165" fontId="16" fillId="0" borderId="11" xfId="2" applyNumberFormat="1" applyFont="1" applyFill="1" applyBorder="1" applyAlignment="1">
      <alignment horizontal="center"/>
    </xf>
    <xf numFmtId="166" fontId="88" fillId="0" borderId="0" xfId="0" applyNumberFormat="1" applyFont="1" applyAlignment="1">
      <alignment horizontal="center" vertical="center"/>
    </xf>
    <xf numFmtId="166" fontId="88" fillId="4" borderId="72" xfId="0" applyNumberFormat="1" applyFont="1" applyFill="1" applyBorder="1" applyAlignment="1">
      <alignment horizontal="right" indent="2"/>
    </xf>
    <xf numFmtId="166" fontId="88" fillId="12" borderId="21" xfId="0" applyNumberFormat="1" applyFont="1" applyFill="1" applyBorder="1" applyAlignment="1">
      <alignment horizontal="right" indent="2"/>
    </xf>
    <xf numFmtId="166" fontId="88" fillId="12" borderId="51" xfId="0" applyNumberFormat="1" applyFont="1" applyFill="1" applyBorder="1" applyAlignment="1">
      <alignment horizontal="right" indent="2"/>
    </xf>
    <xf numFmtId="166" fontId="56" fillId="0" borderId="16" xfId="0" applyNumberFormat="1" applyFont="1" applyBorder="1" applyAlignment="1">
      <alignment horizontal="left" vertical="center"/>
    </xf>
    <xf numFmtId="166" fontId="56" fillId="12" borderId="25" xfId="0" applyNumberFormat="1" applyFont="1" applyFill="1" applyBorder="1" applyAlignment="1">
      <alignment horizontal="right" indent="2"/>
    </xf>
    <xf numFmtId="3" fontId="67" fillId="4" borderId="79" xfId="0" applyNumberFormat="1" applyFont="1" applyFill="1" applyBorder="1" applyAlignment="1">
      <alignment horizontal="right" indent="2"/>
    </xf>
    <xf numFmtId="166" fontId="2" fillId="4" borderId="62" xfId="0" applyNumberFormat="1" applyFont="1" applyFill="1" applyBorder="1" applyAlignment="1">
      <alignment horizontal="center"/>
    </xf>
    <xf numFmtId="3" fontId="4" fillId="0" borderId="44" xfId="3" applyNumberFormat="1" applyFill="1" applyBorder="1"/>
    <xf numFmtId="3" fontId="2" fillId="0" borderId="0" xfId="0" applyNumberFormat="1" applyFont="1" applyAlignment="1">
      <alignment horizontal="center"/>
    </xf>
    <xf numFmtId="165" fontId="125" fillId="0" borderId="0" xfId="2" applyNumberFormat="1" applyFont="1" applyFill="1" applyBorder="1" applyAlignment="1">
      <alignment horizontal="center"/>
    </xf>
    <xf numFmtId="3" fontId="92" fillId="0" borderId="0" xfId="2" applyNumberFormat="1" applyFont="1" applyFill="1" applyBorder="1" applyAlignment="1">
      <alignment horizontal="center"/>
    </xf>
    <xf numFmtId="0" fontId="4" fillId="4" borderId="4" xfId="3" applyFill="1" applyBorder="1" applyAlignment="1">
      <alignment vertical="center" wrapText="1"/>
    </xf>
    <xf numFmtId="0" fontId="1" fillId="4" borderId="4" xfId="3" applyFont="1" applyFill="1" applyBorder="1" applyAlignment="1">
      <alignment vertical="center" wrapText="1"/>
    </xf>
    <xf numFmtId="0" fontId="1" fillId="4" borderId="1" xfId="3" applyFont="1" applyFill="1" applyBorder="1" applyAlignment="1">
      <alignment vertical="center" wrapText="1"/>
    </xf>
    <xf numFmtId="0" fontId="85" fillId="21" borderId="1" xfId="3" applyFont="1" applyFill="1" applyBorder="1" applyAlignment="1">
      <alignment vertical="center" wrapText="1"/>
    </xf>
    <xf numFmtId="0" fontId="70" fillId="0" borderId="5" xfId="0" applyFont="1" applyBorder="1" applyAlignment="1">
      <alignment horizontal="right"/>
    </xf>
    <xf numFmtId="0" fontId="70" fillId="7" borderId="10" xfId="0" applyFont="1" applyFill="1" applyBorder="1" applyAlignment="1">
      <alignment horizontal="right"/>
    </xf>
    <xf numFmtId="0" fontId="70" fillId="7" borderId="7" xfId="0" applyFont="1" applyFill="1" applyBorder="1" applyAlignment="1">
      <alignment horizontal="right"/>
    </xf>
    <xf numFmtId="0" fontId="149" fillId="0" borderId="10" xfId="0" applyFont="1" applyBorder="1"/>
    <xf numFmtId="3" fontId="12" fillId="6" borderId="46" xfId="0" applyNumberFormat="1" applyFont="1" applyFill="1" applyBorder="1"/>
    <xf numFmtId="3" fontId="15" fillId="0" borderId="0" xfId="2" applyNumberFormat="1" applyFont="1" applyBorder="1" applyAlignment="1">
      <alignment horizontal="right" indent="2"/>
    </xf>
    <xf numFmtId="165" fontId="1" fillId="6" borderId="11" xfId="2" applyNumberFormat="1" applyFont="1" applyFill="1" applyBorder="1" applyAlignment="1">
      <alignment horizontal="right" indent="2"/>
    </xf>
    <xf numFmtId="165" fontId="12" fillId="6" borderId="23" xfId="0" applyNumberFormat="1" applyFont="1" applyFill="1" applyBorder="1"/>
    <xf numFmtId="165" fontId="1" fillId="0" borderId="0" xfId="2" applyNumberFormat="1" applyFont="1" applyBorder="1" applyAlignment="1">
      <alignment horizontal="right" indent="2"/>
    </xf>
    <xf numFmtId="165" fontId="1" fillId="6" borderId="24" xfId="2" applyNumberFormat="1" applyFont="1" applyFill="1" applyBorder="1"/>
    <xf numFmtId="165" fontId="1" fillId="6" borderId="51" xfId="2" applyNumberFormat="1" applyFont="1" applyFill="1" applyBorder="1"/>
    <xf numFmtId="165" fontId="1" fillId="0" borderId="0" xfId="2" applyNumberFormat="1" applyFont="1"/>
    <xf numFmtId="165" fontId="1" fillId="0" borderId="8" xfId="2" applyNumberFormat="1" applyFont="1" applyBorder="1"/>
    <xf numFmtId="165" fontId="1" fillId="6" borderId="21" xfId="2" applyNumberFormat="1" applyFont="1" applyFill="1" applyBorder="1"/>
    <xf numFmtId="165" fontId="1" fillId="6" borderId="11" xfId="2" applyNumberFormat="1" applyFont="1" applyFill="1" applyBorder="1"/>
    <xf numFmtId="165" fontId="1" fillId="0" borderId="0" xfId="2" applyNumberFormat="1" applyFont="1" applyBorder="1"/>
    <xf numFmtId="165" fontId="1" fillId="6" borderId="63" xfId="2" applyNumberFormat="1" applyFont="1" applyFill="1" applyBorder="1"/>
    <xf numFmtId="3" fontId="1" fillId="0" borderId="0" xfId="2" applyNumberFormat="1" applyFont="1" applyAlignment="1">
      <alignment horizontal="right" indent="2"/>
    </xf>
    <xf numFmtId="3" fontId="1" fillId="0" borderId="11" xfId="2" applyNumberFormat="1" applyFont="1" applyBorder="1" applyAlignment="1">
      <alignment horizontal="right" indent="2"/>
    </xf>
    <xf numFmtId="3" fontId="1" fillId="0" borderId="8" xfId="2" applyNumberFormat="1" applyFont="1" applyBorder="1" applyAlignment="1">
      <alignment horizontal="right" indent="2"/>
    </xf>
    <xf numFmtId="3" fontId="1" fillId="6" borderId="11" xfId="2" applyNumberFormat="1" applyFont="1" applyFill="1" applyBorder="1" applyAlignment="1">
      <alignment horizontal="right" indent="2"/>
    </xf>
    <xf numFmtId="3" fontId="12" fillId="6" borderId="23" xfId="0" applyNumberFormat="1" applyFont="1" applyFill="1" applyBorder="1"/>
    <xf numFmtId="3" fontId="1" fillId="0" borderId="0" xfId="2" applyNumberFormat="1" applyFont="1" applyBorder="1" applyAlignment="1">
      <alignment horizontal="right" indent="2"/>
    </xf>
    <xf numFmtId="3" fontId="1" fillId="6" borderId="63" xfId="2" applyNumberFormat="1" applyFont="1" applyFill="1" applyBorder="1" applyAlignment="1">
      <alignment horizontal="right" indent="2"/>
    </xf>
    <xf numFmtId="165" fontId="12" fillId="6" borderId="35" xfId="0" applyNumberFormat="1" applyFont="1" applyFill="1" applyBorder="1"/>
    <xf numFmtId="166" fontId="0" fillId="3" borderId="65" xfId="0" applyNumberFormat="1" applyFill="1" applyBorder="1" applyAlignment="1">
      <alignment horizontal="right" indent="2"/>
    </xf>
    <xf numFmtId="166" fontId="0" fillId="3" borderId="51" xfId="0" applyNumberFormat="1" applyFill="1" applyBorder="1" applyAlignment="1">
      <alignment horizontal="right" indent="2"/>
    </xf>
    <xf numFmtId="166" fontId="0" fillId="3" borderId="74" xfId="0" applyNumberFormat="1" applyFill="1" applyBorder="1" applyAlignment="1">
      <alignment horizontal="right" indent="2"/>
    </xf>
    <xf numFmtId="166" fontId="0" fillId="3" borderId="66" xfId="0" applyNumberFormat="1" applyFill="1" applyBorder="1" applyAlignment="1">
      <alignment horizontal="right" indent="2"/>
    </xf>
    <xf numFmtId="166" fontId="0" fillId="4" borderId="42" xfId="0" applyNumberFormat="1" applyFill="1" applyBorder="1" applyAlignment="1">
      <alignment horizontal="right" indent="2"/>
    </xf>
    <xf numFmtId="166" fontId="0" fillId="4" borderId="0" xfId="0" applyNumberFormat="1" applyFill="1" applyAlignment="1">
      <alignment horizontal="right" vertical="center" wrapText="1" indent="2"/>
    </xf>
    <xf numFmtId="166" fontId="2" fillId="4" borderId="25" xfId="0" applyNumberFormat="1" applyFont="1" applyFill="1" applyBorder="1" applyAlignment="1">
      <alignment horizontal="right" indent="2"/>
    </xf>
    <xf numFmtId="3" fontId="2" fillId="0" borderId="50" xfId="0" applyNumberFormat="1" applyFont="1" applyBorder="1" applyAlignment="1">
      <alignment horizontal="left"/>
    </xf>
    <xf numFmtId="166" fontId="0" fillId="4" borderId="44" xfId="0" applyNumberFormat="1" applyFill="1" applyBorder="1" applyAlignment="1">
      <alignment horizontal="right" vertical="center" wrapText="1" indent="2"/>
    </xf>
    <xf numFmtId="165" fontId="53" fillId="0" borderId="44" xfId="2" applyNumberFormat="1" applyFont="1" applyFill="1" applyBorder="1" applyAlignment="1">
      <alignment horizontal="center" vertical="center"/>
    </xf>
    <xf numFmtId="3" fontId="2" fillId="0" borderId="16" xfId="0" applyNumberFormat="1" applyFont="1" applyBorder="1" applyAlignment="1">
      <alignment horizontal="left" indent="2"/>
    </xf>
    <xf numFmtId="4" fontId="2" fillId="4" borderId="25" xfId="0" applyNumberFormat="1" applyFont="1" applyFill="1" applyBorder="1" applyAlignment="1">
      <alignment horizontal="right" indent="2"/>
    </xf>
    <xf numFmtId="166" fontId="2" fillId="4" borderId="0" xfId="0" applyNumberFormat="1" applyFont="1" applyFill="1" applyAlignment="1">
      <alignment horizontal="right" indent="2"/>
    </xf>
    <xf numFmtId="4" fontId="56" fillId="4" borderId="0" xfId="0" applyNumberFormat="1" applyFont="1" applyFill="1" applyAlignment="1">
      <alignment horizontal="right" indent="2"/>
    </xf>
    <xf numFmtId="4" fontId="0" fillId="4" borderId="0" xfId="0" applyNumberFormat="1" applyFill="1" applyAlignment="1">
      <alignment horizontal="right" indent="2"/>
    </xf>
    <xf numFmtId="4" fontId="2" fillId="4" borderId="18" xfId="0" applyNumberFormat="1" applyFont="1" applyFill="1" applyBorder="1" applyAlignment="1">
      <alignment horizontal="right" indent="2"/>
    </xf>
    <xf numFmtId="4" fontId="2" fillId="4" borderId="0" xfId="0" applyNumberFormat="1" applyFont="1" applyFill="1" applyAlignment="1">
      <alignment horizontal="right" indent="2"/>
    </xf>
    <xf numFmtId="166" fontId="0" fillId="4" borderId="6" xfId="0" applyNumberFormat="1" applyFill="1" applyBorder="1" applyAlignment="1">
      <alignment horizontal="right" indent="4"/>
    </xf>
    <xf numFmtId="166" fontId="0" fillId="4" borderId="8" xfId="0" applyNumberFormat="1" applyFill="1" applyBorder="1" applyAlignment="1">
      <alignment horizontal="right" indent="4"/>
    </xf>
    <xf numFmtId="166" fontId="0" fillId="4" borderId="9" xfId="0" applyNumberFormat="1" applyFill="1" applyBorder="1" applyAlignment="1">
      <alignment horizontal="right" indent="4"/>
    </xf>
    <xf numFmtId="166" fontId="0" fillId="4" borderId="66" xfId="0" applyNumberFormat="1" applyFill="1" applyBorder="1" applyAlignment="1">
      <alignment horizontal="right" indent="4"/>
    </xf>
    <xf numFmtId="3" fontId="2" fillId="0" borderId="44" xfId="0" applyNumberFormat="1" applyFont="1" applyBorder="1" applyAlignment="1">
      <alignment horizontal="left"/>
    </xf>
    <xf numFmtId="3" fontId="56" fillId="4" borderId="26" xfId="0" applyNumberFormat="1" applyFont="1" applyFill="1" applyBorder="1" applyAlignment="1">
      <alignment horizontal="right" indent="2"/>
    </xf>
    <xf numFmtId="165" fontId="0" fillId="4" borderId="41" xfId="2" applyNumberFormat="1" applyFont="1" applyFill="1" applyBorder="1" applyAlignment="1">
      <alignment horizontal="right" indent="2"/>
    </xf>
    <xf numFmtId="3" fontId="0" fillId="0" borderId="15" xfId="0" applyNumberFormat="1" applyBorder="1"/>
    <xf numFmtId="3" fontId="0" fillId="3" borderId="8" xfId="0" applyNumberFormat="1" applyFill="1" applyBorder="1" applyAlignment="1">
      <alignment horizontal="right" vertical="center" wrapText="1" indent="2"/>
    </xf>
    <xf numFmtId="3" fontId="0" fillId="3" borderId="41" xfId="0" applyNumberFormat="1" applyFill="1" applyBorder="1" applyAlignment="1">
      <alignment horizontal="right" vertical="center" wrapText="1" indent="2"/>
    </xf>
    <xf numFmtId="166" fontId="0" fillId="7" borderId="0" xfId="0" applyNumberFormat="1" applyFill="1" applyAlignment="1">
      <alignment horizontal="right" vertical="center" wrapText="1" indent="2"/>
    </xf>
    <xf numFmtId="165" fontId="0" fillId="0" borderId="4" xfId="0" applyNumberFormat="1" applyBorder="1"/>
    <xf numFmtId="166" fontId="15" fillId="0" borderId="18" xfId="2" applyNumberFormat="1" applyFont="1" applyFill="1" applyBorder="1" applyAlignment="1">
      <alignment horizontal="right" indent="2"/>
    </xf>
    <xf numFmtId="166" fontId="56" fillId="3" borderId="17" xfId="2" applyNumberFormat="1" applyFont="1" applyFill="1" applyBorder="1" applyAlignment="1">
      <alignment horizontal="right" indent="2"/>
    </xf>
    <xf numFmtId="166" fontId="56" fillId="3" borderId="65" xfId="2" applyNumberFormat="1" applyFont="1" applyFill="1" applyBorder="1" applyAlignment="1">
      <alignment horizontal="right" indent="2"/>
    </xf>
    <xf numFmtId="165" fontId="0" fillId="0" borderId="18" xfId="2" applyNumberFormat="1" applyFont="1" applyFill="1" applyBorder="1" applyAlignment="1">
      <alignment horizontal="right" indent="2"/>
    </xf>
    <xf numFmtId="165" fontId="15" fillId="0" borderId="18" xfId="2" applyNumberFormat="1" applyFont="1" applyFill="1" applyBorder="1" applyAlignment="1">
      <alignment horizontal="right" indent="2"/>
    </xf>
    <xf numFmtId="0" fontId="56" fillId="3" borderId="22" xfId="0" applyFont="1" applyFill="1" applyBorder="1" applyAlignment="1">
      <alignment horizontal="right"/>
    </xf>
    <xf numFmtId="0" fontId="56" fillId="3" borderId="28" xfId="0" applyFont="1" applyFill="1" applyBorder="1" applyAlignment="1">
      <alignment horizontal="right"/>
    </xf>
    <xf numFmtId="0" fontId="88" fillId="0" borderId="11" xfId="0" applyFont="1" applyBorder="1" applyAlignment="1">
      <alignment horizontal="right"/>
    </xf>
    <xf numFmtId="0" fontId="88" fillId="4" borderId="8" xfId="0" applyFont="1" applyFill="1" applyBorder="1" applyAlignment="1">
      <alignment horizontal="right"/>
    </xf>
    <xf numFmtId="0" fontId="88" fillId="4" borderId="9" xfId="0" applyFont="1" applyFill="1" applyBorder="1" applyAlignment="1">
      <alignment horizontal="right"/>
    </xf>
    <xf numFmtId="0" fontId="56" fillId="4" borderId="9" xfId="0" applyFont="1" applyFill="1" applyBorder="1" applyAlignment="1">
      <alignment horizontal="right"/>
    </xf>
    <xf numFmtId="0" fontId="56" fillId="4" borderId="0" xfId="0" applyFont="1" applyFill="1" applyAlignment="1">
      <alignment horizontal="right"/>
    </xf>
    <xf numFmtId="0" fontId="67" fillId="4" borderId="0" xfId="0" applyFont="1" applyFill="1" applyAlignment="1">
      <alignment horizontal="left"/>
    </xf>
    <xf numFmtId="0" fontId="16" fillId="6" borderId="13" xfId="0" applyFont="1" applyFill="1" applyBorder="1" applyAlignment="1">
      <alignment vertical="center" wrapText="1"/>
    </xf>
    <xf numFmtId="3" fontId="2" fillId="0" borderId="52" xfId="0" applyNumberFormat="1" applyFont="1" applyBorder="1" applyAlignment="1">
      <alignment horizontal="right"/>
    </xf>
    <xf numFmtId="3" fontId="16" fillId="0" borderId="16" xfId="0" applyNumberFormat="1" applyFont="1" applyBorder="1" applyAlignment="1">
      <alignment horizontal="left" indent="2"/>
    </xf>
    <xf numFmtId="0" fontId="0" fillId="6" borderId="15" xfId="0" applyFill="1" applyBorder="1" applyAlignment="1">
      <alignment vertical="center"/>
    </xf>
    <xf numFmtId="165" fontId="55" fillId="0" borderId="38" xfId="2" applyNumberFormat="1" applyFont="1" applyFill="1" applyBorder="1" applyAlignment="1"/>
    <xf numFmtId="165" fontId="1" fillId="0" borderId="0" xfId="2" applyNumberFormat="1" applyFont="1" applyFill="1" applyBorder="1" applyAlignment="1">
      <alignment horizontal="right" indent="2"/>
    </xf>
    <xf numFmtId="165" fontId="1" fillId="0" borderId="11" xfId="2" applyNumberFormat="1" applyFont="1" applyFill="1" applyBorder="1" applyAlignment="1">
      <alignment horizontal="right" indent="2"/>
    </xf>
    <xf numFmtId="165" fontId="1" fillId="0" borderId="8" xfId="2" applyNumberFormat="1" applyFont="1" applyFill="1" applyBorder="1" applyAlignment="1">
      <alignment horizontal="right" indent="2"/>
    </xf>
    <xf numFmtId="165" fontId="1" fillId="0" borderId="0" xfId="2" applyNumberFormat="1" applyFont="1" applyFill="1" applyBorder="1"/>
    <xf numFmtId="165" fontId="1" fillId="0" borderId="11" xfId="2" applyNumberFormat="1" applyFont="1" applyFill="1" applyBorder="1"/>
    <xf numFmtId="165" fontId="1" fillId="0" borderId="8" xfId="2" applyNumberFormat="1" applyFont="1" applyFill="1" applyBorder="1"/>
    <xf numFmtId="165" fontId="1" fillId="0" borderId="19" xfId="2" applyNumberFormat="1" applyFont="1" applyFill="1" applyBorder="1"/>
    <xf numFmtId="10" fontId="12" fillId="0" borderId="0" xfId="2" applyNumberFormat="1" applyFont="1"/>
    <xf numFmtId="165" fontId="12" fillId="0" borderId="0" xfId="2" applyNumberFormat="1" applyFont="1" applyAlignment="1">
      <alignment horizontal="left"/>
    </xf>
    <xf numFmtId="165" fontId="36" fillId="32" borderId="41" xfId="2" applyNumberFormat="1" applyFont="1" applyFill="1" applyBorder="1" applyAlignment="1">
      <alignment horizontal="right" indent="2"/>
    </xf>
    <xf numFmtId="165" fontId="36" fillId="32" borderId="38" xfId="2" applyNumberFormat="1" applyFont="1" applyFill="1" applyBorder="1" applyAlignment="1">
      <alignment horizontal="right" indent="2"/>
    </xf>
    <xf numFmtId="0" fontId="52" fillId="0" borderId="4" xfId="3" applyFont="1" applyFill="1" applyBorder="1" applyAlignment="1">
      <alignment wrapText="1"/>
    </xf>
    <xf numFmtId="165" fontId="36" fillId="0" borderId="0" xfId="2" applyNumberFormat="1" applyFont="1" applyAlignment="1">
      <alignment horizontal="right"/>
    </xf>
    <xf numFmtId="165" fontId="36" fillId="0" borderId="0" xfId="2" applyNumberFormat="1" applyFont="1" applyFill="1" applyAlignment="1">
      <alignment horizontal="right"/>
    </xf>
    <xf numFmtId="3" fontId="12" fillId="8" borderId="72" xfId="0" applyNumberFormat="1" applyFont="1" applyFill="1" applyBorder="1" applyAlignment="1">
      <alignment horizontal="right" indent="2"/>
    </xf>
    <xf numFmtId="165" fontId="36" fillId="0" borderId="0" xfId="2" applyNumberFormat="1" applyFont="1" applyFill="1" applyAlignment="1">
      <alignment horizontal="center"/>
    </xf>
    <xf numFmtId="165" fontId="36" fillId="0" borderId="0" xfId="2" applyNumberFormat="1" applyFont="1" applyFill="1"/>
    <xf numFmtId="165" fontId="36" fillId="0" borderId="42" xfId="2" applyNumberFormat="1" applyFont="1" applyFill="1" applyBorder="1"/>
    <xf numFmtId="165" fontId="140" fillId="0" borderId="0" xfId="2" applyNumberFormat="1" applyFont="1"/>
    <xf numFmtId="165" fontId="54" fillId="0" borderId="0" xfId="2" applyNumberFormat="1" applyFont="1"/>
    <xf numFmtId="3" fontId="54" fillId="0" borderId="82" xfId="0" applyNumberFormat="1" applyFont="1" applyBorder="1" applyAlignment="1">
      <alignment horizontal="right" indent="2"/>
    </xf>
    <xf numFmtId="3" fontId="53" fillId="4" borderId="11" xfId="2" applyNumberFormat="1" applyFont="1" applyFill="1" applyBorder="1" applyAlignment="1">
      <alignment horizontal="right" indent="2"/>
    </xf>
    <xf numFmtId="165" fontId="190" fillId="0" borderId="0" xfId="2" applyNumberFormat="1" applyFont="1"/>
    <xf numFmtId="3" fontId="53" fillId="4" borderId="62" xfId="2" applyNumberFormat="1" applyFont="1" applyFill="1" applyBorder="1" applyAlignment="1">
      <alignment horizontal="right" indent="2"/>
    </xf>
    <xf numFmtId="3" fontId="53" fillId="4" borderId="22" xfId="2" applyNumberFormat="1" applyFont="1" applyFill="1" applyBorder="1" applyAlignment="1">
      <alignment horizontal="right" indent="2"/>
    </xf>
    <xf numFmtId="3" fontId="55" fillId="4" borderId="22" xfId="2" applyNumberFormat="1" applyFont="1" applyFill="1" applyBorder="1"/>
    <xf numFmtId="3" fontId="55" fillId="4" borderId="34" xfId="2" applyNumberFormat="1" applyFont="1" applyFill="1" applyBorder="1"/>
    <xf numFmtId="165" fontId="35" fillId="0" borderId="16" xfId="0" applyNumberFormat="1" applyFont="1" applyBorder="1" applyAlignment="1">
      <alignment horizontal="right" indent="2"/>
    </xf>
    <xf numFmtId="3" fontId="198" fillId="0" borderId="16" xfId="0" applyNumberFormat="1" applyFont="1" applyBorder="1" applyAlignment="1">
      <alignment horizontal="right" indent="2"/>
    </xf>
    <xf numFmtId="3" fontId="35" fillId="0" borderId="10" xfId="0" applyNumberFormat="1" applyFont="1" applyBorder="1" applyAlignment="1">
      <alignment horizontal="right" indent="2"/>
    </xf>
    <xf numFmtId="165" fontId="35" fillId="0" borderId="11" xfId="0" applyNumberFormat="1" applyFont="1" applyBorder="1" applyAlignment="1">
      <alignment horizontal="right" indent="2"/>
    </xf>
    <xf numFmtId="3" fontId="198" fillId="0" borderId="11" xfId="0" applyNumberFormat="1" applyFont="1" applyBorder="1" applyAlignment="1">
      <alignment horizontal="right" indent="2"/>
    </xf>
    <xf numFmtId="3" fontId="3" fillId="0" borderId="10" xfId="0" applyNumberFormat="1" applyFont="1" applyBorder="1" applyAlignment="1">
      <alignment horizontal="right" indent="2"/>
    </xf>
    <xf numFmtId="165" fontId="3" fillId="0" borderId="11" xfId="0" applyNumberFormat="1" applyFont="1" applyBorder="1" applyAlignment="1">
      <alignment horizontal="right" indent="2"/>
    </xf>
    <xf numFmtId="3" fontId="199" fillId="0" borderId="11" xfId="0" applyNumberFormat="1" applyFont="1" applyBorder="1" applyAlignment="1">
      <alignment horizontal="right" indent="2"/>
    </xf>
    <xf numFmtId="165" fontId="122" fillId="0" borderId="10" xfId="2" applyNumberFormat="1" applyFont="1" applyBorder="1" applyAlignment="1">
      <alignment horizontal="right" indent="2"/>
    </xf>
    <xf numFmtId="165" fontId="122" fillId="0" borderId="0" xfId="2" applyNumberFormat="1" applyFont="1" applyAlignment="1">
      <alignment horizontal="right"/>
    </xf>
    <xf numFmtId="165" fontId="122" fillId="0" borderId="0" xfId="2" applyNumberFormat="1" applyFont="1" applyBorder="1" applyAlignment="1">
      <alignment horizontal="right" indent="2"/>
    </xf>
    <xf numFmtId="165" fontId="200" fillId="0" borderId="11" xfId="2" applyNumberFormat="1" applyFont="1" applyBorder="1" applyAlignment="1">
      <alignment horizontal="right" indent="2"/>
    </xf>
    <xf numFmtId="3" fontId="36" fillId="0" borderId="0" xfId="2" applyNumberFormat="1" applyFont="1" applyBorder="1" applyAlignment="1">
      <alignment horizontal="right" indent="1"/>
    </xf>
    <xf numFmtId="165" fontId="36" fillId="0" borderId="0" xfId="2" applyNumberFormat="1" applyFont="1" applyBorder="1" applyAlignment="1">
      <alignment horizontal="right" indent="3"/>
    </xf>
    <xf numFmtId="165" fontId="21" fillId="0" borderId="0" xfId="2" applyNumberFormat="1" applyFont="1" applyBorder="1" applyAlignment="1">
      <alignment horizontal="right" indent="3"/>
    </xf>
    <xf numFmtId="3" fontId="21" fillId="0" borderId="0" xfId="2" applyNumberFormat="1" applyFont="1" applyBorder="1" applyAlignment="1">
      <alignment horizontal="right" indent="1"/>
    </xf>
    <xf numFmtId="165" fontId="21" fillId="0" borderId="0" xfId="2" applyNumberFormat="1" applyFont="1" applyBorder="1" applyAlignment="1">
      <alignment horizontal="right" indent="1"/>
    </xf>
    <xf numFmtId="165" fontId="21" fillId="0" borderId="0" xfId="2" applyNumberFormat="1" applyFont="1" applyBorder="1" applyAlignment="1">
      <alignment horizontal="right"/>
    </xf>
    <xf numFmtId="3" fontId="56" fillId="0" borderId="43" xfId="0" applyNumberFormat="1" applyFont="1" applyBorder="1" applyAlignment="1">
      <alignment horizontal="center"/>
    </xf>
    <xf numFmtId="165" fontId="13" fillId="0" borderId="5" xfId="2" applyNumberFormat="1" applyFont="1" applyFill="1" applyBorder="1" applyAlignment="1">
      <alignment vertical="center" wrapText="1"/>
    </xf>
    <xf numFmtId="0" fontId="52" fillId="0" borderId="43" xfId="3" applyFont="1" applyFill="1" applyBorder="1" applyAlignment="1">
      <alignment horizontal="center" vertical="center" wrapText="1"/>
    </xf>
    <xf numFmtId="3" fontId="56" fillId="0" borderId="18" xfId="0" applyNumberFormat="1" applyFont="1" applyBorder="1" applyAlignment="1">
      <alignment horizontal="center"/>
    </xf>
    <xf numFmtId="165" fontId="9" fillId="0" borderId="5" xfId="2" applyNumberFormat="1" applyFont="1" applyFill="1" applyBorder="1" applyAlignment="1">
      <alignment horizontal="right" indent="2"/>
    </xf>
    <xf numFmtId="165" fontId="9" fillId="0" borderId="10" xfId="2" applyNumberFormat="1" applyFont="1" applyFill="1" applyBorder="1" applyAlignment="1">
      <alignment horizontal="right" indent="2"/>
    </xf>
    <xf numFmtId="165" fontId="13" fillId="0" borderId="23" xfId="2" applyNumberFormat="1" applyFont="1" applyFill="1" applyBorder="1" applyAlignment="1"/>
    <xf numFmtId="165" fontId="13" fillId="0" borderId="35" xfId="2" applyNumberFormat="1" applyFont="1" applyFill="1" applyBorder="1" applyAlignment="1"/>
    <xf numFmtId="3" fontId="56" fillId="7" borderId="8" xfId="0" applyNumberFormat="1" applyFont="1" applyFill="1" applyBorder="1" applyAlignment="1">
      <alignment horizontal="right" indent="2"/>
    </xf>
    <xf numFmtId="165" fontId="134" fillId="0" borderId="0" xfId="2" applyNumberFormat="1" applyFont="1" applyFill="1" applyBorder="1" applyAlignment="1">
      <alignment horizontal="left" indent="2"/>
    </xf>
    <xf numFmtId="0" fontId="134" fillId="0" borderId="0" xfId="2" applyNumberFormat="1" applyFont="1" applyFill="1" applyBorder="1" applyAlignment="1"/>
    <xf numFmtId="3" fontId="15" fillId="0" borderId="10" xfId="2" applyNumberFormat="1" applyFont="1" applyFill="1" applyBorder="1" applyAlignment="1">
      <alignment horizontal="right" indent="2"/>
    </xf>
    <xf numFmtId="165" fontId="9" fillId="0" borderId="7" xfId="2" applyNumberFormat="1" applyFont="1" applyFill="1" applyBorder="1" applyAlignment="1">
      <alignment horizontal="right" indent="2"/>
    </xf>
    <xf numFmtId="3" fontId="0" fillId="0" borderId="12" xfId="3" applyNumberFormat="1" applyFont="1" applyFill="1" applyBorder="1" applyAlignment="1">
      <alignment horizontal="left" vertical="center"/>
    </xf>
    <xf numFmtId="165" fontId="45" fillId="0" borderId="4" xfId="3" applyNumberFormat="1" applyFont="1" applyFill="1" applyBorder="1" applyAlignment="1">
      <alignment vertical="center" wrapText="1"/>
    </xf>
    <xf numFmtId="3" fontId="45" fillId="0" borderId="0" xfId="3" applyNumberFormat="1" applyFont="1" applyAlignment="1">
      <alignment horizontal="left" wrapText="1"/>
    </xf>
    <xf numFmtId="3" fontId="178" fillId="0" borderId="18" xfId="2" applyNumberFormat="1" applyFont="1" applyFill="1" applyBorder="1" applyAlignment="1">
      <alignment horizontal="right" indent="2"/>
    </xf>
    <xf numFmtId="3" fontId="51" fillId="0" borderId="0" xfId="0" applyNumberFormat="1" applyFont="1" applyAlignment="1">
      <alignment horizontal="left"/>
    </xf>
    <xf numFmtId="3" fontId="0" fillId="0" borderId="38" xfId="0" applyNumberFormat="1" applyBorder="1" applyAlignment="1">
      <alignment wrapText="1"/>
    </xf>
    <xf numFmtId="165" fontId="49" fillId="0" borderId="33" xfId="2" applyNumberFormat="1" applyFont="1" applyFill="1" applyBorder="1" applyAlignment="1">
      <alignment horizontal="right" vertical="center" wrapText="1" indent="2"/>
    </xf>
    <xf numFmtId="165" fontId="30" fillId="0" borderId="42" xfId="2" applyNumberFormat="1" applyFont="1" applyFill="1" applyBorder="1" applyAlignment="1">
      <alignment horizontal="left" indent="2"/>
    </xf>
    <xf numFmtId="3" fontId="2" fillId="4" borderId="59" xfId="0" applyNumberFormat="1" applyFont="1" applyFill="1" applyBorder="1" applyAlignment="1">
      <alignment horizontal="left" indent="2"/>
    </xf>
    <xf numFmtId="166" fontId="2" fillId="5" borderId="18" xfId="0" applyNumberFormat="1" applyFont="1" applyFill="1" applyBorder="1" applyAlignment="1">
      <alignment horizontal="right" indent="2"/>
    </xf>
    <xf numFmtId="3" fontId="2" fillId="5" borderId="47" xfId="0" applyNumberFormat="1" applyFont="1" applyFill="1" applyBorder="1" applyAlignment="1">
      <alignment horizontal="right" indent="2"/>
    </xf>
    <xf numFmtId="3" fontId="2" fillId="5" borderId="24" xfId="0" applyNumberFormat="1" applyFont="1" applyFill="1" applyBorder="1" applyAlignment="1">
      <alignment horizontal="right" indent="2"/>
    </xf>
    <xf numFmtId="0" fontId="6" fillId="0" borderId="0" xfId="0" applyFont="1" applyAlignment="1">
      <alignment wrapText="1"/>
    </xf>
    <xf numFmtId="1" fontId="3" fillId="4" borderId="0" xfId="0" applyNumberFormat="1" applyFont="1" applyFill="1" applyAlignment="1">
      <alignment horizontal="center" vertical="center" wrapText="1"/>
    </xf>
    <xf numFmtId="1" fontId="0" fillId="0" borderId="0" xfId="0" applyNumberFormat="1" applyAlignment="1">
      <alignment horizontal="right" wrapText="1"/>
    </xf>
    <xf numFmtId="1" fontId="3" fillId="4" borderId="4" xfId="0" applyNumberFormat="1" applyFont="1" applyFill="1" applyBorder="1" applyAlignment="1">
      <alignment horizontal="center" vertical="center" wrapText="1"/>
    </xf>
    <xf numFmtId="0" fontId="4" fillId="0" borderId="0" xfId="3" applyBorder="1" applyAlignment="1">
      <alignment horizontal="left" wrapText="1"/>
    </xf>
    <xf numFmtId="3" fontId="0" fillId="4" borderId="0" xfId="0" quotePrefix="1" applyNumberFormat="1" applyFill="1" applyAlignment="1">
      <alignment horizontal="center" vertical="center" wrapText="1"/>
    </xf>
    <xf numFmtId="3" fontId="0" fillId="0" borderId="3" xfId="0" applyNumberFormat="1" applyBorder="1" applyAlignment="1">
      <alignment wrapText="1"/>
    </xf>
    <xf numFmtId="4" fontId="0" fillId="0" borderId="43" xfId="0" applyNumberFormat="1" applyBorder="1" applyAlignment="1">
      <alignment horizontal="right" wrapText="1"/>
    </xf>
    <xf numFmtId="3" fontId="3" fillId="0" borderId="18" xfId="0" applyNumberFormat="1" applyFont="1" applyBorder="1" applyAlignment="1">
      <alignment horizontal="left" vertical="center" wrapText="1"/>
    </xf>
    <xf numFmtId="3" fontId="0" fillId="0" borderId="12" xfId="0" applyNumberFormat="1" applyBorder="1" applyAlignment="1">
      <alignment vertical="center" wrapText="1"/>
    </xf>
    <xf numFmtId="3" fontId="0" fillId="0" borderId="71" xfId="0" applyNumberFormat="1" applyBorder="1" applyAlignment="1">
      <alignment vertical="center" wrapText="1"/>
    </xf>
    <xf numFmtId="4" fontId="0" fillId="15" borderId="24" xfId="0" applyNumberFormat="1" applyFill="1" applyBorder="1" applyAlignment="1">
      <alignment horizontal="right" wrapText="1"/>
    </xf>
    <xf numFmtId="4" fontId="0" fillId="15" borderId="63" xfId="0" applyNumberFormat="1" applyFill="1" applyBorder="1" applyAlignment="1">
      <alignment horizontal="right" wrapText="1"/>
    </xf>
    <xf numFmtId="3" fontId="0" fillId="0" borderId="18" xfId="0" applyNumberFormat="1" applyBorder="1" applyAlignment="1">
      <alignment wrapText="1"/>
    </xf>
    <xf numFmtId="9" fontId="1" fillId="0" borderId="11" xfId="2" applyFont="1" applyBorder="1" applyAlignment="1">
      <alignment wrapText="1"/>
    </xf>
    <xf numFmtId="4" fontId="0" fillId="0" borderId="18" xfId="0" applyNumberFormat="1" applyBorder="1" applyAlignment="1">
      <alignment horizontal="right" wrapText="1"/>
    </xf>
    <xf numFmtId="4" fontId="0" fillId="0" borderId="74" xfId="0" applyNumberFormat="1" applyBorder="1" applyAlignment="1">
      <alignment horizontal="right" wrapText="1"/>
    </xf>
    <xf numFmtId="4" fontId="0" fillId="0" borderId="11" xfId="0" applyNumberFormat="1" applyBorder="1" applyAlignment="1">
      <alignment horizontal="right" wrapText="1"/>
    </xf>
    <xf numFmtId="4" fontId="0" fillId="0" borderId="51" xfId="0" applyNumberFormat="1" applyBorder="1" applyAlignment="1">
      <alignment horizontal="right" wrapText="1"/>
    </xf>
    <xf numFmtId="4" fontId="0" fillId="15" borderId="30" xfId="0" applyNumberFormat="1" applyFill="1" applyBorder="1" applyAlignment="1">
      <alignment horizontal="right" wrapText="1"/>
    </xf>
    <xf numFmtId="4" fontId="0" fillId="15" borderId="81" xfId="0" applyNumberFormat="1" applyFill="1" applyBorder="1" applyAlignment="1">
      <alignment horizontal="right" wrapText="1"/>
    </xf>
    <xf numFmtId="4" fontId="0" fillId="15" borderId="36" xfId="0" applyNumberFormat="1" applyFill="1" applyBorder="1" applyAlignment="1">
      <alignment horizontal="right" wrapText="1"/>
    </xf>
    <xf numFmtId="4" fontId="0" fillId="15" borderId="64" xfId="0" applyNumberFormat="1" applyFill="1" applyBorder="1" applyAlignment="1">
      <alignment horizontal="right" wrapText="1"/>
    </xf>
    <xf numFmtId="4" fontId="0" fillId="0" borderId="53" xfId="0" applyNumberFormat="1" applyBorder="1" applyAlignment="1">
      <alignment horizontal="left" wrapText="1"/>
    </xf>
    <xf numFmtId="4" fontId="0" fillId="0" borderId="66" xfId="0" applyNumberFormat="1" applyBorder="1" applyAlignment="1">
      <alignment horizontal="left" wrapText="1"/>
    </xf>
    <xf numFmtId="4" fontId="0" fillId="0" borderId="38" xfId="0" applyNumberFormat="1" applyBorder="1" applyAlignment="1">
      <alignment horizontal="right" wrapText="1"/>
    </xf>
    <xf numFmtId="3" fontId="0" fillId="0" borderId="86" xfId="0" applyNumberFormat="1" applyBorder="1" applyAlignment="1">
      <alignment horizontal="right" wrapText="1"/>
    </xf>
    <xf numFmtId="3" fontId="0" fillId="0" borderId="44" xfId="0" applyNumberFormat="1" applyBorder="1" applyAlignment="1">
      <alignment horizontal="center" wrapText="1"/>
    </xf>
    <xf numFmtId="4" fontId="0" fillId="4" borderId="47" xfId="0" applyNumberFormat="1" applyFill="1" applyBorder="1" applyAlignment="1">
      <alignment horizontal="right" wrapText="1"/>
    </xf>
    <xf numFmtId="4" fontId="0" fillId="4" borderId="79" xfId="0" applyNumberFormat="1" applyFill="1" applyBorder="1" applyAlignment="1">
      <alignment horizontal="right" wrapText="1"/>
    </xf>
    <xf numFmtId="165" fontId="12" fillId="0" borderId="0" xfId="2" applyNumberFormat="1" applyFont="1" applyBorder="1" applyAlignment="1">
      <alignment wrapText="1"/>
    </xf>
    <xf numFmtId="4" fontId="2" fillId="4" borderId="79" xfId="0" applyNumberFormat="1" applyFont="1" applyFill="1" applyBorder="1" applyAlignment="1">
      <alignment horizontal="right" wrapText="1"/>
    </xf>
    <xf numFmtId="165" fontId="1" fillId="0" borderId="11" xfId="2" applyNumberFormat="1" applyFont="1" applyBorder="1" applyAlignment="1">
      <alignment wrapText="1"/>
    </xf>
    <xf numFmtId="4" fontId="0" fillId="4" borderId="58" xfId="0" applyNumberFormat="1" applyFill="1" applyBorder="1" applyAlignment="1">
      <alignment horizontal="right" wrapText="1"/>
    </xf>
    <xf numFmtId="4" fontId="0" fillId="4" borderId="85" xfId="0" applyNumberFormat="1" applyFill="1" applyBorder="1" applyAlignment="1">
      <alignment horizontal="right" wrapText="1"/>
    </xf>
    <xf numFmtId="3" fontId="12" fillId="0" borderId="42" xfId="0" applyNumberFormat="1" applyFont="1" applyBorder="1" applyAlignment="1">
      <alignment wrapText="1"/>
    </xf>
    <xf numFmtId="4" fontId="0" fillId="0" borderId="85" xfId="0" applyNumberFormat="1" applyBorder="1" applyAlignment="1">
      <alignment horizontal="right" wrapText="1"/>
    </xf>
    <xf numFmtId="4" fontId="0" fillId="4" borderId="24" xfId="0" applyNumberFormat="1" applyFill="1" applyBorder="1" applyAlignment="1">
      <alignment horizontal="right" wrapText="1"/>
    </xf>
    <xf numFmtId="4" fontId="0" fillId="4" borderId="63" xfId="0" applyNumberFormat="1" applyFill="1" applyBorder="1" applyAlignment="1">
      <alignment horizontal="right" wrapText="1"/>
    </xf>
    <xf numFmtId="4" fontId="0" fillId="0" borderId="50" xfId="0" applyNumberFormat="1" applyBorder="1" applyAlignment="1">
      <alignment horizontal="right" wrapText="1"/>
    </xf>
    <xf numFmtId="4" fontId="2" fillId="4" borderId="24" xfId="0" applyNumberFormat="1" applyFont="1" applyFill="1" applyBorder="1" applyAlignment="1">
      <alignment horizontal="right" wrapText="1"/>
    </xf>
    <xf numFmtId="4" fontId="2" fillId="0" borderId="63" xfId="0" applyNumberFormat="1" applyFont="1" applyBorder="1" applyAlignment="1">
      <alignment horizontal="right" wrapText="1"/>
    </xf>
    <xf numFmtId="4" fontId="0" fillId="0" borderId="50" xfId="0" applyNumberFormat="1" applyBorder="1" applyAlignment="1">
      <alignment horizontal="left"/>
    </xf>
    <xf numFmtId="4" fontId="2" fillId="4" borderId="63" xfId="0" applyNumberFormat="1" applyFont="1" applyFill="1" applyBorder="1" applyAlignment="1">
      <alignment horizontal="right" indent="2"/>
    </xf>
    <xf numFmtId="4" fontId="0" fillId="4" borderId="27" xfId="0" applyNumberFormat="1" applyFill="1" applyBorder="1" applyAlignment="1">
      <alignment horizontal="right" wrapText="1"/>
    </xf>
    <xf numFmtId="4" fontId="0" fillId="0" borderId="28" xfId="0" applyNumberFormat="1" applyBorder="1" applyAlignment="1">
      <alignment horizontal="right" wrapText="1"/>
    </xf>
    <xf numFmtId="4" fontId="0" fillId="0" borderId="0" xfId="0" applyNumberFormat="1" applyAlignment="1">
      <alignment horizontal="right" wrapText="1"/>
    </xf>
    <xf numFmtId="165" fontId="30" fillId="0" borderId="33" xfId="2" applyNumberFormat="1" applyFont="1" applyFill="1" applyBorder="1" applyAlignment="1">
      <alignment horizontal="right" wrapText="1"/>
    </xf>
    <xf numFmtId="165" fontId="30" fillId="0" borderId="38" xfId="2" applyNumberFormat="1" applyFont="1" applyFill="1" applyBorder="1" applyAlignment="1">
      <alignment horizontal="right" wrapText="1"/>
    </xf>
    <xf numFmtId="165" fontId="30" fillId="0" borderId="42" xfId="2" applyNumberFormat="1" applyFont="1" applyFill="1" applyBorder="1" applyAlignment="1">
      <alignment horizontal="right" wrapText="1"/>
    </xf>
    <xf numFmtId="4" fontId="0" fillId="4" borderId="69" xfId="0" applyNumberFormat="1" applyFill="1" applyBorder="1" applyAlignment="1">
      <alignment horizontal="right" wrapText="1"/>
    </xf>
    <xf numFmtId="4" fontId="0" fillId="4" borderId="71" xfId="0" applyNumberFormat="1" applyFill="1" applyBorder="1" applyAlignment="1">
      <alignment horizontal="right" wrapText="1"/>
    </xf>
    <xf numFmtId="0" fontId="0" fillId="0" borderId="44" xfId="0" applyBorder="1" applyAlignment="1">
      <alignment horizontal="right" wrapText="1"/>
    </xf>
    <xf numFmtId="165" fontId="49" fillId="0" borderId="16" xfId="2" applyNumberFormat="1" applyFont="1" applyFill="1" applyBorder="1" applyAlignment="1">
      <alignment wrapText="1"/>
    </xf>
    <xf numFmtId="4" fontId="0" fillId="0" borderId="71" xfId="0" applyNumberFormat="1" applyBorder="1" applyAlignment="1">
      <alignment horizontal="right" wrapText="1"/>
    </xf>
    <xf numFmtId="0" fontId="0" fillId="0" borderId="0" xfId="0" applyAlignment="1">
      <alignment horizontal="right" wrapText="1"/>
    </xf>
    <xf numFmtId="165" fontId="49" fillId="0" borderId="11" xfId="2" applyNumberFormat="1" applyFont="1" applyFill="1" applyBorder="1" applyAlignment="1">
      <alignment wrapText="1"/>
    </xf>
    <xf numFmtId="4" fontId="0" fillId="0" borderId="63" xfId="0" applyNumberFormat="1" applyBorder="1" applyAlignment="1">
      <alignment horizontal="right" wrapText="1"/>
    </xf>
    <xf numFmtId="4" fontId="0" fillId="4" borderId="36" xfId="0" applyNumberFormat="1" applyFill="1" applyBorder="1" applyAlignment="1">
      <alignment horizontal="right" wrapText="1"/>
    </xf>
    <xf numFmtId="4" fontId="0" fillId="4" borderId="64" xfId="0" applyNumberFormat="1" applyFill="1" applyBorder="1" applyAlignment="1">
      <alignment horizontal="right" wrapText="1"/>
    </xf>
    <xf numFmtId="0" fontId="0" fillId="0" borderId="42" xfId="0" applyBorder="1" applyAlignment="1">
      <alignment horizontal="right" wrapText="1"/>
    </xf>
    <xf numFmtId="165" fontId="49" fillId="0" borderId="38" xfId="2" applyNumberFormat="1" applyFont="1" applyFill="1" applyBorder="1" applyAlignment="1">
      <alignment wrapText="1"/>
    </xf>
    <xf numFmtId="4" fontId="0" fillId="0" borderId="64" xfId="0" applyNumberFormat="1" applyBorder="1" applyAlignment="1">
      <alignment horizontal="right" wrapText="1"/>
    </xf>
    <xf numFmtId="3" fontId="0" fillId="0" borderId="1" xfId="0" applyNumberFormat="1" applyBorder="1" applyAlignment="1">
      <alignment wrapText="1"/>
    </xf>
    <xf numFmtId="3" fontId="3" fillId="2" borderId="43" xfId="0" applyNumberFormat="1" applyFont="1" applyFill="1" applyBorder="1" applyAlignment="1">
      <alignment horizontal="left"/>
    </xf>
    <xf numFmtId="3" fontId="0" fillId="2" borderId="44" xfId="0" applyNumberFormat="1" applyFill="1" applyBorder="1" applyAlignment="1">
      <alignment horizontal="right" wrapText="1"/>
    </xf>
    <xf numFmtId="3" fontId="0" fillId="2" borderId="0" xfId="0" applyNumberFormat="1" applyFill="1" applyAlignment="1">
      <alignment wrapText="1"/>
    </xf>
    <xf numFmtId="3" fontId="0" fillId="2" borderId="11" xfId="0" applyNumberFormat="1" applyFill="1" applyBorder="1" applyAlignment="1">
      <alignment wrapText="1"/>
    </xf>
    <xf numFmtId="3" fontId="3" fillId="2" borderId="0" xfId="0" applyNumberFormat="1" applyFont="1" applyFill="1" applyAlignment="1">
      <alignment horizontal="right" wrapText="1"/>
    </xf>
    <xf numFmtId="3" fontId="0" fillId="2" borderId="43" xfId="0" applyNumberFormat="1" applyFill="1" applyBorder="1" applyAlignment="1">
      <alignment horizontal="right" wrapText="1"/>
    </xf>
    <xf numFmtId="0" fontId="0" fillId="2" borderId="0" xfId="0" applyFill="1" applyAlignment="1">
      <alignment wrapText="1"/>
    </xf>
    <xf numFmtId="3" fontId="0" fillId="2" borderId="16" xfId="0" applyNumberFormat="1" applyFill="1" applyBorder="1" applyAlignment="1">
      <alignment horizontal="right" wrapText="1"/>
    </xf>
    <xf numFmtId="0" fontId="0" fillId="0" borderId="43" xfId="0" applyBorder="1" applyAlignment="1">
      <alignment wrapText="1"/>
    </xf>
    <xf numFmtId="3" fontId="3" fillId="0" borderId="0" xfId="0" applyNumberFormat="1" applyFont="1" applyAlignment="1">
      <alignment horizontal="right" wrapText="1"/>
    </xf>
    <xf numFmtId="4" fontId="0" fillId="4" borderId="48" xfId="0" applyNumberFormat="1" applyFill="1" applyBorder="1" applyAlignment="1">
      <alignment horizontal="right" wrapText="1"/>
    </xf>
    <xf numFmtId="3" fontId="0" fillId="2" borderId="6" xfId="0" applyNumberFormat="1" applyFill="1" applyBorder="1" applyAlignment="1">
      <alignment wrapText="1"/>
    </xf>
    <xf numFmtId="9" fontId="1" fillId="2" borderId="62" xfId="2" applyFont="1" applyFill="1" applyBorder="1" applyAlignment="1">
      <alignment wrapText="1"/>
    </xf>
    <xf numFmtId="4" fontId="0" fillId="2" borderId="52" xfId="0" applyNumberFormat="1" applyFill="1" applyBorder="1" applyAlignment="1">
      <alignment horizontal="right" wrapText="1"/>
    </xf>
    <xf numFmtId="4" fontId="0" fillId="4" borderId="62" xfId="0" applyNumberFormat="1" applyFill="1" applyBorder="1" applyAlignment="1">
      <alignment horizontal="right" wrapText="1"/>
    </xf>
    <xf numFmtId="0" fontId="0" fillId="2" borderId="0" xfId="0" applyFill="1" applyAlignment="1">
      <alignment horizontal="left" wrapText="1"/>
    </xf>
    <xf numFmtId="4" fontId="0" fillId="4" borderId="25" xfId="0" applyNumberFormat="1" applyFill="1" applyBorder="1" applyAlignment="1">
      <alignment horizontal="right" wrapText="1"/>
    </xf>
    <xf numFmtId="3" fontId="0" fillId="2" borderId="8" xfId="0" applyNumberFormat="1" applyFill="1" applyBorder="1" applyAlignment="1">
      <alignment wrapText="1"/>
    </xf>
    <xf numFmtId="9" fontId="1" fillId="2" borderId="22" xfId="2" applyFont="1" applyFill="1" applyBorder="1" applyAlignment="1">
      <alignment wrapText="1"/>
    </xf>
    <xf numFmtId="4" fontId="0" fillId="4" borderId="22" xfId="0" applyNumberFormat="1" applyFill="1" applyBorder="1" applyAlignment="1">
      <alignment horizontal="right" wrapText="1"/>
    </xf>
    <xf numFmtId="170" fontId="0" fillId="0" borderId="0" xfId="0" applyNumberFormat="1" applyAlignment="1">
      <alignment horizontal="left" vertical="center" wrapText="1"/>
    </xf>
    <xf numFmtId="4" fontId="0" fillId="0" borderId="52" xfId="0" applyNumberFormat="1" applyBorder="1" applyAlignment="1">
      <alignment horizontal="left" indent="2"/>
    </xf>
    <xf numFmtId="4" fontId="0" fillId="4" borderId="49" xfId="0" applyNumberFormat="1" applyFill="1" applyBorder="1" applyAlignment="1">
      <alignment horizontal="right" wrapText="1"/>
    </xf>
    <xf numFmtId="4" fontId="0" fillId="4" borderId="30" xfId="0" applyNumberFormat="1" applyFill="1" applyBorder="1" applyAlignment="1">
      <alignment horizontal="right" wrapText="1"/>
    </xf>
    <xf numFmtId="4" fontId="0" fillId="4" borderId="51" xfId="0" applyNumberFormat="1" applyFill="1" applyBorder="1" applyAlignment="1">
      <alignment horizontal="right" wrapText="1"/>
    </xf>
    <xf numFmtId="4" fontId="3" fillId="0" borderId="0" xfId="0" applyNumberFormat="1" applyFont="1" applyAlignment="1">
      <alignment horizontal="right" wrapText="1"/>
    </xf>
    <xf numFmtId="4" fontId="0" fillId="2" borderId="0" xfId="0" applyNumberFormat="1" applyFill="1" applyAlignment="1">
      <alignment horizontal="right" wrapText="1"/>
    </xf>
    <xf numFmtId="3" fontId="0" fillId="2" borderId="22" xfId="0" applyNumberFormat="1" applyFill="1" applyBorder="1" applyAlignment="1">
      <alignment wrapText="1"/>
    </xf>
    <xf numFmtId="4" fontId="0" fillId="4" borderId="31" xfId="0" applyNumberFormat="1" applyFill="1" applyBorder="1" applyAlignment="1">
      <alignment horizontal="right" wrapText="1"/>
    </xf>
    <xf numFmtId="3" fontId="0" fillId="2" borderId="9" xfId="0" applyNumberFormat="1" applyFill="1" applyBorder="1" applyAlignment="1">
      <alignment wrapText="1"/>
    </xf>
    <xf numFmtId="3" fontId="0" fillId="2" borderId="28" xfId="0" applyNumberFormat="1" applyFill="1" applyBorder="1" applyAlignment="1">
      <alignment wrapText="1"/>
    </xf>
    <xf numFmtId="4" fontId="0" fillId="4" borderId="28" xfId="0" applyNumberFormat="1" applyFill="1" applyBorder="1" applyAlignment="1">
      <alignment horizontal="right" wrapText="1"/>
    </xf>
    <xf numFmtId="4" fontId="0" fillId="2" borderId="36" xfId="0" applyNumberFormat="1" applyFill="1" applyBorder="1" applyAlignment="1">
      <alignment horizontal="right" wrapText="1"/>
    </xf>
    <xf numFmtId="4" fontId="0" fillId="2" borderId="82" xfId="0" applyNumberFormat="1" applyFill="1" applyBorder="1" applyAlignment="1">
      <alignment horizontal="right" wrapText="1"/>
    </xf>
    <xf numFmtId="3" fontId="0" fillId="2" borderId="42" xfId="0" applyNumberFormat="1" applyFill="1" applyBorder="1" applyAlignment="1">
      <alignment wrapText="1"/>
    </xf>
    <xf numFmtId="3" fontId="0" fillId="2" borderId="38" xfId="0" applyNumberFormat="1" applyFill="1" applyBorder="1" applyAlignment="1">
      <alignment wrapText="1"/>
    </xf>
    <xf numFmtId="4" fontId="0" fillId="2" borderId="84" xfId="0" applyNumberFormat="1" applyFill="1" applyBorder="1" applyAlignment="1">
      <alignment horizontal="right" wrapText="1"/>
    </xf>
    <xf numFmtId="4" fontId="0" fillId="2" borderId="38" xfId="0" applyNumberFormat="1" applyFill="1" applyBorder="1" applyAlignment="1">
      <alignment horizontal="right" wrapText="1"/>
    </xf>
    <xf numFmtId="0" fontId="0" fillId="2" borderId="18" xfId="0" applyFill="1" applyBorder="1" applyAlignment="1">
      <alignment wrapText="1"/>
    </xf>
    <xf numFmtId="4" fontId="0" fillId="4" borderId="37" xfId="0" applyNumberFormat="1" applyFill="1" applyBorder="1" applyAlignment="1">
      <alignment horizontal="right" wrapText="1"/>
    </xf>
    <xf numFmtId="3" fontId="0" fillId="0" borderId="42" xfId="0" applyNumberFormat="1" applyBorder="1" applyAlignment="1">
      <alignment wrapText="1"/>
    </xf>
    <xf numFmtId="170" fontId="2" fillId="4" borderId="47" xfId="0" applyNumberFormat="1" applyFont="1" applyFill="1" applyBorder="1" applyAlignment="1">
      <alignment horizontal="right" wrapText="1"/>
    </xf>
    <xf numFmtId="4" fontId="0" fillId="0" borderId="48" xfId="0" applyNumberFormat="1" applyBorder="1" applyAlignment="1">
      <alignment horizontal="right" wrapText="1"/>
    </xf>
    <xf numFmtId="170" fontId="0" fillId="0" borderId="0" xfId="0" applyNumberFormat="1" applyAlignment="1">
      <alignment horizontal="right" vertical="center" wrapText="1"/>
    </xf>
    <xf numFmtId="170" fontId="0" fillId="0" borderId="11" xfId="0" applyNumberFormat="1" applyBorder="1" applyAlignment="1">
      <alignment horizontal="right" vertical="center" wrapText="1"/>
    </xf>
    <xf numFmtId="170" fontId="0" fillId="4" borderId="36" xfId="0" applyNumberFormat="1" applyFill="1" applyBorder="1" applyAlignment="1">
      <alignment horizontal="right" wrapText="1"/>
    </xf>
    <xf numFmtId="170" fontId="0" fillId="0" borderId="37" xfId="0" applyNumberFormat="1" applyBorder="1" applyAlignment="1">
      <alignment horizontal="right" wrapText="1"/>
    </xf>
    <xf numFmtId="170" fontId="0" fillId="0" borderId="42" xfId="0" applyNumberFormat="1" applyBorder="1" applyAlignment="1">
      <alignment horizontal="right" vertical="center" wrapText="1"/>
    </xf>
    <xf numFmtId="170" fontId="0" fillId="0" borderId="38" xfId="0" applyNumberFormat="1" applyBorder="1" applyAlignment="1">
      <alignment horizontal="right" vertical="center" wrapText="1"/>
    </xf>
    <xf numFmtId="170" fontId="0" fillId="4" borderId="37" xfId="0" applyNumberFormat="1" applyFill="1" applyBorder="1" applyAlignment="1">
      <alignment horizontal="right" wrapText="1"/>
    </xf>
    <xf numFmtId="170" fontId="0" fillId="4" borderId="64" xfId="0" applyNumberFormat="1" applyFill="1" applyBorder="1" applyAlignment="1">
      <alignment horizontal="right" indent="2"/>
    </xf>
    <xf numFmtId="170" fontId="0" fillId="0" borderId="43" xfId="0" applyNumberFormat="1" applyBorder="1" applyAlignment="1">
      <alignment horizontal="right" wrapText="1"/>
    </xf>
    <xf numFmtId="170" fontId="0" fillId="0" borderId="44" xfId="0" applyNumberFormat="1" applyBorder="1" applyAlignment="1">
      <alignment horizontal="right" wrapText="1"/>
    </xf>
    <xf numFmtId="170" fontId="0" fillId="0" borderId="44" xfId="0" applyNumberFormat="1" applyBorder="1" applyAlignment="1">
      <alignment wrapText="1"/>
    </xf>
    <xf numFmtId="170" fontId="0" fillId="0" borderId="16" xfId="0" applyNumberFormat="1" applyBorder="1" applyAlignment="1">
      <alignment wrapText="1"/>
    </xf>
    <xf numFmtId="3" fontId="3" fillId="0" borderId="0" xfId="0" applyNumberFormat="1" applyFont="1" applyAlignment="1">
      <alignment horizontal="left" wrapText="1"/>
    </xf>
    <xf numFmtId="170" fontId="0" fillId="0" borderId="43" xfId="0" applyNumberFormat="1" applyBorder="1" applyAlignment="1">
      <alignment horizontal="left"/>
    </xf>
    <xf numFmtId="170" fontId="0" fillId="4" borderId="16" xfId="0" applyNumberFormat="1" applyFill="1" applyBorder="1" applyAlignment="1">
      <alignment horizontal="right" indent="2"/>
    </xf>
    <xf numFmtId="4" fontId="0" fillId="4" borderId="24" xfId="0" applyNumberFormat="1" applyFill="1" applyBorder="1" applyAlignment="1">
      <alignment horizontal="right" vertical="center" wrapText="1"/>
    </xf>
    <xf numFmtId="4" fontId="0" fillId="4" borderId="48" xfId="0" applyNumberFormat="1" applyFill="1" applyBorder="1" applyAlignment="1">
      <alignment horizontal="right" vertical="center" wrapText="1"/>
    </xf>
    <xf numFmtId="165" fontId="1" fillId="0" borderId="11" xfId="2" applyNumberFormat="1" applyFont="1" applyBorder="1" applyAlignment="1">
      <alignment vertical="center" wrapText="1"/>
    </xf>
    <xf numFmtId="4" fontId="0" fillId="0" borderId="52" xfId="0" applyNumberFormat="1" applyBorder="1" applyAlignment="1">
      <alignment horizontal="left"/>
    </xf>
    <xf numFmtId="3" fontId="0" fillId="4" borderId="30" xfId="0" applyNumberFormat="1" applyFill="1" applyBorder="1" applyAlignment="1">
      <alignment horizontal="right" wrapText="1"/>
    </xf>
    <xf numFmtId="3" fontId="0" fillId="0" borderId="31" xfId="0" applyNumberFormat="1" applyBorder="1" applyAlignment="1">
      <alignment horizontal="right" wrapText="1"/>
    </xf>
    <xf numFmtId="3" fontId="0" fillId="4" borderId="31" xfId="0" applyNumberFormat="1" applyFill="1" applyBorder="1" applyAlignment="1">
      <alignment horizontal="right" wrapText="1"/>
    </xf>
    <xf numFmtId="3" fontId="0" fillId="4" borderId="36" xfId="0" applyNumberFormat="1" applyFill="1" applyBorder="1" applyAlignment="1">
      <alignment horizontal="right" wrapText="1"/>
    </xf>
    <xf numFmtId="3" fontId="0" fillId="0" borderId="37" xfId="0" applyNumberFormat="1" applyBorder="1" applyAlignment="1">
      <alignment horizontal="right" wrapText="1"/>
    </xf>
    <xf numFmtId="3" fontId="0" fillId="0" borderId="64" xfId="0" applyNumberFormat="1" applyBorder="1" applyAlignment="1">
      <alignment horizontal="right" wrapText="1"/>
    </xf>
    <xf numFmtId="3" fontId="0" fillId="4" borderId="37" xfId="0" applyNumberFormat="1" applyFill="1" applyBorder="1" applyAlignment="1">
      <alignment horizontal="right" wrapText="1"/>
    </xf>
    <xf numFmtId="3" fontId="0" fillId="4" borderId="21" xfId="0" applyNumberFormat="1" applyFill="1" applyBorder="1" applyAlignment="1">
      <alignment horizontal="right" wrapText="1"/>
    </xf>
    <xf numFmtId="3" fontId="0" fillId="0" borderId="25" xfId="0" applyNumberFormat="1" applyBorder="1" applyAlignment="1">
      <alignment horizontal="right" wrapText="1"/>
    </xf>
    <xf numFmtId="3" fontId="0" fillId="4" borderId="25" xfId="0" applyNumberFormat="1" applyFill="1" applyBorder="1" applyAlignment="1">
      <alignment horizontal="right" wrapText="1"/>
    </xf>
    <xf numFmtId="3" fontId="0" fillId="4" borderId="27" xfId="0" applyNumberFormat="1" applyFill="1" applyBorder="1" applyAlignment="1">
      <alignment horizontal="right" wrapText="1"/>
    </xf>
    <xf numFmtId="165" fontId="19" fillId="4" borderId="33" xfId="2" applyNumberFormat="1" applyFont="1" applyFill="1" applyBorder="1" applyAlignment="1">
      <alignment horizontal="right" wrapText="1"/>
    </xf>
    <xf numFmtId="165" fontId="19" fillId="0" borderId="37" xfId="2" applyNumberFormat="1" applyFont="1" applyFill="1" applyBorder="1" applyAlignment="1">
      <alignment horizontal="right" wrapText="1"/>
    </xf>
    <xf numFmtId="165" fontId="19" fillId="0" borderId="42" xfId="2" applyNumberFormat="1" applyFont="1" applyBorder="1" applyAlignment="1">
      <alignment horizontal="right" vertical="center" wrapText="1"/>
    </xf>
    <xf numFmtId="165" fontId="19" fillId="0" borderId="38" xfId="2" applyNumberFormat="1" applyFont="1" applyBorder="1" applyAlignment="1">
      <alignment horizontal="right" vertical="center" wrapText="1"/>
    </xf>
    <xf numFmtId="165" fontId="1" fillId="0" borderId="0" xfId="2" applyNumberFormat="1" applyFont="1" applyFill="1" applyBorder="1" applyAlignment="1">
      <alignment horizontal="right" wrapText="1"/>
    </xf>
    <xf numFmtId="165" fontId="19" fillId="0" borderId="42" xfId="2" applyNumberFormat="1" applyFont="1" applyFill="1" applyBorder="1" applyAlignment="1">
      <alignment horizontal="right" vertical="center" wrapText="1"/>
    </xf>
    <xf numFmtId="165" fontId="19" fillId="0" borderId="38" xfId="2" applyNumberFormat="1" applyFont="1" applyFill="1" applyBorder="1" applyAlignment="1">
      <alignment horizontal="right" vertical="center" wrapText="1"/>
    </xf>
    <xf numFmtId="165" fontId="19" fillId="4" borderId="37" xfId="2" applyNumberFormat="1" applyFont="1" applyFill="1" applyBorder="1" applyAlignment="1">
      <alignment horizontal="right" wrapText="1"/>
    </xf>
    <xf numFmtId="3" fontId="0" fillId="15" borderId="12" xfId="0" applyNumberFormat="1" applyFill="1" applyBorder="1" applyAlignment="1">
      <alignment horizontal="right" wrapText="1"/>
    </xf>
    <xf numFmtId="3" fontId="0" fillId="0" borderId="15" xfId="0" applyNumberFormat="1" applyBorder="1" applyAlignment="1">
      <alignment horizontal="right" wrapText="1"/>
    </xf>
    <xf numFmtId="165" fontId="9" fillId="0" borderId="15" xfId="0" applyNumberFormat="1" applyFont="1" applyBorder="1" applyAlignment="1">
      <alignment horizontal="right" wrapText="1"/>
    </xf>
    <xf numFmtId="165" fontId="9" fillId="0" borderId="13" xfId="0" applyNumberFormat="1" applyFont="1" applyBorder="1" applyAlignment="1">
      <alignment horizontal="right" wrapText="1"/>
    </xf>
    <xf numFmtId="3" fontId="0" fillId="15" borderId="15" xfId="0" applyNumberFormat="1" applyFill="1" applyBorder="1" applyAlignment="1">
      <alignment horizontal="right" wrapText="1"/>
    </xf>
    <xf numFmtId="3" fontId="0" fillId="15" borderId="16" xfId="0" applyNumberFormat="1" applyFill="1" applyBorder="1" applyAlignment="1">
      <alignment horizontal="right" indent="2"/>
    </xf>
    <xf numFmtId="4" fontId="56" fillId="15" borderId="24" xfId="0" applyNumberFormat="1" applyFont="1" applyFill="1" applyBorder="1" applyAlignment="1">
      <alignment horizontal="right" wrapText="1"/>
    </xf>
    <xf numFmtId="4" fontId="56" fillId="0" borderId="25" xfId="0" applyNumberFormat="1" applyFont="1" applyBorder="1" applyAlignment="1">
      <alignment horizontal="right" wrapText="1"/>
    </xf>
    <xf numFmtId="165" fontId="55" fillId="0" borderId="8" xfId="2" applyNumberFormat="1" applyFont="1" applyFill="1" applyBorder="1" applyAlignment="1">
      <alignment wrapText="1"/>
    </xf>
    <xf numFmtId="165" fontId="55" fillId="0" borderId="22" xfId="2" applyNumberFormat="1" applyFont="1" applyFill="1" applyBorder="1" applyAlignment="1">
      <alignment wrapText="1"/>
    </xf>
    <xf numFmtId="3" fontId="56" fillId="0" borderId="0" xfId="0" applyNumberFormat="1" applyFont="1" applyAlignment="1">
      <alignment horizontal="right" wrapText="1"/>
    </xf>
    <xf numFmtId="4" fontId="56" fillId="0" borderId="50" xfId="0" applyNumberFormat="1" applyFont="1" applyBorder="1" applyAlignment="1">
      <alignment horizontal="right" wrapText="1"/>
    </xf>
    <xf numFmtId="4" fontId="56" fillId="15" borderId="25" xfId="0" applyNumberFormat="1" applyFont="1" applyFill="1" applyBorder="1" applyAlignment="1">
      <alignment horizontal="right" wrapText="1"/>
    </xf>
    <xf numFmtId="4" fontId="0" fillId="15" borderId="11" xfId="0" applyNumberFormat="1" applyFill="1" applyBorder="1" applyAlignment="1">
      <alignment horizontal="right" indent="2"/>
    </xf>
    <xf numFmtId="165" fontId="30" fillId="0" borderId="8" xfId="2" applyNumberFormat="1" applyFont="1" applyFill="1" applyBorder="1" applyAlignment="1">
      <alignment wrapText="1"/>
    </xf>
    <xf numFmtId="165" fontId="13" fillId="0" borderId="8" xfId="2" applyNumberFormat="1" applyFont="1" applyFill="1" applyBorder="1" applyAlignment="1">
      <alignment wrapText="1"/>
    </xf>
    <xf numFmtId="4" fontId="0" fillId="0" borderId="25" xfId="0" applyNumberFormat="1" applyBorder="1" applyAlignment="1">
      <alignment horizontal="right" wrapText="1"/>
    </xf>
    <xf numFmtId="165" fontId="13" fillId="0" borderId="22" xfId="2" applyNumberFormat="1" applyFont="1" applyFill="1" applyBorder="1" applyAlignment="1">
      <alignment wrapText="1"/>
    </xf>
    <xf numFmtId="4" fontId="0" fillId="0" borderId="72" xfId="0" applyNumberFormat="1" applyBorder="1" applyAlignment="1">
      <alignment horizontal="right" wrapText="1"/>
    </xf>
    <xf numFmtId="4" fontId="0" fillId="15" borderId="25" xfId="0" applyNumberFormat="1" applyFill="1" applyBorder="1" applyAlignment="1">
      <alignment horizontal="right" wrapText="1"/>
    </xf>
    <xf numFmtId="4" fontId="0" fillId="15" borderId="72" xfId="0" applyNumberFormat="1" applyFill="1" applyBorder="1" applyAlignment="1">
      <alignment horizontal="right" indent="2"/>
    </xf>
    <xf numFmtId="4" fontId="0" fillId="0" borderId="31" xfId="0" applyNumberFormat="1" applyBorder="1" applyAlignment="1">
      <alignment horizontal="right" wrapText="1"/>
    </xf>
    <xf numFmtId="165" fontId="13" fillId="0" borderId="9" xfId="2" applyNumberFormat="1" applyFont="1" applyFill="1" applyBorder="1" applyAlignment="1">
      <alignment wrapText="1"/>
    </xf>
    <xf numFmtId="165" fontId="13" fillId="0" borderId="28" xfId="2" applyNumberFormat="1" applyFont="1" applyFill="1" applyBorder="1" applyAlignment="1">
      <alignment wrapText="1"/>
    </xf>
    <xf numFmtId="4" fontId="0" fillId="15" borderId="31" xfId="0" applyNumberFormat="1" applyFill="1" applyBorder="1" applyAlignment="1">
      <alignment horizontal="right" wrapText="1"/>
    </xf>
    <xf numFmtId="4" fontId="0" fillId="0" borderId="37" xfId="0" applyNumberFormat="1" applyBorder="1" applyAlignment="1">
      <alignment horizontal="right" wrapText="1"/>
    </xf>
    <xf numFmtId="165" fontId="13" fillId="0" borderId="41" xfId="2" applyNumberFormat="1" applyFont="1" applyFill="1" applyBorder="1" applyAlignment="1">
      <alignment wrapText="1"/>
    </xf>
    <xf numFmtId="165" fontId="13" fillId="0" borderId="34" xfId="2" applyNumberFormat="1" applyFont="1" applyFill="1" applyBorder="1" applyAlignment="1">
      <alignment wrapText="1"/>
    </xf>
    <xf numFmtId="4" fontId="0" fillId="0" borderId="82" xfId="0" applyNumberFormat="1" applyBorder="1" applyAlignment="1">
      <alignment horizontal="right" wrapText="1"/>
    </xf>
    <xf numFmtId="4" fontId="0" fillId="15" borderId="37" xfId="0" applyNumberFormat="1" applyFill="1" applyBorder="1" applyAlignment="1">
      <alignment horizontal="right" wrapText="1"/>
    </xf>
    <xf numFmtId="4" fontId="0" fillId="15" borderId="85" xfId="0" applyNumberFormat="1" applyFill="1" applyBorder="1" applyAlignment="1">
      <alignment horizontal="right" indent="2"/>
    </xf>
    <xf numFmtId="4" fontId="116" fillId="28" borderId="12" xfId="3" applyNumberFormat="1" applyFont="1" applyFill="1" applyBorder="1" applyAlignment="1">
      <alignment horizontal="right" wrapText="1"/>
    </xf>
    <xf numFmtId="0" fontId="0" fillId="0" borderId="44" xfId="0" applyBorder="1" applyAlignment="1">
      <alignment wrapText="1"/>
    </xf>
    <xf numFmtId="4" fontId="0" fillId="0" borderId="16" xfId="0" applyNumberFormat="1" applyBorder="1" applyAlignment="1">
      <alignment horizontal="right" wrapText="1"/>
    </xf>
    <xf numFmtId="3" fontId="0" fillId="28" borderId="15" xfId="0" applyNumberFormat="1" applyFill="1" applyBorder="1" applyAlignment="1">
      <alignment horizontal="right" wrapText="1"/>
    </xf>
    <xf numFmtId="3" fontId="0" fillId="28" borderId="13" xfId="0" applyNumberFormat="1" applyFill="1" applyBorder="1" applyAlignment="1">
      <alignment horizontal="right" wrapText="1"/>
    </xf>
    <xf numFmtId="4" fontId="23" fillId="28" borderId="21" xfId="0" applyNumberFormat="1" applyFont="1" applyFill="1" applyBorder="1" applyAlignment="1">
      <alignment horizontal="right"/>
    </xf>
    <xf numFmtId="4" fontId="0" fillId="0" borderId="25" xfId="0" applyNumberFormat="1" applyBorder="1" applyAlignment="1">
      <alignment horizontal="right"/>
    </xf>
    <xf numFmtId="165" fontId="1" fillId="0" borderId="11" xfId="2" applyNumberFormat="1" applyFont="1" applyBorder="1" applyAlignment="1"/>
    <xf numFmtId="4" fontId="0" fillId="28" borderId="25" xfId="0" applyNumberFormat="1" applyFill="1" applyBorder="1" applyAlignment="1">
      <alignment horizontal="right"/>
    </xf>
    <xf numFmtId="4" fontId="0" fillId="28" borderId="63" xfId="0" applyNumberFormat="1" applyFill="1" applyBorder="1" applyAlignment="1">
      <alignment horizontal="right"/>
    </xf>
    <xf numFmtId="4" fontId="23" fillId="28" borderId="21" xfId="0" applyNumberFormat="1" applyFont="1" applyFill="1" applyBorder="1" applyAlignment="1">
      <alignment horizontal="right" wrapText="1"/>
    </xf>
    <xf numFmtId="4" fontId="0" fillId="28" borderId="25" xfId="0" applyNumberFormat="1" applyFill="1" applyBorder="1" applyAlignment="1">
      <alignment horizontal="right" wrapText="1"/>
    </xf>
    <xf numFmtId="4" fontId="0" fillId="28" borderId="63" xfId="0" applyNumberFormat="1" applyFill="1" applyBorder="1" applyAlignment="1">
      <alignment horizontal="right" wrapText="1"/>
    </xf>
    <xf numFmtId="3" fontId="0" fillId="28" borderId="21" xfId="0" applyNumberFormat="1" applyFill="1" applyBorder="1" applyAlignment="1">
      <alignment horizontal="right" wrapText="1"/>
    </xf>
    <xf numFmtId="0" fontId="0" fillId="0" borderId="11" xfId="0" applyBorder="1" applyAlignment="1">
      <alignment wrapText="1"/>
    </xf>
    <xf numFmtId="3" fontId="0" fillId="28" borderId="25" xfId="0" applyNumberFormat="1" applyFill="1" applyBorder="1" applyAlignment="1">
      <alignment horizontal="right" wrapText="1"/>
    </xf>
    <xf numFmtId="3" fontId="0" fillId="28" borderId="63" xfId="0" applyNumberFormat="1" applyFill="1" applyBorder="1" applyAlignment="1">
      <alignment horizontal="right" wrapText="1"/>
    </xf>
    <xf numFmtId="3" fontId="0" fillId="28" borderId="33" xfId="0" applyNumberFormat="1" applyFill="1" applyBorder="1" applyAlignment="1">
      <alignment horizontal="right" wrapText="1"/>
    </xf>
    <xf numFmtId="0" fontId="0" fillId="0" borderId="42" xfId="0" applyBorder="1" applyAlignment="1">
      <alignment wrapText="1"/>
    </xf>
    <xf numFmtId="0" fontId="0" fillId="0" borderId="38" xfId="0" applyBorder="1" applyAlignment="1">
      <alignment wrapText="1"/>
    </xf>
    <xf numFmtId="3" fontId="0" fillId="28" borderId="37" xfId="0" applyNumberFormat="1" applyFill="1" applyBorder="1" applyAlignment="1">
      <alignment horizontal="right" wrapText="1"/>
    </xf>
    <xf numFmtId="3" fontId="0" fillId="28" borderId="64" xfId="0" applyNumberFormat="1" applyFill="1" applyBorder="1" applyAlignment="1">
      <alignment horizontal="right" wrapText="1"/>
    </xf>
    <xf numFmtId="4" fontId="18" fillId="0" borderId="18" xfId="0" applyNumberFormat="1" applyFont="1" applyBorder="1" applyAlignment="1">
      <alignment horizontal="right" wrapText="1"/>
    </xf>
    <xf numFmtId="4" fontId="18" fillId="0" borderId="0" xfId="0" applyNumberFormat="1" applyFont="1" applyAlignment="1">
      <alignment horizontal="right" wrapText="1"/>
    </xf>
    <xf numFmtId="4" fontId="18" fillId="0" borderId="11" xfId="0" applyNumberFormat="1" applyFont="1" applyBorder="1" applyAlignment="1">
      <alignment horizontal="right" wrapText="1"/>
    </xf>
    <xf numFmtId="4" fontId="24" fillId="0" borderId="18" xfId="0" applyNumberFormat="1" applyFont="1" applyBorder="1" applyAlignment="1">
      <alignment horizontal="right" wrapText="1"/>
    </xf>
    <xf numFmtId="4" fontId="24" fillId="0" borderId="0" xfId="0" applyNumberFormat="1" applyFont="1" applyAlignment="1">
      <alignment horizontal="right" wrapText="1"/>
    </xf>
    <xf numFmtId="4" fontId="24" fillId="0" borderId="11" xfId="0" applyNumberFormat="1" applyFont="1" applyBorder="1" applyAlignment="1">
      <alignment horizontal="right" wrapText="1"/>
    </xf>
    <xf numFmtId="165" fontId="25" fillId="0" borderId="18" xfId="2" applyNumberFormat="1" applyFont="1" applyFill="1" applyBorder="1" applyAlignment="1">
      <alignment horizontal="right" wrapText="1"/>
    </xf>
    <xf numFmtId="165" fontId="25" fillId="0" borderId="0" xfId="2" applyNumberFormat="1" applyFont="1" applyFill="1" applyBorder="1" applyAlignment="1">
      <alignment horizontal="right" wrapText="1"/>
    </xf>
    <xf numFmtId="165" fontId="25" fillId="0" borderId="11" xfId="2" applyNumberFormat="1" applyFont="1" applyFill="1" applyBorder="1" applyAlignment="1">
      <alignment horizontal="right" wrapText="1"/>
    </xf>
    <xf numFmtId="4" fontId="16" fillId="15" borderId="17" xfId="2" applyNumberFormat="1" applyFont="1" applyFill="1" applyBorder="1" applyAlignment="1">
      <alignment horizontal="right" wrapText="1"/>
    </xf>
    <xf numFmtId="4" fontId="16" fillId="15" borderId="65" xfId="2" applyNumberFormat="1" applyFont="1" applyFill="1" applyBorder="1" applyAlignment="1">
      <alignment horizontal="right" wrapText="1"/>
    </xf>
    <xf numFmtId="4" fontId="16" fillId="15" borderId="62" xfId="2" applyNumberFormat="1" applyFont="1" applyFill="1" applyBorder="1" applyAlignment="1">
      <alignment horizontal="right" wrapText="1"/>
    </xf>
    <xf numFmtId="0" fontId="2" fillId="0" borderId="0" xfId="0" applyFont="1" applyAlignment="1">
      <alignment wrapText="1"/>
    </xf>
    <xf numFmtId="165" fontId="1" fillId="15" borderId="21" xfId="2" applyNumberFormat="1" applyFont="1" applyFill="1" applyBorder="1" applyAlignment="1">
      <alignment horizontal="right" wrapText="1"/>
    </xf>
    <xf numFmtId="165" fontId="1" fillId="15" borderId="51" xfId="2" applyNumberFormat="1" applyFont="1" applyFill="1" applyBorder="1" applyAlignment="1">
      <alignment horizontal="right" wrapText="1"/>
    </xf>
    <xf numFmtId="165" fontId="1" fillId="15" borderId="22" xfId="2" applyNumberFormat="1" applyFont="1" applyFill="1" applyBorder="1" applyAlignment="1">
      <alignment horizontal="right" wrapText="1"/>
    </xf>
    <xf numFmtId="4" fontId="1" fillId="15" borderId="21" xfId="2" applyNumberFormat="1" applyFont="1" applyFill="1" applyBorder="1" applyAlignment="1">
      <alignment horizontal="right" wrapText="1"/>
    </xf>
    <xf numFmtId="4" fontId="1" fillId="15" borderId="51" xfId="2" applyNumberFormat="1" applyFont="1" applyFill="1" applyBorder="1" applyAlignment="1">
      <alignment horizontal="right" wrapText="1"/>
    </xf>
    <xf numFmtId="4" fontId="25" fillId="0" borderId="0" xfId="2" applyNumberFormat="1" applyFont="1" applyFill="1" applyBorder="1" applyAlignment="1">
      <alignment horizontal="right" wrapText="1"/>
    </xf>
    <xf numFmtId="4" fontId="25" fillId="0" borderId="11" xfId="2" applyNumberFormat="1" applyFont="1" applyFill="1" applyBorder="1" applyAlignment="1">
      <alignment horizontal="right" wrapText="1"/>
    </xf>
    <xf numFmtId="4" fontId="1" fillId="0" borderId="0" xfId="2" applyNumberFormat="1" applyFont="1" applyFill="1" applyBorder="1" applyAlignment="1">
      <alignment horizontal="right" wrapText="1"/>
    </xf>
    <xf numFmtId="4" fontId="1" fillId="15" borderId="22" xfId="2" applyNumberFormat="1" applyFont="1" applyFill="1" applyBorder="1" applyAlignment="1">
      <alignment horizontal="right" wrapText="1"/>
    </xf>
    <xf numFmtId="165" fontId="16" fillId="15" borderId="33" xfId="2" applyNumberFormat="1" applyFont="1" applyFill="1" applyBorder="1" applyAlignment="1">
      <alignment horizontal="right" wrapText="1"/>
    </xf>
    <xf numFmtId="165" fontId="16" fillId="15" borderId="66" xfId="2" applyNumberFormat="1" applyFont="1" applyFill="1" applyBorder="1" applyAlignment="1">
      <alignment horizontal="right" wrapText="1"/>
    </xf>
    <xf numFmtId="165" fontId="25" fillId="0" borderId="42" xfId="2" applyNumberFormat="1" applyFont="1" applyFill="1" applyBorder="1" applyAlignment="1">
      <alignment horizontal="right" wrapText="1"/>
    </xf>
    <xf numFmtId="165" fontId="25" fillId="0" borderId="38" xfId="2" applyNumberFormat="1" applyFont="1" applyFill="1" applyBorder="1" applyAlignment="1">
      <alignment horizontal="right" wrapText="1"/>
    </xf>
    <xf numFmtId="165" fontId="16" fillId="15" borderId="34" xfId="2" applyNumberFormat="1" applyFont="1" applyFill="1" applyBorder="1" applyAlignment="1">
      <alignment horizontal="right" wrapText="1"/>
    </xf>
    <xf numFmtId="0" fontId="28" fillId="0" borderId="0" xfId="0" applyFont="1" applyAlignment="1">
      <alignment wrapText="1"/>
    </xf>
    <xf numFmtId="3" fontId="12" fillId="0" borderId="0" xfId="0" applyNumberFormat="1" applyFont="1" applyAlignment="1">
      <alignment vertical="top" wrapText="1"/>
    </xf>
    <xf numFmtId="3" fontId="12" fillId="0" borderId="0" xfId="0" applyNumberFormat="1" applyFont="1" applyAlignment="1">
      <alignment horizontal="right" wrapText="1"/>
    </xf>
    <xf numFmtId="0" fontId="4" fillId="0" borderId="0" xfId="3" applyAlignment="1">
      <alignment horizontal="left" wrapText="1"/>
    </xf>
    <xf numFmtId="9" fontId="1" fillId="0" borderId="11" xfId="2" applyFont="1" applyBorder="1"/>
    <xf numFmtId="0" fontId="0" fillId="2" borderId="5" xfId="0" applyFill="1" applyBorder="1"/>
    <xf numFmtId="0" fontId="0" fillId="2" borderId="10" xfId="0" applyFill="1" applyBorder="1" applyAlignment="1">
      <alignment horizontal="left"/>
    </xf>
    <xf numFmtId="0" fontId="0" fillId="2" borderId="10" xfId="0" applyFill="1" applyBorder="1"/>
    <xf numFmtId="0" fontId="0" fillId="2" borderId="10" xfId="0" applyFill="1" applyBorder="1" applyAlignment="1">
      <alignment wrapText="1"/>
    </xf>
    <xf numFmtId="0" fontId="0" fillId="2" borderId="7" xfId="0" applyFill="1" applyBorder="1" applyAlignment="1">
      <alignment wrapText="1"/>
    </xf>
    <xf numFmtId="3" fontId="23" fillId="28" borderId="23" xfId="0" applyNumberFormat="1" applyFont="1" applyFill="1" applyBorder="1" applyAlignment="1">
      <alignment horizontal="right"/>
    </xf>
    <xf numFmtId="3" fontId="23" fillId="28" borderId="24" xfId="0" applyNumberFormat="1" applyFont="1" applyFill="1" applyBorder="1" applyAlignment="1">
      <alignment horizontal="right"/>
    </xf>
    <xf numFmtId="3" fontId="23" fillId="28" borderId="25" xfId="0" applyNumberFormat="1" applyFont="1" applyFill="1" applyBorder="1" applyAlignment="1">
      <alignment horizontal="right"/>
    </xf>
    <xf numFmtId="3" fontId="0" fillId="28" borderId="63" xfId="0" applyNumberFormat="1" applyFill="1" applyBorder="1" applyAlignment="1">
      <alignment horizontal="right"/>
    </xf>
    <xf numFmtId="3" fontId="0" fillId="28" borderId="25" xfId="0" applyNumberFormat="1" applyFill="1" applyBorder="1" applyAlignment="1">
      <alignment horizontal="right"/>
    </xf>
    <xf numFmtId="3" fontId="23" fillId="28" borderId="21" xfId="0" applyNumberFormat="1" applyFont="1" applyFill="1" applyBorder="1" applyAlignment="1">
      <alignment horizontal="right"/>
    </xf>
    <xf numFmtId="3" fontId="23" fillId="28" borderId="22" xfId="0" applyNumberFormat="1" applyFont="1" applyFill="1" applyBorder="1" applyAlignment="1">
      <alignment horizontal="right"/>
    </xf>
    <xf numFmtId="4" fontId="23" fillId="28" borderId="24" xfId="0" applyNumberFormat="1" applyFont="1" applyFill="1" applyBorder="1" applyAlignment="1">
      <alignment horizontal="right"/>
    </xf>
    <xf numFmtId="165" fontId="1" fillId="15" borderId="21" xfId="2" applyNumberFormat="1" applyFont="1" applyFill="1" applyBorder="1"/>
    <xf numFmtId="165" fontId="1" fillId="15" borderId="51" xfId="2" applyNumberFormat="1" applyFont="1" applyFill="1" applyBorder="1"/>
    <xf numFmtId="165" fontId="1" fillId="15" borderId="63" xfId="2" applyNumberFormat="1" applyFont="1" applyFill="1" applyBorder="1"/>
    <xf numFmtId="3" fontId="1" fillId="15" borderId="21" xfId="2" applyNumberFormat="1" applyFont="1" applyFill="1" applyBorder="1"/>
    <xf numFmtId="3" fontId="1" fillId="15" borderId="51" xfId="2" applyNumberFormat="1" applyFont="1" applyFill="1" applyBorder="1"/>
    <xf numFmtId="3" fontId="1" fillId="15" borderId="63" xfId="2" applyNumberFormat="1" applyFont="1" applyFill="1" applyBorder="1"/>
    <xf numFmtId="4" fontId="1" fillId="0" borderId="0" xfId="2" applyNumberFormat="1" applyFont="1" applyFill="1" applyBorder="1" applyAlignment="1">
      <alignment horizontal="right"/>
    </xf>
    <xf numFmtId="0" fontId="56" fillId="4" borderId="4" xfId="3" applyFont="1" applyFill="1" applyBorder="1" applyAlignment="1">
      <alignment horizontal="center" vertical="center" wrapText="1"/>
    </xf>
    <xf numFmtId="9" fontId="0" fillId="0" borderId="0" xfId="2" applyFont="1"/>
    <xf numFmtId="166" fontId="56" fillId="22" borderId="21" xfId="0" applyNumberFormat="1" applyFont="1" applyFill="1" applyBorder="1" applyAlignment="1">
      <alignment horizontal="right" vertical="center" indent="2"/>
    </xf>
    <xf numFmtId="3" fontId="56" fillId="22" borderId="25" xfId="0" applyNumberFormat="1" applyFont="1" applyFill="1" applyBorder="1" applyAlignment="1">
      <alignment horizontal="right" indent="2"/>
    </xf>
    <xf numFmtId="166" fontId="56" fillId="22" borderId="26" xfId="0" applyNumberFormat="1" applyFont="1" applyFill="1" applyBorder="1" applyAlignment="1">
      <alignment horizontal="right" indent="2"/>
    </xf>
    <xf numFmtId="0" fontId="38" fillId="0" borderId="42" xfId="2" applyNumberFormat="1" applyFont="1" applyFill="1" applyBorder="1" applyAlignment="1">
      <alignment horizontal="center"/>
    </xf>
    <xf numFmtId="3" fontId="0" fillId="4" borderId="17" xfId="0" applyNumberFormat="1" applyFill="1" applyBorder="1" applyAlignment="1">
      <alignment horizontal="left" indent="2"/>
    </xf>
    <xf numFmtId="166" fontId="56" fillId="4" borderId="59" xfId="0" applyNumberFormat="1" applyFont="1" applyFill="1" applyBorder="1" applyAlignment="1">
      <alignment horizontal="right" indent="2"/>
    </xf>
    <xf numFmtId="3" fontId="18" fillId="6" borderId="47" xfId="2" applyNumberFormat="1" applyFont="1" applyFill="1" applyBorder="1" applyAlignment="1">
      <alignment horizontal="right" indent="2"/>
    </xf>
    <xf numFmtId="3" fontId="20" fillId="6" borderId="65" xfId="2" applyNumberFormat="1" applyFont="1" applyFill="1" applyBorder="1" applyAlignment="1">
      <alignment horizontal="right" indent="2"/>
    </xf>
    <xf numFmtId="3" fontId="0" fillId="0" borderId="42" xfId="2" applyNumberFormat="1" applyFont="1" applyFill="1" applyBorder="1" applyAlignment="1">
      <alignment horizontal="right" indent="2"/>
    </xf>
    <xf numFmtId="3" fontId="0" fillId="4" borderId="47" xfId="0" applyNumberFormat="1" applyFill="1" applyBorder="1" applyAlignment="1">
      <alignment horizontal="left" indent="2"/>
    </xf>
    <xf numFmtId="3" fontId="76" fillId="4" borderId="49" xfId="4" applyNumberFormat="1" applyFont="1" applyFill="1" applyBorder="1" applyAlignment="1">
      <alignment horizontal="right"/>
    </xf>
    <xf numFmtId="165" fontId="1" fillId="0" borderId="0" xfId="6" applyNumberFormat="1" applyFont="1" applyFill="1" applyBorder="1" applyAlignment="1">
      <alignment horizontal="right" indent="2"/>
    </xf>
    <xf numFmtId="165" fontId="1" fillId="0" borderId="11" xfId="6" applyNumberFormat="1" applyFont="1" applyFill="1" applyBorder="1" applyAlignment="1">
      <alignment horizontal="right" indent="2"/>
    </xf>
    <xf numFmtId="165" fontId="1" fillId="0" borderId="8" xfId="6" applyNumberFormat="1" applyFont="1" applyFill="1" applyBorder="1" applyAlignment="1">
      <alignment horizontal="right" indent="2"/>
    </xf>
    <xf numFmtId="3" fontId="1" fillId="0" borderId="0" xfId="6" applyNumberFormat="1" applyFont="1" applyFill="1" applyBorder="1" applyAlignment="1">
      <alignment horizontal="right" indent="2"/>
    </xf>
    <xf numFmtId="3" fontId="1" fillId="0" borderId="11" xfId="6" applyNumberFormat="1" applyFont="1" applyFill="1" applyBorder="1" applyAlignment="1">
      <alignment horizontal="right" indent="2"/>
    </xf>
    <xf numFmtId="3" fontId="1" fillId="0" borderId="8" xfId="6" applyNumberFormat="1" applyFont="1" applyFill="1" applyBorder="1" applyAlignment="1">
      <alignment horizontal="right" indent="2"/>
    </xf>
    <xf numFmtId="9" fontId="0" fillId="0" borderId="0" xfId="2" applyFont="1" applyAlignment="1">
      <alignment horizontal="right" indent="2"/>
    </xf>
    <xf numFmtId="4" fontId="56" fillId="4" borderId="23" xfId="0" applyNumberFormat="1" applyFont="1" applyFill="1" applyBorder="1" applyAlignment="1">
      <alignment horizontal="right" vertical="center" wrapText="1" indent="2"/>
    </xf>
    <xf numFmtId="4" fontId="56" fillId="4" borderId="29" xfId="0" applyNumberFormat="1" applyFont="1" applyFill="1" applyBorder="1" applyAlignment="1">
      <alignment horizontal="right" vertical="center" wrapText="1" indent="2"/>
    </xf>
    <xf numFmtId="4" fontId="56" fillId="0" borderId="0" xfId="0" applyNumberFormat="1" applyFont="1" applyAlignment="1">
      <alignment horizontal="left" indent="2"/>
    </xf>
    <xf numFmtId="4" fontId="3" fillId="0" borderId="5" xfId="0" applyNumberFormat="1" applyFont="1" applyBorder="1" applyAlignment="1">
      <alignment horizontal="center" vertical="center" wrapText="1"/>
    </xf>
    <xf numFmtId="4" fontId="3" fillId="0" borderId="44" xfId="0" applyNumberFormat="1" applyFont="1" applyBorder="1" applyAlignment="1">
      <alignment horizontal="center" vertical="center" wrapText="1"/>
    </xf>
    <xf numFmtId="4" fontId="0" fillId="0" borderId="5" xfId="0" applyNumberFormat="1" applyBorder="1" applyAlignment="1">
      <alignment horizontal="right" vertical="center" wrapText="1" indent="2"/>
    </xf>
    <xf numFmtId="4" fontId="0" fillId="4" borderId="23" xfId="0" applyNumberFormat="1" applyFill="1" applyBorder="1" applyAlignment="1">
      <alignment horizontal="right" vertical="center" wrapText="1" indent="2"/>
    </xf>
    <xf numFmtId="4" fontId="2" fillId="4" borderId="29" xfId="0" applyNumberFormat="1" applyFont="1" applyFill="1" applyBorder="1" applyAlignment="1">
      <alignment horizontal="right" vertical="center" wrapText="1" indent="2"/>
    </xf>
    <xf numFmtId="4" fontId="2" fillId="0" borderId="0" xfId="0" applyNumberFormat="1" applyFont="1" applyAlignment="1">
      <alignment horizontal="center" vertical="center"/>
    </xf>
    <xf numFmtId="4" fontId="56" fillId="0" borderId="0" xfId="0" applyNumberFormat="1" applyFont="1" applyAlignment="1">
      <alignment horizontal="center"/>
    </xf>
    <xf numFmtId="4" fontId="0" fillId="4" borderId="10" xfId="0" applyNumberFormat="1" applyFill="1" applyBorder="1" applyAlignment="1">
      <alignment horizontal="right" vertical="center" wrapText="1" indent="2"/>
    </xf>
    <xf numFmtId="9" fontId="56" fillId="0" borderId="44" xfId="2" applyFont="1" applyBorder="1" applyAlignment="1">
      <alignment horizontal="center" vertical="center"/>
    </xf>
    <xf numFmtId="4" fontId="2" fillId="0" borderId="0" xfId="2" applyNumberFormat="1" applyFont="1" applyBorder="1" applyAlignment="1">
      <alignment horizontal="right" indent="2"/>
    </xf>
    <xf numFmtId="4" fontId="0" fillId="4" borderId="11" xfId="0" applyNumberFormat="1" applyFill="1" applyBorder="1"/>
    <xf numFmtId="9" fontId="2" fillId="0" borderId="0" xfId="2" applyFont="1" applyBorder="1" applyAlignment="1">
      <alignment horizontal="right" indent="2"/>
    </xf>
    <xf numFmtId="4" fontId="89" fillId="4" borderId="27" xfId="0" applyNumberFormat="1" applyFont="1" applyFill="1" applyBorder="1" applyAlignment="1">
      <alignment horizontal="right" indent="2"/>
    </xf>
    <xf numFmtId="4" fontId="89" fillId="4" borderId="11" xfId="0" applyNumberFormat="1" applyFont="1" applyFill="1" applyBorder="1" applyAlignment="1">
      <alignment horizontal="right" vertical="center" wrapText="1" indent="2"/>
    </xf>
    <xf numFmtId="4" fontId="0" fillId="21" borderId="24" xfId="0" applyNumberFormat="1" applyFill="1" applyBorder="1" applyAlignment="1">
      <alignment horizontal="right" indent="2"/>
    </xf>
    <xf numFmtId="4" fontId="79" fillId="0" borderId="42" xfId="0" applyNumberFormat="1" applyFont="1" applyBorder="1"/>
    <xf numFmtId="4" fontId="0" fillId="21" borderId="22" xfId="0" applyNumberFormat="1" applyFill="1" applyBorder="1" applyAlignment="1">
      <alignment horizontal="right" indent="2"/>
    </xf>
    <xf numFmtId="4" fontId="0" fillId="7" borderId="24" xfId="0" applyNumberFormat="1" applyFill="1" applyBorder="1" applyAlignment="1">
      <alignment horizontal="right" indent="2"/>
    </xf>
    <xf numFmtId="4" fontId="79" fillId="0" borderId="0" xfId="0" applyNumberFormat="1" applyFont="1"/>
    <xf numFmtId="4" fontId="0" fillId="7" borderId="22" xfId="0" applyNumberFormat="1" applyFill="1" applyBorder="1" applyAlignment="1">
      <alignment horizontal="right" indent="2"/>
    </xf>
    <xf numFmtId="0" fontId="52" fillId="0" borderId="1" xfId="3" applyFont="1" applyBorder="1" applyAlignment="1">
      <alignment horizontal="right" vertical="center" wrapText="1"/>
    </xf>
    <xf numFmtId="0" fontId="4" fillId="0" borderId="1" xfId="3" applyBorder="1" applyAlignment="1">
      <alignment horizontal="right" vertical="center" wrapText="1"/>
    </xf>
    <xf numFmtId="0" fontId="4" fillId="0" borderId="2" xfId="3" applyBorder="1" applyAlignment="1">
      <alignment horizontal="center" vertical="center" wrapText="1"/>
    </xf>
    <xf numFmtId="164" fontId="1" fillId="6" borderId="23" xfId="1" applyFont="1" applyFill="1" applyBorder="1" applyAlignment="1">
      <alignment horizontal="right" indent="2"/>
    </xf>
    <xf numFmtId="9" fontId="23" fillId="0" borderId="11" xfId="2" applyFont="1" applyBorder="1" applyAlignment="1">
      <alignment horizontal="right"/>
    </xf>
    <xf numFmtId="9" fontId="23" fillId="0" borderId="0" xfId="2" applyFont="1" applyAlignment="1">
      <alignment horizontal="right"/>
    </xf>
    <xf numFmtId="179" fontId="49" fillId="0" borderId="33" xfId="2" applyNumberFormat="1" applyFont="1" applyBorder="1" applyAlignment="1">
      <alignment horizontal="center" vertical="center" wrapText="1"/>
    </xf>
    <xf numFmtId="179" fontId="49" fillId="0" borderId="38" xfId="2" applyNumberFormat="1" applyFont="1" applyBorder="1" applyAlignment="1">
      <alignment horizontal="center" vertical="center" wrapText="1"/>
    </xf>
    <xf numFmtId="180" fontId="49" fillId="0" borderId="35" xfId="2" applyNumberFormat="1" applyFont="1" applyBorder="1" applyAlignment="1">
      <alignment horizontal="center" vertical="center" wrapText="1"/>
    </xf>
    <xf numFmtId="180" fontId="30" fillId="0" borderId="42" xfId="2" applyNumberFormat="1" applyFont="1" applyBorder="1" applyAlignment="1">
      <alignment horizontal="center" vertical="center" wrapText="1"/>
    </xf>
    <xf numFmtId="180" fontId="49" fillId="0" borderId="7" xfId="2" applyNumberFormat="1" applyFont="1" applyBorder="1" applyAlignment="1">
      <alignment horizontal="center" vertical="center" wrapText="1"/>
    </xf>
    <xf numFmtId="0" fontId="4" fillId="0" borderId="0" xfId="3" applyAlignment="1">
      <alignment horizontal="right" vertical="center"/>
    </xf>
    <xf numFmtId="0" fontId="122" fillId="4" borderId="0" xfId="0" applyFont="1" applyFill="1" applyAlignment="1">
      <alignment horizontal="left"/>
    </xf>
    <xf numFmtId="165" fontId="15" fillId="0" borderId="10" xfId="2" applyNumberFormat="1" applyFont="1" applyBorder="1"/>
    <xf numFmtId="165" fontId="9" fillId="0" borderId="10" xfId="2" applyNumberFormat="1" applyFont="1" applyBorder="1"/>
    <xf numFmtId="165" fontId="12" fillId="0" borderId="10" xfId="2" applyNumberFormat="1" applyFont="1" applyBorder="1"/>
    <xf numFmtId="0" fontId="122" fillId="4" borderId="8" xfId="0" applyFont="1" applyFill="1" applyBorder="1" applyAlignment="1">
      <alignment horizontal="left"/>
    </xf>
    <xf numFmtId="9" fontId="2" fillId="0" borderId="10" xfId="2" applyFont="1" applyBorder="1" applyAlignment="1">
      <alignment horizontal="right" indent="2"/>
    </xf>
    <xf numFmtId="9" fontId="2" fillId="0" borderId="18" xfId="2" applyFont="1" applyBorder="1" applyAlignment="1">
      <alignment horizontal="right" indent="2"/>
    </xf>
    <xf numFmtId="9" fontId="2" fillId="0" borderId="11" xfId="2" applyFont="1" applyBorder="1" applyAlignment="1">
      <alignment horizontal="right" indent="2"/>
    </xf>
    <xf numFmtId="9" fontId="56" fillId="0" borderId="18" xfId="2" applyFont="1" applyBorder="1" applyAlignment="1">
      <alignment horizontal="right" indent="2"/>
    </xf>
    <xf numFmtId="165" fontId="20" fillId="0" borderId="35" xfId="2" applyNumberFormat="1" applyFont="1" applyBorder="1" applyAlignment="1">
      <alignment horizontal="right" indent="2"/>
    </xf>
    <xf numFmtId="4" fontId="15" fillId="0" borderId="6" xfId="2" applyNumberFormat="1" applyFont="1" applyBorder="1" applyAlignment="1">
      <alignment horizontal="right"/>
    </xf>
    <xf numFmtId="9" fontId="0" fillId="0" borderId="0" xfId="2" applyFont="1" applyFill="1" applyBorder="1" applyAlignment="1">
      <alignment vertical="center"/>
    </xf>
    <xf numFmtId="3" fontId="62" fillId="0" borderId="6" xfId="2" applyNumberFormat="1" applyFont="1" applyFill="1" applyBorder="1" applyAlignment="1">
      <alignment horizontal="right"/>
    </xf>
    <xf numFmtId="165" fontId="1" fillId="0" borderId="38" xfId="2" applyNumberFormat="1" applyFont="1" applyBorder="1" applyAlignment="1"/>
    <xf numFmtId="165" fontId="13" fillId="0" borderId="38" xfId="2" applyNumberFormat="1" applyFont="1" applyFill="1" applyBorder="1" applyAlignment="1">
      <alignment vertical="center" wrapText="1"/>
    </xf>
    <xf numFmtId="165" fontId="1" fillId="0" borderId="11" xfId="2" applyNumberFormat="1" applyFont="1" applyBorder="1" applyAlignment="1">
      <alignment horizontal="right"/>
    </xf>
    <xf numFmtId="165" fontId="19" fillId="0" borderId="36" xfId="2" applyNumberFormat="1" applyFont="1" applyFill="1" applyBorder="1" applyAlignment="1">
      <alignment horizontal="right" indent="2"/>
    </xf>
    <xf numFmtId="165" fontId="19" fillId="0" borderId="64" xfId="2" applyNumberFormat="1" applyFont="1" applyFill="1" applyBorder="1" applyAlignment="1">
      <alignment horizontal="right" indent="2"/>
    </xf>
    <xf numFmtId="165" fontId="1" fillId="3" borderId="21" xfId="2" applyNumberFormat="1" applyFont="1" applyFill="1" applyBorder="1"/>
    <xf numFmtId="165" fontId="1" fillId="3" borderId="51" xfId="2" applyNumberFormat="1" applyFont="1" applyFill="1" applyBorder="1"/>
    <xf numFmtId="165" fontId="1" fillId="3" borderId="63" xfId="2" applyNumberFormat="1" applyFont="1" applyFill="1" applyBorder="1"/>
    <xf numFmtId="3" fontId="1" fillId="3" borderId="21" xfId="2" applyNumberFormat="1" applyFont="1" applyFill="1" applyBorder="1"/>
    <xf numFmtId="3" fontId="1" fillId="3" borderId="51" xfId="2" applyNumberFormat="1" applyFont="1" applyFill="1" applyBorder="1"/>
    <xf numFmtId="3" fontId="1" fillId="0" borderId="0" xfId="2" applyNumberFormat="1" applyFont="1" applyFill="1" applyBorder="1"/>
    <xf numFmtId="3" fontId="1" fillId="0" borderId="11" xfId="2" applyNumberFormat="1" applyFont="1" applyFill="1" applyBorder="1"/>
    <xf numFmtId="3" fontId="1" fillId="3" borderId="63" xfId="2" applyNumberFormat="1" applyFont="1" applyFill="1" applyBorder="1"/>
    <xf numFmtId="166" fontId="56" fillId="4" borderId="43" xfId="0" applyNumberFormat="1" applyFont="1" applyFill="1" applyBorder="1" applyAlignment="1">
      <alignment horizontal="center" vertical="center"/>
    </xf>
    <xf numFmtId="166" fontId="56" fillId="6" borderId="51" xfId="0" applyNumberFormat="1" applyFont="1" applyFill="1" applyBorder="1" applyAlignment="1">
      <alignment horizontal="right" indent="2"/>
    </xf>
    <xf numFmtId="166" fontId="56" fillId="0" borderId="11" xfId="0" applyNumberFormat="1" applyFont="1" applyBorder="1" applyAlignment="1">
      <alignment horizontal="left"/>
    </xf>
    <xf numFmtId="166" fontId="56" fillId="0" borderId="0" xfId="0" applyNumberFormat="1" applyFont="1" applyAlignment="1">
      <alignment horizontal="right"/>
    </xf>
    <xf numFmtId="166" fontId="56" fillId="6" borderId="22" xfId="0" applyNumberFormat="1" applyFont="1" applyFill="1" applyBorder="1" applyAlignment="1">
      <alignment horizontal="right" indent="2"/>
    </xf>
    <xf numFmtId="166" fontId="56" fillId="6" borderId="23" xfId="0" applyNumberFormat="1" applyFont="1" applyFill="1" applyBorder="1" applyAlignment="1">
      <alignment horizontal="right" indent="2"/>
    </xf>
    <xf numFmtId="166" fontId="56" fillId="6" borderId="66" xfId="0" applyNumberFormat="1" applyFont="1" applyFill="1" applyBorder="1" applyAlignment="1">
      <alignment horizontal="right" indent="2"/>
    </xf>
    <xf numFmtId="166" fontId="56" fillId="0" borderId="38" xfId="0" applyNumberFormat="1" applyFont="1" applyBorder="1"/>
    <xf numFmtId="166" fontId="56" fillId="6" borderId="29" xfId="0" applyNumberFormat="1" applyFont="1" applyFill="1" applyBorder="1" applyAlignment="1">
      <alignment horizontal="right" indent="2"/>
    </xf>
    <xf numFmtId="166" fontId="56" fillId="0" borderId="52" xfId="0" applyNumberFormat="1" applyFont="1" applyBorder="1" applyAlignment="1">
      <alignment horizontal="right" indent="2"/>
    </xf>
    <xf numFmtId="166" fontId="56" fillId="0" borderId="11" xfId="0" applyNumberFormat="1" applyFont="1" applyBorder="1"/>
    <xf numFmtId="166" fontId="67" fillId="0" borderId="0" xfId="0" applyNumberFormat="1" applyFont="1" applyAlignment="1">
      <alignment horizontal="left" vertical="center"/>
    </xf>
    <xf numFmtId="166" fontId="56" fillId="0" borderId="11" xfId="0" applyNumberFormat="1" applyFont="1" applyBorder="1" applyAlignment="1">
      <alignment horizontal="left" indent="5"/>
    </xf>
    <xf numFmtId="166" fontId="56" fillId="0" borderId="16" xfId="0" applyNumberFormat="1" applyFont="1" applyBorder="1"/>
    <xf numFmtId="166" fontId="67" fillId="0" borderId="0" xfId="0" applyNumberFormat="1" applyFont="1" applyAlignment="1">
      <alignment horizontal="left"/>
    </xf>
    <xf numFmtId="166" fontId="4" fillId="0" borderId="5" xfId="3" applyNumberFormat="1" applyBorder="1" applyAlignment="1">
      <alignment horizontal="center" vertical="center" wrapText="1"/>
    </xf>
    <xf numFmtId="0" fontId="3" fillId="0" borderId="0" xfId="0" applyFont="1" applyAlignment="1">
      <alignment horizontal="right" vertical="center" wrapText="1"/>
    </xf>
    <xf numFmtId="166" fontId="19" fillId="0" borderId="18" xfId="2" applyNumberFormat="1" applyFont="1" applyFill="1" applyBorder="1" applyAlignment="1">
      <alignment horizontal="right" indent="2"/>
    </xf>
    <xf numFmtId="3" fontId="1" fillId="0" borderId="0" xfId="2" applyNumberFormat="1" applyFont="1" applyFill="1" applyBorder="1" applyAlignment="1">
      <alignment horizontal="right"/>
    </xf>
    <xf numFmtId="165" fontId="1" fillId="6" borderId="22" xfId="2" applyNumberFormat="1" applyFont="1" applyFill="1" applyBorder="1"/>
    <xf numFmtId="1" fontId="1" fillId="6" borderId="21" xfId="2" applyNumberFormat="1" applyFont="1" applyFill="1" applyBorder="1"/>
    <xf numFmtId="1" fontId="1" fillId="6" borderId="22" xfId="2" applyNumberFormat="1" applyFont="1" applyFill="1" applyBorder="1"/>
    <xf numFmtId="165" fontId="27" fillId="6" borderId="22" xfId="2" applyNumberFormat="1" applyFont="1" applyFill="1" applyBorder="1" applyAlignment="1">
      <alignment horizontal="right" indent="2"/>
    </xf>
    <xf numFmtId="0" fontId="6" fillId="12" borderId="0" xfId="0" applyFont="1" applyFill="1"/>
    <xf numFmtId="3" fontId="4" fillId="0" borderId="0" xfId="3" applyNumberFormat="1"/>
    <xf numFmtId="0" fontId="0" fillId="4" borderId="6" xfId="0" applyFill="1" applyBorder="1" applyAlignment="1">
      <alignment horizontal="right" vertical="top"/>
    </xf>
    <xf numFmtId="166" fontId="56" fillId="0" borderId="0" xfId="0" applyNumberFormat="1" applyFont="1" applyAlignment="1">
      <alignment horizontal="left" wrapText="1"/>
    </xf>
    <xf numFmtId="166" fontId="56" fillId="0" borderId="52" xfId="0" applyNumberFormat="1" applyFont="1" applyBorder="1" applyAlignment="1">
      <alignment horizontal="left" indent="1"/>
    </xf>
    <xf numFmtId="166" fontId="0" fillId="0" borderId="84" xfId="0" applyNumberFormat="1" applyBorder="1" applyAlignment="1">
      <alignment horizontal="right" indent="2"/>
    </xf>
    <xf numFmtId="3" fontId="87" fillId="4" borderId="26" xfId="0" applyNumberFormat="1" applyFont="1" applyFill="1" applyBorder="1"/>
    <xf numFmtId="3" fontId="56" fillId="0" borderId="0" xfId="0" applyNumberFormat="1" applyFont="1" applyAlignment="1">
      <alignment horizontal="left" vertical="top" indent="2"/>
    </xf>
    <xf numFmtId="0" fontId="6" fillId="74" borderId="0" xfId="0" applyFont="1" applyFill="1" applyAlignment="1">
      <alignment horizontal="center"/>
    </xf>
    <xf numFmtId="0" fontId="16" fillId="0" borderId="12" xfId="0" applyFont="1" applyBorder="1" applyAlignment="1">
      <alignment horizontal="center" vertical="center" wrapText="1"/>
    </xf>
    <xf numFmtId="166" fontId="0" fillId="0" borderId="36" xfId="0" applyNumberFormat="1" applyBorder="1" applyAlignment="1">
      <alignment horizontal="right" indent="2"/>
    </xf>
    <xf numFmtId="3" fontId="56" fillId="0" borderId="50" xfId="0" applyNumberFormat="1" applyFont="1" applyBorder="1"/>
    <xf numFmtId="166" fontId="56" fillId="4" borderId="158" xfId="0" applyNumberFormat="1" applyFont="1" applyFill="1" applyBorder="1" applyAlignment="1">
      <alignment horizontal="right" indent="2"/>
    </xf>
    <xf numFmtId="3" fontId="56" fillId="4" borderId="38" xfId="0" applyNumberFormat="1" applyFont="1" applyFill="1" applyBorder="1" applyAlignment="1">
      <alignment horizontal="right" indent="2"/>
    </xf>
    <xf numFmtId="165" fontId="55" fillId="0" borderId="42" xfId="2" applyNumberFormat="1" applyFont="1" applyFill="1" applyBorder="1" applyAlignment="1">
      <alignment horizontal="right" indent="2"/>
    </xf>
    <xf numFmtId="165" fontId="55" fillId="0" borderId="42" xfId="2" applyNumberFormat="1" applyFont="1" applyFill="1" applyBorder="1" applyAlignment="1">
      <alignment horizontal="center"/>
    </xf>
    <xf numFmtId="165" fontId="55" fillId="0" borderId="38" xfId="2" applyNumberFormat="1" applyFont="1" applyFill="1" applyBorder="1" applyAlignment="1">
      <alignment horizontal="center" vertical="center" wrapText="1"/>
    </xf>
    <xf numFmtId="4" fontId="0" fillId="4" borderId="158" xfId="0" applyNumberFormat="1" applyFill="1" applyBorder="1" applyAlignment="1">
      <alignment horizontal="right" indent="2"/>
    </xf>
    <xf numFmtId="4" fontId="56" fillId="4" borderId="24" xfId="0" applyNumberFormat="1" applyFont="1" applyFill="1" applyBorder="1" applyAlignment="1">
      <alignment horizontal="right" indent="2"/>
    </xf>
    <xf numFmtId="3" fontId="16" fillId="4" borderId="30" xfId="0" applyNumberFormat="1" applyFont="1" applyFill="1" applyBorder="1" applyAlignment="1">
      <alignment horizontal="right" indent="2"/>
    </xf>
    <xf numFmtId="3" fontId="16" fillId="4" borderId="25" xfId="0" applyNumberFormat="1" applyFont="1" applyFill="1" applyBorder="1" applyAlignment="1">
      <alignment horizontal="right" indent="2"/>
    </xf>
    <xf numFmtId="4" fontId="16" fillId="4" borderId="30" xfId="0" applyNumberFormat="1" applyFont="1" applyFill="1" applyBorder="1" applyAlignment="1">
      <alignment horizontal="right" indent="2"/>
    </xf>
    <xf numFmtId="4" fontId="16" fillId="4" borderId="158" xfId="0" applyNumberFormat="1" applyFont="1" applyFill="1" applyBorder="1" applyAlignment="1">
      <alignment horizontal="right" indent="2"/>
    </xf>
    <xf numFmtId="4" fontId="56" fillId="7" borderId="12" xfId="0" applyNumberFormat="1" applyFont="1" applyFill="1" applyBorder="1" applyAlignment="1">
      <alignment horizontal="right" indent="2"/>
    </xf>
    <xf numFmtId="4" fontId="0" fillId="7" borderId="11" xfId="0" applyNumberFormat="1" applyFill="1" applyBorder="1" applyAlignment="1">
      <alignment horizontal="right" vertical="center" wrapText="1" indent="2"/>
    </xf>
    <xf numFmtId="4" fontId="56" fillId="7" borderId="24" xfId="0" applyNumberFormat="1" applyFont="1" applyFill="1" applyBorder="1" applyAlignment="1">
      <alignment horizontal="right" indent="2"/>
    </xf>
    <xf numFmtId="165" fontId="57" fillId="6" borderId="36" xfId="2" applyNumberFormat="1" applyFont="1" applyFill="1" applyBorder="1" applyAlignment="1">
      <alignment horizontal="right" indent="2"/>
    </xf>
    <xf numFmtId="0" fontId="202" fillId="33" borderId="0" xfId="0" applyFont="1" applyFill="1"/>
    <xf numFmtId="0" fontId="202" fillId="0" borderId="0" xfId="0" applyFont="1"/>
    <xf numFmtId="0" fontId="202" fillId="0" borderId="160" xfId="0" applyFont="1" applyBorder="1"/>
    <xf numFmtId="2" fontId="202" fillId="0" borderId="101" xfId="0" applyNumberFormat="1" applyFont="1" applyBorder="1"/>
    <xf numFmtId="2" fontId="202" fillId="0" borderId="0" xfId="0" applyNumberFormat="1" applyFont="1"/>
    <xf numFmtId="2" fontId="202" fillId="33" borderId="0" xfId="0" applyNumberFormat="1" applyFont="1" applyFill="1"/>
    <xf numFmtId="2" fontId="202" fillId="0" borderId="102" xfId="0" applyNumberFormat="1" applyFont="1" applyBorder="1"/>
    <xf numFmtId="2" fontId="202" fillId="33" borderId="102" xfId="0" applyNumberFormat="1" applyFont="1" applyFill="1" applyBorder="1"/>
    <xf numFmtId="39" fontId="202" fillId="0" borderId="101" xfId="0" applyNumberFormat="1" applyFont="1" applyBorder="1"/>
    <xf numFmtId="2" fontId="202" fillId="33" borderId="101" xfId="0" applyNumberFormat="1" applyFont="1" applyFill="1" applyBorder="1"/>
    <xf numFmtId="39" fontId="202" fillId="33" borderId="101" xfId="0" applyNumberFormat="1" applyFont="1" applyFill="1" applyBorder="1"/>
    <xf numFmtId="0" fontId="202" fillId="0" borderId="161" xfId="0" applyFont="1" applyBorder="1"/>
    <xf numFmtId="2" fontId="202" fillId="0" borderId="132" xfId="0" applyNumberFormat="1" applyFont="1" applyBorder="1"/>
    <xf numFmtId="2" fontId="202" fillId="0" borderId="92" xfId="0" applyNumberFormat="1" applyFont="1" applyBorder="1"/>
    <xf numFmtId="0" fontId="202" fillId="33" borderId="92" xfId="0" applyFont="1" applyFill="1" applyBorder="1"/>
    <xf numFmtId="2" fontId="202" fillId="0" borderId="131" xfId="0" applyNumberFormat="1" applyFont="1" applyBorder="1"/>
    <xf numFmtId="39" fontId="202" fillId="0" borderId="132" xfId="0" applyNumberFormat="1" applyFont="1" applyBorder="1"/>
    <xf numFmtId="0" fontId="205" fillId="33" borderId="92" xfId="0" applyFont="1" applyFill="1" applyBorder="1" applyAlignment="1">
      <alignment horizontal="right"/>
    </xf>
    <xf numFmtId="0" fontId="206" fillId="0" borderId="141" xfId="0" applyFont="1" applyBorder="1" applyAlignment="1">
      <alignment horizontal="right"/>
    </xf>
    <xf numFmtId="0" fontId="202" fillId="0" borderId="142" xfId="0" applyFont="1" applyBorder="1"/>
    <xf numFmtId="0" fontId="202" fillId="0" borderId="143" xfId="0" applyFont="1" applyBorder="1"/>
    <xf numFmtId="0" fontId="202" fillId="0" borderId="141" xfId="0" applyFont="1" applyBorder="1"/>
    <xf numFmtId="0" fontId="206" fillId="0" borderId="143" xfId="0" applyFont="1" applyBorder="1" applyAlignment="1">
      <alignment horizontal="left"/>
    </xf>
    <xf numFmtId="0" fontId="206" fillId="0" borderId="132" xfId="0" applyFont="1" applyBorder="1" applyAlignment="1">
      <alignment horizontal="right"/>
    </xf>
    <xf numFmtId="0" fontId="202" fillId="0" borderId="92" xfId="0" applyFont="1" applyBorder="1"/>
    <xf numFmtId="0" fontId="202" fillId="0" borderId="131" xfId="0" applyFont="1" applyBorder="1"/>
    <xf numFmtId="0" fontId="202" fillId="0" borderId="132" xfId="0" applyFont="1" applyBorder="1"/>
    <xf numFmtId="0" fontId="206" fillId="0" borderId="131" xfId="0" applyFont="1" applyBorder="1" applyAlignment="1">
      <alignment horizontal="left"/>
    </xf>
    <xf numFmtId="0" fontId="207" fillId="33" borderId="0" xfId="0" applyFont="1" applyFill="1"/>
    <xf numFmtId="0" fontId="206" fillId="33" borderId="0" xfId="0" applyFont="1" applyFill="1"/>
    <xf numFmtId="0" fontId="205" fillId="33" borderId="0" xfId="0" applyFont="1" applyFill="1"/>
    <xf numFmtId="174" fontId="208" fillId="33" borderId="0" xfId="1" applyNumberFormat="1" applyFont="1" applyFill="1"/>
    <xf numFmtId="174" fontId="208" fillId="78" borderId="141" xfId="1" applyNumberFormat="1" applyFont="1" applyFill="1" applyBorder="1" applyAlignment="1">
      <alignment horizontal="right"/>
    </xf>
    <xf numFmtId="174" fontId="208" fillId="0" borderId="142" xfId="1" applyNumberFormat="1" applyFont="1" applyBorder="1" applyAlignment="1">
      <alignment horizontal="left"/>
    </xf>
    <xf numFmtId="174" fontId="208" fillId="0" borderId="143" xfId="1" applyNumberFormat="1" applyFont="1" applyFill="1" applyBorder="1" applyAlignment="1">
      <alignment horizontal="center"/>
    </xf>
    <xf numFmtId="174" fontId="208" fillId="33" borderId="0" xfId="1" applyNumberFormat="1" applyFont="1" applyFill="1" applyBorder="1" applyAlignment="1">
      <alignment horizontal="center"/>
    </xf>
    <xf numFmtId="174" fontId="208" fillId="33" borderId="0" xfId="1" applyNumberFormat="1" applyFont="1" applyFill="1" applyAlignment="1">
      <alignment horizontal="center"/>
    </xf>
    <xf numFmtId="174" fontId="208" fillId="33" borderId="0" xfId="1" applyNumberFormat="1" applyFont="1" applyFill="1" applyAlignment="1"/>
    <xf numFmtId="174" fontId="208" fillId="79" borderId="101" xfId="1" applyNumberFormat="1" applyFont="1" applyFill="1" applyBorder="1" applyAlignment="1">
      <alignment horizontal="center"/>
    </xf>
    <xf numFmtId="174" fontId="208" fillId="0" borderId="0" xfId="1" applyNumberFormat="1" applyFont="1" applyBorder="1" applyAlignment="1">
      <alignment horizontal="left"/>
    </xf>
    <xf numFmtId="174" fontId="208" fillId="0" borderId="102" xfId="1" applyNumberFormat="1" applyFont="1" applyFill="1" applyBorder="1" applyAlignment="1">
      <alignment horizontal="center"/>
    </xf>
    <xf numFmtId="174" fontId="208" fillId="0" borderId="101" xfId="1" applyNumberFormat="1" applyFont="1" applyBorder="1" applyAlignment="1">
      <alignment horizontal="center"/>
    </xf>
    <xf numFmtId="174" fontId="208" fillId="0" borderId="132" xfId="1" applyNumberFormat="1" applyFont="1" applyBorder="1" applyAlignment="1">
      <alignment horizontal="center"/>
    </xf>
    <xf numFmtId="174" fontId="208" fillId="0" borderId="92" xfId="1" applyNumberFormat="1" applyFont="1" applyBorder="1" applyAlignment="1">
      <alignment horizontal="left"/>
    </xf>
    <xf numFmtId="174" fontId="208" fillId="0" borderId="131" xfId="1" applyNumberFormat="1" applyFont="1" applyFill="1" applyBorder="1" applyAlignment="1">
      <alignment horizontal="center"/>
    </xf>
    <xf numFmtId="0" fontId="202" fillId="79" borderId="160" xfId="0" applyFont="1" applyFill="1" applyBorder="1"/>
    <xf numFmtId="174" fontId="202" fillId="33" borderId="0" xfId="1" applyNumberFormat="1" applyFont="1" applyFill="1"/>
    <xf numFmtId="174" fontId="202" fillId="33" borderId="0" xfId="1" applyNumberFormat="1" applyFont="1" applyFill="1" applyAlignment="1">
      <alignment horizontal="center"/>
    </xf>
    <xf numFmtId="174" fontId="202" fillId="33" borderId="0" xfId="1" applyNumberFormat="1" applyFont="1" applyFill="1" applyAlignment="1">
      <alignment horizontal="center" vertical="center"/>
    </xf>
    <xf numFmtId="174" fontId="202" fillId="33" borderId="0" xfId="1" applyNumberFormat="1" applyFont="1" applyFill="1" applyBorder="1" applyAlignment="1">
      <alignment horizontal="center"/>
    </xf>
    <xf numFmtId="174" fontId="202" fillId="33" borderId="0" xfId="1" applyNumberFormat="1" applyFont="1" applyFill="1" applyBorder="1" applyAlignment="1">
      <alignment horizontal="right"/>
    </xf>
    <xf numFmtId="174" fontId="202" fillId="33" borderId="0" xfId="1" applyNumberFormat="1" applyFont="1" applyFill="1" applyBorder="1"/>
    <xf numFmtId="174" fontId="202" fillId="0" borderId="0" xfId="1" applyNumberFormat="1" applyFont="1"/>
    <xf numFmtId="174" fontId="209" fillId="0" borderId="92" xfId="1" applyNumberFormat="1" applyFont="1" applyBorder="1" applyAlignment="1">
      <alignment horizontal="center" vertical="center"/>
    </xf>
    <xf numFmtId="174" fontId="205" fillId="0" borderId="92" xfId="1" applyNumberFormat="1" applyFont="1" applyFill="1" applyBorder="1" applyAlignment="1">
      <alignment horizontal="center" vertical="center" wrapText="1"/>
    </xf>
    <xf numFmtId="174" fontId="205" fillId="0" borderId="92" xfId="1" applyNumberFormat="1" applyFont="1" applyBorder="1" applyAlignment="1">
      <alignment horizontal="center" vertical="center" wrapText="1"/>
    </xf>
    <xf numFmtId="174" fontId="206" fillId="33" borderId="0" xfId="1" applyNumberFormat="1" applyFont="1" applyFill="1" applyBorder="1" applyAlignment="1">
      <alignment horizontal="center" vertical="center" wrapText="1"/>
    </xf>
    <xf numFmtId="174" fontId="202" fillId="33" borderId="0" xfId="1" applyNumberFormat="1" applyFont="1" applyFill="1" applyBorder="1" applyAlignment="1">
      <alignment horizontal="center" vertical="center"/>
    </xf>
    <xf numFmtId="174" fontId="205" fillId="33" borderId="0" xfId="1" applyNumberFormat="1" applyFont="1" applyFill="1" applyAlignment="1">
      <alignment horizontal="right"/>
    </xf>
    <xf numFmtId="174" fontId="202" fillId="33" borderId="0" xfId="1" applyNumberFormat="1" applyFont="1" applyFill="1" applyAlignment="1"/>
    <xf numFmtId="174" fontId="202" fillId="33" borderId="0" xfId="1" applyNumberFormat="1" applyFont="1" applyFill="1" applyBorder="1" applyAlignment="1"/>
    <xf numFmtId="174" fontId="202" fillId="33" borderId="0" xfId="1" applyNumberFormat="1" applyFont="1" applyFill="1" applyAlignment="1">
      <alignment horizontal="right"/>
    </xf>
    <xf numFmtId="174" fontId="205" fillId="33" borderId="0" xfId="1" applyNumberFormat="1" applyFont="1" applyFill="1" applyAlignment="1">
      <alignment horizontal="center"/>
    </xf>
    <xf numFmtId="174" fontId="205" fillId="33" borderId="0" xfId="1" applyNumberFormat="1" applyFont="1" applyFill="1" applyBorder="1" applyAlignment="1">
      <alignment horizontal="center"/>
    </xf>
    <xf numFmtId="174" fontId="202" fillId="33" borderId="0" xfId="1" applyNumberFormat="1" applyFont="1" applyFill="1" applyAlignment="1">
      <alignment horizontal="left"/>
    </xf>
    <xf numFmtId="174" fontId="210" fillId="33" borderId="0" xfId="1" applyNumberFormat="1" applyFont="1" applyFill="1" applyAlignment="1">
      <alignment horizontal="center"/>
    </xf>
    <xf numFmtId="174" fontId="211" fillId="33" borderId="0" xfId="1" applyNumberFormat="1" applyFont="1" applyFill="1" applyBorder="1"/>
    <xf numFmtId="174" fontId="202" fillId="0" borderId="0" xfId="1" applyNumberFormat="1" applyFont="1" applyAlignment="1">
      <alignment horizontal="center" vertical="center"/>
    </xf>
    <xf numFmtId="49" fontId="202" fillId="33" borderId="0" xfId="1" applyNumberFormat="1" applyFont="1" applyFill="1" applyAlignment="1">
      <alignment horizontal="center" vertical="center"/>
    </xf>
    <xf numFmtId="49" fontId="204" fillId="33" borderId="0" xfId="1" applyNumberFormat="1" applyFont="1" applyFill="1" applyBorder="1" applyAlignment="1">
      <alignment horizontal="center" vertical="center"/>
    </xf>
    <xf numFmtId="0" fontId="204" fillId="77" borderId="0" xfId="1" applyNumberFormat="1" applyFont="1" applyFill="1" applyAlignment="1">
      <alignment horizontal="center" vertical="center"/>
    </xf>
    <xf numFmtId="0" fontId="204" fillId="33" borderId="0" xfId="1" applyNumberFormat="1" applyFont="1" applyFill="1" applyBorder="1" applyAlignment="1">
      <alignment horizontal="center" vertical="center"/>
    </xf>
    <xf numFmtId="49" fontId="202" fillId="33" borderId="0" xfId="1" applyNumberFormat="1" applyFont="1" applyFill="1" applyBorder="1" applyAlignment="1">
      <alignment horizontal="center" vertical="center"/>
    </xf>
    <xf numFmtId="49" fontId="202" fillId="0" borderId="0" xfId="1" applyNumberFormat="1" applyFont="1" applyAlignment="1">
      <alignment horizontal="center" vertical="center"/>
    </xf>
    <xf numFmtId="174" fontId="209" fillId="33" borderId="92" xfId="1" applyNumberFormat="1" applyFont="1" applyFill="1" applyBorder="1" applyAlignment="1">
      <alignment horizontal="center" vertical="center"/>
    </xf>
    <xf numFmtId="174" fontId="205" fillId="0" borderId="172" xfId="1" applyNumberFormat="1" applyFont="1" applyBorder="1" applyAlignment="1">
      <alignment horizontal="center" vertical="center"/>
    </xf>
    <xf numFmtId="174" fontId="209" fillId="33" borderId="0" xfId="1" applyNumberFormat="1" applyFont="1" applyFill="1" applyBorder="1" applyAlignment="1">
      <alignment horizontal="center" vertical="center"/>
    </xf>
    <xf numFmtId="174" fontId="205" fillId="33" borderId="92" xfId="1" applyNumberFormat="1" applyFont="1" applyFill="1" applyBorder="1" applyAlignment="1">
      <alignment horizontal="center" vertical="center" wrapText="1"/>
    </xf>
    <xf numFmtId="174" fontId="205" fillId="0" borderId="133" xfId="1" applyNumberFormat="1" applyFont="1" applyBorder="1" applyAlignment="1">
      <alignment horizontal="center" vertical="center" wrapText="1"/>
    </xf>
    <xf numFmtId="0" fontId="205" fillId="0" borderId="92" xfId="1" applyNumberFormat="1" applyFont="1" applyFill="1" applyBorder="1" applyAlignment="1">
      <alignment horizontal="center" vertical="center" wrapText="1"/>
    </xf>
    <xf numFmtId="174" fontId="209" fillId="33" borderId="0" xfId="1" applyNumberFormat="1" applyFont="1" applyFill="1" applyBorder="1" applyAlignment="1">
      <alignment horizontal="center" vertical="center" wrapText="1"/>
    </xf>
    <xf numFmtId="174" fontId="202" fillId="33" borderId="0" xfId="1" applyNumberFormat="1" applyFont="1" applyFill="1" applyBorder="1" applyAlignment="1">
      <alignment horizontal="center" vertical="center" wrapText="1"/>
    </xf>
    <xf numFmtId="174" fontId="205" fillId="33" borderId="0" xfId="1" applyNumberFormat="1" applyFont="1" applyFill="1" applyBorder="1" applyAlignment="1">
      <alignment horizontal="center" vertical="center" wrapText="1"/>
    </xf>
    <xf numFmtId="174" fontId="202" fillId="0" borderId="0" xfId="1" applyNumberFormat="1" applyFont="1" applyAlignment="1">
      <alignment horizontal="center"/>
    </xf>
    <xf numFmtId="174" fontId="202" fillId="0" borderId="0" xfId="1" applyNumberFormat="1" applyFont="1" applyFill="1" applyAlignment="1">
      <alignment horizontal="center"/>
    </xf>
    <xf numFmtId="174" fontId="202" fillId="0" borderId="18" xfId="1" applyNumberFormat="1" applyFont="1" applyBorder="1" applyAlignment="1">
      <alignment horizontal="center"/>
    </xf>
    <xf numFmtId="174" fontId="202" fillId="0" borderId="0" xfId="1" applyNumberFormat="1" applyFont="1" applyAlignment="1"/>
    <xf numFmtId="174" fontId="202" fillId="0" borderId="18" xfId="1" applyNumberFormat="1" applyFont="1" applyFill="1" applyBorder="1" applyAlignment="1">
      <alignment horizontal="center"/>
    </xf>
    <xf numFmtId="174" fontId="202" fillId="0" borderId="0" xfId="1" applyNumberFormat="1" applyFont="1" applyFill="1" applyBorder="1" applyAlignment="1">
      <alignment horizontal="center"/>
    </xf>
    <xf numFmtId="39" fontId="202" fillId="33" borderId="0" xfId="1" applyNumberFormat="1" applyFont="1" applyFill="1" applyBorder="1"/>
    <xf numFmtId="39" fontId="202" fillId="33" borderId="0" xfId="1" applyNumberFormat="1" applyFont="1" applyFill="1" applyBorder="1" applyAlignment="1">
      <alignment horizontal="right"/>
    </xf>
    <xf numFmtId="174" fontId="202" fillId="0" borderId="0" xfId="1" applyNumberFormat="1" applyFont="1" applyAlignment="1">
      <alignment horizontal="right"/>
    </xf>
    <xf numFmtId="174" fontId="202" fillId="78" borderId="0" xfId="1" applyNumberFormat="1" applyFont="1" applyFill="1" applyAlignment="1">
      <alignment horizontal="right"/>
    </xf>
    <xf numFmtId="174" fontId="202" fillId="78" borderId="18" xfId="1" applyNumberFormat="1" applyFont="1" applyFill="1" applyBorder="1" applyAlignment="1">
      <alignment horizontal="right"/>
    </xf>
    <xf numFmtId="174" fontId="202" fillId="0" borderId="0" xfId="1" applyNumberFormat="1" applyFont="1" applyFill="1" applyAlignment="1">
      <alignment horizontal="right"/>
    </xf>
    <xf numFmtId="174" fontId="202" fillId="0" borderId="18" xfId="1" applyNumberFormat="1" applyFont="1" applyBorder="1" applyAlignment="1">
      <alignment horizontal="right"/>
    </xf>
    <xf numFmtId="174" fontId="202" fillId="0" borderId="11" xfId="1" applyNumberFormat="1" applyFont="1" applyFill="1" applyBorder="1" applyAlignment="1">
      <alignment horizontal="right"/>
    </xf>
    <xf numFmtId="174" fontId="202" fillId="0" borderId="0" xfId="1" applyNumberFormat="1" applyFont="1" applyBorder="1" applyAlignment="1">
      <alignment horizontal="right"/>
    </xf>
    <xf numFmtId="174" fontId="202" fillId="0" borderId="18" xfId="1" applyNumberFormat="1" applyFont="1" applyFill="1" applyBorder="1" applyAlignment="1">
      <alignment horizontal="right"/>
    </xf>
    <xf numFmtId="174" fontId="202" fillId="0" borderId="0" xfId="1" applyNumberFormat="1" applyFont="1" applyFill="1" applyBorder="1" applyAlignment="1"/>
    <xf numFmtId="174" fontId="202" fillId="0" borderId="0" xfId="1" applyNumberFormat="1" applyFont="1" applyFill="1" applyBorder="1" applyAlignment="1">
      <alignment horizontal="right"/>
    </xf>
    <xf numFmtId="174" fontId="202" fillId="0" borderId="0" xfId="1" applyNumberFormat="1" applyFont="1" applyFill="1" applyAlignment="1"/>
    <xf numFmtId="174" fontId="202" fillId="78" borderId="0" xfId="1" applyNumberFormat="1" applyFont="1" applyFill="1" applyBorder="1" applyAlignment="1">
      <alignment horizontal="right"/>
    </xf>
    <xf numFmtId="174" fontId="202" fillId="78" borderId="11" xfId="1" applyNumberFormat="1" applyFont="1" applyFill="1" applyBorder="1" applyAlignment="1">
      <alignment horizontal="right"/>
    </xf>
    <xf numFmtId="174" fontId="202" fillId="78" borderId="0" xfId="1" applyNumberFormat="1" applyFont="1" applyFill="1" applyAlignment="1"/>
    <xf numFmtId="174" fontId="202" fillId="42" borderId="0" xfId="1" applyNumberFormat="1" applyFont="1" applyFill="1" applyAlignment="1"/>
    <xf numFmtId="174" fontId="202" fillId="0" borderId="18" xfId="1" applyNumberFormat="1" applyFont="1" applyBorder="1"/>
    <xf numFmtId="174" fontId="202" fillId="0" borderId="18" xfId="1" applyNumberFormat="1" applyFont="1" applyFill="1" applyBorder="1"/>
    <xf numFmtId="174" fontId="202" fillId="78" borderId="0" xfId="1" applyNumberFormat="1" applyFont="1" applyFill="1"/>
    <xf numFmtId="174" fontId="202" fillId="0" borderId="0" xfId="1" applyNumberFormat="1" applyFont="1" applyFill="1"/>
    <xf numFmtId="174" fontId="202" fillId="78" borderId="0" xfId="1" applyNumberFormat="1" applyFont="1" applyFill="1" applyAlignment="1">
      <alignment horizontal="center"/>
    </xf>
    <xf numFmtId="174" fontId="202" fillId="79" borderId="0" xfId="1" applyNumberFormat="1" applyFont="1" applyFill="1"/>
    <xf numFmtId="174" fontId="202" fillId="79" borderId="0" xfId="1" applyNumberFormat="1" applyFont="1" applyFill="1" applyAlignment="1">
      <alignment horizontal="right"/>
    </xf>
    <xf numFmtId="174" fontId="202" fillId="79" borderId="0" xfId="1" applyNumberFormat="1" applyFont="1" applyFill="1" applyBorder="1" applyAlignment="1">
      <alignment horizontal="right"/>
    </xf>
    <xf numFmtId="174" fontId="202" fillId="79" borderId="18" xfId="1" applyNumberFormat="1" applyFont="1" applyFill="1" applyBorder="1" applyAlignment="1">
      <alignment horizontal="right"/>
    </xf>
    <xf numFmtId="174" fontId="202" fillId="79" borderId="0" xfId="1" quotePrefix="1" applyNumberFormat="1" applyFont="1" applyFill="1" applyAlignment="1">
      <alignment horizontal="right"/>
    </xf>
    <xf numFmtId="174" fontId="202" fillId="79" borderId="0" xfId="1" applyNumberFormat="1" applyFont="1" applyFill="1" applyAlignment="1"/>
    <xf numFmtId="174" fontId="202" fillId="35" borderId="0" xfId="1" applyNumberFormat="1" applyFont="1" applyFill="1" applyAlignment="1">
      <alignment horizontal="right"/>
    </xf>
    <xf numFmtId="174" fontId="202" fillId="0" borderId="0" xfId="1" quotePrefix="1" applyNumberFormat="1" applyFont="1" applyAlignment="1">
      <alignment horizontal="right"/>
    </xf>
    <xf numFmtId="174" fontId="202" fillId="79" borderId="11" xfId="1" applyNumberFormat="1" applyFont="1" applyFill="1" applyBorder="1" applyAlignment="1">
      <alignment horizontal="right"/>
    </xf>
    <xf numFmtId="174" fontId="202" fillId="33" borderId="92" xfId="1" applyNumberFormat="1" applyFont="1" applyFill="1" applyBorder="1"/>
    <xf numFmtId="174" fontId="202" fillId="0" borderId="92" xfId="1" applyNumberFormat="1" applyFont="1" applyBorder="1" applyAlignment="1">
      <alignment horizontal="right"/>
    </xf>
    <xf numFmtId="174" fontId="202" fillId="0" borderId="129" xfId="1" applyNumberFormat="1" applyFont="1" applyFill="1" applyBorder="1" applyAlignment="1">
      <alignment horizontal="right"/>
    </xf>
    <xf numFmtId="174" fontId="202" fillId="0" borderId="133" xfId="1" applyNumberFormat="1" applyFont="1" applyBorder="1" applyAlignment="1">
      <alignment horizontal="right"/>
    </xf>
    <xf numFmtId="174" fontId="202" fillId="0" borderId="92" xfId="1" applyNumberFormat="1" applyFont="1" applyFill="1" applyBorder="1" applyAlignment="1">
      <alignment horizontal="right"/>
    </xf>
    <xf numFmtId="174" fontId="202" fillId="0" borderId="92" xfId="1" applyNumberFormat="1" applyFont="1" applyBorder="1" applyAlignment="1"/>
    <xf numFmtId="174" fontId="202" fillId="33" borderId="92" xfId="1" applyNumberFormat="1" applyFont="1" applyFill="1" applyBorder="1" applyAlignment="1"/>
    <xf numFmtId="174" fontId="202" fillId="33" borderId="92" xfId="1" applyNumberFormat="1" applyFont="1" applyFill="1" applyBorder="1" applyAlignment="1">
      <alignment horizontal="right"/>
    </xf>
    <xf numFmtId="174" fontId="202" fillId="0" borderId="133" xfId="1" applyNumberFormat="1" applyFont="1" applyFill="1" applyBorder="1" applyAlignment="1">
      <alignment horizontal="right"/>
    </xf>
    <xf numFmtId="174" fontId="202" fillId="78" borderId="129" xfId="1" applyNumberFormat="1" applyFont="1" applyFill="1" applyBorder="1" applyAlignment="1">
      <alignment horizontal="right"/>
    </xf>
    <xf numFmtId="174" fontId="202" fillId="0" borderId="92" xfId="1" applyNumberFormat="1" applyFont="1" applyFill="1" applyBorder="1" applyAlignment="1">
      <alignment horizontal="center"/>
    </xf>
    <xf numFmtId="174" fontId="202" fillId="0" borderId="92" xfId="1" applyNumberFormat="1" applyFont="1" applyFill="1" applyBorder="1" applyAlignment="1"/>
    <xf numFmtId="174" fontId="202" fillId="0" borderId="92" xfId="1" applyNumberFormat="1" applyFont="1" applyBorder="1"/>
    <xf numFmtId="39" fontId="202" fillId="33" borderId="0" xfId="1" applyNumberFormat="1" applyFont="1" applyFill="1" applyBorder="1" applyAlignment="1">
      <alignment horizontal="center"/>
    </xf>
    <xf numFmtId="9" fontId="202" fillId="33" borderId="0" xfId="1" applyNumberFormat="1" applyFont="1" applyFill="1" applyBorder="1" applyAlignment="1">
      <alignment horizontal="center"/>
    </xf>
    <xf numFmtId="0" fontId="202" fillId="33" borderId="0" xfId="1" applyNumberFormat="1" applyFont="1" applyFill="1" applyBorder="1" applyAlignment="1">
      <alignment horizontal="center"/>
    </xf>
    <xf numFmtId="174" fontId="202" fillId="17" borderId="0" xfId="1" applyNumberFormat="1" applyFont="1" applyFill="1" applyAlignment="1">
      <alignment horizontal="center"/>
    </xf>
    <xf numFmtId="0" fontId="202" fillId="33" borderId="0" xfId="0" applyFont="1" applyFill="1" applyAlignment="1">
      <alignment horizontal="center" vertical="center"/>
    </xf>
    <xf numFmtId="0" fontId="202" fillId="0" borderId="0" xfId="0" applyFont="1" applyAlignment="1">
      <alignment horizontal="center" vertical="center"/>
    </xf>
    <xf numFmtId="0" fontId="204" fillId="77" borderId="101" xfId="0" applyFont="1" applyFill="1" applyBorder="1" applyAlignment="1">
      <alignment horizontal="center" vertical="center"/>
    </xf>
    <xf numFmtId="0" fontId="204" fillId="77" borderId="0" xfId="0" applyFont="1" applyFill="1" applyAlignment="1">
      <alignment horizontal="center" vertical="center"/>
    </xf>
    <xf numFmtId="0" fontId="202" fillId="77" borderId="0" xfId="0" applyFont="1" applyFill="1" applyAlignment="1">
      <alignment horizontal="center" vertical="center"/>
    </xf>
    <xf numFmtId="0" fontId="204" fillId="77" borderId="11" xfId="0" applyFont="1" applyFill="1" applyBorder="1" applyAlignment="1">
      <alignment horizontal="center" vertical="center"/>
    </xf>
    <xf numFmtId="0" fontId="204" fillId="77" borderId="117" xfId="0" applyFont="1" applyFill="1" applyBorder="1" applyAlignment="1">
      <alignment horizontal="center" vertical="center"/>
    </xf>
    <xf numFmtId="0" fontId="204" fillId="77" borderId="102" xfId="0" applyFont="1" applyFill="1" applyBorder="1" applyAlignment="1">
      <alignment horizontal="center" vertical="center"/>
    </xf>
    <xf numFmtId="0" fontId="0" fillId="33" borderId="0" xfId="0" applyFont="1" applyFill="1"/>
    <xf numFmtId="0" fontId="0" fillId="0" borderId="0" xfId="0" applyFont="1"/>
    <xf numFmtId="0" fontId="214" fillId="77" borderId="162" xfId="0" applyFont="1" applyFill="1" applyBorder="1" applyAlignment="1">
      <alignment horizontal="center" vertical="center"/>
    </xf>
    <xf numFmtId="0" fontId="215" fillId="33" borderId="0" xfId="0" applyFont="1" applyFill="1" applyAlignment="1">
      <alignment horizontal="center" vertical="center"/>
    </xf>
    <xf numFmtId="174" fontId="214" fillId="80" borderId="0" xfId="1" applyNumberFormat="1" applyFont="1" applyFill="1" applyBorder="1" applyAlignment="1">
      <alignment horizontal="center" vertical="center"/>
    </xf>
    <xf numFmtId="174" fontId="156" fillId="0" borderId="0" xfId="1" applyNumberFormat="1" applyFont="1" applyAlignment="1">
      <alignment horizontal="center"/>
    </xf>
    <xf numFmtId="174" fontId="156" fillId="0" borderId="44" xfId="1" applyNumberFormat="1" applyFont="1" applyBorder="1" applyAlignment="1">
      <alignment horizontal="center"/>
    </xf>
    <xf numFmtId="174" fontId="153" fillId="33" borderId="0" xfId="1" applyNumberFormat="1" applyFont="1" applyFill="1" applyAlignment="1">
      <alignment horizontal="center"/>
    </xf>
    <xf numFmtId="174" fontId="154" fillId="33" borderId="0" xfId="1" applyNumberFormat="1" applyFont="1" applyFill="1" applyAlignment="1">
      <alignment horizontal="center"/>
    </xf>
    <xf numFmtId="49" fontId="155" fillId="34" borderId="0" xfId="1" applyNumberFormat="1" applyFont="1" applyFill="1" applyAlignment="1">
      <alignment horizontal="center"/>
    </xf>
    <xf numFmtId="0" fontId="213" fillId="76" borderId="141" xfId="0" applyFont="1" applyFill="1" applyBorder="1" applyAlignment="1">
      <alignment horizontal="center" vertical="center"/>
    </xf>
    <xf numFmtId="0" fontId="213" fillId="76" borderId="142" xfId="0" applyFont="1" applyFill="1" applyBorder="1" applyAlignment="1">
      <alignment horizontal="center" vertical="center"/>
    </xf>
    <xf numFmtId="0" fontId="213" fillId="76" borderId="143" xfId="0" applyFont="1" applyFill="1" applyBorder="1" applyAlignment="1">
      <alignment horizontal="center" vertical="center"/>
    </xf>
    <xf numFmtId="0" fontId="213" fillId="4" borderId="0" xfId="0" applyFont="1" applyFill="1" applyAlignment="1">
      <alignment horizontal="center" vertical="center"/>
    </xf>
    <xf numFmtId="0" fontId="213" fillId="4" borderId="102" xfId="0" applyFont="1" applyFill="1" applyBorder="1" applyAlignment="1">
      <alignment horizontal="center" vertical="center"/>
    </xf>
    <xf numFmtId="0" fontId="213" fillId="81" borderId="101" xfId="0" applyFont="1" applyFill="1" applyBorder="1" applyAlignment="1">
      <alignment horizontal="center" vertical="center"/>
    </xf>
    <xf numFmtId="0" fontId="213" fillId="81" borderId="0" xfId="0" applyFont="1" applyFill="1" applyAlignment="1">
      <alignment horizontal="center" vertical="center"/>
    </xf>
    <xf numFmtId="174" fontId="204" fillId="33" borderId="0" xfId="1" applyNumberFormat="1" applyFont="1" applyFill="1" applyBorder="1" applyAlignment="1">
      <alignment horizontal="center" vertical="center"/>
    </xf>
    <xf numFmtId="0" fontId="204" fillId="77" borderId="42" xfId="1" applyNumberFormat="1" applyFont="1" applyFill="1" applyBorder="1" applyAlignment="1">
      <alignment horizontal="center" vertical="center"/>
    </xf>
    <xf numFmtId="49" fontId="204" fillId="77" borderId="42" xfId="1" applyNumberFormat="1" applyFont="1" applyFill="1" applyBorder="1" applyAlignment="1">
      <alignment horizontal="center" vertical="center"/>
    </xf>
    <xf numFmtId="49" fontId="204" fillId="77" borderId="0" xfId="1" applyNumberFormat="1" applyFont="1" applyFill="1" applyAlignment="1">
      <alignment horizontal="center" vertical="center"/>
    </xf>
    <xf numFmtId="49" fontId="204" fillId="33" borderId="0" xfId="1" applyNumberFormat="1" applyFont="1" applyFill="1" applyBorder="1" applyAlignment="1">
      <alignment horizontal="center" vertical="center"/>
    </xf>
    <xf numFmtId="174" fontId="203" fillId="80" borderId="0" xfId="1" applyNumberFormat="1" applyFont="1" applyFill="1" applyAlignment="1">
      <alignment horizontal="center" vertical="center"/>
    </xf>
    <xf numFmtId="174" fontId="214" fillId="80" borderId="0" xfId="1" applyNumberFormat="1" applyFont="1" applyFill="1" applyAlignment="1">
      <alignment horizontal="center" vertical="center"/>
    </xf>
    <xf numFmtId="174" fontId="206" fillId="0" borderId="163" xfId="1" applyNumberFormat="1" applyFont="1" applyFill="1" applyBorder="1" applyAlignment="1">
      <alignment horizontal="center" vertical="center" wrapText="1"/>
    </xf>
    <xf numFmtId="174" fontId="212" fillId="81" borderId="172" xfId="1" applyNumberFormat="1" applyFont="1" applyFill="1" applyBorder="1" applyAlignment="1">
      <alignment horizontal="center" vertical="center"/>
    </xf>
    <xf numFmtId="174" fontId="212" fillId="4" borderId="172" xfId="1" applyNumberFormat="1" applyFont="1" applyFill="1" applyBorder="1" applyAlignment="1">
      <alignment horizontal="center" vertical="center"/>
    </xf>
    <xf numFmtId="174" fontId="212" fillId="4" borderId="92" xfId="1" applyNumberFormat="1" applyFont="1" applyFill="1" applyBorder="1" applyAlignment="1">
      <alignment horizontal="center" vertical="center"/>
    </xf>
    <xf numFmtId="174" fontId="212" fillId="81" borderId="92" xfId="1" applyNumberFormat="1" applyFont="1" applyFill="1" applyBorder="1" applyAlignment="1">
      <alignment horizontal="center" vertical="center"/>
    </xf>
    <xf numFmtId="0" fontId="6" fillId="30" borderId="1" xfId="0" applyFont="1" applyFill="1" applyBorder="1" applyAlignment="1">
      <alignment horizontal="center"/>
    </xf>
    <xf numFmtId="0" fontId="6" fillId="30" borderId="2" xfId="0" applyFont="1" applyFill="1" applyBorder="1" applyAlignment="1">
      <alignment horizontal="center"/>
    </xf>
    <xf numFmtId="0" fontId="6" fillId="30" borderId="3" xfId="0" applyFont="1" applyFill="1" applyBorder="1" applyAlignment="1">
      <alignment horizontal="center"/>
    </xf>
    <xf numFmtId="0" fontId="6" fillId="2" borderId="1" xfId="0" applyFont="1" applyFill="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3" borderId="1" xfId="0" applyFont="1" applyFill="1" applyBorder="1" applyAlignment="1">
      <alignment horizontal="center"/>
    </xf>
    <xf numFmtId="0" fontId="6" fillId="3" borderId="2" xfId="0" applyFont="1" applyFill="1" applyBorder="1" applyAlignment="1">
      <alignment horizontal="center"/>
    </xf>
    <xf numFmtId="0" fontId="6" fillId="3" borderId="3" xfId="0" applyFont="1" applyFill="1" applyBorder="1" applyAlignment="1">
      <alignment horizontal="center"/>
    </xf>
    <xf numFmtId="0" fontId="6" fillId="11" borderId="1" xfId="0" applyFont="1" applyFill="1" applyBorder="1" applyAlignment="1">
      <alignment horizontal="center"/>
    </xf>
    <xf numFmtId="0" fontId="6" fillId="11" borderId="2" xfId="0" applyFont="1" applyFill="1" applyBorder="1" applyAlignment="1">
      <alignment horizontal="center"/>
    </xf>
    <xf numFmtId="0" fontId="6" fillId="11" borderId="3" xfId="0" applyFont="1" applyFill="1" applyBorder="1" applyAlignment="1">
      <alignment horizontal="center"/>
    </xf>
    <xf numFmtId="0" fontId="6" fillId="9" borderId="1" xfId="0" applyFont="1" applyFill="1" applyBorder="1" applyAlignment="1">
      <alignment horizontal="center"/>
    </xf>
    <xf numFmtId="0" fontId="6" fillId="9" borderId="2" xfId="0" applyFont="1" applyFill="1" applyBorder="1" applyAlignment="1">
      <alignment horizontal="center"/>
    </xf>
    <xf numFmtId="0" fontId="6" fillId="9" borderId="3" xfId="0" applyFont="1" applyFill="1" applyBorder="1" applyAlignment="1">
      <alignment horizont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2" fillId="0" borderId="5" xfId="0" applyFont="1" applyBorder="1" applyAlignment="1">
      <alignment horizontal="center" vertical="center"/>
    </xf>
    <xf numFmtId="0" fontId="32" fillId="0" borderId="7" xfId="0" applyFont="1" applyBorder="1" applyAlignment="1">
      <alignment horizontal="center"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12" fillId="4" borderId="1" xfId="0" quotePrefix="1" applyFont="1" applyFill="1" applyBorder="1" applyAlignment="1">
      <alignment horizontal="center"/>
    </xf>
    <xf numFmtId="0" fontId="12" fillId="4" borderId="3" xfId="0" quotePrefix="1" applyFont="1" applyFill="1" applyBorder="1" applyAlignment="1">
      <alignment horizontal="center"/>
    </xf>
    <xf numFmtId="0" fontId="33" fillId="0" borderId="5" xfId="0" quotePrefix="1" applyFont="1" applyBorder="1" applyAlignment="1">
      <alignment horizontal="center" vertical="center" wrapText="1"/>
    </xf>
    <xf numFmtId="0" fontId="33" fillId="0" borderId="7" xfId="0" quotePrefix="1" applyFont="1" applyBorder="1" applyAlignment="1">
      <alignment horizontal="center" vertical="center" wrapText="1"/>
    </xf>
    <xf numFmtId="0" fontId="12" fillId="4" borderId="1" xfId="0" quotePrefix="1" applyFont="1" applyFill="1" applyBorder="1" applyAlignment="1">
      <alignment horizontal="center" vertical="center"/>
    </xf>
    <xf numFmtId="0" fontId="12" fillId="4" borderId="3" xfId="0" quotePrefix="1" applyFont="1" applyFill="1" applyBorder="1" applyAlignment="1">
      <alignment horizontal="center" vertical="center"/>
    </xf>
    <xf numFmtId="165" fontId="10" fillId="0" borderId="5" xfId="0" quotePrefix="1" applyNumberFormat="1" applyFont="1" applyBorder="1" applyAlignment="1">
      <alignment horizontal="center" vertical="center" wrapText="1"/>
    </xf>
    <xf numFmtId="165" fontId="10" fillId="0" borderId="7" xfId="0" quotePrefix="1" applyNumberFormat="1" applyFont="1" applyBorder="1" applyAlignment="1">
      <alignment horizontal="center" vertical="center" wrapText="1"/>
    </xf>
    <xf numFmtId="0" fontId="0" fillId="4" borderId="1" xfId="0" quotePrefix="1" applyFill="1" applyBorder="1" applyAlignment="1">
      <alignment horizontal="center" vertical="center"/>
    </xf>
    <xf numFmtId="0" fontId="0" fillId="4" borderId="2" xfId="0" quotePrefix="1" applyFill="1" applyBorder="1" applyAlignment="1">
      <alignment horizontal="center" vertical="center"/>
    </xf>
    <xf numFmtId="0" fontId="0" fillId="4" borderId="3" xfId="0" quotePrefix="1" applyFill="1" applyBorder="1" applyAlignment="1">
      <alignment horizontal="center" vertical="center"/>
    </xf>
    <xf numFmtId="0" fontId="34" fillId="0" borderId="5" xfId="0" applyFont="1" applyBorder="1" applyAlignment="1">
      <alignment horizontal="center" vertical="center" textRotation="90" wrapText="1"/>
    </xf>
    <xf numFmtId="0" fontId="34" fillId="0" borderId="10" xfId="0" applyFont="1" applyBorder="1" applyAlignment="1">
      <alignment horizontal="center" vertical="center" textRotation="90" wrapText="1"/>
    </xf>
    <xf numFmtId="0" fontId="34" fillId="0" borderId="7" xfId="0" applyFont="1" applyBorder="1" applyAlignment="1">
      <alignment horizontal="center" vertical="center" textRotation="90" wrapText="1"/>
    </xf>
    <xf numFmtId="0" fontId="12" fillId="4" borderId="1" xfId="0" applyFont="1" applyFill="1" applyBorder="1" applyAlignment="1">
      <alignment horizontal="center" vertical="center" wrapText="1"/>
    </xf>
    <xf numFmtId="0" fontId="12" fillId="4" borderId="3" xfId="0" applyFont="1" applyFill="1" applyBorder="1" applyAlignment="1">
      <alignment horizontal="center" vertical="center" wrapText="1"/>
    </xf>
    <xf numFmtId="3" fontId="29" fillId="4" borderId="1" xfId="0" applyNumberFormat="1" applyFont="1" applyFill="1" applyBorder="1" applyAlignment="1">
      <alignment horizontal="center" vertical="center"/>
    </xf>
    <xf numFmtId="3" fontId="29" fillId="4" borderId="2" xfId="0" applyNumberFormat="1" applyFont="1" applyFill="1" applyBorder="1" applyAlignment="1">
      <alignment horizontal="center" vertical="center"/>
    </xf>
    <xf numFmtId="0" fontId="24" fillId="7" borderId="5" xfId="0" applyFont="1" applyFill="1" applyBorder="1" applyAlignment="1">
      <alignment horizontal="center" vertical="center" textRotation="90" wrapText="1"/>
    </xf>
    <xf numFmtId="0" fontId="24" fillId="7" borderId="10" xfId="0" applyFont="1" applyFill="1" applyBorder="1" applyAlignment="1">
      <alignment horizontal="center" vertical="center" textRotation="90" wrapText="1"/>
    </xf>
    <xf numFmtId="0" fontId="24" fillId="7" borderId="7" xfId="0" applyFont="1" applyFill="1" applyBorder="1" applyAlignment="1">
      <alignment horizontal="center" vertical="center" textRotation="90" wrapText="1"/>
    </xf>
    <xf numFmtId="0" fontId="0" fillId="0" borderId="1" xfId="0" applyBorder="1" applyAlignment="1">
      <alignment horizontal="center" vertical="center" wrapText="1"/>
    </xf>
    <xf numFmtId="0" fontId="0" fillId="0" borderId="83" xfId="0" applyBorder="1" applyAlignment="1">
      <alignment horizontal="center" vertical="center" wrapText="1"/>
    </xf>
    <xf numFmtId="0" fontId="159" fillId="38" borderId="1" xfId="0" applyFont="1" applyFill="1" applyBorder="1" applyAlignment="1">
      <alignment horizontal="center"/>
    </xf>
    <xf numFmtId="0" fontId="159" fillId="38" borderId="2" xfId="0" applyFont="1" applyFill="1" applyBorder="1" applyAlignment="1">
      <alignment horizontal="center"/>
    </xf>
    <xf numFmtId="0" fontId="159" fillId="38" borderId="3" xfId="0" applyFont="1" applyFill="1" applyBorder="1" applyAlignment="1">
      <alignment horizontal="center"/>
    </xf>
    <xf numFmtId="0" fontId="11" fillId="0" borderId="5" xfId="0" applyFont="1" applyBorder="1" applyAlignment="1">
      <alignment horizontal="center" vertical="center" textRotation="90" wrapText="1"/>
    </xf>
    <xf numFmtId="0" fontId="11" fillId="0" borderId="10" xfId="0" applyFont="1" applyBorder="1" applyAlignment="1">
      <alignment horizontal="center" vertical="center" textRotation="90" wrapText="1"/>
    </xf>
    <xf numFmtId="0" fontId="11" fillId="0" borderId="7" xfId="0" applyFont="1" applyBorder="1" applyAlignment="1">
      <alignment horizontal="center" vertical="center" textRotation="90" wrapText="1"/>
    </xf>
    <xf numFmtId="0" fontId="12" fillId="4" borderId="1" xfId="0" applyFont="1" applyFill="1" applyBorder="1" applyAlignment="1">
      <alignment horizontal="left" vertical="top" wrapText="1"/>
    </xf>
    <xf numFmtId="0" fontId="12" fillId="4" borderId="2" xfId="0" applyFont="1" applyFill="1" applyBorder="1" applyAlignment="1">
      <alignment horizontal="left" vertical="top" wrapText="1"/>
    </xf>
    <xf numFmtId="0" fontId="12" fillId="4" borderId="3" xfId="0" applyFont="1" applyFill="1" applyBorder="1" applyAlignment="1">
      <alignment horizontal="left" vertical="top" wrapText="1"/>
    </xf>
    <xf numFmtId="0" fontId="0" fillId="4" borderId="4" xfId="0" quotePrefix="1" applyFill="1" applyBorder="1" applyAlignment="1">
      <alignment horizontal="center"/>
    </xf>
    <xf numFmtId="0" fontId="6" fillId="23" borderId="1" xfId="0" applyFont="1" applyFill="1" applyBorder="1" applyAlignment="1">
      <alignment horizontal="center"/>
    </xf>
    <xf numFmtId="0" fontId="6" fillId="23" borderId="2" xfId="0" applyFont="1" applyFill="1" applyBorder="1" applyAlignment="1">
      <alignment horizontal="center"/>
    </xf>
    <xf numFmtId="0" fontId="6" fillId="23" borderId="3" xfId="0" applyFont="1" applyFill="1" applyBorder="1" applyAlignment="1">
      <alignment horizontal="center"/>
    </xf>
    <xf numFmtId="0" fontId="6" fillId="29" borderId="1" xfId="0" applyFont="1" applyFill="1" applyBorder="1" applyAlignment="1">
      <alignment horizontal="center"/>
    </xf>
    <xf numFmtId="0" fontId="6" fillId="29" borderId="2" xfId="0" applyFont="1" applyFill="1" applyBorder="1" applyAlignment="1">
      <alignment horizontal="center"/>
    </xf>
    <xf numFmtId="0" fontId="6" fillId="29" borderId="3" xfId="0" applyFont="1" applyFill="1" applyBorder="1" applyAlignment="1">
      <alignment horizontal="center"/>
    </xf>
    <xf numFmtId="0" fontId="3" fillId="0" borderId="5" xfId="0" applyFont="1" applyBorder="1" applyAlignment="1">
      <alignment horizontal="center" vertical="center"/>
    </xf>
    <xf numFmtId="0" fontId="3" fillId="0" borderId="7" xfId="0" applyFont="1" applyBorder="1" applyAlignment="1">
      <alignment horizontal="center" vertical="center"/>
    </xf>
    <xf numFmtId="0" fontId="53" fillId="4" borderId="1" xfId="0" applyFont="1" applyFill="1" applyBorder="1" applyAlignment="1">
      <alignment horizontal="center" vertical="center" wrapText="1"/>
    </xf>
    <xf numFmtId="0" fontId="53" fillId="4" borderId="3" xfId="0" applyFont="1" applyFill="1" applyBorder="1" applyAlignment="1">
      <alignment horizontal="center" vertical="center" wrapText="1"/>
    </xf>
    <xf numFmtId="0" fontId="6" fillId="16" borderId="1" xfId="0" applyFont="1" applyFill="1" applyBorder="1" applyAlignment="1">
      <alignment horizontal="center"/>
    </xf>
    <xf numFmtId="0" fontId="6" fillId="16" borderId="2" xfId="0" applyFont="1" applyFill="1" applyBorder="1" applyAlignment="1">
      <alignment horizontal="center"/>
    </xf>
    <xf numFmtId="0" fontId="6" fillId="16" borderId="3" xfId="0" applyFont="1" applyFill="1" applyBorder="1" applyAlignment="1">
      <alignment horizontal="center"/>
    </xf>
    <xf numFmtId="0" fontId="6" fillId="5" borderId="1" xfId="0" applyFont="1" applyFill="1" applyBorder="1" applyAlignment="1">
      <alignment horizontal="center"/>
    </xf>
    <xf numFmtId="0" fontId="6" fillId="5" borderId="2" xfId="0" applyFont="1" applyFill="1" applyBorder="1" applyAlignment="1">
      <alignment horizontal="center"/>
    </xf>
    <xf numFmtId="0" fontId="6" fillId="5" borderId="3" xfId="0" applyFont="1" applyFill="1" applyBorder="1" applyAlignment="1">
      <alignment horizontal="center"/>
    </xf>
    <xf numFmtId="0" fontId="12" fillId="4" borderId="21" xfId="0" applyFont="1" applyFill="1" applyBorder="1" applyAlignment="1">
      <alignment horizontal="center" wrapText="1"/>
    </xf>
    <xf numFmtId="0" fontId="12" fillId="4" borderId="22" xfId="0" applyFont="1" applyFill="1" applyBorder="1" applyAlignment="1">
      <alignment horizontal="center" wrapText="1"/>
    </xf>
    <xf numFmtId="0" fontId="12" fillId="4" borderId="21" xfId="0" applyFont="1" applyFill="1" applyBorder="1" applyAlignment="1">
      <alignment horizontal="left"/>
    </xf>
    <xf numFmtId="0" fontId="12" fillId="4" borderId="22" xfId="0" applyFont="1" applyFill="1" applyBorder="1" applyAlignment="1">
      <alignment horizontal="left"/>
    </xf>
    <xf numFmtId="0" fontId="12" fillId="4" borderId="4" xfId="0" quotePrefix="1" applyFont="1" applyFill="1" applyBorder="1" applyAlignment="1">
      <alignment horizontal="center"/>
    </xf>
    <xf numFmtId="0" fontId="6" fillId="7" borderId="1" xfId="0" applyFont="1" applyFill="1" applyBorder="1" applyAlignment="1">
      <alignment horizontal="center"/>
    </xf>
    <xf numFmtId="0" fontId="6" fillId="7" borderId="2" xfId="0" applyFont="1" applyFill="1" applyBorder="1" applyAlignment="1">
      <alignment horizontal="center"/>
    </xf>
    <xf numFmtId="0" fontId="6" fillId="7" borderId="3" xfId="0" applyFont="1" applyFill="1" applyBorder="1" applyAlignment="1">
      <alignment horizontal="center"/>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16" xfId="0" applyFont="1" applyBorder="1" applyAlignment="1">
      <alignment horizontal="center" vertical="center" wrapText="1"/>
    </xf>
    <xf numFmtId="0" fontId="3" fillId="4" borderId="53" xfId="0" applyFont="1" applyFill="1" applyBorder="1" applyAlignment="1">
      <alignment horizontal="center" vertical="center"/>
    </xf>
    <xf numFmtId="0" fontId="3" fillId="4" borderId="42" xfId="0" applyFont="1" applyFill="1" applyBorder="1" applyAlignment="1">
      <alignment horizontal="center" vertical="center"/>
    </xf>
    <xf numFmtId="0" fontId="3" fillId="4" borderId="38" xfId="0" applyFont="1" applyFill="1" applyBorder="1" applyAlignment="1">
      <alignment horizontal="center" vertical="center"/>
    </xf>
    <xf numFmtId="0" fontId="0" fillId="4" borderId="43" xfId="0" quotePrefix="1" applyFill="1" applyBorder="1" applyAlignment="1">
      <alignment horizontal="center"/>
    </xf>
    <xf numFmtId="0" fontId="0" fillId="4" borderId="44" xfId="0" quotePrefix="1" applyFill="1" applyBorder="1" applyAlignment="1">
      <alignment horizontal="center"/>
    </xf>
    <xf numFmtId="0" fontId="0" fillId="4" borderId="16" xfId="0" quotePrefix="1" applyFill="1" applyBorder="1" applyAlignment="1">
      <alignment horizontal="center"/>
    </xf>
    <xf numFmtId="0" fontId="6" fillId="8" borderId="1" xfId="0" applyFont="1" applyFill="1" applyBorder="1" applyAlignment="1">
      <alignment horizontal="center"/>
    </xf>
    <xf numFmtId="0" fontId="6" fillId="8" borderId="2" xfId="0" applyFont="1" applyFill="1" applyBorder="1" applyAlignment="1">
      <alignment horizontal="center"/>
    </xf>
    <xf numFmtId="0" fontId="6" fillId="8" borderId="3" xfId="0" applyFont="1" applyFill="1" applyBorder="1" applyAlignment="1">
      <alignment horizontal="center"/>
    </xf>
    <xf numFmtId="0" fontId="6" fillId="71" borderId="1" xfId="0" applyFont="1" applyFill="1" applyBorder="1" applyAlignment="1">
      <alignment horizontal="center"/>
    </xf>
    <xf numFmtId="0" fontId="6" fillId="71" borderId="2" xfId="0" applyFont="1" applyFill="1" applyBorder="1" applyAlignment="1">
      <alignment horizontal="center"/>
    </xf>
    <xf numFmtId="0" fontId="6" fillId="71" borderId="3" xfId="0" applyFont="1" applyFill="1" applyBorder="1" applyAlignment="1">
      <alignment horizontal="center"/>
    </xf>
    <xf numFmtId="0" fontId="6" fillId="11" borderId="1" xfId="0" applyFont="1" applyFill="1" applyBorder="1" applyAlignment="1">
      <alignment horizontal="center" vertical="center"/>
    </xf>
    <xf numFmtId="0" fontId="6" fillId="11" borderId="2" xfId="0" applyFont="1" applyFill="1" applyBorder="1" applyAlignment="1">
      <alignment horizontal="center" vertical="center"/>
    </xf>
    <xf numFmtId="0" fontId="6" fillId="11" borderId="3" xfId="0" applyFont="1" applyFill="1" applyBorder="1" applyAlignment="1">
      <alignment horizontal="center" vertical="center"/>
    </xf>
    <xf numFmtId="0" fontId="11" fillId="0" borderId="16" xfId="0" applyFont="1" applyBorder="1" applyAlignment="1">
      <alignment horizontal="center" vertical="center" textRotation="90" wrapText="1"/>
    </xf>
    <xf numFmtId="0" fontId="11" fillId="0" borderId="11" xfId="0" applyFont="1" applyBorder="1" applyAlignment="1">
      <alignment horizontal="center" vertical="center" textRotation="90" wrapText="1"/>
    </xf>
    <xf numFmtId="0" fontId="11" fillId="0" borderId="0" xfId="0" applyFont="1" applyAlignment="1">
      <alignment horizontal="center" vertical="center" textRotation="90" wrapText="1"/>
    </xf>
    <xf numFmtId="3" fontId="29" fillId="0" borderId="16" xfId="0" applyNumberFormat="1" applyFont="1" applyBorder="1" applyAlignment="1">
      <alignment horizontal="center" vertical="center" wrapText="1"/>
    </xf>
    <xf numFmtId="3" fontId="29" fillId="0" borderId="11" xfId="0" applyNumberFormat="1" applyFont="1" applyBorder="1" applyAlignment="1">
      <alignment horizontal="center" vertical="center" wrapText="1"/>
    </xf>
    <xf numFmtId="3" fontId="29" fillId="0" borderId="38" xfId="0" applyNumberFormat="1" applyFont="1" applyBorder="1" applyAlignment="1">
      <alignment horizontal="center" vertical="center" wrapText="1"/>
    </xf>
    <xf numFmtId="0" fontId="6" fillId="30" borderId="1" xfId="0" applyFont="1" applyFill="1" applyBorder="1" applyAlignment="1">
      <alignment horizontal="center" vertical="center"/>
    </xf>
    <xf numFmtId="0" fontId="6" fillId="30" borderId="2" xfId="0" applyFont="1" applyFill="1" applyBorder="1" applyAlignment="1">
      <alignment horizontal="center" vertical="center"/>
    </xf>
    <xf numFmtId="0" fontId="6" fillId="30" borderId="3" xfId="0" applyFont="1" applyFill="1" applyBorder="1" applyAlignment="1">
      <alignment horizontal="center" vertical="center"/>
    </xf>
    <xf numFmtId="3" fontId="0" fillId="0" borderId="0" xfId="0" applyNumberFormat="1" applyAlignment="1">
      <alignment horizontal="center" vertical="center"/>
    </xf>
    <xf numFmtId="0" fontId="24" fillId="0" borderId="5" xfId="0" applyFont="1" applyBorder="1" applyAlignment="1">
      <alignment horizontal="center" vertical="center" textRotation="90" wrapText="1"/>
    </xf>
    <xf numFmtId="0" fontId="24" fillId="0" borderId="10" xfId="0" applyFont="1" applyBorder="1" applyAlignment="1">
      <alignment horizontal="center" vertical="center" textRotation="90" wrapText="1"/>
    </xf>
    <xf numFmtId="0" fontId="24" fillId="0" borderId="7" xfId="0" applyFont="1" applyBorder="1" applyAlignment="1">
      <alignment horizontal="center" vertical="center" textRotation="90" wrapText="1"/>
    </xf>
    <xf numFmtId="3" fontId="29" fillId="0" borderId="50" xfId="0" applyNumberFormat="1" applyFont="1" applyBorder="1" applyAlignment="1">
      <alignment horizontal="center" vertical="center" wrapText="1"/>
    </xf>
    <xf numFmtId="3" fontId="29" fillId="0" borderId="18" xfId="0" applyNumberFormat="1" applyFont="1" applyBorder="1" applyAlignment="1">
      <alignment horizontal="center" wrapText="1"/>
    </xf>
    <xf numFmtId="3" fontId="29" fillId="0" borderId="0" xfId="0" applyNumberFormat="1" applyFont="1" applyAlignment="1">
      <alignment horizontal="center" vertical="center" wrapText="1"/>
    </xf>
    <xf numFmtId="0" fontId="0" fillId="4" borderId="4" xfId="0" quotePrefix="1" applyFill="1" applyBorder="1" applyAlignment="1">
      <alignment horizontal="center" vertical="center"/>
    </xf>
    <xf numFmtId="0" fontId="31" fillId="0" borderId="4" xfId="0" applyFont="1" applyBorder="1" applyAlignment="1">
      <alignment horizontal="center" vertical="center" wrapText="1"/>
    </xf>
    <xf numFmtId="0" fontId="3" fillId="4" borderId="4" xfId="0" applyFont="1" applyFill="1" applyBorder="1" applyAlignment="1">
      <alignment horizontal="center" vertical="center"/>
    </xf>
    <xf numFmtId="0" fontId="6" fillId="2" borderId="0" xfId="0" applyFont="1" applyFill="1" applyAlignment="1">
      <alignment horizontal="center"/>
    </xf>
    <xf numFmtId="0" fontId="6" fillId="2" borderId="18" xfId="0" applyFont="1" applyFill="1" applyBorder="1" applyAlignment="1">
      <alignment horizontal="center"/>
    </xf>
    <xf numFmtId="165" fontId="6" fillId="30" borderId="1" xfId="2" applyNumberFormat="1" applyFont="1" applyFill="1" applyBorder="1" applyAlignment="1">
      <alignment horizontal="center"/>
    </xf>
    <xf numFmtId="165" fontId="6" fillId="30" borderId="2" xfId="2" applyNumberFormat="1" applyFont="1" applyFill="1" applyBorder="1" applyAlignment="1">
      <alignment horizontal="center"/>
    </xf>
    <xf numFmtId="0" fontId="6" fillId="2" borderId="1" xfId="4" applyFont="1" applyFill="1" applyBorder="1" applyAlignment="1">
      <alignment horizontal="center"/>
    </xf>
    <xf numFmtId="0" fontId="6" fillId="2" borderId="2" xfId="4" applyFont="1" applyFill="1" applyBorder="1" applyAlignment="1">
      <alignment horizontal="center"/>
    </xf>
    <xf numFmtId="0" fontId="6" fillId="2" borderId="3" xfId="4" applyFont="1" applyFill="1" applyBorder="1" applyAlignment="1">
      <alignment horizontal="center"/>
    </xf>
    <xf numFmtId="0" fontId="6" fillId="3" borderId="1" xfId="4" applyFont="1" applyFill="1" applyBorder="1" applyAlignment="1">
      <alignment horizontal="center"/>
    </xf>
    <xf numFmtId="0" fontId="6" fillId="3" borderId="2" xfId="4" applyFont="1" applyFill="1" applyBorder="1" applyAlignment="1">
      <alignment horizontal="center"/>
    </xf>
    <xf numFmtId="0" fontId="6" fillId="3" borderId="3" xfId="4" applyFont="1" applyFill="1" applyBorder="1" applyAlignment="1">
      <alignment horizontal="center"/>
    </xf>
    <xf numFmtId="0" fontId="6" fillId="4" borderId="1" xfId="4" applyFont="1" applyFill="1" applyBorder="1" applyAlignment="1">
      <alignment horizontal="center"/>
    </xf>
    <xf numFmtId="0" fontId="6" fillId="4" borderId="2" xfId="4" applyFont="1" applyFill="1" applyBorder="1" applyAlignment="1">
      <alignment horizontal="center"/>
    </xf>
    <xf numFmtId="0" fontId="6" fillId="4" borderId="3" xfId="4" applyFont="1" applyFill="1" applyBorder="1" applyAlignment="1">
      <alignment horizontal="center"/>
    </xf>
    <xf numFmtId="0" fontId="6" fillId="12" borderId="1" xfId="4" applyFont="1" applyFill="1" applyBorder="1" applyAlignment="1">
      <alignment horizontal="center"/>
    </xf>
    <xf numFmtId="0" fontId="6" fillId="12" borderId="2" xfId="4" applyFont="1" applyFill="1" applyBorder="1" applyAlignment="1">
      <alignment horizontal="center"/>
    </xf>
    <xf numFmtId="0" fontId="6" fillId="12" borderId="3" xfId="4" applyFont="1" applyFill="1" applyBorder="1" applyAlignment="1">
      <alignment horizontal="center"/>
    </xf>
    <xf numFmtId="0" fontId="31" fillId="0" borderId="1" xfId="4" applyFont="1" applyBorder="1" applyAlignment="1">
      <alignment horizontal="center" vertical="center" wrapText="1"/>
    </xf>
    <xf numFmtId="0" fontId="31" fillId="0" borderId="2" xfId="4" applyFont="1" applyBorder="1" applyAlignment="1">
      <alignment horizontal="center" vertical="center" wrapText="1"/>
    </xf>
    <xf numFmtId="0" fontId="31" fillId="0" borderId="3" xfId="4" applyFont="1" applyBorder="1" applyAlignment="1">
      <alignment horizontal="center" vertical="center" wrapText="1"/>
    </xf>
    <xf numFmtId="0" fontId="34" fillId="0" borderId="5" xfId="4" applyFont="1" applyBorder="1" applyAlignment="1">
      <alignment horizontal="center" vertical="center" textRotation="90" wrapText="1"/>
    </xf>
    <xf numFmtId="0" fontId="34" fillId="0" borderId="10" xfId="4" applyFont="1" applyBorder="1" applyAlignment="1">
      <alignment horizontal="center" vertical="center" textRotation="90" wrapText="1"/>
    </xf>
    <xf numFmtId="0" fontId="34" fillId="0" borderId="7" xfId="4" applyFont="1" applyBorder="1" applyAlignment="1">
      <alignment horizontal="center" vertical="center" textRotation="90" wrapText="1"/>
    </xf>
    <xf numFmtId="0" fontId="10" fillId="0" borderId="5" xfId="4" applyFont="1" applyBorder="1" applyAlignment="1">
      <alignment horizontal="center" vertical="center" textRotation="90" wrapText="1"/>
    </xf>
    <xf numFmtId="0" fontId="10" fillId="0" borderId="10" xfId="4" applyFont="1" applyBorder="1" applyAlignment="1">
      <alignment horizontal="center" vertical="center" textRotation="90" wrapText="1"/>
    </xf>
    <xf numFmtId="0" fontId="10" fillId="0" borderId="7" xfId="4" applyFont="1" applyBorder="1" applyAlignment="1">
      <alignment horizontal="center" vertical="center" textRotation="90" wrapText="1"/>
    </xf>
    <xf numFmtId="0" fontId="3" fillId="4" borderId="1" xfId="4" applyFont="1" applyFill="1" applyBorder="1" applyAlignment="1">
      <alignment horizontal="center" vertical="center"/>
    </xf>
    <xf numFmtId="0" fontId="3" fillId="4" borderId="2" xfId="4" applyFont="1" applyFill="1" applyBorder="1" applyAlignment="1">
      <alignment horizontal="center" vertical="center"/>
    </xf>
    <xf numFmtId="0" fontId="3" fillId="4" borderId="3" xfId="4" applyFont="1" applyFill="1" applyBorder="1" applyAlignment="1">
      <alignment horizontal="center" vertical="center"/>
    </xf>
    <xf numFmtId="0" fontId="32" fillId="0" borderId="5" xfId="4" applyFont="1" applyBorder="1" applyAlignment="1">
      <alignment horizontal="center" vertical="center"/>
    </xf>
    <xf numFmtId="0" fontId="32" fillId="0" borderId="7" xfId="4" applyFont="1" applyBorder="1" applyAlignment="1">
      <alignment horizontal="center" vertical="center"/>
    </xf>
    <xf numFmtId="0" fontId="3" fillId="12" borderId="1" xfId="4" applyFont="1" applyFill="1" applyBorder="1" applyAlignment="1">
      <alignment horizontal="center" vertical="center"/>
    </xf>
    <xf numFmtId="0" fontId="3" fillId="12" borderId="2" xfId="4" applyFont="1" applyFill="1" applyBorder="1" applyAlignment="1">
      <alignment horizontal="center" vertical="center"/>
    </xf>
    <xf numFmtId="0" fontId="3" fillId="12" borderId="3" xfId="4" applyFont="1" applyFill="1" applyBorder="1" applyAlignment="1">
      <alignment horizontal="center" vertical="center"/>
    </xf>
    <xf numFmtId="0" fontId="12" fillId="4" borderId="1" xfId="4" quotePrefix="1" applyFont="1" applyFill="1" applyBorder="1" applyAlignment="1">
      <alignment horizontal="center" vertical="center"/>
    </xf>
    <xf numFmtId="0" fontId="12" fillId="4" borderId="2" xfId="4" quotePrefix="1" applyFont="1" applyFill="1" applyBorder="1" applyAlignment="1">
      <alignment horizontal="center" vertical="center"/>
    </xf>
    <xf numFmtId="0" fontId="12" fillId="4" borderId="3" xfId="4" quotePrefix="1" applyFont="1" applyFill="1" applyBorder="1" applyAlignment="1">
      <alignment horizontal="center" vertical="center"/>
    </xf>
    <xf numFmtId="0" fontId="142" fillId="30" borderId="1" xfId="4" applyFont="1" applyFill="1" applyBorder="1" applyAlignment="1">
      <alignment horizontal="center"/>
    </xf>
    <xf numFmtId="0" fontId="142" fillId="30" borderId="2" xfId="4" applyFont="1" applyFill="1" applyBorder="1" applyAlignment="1">
      <alignment horizontal="center"/>
    </xf>
    <xf numFmtId="0" fontId="142" fillId="30" borderId="3" xfId="4" applyFont="1" applyFill="1" applyBorder="1" applyAlignment="1">
      <alignment horizontal="center"/>
    </xf>
    <xf numFmtId="0" fontId="159" fillId="37" borderId="1" xfId="4" applyFont="1" applyFill="1" applyBorder="1" applyAlignment="1">
      <alignment horizontal="center"/>
    </xf>
    <xf numFmtId="0" fontId="159" fillId="37" borderId="2" xfId="4" applyFont="1" applyFill="1" applyBorder="1" applyAlignment="1">
      <alignment horizontal="center"/>
    </xf>
    <xf numFmtId="0" fontId="159" fillId="37" borderId="3" xfId="4" applyFont="1" applyFill="1" applyBorder="1" applyAlignment="1">
      <alignment horizontal="center"/>
    </xf>
    <xf numFmtId="0" fontId="12" fillId="0" borderId="43" xfId="4" applyFont="1" applyBorder="1" applyAlignment="1">
      <alignment horizontal="left" vertical="top" wrapText="1"/>
    </xf>
    <xf numFmtId="0" fontId="12" fillId="0" borderId="44" xfId="4" applyFont="1" applyBorder="1" applyAlignment="1">
      <alignment horizontal="left" vertical="top" wrapText="1"/>
    </xf>
    <xf numFmtId="0" fontId="12" fillId="0" borderId="16" xfId="4" applyFont="1" applyBorder="1" applyAlignment="1">
      <alignment horizontal="left" vertical="top" wrapText="1"/>
    </xf>
    <xf numFmtId="0" fontId="12" fillId="0" borderId="18" xfId="4" applyFont="1" applyBorder="1" applyAlignment="1">
      <alignment horizontal="left" vertical="top" wrapText="1"/>
    </xf>
    <xf numFmtId="0" fontId="12" fillId="0" borderId="0" xfId="4" applyFont="1" applyAlignment="1">
      <alignment horizontal="left" vertical="top" wrapText="1"/>
    </xf>
    <xf numFmtId="0" fontId="12" fillId="0" borderId="11" xfId="4" applyFont="1" applyBorder="1" applyAlignment="1">
      <alignment horizontal="left" vertical="top" wrapText="1"/>
    </xf>
    <xf numFmtId="0" fontId="12" fillId="0" borderId="53" xfId="4" applyFont="1" applyBorder="1" applyAlignment="1">
      <alignment horizontal="left" vertical="top" wrapText="1"/>
    </xf>
    <xf numFmtId="0" fontId="12" fillId="0" borderId="42" xfId="4" applyFont="1" applyBorder="1" applyAlignment="1">
      <alignment horizontal="left" vertical="top" wrapText="1"/>
    </xf>
    <xf numFmtId="0" fontId="12" fillId="0" borderId="38" xfId="4" applyFont="1" applyBorder="1" applyAlignment="1">
      <alignment horizontal="left" vertical="top" wrapText="1"/>
    </xf>
    <xf numFmtId="0" fontId="12" fillId="4" borderId="4" xfId="4" quotePrefix="1" applyFont="1" applyFill="1" applyBorder="1" applyAlignment="1">
      <alignment horizontal="center"/>
    </xf>
    <xf numFmtId="0" fontId="33" fillId="0" borderId="5" xfId="4" quotePrefix="1" applyFont="1" applyBorder="1" applyAlignment="1">
      <alignment horizontal="center" vertical="center" wrapText="1"/>
    </xf>
    <xf numFmtId="0" fontId="33" fillId="0" borderId="7" xfId="4" quotePrefix="1" applyFont="1" applyBorder="1" applyAlignment="1">
      <alignment horizontal="center" vertical="center" wrapText="1"/>
    </xf>
    <xf numFmtId="0" fontId="82" fillId="0" borderId="5" xfId="4" applyFont="1" applyBorder="1" applyAlignment="1">
      <alignment horizontal="center" vertical="center" textRotation="90" wrapText="1"/>
    </xf>
    <xf numFmtId="0" fontId="82" fillId="0" borderId="10" xfId="4" applyFont="1" applyBorder="1" applyAlignment="1">
      <alignment horizontal="center" vertical="center" textRotation="90" wrapText="1"/>
    </xf>
    <xf numFmtId="0" fontId="82" fillId="0" borderId="7" xfId="4" applyFont="1" applyBorder="1" applyAlignment="1">
      <alignment horizontal="center" vertical="center" textRotation="90" wrapText="1"/>
    </xf>
    <xf numFmtId="165" fontId="5" fillId="0" borderId="5" xfId="0" quotePrefix="1" applyNumberFormat="1" applyFont="1" applyBorder="1" applyAlignment="1">
      <alignment horizontal="center" vertical="center" wrapText="1"/>
    </xf>
    <xf numFmtId="165" fontId="5" fillId="0" borderId="7" xfId="0" quotePrefix="1" applyNumberFormat="1" applyFont="1" applyBorder="1" applyAlignment="1">
      <alignment horizontal="center" vertical="center" wrapText="1"/>
    </xf>
    <xf numFmtId="0" fontId="5" fillId="4" borderId="1" xfId="0" quotePrefix="1" applyFont="1" applyFill="1" applyBorder="1" applyAlignment="1">
      <alignment horizontal="center" vertical="center"/>
    </xf>
    <xf numFmtId="0" fontId="5" fillId="4" borderId="2" xfId="0" quotePrefix="1" applyFont="1" applyFill="1" applyBorder="1" applyAlignment="1">
      <alignment horizontal="center" vertical="center"/>
    </xf>
    <xf numFmtId="0" fontId="5" fillId="4" borderId="3" xfId="0" quotePrefix="1" applyFont="1" applyFill="1" applyBorder="1" applyAlignment="1">
      <alignment horizontal="center" vertical="center"/>
    </xf>
    <xf numFmtId="0" fontId="5" fillId="4" borderId="1" xfId="0" applyFont="1" applyFill="1" applyBorder="1" applyAlignment="1">
      <alignment horizontal="center"/>
    </xf>
    <xf numFmtId="0" fontId="5" fillId="4" borderId="2" xfId="0" applyFont="1" applyFill="1" applyBorder="1" applyAlignment="1">
      <alignment horizontal="center"/>
    </xf>
    <xf numFmtId="0" fontId="5" fillId="4" borderId="3" xfId="0" applyFont="1" applyFill="1" applyBorder="1" applyAlignment="1">
      <alignment horizontal="center"/>
    </xf>
    <xf numFmtId="0" fontId="12" fillId="0" borderId="43" xfId="0" applyFont="1" applyBorder="1" applyAlignment="1">
      <alignment horizontal="center" vertical="center" wrapText="1"/>
    </xf>
    <xf numFmtId="0" fontId="12" fillId="0" borderId="44" xfId="0" applyFont="1" applyBorder="1" applyAlignment="1">
      <alignment horizontal="center" vertical="center" wrapText="1"/>
    </xf>
    <xf numFmtId="0" fontId="31" fillId="0" borderId="0" xfId="0" applyFont="1" applyAlignment="1">
      <alignment horizontal="center" vertical="center" wrapText="1"/>
    </xf>
    <xf numFmtId="0" fontId="3" fillId="4" borderId="1" xfId="0" applyFont="1" applyFill="1" applyBorder="1" applyAlignment="1">
      <alignment horizontal="center"/>
    </xf>
    <xf numFmtId="0" fontId="3" fillId="4" borderId="2" xfId="0" applyFont="1" applyFill="1" applyBorder="1" applyAlignment="1">
      <alignment horizontal="center"/>
    </xf>
    <xf numFmtId="0" fontId="3" fillId="4" borderId="3" xfId="0" applyFont="1" applyFill="1" applyBorder="1" applyAlignment="1">
      <alignment horizontal="center"/>
    </xf>
    <xf numFmtId="0" fontId="6" fillId="21" borderId="1" xfId="0" applyFont="1" applyFill="1" applyBorder="1" applyAlignment="1">
      <alignment horizontal="center"/>
    </xf>
    <xf numFmtId="0" fontId="6" fillId="21" borderId="2" xfId="0" applyFont="1" applyFill="1" applyBorder="1" applyAlignment="1">
      <alignment horizontal="center"/>
    </xf>
    <xf numFmtId="0" fontId="6" fillId="21" borderId="3" xfId="0" applyFont="1" applyFill="1" applyBorder="1" applyAlignment="1">
      <alignment horizontal="center"/>
    </xf>
    <xf numFmtId="0" fontId="6" fillId="12" borderId="1" xfId="0" applyFont="1" applyFill="1" applyBorder="1" applyAlignment="1">
      <alignment horizontal="center"/>
    </xf>
    <xf numFmtId="0" fontId="6" fillId="12" borderId="2" xfId="0" applyFont="1" applyFill="1" applyBorder="1" applyAlignment="1">
      <alignment horizontal="center"/>
    </xf>
    <xf numFmtId="0" fontId="6" fillId="12" borderId="3" xfId="0" applyFont="1" applyFill="1" applyBorder="1" applyAlignment="1">
      <alignment horizontal="center"/>
    </xf>
    <xf numFmtId="0" fontId="6" fillId="4" borderId="1" xfId="0" applyFont="1" applyFill="1" applyBorder="1" applyAlignment="1">
      <alignment horizontal="center"/>
    </xf>
    <xf numFmtId="0" fontId="6" fillId="4" borderId="2" xfId="0" applyFont="1" applyFill="1" applyBorder="1" applyAlignment="1">
      <alignment horizontal="center"/>
    </xf>
    <xf numFmtId="0" fontId="159" fillId="37" borderId="1" xfId="0" applyFont="1" applyFill="1" applyBorder="1" applyAlignment="1">
      <alignment horizontal="center"/>
    </xf>
    <xf numFmtId="0" fontId="159" fillId="37" borderId="2" xfId="0" applyFont="1" applyFill="1" applyBorder="1" applyAlignment="1">
      <alignment horizontal="center"/>
    </xf>
    <xf numFmtId="0" fontId="159" fillId="37" borderId="3" xfId="0" applyFont="1" applyFill="1" applyBorder="1" applyAlignment="1">
      <alignment horizontal="center"/>
    </xf>
    <xf numFmtId="0" fontId="6" fillId="4" borderId="3" xfId="0" applyFont="1" applyFill="1" applyBorder="1" applyAlignment="1">
      <alignment horizontal="center"/>
    </xf>
    <xf numFmtId="0" fontId="3" fillId="0" borderId="4" xfId="0" applyFont="1" applyBorder="1" applyAlignment="1">
      <alignment horizontal="center" vertical="center" wrapText="1"/>
    </xf>
    <xf numFmtId="0" fontId="6" fillId="18" borderId="1" xfId="0" applyFont="1" applyFill="1" applyBorder="1" applyAlignment="1">
      <alignment horizontal="center"/>
    </xf>
    <xf numFmtId="0" fontId="6" fillId="18" borderId="2" xfId="0" applyFont="1" applyFill="1" applyBorder="1" applyAlignment="1">
      <alignment horizontal="center"/>
    </xf>
    <xf numFmtId="0" fontId="6" fillId="18" borderId="3" xfId="0" applyFont="1" applyFill="1" applyBorder="1" applyAlignment="1">
      <alignment horizontal="center"/>
    </xf>
    <xf numFmtId="3" fontId="56" fillId="6" borderId="31" xfId="0" applyNumberFormat="1" applyFont="1" applyFill="1" applyBorder="1" applyAlignment="1">
      <alignment horizontal="right" vertical="center" indent="2"/>
    </xf>
    <xf numFmtId="3" fontId="56" fillId="6" borderId="48" xfId="0" applyNumberFormat="1" applyFont="1" applyFill="1" applyBorder="1" applyAlignment="1">
      <alignment horizontal="right" vertical="center" indent="2"/>
    </xf>
    <xf numFmtId="3" fontId="56" fillId="6" borderId="81" xfId="0" applyNumberFormat="1" applyFont="1" applyFill="1" applyBorder="1" applyAlignment="1">
      <alignment horizontal="right" vertical="center" indent="2"/>
    </xf>
    <xf numFmtId="3" fontId="56" fillId="6" borderId="79" xfId="0" applyNumberFormat="1" applyFont="1" applyFill="1" applyBorder="1" applyAlignment="1">
      <alignment horizontal="right" vertical="center" indent="2"/>
    </xf>
    <xf numFmtId="0" fontId="6" fillId="2" borderId="4" xfId="0" applyFont="1" applyFill="1" applyBorder="1" applyAlignment="1">
      <alignment horizontal="center"/>
    </xf>
    <xf numFmtId="0" fontId="6" fillId="8" borderId="4" xfId="0" applyFont="1" applyFill="1" applyBorder="1" applyAlignment="1">
      <alignment horizontal="center"/>
    </xf>
    <xf numFmtId="0" fontId="6" fillId="9" borderId="4" xfId="0" applyFont="1" applyFill="1" applyBorder="1" applyAlignment="1">
      <alignment horizontal="center"/>
    </xf>
    <xf numFmtId="0" fontId="6" fillId="5" borderId="4" xfId="0" applyFont="1" applyFill="1" applyBorder="1" applyAlignment="1">
      <alignment horizontal="center"/>
    </xf>
    <xf numFmtId="0" fontId="6" fillId="3" borderId="4" xfId="0" applyFont="1" applyFill="1" applyBorder="1" applyAlignment="1">
      <alignment horizontal="center"/>
    </xf>
    <xf numFmtId="0" fontId="6" fillId="3" borderId="0" xfId="0" applyFont="1" applyFill="1" applyAlignment="1">
      <alignment horizontal="center"/>
    </xf>
    <xf numFmtId="0" fontId="12" fillId="4" borderId="2" xfId="0" applyFont="1" applyFill="1" applyBorder="1" applyAlignment="1">
      <alignment horizontal="center" vertical="center" wrapText="1"/>
    </xf>
    <xf numFmtId="0" fontId="3" fillId="0" borderId="0" xfId="0" applyFont="1" applyAlignment="1">
      <alignment horizontal="center" vertical="center" wrapText="1"/>
    </xf>
    <xf numFmtId="0" fontId="0" fillId="4" borderId="0" xfId="0" quotePrefix="1" applyFill="1" applyAlignment="1">
      <alignment horizontal="center"/>
    </xf>
    <xf numFmtId="0" fontId="67" fillId="4" borderId="4" xfId="0" applyFont="1" applyFill="1" applyBorder="1" applyAlignment="1">
      <alignment horizontal="center" vertical="center"/>
    </xf>
    <xf numFmtId="0" fontId="3" fillId="4" borderId="0" xfId="0" applyFont="1" applyFill="1" applyAlignment="1">
      <alignment horizontal="center" vertical="center"/>
    </xf>
    <xf numFmtId="0" fontId="159" fillId="71" borderId="1" xfId="0" applyFont="1" applyFill="1" applyBorder="1" applyAlignment="1">
      <alignment horizontal="center"/>
    </xf>
    <xf numFmtId="0" fontId="159" fillId="71" borderId="2" xfId="0" applyFont="1" applyFill="1" applyBorder="1" applyAlignment="1">
      <alignment horizontal="center"/>
    </xf>
    <xf numFmtId="0" fontId="159" fillId="71" borderId="3" xfId="0" applyFont="1" applyFill="1" applyBorder="1" applyAlignment="1">
      <alignment horizontal="center"/>
    </xf>
    <xf numFmtId="0" fontId="3" fillId="30" borderId="1" xfId="0" applyFont="1" applyFill="1" applyBorder="1" applyAlignment="1">
      <alignment horizontal="center"/>
    </xf>
    <xf numFmtId="0" fontId="3" fillId="30" borderId="2" xfId="0" applyFont="1" applyFill="1" applyBorder="1" applyAlignment="1">
      <alignment horizontal="center"/>
    </xf>
    <xf numFmtId="0" fontId="3" fillId="30" borderId="3" xfId="0" applyFont="1" applyFill="1" applyBorder="1" applyAlignment="1">
      <alignment horizontal="center"/>
    </xf>
    <xf numFmtId="0" fontId="3" fillId="7" borderId="1" xfId="0" applyFont="1" applyFill="1" applyBorder="1" applyAlignment="1">
      <alignment horizontal="center"/>
    </xf>
    <xf numFmtId="0" fontId="3" fillId="7" borderId="2" xfId="0" applyFont="1" applyFill="1" applyBorder="1" applyAlignment="1">
      <alignment horizontal="center"/>
    </xf>
    <xf numFmtId="0" fontId="3" fillId="7" borderId="3" xfId="0" applyFont="1" applyFill="1" applyBorder="1" applyAlignment="1">
      <alignment horizontal="center"/>
    </xf>
    <xf numFmtId="0" fontId="0" fillId="4" borderId="1" xfId="0" quotePrefix="1" applyFill="1" applyBorder="1" applyAlignment="1">
      <alignment horizontal="center"/>
    </xf>
    <xf numFmtId="0" fontId="0" fillId="4" borderId="3" xfId="0" quotePrefix="1" applyFill="1" applyBorder="1" applyAlignment="1">
      <alignment horizontal="center"/>
    </xf>
    <xf numFmtId="0" fontId="0" fillId="0" borderId="4" xfId="0" applyBorder="1" applyAlignment="1">
      <alignment horizontal="center" wrapText="1"/>
    </xf>
    <xf numFmtId="0" fontId="6" fillId="31" borderId="1" xfId="0" applyFont="1" applyFill="1" applyBorder="1" applyAlignment="1">
      <alignment horizontal="center"/>
    </xf>
    <xf numFmtId="0" fontId="6" fillId="31" borderId="2" xfId="0" applyFont="1" applyFill="1" applyBorder="1" applyAlignment="1">
      <alignment horizontal="center"/>
    </xf>
    <xf numFmtId="0" fontId="24" fillId="28" borderId="5" xfId="0" applyFont="1" applyFill="1" applyBorder="1" applyAlignment="1">
      <alignment horizontal="center" vertical="center" textRotation="90" wrapText="1"/>
    </xf>
    <xf numFmtId="0" fontId="24" fillId="28" borderId="10" xfId="0" applyFont="1" applyFill="1" applyBorder="1" applyAlignment="1">
      <alignment horizontal="center" vertical="center" textRotation="90" wrapText="1"/>
    </xf>
    <xf numFmtId="0" fontId="24" fillId="28" borderId="7" xfId="0" applyFont="1" applyFill="1" applyBorder="1" applyAlignment="1">
      <alignment horizontal="center" vertical="center" textRotation="90" wrapText="1"/>
    </xf>
    <xf numFmtId="0" fontId="0" fillId="0" borderId="2" xfId="0" applyBorder="1" applyAlignment="1">
      <alignment horizontal="center"/>
    </xf>
    <xf numFmtId="0" fontId="0" fillId="0" borderId="2" xfId="0" applyBorder="1" applyAlignment="1">
      <alignment horizontal="center"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0" fillId="4" borderId="104" xfId="0" quotePrefix="1" applyFill="1" applyBorder="1" applyAlignment="1">
      <alignment horizontal="center" vertical="center"/>
    </xf>
    <xf numFmtId="0" fontId="6" fillId="4" borderId="0" xfId="0" applyFont="1" applyFill="1" applyAlignment="1">
      <alignment horizontal="center" vertical="center"/>
    </xf>
    <xf numFmtId="0" fontId="3" fillId="0" borderId="104" xfId="0" applyFont="1" applyBorder="1" applyAlignment="1">
      <alignment horizontal="center" vertical="center" wrapText="1"/>
    </xf>
    <xf numFmtId="0" fontId="3" fillId="4" borderId="104" xfId="0" applyFont="1" applyFill="1" applyBorder="1" applyAlignment="1">
      <alignment horizontal="center" vertical="center"/>
    </xf>
    <xf numFmtId="3" fontId="0" fillId="0" borderId="5" xfId="0" applyNumberFormat="1" applyBorder="1" applyAlignment="1">
      <alignment horizontal="center" vertical="center"/>
    </xf>
    <xf numFmtId="3" fontId="0" fillId="0" borderId="7" xfId="0" applyNumberFormat="1" applyBorder="1" applyAlignment="1">
      <alignment horizontal="center" vertical="center"/>
    </xf>
    <xf numFmtId="0" fontId="0" fillId="4" borderId="21" xfId="0" applyFill="1" applyBorder="1" applyAlignment="1">
      <alignment horizontal="right" vertical="center" wrapText="1"/>
    </xf>
    <xf numFmtId="0" fontId="0" fillId="4" borderId="22" xfId="0" applyFill="1" applyBorder="1" applyAlignment="1">
      <alignment horizontal="right" vertical="center" wrapText="1"/>
    </xf>
    <xf numFmtId="0" fontId="12" fillId="4" borderId="1" xfId="0" applyFont="1" applyFill="1" applyBorder="1" applyAlignment="1">
      <alignment horizontal="left" vertical="center" wrapText="1"/>
    </xf>
    <xf numFmtId="0" fontId="12" fillId="4" borderId="2" xfId="0" applyFont="1" applyFill="1" applyBorder="1" applyAlignment="1">
      <alignment horizontal="left" vertical="center" wrapText="1"/>
    </xf>
    <xf numFmtId="0" fontId="12" fillId="4" borderId="3" xfId="0" applyFont="1" applyFill="1" applyBorder="1" applyAlignment="1">
      <alignment horizontal="left" vertical="center" wrapText="1"/>
    </xf>
    <xf numFmtId="0" fontId="29" fillId="0" borderId="5" xfId="0" applyFont="1" applyBorder="1" applyAlignment="1">
      <alignment horizontal="left" vertical="center" wrapText="1"/>
    </xf>
    <xf numFmtId="0" fontId="29" fillId="0" borderId="10" xfId="0" applyFont="1" applyBorder="1" applyAlignment="1">
      <alignment horizontal="left" vertical="center" wrapText="1"/>
    </xf>
    <xf numFmtId="0" fontId="29" fillId="0" borderId="7" xfId="0" applyFont="1" applyBorder="1" applyAlignment="1">
      <alignment horizontal="left" vertical="center" wrapText="1"/>
    </xf>
    <xf numFmtId="0" fontId="2" fillId="4" borderId="21" xfId="0" applyFont="1" applyFill="1" applyBorder="1" applyAlignment="1">
      <alignment horizontal="right" vertical="center" wrapText="1"/>
    </xf>
    <xf numFmtId="0" fontId="2" fillId="4" borderId="22" xfId="0" applyFont="1" applyFill="1" applyBorder="1" applyAlignment="1">
      <alignment horizontal="right" vertical="center" wrapText="1"/>
    </xf>
    <xf numFmtId="0" fontId="120" fillId="0" borderId="5" xfId="0" applyFont="1" applyBorder="1" applyAlignment="1">
      <alignment horizontal="left" vertical="center" wrapText="1"/>
    </xf>
    <xf numFmtId="0" fontId="120" fillId="0" borderId="10" xfId="0" applyFont="1" applyBorder="1" applyAlignment="1">
      <alignment horizontal="left" vertical="center" wrapText="1"/>
    </xf>
    <xf numFmtId="0" fontId="120" fillId="0" borderId="7" xfId="0" applyFont="1" applyBorder="1" applyAlignment="1">
      <alignment horizontal="left" vertical="center" wrapText="1"/>
    </xf>
    <xf numFmtId="3" fontId="29" fillId="0" borderId="5" xfId="0" applyNumberFormat="1" applyFont="1" applyBorder="1" applyAlignment="1">
      <alignment horizontal="left" vertical="center" wrapText="1"/>
    </xf>
    <xf numFmtId="3" fontId="29" fillId="0" borderId="7" xfId="0" applyNumberFormat="1" applyFont="1" applyBorder="1" applyAlignment="1">
      <alignment horizontal="left" vertical="center" wrapText="1"/>
    </xf>
    <xf numFmtId="0" fontId="120" fillId="0" borderId="4" xfId="0" applyFont="1" applyBorder="1" applyAlignment="1">
      <alignment horizontal="left" vertical="center" wrapText="1"/>
    </xf>
    <xf numFmtId="0" fontId="29" fillId="0" borderId="4" xfId="0" applyFont="1" applyBorder="1" applyAlignment="1">
      <alignment horizontal="left" vertical="center" wrapText="1"/>
    </xf>
    <xf numFmtId="0" fontId="11" fillId="0" borderId="44" xfId="0" applyFont="1" applyBorder="1" applyAlignment="1">
      <alignment horizontal="center" vertical="center" textRotation="90" wrapText="1"/>
    </xf>
    <xf numFmtId="165" fontId="58" fillId="0" borderId="5" xfId="0" quotePrefix="1" applyNumberFormat="1" applyFont="1" applyBorder="1" applyAlignment="1">
      <alignment horizontal="center" vertical="center" wrapText="1"/>
    </xf>
    <xf numFmtId="165" fontId="58" fillId="0" borderId="7" xfId="0" quotePrefix="1" applyNumberFormat="1" applyFont="1" applyBorder="1" applyAlignment="1">
      <alignment horizontal="center" vertical="center" wrapText="1"/>
    </xf>
    <xf numFmtId="0" fontId="0" fillId="4" borderId="106" xfId="0" quotePrefix="1" applyFill="1" applyBorder="1" applyAlignment="1">
      <alignment horizontal="center" vertical="center"/>
    </xf>
    <xf numFmtId="0" fontId="0" fillId="4" borderId="103" xfId="0" quotePrefix="1" applyFill="1" applyBorder="1" applyAlignment="1">
      <alignment horizontal="center" vertical="center"/>
    </xf>
    <xf numFmtId="0" fontId="3" fillId="0" borderId="16" xfId="0" applyFont="1" applyBorder="1" applyAlignment="1">
      <alignment horizontal="center" vertical="center"/>
    </xf>
    <xf numFmtId="0" fontId="3" fillId="0" borderId="38" xfId="0" applyFont="1" applyBorder="1" applyAlignment="1">
      <alignment horizontal="center" vertical="center"/>
    </xf>
    <xf numFmtId="0" fontId="3" fillId="4" borderId="105" xfId="0" applyFont="1" applyFill="1" applyBorder="1" applyAlignment="1">
      <alignment horizontal="center" vertical="center"/>
    </xf>
    <xf numFmtId="0" fontId="6" fillId="2" borderId="98" xfId="0" applyFont="1" applyFill="1" applyBorder="1" applyAlignment="1">
      <alignment horizontal="center" vertical="center"/>
    </xf>
    <xf numFmtId="0" fontId="6" fillId="2" borderId="99" xfId="0" applyFont="1" applyFill="1" applyBorder="1" applyAlignment="1">
      <alignment horizontal="center" vertical="center"/>
    </xf>
    <xf numFmtId="0" fontId="6" fillId="2" borderId="100" xfId="0" applyFont="1" applyFill="1" applyBorder="1" applyAlignment="1">
      <alignment horizontal="center" vertical="center"/>
    </xf>
    <xf numFmtId="0" fontId="6" fillId="3" borderId="98" xfId="0" applyFont="1" applyFill="1" applyBorder="1" applyAlignment="1">
      <alignment horizontal="center" vertical="center"/>
    </xf>
    <xf numFmtId="0" fontId="6" fillId="3" borderId="99" xfId="0" applyFont="1" applyFill="1" applyBorder="1" applyAlignment="1">
      <alignment horizontal="center" vertical="center"/>
    </xf>
    <xf numFmtId="0" fontId="6" fillId="3" borderId="100" xfId="0" applyFont="1" applyFill="1" applyBorder="1" applyAlignment="1">
      <alignment horizontal="center" vertical="center"/>
    </xf>
    <xf numFmtId="0" fontId="6" fillId="11" borderId="0" xfId="0" applyFont="1" applyFill="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142" fillId="16" borderId="1" xfId="0" applyFont="1" applyFill="1" applyBorder="1" applyAlignment="1">
      <alignment horizontal="center"/>
    </xf>
    <xf numFmtId="0" fontId="142" fillId="16" borderId="2" xfId="0" applyFont="1" applyFill="1" applyBorder="1" applyAlignment="1">
      <alignment horizontal="center"/>
    </xf>
    <xf numFmtId="0" fontId="142" fillId="16" borderId="3" xfId="0" applyFont="1" applyFill="1" applyBorder="1" applyAlignment="1">
      <alignment horizontal="center"/>
    </xf>
    <xf numFmtId="0" fontId="12" fillId="4" borderId="2" xfId="0" quotePrefix="1" applyFont="1" applyFill="1" applyBorder="1" applyAlignment="1">
      <alignment horizontal="center" vertical="center"/>
    </xf>
    <xf numFmtId="0" fontId="0" fillId="4" borderId="43" xfId="0" quotePrefix="1" applyFill="1" applyBorder="1" applyAlignment="1">
      <alignment horizontal="center" vertical="center"/>
    </xf>
    <xf numFmtId="0" fontId="0" fillId="4" borderId="44" xfId="0" quotePrefix="1" applyFill="1" applyBorder="1" applyAlignment="1">
      <alignment horizontal="center" vertical="center"/>
    </xf>
    <xf numFmtId="0" fontId="0" fillId="4" borderId="16" xfId="0" quotePrefix="1" applyFill="1" applyBorder="1" applyAlignment="1">
      <alignment horizontal="center" vertical="center"/>
    </xf>
    <xf numFmtId="165" fontId="9" fillId="0" borderId="5" xfId="0" quotePrefix="1" applyNumberFormat="1" applyFont="1" applyBorder="1" applyAlignment="1">
      <alignment horizontal="center" vertical="center" wrapText="1"/>
    </xf>
    <xf numFmtId="165" fontId="9" fillId="0" borderId="7" xfId="0" quotePrefix="1" applyNumberFormat="1" applyFont="1" applyBorder="1" applyAlignment="1">
      <alignment horizontal="center" vertical="center" wrapText="1"/>
    </xf>
    <xf numFmtId="0" fontId="6" fillId="7" borderId="18" xfId="0" applyFont="1" applyFill="1" applyBorder="1" applyAlignment="1">
      <alignment horizontal="center"/>
    </xf>
    <xf numFmtId="0" fontId="6" fillId="7" borderId="0" xfId="0" applyFont="1" applyFill="1" applyAlignment="1">
      <alignment horizontal="center"/>
    </xf>
    <xf numFmtId="0" fontId="11" fillId="0" borderId="18" xfId="0" applyFont="1" applyBorder="1" applyAlignment="1">
      <alignment horizontal="center" vertical="center" textRotation="90" wrapText="1"/>
    </xf>
    <xf numFmtId="0" fontId="6" fillId="30" borderId="18" xfId="0" applyFont="1" applyFill="1" applyBorder="1" applyAlignment="1">
      <alignment horizontal="center"/>
    </xf>
    <xf numFmtId="0" fontId="6" fillId="30" borderId="0" xfId="0" applyFont="1" applyFill="1" applyAlignment="1">
      <alignment horizontal="center"/>
    </xf>
    <xf numFmtId="0" fontId="6" fillId="5" borderId="18" xfId="0" applyFont="1" applyFill="1" applyBorder="1" applyAlignment="1">
      <alignment horizontal="center"/>
    </xf>
    <xf numFmtId="0" fontId="6" fillId="5" borderId="0" xfId="0" applyFont="1" applyFill="1" applyAlignment="1">
      <alignment horizontal="center"/>
    </xf>
    <xf numFmtId="0" fontId="6" fillId="6" borderId="1" xfId="0" applyFont="1" applyFill="1" applyBorder="1" applyAlignment="1">
      <alignment horizontal="center"/>
    </xf>
    <xf numFmtId="0" fontId="6" fillId="6" borderId="2" xfId="0" applyFont="1" applyFill="1" applyBorder="1" applyAlignment="1">
      <alignment horizontal="center"/>
    </xf>
    <xf numFmtId="0" fontId="6" fillId="6" borderId="3" xfId="0" applyFont="1" applyFill="1" applyBorder="1" applyAlignment="1">
      <alignment horizontal="center"/>
    </xf>
    <xf numFmtId="0" fontId="0" fillId="4" borderId="2" xfId="0" quotePrefix="1" applyFill="1" applyBorder="1" applyAlignment="1">
      <alignment horizontal="center"/>
    </xf>
    <xf numFmtId="0" fontId="159" fillId="71" borderId="1" xfId="0" applyFont="1" applyFill="1" applyBorder="1" applyAlignment="1">
      <alignment horizontal="center" vertical="center"/>
    </xf>
    <xf numFmtId="0" fontId="159" fillId="71" borderId="2" xfId="0" applyFont="1" applyFill="1" applyBorder="1" applyAlignment="1">
      <alignment horizontal="center" vertical="center"/>
    </xf>
    <xf numFmtId="0" fontId="3" fillId="17" borderId="4" xfId="0" applyFont="1" applyFill="1" applyBorder="1" applyAlignment="1">
      <alignment horizontal="center" vertical="center"/>
    </xf>
    <xf numFmtId="0" fontId="159" fillId="38" borderId="1" xfId="0" applyFont="1" applyFill="1" applyBorder="1" applyAlignment="1">
      <alignment horizontal="center" vertical="center"/>
    </xf>
    <xf numFmtId="0" fontId="159" fillId="38" borderId="2" xfId="0" applyFont="1" applyFill="1" applyBorder="1" applyAlignment="1">
      <alignment horizontal="center" vertical="center"/>
    </xf>
    <xf numFmtId="0" fontId="6" fillId="11" borderId="4" xfId="0" applyFont="1" applyFill="1" applyBorder="1" applyAlignment="1">
      <alignment horizontal="center" vertical="center"/>
    </xf>
    <xf numFmtId="0" fontId="6" fillId="14" borderId="1" xfId="0" applyFont="1" applyFill="1" applyBorder="1" applyAlignment="1">
      <alignment horizontal="center"/>
    </xf>
    <xf numFmtId="0" fontId="6" fillId="14" borderId="2" xfId="0" applyFont="1" applyFill="1" applyBorder="1" applyAlignment="1">
      <alignment horizontal="center"/>
    </xf>
    <xf numFmtId="0" fontId="6" fillId="14" borderId="3" xfId="0" applyFont="1" applyFill="1" applyBorder="1" applyAlignment="1">
      <alignment horizontal="center"/>
    </xf>
    <xf numFmtId="0" fontId="3" fillId="0" borderId="53"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10" xfId="0" applyFont="1" applyBorder="1" applyAlignment="1">
      <alignment horizontal="center" vertical="center"/>
    </xf>
    <xf numFmtId="0" fontId="4" fillId="21" borderId="43" xfId="3" applyFill="1" applyBorder="1" applyAlignment="1">
      <alignment horizontal="center" vertical="center" wrapText="1"/>
    </xf>
    <xf numFmtId="0" fontId="1" fillId="21" borderId="16" xfId="3" applyFont="1" applyFill="1" applyBorder="1" applyAlignment="1">
      <alignment horizontal="center" vertical="center" wrapText="1"/>
    </xf>
    <xf numFmtId="0" fontId="1" fillId="4" borderId="1" xfId="3" applyFont="1" applyFill="1" applyBorder="1" applyAlignment="1">
      <alignment horizontal="center" vertical="center" wrapText="1"/>
    </xf>
    <xf numFmtId="0" fontId="1" fillId="4" borderId="3" xfId="3" applyFont="1" applyFill="1" applyBorder="1" applyAlignment="1">
      <alignment horizontal="center" vertical="center" wrapText="1"/>
    </xf>
    <xf numFmtId="0" fontId="6" fillId="15" borderId="1" xfId="0" applyFont="1" applyFill="1" applyBorder="1" applyAlignment="1">
      <alignment horizontal="center"/>
    </xf>
    <xf numFmtId="0" fontId="6" fillId="15" borderId="2" xfId="0" applyFont="1" applyFill="1" applyBorder="1" applyAlignment="1">
      <alignment horizontal="center"/>
    </xf>
    <xf numFmtId="0" fontId="6" fillId="15" borderId="3" xfId="0" applyFont="1" applyFill="1" applyBorder="1" applyAlignment="1">
      <alignment horizontal="center"/>
    </xf>
    <xf numFmtId="0" fontId="6" fillId="32" borderId="1" xfId="0" applyFont="1" applyFill="1" applyBorder="1" applyAlignment="1">
      <alignment horizontal="center"/>
    </xf>
    <xf numFmtId="0" fontId="6" fillId="32" borderId="2" xfId="0" applyFont="1" applyFill="1" applyBorder="1" applyAlignment="1">
      <alignment horizontal="center"/>
    </xf>
    <xf numFmtId="0" fontId="12" fillId="4" borderId="1" xfId="0" applyFont="1" applyFill="1" applyBorder="1" applyAlignment="1">
      <alignment horizontal="center" wrapText="1"/>
    </xf>
    <xf numFmtId="0" fontId="12" fillId="4" borderId="3" xfId="0" applyFont="1" applyFill="1" applyBorder="1" applyAlignment="1">
      <alignment horizontal="center" wrapText="1"/>
    </xf>
    <xf numFmtId="3" fontId="29" fillId="0" borderId="52" xfId="0" applyNumberFormat="1" applyFont="1" applyBorder="1" applyAlignment="1">
      <alignment horizontal="left" vertical="top" wrapText="1"/>
    </xf>
    <xf numFmtId="0" fontId="10" fillId="0" borderId="5" xfId="0" applyFont="1" applyBorder="1" applyAlignment="1">
      <alignment horizontal="center" vertical="center" textRotation="90" wrapText="1"/>
    </xf>
    <xf numFmtId="0" fontId="10" fillId="0" borderId="10" xfId="0" applyFont="1" applyBorder="1" applyAlignment="1">
      <alignment horizontal="center" vertical="center" textRotation="90" wrapText="1"/>
    </xf>
    <xf numFmtId="0" fontId="10" fillId="0" borderId="7" xfId="0" applyFont="1" applyBorder="1" applyAlignment="1">
      <alignment horizontal="center" vertical="center" textRotation="90" wrapText="1"/>
    </xf>
    <xf numFmtId="0" fontId="1" fillId="21" borderId="1" xfId="3" applyFont="1" applyFill="1" applyBorder="1" applyAlignment="1">
      <alignment horizontal="center" vertical="center" wrapText="1"/>
    </xf>
    <xf numFmtId="0" fontId="1" fillId="21" borderId="3" xfId="3" applyFont="1" applyFill="1" applyBorder="1" applyAlignment="1">
      <alignment horizontal="center" vertical="center" wrapText="1"/>
    </xf>
    <xf numFmtId="3" fontId="12" fillId="2" borderId="18" xfId="0" applyNumberFormat="1" applyFont="1" applyFill="1" applyBorder="1" applyAlignment="1">
      <alignment horizontal="center" wrapText="1"/>
    </xf>
    <xf numFmtId="3" fontId="12" fillId="2" borderId="0" xfId="0" applyNumberFormat="1" applyFont="1" applyFill="1" applyAlignment="1">
      <alignment horizontal="center" wrapText="1"/>
    </xf>
    <xf numFmtId="3" fontId="12" fillId="2" borderId="11" xfId="0" applyNumberFormat="1" applyFont="1" applyFill="1" applyBorder="1" applyAlignment="1">
      <alignment horizontal="center" wrapText="1"/>
    </xf>
    <xf numFmtId="0" fontId="142" fillId="12" borderId="1" xfId="0" applyFont="1" applyFill="1" applyBorder="1" applyAlignment="1">
      <alignment horizontal="center"/>
    </xf>
    <xf numFmtId="0" fontId="142" fillId="12" borderId="2" xfId="0" applyFont="1" applyFill="1" applyBorder="1" applyAlignment="1">
      <alignment horizontal="center"/>
    </xf>
    <xf numFmtId="3" fontId="0" fillId="4" borderId="1" xfId="0" quotePrefix="1" applyNumberFormat="1" applyFill="1" applyBorder="1" applyAlignment="1">
      <alignment horizontal="center" vertical="center"/>
    </xf>
    <xf numFmtId="3" fontId="0" fillId="4" borderId="2" xfId="0" quotePrefix="1" applyNumberFormat="1" applyFill="1" applyBorder="1" applyAlignment="1">
      <alignment horizontal="center" vertical="center"/>
    </xf>
    <xf numFmtId="3" fontId="0" fillId="4" borderId="3" xfId="0" quotePrefix="1" applyNumberFormat="1" applyFill="1" applyBorder="1" applyAlignment="1">
      <alignment horizontal="center" vertical="center"/>
    </xf>
    <xf numFmtId="3" fontId="3" fillId="0" borderId="1"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1" fontId="3" fillId="4" borderId="1" xfId="0" applyNumberFormat="1" applyFont="1" applyFill="1" applyBorder="1" applyAlignment="1">
      <alignment horizontal="center" vertical="center"/>
    </xf>
    <xf numFmtId="1" fontId="3" fillId="4" borderId="2" xfId="0" applyNumberFormat="1" applyFont="1" applyFill="1" applyBorder="1" applyAlignment="1">
      <alignment horizontal="center" vertical="center"/>
    </xf>
    <xf numFmtId="1" fontId="3" fillId="4" borderId="3" xfId="0" applyNumberFormat="1" applyFont="1" applyFill="1" applyBorder="1" applyAlignment="1">
      <alignment horizontal="center" vertical="center"/>
    </xf>
    <xf numFmtId="0" fontId="6" fillId="8" borderId="18" xfId="0" applyFont="1" applyFill="1" applyBorder="1" applyAlignment="1">
      <alignment horizontal="center"/>
    </xf>
    <xf numFmtId="0" fontId="6" fillId="8" borderId="0" xfId="0" applyFont="1" applyFill="1" applyAlignment="1">
      <alignment horizontal="center"/>
    </xf>
    <xf numFmtId="0" fontId="6" fillId="12" borderId="18" xfId="0" applyFont="1" applyFill="1" applyBorder="1" applyAlignment="1">
      <alignment horizontal="center"/>
    </xf>
    <xf numFmtId="0" fontId="6" fillId="12" borderId="0" xfId="0" applyFont="1" applyFill="1" applyAlignment="1">
      <alignment horizontal="center"/>
    </xf>
    <xf numFmtId="166" fontId="53" fillId="4" borderId="1" xfId="0" applyNumberFormat="1" applyFont="1" applyFill="1" applyBorder="1" applyAlignment="1">
      <alignment horizontal="center" vertical="center" wrapText="1"/>
    </xf>
    <xf numFmtId="166" fontId="53" fillId="4" borderId="3" xfId="0" applyNumberFormat="1" applyFont="1" applyFill="1" applyBorder="1" applyAlignment="1">
      <alignment horizontal="center" vertical="center" wrapText="1"/>
    </xf>
    <xf numFmtId="3" fontId="0" fillId="4" borderId="4" xfId="0" quotePrefix="1" applyNumberFormat="1" applyFill="1" applyBorder="1" applyAlignment="1">
      <alignment horizontal="center"/>
    </xf>
    <xf numFmtId="0" fontId="159" fillId="41" borderId="1" xfId="0" applyFont="1" applyFill="1" applyBorder="1" applyAlignment="1">
      <alignment horizontal="center"/>
    </xf>
    <xf numFmtId="0" fontId="159" fillId="41" borderId="2" xfId="0" applyFont="1" applyFill="1" applyBorder="1" applyAlignment="1">
      <alignment horizontal="center"/>
    </xf>
    <xf numFmtId="0" fontId="159" fillId="41" borderId="3" xfId="0" applyFont="1" applyFill="1" applyBorder="1" applyAlignment="1">
      <alignment horizontal="center"/>
    </xf>
    <xf numFmtId="0" fontId="159" fillId="72" borderId="1" xfId="0" applyFont="1" applyFill="1" applyBorder="1" applyAlignment="1">
      <alignment horizontal="center"/>
    </xf>
    <xf numFmtId="0" fontId="159" fillId="72" borderId="2" xfId="0" applyFont="1" applyFill="1" applyBorder="1" applyAlignment="1">
      <alignment horizontal="center"/>
    </xf>
    <xf numFmtId="0" fontId="159" fillId="72" borderId="3" xfId="0" applyFont="1" applyFill="1" applyBorder="1" applyAlignment="1">
      <alignment horizontal="center"/>
    </xf>
    <xf numFmtId="0" fontId="6" fillId="10" borderId="1" xfId="0" applyFont="1" applyFill="1" applyBorder="1" applyAlignment="1">
      <alignment horizontal="center"/>
    </xf>
    <xf numFmtId="0" fontId="6" fillId="10" borderId="2" xfId="0" applyFont="1" applyFill="1" applyBorder="1" applyAlignment="1">
      <alignment horizontal="center"/>
    </xf>
    <xf numFmtId="0" fontId="6" fillId="10" borderId="3" xfId="0" applyFont="1" applyFill="1" applyBorder="1" applyAlignment="1">
      <alignment horizontal="center"/>
    </xf>
    <xf numFmtId="0" fontId="6" fillId="74" borderId="1" xfId="0" applyFont="1" applyFill="1" applyBorder="1" applyAlignment="1">
      <alignment horizontal="center"/>
    </xf>
    <xf numFmtId="0" fontId="6" fillId="74" borderId="2" xfId="0" applyFont="1" applyFill="1" applyBorder="1" applyAlignment="1">
      <alignment horizontal="center"/>
    </xf>
    <xf numFmtId="0" fontId="6" fillId="74" borderId="3" xfId="0" applyFont="1" applyFill="1" applyBorder="1" applyAlignment="1">
      <alignment horizontal="center"/>
    </xf>
    <xf numFmtId="0" fontId="87" fillId="0" borderId="5" xfId="0" applyFont="1" applyBorder="1" applyAlignment="1">
      <alignment horizontal="left" vertical="top" wrapText="1"/>
    </xf>
    <xf numFmtId="0" fontId="87" fillId="0" borderId="10" xfId="0" applyFont="1" applyBorder="1" applyAlignment="1">
      <alignment horizontal="left" vertical="top" wrapText="1"/>
    </xf>
    <xf numFmtId="0" fontId="87" fillId="0" borderId="7" xfId="0" applyFont="1" applyBorder="1" applyAlignment="1">
      <alignment horizontal="left" vertical="top" wrapText="1"/>
    </xf>
    <xf numFmtId="3" fontId="0" fillId="4" borderId="74" xfId="0" applyNumberFormat="1" applyFill="1" applyBorder="1" applyAlignment="1">
      <alignment horizontal="right" vertical="center" indent="2"/>
    </xf>
    <xf numFmtId="3" fontId="0" fillId="4" borderId="65" xfId="0" applyNumberFormat="1" applyFill="1" applyBorder="1" applyAlignment="1">
      <alignment horizontal="right" vertical="center" indent="2"/>
    </xf>
    <xf numFmtId="0" fontId="2" fillId="0" borderId="11" xfId="0" applyFont="1" applyBorder="1" applyAlignment="1">
      <alignment horizontal="right" vertical="center" wrapText="1"/>
    </xf>
    <xf numFmtId="0" fontId="0" fillId="4" borderId="1" xfId="0" applyFill="1" applyBorder="1" applyAlignment="1">
      <alignment horizontal="center" vertical="center" wrapText="1"/>
    </xf>
    <xf numFmtId="0" fontId="0" fillId="4" borderId="3" xfId="0" applyFill="1" applyBorder="1" applyAlignment="1">
      <alignment horizontal="center" vertical="center" wrapText="1"/>
    </xf>
    <xf numFmtId="0" fontId="4" fillId="4" borderId="1" xfId="3" applyFill="1" applyBorder="1" applyAlignment="1">
      <alignment horizontal="left" vertical="top" wrapText="1"/>
    </xf>
    <xf numFmtId="3" fontId="0" fillId="4" borderId="42" xfId="0" quotePrefix="1" applyNumberFormat="1" applyFill="1" applyBorder="1" applyAlignment="1">
      <alignment horizontal="center" vertical="center"/>
    </xf>
    <xf numFmtId="3" fontId="12" fillId="4" borderId="1" xfId="0" applyNumberFormat="1" applyFont="1" applyFill="1" applyBorder="1" applyAlignment="1">
      <alignment horizontal="center" vertical="center" wrapText="1"/>
    </xf>
    <xf numFmtId="3" fontId="12" fillId="4" borderId="3" xfId="0" applyNumberFormat="1" applyFont="1" applyFill="1" applyBorder="1" applyAlignment="1">
      <alignment horizontal="center" vertical="center" wrapText="1"/>
    </xf>
    <xf numFmtId="0" fontId="64" fillId="4" borderId="1" xfId="0" applyFont="1" applyFill="1" applyBorder="1" applyAlignment="1">
      <alignment horizontal="center" vertical="center" wrapText="1"/>
    </xf>
    <xf numFmtId="0" fontId="64" fillId="4" borderId="3"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1" fontId="3" fillId="4" borderId="0" xfId="0" applyNumberFormat="1" applyFont="1" applyFill="1" applyAlignment="1">
      <alignment horizontal="center" vertical="center"/>
    </xf>
    <xf numFmtId="0" fontId="6" fillId="27" borderId="1" xfId="0" applyFont="1" applyFill="1" applyBorder="1" applyAlignment="1">
      <alignment horizontal="center"/>
    </xf>
    <xf numFmtId="0" fontId="6" fillId="27" borderId="2" xfId="0" applyFont="1" applyFill="1" applyBorder="1" applyAlignment="1">
      <alignment horizontal="center"/>
    </xf>
    <xf numFmtId="0" fontId="6" fillId="27" borderId="3" xfId="0" applyFont="1" applyFill="1" applyBorder="1" applyAlignment="1">
      <alignment horizontal="center"/>
    </xf>
    <xf numFmtId="3" fontId="3" fillId="0" borderId="0" xfId="0" applyNumberFormat="1" applyFont="1" applyAlignment="1">
      <alignment horizontal="center" vertical="center" wrapText="1"/>
    </xf>
    <xf numFmtId="0" fontId="6" fillId="30" borderId="1" xfId="0" applyFont="1" applyFill="1" applyBorder="1" applyAlignment="1">
      <alignment horizontal="center" wrapText="1"/>
    </xf>
    <xf numFmtId="0" fontId="6" fillId="30" borderId="2" xfId="0" applyFont="1" applyFill="1" applyBorder="1" applyAlignment="1">
      <alignment horizontal="center" wrapText="1"/>
    </xf>
    <xf numFmtId="3" fontId="3" fillId="0" borderId="4" xfId="0" applyNumberFormat="1" applyFont="1" applyBorder="1" applyAlignment="1">
      <alignment horizontal="center" vertical="center" wrapText="1"/>
    </xf>
    <xf numFmtId="1" fontId="3" fillId="4" borderId="4" xfId="0" applyNumberFormat="1" applyFont="1" applyFill="1" applyBorder="1" applyAlignment="1">
      <alignment horizontal="center" vertical="center"/>
    </xf>
    <xf numFmtId="3" fontId="0" fillId="4" borderId="42" xfId="0" quotePrefix="1" applyNumberFormat="1" applyFill="1" applyBorder="1" applyAlignment="1">
      <alignment horizontal="center" vertical="center" wrapText="1"/>
    </xf>
    <xf numFmtId="0" fontId="6" fillId="27" borderId="1" xfId="0" applyFont="1" applyFill="1" applyBorder="1" applyAlignment="1">
      <alignment horizontal="center" wrapText="1"/>
    </xf>
    <xf numFmtId="0" fontId="6" fillId="27" borderId="2" xfId="0" applyFont="1" applyFill="1" applyBorder="1" applyAlignment="1">
      <alignment horizontal="center" wrapText="1"/>
    </xf>
    <xf numFmtId="0" fontId="6" fillId="27" borderId="3" xfId="0" applyFont="1" applyFill="1" applyBorder="1" applyAlignment="1">
      <alignment horizontal="center" wrapText="1"/>
    </xf>
    <xf numFmtId="1" fontId="3" fillId="4" borderId="0" xfId="0" applyNumberFormat="1" applyFont="1" applyFill="1" applyAlignment="1">
      <alignment horizontal="center" vertical="center" wrapText="1"/>
    </xf>
    <xf numFmtId="1" fontId="3" fillId="4" borderId="4" xfId="0" applyNumberFormat="1" applyFont="1" applyFill="1" applyBorder="1" applyAlignment="1">
      <alignment horizontal="center" vertical="center" wrapText="1"/>
    </xf>
    <xf numFmtId="0" fontId="6" fillId="30" borderId="0" xfId="0" applyFont="1" applyFill="1" applyAlignment="1">
      <alignment horizontal="center" vertical="center"/>
    </xf>
    <xf numFmtId="3" fontId="2" fillId="0" borderId="11" xfId="0" applyNumberFormat="1" applyFont="1" applyBorder="1" applyAlignment="1">
      <alignment horizontal="center" wrapText="1"/>
    </xf>
    <xf numFmtId="3" fontId="2" fillId="0" borderId="38" xfId="0" applyNumberFormat="1" applyFont="1" applyBorder="1" applyAlignment="1">
      <alignment horizontal="center" wrapText="1"/>
    </xf>
    <xf numFmtId="0" fontId="159" fillId="74" borderId="1" xfId="0" applyFont="1" applyFill="1" applyBorder="1" applyAlignment="1">
      <alignment horizontal="center"/>
    </xf>
    <xf numFmtId="0" fontId="159" fillId="74" borderId="2" xfId="0" applyFont="1" applyFill="1" applyBorder="1" applyAlignment="1">
      <alignment horizontal="center"/>
    </xf>
    <xf numFmtId="0" fontId="159" fillId="74" borderId="3" xfId="0" applyFont="1" applyFill="1" applyBorder="1" applyAlignment="1">
      <alignment horizontal="center"/>
    </xf>
    <xf numFmtId="0" fontId="6" fillId="23" borderId="0" xfId="0" applyFont="1" applyFill="1" applyAlignment="1">
      <alignment horizontal="center"/>
    </xf>
    <xf numFmtId="0" fontId="12" fillId="0" borderId="4" xfId="0" quotePrefix="1" applyFont="1" applyBorder="1" applyAlignment="1">
      <alignment horizontal="center" vertical="center" wrapText="1"/>
    </xf>
    <xf numFmtId="0" fontId="3" fillId="0" borderId="18" xfId="0" applyFont="1" applyBorder="1" applyAlignment="1">
      <alignment horizontal="center" vertical="center" wrapText="1"/>
    </xf>
    <xf numFmtId="0" fontId="3" fillId="4" borderId="18" xfId="0" applyFont="1" applyFill="1" applyBorder="1" applyAlignment="1">
      <alignment horizontal="center" vertical="center"/>
    </xf>
    <xf numFmtId="0" fontId="6" fillId="75" borderId="18" xfId="0" applyFont="1" applyFill="1" applyBorder="1" applyAlignment="1">
      <alignment horizontal="center"/>
    </xf>
    <xf numFmtId="0" fontId="6" fillId="75" borderId="0" xfId="0" applyFont="1" applyFill="1" applyAlignment="1">
      <alignment horizontal="center"/>
    </xf>
    <xf numFmtId="0" fontId="0" fillId="4" borderId="53" xfId="0" quotePrefix="1" applyFill="1" applyBorder="1" applyAlignment="1">
      <alignment horizontal="center" vertical="center"/>
    </xf>
    <xf numFmtId="0" fontId="0" fillId="4" borderId="42" xfId="0" quotePrefix="1" applyFill="1" applyBorder="1" applyAlignment="1">
      <alignment horizontal="center" vertical="center"/>
    </xf>
    <xf numFmtId="0" fontId="0" fillId="4" borderId="38" xfId="0" quotePrefix="1" applyFill="1" applyBorder="1" applyAlignment="1">
      <alignment horizontal="center" vertical="center"/>
    </xf>
    <xf numFmtId="0" fontId="3" fillId="0" borderId="11" xfId="0" applyFont="1" applyBorder="1" applyAlignment="1">
      <alignment horizontal="center" vertical="center" wrapText="1"/>
    </xf>
    <xf numFmtId="0" fontId="3" fillId="4" borderId="11" xfId="0" applyFont="1" applyFill="1" applyBorder="1" applyAlignment="1">
      <alignment horizontal="center" vertical="center"/>
    </xf>
    <xf numFmtId="0" fontId="0" fillId="0" borderId="44" xfId="0" applyBorder="1" applyAlignment="1">
      <alignment horizontal="center" vertical="center"/>
    </xf>
    <xf numFmtId="0" fontId="6" fillId="10" borderId="0" xfId="0" applyFont="1" applyFill="1" applyAlignment="1">
      <alignment horizontal="center"/>
    </xf>
    <xf numFmtId="0" fontId="6" fillId="75" borderId="2" xfId="0" applyFont="1" applyFill="1" applyBorder="1" applyAlignment="1">
      <alignment horizontal="center"/>
    </xf>
    <xf numFmtId="0" fontId="6" fillId="75" borderId="3" xfId="0" applyFont="1" applyFill="1" applyBorder="1" applyAlignment="1">
      <alignment horizontal="center"/>
    </xf>
    <xf numFmtId="3" fontId="12" fillId="4" borderId="1" xfId="0" applyNumberFormat="1" applyFont="1" applyFill="1" applyBorder="1" applyAlignment="1">
      <alignment horizontal="center" wrapText="1"/>
    </xf>
    <xf numFmtId="3" fontId="12" fillId="4" borderId="3" xfId="0" applyNumberFormat="1" applyFont="1" applyFill="1" applyBorder="1" applyAlignment="1">
      <alignment horizontal="center"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wrapText="1"/>
    </xf>
    <xf numFmtId="0" fontId="12" fillId="4" borderId="1" xfId="0" applyFont="1" applyFill="1" applyBorder="1" applyAlignment="1">
      <alignment horizontal="center" vertical="top" wrapText="1"/>
    </xf>
    <xf numFmtId="0" fontId="12" fillId="4" borderId="3" xfId="0" applyFont="1" applyFill="1" applyBorder="1" applyAlignment="1">
      <alignment horizontal="center" vertical="top" wrapText="1"/>
    </xf>
    <xf numFmtId="0" fontId="29" fillId="4" borderId="1" xfId="3" applyFont="1" applyFill="1" applyBorder="1" applyAlignment="1">
      <alignment horizontal="center" vertical="center" wrapText="1"/>
    </xf>
    <xf numFmtId="0" fontId="29" fillId="4" borderId="3" xfId="3" applyFont="1" applyFill="1" applyBorder="1" applyAlignment="1">
      <alignment horizontal="center" vertical="center" wrapText="1"/>
    </xf>
    <xf numFmtId="165" fontId="13" fillId="0" borderId="72" xfId="2" applyNumberFormat="1" applyFont="1" applyFill="1" applyBorder="1" applyAlignment="1">
      <alignment horizontal="right" vertical="center"/>
    </xf>
    <xf numFmtId="3" fontId="130" fillId="0" borderId="43" xfId="0" applyNumberFormat="1" applyFont="1" applyBorder="1" applyAlignment="1">
      <alignment horizontal="center" wrapText="1"/>
    </xf>
    <xf numFmtId="3" fontId="130" fillId="0" borderId="44" xfId="0" applyNumberFormat="1" applyFont="1" applyBorder="1" applyAlignment="1">
      <alignment horizontal="center" wrapText="1"/>
    </xf>
    <xf numFmtId="3" fontId="130" fillId="0" borderId="16" xfId="0" applyNumberFormat="1" applyFont="1" applyBorder="1" applyAlignment="1">
      <alignment horizontal="center" wrapText="1"/>
    </xf>
    <xf numFmtId="0" fontId="0" fillId="4" borderId="1" xfId="3" applyFont="1" applyFill="1" applyBorder="1" applyAlignment="1">
      <alignment horizontal="center" vertical="center" wrapText="1"/>
    </xf>
    <xf numFmtId="0" fontId="0" fillId="4" borderId="3" xfId="3" applyFont="1" applyFill="1" applyBorder="1" applyAlignment="1">
      <alignment horizontal="center" vertical="center" wrapText="1"/>
    </xf>
    <xf numFmtId="0" fontId="4" fillId="4" borderId="1" xfId="3" applyFill="1" applyBorder="1" applyAlignment="1">
      <alignment horizontal="center" vertical="center" wrapText="1"/>
    </xf>
    <xf numFmtId="0" fontId="4" fillId="4" borderId="3" xfId="3" applyFill="1" applyBorder="1" applyAlignment="1">
      <alignment horizontal="center" vertical="center" wrapText="1"/>
    </xf>
    <xf numFmtId="0" fontId="6" fillId="75" borderId="1" xfId="0" applyFont="1" applyFill="1" applyBorder="1" applyAlignment="1">
      <alignment horizontal="center"/>
    </xf>
    <xf numFmtId="0" fontId="68" fillId="4" borderId="4" xfId="4" quotePrefix="1" applyFill="1" applyBorder="1" applyAlignment="1">
      <alignment horizontal="center"/>
    </xf>
    <xf numFmtId="165" fontId="46" fillId="0" borderId="5" xfId="4" quotePrefix="1" applyNumberFormat="1" applyFont="1" applyBorder="1" applyAlignment="1">
      <alignment horizontal="center" vertical="center" wrapText="1"/>
    </xf>
    <xf numFmtId="165" fontId="46" fillId="0" borderId="7" xfId="4" quotePrefix="1" applyNumberFormat="1" applyFont="1" applyBorder="1" applyAlignment="1">
      <alignment horizontal="center" vertical="center" wrapText="1"/>
    </xf>
    <xf numFmtId="0" fontId="68" fillId="4" borderId="1" xfId="4" quotePrefix="1" applyFill="1" applyBorder="1" applyAlignment="1">
      <alignment horizontal="center" vertical="center"/>
    </xf>
    <xf numFmtId="0" fontId="68" fillId="4" borderId="2" xfId="4" quotePrefix="1" applyFill="1" applyBorder="1" applyAlignment="1">
      <alignment horizontal="center" vertical="center"/>
    </xf>
    <xf numFmtId="0" fontId="68" fillId="4" borderId="3" xfId="4" quotePrefix="1" applyFill="1" applyBorder="1" applyAlignment="1">
      <alignment horizontal="center" vertical="center"/>
    </xf>
    <xf numFmtId="0" fontId="6" fillId="5" borderId="1" xfId="4" applyFont="1" applyFill="1" applyBorder="1" applyAlignment="1">
      <alignment horizontal="center"/>
    </xf>
    <xf numFmtId="0" fontId="6" fillId="5" borderId="2" xfId="4" applyFont="1" applyFill="1" applyBorder="1" applyAlignment="1">
      <alignment horizontal="center"/>
    </xf>
    <xf numFmtId="0" fontId="6" fillId="5" borderId="3" xfId="4" applyFont="1" applyFill="1" applyBorder="1" applyAlignment="1">
      <alignment horizontal="center"/>
    </xf>
    <xf numFmtId="0" fontId="3" fillId="0" borderId="1" xfId="4" applyFont="1" applyBorder="1" applyAlignment="1">
      <alignment horizontal="center" vertical="center" wrapText="1"/>
    </xf>
    <xf numFmtId="0" fontId="3" fillId="0" borderId="2" xfId="4" applyFont="1" applyBorder="1" applyAlignment="1">
      <alignment horizontal="center" vertical="center" wrapText="1"/>
    </xf>
    <xf numFmtId="0" fontId="3" fillId="0" borderId="3" xfId="4" applyFont="1" applyBorder="1" applyAlignment="1">
      <alignment horizontal="center" vertical="center" wrapText="1"/>
    </xf>
    <xf numFmtId="0" fontId="3" fillId="0" borderId="5" xfId="4" applyFont="1" applyBorder="1" applyAlignment="1">
      <alignment horizontal="center" vertical="center"/>
    </xf>
    <xf numFmtId="0" fontId="3" fillId="0" borderId="7" xfId="4" applyFont="1" applyBorder="1" applyAlignment="1">
      <alignment horizontal="center" vertical="center"/>
    </xf>
    <xf numFmtId="0" fontId="11" fillId="0" borderId="5" xfId="4" applyFont="1" applyBorder="1" applyAlignment="1">
      <alignment horizontal="center" vertical="center" textRotation="90" wrapText="1"/>
    </xf>
    <xf numFmtId="0" fontId="11" fillId="0" borderId="10" xfId="4" applyFont="1" applyBorder="1" applyAlignment="1">
      <alignment horizontal="center" vertical="center" textRotation="90" wrapText="1"/>
    </xf>
    <xf numFmtId="0" fontId="11" fillId="0" borderId="7" xfId="4" applyFont="1" applyBorder="1" applyAlignment="1">
      <alignment horizontal="center" vertical="center" textRotation="90" wrapText="1"/>
    </xf>
    <xf numFmtId="0" fontId="24" fillId="7" borderId="5" xfId="4" applyFont="1" applyFill="1" applyBorder="1" applyAlignment="1">
      <alignment horizontal="center" vertical="center" textRotation="90" wrapText="1"/>
    </xf>
    <xf numFmtId="0" fontId="24" fillId="7" borderId="10" xfId="4" applyFont="1" applyFill="1" applyBorder="1" applyAlignment="1">
      <alignment horizontal="center" vertical="center" textRotation="90" wrapText="1"/>
    </xf>
    <xf numFmtId="0" fontId="24" fillId="7" borderId="7" xfId="4" applyFont="1" applyFill="1" applyBorder="1" applyAlignment="1">
      <alignment horizontal="center" vertical="center" textRotation="90" wrapText="1"/>
    </xf>
    <xf numFmtId="165" fontId="10" fillId="0" borderId="5" xfId="4" quotePrefix="1" applyNumberFormat="1" applyFont="1" applyBorder="1" applyAlignment="1">
      <alignment horizontal="center" vertical="center" wrapText="1"/>
    </xf>
    <xf numFmtId="165" fontId="10" fillId="0" borderId="7" xfId="4" quotePrefix="1" applyNumberFormat="1" applyFont="1" applyBorder="1" applyAlignment="1">
      <alignment horizontal="center" vertical="center" wrapText="1"/>
    </xf>
    <xf numFmtId="0" fontId="6" fillId="7" borderId="1"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3" xfId="0" applyFont="1" applyFill="1" applyBorder="1" applyAlignment="1">
      <alignment horizontal="center" vertical="center"/>
    </xf>
    <xf numFmtId="0" fontId="146" fillId="0" borderId="18" xfId="2" applyNumberFormat="1" applyFont="1" applyBorder="1" applyAlignment="1">
      <alignment horizontal="center" wrapText="1"/>
    </xf>
    <xf numFmtId="0" fontId="6" fillId="15" borderId="1" xfId="0" applyFont="1" applyFill="1" applyBorder="1" applyAlignment="1">
      <alignment horizontal="center" vertical="center"/>
    </xf>
    <xf numFmtId="0" fontId="6" fillId="15" borderId="2" xfId="0" applyFont="1" applyFill="1" applyBorder="1" applyAlignment="1">
      <alignment horizontal="center" vertical="center"/>
    </xf>
    <xf numFmtId="0" fontId="6" fillId="15" borderId="3" xfId="0" applyFont="1" applyFill="1" applyBorder="1" applyAlignment="1">
      <alignment horizontal="center" vertical="center"/>
    </xf>
    <xf numFmtId="0" fontId="6" fillId="71" borderId="1" xfId="0" applyFont="1" applyFill="1" applyBorder="1" applyAlignment="1">
      <alignment horizontal="center" vertical="center"/>
    </xf>
    <xf numFmtId="0" fontId="6" fillId="71" borderId="2" xfId="0" applyFont="1" applyFill="1" applyBorder="1" applyAlignment="1">
      <alignment horizontal="center" vertical="center"/>
    </xf>
    <xf numFmtId="0" fontId="6" fillId="71" borderId="3" xfId="0" applyFont="1" applyFill="1" applyBorder="1" applyAlignment="1">
      <alignment horizontal="center" vertical="center"/>
    </xf>
    <xf numFmtId="0" fontId="52" fillId="0" borderId="1" xfId="3" applyFont="1" applyBorder="1" applyAlignment="1">
      <alignment horizontal="center" vertical="center" wrapText="1"/>
    </xf>
    <xf numFmtId="0" fontId="52" fillId="0" borderId="2" xfId="3" applyFont="1" applyBorder="1" applyAlignment="1">
      <alignment horizontal="center" vertical="center" wrapText="1"/>
    </xf>
    <xf numFmtId="0" fontId="52" fillId="0" borderId="3" xfId="3" applyFont="1" applyBorder="1" applyAlignment="1">
      <alignment horizontal="center" vertical="center" wrapText="1"/>
    </xf>
    <xf numFmtId="0" fontId="3" fillId="17" borderId="1" xfId="0" applyFont="1" applyFill="1" applyBorder="1" applyAlignment="1">
      <alignment horizontal="center" vertical="center"/>
    </xf>
    <xf numFmtId="0" fontId="3" fillId="17" borderId="2" xfId="0" applyFont="1" applyFill="1" applyBorder="1" applyAlignment="1">
      <alignment horizontal="center" vertical="center"/>
    </xf>
    <xf numFmtId="0" fontId="3" fillId="17" borderId="3" xfId="0" applyFont="1" applyFill="1" applyBorder="1" applyAlignment="1">
      <alignment horizontal="center" vertical="center"/>
    </xf>
    <xf numFmtId="0" fontId="159" fillId="38" borderId="3" xfId="0" applyFont="1" applyFill="1" applyBorder="1" applyAlignment="1">
      <alignment horizontal="center" vertical="center"/>
    </xf>
    <xf numFmtId="0" fontId="6" fillId="23" borderId="1" xfId="0" applyFont="1" applyFill="1" applyBorder="1" applyAlignment="1">
      <alignment horizontal="center" vertical="center"/>
    </xf>
    <xf numFmtId="0" fontId="6" fillId="23" borderId="2" xfId="0" applyFont="1" applyFill="1" applyBorder="1" applyAlignment="1">
      <alignment horizontal="center" vertical="center"/>
    </xf>
    <xf numFmtId="0" fontId="6" fillId="23" borderId="3" xfId="0" applyFont="1" applyFill="1" applyBorder="1" applyAlignment="1">
      <alignment horizontal="center" vertical="center"/>
    </xf>
    <xf numFmtId="0" fontId="6" fillId="32" borderId="3" xfId="0" applyFont="1" applyFill="1" applyBorder="1" applyAlignment="1">
      <alignment horizontal="center"/>
    </xf>
    <xf numFmtId="0" fontId="5" fillId="4" borderId="1" xfId="0" applyFont="1" applyFill="1" applyBorder="1" applyAlignment="1">
      <alignment horizontal="left" vertical="top" wrapText="1"/>
    </xf>
    <xf numFmtId="0" fontId="5" fillId="4" borderId="2" xfId="0" applyFont="1" applyFill="1" applyBorder="1" applyAlignment="1">
      <alignment horizontal="left" vertical="top" wrapText="1"/>
    </xf>
    <xf numFmtId="0" fontId="5" fillId="4" borderId="3" xfId="0" applyFont="1" applyFill="1" applyBorder="1" applyAlignment="1">
      <alignment horizontal="left" vertical="top" wrapText="1"/>
    </xf>
    <xf numFmtId="3" fontId="0" fillId="0" borderId="52" xfId="0" applyNumberFormat="1" applyBorder="1" applyAlignment="1">
      <alignment horizontal="center" vertical="center" wrapText="1"/>
    </xf>
    <xf numFmtId="3" fontId="0" fillId="0" borderId="84" xfId="0" applyNumberFormat="1" applyBorder="1" applyAlignment="1">
      <alignment horizontal="center" vertical="center" wrapText="1"/>
    </xf>
  </cellXfs>
  <cellStyles count="53">
    <cellStyle name="20% - Accent1" xfId="30" builtinId="30" customBuiltin="1"/>
    <cellStyle name="20% - Accent2" xfId="34" builtinId="34" customBuiltin="1"/>
    <cellStyle name="20% - Accent3" xfId="38" builtinId="38" customBuiltin="1"/>
    <cellStyle name="20% - Accent4" xfId="42" builtinId="42" customBuiltin="1"/>
    <cellStyle name="20% - Accent5" xfId="46" builtinId="46" customBuiltin="1"/>
    <cellStyle name="20% - Accent6" xfId="50" builtinId="50" customBuiltin="1"/>
    <cellStyle name="40% - Accent1" xfId="31" builtinId="31" customBuiltin="1"/>
    <cellStyle name="40% - Accent2" xfId="35" builtinId="35" customBuiltin="1"/>
    <cellStyle name="40% - Accent3" xfId="39" builtinId="39" customBuiltin="1"/>
    <cellStyle name="40% - Accent4" xfId="43" builtinId="43" customBuiltin="1"/>
    <cellStyle name="40% - Accent5" xfId="47" builtinId="47" customBuiltin="1"/>
    <cellStyle name="40% - Accent6" xfId="51" builtinId="51" customBuiltin="1"/>
    <cellStyle name="60% - Accent1" xfId="32" builtinId="32" customBuiltin="1"/>
    <cellStyle name="60% - Accent2" xfId="36" builtinId="36" customBuiltin="1"/>
    <cellStyle name="60% - Accent3" xfId="40" builtinId="40" customBuiltin="1"/>
    <cellStyle name="60% - Accent4" xfId="44" builtinId="44" customBuiltin="1"/>
    <cellStyle name="60% - Accent5" xfId="48" builtinId="48" customBuiltin="1"/>
    <cellStyle name="60% - Accent6" xfId="52" builtinId="52" customBuiltin="1"/>
    <cellStyle name="Accent1" xfId="29" builtinId="29" customBuiltin="1"/>
    <cellStyle name="Accent2" xfId="33" builtinId="33" customBuiltin="1"/>
    <cellStyle name="Accent3" xfId="37" builtinId="37" customBuiltin="1"/>
    <cellStyle name="Accent4" xfId="41" builtinId="41" customBuiltin="1"/>
    <cellStyle name="Accent5" xfId="45" builtinId="45" customBuiltin="1"/>
    <cellStyle name="Accent6" xfId="49" builtinId="49" customBuiltin="1"/>
    <cellStyle name="Bad" xfId="7" builtinId="27" customBuiltin="1"/>
    <cellStyle name="Calculation" xfId="22" builtinId="22" customBuiltin="1"/>
    <cellStyle name="Check Cell" xfId="24" builtinId="23" customBuiltin="1"/>
    <cellStyle name="Comma" xfId="1" builtinId="3"/>
    <cellStyle name="Comma 2" xfId="11" xr:uid="{EACC428C-EC15-4553-837F-AC6E05422AF7}"/>
    <cellStyle name="Explanatory Text" xfId="27"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Hyperlink" xfId="3" builtinId="8"/>
    <cellStyle name="Input" xfId="8" builtinId="20" customBuiltin="1"/>
    <cellStyle name="Linked Cell" xfId="23" builtinId="24" customBuiltin="1"/>
    <cellStyle name="Milliers 2" xfId="5" xr:uid="{00000000-0005-0000-0000-000004000000}"/>
    <cellStyle name="Milliers 2 2" xfId="13" xr:uid="{4B17EA71-3448-42A8-BFA5-B4183E44AAA9}"/>
    <cellStyle name="Milliers 3" xfId="10" xr:uid="{00000000-0005-0000-0000-000005000000}"/>
    <cellStyle name="Neutral" xfId="20" builtinId="28" customBuiltin="1"/>
    <cellStyle name="Neutre 2" xfId="9" xr:uid="{00000000-0005-0000-0000-000006000000}"/>
    <cellStyle name="Normal" xfId="0" builtinId="0"/>
    <cellStyle name="Normal 2" xfId="4" xr:uid="{00000000-0005-0000-0000-000008000000}"/>
    <cellStyle name="Normal 3" xfId="12" xr:uid="{F3008DA5-4343-48D7-84FD-FD52EED6B12D}"/>
    <cellStyle name="Note" xfId="26" builtinId="10" customBuiltin="1"/>
    <cellStyle name="Output" xfId="21" builtinId="21" customBuiltin="1"/>
    <cellStyle name="Percent" xfId="2" builtinId="5"/>
    <cellStyle name="Pourcentage 2" xfId="6" xr:uid="{00000000-0005-0000-0000-00000A000000}"/>
    <cellStyle name="Title" xfId="14" builtinId="15" customBuiltin="1"/>
    <cellStyle name="Total" xfId="28" builtinId="25" customBuiltin="1"/>
    <cellStyle name="Warning Text" xfId="25" builtinId="11" customBuiltin="1"/>
  </cellStyles>
  <dxfs count="47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3DDFD"/>
      <color rgb="FFAFC1FB"/>
      <color rgb="FFB1EDD3"/>
      <color rgb="FF91AAF9"/>
      <color rgb="FF062172"/>
      <color rgb="FF43D596"/>
      <color rgb="FFD8D9DC"/>
      <color rgb="FF29A7DE"/>
      <color rgb="FF8AE4BD"/>
      <color rgb="FFCACF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microsoft.com/office/2017/10/relationships/person" Target="persons/perso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sharedStrings" Target="sharedString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theme" Target="theme/theme1.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156882</xdr:colOff>
      <xdr:row>30</xdr:row>
      <xdr:rowOff>50427</xdr:rowOff>
    </xdr:from>
    <xdr:to>
      <xdr:col>20</xdr:col>
      <xdr:colOff>666470</xdr:colOff>
      <xdr:row>31</xdr:row>
      <xdr:rowOff>18769</xdr:rowOff>
    </xdr:to>
    <xdr:pic>
      <xdr:nvPicPr>
        <xdr:cNvPr id="2" name="Image 1">
          <a:extLst>
            <a:ext uri="{FF2B5EF4-FFF2-40B4-BE49-F238E27FC236}">
              <a16:creationId xmlns:a16="http://schemas.microsoft.com/office/drawing/2014/main" id="{14FF12D0-E639-4871-8DE5-48D435D3C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43382" y="6222627"/>
          <a:ext cx="509588" cy="152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70355</xdr:colOff>
      <xdr:row>39</xdr:row>
      <xdr:rowOff>37883</xdr:rowOff>
    </xdr:from>
    <xdr:to>
      <xdr:col>19</xdr:col>
      <xdr:colOff>357693</xdr:colOff>
      <xdr:row>40</xdr:row>
      <xdr:rowOff>11689</xdr:rowOff>
    </xdr:to>
    <xdr:pic>
      <xdr:nvPicPr>
        <xdr:cNvPr id="2" name="Image 1">
          <a:extLst>
            <a:ext uri="{FF2B5EF4-FFF2-40B4-BE49-F238E27FC236}">
              <a16:creationId xmlns:a16="http://schemas.microsoft.com/office/drawing/2014/main" id="{4139A538-0E62-4981-81F9-C6899927A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855" y="8445283"/>
          <a:ext cx="928688" cy="15795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377640</xdr:colOff>
      <xdr:row>103</xdr:row>
      <xdr:rowOff>113607</xdr:rowOff>
    </xdr:from>
    <xdr:to>
      <xdr:col>13</xdr:col>
      <xdr:colOff>102322</xdr:colOff>
      <xdr:row>121</xdr:row>
      <xdr:rowOff>59548</xdr:rowOff>
    </xdr:to>
    <xdr:pic>
      <xdr:nvPicPr>
        <xdr:cNvPr id="2" name="Image 1">
          <a:extLst>
            <a:ext uri="{FF2B5EF4-FFF2-40B4-BE49-F238E27FC236}">
              <a16:creationId xmlns:a16="http://schemas.microsoft.com/office/drawing/2014/main" id="{4FB199D8-E2A5-4467-802C-66D8C29B2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02440" y="20754282"/>
          <a:ext cx="3318782" cy="38702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35</xdr:col>
      <xdr:colOff>66675</xdr:colOff>
      <xdr:row>13</xdr:row>
      <xdr:rowOff>95250</xdr:rowOff>
    </xdr:from>
    <xdr:to>
      <xdr:col>43</xdr:col>
      <xdr:colOff>496679</xdr:colOff>
      <xdr:row>33</xdr:row>
      <xdr:rowOff>473075</xdr:rowOff>
    </xdr:to>
    <xdr:pic>
      <xdr:nvPicPr>
        <xdr:cNvPr id="2" name="Picture 1">
          <a:extLst>
            <a:ext uri="{FF2B5EF4-FFF2-40B4-BE49-F238E27FC236}">
              <a16:creationId xmlns:a16="http://schemas.microsoft.com/office/drawing/2014/main" id="{348CD7CB-BDFD-4F61-8086-B5615DF06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73975" y="3352800"/>
          <a:ext cx="6943726"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0</xdr:colOff>
      <xdr:row>36</xdr:row>
      <xdr:rowOff>0</xdr:rowOff>
    </xdr:from>
    <xdr:to>
      <xdr:col>43</xdr:col>
      <xdr:colOff>391904</xdr:colOff>
      <xdr:row>54</xdr:row>
      <xdr:rowOff>95249</xdr:rowOff>
    </xdr:to>
    <xdr:pic>
      <xdr:nvPicPr>
        <xdr:cNvPr id="3" name="Picture 2">
          <a:extLst>
            <a:ext uri="{FF2B5EF4-FFF2-40B4-BE49-F238E27FC236}">
              <a16:creationId xmlns:a16="http://schemas.microsoft.com/office/drawing/2014/main" id="{A466E563-73F9-4D14-B642-BDF99D040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07300" y="8220075"/>
          <a:ext cx="6905626" cy="352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590550</xdr:colOff>
      <xdr:row>52</xdr:row>
      <xdr:rowOff>114300</xdr:rowOff>
    </xdr:from>
    <xdr:to>
      <xdr:col>42</xdr:col>
      <xdr:colOff>162002</xdr:colOff>
      <xdr:row>55</xdr:row>
      <xdr:rowOff>95251</xdr:rowOff>
    </xdr:to>
    <xdr:pic>
      <xdr:nvPicPr>
        <xdr:cNvPr id="4" name="Picture 3">
          <a:extLst>
            <a:ext uri="{FF2B5EF4-FFF2-40B4-BE49-F238E27FC236}">
              <a16:creationId xmlns:a16="http://schemas.microsoft.com/office/drawing/2014/main" id="{48F84216-B912-415F-900E-ED3120DF93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288250" y="11382375"/>
          <a:ext cx="611505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3\users1\GVERDIER\My%20Documents\INS\Teaching\FPP\FPP%20-%20Tunis%20Feb%202008\reference_25fev.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PSGWN03P\AFR\DATA\MOZ\moz%20macroframework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PSGWN03P\AFR\My%20Documents\Zimbabwe\BOP\ZW_RS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ta1\insp\Documents%20and%20Settings\mrandazzo\Desktop\Workingfiles-for-participants-14Feb-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ta3\users1\gverdier\My%20Documents\AFR\ZWE\ZWE\Current\obsolete\G6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ersonal/tli3_worldbank_org/Documents/Desktop/Cross-teams/Domestic%20finance/I10_2020/2019_12_03%20summary%20of%20DF%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92.168.54.4\budgets\Users\pfms\AppData\Roaming\Microsoft\Excel\Health%20PBB%20migration%20tool%2005.11.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PSGWN03P\AFR\MissionJAN\BOPMISSIONJAN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PSGWN03P\AFR\MissionJAN\ROBOPBucharestJan20LAM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PSGWN03P\AFR\AFR11\ZWE\mission\G6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1\insp\Documents%20and%20Settings\nsheridan\Local%20Settings\Temporary%20Internet%20Files\OLK22\502ZambiaFiles%20-%20Tables%204-2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PSGWN03P\AFR\DATA\ZWE\External\DSA2006\ZWE-External-DSA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PSGWN03P\AFR\WIN\TEMP\Zimbabwe\Miss9803\ZW_BOP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92.168.54.31\Desktop\CHIDUMWA%202013\BUDGET%20SUPPORT\Users\gverdier\AppData\Local\Microsoft\Windows\Temporary%20Internet%20Files\OLK19FF\ZWE_latest%20WEO%20data%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R-31,40"/>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Z-former"/>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v-20"/>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urrent Data"/>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indicators"/>
      <sheetName val="Summary input sheet"/>
      <sheetName val="SOURCE_IMF"/>
      <sheetName val="IMF_GDP"/>
      <sheetName val="IMF_GDP_PPP"/>
      <sheetName val="IMF_gvt expenditure"/>
      <sheetName val="SOURCE_UIS"/>
      <sheetName val="UIS.Stat export"/>
      <sheetName val="SOURCE_RF10"/>
      <sheetName val="Afghanistan"/>
      <sheetName val="Albania"/>
      <sheetName val="Bangladesh"/>
      <sheetName val="Benin"/>
      <sheetName val="Bhutan"/>
      <sheetName val="Burkina Faso"/>
      <sheetName val="Burundi"/>
      <sheetName val="Cambodia"/>
      <sheetName val="Cameroun"/>
      <sheetName val="Chad"/>
      <sheetName val="Congo"/>
      <sheetName val="Cote Ivoire"/>
      <sheetName val="Djibouti"/>
      <sheetName val="DRCongo"/>
      <sheetName val="Gambia"/>
      <sheetName val="Ghana"/>
      <sheetName val="Guinée"/>
      <sheetName val="Guyana"/>
      <sheetName val="Haïti"/>
      <sheetName val="Honduras"/>
      <sheetName val="Kenya"/>
      <sheetName val="Laos"/>
      <sheetName val="Lesotho"/>
      <sheetName val="Liberia"/>
      <sheetName val="Madagascar"/>
      <sheetName val="Malawi"/>
      <sheetName val="Mali"/>
      <sheetName val="Mauritanie"/>
      <sheetName val="Moldova"/>
      <sheetName val="Mozambique"/>
      <sheetName val="Nepal"/>
      <sheetName val="Nicaragua"/>
      <sheetName val="Niger"/>
      <sheetName val="Balochistan"/>
      <sheetName val="Pakistan Sindh"/>
      <sheetName val="Papua New Guinea"/>
      <sheetName val="Rwanda"/>
      <sheetName val="Sao Tomé"/>
      <sheetName val="Senegal"/>
      <sheetName val="Sierra Leone"/>
      <sheetName val="South Sudan"/>
      <sheetName val="Tanzania Mainland"/>
      <sheetName val="Zanzibar"/>
      <sheetName val="Timor Leste"/>
      <sheetName val="Togo"/>
      <sheetName val="Uganda"/>
      <sheetName val="Viet Nam"/>
      <sheetName val="Zambia"/>
      <sheetName val="Zimbabwe"/>
    </sheetNames>
    <sheetDataSet>
      <sheetData sheetId="0"/>
      <sheetData sheetId="1"/>
      <sheetData sheetId="2"/>
      <sheetData sheetId="3"/>
      <sheetData sheetId="4"/>
      <sheetData sheetId="5"/>
      <sheetData sheetId="6"/>
      <sheetData sheetId="7"/>
      <sheetData sheetId="8"/>
      <sheetData sheetId="9">
        <row r="17">
          <cell r="AA17">
            <v>299601.2</v>
          </cell>
          <cell r="AJ17">
            <v>254000</v>
          </cell>
          <cell r="AO17">
            <v>263507.50514444354</v>
          </cell>
        </row>
        <row r="19">
          <cell r="AA19">
            <v>547.79999999999995</v>
          </cell>
          <cell r="AJ19"/>
          <cell r="AO19">
            <v>0</v>
          </cell>
        </row>
        <row r="20">
          <cell r="AA20"/>
          <cell r="AJ20"/>
          <cell r="AO20">
            <v>0</v>
          </cell>
        </row>
        <row r="21">
          <cell r="AA21">
            <v>445911</v>
          </cell>
          <cell r="AJ21">
            <v>356000</v>
          </cell>
          <cell r="AO21">
            <v>347732.5145713063</v>
          </cell>
        </row>
        <row r="85">
          <cell r="AA85">
            <v>55568.768725041402</v>
          </cell>
          <cell r="AJ85">
            <v>46245.461242952813</v>
          </cell>
          <cell r="AO85">
            <v>49373.43686569477</v>
          </cell>
        </row>
        <row r="87">
          <cell r="AA87">
            <v>37102.706725041404</v>
          </cell>
          <cell r="AJ87">
            <v>39768.621589952818</v>
          </cell>
          <cell r="AO87">
            <v>46137.275149240624</v>
          </cell>
        </row>
        <row r="88">
          <cell r="AA88">
            <v>18466.061999999998</v>
          </cell>
          <cell r="AJ88">
            <v>6476.8396530000009</v>
          </cell>
          <cell r="AO88">
            <v>3236.1617164541431</v>
          </cell>
        </row>
      </sheetData>
      <sheetData sheetId="10">
        <row r="18">
          <cell r="Z18">
            <v>157166000</v>
          </cell>
          <cell r="AJ18">
            <v>164880000</v>
          </cell>
          <cell r="AP18">
            <v>192941000</v>
          </cell>
        </row>
        <row r="21">
          <cell r="Z21">
            <v>36259000</v>
          </cell>
          <cell r="AN21">
            <v>41500000</v>
          </cell>
          <cell r="AP21">
            <v>36513000</v>
          </cell>
        </row>
        <row r="22">
          <cell r="Z22">
            <v>5499000</v>
          </cell>
          <cell r="AN22"/>
          <cell r="AP22"/>
        </row>
        <row r="24">
          <cell r="Z24">
            <v>431209000</v>
          </cell>
          <cell r="AJ24">
            <v>459959000</v>
          </cell>
          <cell r="AP24">
            <v>476137000</v>
          </cell>
        </row>
        <row r="92">
          <cell r="Z92">
            <v>35821591.654460721</v>
          </cell>
          <cell r="AJ92">
            <v>38045089.660185196</v>
          </cell>
          <cell r="AP92">
            <v>40145220.250142843</v>
          </cell>
        </row>
        <row r="94">
          <cell r="Z94">
            <v>32913058.796268899</v>
          </cell>
          <cell r="AJ94">
            <v>36881141.190637156</v>
          </cell>
          <cell r="AP94">
            <v>38845910.935376294</v>
          </cell>
        </row>
      </sheetData>
      <sheetData sheetId="11">
        <row r="17">
          <cell r="AA17">
            <v>124158.8</v>
          </cell>
          <cell r="AJ17">
            <v>144088</v>
          </cell>
          <cell r="AP17">
            <v>167787</v>
          </cell>
        </row>
        <row r="19">
          <cell r="AA19">
            <v>33090.800000000003</v>
          </cell>
          <cell r="AJ19">
            <v>35316</v>
          </cell>
          <cell r="AP19">
            <v>55477</v>
          </cell>
        </row>
        <row r="20">
          <cell r="AA20"/>
          <cell r="AJ20"/>
          <cell r="AP20"/>
        </row>
        <row r="21">
          <cell r="AA21">
            <v>239267</v>
          </cell>
          <cell r="AJ21">
            <v>266886</v>
          </cell>
          <cell r="AP21">
            <v>325756</v>
          </cell>
        </row>
        <row r="87">
          <cell r="AA87">
            <v>37805.5</v>
          </cell>
          <cell r="AJ87">
            <v>42846.3</v>
          </cell>
          <cell r="AP87">
            <v>39239.5</v>
          </cell>
        </row>
        <row r="89">
          <cell r="AA89">
            <v>28995.7</v>
          </cell>
          <cell r="AJ89">
            <v>32083.5</v>
          </cell>
          <cell r="AP89">
            <v>28584.6</v>
          </cell>
        </row>
      </sheetData>
      <sheetData sheetId="12">
        <row r="16">
          <cell r="V16">
            <v>701209000</v>
          </cell>
          <cell r="X16">
            <v>789769000</v>
          </cell>
          <cell r="AD16">
            <v>633204200</v>
          </cell>
        </row>
        <row r="20">
          <cell r="V20">
            <v>28926266.767681267</v>
          </cell>
          <cell r="X20">
            <v>103700000</v>
          </cell>
          <cell r="AD20">
            <v>114923000</v>
          </cell>
        </row>
        <row r="21">
          <cell r="V21">
            <v>1047854703.2339216</v>
          </cell>
          <cell r="X21">
            <v>1682786000</v>
          </cell>
          <cell r="AD21">
            <v>1208162400</v>
          </cell>
        </row>
        <row r="73">
          <cell r="V73">
            <v>203088393.29504678</v>
          </cell>
          <cell r="X73">
            <v>260760335</v>
          </cell>
          <cell r="AD73">
            <v>232243200</v>
          </cell>
        </row>
        <row r="75">
          <cell r="V75">
            <v>187993583.89722392</v>
          </cell>
          <cell r="X75">
            <v>196786907</v>
          </cell>
          <cell r="AD75">
            <v>232243200</v>
          </cell>
        </row>
      </sheetData>
      <sheetData sheetId="13">
        <row r="18">
          <cell r="Y18">
            <v>20771508</v>
          </cell>
          <cell r="AE18">
            <v>22867800.637545921</v>
          </cell>
          <cell r="AL18">
            <v>28616.639999999999</v>
          </cell>
        </row>
        <row r="20">
          <cell r="Y20">
            <v>2109083</v>
          </cell>
          <cell r="AL20">
            <v>2088.81</v>
          </cell>
        </row>
        <row r="21">
          <cell r="Y21">
            <v>3249052</v>
          </cell>
          <cell r="AE21">
            <v>2758648.6292883032</v>
          </cell>
          <cell r="AL21">
            <v>2820.32</v>
          </cell>
        </row>
        <row r="22">
          <cell r="Y22">
            <v>47937499</v>
          </cell>
          <cell r="AE22">
            <v>48974808.263098061</v>
          </cell>
          <cell r="AL22">
            <v>56513.5</v>
          </cell>
        </row>
        <row r="75">
          <cell r="Y75">
            <v>6506140</v>
          </cell>
          <cell r="AE75">
            <v>7113142.7271947786</v>
          </cell>
          <cell r="AL75">
            <v>7227.8329999999996</v>
          </cell>
        </row>
        <row r="77">
          <cell r="Y77">
            <v>8988854</v>
          </cell>
          <cell r="AE77">
            <v>10482587.96597451</v>
          </cell>
          <cell r="AL77">
            <v>10931.687</v>
          </cell>
        </row>
      </sheetData>
      <sheetData sheetId="14">
        <row r="16">
          <cell r="AB16">
            <v>1051050</v>
          </cell>
          <cell r="AH16">
            <v>1225809.584</v>
          </cell>
          <cell r="AL16">
            <v>1296240</v>
          </cell>
        </row>
        <row r="18">
          <cell r="AB18">
            <v>229100</v>
          </cell>
          <cell r="AH18">
            <v>75000</v>
          </cell>
          <cell r="AL18">
            <v>97320</v>
          </cell>
        </row>
        <row r="19">
          <cell r="AB19">
            <v>1816020</v>
          </cell>
          <cell r="AH19">
            <v>2116416.5929999999</v>
          </cell>
          <cell r="AL19">
            <v>2172030</v>
          </cell>
        </row>
        <row r="88">
          <cell r="AB88">
            <v>417726.89399999991</v>
          </cell>
          <cell r="AH88">
            <v>461044.96547683905</v>
          </cell>
          <cell r="AL88">
            <v>484429.02300000004</v>
          </cell>
        </row>
        <row r="90">
          <cell r="AB90">
            <v>382198.14299999998</v>
          </cell>
          <cell r="AH90">
            <v>342808.55534803512</v>
          </cell>
          <cell r="AL90">
            <v>457118.94399999996</v>
          </cell>
        </row>
      </sheetData>
      <sheetData sheetId="15">
        <row r="17">
          <cell r="Z17">
            <v>741765.14302617148</v>
          </cell>
          <cell r="AJ17">
            <v>803114.76063632581</v>
          </cell>
          <cell r="AP17">
            <v>858243393390.93066</v>
          </cell>
        </row>
        <row r="20">
          <cell r="Z20">
            <v>48900.063204884675</v>
          </cell>
          <cell r="AJ20">
            <v>62785.21303223967</v>
          </cell>
          <cell r="AP20">
            <v>66395717690.027641</v>
          </cell>
        </row>
        <row r="21">
          <cell r="AP21"/>
        </row>
        <row r="22">
          <cell r="Z22">
            <v>1098675.4250601563</v>
          </cell>
          <cell r="AJ22">
            <v>1219451.5245332993</v>
          </cell>
          <cell r="AP22">
            <v>1282453265583.1243</v>
          </cell>
        </row>
        <row r="88">
          <cell r="Z88">
            <v>229771.98661847878</v>
          </cell>
          <cell r="AJ88">
            <v>261199.59354225383</v>
          </cell>
          <cell r="AP88">
            <v>274982658054.83643</v>
          </cell>
        </row>
        <row r="90">
          <cell r="Z90">
            <v>218712.76163963685</v>
          </cell>
          <cell r="AJ90">
            <v>256499.4875413987</v>
          </cell>
          <cell r="AP90">
            <v>273800514061.91299</v>
          </cell>
        </row>
      </sheetData>
      <sheetData sheetId="16">
        <row r="17">
          <cell r="Y17">
            <v>9655.1200000000008</v>
          </cell>
          <cell r="AE17">
            <v>12043.72</v>
          </cell>
          <cell r="AJ17">
            <v>12075.67</v>
          </cell>
        </row>
        <row r="21">
          <cell r="Y21">
            <v>2152.79</v>
          </cell>
          <cell r="AE21">
            <v>3520.9</v>
          </cell>
          <cell r="AJ21">
            <v>2988.49</v>
          </cell>
        </row>
        <row r="22">
          <cell r="Y22">
            <v>334.97</v>
          </cell>
          <cell r="AJ22">
            <v>385.26</v>
          </cell>
        </row>
        <row r="23">
          <cell r="Y23">
            <v>13775.38</v>
          </cell>
          <cell r="AE23">
            <v>17584.78</v>
          </cell>
          <cell r="AJ23">
            <v>18191.079999999998</v>
          </cell>
        </row>
        <row r="87">
          <cell r="Y87">
            <v>1945.1</v>
          </cell>
          <cell r="AE87">
            <v>2164.0990000000002</v>
          </cell>
          <cell r="AJ87">
            <v>2153.2570000000001</v>
          </cell>
        </row>
        <row r="89">
          <cell r="Y89">
            <v>1908</v>
          </cell>
          <cell r="AE89">
            <v>2164.0990000000002</v>
          </cell>
          <cell r="AJ89">
            <v>2153.2570000000001</v>
          </cell>
        </row>
      </sheetData>
      <sheetData sheetId="17">
        <row r="16">
          <cell r="Y16">
            <v>2341300</v>
          </cell>
          <cell r="AE16">
            <v>2152700</v>
          </cell>
          <cell r="AN16">
            <v>2194992</v>
          </cell>
        </row>
        <row r="18">
          <cell r="Y18">
            <v>595600</v>
          </cell>
          <cell r="AE18">
            <v>726100</v>
          </cell>
          <cell r="AN18">
            <v>1027000</v>
          </cell>
        </row>
        <row r="19">
          <cell r="Y19">
            <v>4451500</v>
          </cell>
          <cell r="AE19">
            <v>4363800</v>
          </cell>
          <cell r="AN19">
            <v>4513500</v>
          </cell>
        </row>
        <row r="75">
          <cell r="Y75">
            <v>513456.64598784898</v>
          </cell>
          <cell r="AE75">
            <v>623469.31707061583</v>
          </cell>
          <cell r="AN75">
            <v>672974</v>
          </cell>
        </row>
        <row r="77">
          <cell r="Y77">
            <v>446177.55113604077</v>
          </cell>
          <cell r="AE77">
            <v>546697.27287363191</v>
          </cell>
          <cell r="AN77">
            <v>597341</v>
          </cell>
        </row>
      </sheetData>
      <sheetData sheetId="18">
        <row r="16">
          <cell r="O16">
            <v>512882980635</v>
          </cell>
          <cell r="X16">
            <v>542460000000</v>
          </cell>
          <cell r="AC16">
            <v>553000000000</v>
          </cell>
        </row>
        <row r="20">
          <cell r="O20">
            <v>39041147000</v>
          </cell>
          <cell r="X20">
            <v>192238000000</v>
          </cell>
          <cell r="AC20">
            <v>515715000000</v>
          </cell>
        </row>
        <row r="21">
          <cell r="O21">
            <v>759630561866</v>
          </cell>
          <cell r="X21">
            <v>966110000000</v>
          </cell>
          <cell r="AC21">
            <v>1343034000000</v>
          </cell>
        </row>
        <row r="100">
          <cell r="O100">
            <v>145241633251</v>
          </cell>
          <cell r="X100">
            <v>142546514740</v>
          </cell>
          <cell r="AC100">
            <v>140811412140</v>
          </cell>
        </row>
        <row r="102">
          <cell r="O102">
            <v>131466175651</v>
          </cell>
          <cell r="X102">
            <v>123407418740</v>
          </cell>
          <cell r="AC102">
            <v>123897107140</v>
          </cell>
        </row>
      </sheetData>
      <sheetData sheetId="19">
        <row r="16">
          <cell r="Y16">
            <v>1082236035782</v>
          </cell>
          <cell r="AD16">
            <v>1101097481253</v>
          </cell>
          <cell r="AP16">
            <v>893629000000</v>
          </cell>
        </row>
        <row r="18">
          <cell r="Y18">
            <v>22625000000</v>
          </cell>
          <cell r="AD18">
            <v>27600000000</v>
          </cell>
          <cell r="AP18">
            <v>146000000000</v>
          </cell>
        </row>
        <row r="19">
          <cell r="Y19">
            <v>2454717036830</v>
          </cell>
          <cell r="AD19">
            <v>2107117000000</v>
          </cell>
          <cell r="AP19">
            <v>1303629000000</v>
          </cell>
        </row>
        <row r="72">
          <cell r="Y72">
            <v>290263782879</v>
          </cell>
          <cell r="AD72">
            <v>286715236172</v>
          </cell>
          <cell r="AP72">
            <v>227445928146</v>
          </cell>
        </row>
        <row r="74">
          <cell r="Y74">
            <v>200586782879</v>
          </cell>
          <cell r="AD74">
            <v>227165236172</v>
          </cell>
          <cell r="AP74">
            <v>205703928146</v>
          </cell>
        </row>
      </sheetData>
      <sheetData sheetId="20">
        <row r="12">
          <cell r="V12">
            <v>3304331.8046811731</v>
          </cell>
          <cell r="AK12">
            <v>3204907.0219999999</v>
          </cell>
          <cell r="AQ12">
            <v>3257363.5359827154</v>
          </cell>
        </row>
        <row r="26">
          <cell r="V26"/>
          <cell r="AK26"/>
          <cell r="AQ26"/>
        </row>
        <row r="27">
          <cell r="V27">
            <v>1255498.1933836939</v>
          </cell>
          <cell r="AK27">
            <v>1973416.8189999999</v>
          </cell>
          <cell r="AQ27">
            <v>2152091.1736534196</v>
          </cell>
        </row>
        <row r="29">
          <cell r="V29">
            <v>5251627.177938899</v>
          </cell>
          <cell r="AK29">
            <v>6706001.0389999999</v>
          </cell>
          <cell r="AQ29">
            <v>6881286.1859408226</v>
          </cell>
        </row>
        <row r="112">
          <cell r="V112">
            <v>1026270.834977161</v>
          </cell>
          <cell r="AK112">
            <v>1002650.577258</v>
          </cell>
          <cell r="AQ112">
            <v>1150609.1311229179</v>
          </cell>
        </row>
        <row r="114">
          <cell r="V114">
            <v>975945.49735258229</v>
          </cell>
          <cell r="AK114">
            <v>916314.88160700002</v>
          </cell>
          <cell r="AQ114">
            <v>1057859.2003762939</v>
          </cell>
        </row>
      </sheetData>
      <sheetData sheetId="21">
        <row r="16">
          <cell r="O16">
            <v>76978002</v>
          </cell>
          <cell r="U16">
            <v>78432973</v>
          </cell>
          <cell r="X16">
            <v>82287306</v>
          </cell>
        </row>
        <row r="18">
          <cell r="O18">
            <v>17001958</v>
          </cell>
          <cell r="U18">
            <v>27161123</v>
          </cell>
          <cell r="X18">
            <v>26519619</v>
          </cell>
        </row>
        <row r="19">
          <cell r="O19">
            <v>125099652</v>
          </cell>
          <cell r="U19">
            <v>131646000</v>
          </cell>
          <cell r="X19">
            <v>132798032</v>
          </cell>
        </row>
        <row r="69">
          <cell r="O69">
            <v>18158305.583259799</v>
          </cell>
          <cell r="U69">
            <v>18330063.07014031</v>
          </cell>
          <cell r="X69">
            <v>19424306.61043191</v>
          </cell>
        </row>
      </sheetData>
      <sheetData sheetId="22">
        <row r="16">
          <cell r="Y16">
            <v>3556215.9</v>
          </cell>
          <cell r="AE16">
            <v>3680329.48</v>
          </cell>
          <cell r="AI16">
            <v>5579633.764161</v>
          </cell>
        </row>
        <row r="20">
          <cell r="Y20">
            <v>230128.1</v>
          </cell>
          <cell r="AE20">
            <v>150279.9</v>
          </cell>
          <cell r="AI20">
            <v>190526.36939499999</v>
          </cell>
        </row>
        <row r="21">
          <cell r="Y21">
            <v>4124331</v>
          </cell>
          <cell r="AE21">
            <v>4375045.6870000008</v>
          </cell>
          <cell r="AI21">
            <v>6266942.5204489995</v>
          </cell>
        </row>
        <row r="84">
          <cell r="Y84">
            <v>794877.04115200008</v>
          </cell>
          <cell r="AE84">
            <v>810057.82199999993</v>
          </cell>
          <cell r="AI84">
            <v>1055717.4849760002</v>
          </cell>
        </row>
        <row r="86">
          <cell r="Y86">
            <v>763577.44115199998</v>
          </cell>
          <cell r="AE86">
            <v>804775.19499999995</v>
          </cell>
          <cell r="AI86">
            <v>1006741.7933960001</v>
          </cell>
        </row>
      </sheetData>
      <sheetData sheetId="23">
        <row r="17">
          <cell r="AC17">
            <v>10159933.109271191</v>
          </cell>
          <cell r="AR17">
            <v>8212418417</v>
          </cell>
        </row>
        <row r="19">
          <cell r="AC19">
            <v>3603725.8908619653</v>
          </cell>
          <cell r="AR19"/>
        </row>
        <row r="20">
          <cell r="AC20"/>
          <cell r="AR20">
            <v>4148583270</v>
          </cell>
        </row>
        <row r="21">
          <cell r="AC21">
            <v>14522788.875896748</v>
          </cell>
          <cell r="AR21">
            <v>13041975453</v>
          </cell>
        </row>
        <row r="90">
          <cell r="AC90">
            <v>1303527.9048885112</v>
          </cell>
          <cell r="AR90">
            <v>1902900247</v>
          </cell>
        </row>
        <row r="92">
          <cell r="AC92">
            <v>1222899.9019162159</v>
          </cell>
          <cell r="AR92">
            <v>1902900247</v>
          </cell>
        </row>
      </sheetData>
      <sheetData sheetId="24">
        <row r="17">
          <cell r="V17">
            <v>32676505777</v>
          </cell>
          <cell r="AK17">
            <v>37686791035</v>
          </cell>
        </row>
        <row r="21">
          <cell r="V21">
            <v>10770439587</v>
          </cell>
          <cell r="AF21">
            <v>13283516710</v>
          </cell>
          <cell r="AK21">
            <v>15091615959</v>
          </cell>
        </row>
        <row r="22">
          <cell r="V22">
            <v>0</v>
          </cell>
          <cell r="AF22">
            <v>0</v>
          </cell>
          <cell r="AK22"/>
        </row>
        <row r="23">
          <cell r="V23">
            <v>51125042600</v>
          </cell>
          <cell r="AF23">
            <v>51416499435</v>
          </cell>
          <cell r="AK23">
            <v>59171734232</v>
          </cell>
        </row>
        <row r="87">
          <cell r="V87">
            <v>9650139341.0978603</v>
          </cell>
          <cell r="AF87">
            <v>737013575</v>
          </cell>
          <cell r="AK87">
            <v>11992098499.988785</v>
          </cell>
        </row>
      </sheetData>
      <sheetData sheetId="25">
        <row r="16">
          <cell r="Y16">
            <v>7737400000</v>
          </cell>
          <cell r="AJ16">
            <v>9906300000</v>
          </cell>
          <cell r="AP16">
            <v>10935006571.231808</v>
          </cell>
        </row>
        <row r="19">
          <cell r="Y19">
            <v>942800000</v>
          </cell>
          <cell r="AJ19">
            <v>756300000</v>
          </cell>
          <cell r="AP19">
            <v>775855210.85486376</v>
          </cell>
        </row>
        <row r="20">
          <cell r="Y20">
            <v>12362270000</v>
          </cell>
          <cell r="AJ20">
            <v>16057600000</v>
          </cell>
          <cell r="AP20">
            <v>20410925565.939487</v>
          </cell>
        </row>
        <row r="76">
          <cell r="Y76">
            <v>1635243392.0340183</v>
          </cell>
          <cell r="AJ76">
            <v>2242930000</v>
          </cell>
          <cell r="AP76">
            <v>2228326665.2024517</v>
          </cell>
        </row>
        <row r="78">
          <cell r="Y78">
            <v>1488373179.3152668</v>
          </cell>
          <cell r="AJ78">
            <v>1916560000</v>
          </cell>
          <cell r="AP78">
            <v>1938165243.9672186</v>
          </cell>
        </row>
      </sheetData>
      <sheetData sheetId="26">
        <row r="17">
          <cell r="AA17">
            <v>141152169</v>
          </cell>
          <cell r="AJ17">
            <v>173373477</v>
          </cell>
          <cell r="AP17">
            <v>202537177.17886022</v>
          </cell>
        </row>
        <row r="19">
          <cell r="AA19">
            <v>20251831</v>
          </cell>
          <cell r="AJ19">
            <v>14828323</v>
          </cell>
          <cell r="AP19"/>
        </row>
        <row r="20">
          <cell r="AP20"/>
        </row>
        <row r="21">
          <cell r="AA21">
            <v>192068882</v>
          </cell>
          <cell r="AJ21">
            <v>246820058</v>
          </cell>
          <cell r="AP21">
            <v>264195980.00384593</v>
          </cell>
        </row>
        <row r="127">
          <cell r="AA127">
            <v>34429662.558004782</v>
          </cell>
          <cell r="AJ127">
            <v>45738084.439739093</v>
          </cell>
          <cell r="AP127">
            <v>44259780.644277483</v>
          </cell>
        </row>
        <row r="129">
          <cell r="AA129">
            <v>31982644.558004785</v>
          </cell>
          <cell r="AJ129">
            <v>44368417.439739086</v>
          </cell>
          <cell r="AP129">
            <v>42536366.030615978</v>
          </cell>
        </row>
      </sheetData>
      <sheetData sheetId="27">
        <row r="18">
          <cell r="AE18">
            <v>60159690214.176003</v>
          </cell>
          <cell r="AH18">
            <v>72207480543.100006</v>
          </cell>
          <cell r="AN18">
            <v>74337865369.295807</v>
          </cell>
        </row>
        <row r="22">
          <cell r="AE22">
            <v>1637612356.4533331</v>
          </cell>
          <cell r="AH22"/>
          <cell r="AN22">
            <v>1949106327.2</v>
          </cell>
        </row>
        <row r="23">
          <cell r="AE23"/>
          <cell r="AH23">
            <v>11472250264.59</v>
          </cell>
          <cell r="AN23"/>
        </row>
        <row r="24">
          <cell r="AE24">
            <v>69674038938.202667</v>
          </cell>
          <cell r="AH24">
            <v>106626681806.39001</v>
          </cell>
          <cell r="AN24">
            <v>105641636197.76598</v>
          </cell>
        </row>
        <row r="106">
          <cell r="AE106">
            <v>12139735830.512434</v>
          </cell>
          <cell r="AH106">
            <v>14845501886.802258</v>
          </cell>
          <cell r="AN106">
            <v>17567841638.52005</v>
          </cell>
        </row>
        <row r="108">
          <cell r="AE108">
            <v>11887229058.662283</v>
          </cell>
          <cell r="AH108">
            <v>11722634896.15274</v>
          </cell>
          <cell r="AN108">
            <v>14271638333.130001</v>
          </cell>
        </row>
      </sheetData>
      <sheetData sheetId="28">
        <row r="20">
          <cell r="Y20">
            <v>120729568301.90001</v>
          </cell>
          <cell r="AJ20">
            <v>126078487721</v>
          </cell>
          <cell r="AP20">
            <v>140356110772</v>
          </cell>
        </row>
        <row r="23">
          <cell r="Y23">
            <v>17658279667.299999</v>
          </cell>
          <cell r="AJ23">
            <v>20079695567</v>
          </cell>
          <cell r="AP23">
            <v>22759438799</v>
          </cell>
        </row>
        <row r="24">
          <cell r="Y24">
            <v>36727282094.300003</v>
          </cell>
          <cell r="AJ24">
            <v>46768940947</v>
          </cell>
          <cell r="AP24">
            <v>52721504299</v>
          </cell>
        </row>
        <row r="25">
          <cell r="Y25">
            <v>227284482738.79999</v>
          </cell>
          <cell r="AJ25">
            <v>215808776000</v>
          </cell>
          <cell r="AP25">
            <v>235631436876</v>
          </cell>
        </row>
        <row r="93">
          <cell r="Y93">
            <v>31145800359.400002</v>
          </cell>
          <cell r="AJ93">
            <v>32144727983</v>
          </cell>
          <cell r="AP93">
            <v>34841961246</v>
          </cell>
        </row>
      </sheetData>
      <sheetData sheetId="29"/>
      <sheetData sheetId="30">
        <row r="17">
          <cell r="F17">
            <v>18105.11</v>
          </cell>
          <cell r="H17">
            <v>16980</v>
          </cell>
          <cell r="O17">
            <v>17300</v>
          </cell>
        </row>
        <row r="19">
          <cell r="F19">
            <v>6721.18</v>
          </cell>
          <cell r="H19">
            <v>1881</v>
          </cell>
          <cell r="O19">
            <v>2857.4119999999998</v>
          </cell>
        </row>
        <row r="20">
          <cell r="F20">
            <v>27712.32</v>
          </cell>
          <cell r="H20">
            <v>32402</v>
          </cell>
          <cell r="O20">
            <v>32809.411999999997</v>
          </cell>
        </row>
        <row r="96">
          <cell r="H96">
            <v>4538.1399999999994</v>
          </cell>
          <cell r="O96">
            <v>4187.9260000000004</v>
          </cell>
        </row>
        <row r="98">
          <cell r="H98">
            <v>2715.4</v>
          </cell>
        </row>
      </sheetData>
      <sheetData sheetId="31">
        <row r="15">
          <cell r="Y15">
            <v>15321.1</v>
          </cell>
          <cell r="AH15">
            <v>14051.2</v>
          </cell>
          <cell r="AN15">
            <v>14914.1</v>
          </cell>
        </row>
        <row r="17">
          <cell r="Y17">
            <v>10906.6</v>
          </cell>
          <cell r="AH17">
            <v>12008.199999999999</v>
          </cell>
          <cell r="AN17">
            <v>11785.6</v>
          </cell>
        </row>
        <row r="20">
          <cell r="Y20">
            <v>274.10000000000002</v>
          </cell>
          <cell r="AH20">
            <v>254.6</v>
          </cell>
          <cell r="AN20">
            <v>327.39999999999998</v>
          </cell>
        </row>
        <row r="21">
          <cell r="Y21"/>
          <cell r="AH21"/>
          <cell r="AN21"/>
        </row>
        <row r="87">
          <cell r="Y87">
            <v>2434.9068230654852</v>
          </cell>
          <cell r="AH87">
            <v>2536.5141600387892</v>
          </cell>
          <cell r="AN87">
            <v>2663.8905562155064</v>
          </cell>
        </row>
        <row r="89">
          <cell r="Y89">
            <v>2348.9068230654852</v>
          </cell>
          <cell r="AH89">
            <v>2403.4054320387891</v>
          </cell>
          <cell r="AN89">
            <v>2555.7583648037416</v>
          </cell>
        </row>
      </sheetData>
      <sheetData sheetId="32">
        <row r="17">
          <cell r="AA17">
            <v>548.73364000000004</v>
          </cell>
          <cell r="AL17">
            <v>456.471</v>
          </cell>
          <cell r="AR17">
            <v>419.19499999999994</v>
          </cell>
        </row>
        <row r="20">
          <cell r="AA20">
            <v>8.6266160000000003</v>
          </cell>
          <cell r="AL20">
            <v>0</v>
          </cell>
          <cell r="AR20">
            <v>2.9580000000000002</v>
          </cell>
        </row>
        <row r="21">
          <cell r="AA21"/>
          <cell r="AR21">
            <v>10.059000000000001</v>
          </cell>
        </row>
        <row r="22">
          <cell r="AA22">
            <v>559.44774700000005</v>
          </cell>
          <cell r="AL22">
            <v>555.779</v>
          </cell>
          <cell r="AR22">
            <v>473.90199999999999</v>
          </cell>
        </row>
        <row r="87">
          <cell r="AA87">
            <v>81.543975000000003</v>
          </cell>
          <cell r="AL87">
            <v>90.507687402135829</v>
          </cell>
          <cell r="AR87">
            <v>75.410592539027348</v>
          </cell>
        </row>
        <row r="89">
          <cell r="AA89">
            <v>81.543975000000003</v>
          </cell>
          <cell r="AL89">
            <v>90.507687402135829</v>
          </cell>
          <cell r="AR89">
            <v>75.410592539027348</v>
          </cell>
        </row>
      </sheetData>
      <sheetData sheetId="33">
        <row r="18">
          <cell r="Y18">
            <v>2989700000</v>
          </cell>
          <cell r="AH18">
            <v>4331154760.5734196</v>
          </cell>
          <cell r="AN18">
            <v>4544734608.1316137</v>
          </cell>
        </row>
        <row r="22">
          <cell r="Y22">
            <v>278100000</v>
          </cell>
          <cell r="AH22">
            <v>336270000</v>
          </cell>
          <cell r="AN22">
            <v>0</v>
          </cell>
        </row>
        <row r="23">
          <cell r="Y23">
            <v>351000000</v>
          </cell>
          <cell r="AH23"/>
          <cell r="AN23">
            <v>406949716.06800646</v>
          </cell>
        </row>
        <row r="24">
          <cell r="Y24">
            <v>5240400000</v>
          </cell>
          <cell r="AH24">
            <v>5989363473.5442095</v>
          </cell>
          <cell r="AN24">
            <v>6244335893.8745327</v>
          </cell>
        </row>
        <row r="101">
          <cell r="Y101">
            <v>1011394652.520523</v>
          </cell>
          <cell r="AH101">
            <v>1074785481.9900002</v>
          </cell>
          <cell r="AN101">
            <v>1305051703.8552775</v>
          </cell>
        </row>
        <row r="103">
          <cell r="Y103">
            <v>811183502.41052294</v>
          </cell>
          <cell r="AH103">
            <v>679077813.70000005</v>
          </cell>
          <cell r="AN103">
            <v>1089764734.0211213</v>
          </cell>
        </row>
      </sheetData>
      <sheetData sheetId="34">
        <row r="17">
          <cell r="Y17">
            <v>595392</v>
          </cell>
          <cell r="AJ17">
            <v>679760</v>
          </cell>
          <cell r="AM17">
            <v>788421</v>
          </cell>
        </row>
        <row r="21">
          <cell r="Y21">
            <v>132577</v>
          </cell>
          <cell r="AJ21">
            <v>195197.93450599999</v>
          </cell>
          <cell r="AM21">
            <v>177319</v>
          </cell>
        </row>
        <row r="22">
          <cell r="Y22"/>
          <cell r="AJ22"/>
          <cell r="AM22"/>
        </row>
        <row r="23">
          <cell r="Y23">
            <v>895908</v>
          </cell>
          <cell r="AJ23">
            <v>1130769.7149673023</v>
          </cell>
          <cell r="AM23">
            <v>1319314</v>
          </cell>
        </row>
        <row r="91">
          <cell r="Y91">
            <v>180389.07230403333</v>
          </cell>
          <cell r="AJ91">
            <v>157259.99459944191</v>
          </cell>
          <cell r="AM91">
            <v>217029.70304442203</v>
          </cell>
        </row>
        <row r="93">
          <cell r="Y93">
            <v>169656.8686560333</v>
          </cell>
          <cell r="AJ93">
            <v>135968.31891427311</v>
          </cell>
          <cell r="AM93">
            <v>180232.70304442203</v>
          </cell>
        </row>
      </sheetData>
      <sheetData sheetId="35">
        <row r="18">
          <cell r="Y18">
            <v>1312369401000</v>
          </cell>
          <cell r="AM18">
            <v>1243761990000</v>
          </cell>
          <cell r="AS18">
            <v>1174106000000</v>
          </cell>
        </row>
        <row r="21">
          <cell r="Y21"/>
          <cell r="AM21"/>
          <cell r="AS21"/>
        </row>
        <row r="22">
          <cell r="Y22">
            <v>160010590000</v>
          </cell>
          <cell r="AS22"/>
        </row>
        <row r="23">
          <cell r="Y23">
            <v>2016072296000</v>
          </cell>
          <cell r="AM23">
            <v>1633972005000</v>
          </cell>
          <cell r="AS23">
            <v>1860646000000</v>
          </cell>
        </row>
        <row r="101">
          <cell r="Y101">
            <v>307518348258.26581</v>
          </cell>
          <cell r="AM101">
            <v>334473556141.31879</v>
          </cell>
          <cell r="AS101">
            <v>333900303255.03998</v>
          </cell>
        </row>
        <row r="103">
          <cell r="Y103">
            <v>303735410258.26581</v>
          </cell>
        </row>
      </sheetData>
      <sheetData sheetId="36">
        <row r="16">
          <cell r="W16">
            <v>261190</v>
          </cell>
          <cell r="AG16">
            <v>272600</v>
          </cell>
          <cell r="AK16">
            <v>286300</v>
          </cell>
        </row>
        <row r="20">
          <cell r="W20">
            <v>17200</v>
          </cell>
          <cell r="AG20">
            <v>18000</v>
          </cell>
          <cell r="AK20">
            <v>26500</v>
          </cell>
        </row>
        <row r="21">
          <cell r="W21">
            <v>488640</v>
          </cell>
          <cell r="AG21">
            <v>488860</v>
          </cell>
          <cell r="AK21">
            <v>540600</v>
          </cell>
        </row>
        <row r="92">
          <cell r="W92">
            <v>60484.87371</v>
          </cell>
          <cell r="AG92">
            <v>72231.735547000004</v>
          </cell>
          <cell r="AK92">
            <v>77339.710999999996</v>
          </cell>
        </row>
        <row r="94">
          <cell r="W94">
            <v>58040.87371</v>
          </cell>
          <cell r="AG94">
            <v>70894.697046999994</v>
          </cell>
          <cell r="AK94">
            <v>71422.510999999984</v>
          </cell>
        </row>
      </sheetData>
      <sheetData sheetId="37">
        <row r="17">
          <cell r="AA17">
            <v>30566100000</v>
          </cell>
          <cell r="AL17">
            <v>33550100000</v>
          </cell>
          <cell r="AR17">
            <v>38685100000</v>
          </cell>
        </row>
        <row r="20">
          <cell r="AA20">
            <v>1747200000</v>
          </cell>
          <cell r="AL20">
            <v>1929000000</v>
          </cell>
          <cell r="AR20">
            <v>1462767363.3987951</v>
          </cell>
        </row>
        <row r="21">
          <cell r="AA21"/>
          <cell r="AL21"/>
          <cell r="AR21"/>
        </row>
        <row r="22">
          <cell r="AA22">
            <v>32313300000</v>
          </cell>
          <cell r="AL22">
            <v>35479100000</v>
          </cell>
          <cell r="AR22">
            <v>40147867363.398796</v>
          </cell>
        </row>
        <row r="100">
          <cell r="AA100">
            <v>8929463800</v>
          </cell>
          <cell r="AL100">
            <v>8929463800</v>
          </cell>
          <cell r="AR100">
            <v>10167586722.195301</v>
          </cell>
        </row>
        <row r="102">
          <cell r="AA102">
            <v>8674212900</v>
          </cell>
          <cell r="AL102">
            <v>8674212900</v>
          </cell>
          <cell r="AR102">
            <v>9917023712.0420055</v>
          </cell>
        </row>
      </sheetData>
      <sheetData sheetId="38">
        <row r="18">
          <cell r="Y18">
            <v>124777.80000000002</v>
          </cell>
          <cell r="AH18">
            <v>146956.53333333333</v>
          </cell>
          <cell r="AN18">
            <v>171159.45993743071</v>
          </cell>
        </row>
        <row r="21">
          <cell r="Y21">
            <v>16308.9</v>
          </cell>
          <cell r="AH21">
            <v>18740.933333333334</v>
          </cell>
          <cell r="AN21">
            <v>23094.191833315388</v>
          </cell>
        </row>
        <row r="22">
          <cell r="Y22">
            <v>29269.5</v>
          </cell>
          <cell r="AH22"/>
          <cell r="AN22">
            <v>0</v>
          </cell>
        </row>
        <row r="23">
          <cell r="Y23">
            <v>220626.80000000002</v>
          </cell>
          <cell r="AH23">
            <v>202380.53333333333</v>
          </cell>
          <cell r="AN23">
            <v>231868.22658218889</v>
          </cell>
        </row>
        <row r="87">
          <cell r="Y87">
            <v>44146.261999999995</v>
          </cell>
          <cell r="AH87">
            <v>46275.735999999997</v>
          </cell>
          <cell r="AN87">
            <v>48827.553306957765</v>
          </cell>
        </row>
        <row r="89">
          <cell r="Y89">
            <v>38122.250999999997</v>
          </cell>
          <cell r="AH89">
            <v>41381.015999999996</v>
          </cell>
        </row>
      </sheetData>
      <sheetData sheetId="39">
        <row r="17">
          <cell r="Y17">
            <v>362313767</v>
          </cell>
          <cell r="AH17">
            <v>508590600</v>
          </cell>
          <cell r="AL17">
            <v>699586300</v>
          </cell>
        </row>
        <row r="20">
          <cell r="Y20">
            <v>8673040</v>
          </cell>
          <cell r="AH20">
            <v>10023700</v>
          </cell>
          <cell r="AL20">
            <v>25373500</v>
          </cell>
        </row>
        <row r="21">
          <cell r="Y21"/>
          <cell r="AH21"/>
          <cell r="AL21"/>
        </row>
        <row r="22">
          <cell r="Y22">
            <v>493337237</v>
          </cell>
          <cell r="AH22">
            <v>727363700</v>
          </cell>
          <cell r="AL22">
            <v>963622200</v>
          </cell>
        </row>
        <row r="91">
          <cell r="Y91">
            <v>94599786.66094166</v>
          </cell>
          <cell r="AH91">
            <v>124337910.95790999</v>
          </cell>
          <cell r="AL91">
            <v>136876985.92864323</v>
          </cell>
        </row>
        <row r="93">
          <cell r="Y93">
            <v>93749549.353941664</v>
          </cell>
          <cell r="AH93">
            <v>111931307.95790999</v>
          </cell>
          <cell r="AL93">
            <v>122283331.92864321</v>
          </cell>
        </row>
      </sheetData>
      <sheetData sheetId="40">
        <row r="17">
          <cell r="V17">
            <v>46075.263999999996</v>
          </cell>
          <cell r="AB17">
            <v>58701.385189389999</v>
          </cell>
          <cell r="AF17">
            <v>55306.37889</v>
          </cell>
        </row>
        <row r="20">
          <cell r="V20">
            <v>3457.248</v>
          </cell>
          <cell r="AB20">
            <v>4385</v>
          </cell>
          <cell r="AF20">
            <v>3988.9596280000001</v>
          </cell>
        </row>
        <row r="21">
          <cell r="V21">
            <v>8673.3933333333334</v>
          </cell>
          <cell r="AB21">
            <v>9835.3160489999991</v>
          </cell>
          <cell r="AF21">
            <v>12822.825015</v>
          </cell>
        </row>
        <row r="22">
          <cell r="V22">
            <v>76382.093333333323</v>
          </cell>
          <cell r="AB22">
            <v>82048.495140910003</v>
          </cell>
          <cell r="AF22">
            <v>93603.730585999991</v>
          </cell>
        </row>
        <row r="95">
          <cell r="V95">
            <v>15519.222666666665</v>
          </cell>
          <cell r="AB95">
            <v>18061.658881629999</v>
          </cell>
          <cell r="AF95">
            <v>18268.610144710001</v>
          </cell>
        </row>
        <row r="97">
          <cell r="V97">
            <v>10587.353333333333</v>
          </cell>
          <cell r="AB97">
            <v>12052.353757909999</v>
          </cell>
          <cell r="AF97">
            <v>12702.148365459998</v>
          </cell>
        </row>
      </sheetData>
      <sheetData sheetId="41">
        <row r="18">
          <cell r="AA18">
            <v>553.99</v>
          </cell>
          <cell r="AJ18">
            <v>547.9</v>
          </cell>
          <cell r="AP18">
            <v>563.88685786488384</v>
          </cell>
        </row>
        <row r="22">
          <cell r="AA22">
            <v>117.14</v>
          </cell>
          <cell r="AJ22">
            <v>162.88</v>
          </cell>
          <cell r="AP22">
            <v>39.577225858513401</v>
          </cell>
        </row>
        <row r="23">
          <cell r="AA23"/>
          <cell r="AJ23"/>
          <cell r="AP23"/>
        </row>
        <row r="24">
          <cell r="AA24">
            <v>1341.0500000000002</v>
          </cell>
          <cell r="AJ24">
            <v>1363.12</v>
          </cell>
          <cell r="AP24">
            <v>1229.2777824339371</v>
          </cell>
        </row>
        <row r="106">
          <cell r="AA106">
            <v>217.08300619600001</v>
          </cell>
          <cell r="AJ106">
            <v>213.42958016579743</v>
          </cell>
          <cell r="AP106">
            <v>252.60701879538067</v>
          </cell>
        </row>
        <row r="108">
          <cell r="AA108">
            <v>207.456585663</v>
          </cell>
          <cell r="AJ108">
            <v>204.62083707908366</v>
          </cell>
        </row>
      </sheetData>
      <sheetData sheetId="42">
        <row r="17">
          <cell r="AE17">
            <v>158540.40114336228</v>
          </cell>
          <cell r="AH17">
            <v>173614.97000000003</v>
          </cell>
          <cell r="AN17">
            <v>212227.54480380804</v>
          </cell>
        </row>
        <row r="20">
          <cell r="AE20">
            <v>2886.0223034248761</v>
          </cell>
          <cell r="AH20">
            <v>1911.0909999999999</v>
          </cell>
          <cell r="AN20">
            <v>2114.4031054306506</v>
          </cell>
        </row>
        <row r="21">
          <cell r="AH21">
            <v>7533.1880000000001</v>
          </cell>
          <cell r="AN21">
            <v>6390.1229269167488</v>
          </cell>
        </row>
        <row r="22">
          <cell r="AE22">
            <v>229484.61644678714</v>
          </cell>
          <cell r="AH22">
            <v>256070.71000000002</v>
          </cell>
          <cell r="AN22">
            <v>307372.40983615542</v>
          </cell>
        </row>
        <row r="89">
          <cell r="AE89">
            <v>54308.09426610051</v>
          </cell>
          <cell r="AH89">
            <v>54255.924637585253</v>
          </cell>
          <cell r="AN89">
            <v>62253.699343221706</v>
          </cell>
        </row>
        <row r="91">
          <cell r="AE91">
            <v>42384.828482980025</v>
          </cell>
          <cell r="AH91">
            <v>45564.559637585255</v>
          </cell>
          <cell r="AN91">
            <v>56066.66977139136</v>
          </cell>
        </row>
      </sheetData>
      <sheetData sheetId="43">
        <row r="17">
          <cell r="AG17">
            <v>715601.81200000003</v>
          </cell>
          <cell r="AK17">
            <v>535599</v>
          </cell>
          <cell r="AQ17">
            <v>665268</v>
          </cell>
        </row>
        <row r="20">
          <cell r="AG20">
            <v>15942.334423566879</v>
          </cell>
          <cell r="AK20">
            <v>15319</v>
          </cell>
          <cell r="AQ20">
            <v>17374.602163415911</v>
          </cell>
        </row>
        <row r="21">
          <cell r="AG21"/>
          <cell r="AK21"/>
          <cell r="AQ21"/>
        </row>
        <row r="22">
          <cell r="AG22">
            <v>921958.16943369398</v>
          </cell>
          <cell r="AK22">
            <v>761011</v>
          </cell>
          <cell r="AQ22">
            <v>890748.69692645059</v>
          </cell>
        </row>
        <row r="87">
          <cell r="AG87">
            <v>164899.67384227947</v>
          </cell>
          <cell r="AK87">
            <v>166916.33010078676</v>
          </cell>
          <cell r="AQ87">
            <v>179141.78929715004</v>
          </cell>
        </row>
        <row r="89">
          <cell r="AG89">
            <v>155766.00199572701</v>
          </cell>
          <cell r="AK89">
            <v>156438.81910078679</v>
          </cell>
          <cell r="AQ89">
            <v>167869.56144057773</v>
          </cell>
        </row>
      </sheetData>
      <sheetData sheetId="44">
        <row r="16">
          <cell r="V16">
            <v>8183.2</v>
          </cell>
          <cell r="AB16">
            <v>10152.299999999999</v>
          </cell>
          <cell r="AH16">
            <v>11466.1</v>
          </cell>
        </row>
        <row r="19">
          <cell r="V19">
            <v>1264.3</v>
          </cell>
          <cell r="AB19">
            <v>1633.9</v>
          </cell>
          <cell r="AH19">
            <v>1853.3</v>
          </cell>
        </row>
        <row r="20">
          <cell r="V20"/>
          <cell r="AB20"/>
          <cell r="AH20"/>
        </row>
        <row r="21">
          <cell r="V21">
            <v>13572.4</v>
          </cell>
          <cell r="AB21">
            <v>13319.9</v>
          </cell>
          <cell r="AH21">
            <v>16134.1</v>
          </cell>
        </row>
        <row r="88">
          <cell r="V88">
            <v>2228.0340000000001</v>
          </cell>
          <cell r="AB88">
            <v>1425</v>
          </cell>
          <cell r="AH88">
            <v>1488.7</v>
          </cell>
        </row>
        <row r="90">
          <cell r="V90">
            <v>2054.9340000000002</v>
          </cell>
          <cell r="AB90">
            <v>1295.2062394348368</v>
          </cell>
          <cell r="AH90">
            <v>1351.9143663880732</v>
          </cell>
        </row>
      </sheetData>
      <sheetData sheetId="45">
        <row r="17">
          <cell r="Y17">
            <v>870.09999999999991</v>
          </cell>
          <cell r="AJ17">
            <v>997.39999999999986</v>
          </cell>
          <cell r="AO17">
            <v>1089.6000000000001</v>
          </cell>
        </row>
        <row r="21">
          <cell r="Y21">
            <v>56.7</v>
          </cell>
          <cell r="AJ21">
            <v>72.2</v>
          </cell>
          <cell r="AO21">
            <v>86.800000000000011</v>
          </cell>
        </row>
        <row r="22">
          <cell r="Y22">
            <v>88.4</v>
          </cell>
          <cell r="AJ22">
            <v>116.4</v>
          </cell>
          <cell r="AO22">
            <v>160</v>
          </cell>
        </row>
        <row r="23">
          <cell r="Y23">
            <v>1736.1000000000001</v>
          </cell>
          <cell r="AJ23">
            <v>1945.5</v>
          </cell>
          <cell r="AO23">
            <v>2148.8000000000002</v>
          </cell>
        </row>
        <row r="87">
          <cell r="Y87">
            <v>204.8</v>
          </cell>
          <cell r="AJ87">
            <v>213.86760281400001</v>
          </cell>
          <cell r="AO87">
            <v>240.5</v>
          </cell>
        </row>
      </sheetData>
      <sheetData sheetId="46">
        <row r="17">
          <cell r="Y17">
            <v>1324200</v>
          </cell>
          <cell r="AH17">
            <v>1365942</v>
          </cell>
          <cell r="AN17">
            <v>1367440</v>
          </cell>
        </row>
        <row r="20">
          <cell r="Y20">
            <v>34095</v>
          </cell>
          <cell r="AH20">
            <v>38635</v>
          </cell>
          <cell r="AN20">
            <v>33993</v>
          </cell>
        </row>
        <row r="21">
          <cell r="Y21">
            <v>119855</v>
          </cell>
          <cell r="AH21">
            <v>111555</v>
          </cell>
          <cell r="AN21">
            <v>86397</v>
          </cell>
        </row>
        <row r="22">
          <cell r="Y22">
            <v>2538842</v>
          </cell>
          <cell r="AH22">
            <v>2716736</v>
          </cell>
          <cell r="AN22">
            <v>2273514</v>
          </cell>
        </row>
        <row r="86">
          <cell r="Y86">
            <v>398208.54000000004</v>
          </cell>
          <cell r="AH86">
            <v>414552</v>
          </cell>
          <cell r="AN86">
            <v>451214</v>
          </cell>
        </row>
        <row r="88">
          <cell r="Y88">
            <v>315168.14850000001</v>
          </cell>
          <cell r="AH88">
            <v>414552</v>
          </cell>
        </row>
      </sheetData>
      <sheetData sheetId="47">
        <row r="18">
          <cell r="Y18">
            <v>1364231</v>
          </cell>
          <cell r="AH18">
            <v>1360160</v>
          </cell>
          <cell r="AN18">
            <v>1526200</v>
          </cell>
        </row>
        <row r="21">
          <cell r="Y21">
            <v>197690</v>
          </cell>
          <cell r="AH21">
            <v>233850</v>
          </cell>
          <cell r="AN21">
            <v>253730</v>
          </cell>
        </row>
        <row r="22">
          <cell r="Y22">
            <v>414630</v>
          </cell>
          <cell r="AH22">
            <v>504620</v>
          </cell>
          <cell r="AN22">
            <v>575980</v>
          </cell>
        </row>
        <row r="23">
          <cell r="Y23">
            <v>3147089</v>
          </cell>
          <cell r="AH23">
            <v>3304038</v>
          </cell>
          <cell r="AN23">
            <v>3510640</v>
          </cell>
        </row>
        <row r="76">
          <cell r="Y76">
            <v>564390.01938886882</v>
          </cell>
          <cell r="AH76">
            <v>563866.51092100004</v>
          </cell>
          <cell r="AN76">
            <v>689514.58709421253</v>
          </cell>
        </row>
        <row r="78">
          <cell r="Y78">
            <v>479500.30066629557</v>
          </cell>
          <cell r="AH78">
            <v>531366.02297500009</v>
          </cell>
          <cell r="AN78">
            <v>609811.77254040772</v>
          </cell>
        </row>
      </sheetData>
      <sheetData sheetId="48">
        <row r="17">
          <cell r="AB17">
            <v>3097508</v>
          </cell>
          <cell r="AM17">
            <v>3447353.4545454546</v>
          </cell>
          <cell r="AT17">
            <v>4088334</v>
          </cell>
        </row>
        <row r="20">
          <cell r="AB20">
            <v>203372</v>
          </cell>
          <cell r="AM20">
            <v>580444.36363636365</v>
          </cell>
          <cell r="AT20">
            <v>903661</v>
          </cell>
        </row>
        <row r="21">
          <cell r="AB21"/>
          <cell r="AM21"/>
          <cell r="AT21"/>
        </row>
        <row r="22">
          <cell r="AB22">
            <v>4720228.7007609168</v>
          </cell>
          <cell r="AM22">
            <v>5040705.8181818184</v>
          </cell>
          <cell r="AT22">
            <v>5652606</v>
          </cell>
        </row>
        <row r="90">
          <cell r="AB90">
            <v>744795.60359483433</v>
          </cell>
          <cell r="AM90">
            <v>605787.03971520241</v>
          </cell>
          <cell r="AT90">
            <v>641151.8550327993</v>
          </cell>
        </row>
        <row r="92">
          <cell r="AB92">
            <v>714051.60359483433</v>
          </cell>
          <cell r="AM92">
            <v>534872.58516974782</v>
          </cell>
          <cell r="AT92">
            <v>637796.8550327993</v>
          </cell>
        </row>
      </sheetData>
      <sheetData sheetId="49">
        <row r="17">
          <cell r="Y17">
            <v>14727000000</v>
          </cell>
          <cell r="AH17">
            <v>30293000000</v>
          </cell>
          <cell r="AL17">
            <v>39757</v>
          </cell>
        </row>
        <row r="21">
          <cell r="Y21">
            <v>43000000</v>
          </cell>
          <cell r="AH21">
            <v>4000000</v>
          </cell>
          <cell r="AL21">
            <v>702</v>
          </cell>
        </row>
        <row r="22">
          <cell r="Y22"/>
          <cell r="AH22">
            <v>0</v>
          </cell>
          <cell r="AL22"/>
        </row>
        <row r="23">
          <cell r="Y23">
            <v>17527000000</v>
          </cell>
          <cell r="AH23">
            <v>32840000000</v>
          </cell>
          <cell r="AL23">
            <v>46277</v>
          </cell>
        </row>
        <row r="87">
          <cell r="Y87">
            <v>667619908</v>
          </cell>
          <cell r="AH87">
            <v>960000000</v>
          </cell>
          <cell r="AL87">
            <v>1862</v>
          </cell>
        </row>
        <row r="89">
          <cell r="Y89">
            <v>667619908</v>
          </cell>
          <cell r="AH89">
            <v>960000000</v>
          </cell>
          <cell r="AL89">
            <v>1862</v>
          </cell>
        </row>
      </sheetData>
      <sheetData sheetId="50">
        <row r="27">
          <cell r="X27"/>
          <cell r="AG27"/>
          <cell r="AN27"/>
        </row>
        <row r="28">
          <cell r="X28">
            <v>6396.6019999999999</v>
          </cell>
          <cell r="AG28">
            <v>8009.341187</v>
          </cell>
          <cell r="AN28">
            <v>9532.7936555399992</v>
          </cell>
        </row>
        <row r="29">
          <cell r="X29">
            <v>22535.491999999998</v>
          </cell>
          <cell r="AG29">
            <v>29539.603197</v>
          </cell>
          <cell r="AN29">
            <v>25321.674513298</v>
          </cell>
        </row>
        <row r="97">
          <cell r="X97">
            <v>3910.4621764099998</v>
          </cell>
          <cell r="AG97">
            <v>4801.0482469999997</v>
          </cell>
          <cell r="AN97">
            <v>4392.7146081370001</v>
          </cell>
        </row>
      </sheetData>
      <sheetData sheetId="51">
        <row r="17">
          <cell r="Y17">
            <v>393473.46613545821</v>
          </cell>
          <cell r="AH17">
            <v>470200</v>
          </cell>
          <cell r="AN17">
            <v>590800</v>
          </cell>
        </row>
        <row r="20">
          <cell r="Y20"/>
          <cell r="AH20"/>
          <cell r="AN20"/>
        </row>
        <row r="21">
          <cell r="Y21"/>
          <cell r="AH21"/>
          <cell r="AN21"/>
        </row>
        <row r="22">
          <cell r="Y22">
            <v>601541.2950946379</v>
          </cell>
          <cell r="AH22">
            <v>687200</v>
          </cell>
          <cell r="AN22">
            <v>876392.1662352843</v>
          </cell>
        </row>
        <row r="95">
          <cell r="Y95">
            <v>93143.544000000009</v>
          </cell>
          <cell r="AH95">
            <v>98289.334077527354</v>
          </cell>
          <cell r="AL95">
            <v>197290.17600000001</v>
          </cell>
        </row>
        <row r="97">
          <cell r="Y97">
            <v>85676.469818181824</v>
          </cell>
          <cell r="AH97">
            <v>82259.867285788336</v>
          </cell>
          <cell r="AL97">
            <v>136812.20000000001</v>
          </cell>
        </row>
      </sheetData>
      <sheetData sheetId="52">
        <row r="18">
          <cell r="Y18">
            <v>1048550.2528599999</v>
          </cell>
          <cell r="AH18">
            <v>944775.85800000001</v>
          </cell>
          <cell r="AN18">
            <v>862761.91300000006</v>
          </cell>
        </row>
        <row r="22">
          <cell r="Y22"/>
          <cell r="AH22"/>
          <cell r="AN22"/>
        </row>
        <row r="23">
          <cell r="Y23"/>
          <cell r="AH23"/>
          <cell r="AN23"/>
        </row>
        <row r="24">
          <cell r="Y24">
            <v>1629934.8401000001</v>
          </cell>
          <cell r="AH24">
            <v>1184989.0659999999</v>
          </cell>
          <cell r="AN24">
            <v>1159510.3130000001</v>
          </cell>
        </row>
        <row r="92">
          <cell r="Y92">
            <v>133343.18601342628</v>
          </cell>
          <cell r="AH92">
            <v>113650.60611062071</v>
          </cell>
          <cell r="AN92">
            <v>106554.51196757826</v>
          </cell>
        </row>
        <row r="94">
          <cell r="Y94">
            <v>131221.19783342627</v>
          </cell>
          <cell r="AH94">
            <v>112546.99514062071</v>
          </cell>
          <cell r="AN94">
            <v>105503.15196757826</v>
          </cell>
        </row>
      </sheetData>
      <sheetData sheetId="53">
        <row r="17">
          <cell r="Y17">
            <v>517450000000.00006</v>
          </cell>
          <cell r="AE17">
            <v>558129691911.98254</v>
          </cell>
          <cell r="AL17">
            <v>441450000000</v>
          </cell>
        </row>
        <row r="19">
          <cell r="Y19">
            <v>62910000000</v>
          </cell>
          <cell r="AE19">
            <v>70416529110.969559</v>
          </cell>
          <cell r="AL19">
            <v>70990000000</v>
          </cell>
        </row>
        <row r="20">
          <cell r="Y20">
            <v>242446316425.52524</v>
          </cell>
          <cell r="AE20">
            <v>473481362333.07257</v>
          </cell>
          <cell r="AL20">
            <v>393000000000</v>
          </cell>
        </row>
        <row r="21">
          <cell r="Y21">
            <v>1155186316425.5251</v>
          </cell>
          <cell r="AE21">
            <v>1414779018838.4436</v>
          </cell>
          <cell r="AL21">
            <v>1318540000000</v>
          </cell>
        </row>
        <row r="92">
          <cell r="Y92">
            <v>128172002428.87967</v>
          </cell>
          <cell r="AE92">
            <v>137758254674.19998</v>
          </cell>
          <cell r="AL92">
            <v>159753525000</v>
          </cell>
        </row>
        <row r="94">
          <cell r="Y94">
            <v>126012735757.12326</v>
          </cell>
          <cell r="AE94">
            <v>135593063793.93375</v>
          </cell>
          <cell r="AL94">
            <v>146152110000</v>
          </cell>
        </row>
      </sheetData>
      <sheetData sheetId="54">
        <row r="17">
          <cell r="Y17">
            <v>7487000000000</v>
          </cell>
          <cell r="AE17">
            <v>7634000000000</v>
          </cell>
          <cell r="AJ17">
            <v>8655.5</v>
          </cell>
        </row>
        <row r="21">
          <cell r="Y21">
            <v>1682000000000</v>
          </cell>
          <cell r="AE21">
            <v>2324000000000</v>
          </cell>
          <cell r="AJ21">
            <v>2244.1999999999998</v>
          </cell>
        </row>
        <row r="22">
          <cell r="Y22">
            <v>1651000000000</v>
          </cell>
          <cell r="AE22">
            <v>725000000000</v>
          </cell>
          <cell r="AJ22">
            <v>1701.4</v>
          </cell>
        </row>
        <row r="23">
          <cell r="Y23">
            <v>16727000000000</v>
          </cell>
          <cell r="AE23">
            <v>17401000000000</v>
          </cell>
          <cell r="AJ23">
            <v>20167.2</v>
          </cell>
        </row>
        <row r="164">
          <cell r="Y164">
            <v>2021497334552.3054</v>
          </cell>
          <cell r="AE164">
            <v>2266000416473.623</v>
          </cell>
          <cell r="AJ164">
            <v>2312.1847111898978</v>
          </cell>
        </row>
        <row r="166">
          <cell r="Y166">
            <v>1766539334552.3054</v>
          </cell>
          <cell r="AE166">
            <v>1902766416473.6228</v>
          </cell>
          <cell r="AJ166">
            <v>1965.4037111898979</v>
          </cell>
        </row>
      </sheetData>
      <sheetData sheetId="55">
        <row r="17">
          <cell r="O17">
            <v>1104835</v>
          </cell>
        </row>
        <row r="19">
          <cell r="O19">
            <v>153744</v>
          </cell>
        </row>
        <row r="20">
          <cell r="O20">
            <v>1676944</v>
          </cell>
        </row>
        <row r="96">
          <cell r="O96">
            <v>230974</v>
          </cell>
        </row>
      </sheetData>
      <sheetData sheetId="56">
        <row r="21">
          <cell r="AL21">
            <v>7164825847</v>
          </cell>
          <cell r="AV21">
            <v>8407567000</v>
          </cell>
          <cell r="BA21">
            <v>10923277000</v>
          </cell>
        </row>
        <row r="22">
          <cell r="AL22"/>
          <cell r="AV22"/>
          <cell r="BA22"/>
        </row>
        <row r="23">
          <cell r="AL23">
            <v>53135825364</v>
          </cell>
          <cell r="AV23">
            <v>61616302000</v>
          </cell>
          <cell r="BA23">
            <v>66653082000</v>
          </cell>
        </row>
        <row r="151">
          <cell r="AL151">
            <v>9412183944.7361259</v>
          </cell>
          <cell r="AV151">
            <v>11240523485.33288</v>
          </cell>
          <cell r="BA151">
            <v>13042579740.236023</v>
          </cell>
        </row>
      </sheetData>
      <sheetData sheetId="57">
        <row r="17">
          <cell r="Z17">
            <v>3814600000</v>
          </cell>
          <cell r="AI17">
            <v>6001469732</v>
          </cell>
          <cell r="AO17">
            <v>6089198857.6504984</v>
          </cell>
        </row>
        <row r="20">
          <cell r="Z20">
            <v>120200000</v>
          </cell>
          <cell r="AI20">
            <v>193360264</v>
          </cell>
          <cell r="AO20">
            <v>246104647.12444445</v>
          </cell>
        </row>
        <row r="21">
          <cell r="Z21"/>
          <cell r="AO21">
            <v>1669600000</v>
          </cell>
        </row>
        <row r="22">
          <cell r="Z22">
            <v>4902200000</v>
          </cell>
          <cell r="AI22">
            <v>7046299086.666667</v>
          </cell>
          <cell r="AO22">
            <v>8004903504.7749424</v>
          </cell>
        </row>
        <row r="95">
          <cell r="Z95">
            <v>1278057352.3101127</v>
          </cell>
          <cell r="AI95">
            <v>1282510646.0913205</v>
          </cell>
          <cell r="AO95">
            <v>1427416920.9998629</v>
          </cell>
        </row>
        <row r="97">
          <cell r="Z97">
            <v>1278057352.310113</v>
          </cell>
          <cell r="AI97">
            <v>1274720728.7579873</v>
          </cell>
          <cell r="AO97">
            <v>1391545171.6665294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Estimates"/>
      <sheetName val="Admin"/>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urrent Dat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8"/>
      <sheetName val="13"/>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_bas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Main"/>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Q6"/>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Stefania" id="{329B4FAC-EDC9-4C54-9872-7F409A192A5F}" userId="S::ssechi@globalpartnership.org::9a66b9eb-05b1-40fc-8b41-3899a688d2d7" providerId="AD"/>
  <person displayName="Margaret Louise Irving" id="{12A7DD7D-E03B-4ED3-9801-D8852B97D8FB}" userId="S::mirving@globalpartnership.org::70deea58-f338-4995-a5f4-f16bda3cecf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3" dT="2019-11-05T21:08:48.43" personId="{12A7DD7D-E03B-4ED3-9801-D8852B97D8FB}" id="{DFDA9E4F-4188-45C7-A1A1-51D53E20BE7E}">
    <text>CHECK line 18 - treasury operations not debt service??</text>
  </threadedComment>
  <threadedComment ref="K52" dT="2019-11-06T22:23:14.98" personId="{12A7DD7D-E03B-4ED3-9801-D8852B97D8FB}" id="{F987B160-743A-47ED-A6F7-0C33D56468C4}">
    <text>not correctly calculated</text>
  </threadedComment>
  <threadedComment ref="U52" dT="2019-11-06T22:23:14.98" personId="{12A7DD7D-E03B-4ED3-9801-D8852B97D8FB}" id="{D06C5CE8-BB55-42FC-9DC0-61DC9874A995}">
    <text>not correctly calculated</text>
  </threadedComment>
  <threadedComment ref="AE52" dT="2019-11-06T22:23:14.98" personId="{12A7DD7D-E03B-4ED3-9801-D8852B97D8FB}" id="{55D0DBAA-0B60-429B-A163-A48CA12DA032}">
    <text>not correctly calculated</text>
  </threadedComment>
  <threadedComment ref="B57" dT="2019-12-03T18:37:10.67" personId="{12A7DD7D-E03B-4ED3-9801-D8852B97D8FB}" id="{DAF37DF6-3BA7-4487-8E48-7BB3832CA4E5}">
    <text>2017 and 2018 actuals are identical</text>
  </threadedComment>
  <threadedComment ref="B58" dT="2019-12-03T18:52:02.69" personId="{12A7DD7D-E03B-4ED3-9801-D8852B97D8FB}" id="{0F13AB49-463A-4A2F-A391-B1787AF02FBF}">
    <text>Recurrent expenditures (total) calculated wrong</text>
  </threadedComment>
</ThreadedComments>
</file>

<file path=xl/threadedComments/threadedComment10.xml><?xml version="1.0" encoding="utf-8"?>
<ThreadedComments xmlns="http://schemas.microsoft.com/office/spreadsheetml/2018/threadedcomments" xmlns:x="http://schemas.openxmlformats.org/spreadsheetml/2006/main">
  <threadedComment ref="AG23" dT="2021-10-06T01:34:14.44" personId="{329B4FAC-EDC9-4C54-9872-7F409A192A5F}" id="{2EB80D5D-D327-4C08-ADFD-2A13D793C165}">
    <text>ADDED SUM</text>
  </threadedComment>
</ThreadedComments>
</file>

<file path=xl/threadedComments/threadedComment11.xml><?xml version="1.0" encoding="utf-8"?>
<ThreadedComments xmlns="http://schemas.microsoft.com/office/spreadsheetml/2018/threadedcomments" xmlns:x="http://schemas.openxmlformats.org/spreadsheetml/2006/main">
  <threadedComment ref="B85" dT="2021-04-07T22:14:04.86" personId="{329B4FAC-EDC9-4C54-9872-7F409A192A5F}" id="{768A6B23-0771-455E-AB02-F2FCEDB4878E}">
    <text>Labels to add</text>
  </threadedComment>
</ThreadedComments>
</file>

<file path=xl/threadedComments/threadedComment2.xml><?xml version="1.0" encoding="utf-8"?>
<ThreadedComments xmlns="http://schemas.microsoft.com/office/spreadsheetml/2018/threadedcomments" xmlns:x="http://schemas.openxmlformats.org/spreadsheetml/2006/main">
  <threadedComment ref="Z8" dT="2021-06-23T17:47:41.69" personId="{329B4FAC-EDC9-4C54-9872-7F409A192A5F}" id="{31E32814-A51E-458C-9D84-58ACAB468DAA}">
    <text>NB - estimations based on 2018 execution rate - TO BE VALIDATED</text>
  </threadedComment>
  <threadedComment ref="AE10" dT="2021-06-23T17:50:48.70" personId="{329B4FAC-EDC9-4C54-9872-7F409A192A5F}" id="{3885233F-56E2-47A4-8C9F-25000EA397F0}">
    <text>NB - added implementation rate</text>
  </threadedComment>
</ThreadedComments>
</file>

<file path=xl/threadedComments/threadedComment3.xml><?xml version="1.0" encoding="utf-8"?>
<ThreadedComments xmlns="http://schemas.microsoft.com/office/spreadsheetml/2018/threadedcomments" xmlns:x="http://schemas.openxmlformats.org/spreadsheetml/2006/main">
  <threadedComment ref="BE6" dT="2022-03-23T19:59:01.51" personId="{329B4FAC-EDC9-4C54-9872-7F409A192A5F}" id="{84AF0A0D-E3EB-403B-8392-46650054E74E}">
    <text>this seems to be a dupplication of the following year.</text>
  </threadedComment>
</ThreadedComments>
</file>

<file path=xl/threadedComments/threadedComment4.xml><?xml version="1.0" encoding="utf-8"?>
<ThreadedComments xmlns="http://schemas.microsoft.com/office/spreadsheetml/2018/threadedcomments" xmlns:x="http://schemas.openxmlformats.org/spreadsheetml/2006/main">
  <threadedComment ref="BK22" dT="2021-06-23T17:47:10.39" personId="{329B4FAC-EDC9-4C54-9872-7F409A192A5F}" id="{D4E91080-0F7C-4B21-B27F-822AFAB7C6E8}">
    <text>TOTAL WAS MISSING - I added it</text>
  </threadedComment>
</ThreadedComments>
</file>

<file path=xl/threadedComments/threadedComment5.xml><?xml version="1.0" encoding="utf-8"?>
<ThreadedComments xmlns="http://schemas.microsoft.com/office/spreadsheetml/2018/threadedcomments" xmlns:x="http://schemas.openxmlformats.org/spreadsheetml/2006/main">
  <threadedComment ref="AZ10" dT="2021-06-23T20:10:46.68" personId="{329B4FAC-EDC9-4C54-9872-7F409A192A5F}" id="{A5DE7D97-2F61-4BBD-A94E-41278B083E47}">
    <text>calculated implementation rate</text>
  </threadedComment>
  <threadedComment ref="BH30" dT="2021-06-23T20:20:09.23" personId="{329B4FAC-EDC9-4C54-9872-7F409A192A5F}" id="{9A4E75CE-CBB4-4C06-BCFD-6E104FF2F330}">
    <text>Estimation - based on execution rate 2019</text>
  </threadedComment>
  <threadedComment ref="BH81" dT="2021-06-23T20:19:45.04" personId="{329B4FAC-EDC9-4C54-9872-7F409A192A5F}" id="{DDB049CD-FBF1-4095-9D8B-61CDF068B84F}">
    <text>ESTIMATION - based on execution rate 2019</text>
  </threadedComment>
  <threadedComment ref="BH83" dT="2021-06-23T20:14:44.61" personId="{329B4FAC-EDC9-4C54-9872-7F409A192A5F}" id="{E11997FA-1D29-4AB1-81A2-B71732847FF4}">
    <text>estimation - based on execution rate 2019</text>
  </threadedComment>
</ThreadedComments>
</file>

<file path=xl/threadedComments/threadedComment6.xml><?xml version="1.0" encoding="utf-8"?>
<ThreadedComments xmlns="http://schemas.microsoft.com/office/spreadsheetml/2018/threadedcomments" xmlns:x="http://schemas.openxmlformats.org/spreadsheetml/2006/main">
  <threadedComment ref="G74" dT="2021-06-23T20:54:24.40" personId="{329B4FAC-EDC9-4C54-9872-7F409A192A5F}" id="{288EE0AC-0CE8-42EB-83B9-E37BB2EAADC8}">
    <text>ESTIMATED - based on execution rate 2018</text>
  </threadedComment>
</ThreadedComments>
</file>

<file path=xl/threadedComments/threadedComment7.xml><?xml version="1.0" encoding="utf-8"?>
<ThreadedComments xmlns="http://schemas.microsoft.com/office/spreadsheetml/2018/threadedcomments" xmlns:x="http://schemas.openxmlformats.org/spreadsheetml/2006/main">
  <threadedComment ref="AQ82" dT="2021-06-23T21:08:56.71" personId="{329B4FAC-EDC9-4C54-9872-7F409A192A5F}" id="{306D300E-AA97-4267-838B-ACF179AA4F9D}">
    <text>I inserted this figure (cell was blank)</text>
  </threadedComment>
</ThreadedComments>
</file>

<file path=xl/threadedComments/threadedComment8.xml><?xml version="1.0" encoding="utf-8"?>
<ThreadedComments xmlns="http://schemas.microsoft.com/office/spreadsheetml/2018/threadedcomments" xmlns:x="http://schemas.openxmlformats.org/spreadsheetml/2006/main">
  <threadedComment ref="F23" dT="2021-04-08T16:53:11.56" personId="{329B4FAC-EDC9-4C54-9872-7F409A192A5F}" id="{0DC0147B-9000-40F3-8531-39642B68C6B7}">
    <text>Total excluding DS - inconsistent with the other columns.</text>
  </threadedComment>
</ThreadedComments>
</file>

<file path=xl/threadedComments/threadedComment9.xml><?xml version="1.0" encoding="utf-8"?>
<ThreadedComments xmlns="http://schemas.microsoft.com/office/spreadsheetml/2018/threadedcomments" xmlns:x="http://schemas.openxmlformats.org/spreadsheetml/2006/main">
  <threadedComment ref="AT22" dT="2020-06-05T19:19:27.81" personId="{329B4FAC-EDC9-4C54-9872-7F409A192A5F}" id="{CEEC6066-ACF5-4DD8-B933-CCD6627E86AE}">
    <text>MISSING VALUE</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8" Type="http://schemas.openxmlformats.org/officeDocument/2006/relationships/hyperlink" Target="https://mof.portal.gov.bd/sites/default/files/files/mof.portal.gov.bd/page/d9daf6f5_96d9_411b_bb44_42d6681075c4/mfr_2019_06.pdf" TargetMode="External"/><Relationship Id="rId13" Type="http://schemas.openxmlformats.org/officeDocument/2006/relationships/comments" Target="../comments4.xml"/><Relationship Id="rId3" Type="http://schemas.openxmlformats.org/officeDocument/2006/relationships/hyperlink" Target="https://mof.gov.bd/en/budget1/mfr/mft_June_2017.pdf" TargetMode="External"/><Relationship Id="rId7" Type="http://schemas.openxmlformats.org/officeDocument/2006/relationships/hyperlink" Target="https://mof.gov.bd/site/page/0f0724a1-73e5-47f5-b65f-a0c3f84381f7" TargetMode="External"/><Relationship Id="rId12" Type="http://schemas.openxmlformats.org/officeDocument/2006/relationships/vmlDrawing" Target="../drawings/vmlDrawing4.vml"/><Relationship Id="rId2" Type="http://schemas.openxmlformats.org/officeDocument/2006/relationships/hyperlink" Target="http://www.mof.gov.bd/en/budget1/mfr/mfr_June_2016.pdf" TargetMode="External"/><Relationship Id="rId1" Type="http://schemas.openxmlformats.org/officeDocument/2006/relationships/hyperlink" Target="http://www.mof.gov.bd/en/index.php?option=com_content&amp;view=article&amp;id=226&amp;Itemid=1" TargetMode="External"/><Relationship Id="rId6" Type="http://schemas.openxmlformats.org/officeDocument/2006/relationships/hyperlink" Target="https://mof.gov.bd/site/page/0f0724a1-73e5-47f5-b65f-a0c3f84381f7" TargetMode="External"/><Relationship Id="rId11" Type="http://schemas.openxmlformats.org/officeDocument/2006/relationships/printerSettings" Target="../printerSettings/printerSettings10.bin"/><Relationship Id="rId5" Type="http://schemas.openxmlformats.org/officeDocument/2006/relationships/hyperlink" Target="https://mof.gov.bd/site/page/0f0724a1-73e5-47f5-b65f-a0c3f84381f7" TargetMode="External"/><Relationship Id="rId10" Type="http://schemas.openxmlformats.org/officeDocument/2006/relationships/hyperlink" Target="https://mof.gov.bd/site/page/0f0724a1-73e5-47f5-b65f-a0c3f84381f7" TargetMode="External"/><Relationship Id="rId4" Type="http://schemas.openxmlformats.org/officeDocument/2006/relationships/hyperlink" Target="https://mof.gov.bd/en/budget1/mfr/mft_June_2017.pdf" TargetMode="External"/><Relationship Id="rId9" Type="http://schemas.openxmlformats.org/officeDocument/2006/relationships/hyperlink" Target="https://mof.gov.bd/site/page/0f0724a1-73e5-47f5-b65f-a0c3f84381f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budgetbenin.bj/wp-content/uploads/2020/03/RAPPORT-EXECUTION-BUDGET-GESTION-2019.pdf" TargetMode="External"/><Relationship Id="rId13" Type="http://schemas.openxmlformats.org/officeDocument/2006/relationships/printerSettings" Target="../printerSettings/printerSettings11.bin"/><Relationship Id="rId3" Type="http://schemas.openxmlformats.org/officeDocument/2006/relationships/hyperlink" Target="http://www.finances.bj/taches-courantes/documents-sur-les-finances-publiques/" TargetMode="External"/><Relationship Id="rId7" Type="http://schemas.openxmlformats.org/officeDocument/2006/relationships/hyperlink" Target="https://budgetbenin.bj/wp-content/uploads/2020/03/RAPPORT-EXECUTION-BUDGET-GESTION-2019.pdf" TargetMode="External"/><Relationship Id="rId12" Type="http://schemas.openxmlformats.org/officeDocument/2006/relationships/hyperlink" Target="https://budgetbenin.bj/" TargetMode="External"/><Relationship Id="rId2" Type="http://schemas.openxmlformats.org/officeDocument/2006/relationships/hyperlink" Target="http://www.finances.bj/taches-courantes/documents-sur-les-finances-publiques/" TargetMode="External"/><Relationship Id="rId16" Type="http://schemas.microsoft.com/office/2017/10/relationships/threadedComment" Target="../threadedComments/threadedComment2.xml"/><Relationship Id="rId1" Type="http://schemas.openxmlformats.org/officeDocument/2006/relationships/hyperlink" Target="http://www.finances.bj/taches-courantes/documents-sur-les-finances-publiques/" TargetMode="External"/><Relationship Id="rId6" Type="http://schemas.openxmlformats.org/officeDocument/2006/relationships/hyperlink" Target="https://budgetbenin.bj/wp-content/uploads/2019/06/Rapport-de-fin-d_anne%CC%81e-2018-%C3%A0-publier.pdf" TargetMode="External"/><Relationship Id="rId11" Type="http://schemas.openxmlformats.org/officeDocument/2006/relationships/hyperlink" Target="https://budgetbenin.bj/" TargetMode="External"/><Relationship Id="rId5" Type="http://schemas.openxmlformats.org/officeDocument/2006/relationships/hyperlink" Target="https://budgetbenin.bj/wp-content/uploads/2019/06/Rapport-de-fin-d_anne%CC%81e-2018-%C3%A0-publier.pdf" TargetMode="External"/><Relationship Id="rId15" Type="http://schemas.openxmlformats.org/officeDocument/2006/relationships/comments" Target="../comments5.xml"/><Relationship Id="rId10" Type="http://schemas.openxmlformats.org/officeDocument/2006/relationships/hyperlink" Target="https://budgetbenin.bj/" TargetMode="External"/><Relationship Id="rId4" Type="http://schemas.openxmlformats.org/officeDocument/2006/relationships/hyperlink" Target="http://budgetbenin.bj/wp-content/uploads/2018/03/RAPEX-FIN-JUIN-2018.pdf" TargetMode="External"/><Relationship Id="rId9" Type="http://schemas.openxmlformats.org/officeDocument/2006/relationships/hyperlink" Target="https://budgetbenin.bj/" TargetMode="External"/><Relationship Id="rId1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8" Type="http://schemas.openxmlformats.org/officeDocument/2006/relationships/hyperlink" Target="http://www.mof.gov.bt/" TargetMode="External"/><Relationship Id="rId13" Type="http://schemas.openxmlformats.org/officeDocument/2006/relationships/printerSettings" Target="../printerSettings/printerSettings12.bin"/><Relationship Id="rId3" Type="http://schemas.openxmlformats.org/officeDocument/2006/relationships/hyperlink" Target="http://www.mof.gov.bt/wp-content/uploads/2014/07/BudgetReport2016-17-ENG.pdf" TargetMode="External"/><Relationship Id="rId7" Type="http://schemas.openxmlformats.org/officeDocument/2006/relationships/hyperlink" Target="http://www.mof.gov.bt/wp-content/uploads/2014/07/BudgetReport2016-17-ENG.pdf" TargetMode="External"/><Relationship Id="rId12" Type="http://schemas.openxmlformats.org/officeDocument/2006/relationships/hyperlink" Target="http://www.mof.gov.bt/" TargetMode="External"/><Relationship Id="rId2" Type="http://schemas.openxmlformats.org/officeDocument/2006/relationships/hyperlink" Target="http://www.mof.gov.bt/wp-content/uploads/2014/07/AFS2014-15.pdf" TargetMode="External"/><Relationship Id="rId16" Type="http://schemas.microsoft.com/office/2017/10/relationships/threadedComment" Target="../threadedComments/threadedComment3.xml"/><Relationship Id="rId1" Type="http://schemas.openxmlformats.org/officeDocument/2006/relationships/hyperlink" Target="http://www.mof.gov.bt/wp-content/uploads/2014/07/BudgetReport2016-17-ENG.pdf" TargetMode="External"/><Relationship Id="rId6" Type="http://schemas.openxmlformats.org/officeDocument/2006/relationships/hyperlink" Target="http://www.mof.gov.bt/wp-content/uploads/2014/07/BudgetReport2016-17-ENG.pdf" TargetMode="External"/><Relationship Id="rId11" Type="http://schemas.openxmlformats.org/officeDocument/2006/relationships/hyperlink" Target="http://www.mof.gov.bt/" TargetMode="External"/><Relationship Id="rId5" Type="http://schemas.openxmlformats.org/officeDocument/2006/relationships/hyperlink" Target="http://www.mof.gov.bt/wp-content/uploads/2014/07/BudgetReport2016-17-ENG.pdf" TargetMode="External"/><Relationship Id="rId15" Type="http://schemas.openxmlformats.org/officeDocument/2006/relationships/comments" Target="../comments6.xml"/><Relationship Id="rId10" Type="http://schemas.openxmlformats.org/officeDocument/2006/relationships/hyperlink" Target="http://www.mof.gov.bt/" TargetMode="External"/><Relationship Id="rId4" Type="http://schemas.openxmlformats.org/officeDocument/2006/relationships/hyperlink" Target="http://www.mof.gov.bt/wp-content/uploads/2014/07/BudgetReport2016-17-ENG.pdf" TargetMode="External"/><Relationship Id="rId9" Type="http://schemas.openxmlformats.org/officeDocument/2006/relationships/hyperlink" Target="https://www.mof.gov.bt/wp-content/uploads/2017/05/BR2017-18ENG.pdf" TargetMode="External"/><Relationship Id="rId1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8" Type="http://schemas.openxmlformats.org/officeDocument/2006/relationships/hyperlink" Target="http://www.dgb.gov.bf/index.php?option=com_content&amp;view=article&amp;id=68&amp;catid=2&amp;Itemid=300" TargetMode="External"/><Relationship Id="rId13" Type="http://schemas.openxmlformats.org/officeDocument/2006/relationships/hyperlink" Target="http://www.dgb.gov.bf/" TargetMode="External"/><Relationship Id="rId3" Type="http://schemas.openxmlformats.org/officeDocument/2006/relationships/hyperlink" Target="http://www.dgb.gov.bf/index.php?option=com_content&amp;view=article&amp;id=68&amp;catid=2&amp;Itemid=300" TargetMode="External"/><Relationship Id="rId7" Type="http://schemas.openxmlformats.org/officeDocument/2006/relationships/hyperlink" Target="http://www.dgb.gov.bf/index.php?option=com_content&amp;view=article&amp;id=68&amp;catid=2&amp;Itemid=300" TargetMode="External"/><Relationship Id="rId12" Type="http://schemas.openxmlformats.org/officeDocument/2006/relationships/hyperlink" Target="http://www.dgb.gov.bf/index.php?option=com_edocman&amp;view=document&amp;id=1644&amp;catid=192&amp;Itemid=299" TargetMode="External"/><Relationship Id="rId2" Type="http://schemas.openxmlformats.org/officeDocument/2006/relationships/hyperlink" Target="http://www.dgb.gov.bf/index.php?option=com_content&amp;view=article&amp;id=68&amp;catid=2&amp;Itemid=300" TargetMode="External"/><Relationship Id="rId1" Type="http://schemas.openxmlformats.org/officeDocument/2006/relationships/hyperlink" Target="http://www.dgb.gov.bf/index.php?option=com_edocman&amp;view=document&amp;id=1518" TargetMode="External"/><Relationship Id="rId6" Type="http://schemas.openxmlformats.org/officeDocument/2006/relationships/hyperlink" Target="http://www.dgb.gov.bf/index.php?option=com_content&amp;view=article&amp;id=46&amp;catid=2&amp;Itemid=300" TargetMode="External"/><Relationship Id="rId11" Type="http://schemas.openxmlformats.org/officeDocument/2006/relationships/hyperlink" Target="http://www.dgb.gov.bf/index.php?option=com_edocman&amp;view=document&amp;id=1596" TargetMode="External"/><Relationship Id="rId5" Type="http://schemas.openxmlformats.org/officeDocument/2006/relationships/hyperlink" Target="http://www.dgb.gov.bf/index.php?option=com_content&amp;view=article&amp;id=68&amp;catid=2&amp;Itemid=300" TargetMode="External"/><Relationship Id="rId10" Type="http://schemas.openxmlformats.org/officeDocument/2006/relationships/hyperlink" Target="http://www.dgb.gov.bf/index.php?option=com_edocman&amp;view=document&amp;id=1644&amp;catid=192&amp;Itemid=299" TargetMode="External"/><Relationship Id="rId4" Type="http://schemas.openxmlformats.org/officeDocument/2006/relationships/hyperlink" Target="http://www.dgb.gov.bf/index.php?option=com_content&amp;view=article&amp;id=46&amp;catid=2&amp;Itemid=300" TargetMode="External"/><Relationship Id="rId9" Type="http://schemas.openxmlformats.org/officeDocument/2006/relationships/hyperlink" Target="http://www.dgb.gov.bf/index.php?option=com_edocman&amp;view=document&amp;id=1596" TargetMode="External"/><Relationship Id="rId1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microsoft.com/office/2017/10/relationships/threadedComment" Target="../threadedComments/threadedComment4.xm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budget.gouv.ci/sites/default/files/Donnees-budgetaires/13-_annexe_10_dppd-pap_2017-2019.pdf" TargetMode="External"/><Relationship Id="rId7" Type="http://schemas.openxmlformats.org/officeDocument/2006/relationships/printerSettings" Target="../printerSettings/printerSettings15.bin"/><Relationship Id="rId2" Type="http://schemas.openxmlformats.org/officeDocument/2006/relationships/hyperlink" Target="http://budget.gouv.ci/sites/default/files/Donnees-budgetaires/13-_annexe_10_dppd-pap_2017-2019.pdf" TargetMode="External"/><Relationship Id="rId1" Type="http://schemas.openxmlformats.org/officeDocument/2006/relationships/hyperlink" Target="http://dgbf.gouv.ci/wp-content/uploads/2016/03/ccm_execution_budgetaire_a_fin_decembre_2015.pdf" TargetMode="External"/><Relationship Id="rId6" Type="http://schemas.openxmlformats.org/officeDocument/2006/relationships/hyperlink" Target="http://budget.gouv.ci/publications/rapport" TargetMode="External"/><Relationship Id="rId5" Type="http://schemas.openxmlformats.org/officeDocument/2006/relationships/hyperlink" Target="http://budget.gouv.ci/fr/publications/ccm-execution-budgetaire-fin-decembre-2017" TargetMode="External"/><Relationship Id="rId4" Type="http://schemas.openxmlformats.org/officeDocument/2006/relationships/hyperlink" Target="http://budget.gouv.ci/sites/default/files/Donnees-budgetaires/13-_annexe_10_dppd-pap_2017-2019.pdf" TargetMode="External"/><Relationship Id="rId9"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mef.gov.kh/budget-in-brief.html" TargetMode="External"/><Relationship Id="rId13" Type="http://schemas.openxmlformats.org/officeDocument/2006/relationships/printerSettings" Target="../printerSettings/printerSettings16.bin"/><Relationship Id="rId3" Type="http://schemas.openxmlformats.org/officeDocument/2006/relationships/hyperlink" Target="http://www.mef.gov.kh/documents/shares/publication/tofe/tofe-2016-for-website-kh-version.pdf" TargetMode="External"/><Relationship Id="rId7" Type="http://schemas.openxmlformats.org/officeDocument/2006/relationships/hyperlink" Target="https://www.mef.gov.kh/budget-in-brief.html" TargetMode="External"/><Relationship Id="rId12" Type="http://schemas.openxmlformats.org/officeDocument/2006/relationships/hyperlink" Target="https://www.mef.gov.kh/budget-in-brief.html" TargetMode="External"/><Relationship Id="rId2" Type="http://schemas.openxmlformats.org/officeDocument/2006/relationships/hyperlink" Target="http://www.mef.gov.kh/documents/shares/publication/tofe/gfs_and_tofe_201512_kh.pdf" TargetMode="External"/><Relationship Id="rId1" Type="http://schemas.openxmlformats.org/officeDocument/2006/relationships/hyperlink" Target="http://www.mef.gov.kh/documents/shares/publication/tofe/tofe-2016-for-website-kh-version.pdf" TargetMode="External"/><Relationship Id="rId6" Type="http://schemas.openxmlformats.org/officeDocument/2006/relationships/hyperlink" Target="https://mef.gov.kh/documents/shares/publication/tofe/TOFE-2018-December-EN.pdf" TargetMode="External"/><Relationship Id="rId11" Type="http://schemas.openxmlformats.org/officeDocument/2006/relationships/hyperlink" Target="https://www.mef.gov.kh/budget-in-brief.html" TargetMode="External"/><Relationship Id="rId5" Type="http://schemas.openxmlformats.org/officeDocument/2006/relationships/hyperlink" Target="https://mef.gov.kh/documents-category/publication/tofe/" TargetMode="External"/><Relationship Id="rId10" Type="http://schemas.openxmlformats.org/officeDocument/2006/relationships/hyperlink" Target="https://mef.gov.kh/documents/shares/publication/tofe/" TargetMode="External"/><Relationship Id="rId4" Type="http://schemas.openxmlformats.org/officeDocument/2006/relationships/hyperlink" Target="https://www.mef.gov.kh/documents/shares/publication/tofe/TOFE-2018-December-KH.pdf" TargetMode="External"/><Relationship Id="rId9" Type="http://schemas.openxmlformats.org/officeDocument/2006/relationships/hyperlink" Target="https://mef.gov.kh/documents-category/publication/tofe/"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prc.cm/fr/multimedia/documents/7491-ordonnance-n-2019-001-du-29-05-fr" TargetMode="External"/><Relationship Id="rId13" Type="http://schemas.microsoft.com/office/2017/10/relationships/threadedComment" Target="../threadedComments/threadedComment5.xml"/><Relationship Id="rId3" Type="http://schemas.openxmlformats.org/officeDocument/2006/relationships/hyperlink" Target="http://minfi.gov.cm/index.php/fr/plan-du-site" TargetMode="External"/><Relationship Id="rId7" Type="http://schemas.openxmlformats.org/officeDocument/2006/relationships/hyperlink" Target="https://www.dgb.cm/zone-documentaire/" TargetMode="External"/><Relationship Id="rId12" Type="http://schemas.openxmlformats.org/officeDocument/2006/relationships/comments" Target="../comments9.xml"/><Relationship Id="rId2" Type="http://schemas.openxmlformats.org/officeDocument/2006/relationships/hyperlink" Target="http://minfi.gov.cm/index.php/fr/plan-du-site" TargetMode="External"/><Relationship Id="rId1" Type="http://schemas.openxmlformats.org/officeDocument/2006/relationships/hyperlink" Target="https://www.prc.cm/fr/multimedia/documents/7491-ordonnance-n-2019-001-du-29-05-fr" TargetMode="External"/><Relationship Id="rId6" Type="http://schemas.openxmlformats.org/officeDocument/2006/relationships/hyperlink" Target="http://minfi.gov.cm/index.php/fr/plan-du-site" TargetMode="External"/><Relationship Id="rId11" Type="http://schemas.openxmlformats.org/officeDocument/2006/relationships/vmlDrawing" Target="../drawings/vmlDrawing9.vml"/><Relationship Id="rId5" Type="http://schemas.openxmlformats.org/officeDocument/2006/relationships/hyperlink" Target="https://www.prc.cm/fr/multimedia/documents/7491-ordonnance-n-2019-001-du-29-05-fr" TargetMode="External"/><Relationship Id="rId10" Type="http://schemas.openxmlformats.org/officeDocument/2006/relationships/printerSettings" Target="../printerSettings/printerSettings17.bin"/><Relationship Id="rId4" Type="http://schemas.openxmlformats.org/officeDocument/2006/relationships/hyperlink" Target="https://www.prc.cm/fr/multimedia/documents/7491-ordonnance-n-2019-001-du-29-05-fr" TargetMode="External"/><Relationship Id="rId9" Type="http://schemas.openxmlformats.org/officeDocument/2006/relationships/hyperlink" Target="https://www.dgb.cm/zone-documentair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finances-budget.cf/documents/lois-de-finances/lf-2019"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finances.gouv.td/index.php/publications/rapports-d-execution-budgetaire" TargetMode="External"/><Relationship Id="rId3" Type="http://schemas.openxmlformats.org/officeDocument/2006/relationships/hyperlink" Target="http://finances.gouv.td/index.php/publications/budget-general-de-l-etat" TargetMode="External"/><Relationship Id="rId7" Type="http://schemas.openxmlformats.org/officeDocument/2006/relationships/hyperlink" Target="http://finances.gouv.td/index.php/publications/rapports-d-execution-budgetaire" TargetMode="External"/><Relationship Id="rId2" Type="http://schemas.openxmlformats.org/officeDocument/2006/relationships/hyperlink" Target="http://finances.gouv.td/index.php/publications/budget-general-de-l-etat" TargetMode="External"/><Relationship Id="rId1" Type="http://schemas.openxmlformats.org/officeDocument/2006/relationships/hyperlink" Target="http://finances.gouv.td/index.php/publications/budget-general-de-l-etat" TargetMode="External"/><Relationship Id="rId6" Type="http://schemas.openxmlformats.org/officeDocument/2006/relationships/hyperlink" Target="http://finances.gouv.td/index.php/publications/lois-des-finances" TargetMode="External"/><Relationship Id="rId11" Type="http://schemas.openxmlformats.org/officeDocument/2006/relationships/comments" Target="../comments10.xml"/><Relationship Id="rId5" Type="http://schemas.openxmlformats.org/officeDocument/2006/relationships/hyperlink" Target="http://finances.gouv.td/index.php/publications/lois-des-finances" TargetMode="External"/><Relationship Id="rId10" Type="http://schemas.openxmlformats.org/officeDocument/2006/relationships/vmlDrawing" Target="../drawings/vmlDrawing10.vml"/><Relationship Id="rId4" Type="http://schemas.openxmlformats.org/officeDocument/2006/relationships/hyperlink" Target="http://finances.gouv.td/index.php/publications/budget-general-de-l-etat" TargetMode="External"/><Relationship Id="rId9"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agid.gouv.km/fr/actes_officiels.php" TargetMode="External"/><Relationship Id="rId7" Type="http://schemas.microsoft.com/office/2017/10/relationships/threadedComment" Target="../threadedComments/threadedComment6.xml"/><Relationship Id="rId2" Type="http://schemas.openxmlformats.org/officeDocument/2006/relationships/hyperlink" Target="http://agid.gouv.km/fr/actes_officiels.php" TargetMode="External"/><Relationship Id="rId1" Type="http://schemas.openxmlformats.org/officeDocument/2006/relationships/hyperlink" Target="http://agid.gouv.km/fr/actes_officiels.php"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s://www.finances.gouv.cg/fr/loi-de-finances-2018" TargetMode="External"/><Relationship Id="rId7" Type="http://schemas.openxmlformats.org/officeDocument/2006/relationships/hyperlink" Target="https://www.finances.gouv.cg/fr/documentation?keys=&amp;term_node_tid_depth=All&amp;field_document_date_value%5Bmin%5D%5Bdate%5D=&amp;field_document_date_value%5Bmax%5D%5Bdate%5D=" TargetMode="External"/><Relationship Id="rId2" Type="http://schemas.openxmlformats.org/officeDocument/2006/relationships/hyperlink" Target="https://www.finances.gouv.cg/fr/loi-de-finances-2018" TargetMode="External"/><Relationship Id="rId1" Type="http://schemas.openxmlformats.org/officeDocument/2006/relationships/hyperlink" Target="http://impots-gouv.cg/media/fichier/pubdocumentation20160205125254-MEDIA20160205125343-7902408163.pdf" TargetMode="External"/><Relationship Id="rId6" Type="http://schemas.openxmlformats.org/officeDocument/2006/relationships/hyperlink" Target="https://www.finances.gouv.cg/fr/documentation?keys=TOFE&amp;term_node_tid_depth=All&amp;field_document_date_value%5Bmin%5D%5Bdate%5D=&amp;field_document_date_value%5Bmax%5D%5Bdate%5D=" TargetMode="External"/><Relationship Id="rId11" Type="http://schemas.microsoft.com/office/2017/10/relationships/threadedComment" Target="../threadedComments/threadedComment7.xml"/><Relationship Id="rId5" Type="http://schemas.openxmlformats.org/officeDocument/2006/relationships/hyperlink" Target="https://www.finances.gouv.cg/fr/documentation?keys=TOFE&amp;term_node_tid_depth=All&amp;field_document_date_value%5Bmin%5D%5Bdate%5D=&amp;field_document_date_value%5Bmax%5D%5Bdate%5D=" TargetMode="External"/><Relationship Id="rId10" Type="http://schemas.openxmlformats.org/officeDocument/2006/relationships/comments" Target="../comments12.xml"/><Relationship Id="rId4" Type="http://schemas.openxmlformats.org/officeDocument/2006/relationships/hyperlink" Target="https://www.finances.gouv.cg/fr/loi-de-finances-2019" TargetMode="External"/><Relationship Id="rId9"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https://www.presidence.dj/texte.php?ID=2019-209&amp;ID2=2019-12-24&amp;ID3=Arr%EAt%E9&amp;ID4=24&amp;ID5=2019-12-31&amp;ID6=n" TargetMode="External"/><Relationship Id="rId7" Type="http://schemas.openxmlformats.org/officeDocument/2006/relationships/hyperlink" Target="https://www.presidence.dj/texte.php?ID=62&amp;ID2=2019-11-18&amp;ID3=Loi%20de%20Finances&amp;ID4=22&amp;ID5=2019-11-28&amp;ID6=n" TargetMode="External"/><Relationship Id="rId2" Type="http://schemas.openxmlformats.org/officeDocument/2006/relationships/hyperlink" Target="https://www.presidence.dj/texte.php?ID=2019-039&amp;ID2=2019-01-29&amp;ID3=Arr%EAt%E9&amp;ID4=2&amp;ID5=2019-01-31&amp;ID6=n" TargetMode="External"/><Relationship Id="rId1" Type="http://schemas.openxmlformats.org/officeDocument/2006/relationships/hyperlink" Target="http://www.ministerebudget.gouv.dj/" TargetMode="External"/><Relationship Id="rId6" Type="http://schemas.openxmlformats.org/officeDocument/2006/relationships/hyperlink" Target="https://www.presidence.dj/texte.php?ID=2019-236&amp;ID2=2019-12-31&amp;ID3=Arr%EAt%E9&amp;ID4=24&amp;ID5=2019-12-31&amp;ID6=n" TargetMode="External"/><Relationship Id="rId5" Type="http://schemas.openxmlformats.org/officeDocument/2006/relationships/hyperlink" Target="https://www.presidence.dj/texte.php?ID=2019-211&amp;ID2=2019-12-24&amp;ID3=Arr%EAt%E9&amp;ID4=24&amp;ID5=2019-12-31&amp;ID6=n" TargetMode="External"/><Relationship Id="rId10" Type="http://schemas.openxmlformats.org/officeDocument/2006/relationships/comments" Target="../comments13.xml"/><Relationship Id="rId4" Type="http://schemas.openxmlformats.org/officeDocument/2006/relationships/hyperlink" Target="https://www.presidence.dj/texte.php?ID=2019-210&amp;ID2=2019-12-24&amp;ID3=Arr%EAt%E9&amp;ID4=24&amp;ID5=2019-12-31&amp;ID6=n" TargetMode="External"/><Relationship Id="rId9"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8" Type="http://schemas.openxmlformats.org/officeDocument/2006/relationships/hyperlink" Target="https://budget.gouv.cd/wp-content/uploads/execution/esb2019/decembre/global/esb_global_par_administration_rubrique.pdf" TargetMode="External"/><Relationship Id="rId13" Type="http://schemas.openxmlformats.org/officeDocument/2006/relationships/hyperlink" Target="https://budget.gouv.cd/wp-content/uploads/execution/esb2019/decembre/global/esb_global_par_administration_rubrique.pdf" TargetMode="External"/><Relationship Id="rId18" Type="http://schemas.openxmlformats.org/officeDocument/2006/relationships/comments" Target="../comments14.xml"/><Relationship Id="rId3" Type="http://schemas.openxmlformats.org/officeDocument/2006/relationships/hyperlink" Target="http://www.budget.gouv.cd/execution/exercice-2017/esb-decembre-2017/" TargetMode="External"/><Relationship Id="rId7" Type="http://schemas.openxmlformats.org/officeDocument/2006/relationships/hyperlink" Target="https://budget.gouv.cd/wp-content/uploads/execution/esb2019/decembre/global/esb_global_par_administration_rubrique.pdf" TargetMode="External"/><Relationship Id="rId12" Type="http://schemas.openxmlformats.org/officeDocument/2006/relationships/hyperlink" Target="https://budget.gouv.cd/wp-content/uploads/execution/esb2019/decembre/global/esb_global_par_administration_rubrique.pdf" TargetMode="External"/><Relationship Id="rId17" Type="http://schemas.openxmlformats.org/officeDocument/2006/relationships/vmlDrawing" Target="../drawings/vmlDrawing14.vml"/><Relationship Id="rId2" Type="http://schemas.openxmlformats.org/officeDocument/2006/relationships/hyperlink" Target="http://www.budget.gouv.cd/budget-2017/projet-du-budget-2017/" TargetMode="External"/><Relationship Id="rId16" Type="http://schemas.openxmlformats.org/officeDocument/2006/relationships/printerSettings" Target="../printerSettings/printerSettings23.bin"/><Relationship Id="rId1" Type="http://schemas.openxmlformats.org/officeDocument/2006/relationships/hyperlink" Target="http://www.budget.gouv.cd/2012/esb2016/esb_decembre2016/global/esb_global_par_nature_synthese.pdf" TargetMode="External"/><Relationship Id="rId6" Type="http://schemas.openxmlformats.org/officeDocument/2006/relationships/hyperlink" Target="http://www.budget.gouv.cd/2012/esb2016/esb_decembre2016/global/esb_global_par_nature_synthese.pdf" TargetMode="External"/><Relationship Id="rId11" Type="http://schemas.openxmlformats.org/officeDocument/2006/relationships/hyperlink" Target="http://www.budget.gouv.cd/2019/esb2016/esb_decembre2019/global/esb_global_par_nature_synthese.pdf" TargetMode="External"/><Relationship Id="rId5" Type="http://schemas.openxmlformats.org/officeDocument/2006/relationships/hyperlink" Target="http://www.budget.gouv.cd/" TargetMode="External"/><Relationship Id="rId15" Type="http://schemas.openxmlformats.org/officeDocument/2006/relationships/hyperlink" Target="http://www.budget.gouv.cd/" TargetMode="External"/><Relationship Id="rId10" Type="http://schemas.openxmlformats.org/officeDocument/2006/relationships/hyperlink" Target="http://www.budget.gouv.cd/" TargetMode="External"/><Relationship Id="rId4" Type="http://schemas.openxmlformats.org/officeDocument/2006/relationships/hyperlink" Target="http://www.droit-afrique.com/uploads/RDC-LF-2018.pdf" TargetMode="External"/><Relationship Id="rId9" Type="http://schemas.openxmlformats.org/officeDocument/2006/relationships/hyperlink" Target="https://budget.gouv.cd/wp-content/uploads/execution/esb2019/decembre/global/esb_global_par_administration_rubrique.pdf" TargetMode="External"/><Relationship Id="rId14" Type="http://schemas.openxmlformats.org/officeDocument/2006/relationships/hyperlink" Target="https://budget.gouv.cd/wp-content/uploads/execution/esb2019/decembre/global/esb_global_par_administration_rubrique.pdf"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mofed.gov.et/web/guest/budget-directorate" TargetMode="External"/><Relationship Id="rId1" Type="http://schemas.openxmlformats.org/officeDocument/2006/relationships/hyperlink" Target="http://www.mofed.gov.et/web/guest/budget-directorate" TargetMode="Externa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mofea.gm/downloads/publications" TargetMode="External"/><Relationship Id="rId1" Type="http://schemas.openxmlformats.org/officeDocument/2006/relationships/hyperlink" Target="http://mofea.gm/downloads/publications"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8" Type="http://schemas.openxmlformats.org/officeDocument/2006/relationships/hyperlink" Target="http://www.mofep.gov.gh/?q=content/2016-budget-statement-and-economic-policy" TargetMode="External"/><Relationship Id="rId13" Type="http://schemas.openxmlformats.org/officeDocument/2006/relationships/hyperlink" Target="http://www.mofep.gov.gh/sites/default/files/pbb-estimates/2019/2019-PBB-MOE.pdf" TargetMode="External"/><Relationship Id="rId18" Type="http://schemas.openxmlformats.org/officeDocument/2006/relationships/comments" Target="../comments16.xml"/><Relationship Id="rId3" Type="http://schemas.openxmlformats.org/officeDocument/2006/relationships/hyperlink" Target="http://www.mofep.gov.gh/?q=content/2016-budget-statement-and-economic-policy" TargetMode="External"/><Relationship Id="rId7" Type="http://schemas.openxmlformats.org/officeDocument/2006/relationships/hyperlink" Target="http://www.mofep.gov.gh/?q=content/review-budget-and-economic-policy-government-and-supplementary-estimates-2016-financial-year" TargetMode="External"/><Relationship Id="rId12" Type="http://schemas.openxmlformats.org/officeDocument/2006/relationships/hyperlink" Target="http://www.mofep.gov.gh/sites/default/files/pbb-estimates/2018/2018-PBB-MOE.pdf" TargetMode="External"/><Relationship Id="rId17" Type="http://schemas.openxmlformats.org/officeDocument/2006/relationships/vmlDrawing" Target="../drawings/vmlDrawing16.vml"/><Relationship Id="rId2" Type="http://schemas.openxmlformats.org/officeDocument/2006/relationships/hyperlink" Target="http://www.mofep.gov.gh/?q=content/review-budget-and-economic-policy-government-and-supplementary-estimates-2016-financial-year" TargetMode="External"/><Relationship Id="rId16" Type="http://schemas.openxmlformats.org/officeDocument/2006/relationships/printerSettings" Target="../printerSettings/printerSettings26.bin"/><Relationship Id="rId1" Type="http://schemas.openxmlformats.org/officeDocument/2006/relationships/hyperlink" Target="http://www.mofep.gov.gh/?q=content/end-year-report-budget-statement-and-economic-policy-republic-ghana-2015-financial-year" TargetMode="External"/><Relationship Id="rId6" Type="http://schemas.openxmlformats.org/officeDocument/2006/relationships/hyperlink" Target="http://www.mofep.gov.gh/?q=content/2016-budget-statement-and-economic-policy" TargetMode="External"/><Relationship Id="rId11" Type="http://schemas.openxmlformats.org/officeDocument/2006/relationships/hyperlink" Target="http://www.mofep.gov.gh/sites/default/files/budget-statements/2020-Budget-Statement-and-Economic-Policy.pdf" TargetMode="External"/><Relationship Id="rId5" Type="http://schemas.openxmlformats.org/officeDocument/2006/relationships/hyperlink" Target="http://www.mofep.gov.gh/?q=content/2016-budget-statement-and-economic-policy" TargetMode="External"/><Relationship Id="rId15" Type="http://schemas.openxmlformats.org/officeDocument/2006/relationships/hyperlink" Target="http://www.mofep.gov.gh/sites/default/files/budget-statements/2019-Budget-Statement-and-Economic-Policy.pdf" TargetMode="External"/><Relationship Id="rId10" Type="http://schemas.openxmlformats.org/officeDocument/2006/relationships/hyperlink" Target="http://www.mofep.gov.gh/sites/default/files/budget-statements/2019-Budget-Statement-and-Economic-Policy.pdf" TargetMode="External"/><Relationship Id="rId4" Type="http://schemas.openxmlformats.org/officeDocument/2006/relationships/hyperlink" Target="http://www.mofep.gov.gh/?q=content/review-budget-and-economic-policy-government-and-supplementary-estimates-2016-financial-year" TargetMode="External"/><Relationship Id="rId9" Type="http://schemas.openxmlformats.org/officeDocument/2006/relationships/hyperlink" Target="http://www.mofep.gov.gh/sites/default/files/pbb-estimates/2018/2018-PBB-MOE.pdf" TargetMode="External"/><Relationship Id="rId14" Type="http://schemas.openxmlformats.org/officeDocument/2006/relationships/hyperlink" Target="http://www.mofep.gov.gh/sites/default/files/budget-statements/2019-Budget-Statement-and-Economic-Policy.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mbudget.gov.gn/lois-de-finances/" TargetMode="External"/><Relationship Id="rId13" Type="http://schemas.openxmlformats.org/officeDocument/2006/relationships/comments" Target="../comments17.xml"/><Relationship Id="rId3" Type="http://schemas.openxmlformats.org/officeDocument/2006/relationships/hyperlink" Target="http://mbudget.gov.gn/wp-content/uploads/2018/Texte%20de%20loi%20LFR%202018%20promulgu%C3%A9.pdf" TargetMode="External"/><Relationship Id="rId7" Type="http://schemas.openxmlformats.org/officeDocument/2006/relationships/hyperlink" Target="https://mbudget.gov.gn/rapports-sur-lexecution-du-budget-de-letat/" TargetMode="External"/><Relationship Id="rId12" Type="http://schemas.openxmlformats.org/officeDocument/2006/relationships/vmlDrawing" Target="../drawings/vmlDrawing17.vml"/><Relationship Id="rId2" Type="http://schemas.openxmlformats.org/officeDocument/2006/relationships/hyperlink" Target="http://mef.gov.gn/wp-content/uploads/2017/02/Budget2017-MEF.pdf" TargetMode="External"/><Relationship Id="rId1" Type="http://schemas.openxmlformats.org/officeDocument/2006/relationships/hyperlink" Target="http://mef.gov.gn/wp-content/uploads/2017/02/Budget2017-MEF.pdf" TargetMode="External"/><Relationship Id="rId6" Type="http://schemas.openxmlformats.org/officeDocument/2006/relationships/hyperlink" Target="https://mbudget.gov.gn/rapports-sur-lexecution-du-budget-de-letat/" TargetMode="External"/><Relationship Id="rId11" Type="http://schemas.openxmlformats.org/officeDocument/2006/relationships/printerSettings" Target="../printerSettings/printerSettings27.bin"/><Relationship Id="rId5" Type="http://schemas.openxmlformats.org/officeDocument/2006/relationships/hyperlink" Target="http://www.mbudget.gov.gn/wp-content/uploads/2018/06/RapA2018.pdf" TargetMode="External"/><Relationship Id="rId10" Type="http://schemas.openxmlformats.org/officeDocument/2006/relationships/hyperlink" Target="https://mbudget.gov.gn/rapports-sur-lexecution-du-budget-de-letat/" TargetMode="External"/><Relationship Id="rId4" Type="http://schemas.openxmlformats.org/officeDocument/2006/relationships/hyperlink" Target="http://www.mbudget.gov.gn/wp-content/uploads/2018/06/RapA2018.pdf" TargetMode="External"/><Relationship Id="rId9" Type="http://schemas.openxmlformats.org/officeDocument/2006/relationships/hyperlink" Target="https://www.anafic-gn.org/" TargetMode="External"/></Relationships>
</file>

<file path=xl/worksheets/_rels/sheet28.xml.rels><?xml version="1.0" encoding="UTF-8" standalone="yes"?>
<Relationships xmlns="http://schemas.openxmlformats.org/package/2006/relationships"><Relationship Id="rId8" Type="http://schemas.openxmlformats.org/officeDocument/2006/relationships/comments" Target="../comments18.xml"/><Relationship Id="rId3" Type="http://schemas.openxmlformats.org/officeDocument/2006/relationships/hyperlink" Target="https://finance.gov.gy/budget/budget-estimates/" TargetMode="External"/><Relationship Id="rId7" Type="http://schemas.openxmlformats.org/officeDocument/2006/relationships/vmlDrawing" Target="../drawings/vmlDrawing18.vml"/><Relationship Id="rId2" Type="http://schemas.openxmlformats.org/officeDocument/2006/relationships/hyperlink" Target="https://finance.gov.gy/wp-content/uploads/Volume_1_2019_resized.pdf" TargetMode="External"/><Relationship Id="rId1" Type="http://schemas.openxmlformats.org/officeDocument/2006/relationships/hyperlink" Target="https://finance.gov.gy/wp-content/uploads/Volume_1_2019_resized.pdf" TargetMode="External"/><Relationship Id="rId6" Type="http://schemas.openxmlformats.org/officeDocument/2006/relationships/printerSettings" Target="../printerSettings/printerSettings28.bin"/><Relationship Id="rId5" Type="http://schemas.openxmlformats.org/officeDocument/2006/relationships/hyperlink" Target="https://finance.gov.gy/budget/budget-estimates/" TargetMode="External"/><Relationship Id="rId4" Type="http://schemas.openxmlformats.org/officeDocument/2006/relationships/hyperlink" Target="https://finance.gov.gy/wp-content/uploads/Volume_1_2019_resized.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mef.gouv.ht/index.php?page=Derni%C3%A8res%20donn%C3%A9es" TargetMode="External"/><Relationship Id="rId3" Type="http://schemas.openxmlformats.org/officeDocument/2006/relationships/hyperlink" Target="http://www.mef.gouv.ht/upload/doc/Budget%20Execution%202015-2016%20Octobre%20-Septembre2016.xls" TargetMode="External"/><Relationship Id="rId7" Type="http://schemas.openxmlformats.org/officeDocument/2006/relationships/hyperlink" Target="http://mef.gouv.ht/index.php?page=Derni%C3%A8res%20donn%C3%A9es" TargetMode="External"/><Relationship Id="rId2" Type="http://schemas.openxmlformats.org/officeDocument/2006/relationships/hyperlink" Target="http://www.finances.gouv.ci/images/pdf/loi-ndeg2015-840-du-18-decembre-2015-portant-budget-2016.pdf" TargetMode="External"/><Relationship Id="rId1" Type="http://schemas.openxmlformats.org/officeDocument/2006/relationships/hyperlink" Target="http://www.mef.gouv.ht/index.php?page=A%20la%20une&#8230;" TargetMode="External"/><Relationship Id="rId6" Type="http://schemas.openxmlformats.org/officeDocument/2006/relationships/hyperlink" Target="http://www.mef.gouv.ht/index.php?page=A%20la%20une..." TargetMode="External"/><Relationship Id="rId5" Type="http://schemas.openxmlformats.org/officeDocument/2006/relationships/hyperlink" Target="http://www.mef.gouv.ht/index.php?page=A%20la%20une&#8230;" TargetMode="External"/><Relationship Id="rId10" Type="http://schemas.openxmlformats.org/officeDocument/2006/relationships/printerSettings" Target="../printerSettings/printerSettings29.bin"/><Relationship Id="rId4" Type="http://schemas.openxmlformats.org/officeDocument/2006/relationships/hyperlink" Target="http://www.mef.gouv.ht/index.php?page=A%20la%20une&#8230;" TargetMode="External"/><Relationship Id="rId9" Type="http://schemas.openxmlformats.org/officeDocument/2006/relationships/hyperlink" Target="http://mef.gouv.h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sefin.gob.hn/wp-content/uploads/2018/presupuesto/04-trim/Informe%20Tomo%20I%20SP%20-%20IV%20Trimestre%202018.pdf" TargetMode="External"/><Relationship Id="rId3" Type="http://schemas.openxmlformats.org/officeDocument/2006/relationships/hyperlink" Target="http://www.sefin.gob.hn/wp-content/uploads/Presupuesto/2016/liquidacion/Liquidaci%C3%B3n%202016.pdf" TargetMode="External"/><Relationship Id="rId7" Type="http://schemas.openxmlformats.org/officeDocument/2006/relationships/hyperlink" Target="http://congresonacional.hn/wp-content/uploads/2017/11/Disposiciones-2018.pdf" TargetMode="External"/><Relationship Id="rId12" Type="http://schemas.openxmlformats.org/officeDocument/2006/relationships/printerSettings" Target="../printerSettings/printerSettings30.bin"/><Relationship Id="rId2" Type="http://schemas.openxmlformats.org/officeDocument/2006/relationships/hyperlink" Target="http://www.sefin.gob.hn/wp-content/uploads/Presupuesto/2015/liquidacion/Liquidaci%C3%B3n%202015.pdf" TargetMode="External"/><Relationship Id="rId1" Type="http://schemas.openxmlformats.org/officeDocument/2006/relationships/hyperlink" Target="http://www.sefin.gob.hn/wp-content/uploads/Presupuesto/2015/liquidacion/Liquidaci%C3%B3n%202015.pdf" TargetMode="External"/><Relationship Id="rId6" Type="http://schemas.openxmlformats.org/officeDocument/2006/relationships/hyperlink" Target="http://www.sefin.gob.hn/wp-content/uploads/2017/presupuesto/04-trim/principal.html" TargetMode="External"/><Relationship Id="rId11" Type="http://schemas.openxmlformats.org/officeDocument/2006/relationships/hyperlink" Target="https://www.sefin.gob.hn/liquidacion-presupuestaria/" TargetMode="External"/><Relationship Id="rId5" Type="http://schemas.openxmlformats.org/officeDocument/2006/relationships/hyperlink" Target="http://www.sefin.gob.hn/wp-content/uploads/2017/presupuesto/04-trim/principal.html" TargetMode="External"/><Relationship Id="rId10" Type="http://schemas.openxmlformats.org/officeDocument/2006/relationships/hyperlink" Target="http://www.sefin.gob.hn/download_file.php?download_file=/wp-content/uploads/2019/presupuesto/04-trim/InformeTomoISP-IVTrimestre2019.pdf" TargetMode="External"/><Relationship Id="rId4" Type="http://schemas.openxmlformats.org/officeDocument/2006/relationships/hyperlink" Target="http://www.sefin.gob.hn/wp-content/uploads/Presupuesto/2016/liquidacion/Liquidaci%C3%B3n%202016.pdf" TargetMode="External"/><Relationship Id="rId9" Type="http://schemas.openxmlformats.org/officeDocument/2006/relationships/hyperlink" Target="http://www.sefin.gob.hn/download_file.php?download_file=/wp-content/uploads/2019/liquidacion2018/Informe_de_Liquidacion_del_Presupuesto_2018.pdf"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www.treasury.go.ke/2017-budget-review-and-outlook-paper/send/180-budget-review-outlook-paper/693-2017-budget-review-and-outlook-paper.html" TargetMode="External"/><Relationship Id="rId13" Type="http://schemas.openxmlformats.org/officeDocument/2006/relationships/hyperlink" Target="http://www.treasury.go.ke/budget.html" TargetMode="External"/><Relationship Id="rId18" Type="http://schemas.openxmlformats.org/officeDocument/2006/relationships/comments" Target="../comments19.xml"/><Relationship Id="rId3" Type="http://schemas.openxmlformats.org/officeDocument/2006/relationships/hyperlink" Target="http://www.treasury.go.ke/component/jdownloads/send/20-budget/221-recurrent-budget-2015-2016.html" TargetMode="External"/><Relationship Id="rId7" Type="http://schemas.openxmlformats.org/officeDocument/2006/relationships/hyperlink" Target="http://www.treasury.go.ke/financial-reporting-templates/consolidated-financial-statements/send/121-consolidated-financial-statements/301-statement-of-consolidated-funds-fy-2014-2015-unaudited-version-aug-2016.html" TargetMode="External"/><Relationship Id="rId12" Type="http://schemas.openxmlformats.org/officeDocument/2006/relationships/hyperlink" Target="http://www.treasury.go.ke/budget.html" TargetMode="External"/><Relationship Id="rId17" Type="http://schemas.openxmlformats.org/officeDocument/2006/relationships/vmlDrawing" Target="../drawings/vmlDrawing19.vml"/><Relationship Id="rId2" Type="http://schemas.openxmlformats.org/officeDocument/2006/relationships/hyperlink" Target="http://www.treasury.go.ke/component/jdownloads/send/20-budget/217-development-budget-2015-2016.html" TargetMode="External"/><Relationship Id="rId16" Type="http://schemas.openxmlformats.org/officeDocument/2006/relationships/printerSettings" Target="../printerSettings/printerSettings31.bin"/><Relationship Id="rId1" Type="http://schemas.openxmlformats.org/officeDocument/2006/relationships/hyperlink" Target="http://www.treasury.go.ke/component/jdownloads/send/178-statistical-annex/517-statistical-annex-2017-budget.html" TargetMode="External"/><Relationship Id="rId6" Type="http://schemas.openxmlformats.org/officeDocument/2006/relationships/hyperlink" Target="http://www.treasury.go.ke/component/jdownloads/send/20-budget/221-recurrent-budget-2015-2016.html" TargetMode="External"/><Relationship Id="rId11" Type="http://schemas.openxmlformats.org/officeDocument/2006/relationships/hyperlink" Target="http://www.treasury.go.ke/budget.html" TargetMode="External"/><Relationship Id="rId5" Type="http://schemas.openxmlformats.org/officeDocument/2006/relationships/hyperlink" Target="http://www.treasury.go.ke/component/jdownloads/send/20-budget/217-development-budget-2015-2016.html" TargetMode="External"/><Relationship Id="rId15" Type="http://schemas.openxmlformats.org/officeDocument/2006/relationships/hyperlink" Target="http://www.treasury.go.ke/budget.html" TargetMode="External"/><Relationship Id="rId10" Type="http://schemas.openxmlformats.org/officeDocument/2006/relationships/hyperlink" Target="http://www.treasury.go.ke/component/jdownloads/send/23-budget-review-outlook-paper/389-2016-budget-review-and-outlook-paper.html" TargetMode="External"/><Relationship Id="rId4" Type="http://schemas.openxmlformats.org/officeDocument/2006/relationships/hyperlink" Target="http://www.treasury.go.ke/2017-budget-review-and-outlook-paper/send/180-budget-review-outlook-paper/693-2017-budget-review-and-outlook-paper.html" TargetMode="External"/><Relationship Id="rId9" Type="http://schemas.openxmlformats.org/officeDocument/2006/relationships/hyperlink" Target="http://www.treasury.go.ke/financial-reporting-templates/consolidated-financial-statements/send/121-consolidated-financial-statements/301-statement-of-consolidated-funds-fy-2014-2015-unaudited-version-aug-2016.html" TargetMode="External"/><Relationship Id="rId14" Type="http://schemas.openxmlformats.org/officeDocument/2006/relationships/hyperlink" Target="http://www.treasury.go.ke/budget.html" TargetMode="External"/></Relationships>
</file>

<file path=xl/worksheets/_rels/sheet32.xml.rels><?xml version="1.0" encoding="UTF-8" standalone="yes"?>
<Relationships xmlns="http://schemas.openxmlformats.org/package/2006/relationships"><Relationship Id="rId8" Type="http://schemas.openxmlformats.org/officeDocument/2006/relationships/comments" Target="../comments20.xml"/><Relationship Id="rId3" Type="http://schemas.openxmlformats.org/officeDocument/2006/relationships/hyperlink" Target="https://www.mof.gov.la/index.php/en/publications-and-statistics/" TargetMode="External"/><Relationship Id="rId7" Type="http://schemas.openxmlformats.org/officeDocument/2006/relationships/vmlDrawing" Target="../drawings/vmlDrawing20.vml"/><Relationship Id="rId2" Type="http://schemas.openxmlformats.org/officeDocument/2006/relationships/hyperlink" Target="https://www.mof.gov.la/index.php/en/publications-and-statistics/" TargetMode="External"/><Relationship Id="rId1" Type="http://schemas.openxmlformats.org/officeDocument/2006/relationships/hyperlink" Target="http://www.mof.gov.la/sites/default/files/docs/kom_ngop_pa_man/planngop2017/State%20Bedget%20Plan%20FY%202017.pdf" TargetMode="External"/><Relationship Id="rId6" Type="http://schemas.openxmlformats.org/officeDocument/2006/relationships/drawing" Target="../drawings/drawing2.xml"/><Relationship Id="rId5" Type="http://schemas.openxmlformats.org/officeDocument/2006/relationships/printerSettings" Target="../printerSettings/printerSettings32.bin"/><Relationship Id="rId4" Type="http://schemas.openxmlformats.org/officeDocument/2006/relationships/hyperlink" Target="https://www.mof.gov.la/" TargetMode="External"/><Relationship Id="rId9" Type="http://schemas.microsoft.com/office/2017/10/relationships/threadedComment" Target="../threadedComments/threadedComment8.xml"/></Relationships>
</file>

<file path=xl/worksheets/_rels/sheet33.xml.rels><?xml version="1.0" encoding="UTF-8" standalone="yes"?>
<Relationships xmlns="http://schemas.openxmlformats.org/package/2006/relationships"><Relationship Id="rId8" Type="http://schemas.openxmlformats.org/officeDocument/2006/relationships/hyperlink" Target="http://www.finance.gov.ls/official_documents.php?id=budget_documents&amp;div=budget_speeches" TargetMode="External"/><Relationship Id="rId13" Type="http://schemas.openxmlformats.org/officeDocument/2006/relationships/hyperlink" Target="http://www.finance.gov.ls/official_documents.php?id=budget_documents&amp;div=budget_speeches" TargetMode="External"/><Relationship Id="rId3" Type="http://schemas.openxmlformats.org/officeDocument/2006/relationships/hyperlink" Target="http://www.finance.gov.ls/official_documents.php?id=budget_documents&amp;div=budget_speeches" TargetMode="External"/><Relationship Id="rId7" Type="http://schemas.openxmlformats.org/officeDocument/2006/relationships/hyperlink" Target="http://www.finance.gov.ls/official_documents.php?id=budget_documents&amp;div=budget_book" TargetMode="External"/><Relationship Id="rId12" Type="http://schemas.openxmlformats.org/officeDocument/2006/relationships/hyperlink" Target="http://www.finance.gov.ls/official_documents.php?id=budget_documents&amp;div=budget_speeches" TargetMode="External"/><Relationship Id="rId2" Type="http://schemas.openxmlformats.org/officeDocument/2006/relationships/hyperlink" Target="http://www.finance.gov.ls/documents/budget%20speeches/budget_speech_2016_17.pdf" TargetMode="External"/><Relationship Id="rId16" Type="http://schemas.openxmlformats.org/officeDocument/2006/relationships/comments" Target="../comments21.xml"/><Relationship Id="rId1" Type="http://schemas.openxmlformats.org/officeDocument/2006/relationships/hyperlink" Target="http://www.finance.gov.ls/documents/budget%20speeches/budget_speech_2015_16.pdf" TargetMode="External"/><Relationship Id="rId6" Type="http://schemas.openxmlformats.org/officeDocument/2006/relationships/hyperlink" Target="http://www.finance.gov.ls/official_documents.php?id=budget_documents&amp;div=budget_speeches" TargetMode="External"/><Relationship Id="rId11" Type="http://schemas.openxmlformats.org/officeDocument/2006/relationships/hyperlink" Target="http://www.finance.gov.ls/official_documents.php?id=budget_documents&amp;div=budget_speeches" TargetMode="External"/><Relationship Id="rId5" Type="http://schemas.openxmlformats.org/officeDocument/2006/relationships/hyperlink" Target="http://www.finance.gov.ls/official_documents.php?id=budget_documents&amp;div=budget_book" TargetMode="External"/><Relationship Id="rId15" Type="http://schemas.openxmlformats.org/officeDocument/2006/relationships/vmlDrawing" Target="../drawings/vmlDrawing21.vml"/><Relationship Id="rId10" Type="http://schemas.openxmlformats.org/officeDocument/2006/relationships/hyperlink" Target="http://www.finance.gov.ls/official_documents.php?id=budget_documents&amp;div=budget_speeches" TargetMode="External"/><Relationship Id="rId4" Type="http://schemas.openxmlformats.org/officeDocument/2006/relationships/hyperlink" Target="http://www.finance.gov.ls/official_documents.php?id=budget_documents&amp;div=budget_speeches" TargetMode="External"/><Relationship Id="rId9" Type="http://schemas.openxmlformats.org/officeDocument/2006/relationships/hyperlink" Target="http://www.finance.gov.ls/official_documents.php?id=budget_documents&amp;div=budget_book" TargetMode="External"/><Relationship Id="rId1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comments" Target="../comments22.xml"/><Relationship Id="rId3" Type="http://schemas.openxmlformats.org/officeDocument/2006/relationships/hyperlink" Target="https://www.mfdp.gov.lr/index.php/docs/the-national-budget" TargetMode="External"/><Relationship Id="rId7" Type="http://schemas.openxmlformats.org/officeDocument/2006/relationships/vmlDrawing" Target="../drawings/vmlDrawing22.vml"/><Relationship Id="rId2" Type="http://schemas.openxmlformats.org/officeDocument/2006/relationships/hyperlink" Target="https://www.mfdp.gov.lr/index.php/docs/the-national-budget" TargetMode="External"/><Relationship Id="rId1" Type="http://schemas.openxmlformats.org/officeDocument/2006/relationships/hyperlink" Target="https://www.mfdp.gov.lr/index.php/docs/the-national-budget" TargetMode="External"/><Relationship Id="rId6" Type="http://schemas.openxmlformats.org/officeDocument/2006/relationships/drawing" Target="../drawings/drawing3.xml"/><Relationship Id="rId5" Type="http://schemas.openxmlformats.org/officeDocument/2006/relationships/printerSettings" Target="../printerSettings/printerSettings34.bin"/><Relationship Id="rId4" Type="http://schemas.openxmlformats.org/officeDocument/2006/relationships/hyperlink" Target="https://www.mfdp.gov.lr/index.php/docs/the-national-budget"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mefb.gov.mg/page_personnalisee/index/menu/17" TargetMode="External"/><Relationship Id="rId13" Type="http://schemas.openxmlformats.org/officeDocument/2006/relationships/hyperlink" Target="http://www.mefb.gov.mg/page_personnalisee/index/menu/17" TargetMode="External"/><Relationship Id="rId3" Type="http://schemas.openxmlformats.org/officeDocument/2006/relationships/hyperlink" Target="http://www.dgbudget.mg/images/stories/pdf/Rapports/DocSEB-4T2015/04_SOCIAL_84_MESUPRES_4T_2015.pdf" TargetMode="External"/><Relationship Id="rId7" Type="http://schemas.openxmlformats.org/officeDocument/2006/relationships/hyperlink" Target="http://www.instat.mg/wp-content/uploads/2018/02/instat_tbe30-01-2018.pdf" TargetMode="External"/><Relationship Id="rId12" Type="http://schemas.openxmlformats.org/officeDocument/2006/relationships/hyperlink" Target="http://www.dgfag.mg/index.php/execution-budgetaire/" TargetMode="External"/><Relationship Id="rId2" Type="http://schemas.openxmlformats.org/officeDocument/2006/relationships/hyperlink" Target="http://www.dgbudget.mg/images/stories/pdf/Rapports/DocSEB-4T2015/04_SOCIAL_83_MEETFP_4T_2015.pdf" TargetMode="External"/><Relationship Id="rId16" Type="http://schemas.openxmlformats.org/officeDocument/2006/relationships/printerSettings" Target="../printerSettings/printerSettings35.bin"/><Relationship Id="rId1" Type="http://schemas.openxmlformats.org/officeDocument/2006/relationships/hyperlink" Target="http://www.dgbudget.mg/images/stories/pdf/Rapports/DocSEB-4T2015/04_SOCIAL_81_MEN_4T_2015.pdf" TargetMode="External"/><Relationship Id="rId6" Type="http://schemas.openxmlformats.org/officeDocument/2006/relationships/hyperlink" Target="http://www.instat.mg/wp-content/uploads/2018/02/instat_tbe30-01-2018.pdf" TargetMode="External"/><Relationship Id="rId11" Type="http://schemas.openxmlformats.org/officeDocument/2006/relationships/hyperlink" Target="http://www.mefb.gov.mg/assets/vendor/ckeditor/plugins/kcfinder/upload/files/TOME_1_plf2019.pdf" TargetMode="External"/><Relationship Id="rId5" Type="http://schemas.openxmlformats.org/officeDocument/2006/relationships/hyperlink" Target="http://www.instat.mg/wp-content/uploads/2017/02/INSTAT_tbe26-01-2017.pdf" TargetMode="External"/><Relationship Id="rId15" Type="http://schemas.openxmlformats.org/officeDocument/2006/relationships/hyperlink" Target="http://www.dgfag.mg/index.php/execution-budgetaire/" TargetMode="External"/><Relationship Id="rId10" Type="http://schemas.openxmlformats.org/officeDocument/2006/relationships/hyperlink" Target="http://www.dgfag.mg/wp-content/uploads/2020/01/ANNEXE_TOME-I-DOCUMENT-DE-PERFORMANCE.pdf" TargetMode="External"/><Relationship Id="rId4" Type="http://schemas.openxmlformats.org/officeDocument/2006/relationships/hyperlink" Target="http://www.mefb.gov.mg/textes_lois/dgb/3T-2016/04%20SOCIAL%2081%20MEN%203eme%20trim.pdf" TargetMode="External"/><Relationship Id="rId9" Type="http://schemas.openxmlformats.org/officeDocument/2006/relationships/hyperlink" Target="http://www.mefb.gov.mg/page_personnalisee/index/menu/17" TargetMode="External"/><Relationship Id="rId14" Type="http://schemas.openxmlformats.org/officeDocument/2006/relationships/hyperlink" Target="http://www.dgfag.mg/wp-content/uploads/2020/01/ANNEXE_TOME-I-DOCUMENT-DE-PERFORMANCE.pdf"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www.cabri-sbo.org/en/documents/the-2017-2018-mid-year-budget-review" TargetMode="External"/><Relationship Id="rId13" Type="http://schemas.openxmlformats.org/officeDocument/2006/relationships/comments" Target="../comments23.xml"/><Relationship Id="rId3" Type="http://schemas.openxmlformats.org/officeDocument/2006/relationships/hyperlink" Target="http://www.finance.gov.mw/index.php/documents/cat_view/97-budget-documents" TargetMode="External"/><Relationship Id="rId7" Type="http://schemas.openxmlformats.org/officeDocument/2006/relationships/hyperlink" Target="http://www.finance.gov.mw/index.php/documents/cat_view/97-budget-documents" TargetMode="External"/><Relationship Id="rId12" Type="http://schemas.openxmlformats.org/officeDocument/2006/relationships/vmlDrawing" Target="../drawings/vmlDrawing23.vml"/><Relationship Id="rId2" Type="http://schemas.openxmlformats.org/officeDocument/2006/relationships/hyperlink" Target="http://www.finance.gov.mw/" TargetMode="External"/><Relationship Id="rId1" Type="http://schemas.openxmlformats.org/officeDocument/2006/relationships/hyperlink" Target="http://www.finance.gov.mw/index.php/documents/cat_view/97-budget-documents" TargetMode="External"/><Relationship Id="rId6" Type="http://schemas.openxmlformats.org/officeDocument/2006/relationships/hyperlink" Target="http://www.finance.gov.mw/index.php/documents/cat_view/97-budget-documents" TargetMode="External"/><Relationship Id="rId11" Type="http://schemas.openxmlformats.org/officeDocument/2006/relationships/printerSettings" Target="../printerSettings/printerSettings36.bin"/><Relationship Id="rId5" Type="http://schemas.openxmlformats.org/officeDocument/2006/relationships/hyperlink" Target="http://www.finance.gov.mw/" TargetMode="External"/><Relationship Id="rId10" Type="http://schemas.openxmlformats.org/officeDocument/2006/relationships/hyperlink" Target="https://finance.gov.mw/" TargetMode="External"/><Relationship Id="rId4" Type="http://schemas.openxmlformats.org/officeDocument/2006/relationships/hyperlink" Target="http://www.finance.gov.mw/index.php/documents/cat_view/97-budget-documents" TargetMode="External"/><Relationship Id="rId9" Type="http://schemas.openxmlformats.org/officeDocument/2006/relationships/hyperlink" Target="https://finance.gov.mw/"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finances.gouv.ml/Documents/budget" TargetMode="External"/><Relationship Id="rId13" Type="http://schemas.openxmlformats.org/officeDocument/2006/relationships/comments" Target="../comments24.xml"/><Relationship Id="rId3" Type="http://schemas.openxmlformats.org/officeDocument/2006/relationships/hyperlink" Target="http://www.finances.gouv.ml/lois-des-finances" TargetMode="External"/><Relationship Id="rId7" Type="http://schemas.openxmlformats.org/officeDocument/2006/relationships/hyperlink" Target="http://www.finances.gouv.ml/rapportdexecution" TargetMode="External"/><Relationship Id="rId12" Type="http://schemas.openxmlformats.org/officeDocument/2006/relationships/vmlDrawing" Target="../drawings/vmlDrawing24.vml"/><Relationship Id="rId2" Type="http://schemas.openxmlformats.org/officeDocument/2006/relationships/hyperlink" Target="http://www.finances.gouv.ml/Documents/budget" TargetMode="External"/><Relationship Id="rId1" Type="http://schemas.openxmlformats.org/officeDocument/2006/relationships/hyperlink" Target="http://www.finances.gouv.ml/Documents/budget" TargetMode="External"/><Relationship Id="rId6" Type="http://schemas.openxmlformats.org/officeDocument/2006/relationships/hyperlink" Target="http://www.finances.gouv.ml/lois-des-finances" TargetMode="External"/><Relationship Id="rId11" Type="http://schemas.openxmlformats.org/officeDocument/2006/relationships/printerSettings" Target="../printerSettings/printerSettings37.bin"/><Relationship Id="rId5" Type="http://schemas.openxmlformats.org/officeDocument/2006/relationships/hyperlink" Target="http://www.finances.gouv.ml/Documents/budget" TargetMode="External"/><Relationship Id="rId10" Type="http://schemas.openxmlformats.org/officeDocument/2006/relationships/hyperlink" Target="http://www.finances.gouv.ml/rapportdexecution" TargetMode="External"/><Relationship Id="rId4" Type="http://schemas.openxmlformats.org/officeDocument/2006/relationships/hyperlink" Target="http://www.finances.gouv.ml/rapportdexecution" TargetMode="External"/><Relationship Id="rId9" Type="http://schemas.openxmlformats.org/officeDocument/2006/relationships/hyperlink" Target="http://www.finances.gouv.ml/lois-des-finances"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www.tresor.mr/fr/afficher.php?tb=p6Geng==&amp;id=ZGlu" TargetMode="External"/><Relationship Id="rId3" Type="http://schemas.openxmlformats.org/officeDocument/2006/relationships/hyperlink" Target="http://www.tresor.mr/" TargetMode="External"/><Relationship Id="rId7" Type="http://schemas.openxmlformats.org/officeDocument/2006/relationships/hyperlink" Target="http://www.tresor.mr/fr/afficher.php?tb=p6Geng==&amp;id=Zglu" TargetMode="External"/><Relationship Id="rId12" Type="http://schemas.openxmlformats.org/officeDocument/2006/relationships/printerSettings" Target="../printerSettings/printerSettings38.bin"/><Relationship Id="rId2" Type="http://schemas.openxmlformats.org/officeDocument/2006/relationships/hyperlink" Target="http://www.tresor.mr/" TargetMode="External"/><Relationship Id="rId1" Type="http://schemas.openxmlformats.org/officeDocument/2006/relationships/hyperlink" Target="http://www.tresor.mr/" TargetMode="External"/><Relationship Id="rId6" Type="http://schemas.openxmlformats.org/officeDocument/2006/relationships/hyperlink" Target="http://www.tresor.mr/fr/" TargetMode="External"/><Relationship Id="rId11" Type="http://schemas.openxmlformats.org/officeDocument/2006/relationships/hyperlink" Target="http://www.tresor.mr/" TargetMode="External"/><Relationship Id="rId5" Type="http://schemas.openxmlformats.org/officeDocument/2006/relationships/hyperlink" Target="http://www.tresor.mr/fr/" TargetMode="External"/><Relationship Id="rId10" Type="http://schemas.openxmlformats.org/officeDocument/2006/relationships/hyperlink" Target="http://www.tresor.mr/" TargetMode="External"/><Relationship Id="rId4" Type="http://schemas.openxmlformats.org/officeDocument/2006/relationships/hyperlink" Target="https://www.tresor.mr/fr/suivi.php" TargetMode="External"/><Relationship Id="rId9" Type="http://schemas.openxmlformats.org/officeDocument/2006/relationships/hyperlink" Target="http://www.tresor.mr/"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demo.weblex.md/item/view/iddbtype/1/id/36155e3103ab5f8c21e5f7e6a1ac75dd" TargetMode="External"/><Relationship Id="rId13" Type="http://schemas.openxmlformats.org/officeDocument/2006/relationships/hyperlink" Target="http://mf.gov.md/ro/trezorerie/rapoarte-privind-executarea-bugetului/rapoarte-lunare" TargetMode="External"/><Relationship Id="rId3" Type="http://schemas.openxmlformats.org/officeDocument/2006/relationships/hyperlink" Target="http://www.mf.gov.md/files/files/Legea%20bugetului%20de%20stat%20pe%20anul%202016%20nr_154%20din%2001%20iulie%202016%20(ro).pdf" TargetMode="External"/><Relationship Id="rId7" Type="http://schemas.openxmlformats.org/officeDocument/2006/relationships/hyperlink" Target="file:///C:\Users\wb558749\AppData\Local\Microsoft\Windows\INetCache\wb478675\AppData\Local\Microsoft\Windows\AppData\Local\n_girlovan\AppData\Local\Microsoft\AppData\Local\Temp\ExecutedBudget2017.xls" TargetMode="External"/><Relationship Id="rId12" Type="http://schemas.openxmlformats.org/officeDocument/2006/relationships/hyperlink" Target="http://mf.gov.md/ro/trezorerie/rapoarte-privind-executarea-bugetului/rapoarte-lunare" TargetMode="External"/><Relationship Id="rId2" Type="http://schemas.openxmlformats.org/officeDocument/2006/relationships/hyperlink" Target="http://www.mf.gov.md/files/files/Legea%20bugetului%20de%20stat%20pe%20anul%202016%20nr_154%20din%2001%20iulie%202016%20(ro).pdf" TargetMode="External"/><Relationship Id="rId16" Type="http://schemas.openxmlformats.org/officeDocument/2006/relationships/comments" Target="../comments25.xml"/><Relationship Id="rId1" Type="http://schemas.openxmlformats.org/officeDocument/2006/relationships/hyperlink" Target="http://www.mf.gov.md/files/reports/Formular%20nr.%201.pdf" TargetMode="External"/><Relationship Id="rId6" Type="http://schemas.openxmlformats.org/officeDocument/2006/relationships/hyperlink" Target="http://demo.weblex.md/item/view/iddbtype/1/id/36155e3103ab5f8c21e5f7e6a1ac75dd" TargetMode="External"/><Relationship Id="rId11" Type="http://schemas.openxmlformats.org/officeDocument/2006/relationships/hyperlink" Target="http://demo.weblex.md/item/view/iddbtype/1/id/34ead5acae1c6f637826d00767b5bd7b" TargetMode="External"/><Relationship Id="rId5" Type="http://schemas.openxmlformats.org/officeDocument/2006/relationships/hyperlink" Target="http://mf.gov.md/ro/trezorerie/rapoarte-privind-executarea-bugetului/rapoarte-lunare" TargetMode="External"/><Relationship Id="rId15" Type="http://schemas.openxmlformats.org/officeDocument/2006/relationships/vmlDrawing" Target="../drawings/vmlDrawing25.vml"/><Relationship Id="rId10" Type="http://schemas.openxmlformats.org/officeDocument/2006/relationships/hyperlink" Target="http://demo.weblex.md/item/view/iddbtype/1/id/36155e3103ab5f8c21e5f7e6a1ac75dd" TargetMode="External"/><Relationship Id="rId4" Type="http://schemas.openxmlformats.org/officeDocument/2006/relationships/hyperlink" Target="file://C:\Users\wb558749\AppData\Local\Microsoft\Windows\INetCache\wb478675\AppData\Local\Microsoft\Windows\AppData\Local\n_girlovan\AppData\Local\h_castellano\AppData\Local\H_CAST~1\AppData\Local\Temp\7zO0225322B\Raport%20privind%20executarea%20bugetului%20de%20stat%20pe%20anul%202016.doc" TargetMode="External"/><Relationship Id="rId9" Type="http://schemas.openxmlformats.org/officeDocument/2006/relationships/hyperlink" Target="http://demo.weblex.md/item/view/iddbtype/1/id/LPLP20161216279/specialview/1/ref/mf" TargetMode="External"/><Relationship Id="rId1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dno.gov.mz/" TargetMode="External"/><Relationship Id="rId13" Type="http://schemas.openxmlformats.org/officeDocument/2006/relationships/printerSettings" Target="../printerSettings/printerSettings40.bin"/><Relationship Id="rId3" Type="http://schemas.openxmlformats.org/officeDocument/2006/relationships/hyperlink" Target="http://www.dno.gov.mz/" TargetMode="External"/><Relationship Id="rId7" Type="http://schemas.openxmlformats.org/officeDocument/2006/relationships/hyperlink" Target="http://www.dno.gov.mz/" TargetMode="External"/><Relationship Id="rId12" Type="http://schemas.openxmlformats.org/officeDocument/2006/relationships/hyperlink" Target="http://www.dno.gov.mz/" TargetMode="External"/><Relationship Id="rId2" Type="http://schemas.openxmlformats.org/officeDocument/2006/relationships/hyperlink" Target="http://www.dno.gov.mz/" TargetMode="External"/><Relationship Id="rId1" Type="http://schemas.openxmlformats.org/officeDocument/2006/relationships/hyperlink" Target="http://www.dno.gov.mz/" TargetMode="External"/><Relationship Id="rId6" Type="http://schemas.openxmlformats.org/officeDocument/2006/relationships/hyperlink" Target="http://www.dno.gov.mz/" TargetMode="External"/><Relationship Id="rId11" Type="http://schemas.openxmlformats.org/officeDocument/2006/relationships/hyperlink" Target="http://www.dno.gov.mz/" TargetMode="External"/><Relationship Id="rId5" Type="http://schemas.openxmlformats.org/officeDocument/2006/relationships/hyperlink" Target="http://www.dno.gov.mz/" TargetMode="External"/><Relationship Id="rId15" Type="http://schemas.openxmlformats.org/officeDocument/2006/relationships/comments" Target="../comments26.xml"/><Relationship Id="rId10" Type="http://schemas.openxmlformats.org/officeDocument/2006/relationships/hyperlink" Target="http://www.dno.gov.mz/" TargetMode="External"/><Relationship Id="rId4" Type="http://schemas.openxmlformats.org/officeDocument/2006/relationships/hyperlink" Target="http://www.dno.gov.mz/" TargetMode="External"/><Relationship Id="rId9" Type="http://schemas.openxmlformats.org/officeDocument/2006/relationships/hyperlink" Target="http://www.dno.gov.mz/" TargetMode="External"/><Relationship Id="rId14"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3" Type="http://schemas.openxmlformats.org/officeDocument/2006/relationships/hyperlink" Target="https://mof.gov.np/uploads/document/file/Red%20Book%20Central%202074-75_20170530083940.pdf" TargetMode="External"/><Relationship Id="rId7" Type="http://schemas.openxmlformats.org/officeDocument/2006/relationships/printerSettings" Target="../printerSettings/printerSettings41.bin"/><Relationship Id="rId2" Type="http://schemas.openxmlformats.org/officeDocument/2006/relationships/hyperlink" Target="http://www.mof.gov.np/uploads/document/file/Budget_Speech_final_2016_20160602105902.pdf" TargetMode="External"/><Relationship Id="rId1" Type="http://schemas.openxmlformats.org/officeDocument/2006/relationships/hyperlink" Target="http://www.mof.gov.np/uploads/document/file/Budget_Speech_final_2016_20160602105902.pdf" TargetMode="External"/><Relationship Id="rId6" Type="http://schemas.openxmlformats.org/officeDocument/2006/relationships/hyperlink" Target="https://www.globalpartnership.org/sites/default/files/2019-05-nepal-implementation-plan-ssdp.pdf" TargetMode="External"/><Relationship Id="rId5" Type="http://schemas.openxmlformats.org/officeDocument/2006/relationships/hyperlink" Target="http://www.mof.gov.np/en/archive-documents/budget-speech-17.html?lang=" TargetMode="External"/><Relationship Id="rId4" Type="http://schemas.openxmlformats.org/officeDocument/2006/relationships/hyperlink" Target="https://mof.gov.np/uploads/document/file/Red%20Book%20Central%202074-75_20170530083940.pdf"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hacienda.gob.ni/documentos/presupuesto/informes/2017/Informe%20de%20Liquidacion%20del%20Presupuesto%20General%20de%20la%20Republica%202017.pdf/view" TargetMode="External"/><Relationship Id="rId13" Type="http://schemas.openxmlformats.org/officeDocument/2006/relationships/hyperlink" Target="http://www.nuestropresupuesto.org/presupuestos/funcionales/" TargetMode="External"/><Relationship Id="rId3" Type="http://schemas.openxmlformats.org/officeDocument/2006/relationships/hyperlink" Target="http://www.hacienda.gob.ni/documentos/presupuesto/informes/2016/Informe%20de%20Ejecucicion%20Presupuestaria%20Ene-Sept%202016" TargetMode="External"/><Relationship Id="rId7" Type="http://schemas.openxmlformats.org/officeDocument/2006/relationships/hyperlink" Target="http://www.hacienda.gob.ni/documentos/presupuesto/informes/2017/Informe%20de%20Ejecucicion%20Presupuestaria%20Ene-Sept%202017" TargetMode="External"/><Relationship Id="rId12" Type="http://schemas.openxmlformats.org/officeDocument/2006/relationships/hyperlink" Target="http://www.nuestropresupuesto.org/presupuestos/funcionales/" TargetMode="External"/><Relationship Id="rId2" Type="http://schemas.openxmlformats.org/officeDocument/2006/relationships/hyperlink" Target="http://www.hacienda.gob.ni/documentos/presupuesto/informes/2015/Informe%20de%20Liquidacion%20del%20Presupuesto%20General%20de%20la%20Republica%202015.pdf/view" TargetMode="External"/><Relationship Id="rId1" Type="http://schemas.openxmlformats.org/officeDocument/2006/relationships/hyperlink" Target="http://www.hacienda.gob.ni/documentos/presupuesto/informes" TargetMode="External"/><Relationship Id="rId6" Type="http://schemas.openxmlformats.org/officeDocument/2006/relationships/hyperlink" Target="http://www.hacienda.gob.ni/documentos/presupuesto/informes/201/Informe%20de%20Ejecucicion%20Presupuestaria%20Ene-Sept%202017" TargetMode="External"/><Relationship Id="rId11" Type="http://schemas.openxmlformats.org/officeDocument/2006/relationships/hyperlink" Target="http://www.nuestropresupuesto.org/ingresos/" TargetMode="External"/><Relationship Id="rId5" Type="http://schemas.openxmlformats.org/officeDocument/2006/relationships/hyperlink" Target="http://www.hacienda.gob.ni/documentos/presupuesto/informes/2016/Informe%20de%20Ejecucicion%20Presupuestaria%20Ene-Sept%202016" TargetMode="External"/><Relationship Id="rId10" Type="http://schemas.openxmlformats.org/officeDocument/2006/relationships/hyperlink" Target="http://www.hacienda.gob.ni/documentos/presupuesto/informes/2018/Informe%20de%20Liquidacion%20del%20Presupuesto%20General%20de%20la%20Republica%202018.pdf/view?searchterm=presupuesto%202018" TargetMode="External"/><Relationship Id="rId4" Type="http://schemas.openxmlformats.org/officeDocument/2006/relationships/hyperlink" Target="http://www.hacienda.gob.ni/documentos/presupuesto/informes/2015/Informe%20de%20Liquidacion%20del%20Presupuesto%20General%20de%20la%20Republica%202015.pdf/view" TargetMode="External"/><Relationship Id="rId9" Type="http://schemas.openxmlformats.org/officeDocument/2006/relationships/hyperlink" Target="http://www.hacienda.gob.ni/documentos/presupuesto/informes/2018/Informe%20de%20Liquidacion%20del%20Presupuesto%20General%20de%20la%20Republica%202018.pdf/view?searchterm=presupuesto%202018" TargetMode="External"/><Relationship Id="rId14"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finances.gouv.ne/" TargetMode="External"/><Relationship Id="rId3" Type="http://schemas.openxmlformats.org/officeDocument/2006/relationships/hyperlink" Target="http://www.stat-niger.org/statistique/index.php/lois-et-decrets/107-rapport-provisoire-sur-l-execution-du-budget-general-de-l-etat-au-titre-du-quatrieme-trimestre-2016" TargetMode="External"/><Relationship Id="rId7" Type="http://schemas.openxmlformats.org/officeDocument/2006/relationships/hyperlink" Target="http://www.finances.gouv.ne/" TargetMode="External"/><Relationship Id="rId2" Type="http://schemas.openxmlformats.org/officeDocument/2006/relationships/hyperlink" Target="http://www.stat-niger.org/statistique/index.php" TargetMode="External"/><Relationship Id="rId1" Type="http://schemas.openxmlformats.org/officeDocument/2006/relationships/hyperlink" Target="http://www.stat-niger.org/statistique/index.php/lois-et-decrets/107-rapport-provisoire-sur-l-execution-du-budget-general-de-l-etat-au-titre-du-quatrieme-trimestre-2016" TargetMode="External"/><Relationship Id="rId6" Type="http://schemas.openxmlformats.org/officeDocument/2006/relationships/hyperlink" Target="http://www.finances.gouv.ne/" TargetMode="External"/><Relationship Id="rId5" Type="http://schemas.openxmlformats.org/officeDocument/2006/relationships/hyperlink" Target="http://www.finances.gouv.ne/" TargetMode="External"/><Relationship Id="rId4" Type="http://schemas.openxmlformats.org/officeDocument/2006/relationships/hyperlink" Target="http://www.stat-niger.org/statistique/index.php/lois-et-decrets/114-version-journal-officiel-de-la-loi-de-finances-2018" TargetMode="External"/><Relationship Id="rId9"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jigawastate.gov.ng/budget.php"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finance.kdsg.gov.ng/" TargetMode="External"/><Relationship Id="rId2" Type="http://schemas.openxmlformats.org/officeDocument/2006/relationships/hyperlink" Target="https://finance.kdsg.gov.ng/" TargetMode="External"/><Relationship Id="rId1" Type="http://schemas.openxmlformats.org/officeDocument/2006/relationships/hyperlink" Target="https://finance.kdsg.gov.ng/" TargetMode="External"/><Relationship Id="rId5" Type="http://schemas.openxmlformats.org/officeDocument/2006/relationships/printerSettings" Target="../printerSettings/printerSettings45.bin"/><Relationship Id="rId4" Type="http://schemas.openxmlformats.org/officeDocument/2006/relationships/hyperlink" Target="https://finance.kdsg.gov.ng/"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6.bin"/><Relationship Id="rId3" Type="http://schemas.openxmlformats.org/officeDocument/2006/relationships/hyperlink" Target="https://kanobudget.org/budget/" TargetMode="External"/><Relationship Id="rId7" Type="http://schemas.openxmlformats.org/officeDocument/2006/relationships/hyperlink" Target="https://budget.kn.gov.ng/budget/" TargetMode="External"/><Relationship Id="rId2" Type="http://schemas.openxmlformats.org/officeDocument/2006/relationships/hyperlink" Target="https://kanobudget.org/budget/" TargetMode="External"/><Relationship Id="rId1" Type="http://schemas.openxmlformats.org/officeDocument/2006/relationships/hyperlink" Target="https://kanofinance.org/2019/09/26/2018-audited-financial-statement/" TargetMode="External"/><Relationship Id="rId6" Type="http://schemas.openxmlformats.org/officeDocument/2006/relationships/hyperlink" Target="https://budget.kn.gov.ng/financial-statement/" TargetMode="External"/><Relationship Id="rId5" Type="http://schemas.openxmlformats.org/officeDocument/2006/relationships/hyperlink" Target="https://budget.kn.gov.ng/budget/" TargetMode="External"/><Relationship Id="rId4" Type="http://schemas.openxmlformats.org/officeDocument/2006/relationships/hyperlink" Target="https://budget.kn.gov.ng/"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mofsokoto.finance/resources/" TargetMode="External"/><Relationship Id="rId2" Type="http://schemas.openxmlformats.org/officeDocument/2006/relationships/hyperlink" Target="https://mofsokoto.finance/resources/" TargetMode="External"/><Relationship Id="rId1" Type="http://schemas.openxmlformats.org/officeDocument/2006/relationships/hyperlink" Target="https://mofsokoto.finance/resources/" TargetMode="External"/><Relationship Id="rId5" Type="http://schemas.openxmlformats.org/officeDocument/2006/relationships/printerSettings" Target="../printerSettings/printerSettings47.bin"/><Relationship Id="rId4" Type="http://schemas.openxmlformats.org/officeDocument/2006/relationships/hyperlink" Target="https://mofsokoto.finance/resources/"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13"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18" Type="http://schemas.openxmlformats.org/officeDocument/2006/relationships/hyperlink" Target="http://balochistan.gov.pk/index.php?option=com_docman&amp;task=search_result&amp;Itemid=754&amp;search_phrase=white+paper&amp;catid=0&amp;ordering=newest&amp;search_mode=any&amp;search_where%5B%5D=search_name&amp;search_where%5B%5D=search_description" TargetMode="External"/><Relationship Id="rId26"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3"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21"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7" Type="http://schemas.openxmlformats.org/officeDocument/2006/relationships/hyperlink" Target="http://balochistan.gov.pk/index.php?option=com_docman&amp;task=search_result&amp;Itemid=754&amp;search_phrase=white+paper&amp;catid=0&amp;ordering=newest&amp;search_mode=any&amp;search_where%5B%5D=search_name&amp;search_where%5B%5D=search_description" TargetMode="External"/><Relationship Id="rId12" Type="http://schemas.openxmlformats.org/officeDocument/2006/relationships/hyperlink" Target="http://balochistan.gov.pk/index.php?option=com_docman&amp;task=search_result&amp;Itemid=754&amp;search_phrase=white+paper&amp;catid=0&amp;ordering=newest&amp;search_mode=any&amp;search_where%5B%5D=search_name&amp;search_where%5B%5D=search_description" TargetMode="External"/><Relationship Id="rId17" Type="http://schemas.openxmlformats.org/officeDocument/2006/relationships/hyperlink" Target="http://balochistan.gov.pk/index.php?option=com_docman&amp;task=search_result&amp;Itemid=754&amp;search_phrase=white+paper&amp;catid=0&amp;ordering=newest&amp;search_mode=any&amp;search_where%5B%5D=search_name&amp;search_where%5B%5D=search_description" TargetMode="External"/><Relationship Id="rId25"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2" Type="http://schemas.openxmlformats.org/officeDocument/2006/relationships/hyperlink" Target="http://balochistan.gov.pk/index.php?option=com_docman&amp;task=search_result&amp;Itemid=754&amp;search_phrase=white+paper&amp;catid=0&amp;ordering=newest&amp;search_mode=any&amp;search_where%5B%5D=search_name&amp;search_where%5B%5D=search_description" TargetMode="External"/><Relationship Id="rId16" Type="http://schemas.openxmlformats.org/officeDocument/2006/relationships/hyperlink" Target="http://balochistan.gov.pk/index.php?option=com_docman&amp;task=search_result&amp;Itemid=754&amp;search_phrase=Vol&amp;catid=835&amp;ordering=newest&amp;search_mode=any&amp;search_where%5B%5D=search_name&amp;search_where%5B%5D=search_description" TargetMode="External"/><Relationship Id="rId20" Type="http://schemas.openxmlformats.org/officeDocument/2006/relationships/hyperlink" Target="http://balochistan.gov.pk/index.php?option=com_docman&amp;task=search_result&amp;Itemid=754&amp;search_phrase=Vol&amp;catid=835&amp;ordering=newest&amp;search_mode=any&amp;search_where%5B%5D=search_name&amp;search_where%5B%5D=search_description" TargetMode="External"/><Relationship Id="rId1" Type="http://schemas.openxmlformats.org/officeDocument/2006/relationships/hyperlink" Target="http://balochistan.gov.pk/index.php?option=com_docman&amp;task=search_result&amp;Itemid=754&amp;search_phrase=white+paper&amp;catid=0&amp;ordering=newest&amp;search_mode=any&amp;search_where%5B%5D=search_name&amp;search_where%5B%5D=search_description" TargetMode="External"/><Relationship Id="rId6" Type="http://schemas.openxmlformats.org/officeDocument/2006/relationships/hyperlink" Target="http://balochistan.gov.pk/index.php?option=com_docman&amp;task=search_result&amp;Itemid=754&amp;search_phrase=white+paper&amp;catid=0&amp;ordering=newest&amp;search_mode=any&amp;search_where%5B%5D=search_name&amp;search_where%5B%5D=search_description" TargetMode="External"/><Relationship Id="rId11" Type="http://schemas.openxmlformats.org/officeDocument/2006/relationships/hyperlink" Target="http://balochistan.gov.pk/index.php?option=com_docman&amp;task=search_result&amp;Itemid=754&amp;search_phrase=white+paper&amp;catid=0&amp;ordering=newest&amp;search_mode=any&amp;search_where%5B%5D=search_name&amp;search_where%5B%5D=search_description" TargetMode="External"/><Relationship Id="rId24" Type="http://schemas.openxmlformats.org/officeDocument/2006/relationships/hyperlink" Target="http://balochistan.gov.pk/index.php?option=com_docman&amp;task=search_result&amp;Itemid=754&amp;search_phrase=white+paper&amp;catid=0&amp;ordering=newest&amp;search_mode=any&amp;search_where%5B%5D=search_name&amp;search_where%5B%5D=search_description" TargetMode="External"/><Relationship Id="rId5" Type="http://schemas.openxmlformats.org/officeDocument/2006/relationships/hyperlink" Target="http://balochistan.gov.pk/index.php?option=com_docman&amp;task=search_result&amp;Itemid=754&amp;search_phrase=Vol&amp;catid=835&amp;ordering=newest&amp;search_mode=any&amp;search_where%5B%5D=search_name&amp;search_where%5B%5D=search_description" TargetMode="External"/><Relationship Id="rId15"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23" Type="http://schemas.openxmlformats.org/officeDocument/2006/relationships/hyperlink" Target="http://balochistan.gov.pk/" TargetMode="External"/><Relationship Id="rId10" Type="http://schemas.openxmlformats.org/officeDocument/2006/relationships/hyperlink" Target="http://balochistan.gov.pk/index.php?option=com_docman&amp;task=search_result&amp;Itemid=754&amp;search_phrase=Vol&amp;catid=835&amp;ordering=newest&amp;search_mode=any&amp;search_where%5B%5D=search_name&amp;search_where%5B%5D=search_description" TargetMode="External"/><Relationship Id="rId19"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4"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9" Type="http://schemas.openxmlformats.org/officeDocument/2006/relationships/hyperlink" Target="http://balochistan.gov.pk/index.php?option=com_docman&amp;task=search_result&amp;Itemid=754&amp;search_phrase=ABS&amp;catid=835&amp;ordering=newest&amp;search_mode=any&amp;search_where%5B%5D=search_name&amp;search_where%5B%5D=search_description" TargetMode="External"/><Relationship Id="rId14" Type="http://schemas.openxmlformats.org/officeDocument/2006/relationships/hyperlink" Target="http://balochistan.gov.pk/index.php?option=com_docman&amp;task=search_result&amp;Itemid=754&amp;search_phrase=Vol&amp;catid=835&amp;ordering=newest&amp;search_mode=any&amp;search_where%5B%5D=search_name&amp;search_where%5B%5D=search_description" TargetMode="External"/><Relationship Id="rId22" Type="http://schemas.openxmlformats.org/officeDocument/2006/relationships/hyperlink" Target="http://balochistan.gov.pk/index.php?option=com_docman&amp;task=search_result&amp;Itemid=754&amp;search_phrase=Vol&amp;catid=835&amp;ordering=newest&amp;search_mode=any&amp;search_where%5B%5D=search_name&amp;search_where%5B%5D=search_description" TargetMode="External"/><Relationship Id="rId27"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hyperlink" Target="https://fd.sindh.gov.pk/quarterly-reports" TargetMode="External"/><Relationship Id="rId13" Type="http://schemas.openxmlformats.org/officeDocument/2006/relationships/printerSettings" Target="../printerSettings/printerSettings49.bin"/><Relationship Id="rId3" Type="http://schemas.openxmlformats.org/officeDocument/2006/relationships/hyperlink" Target="http://www.fdsindh.gov.pk/site/cms.php?page=Budget_Volumes" TargetMode="External"/><Relationship Id="rId7" Type="http://schemas.openxmlformats.org/officeDocument/2006/relationships/hyperlink" Target="https://fd.sindh.gov.pk/budget-volumes" TargetMode="External"/><Relationship Id="rId12" Type="http://schemas.openxmlformats.org/officeDocument/2006/relationships/hyperlink" Target="https://fd.sindh.gov.pk/quarterly-reports" TargetMode="External"/><Relationship Id="rId2" Type="http://schemas.openxmlformats.org/officeDocument/2006/relationships/hyperlink" Target="http://www.fdsindh.gov.pk/site/cms.php?page=Budget_Volumes" TargetMode="External"/><Relationship Id="rId1" Type="http://schemas.openxmlformats.org/officeDocument/2006/relationships/hyperlink" Target="http://www.fdsindh.gov.pk/site/cms.php?page=Budget_Volumes" TargetMode="External"/><Relationship Id="rId6" Type="http://schemas.openxmlformats.org/officeDocument/2006/relationships/hyperlink" Target="https://fd.sindh.gov.pk/quarterly-reports" TargetMode="External"/><Relationship Id="rId11" Type="http://schemas.openxmlformats.org/officeDocument/2006/relationships/hyperlink" Target="https://fd.sindh.gov.pk/budget-volumes" TargetMode="External"/><Relationship Id="rId5" Type="http://schemas.openxmlformats.org/officeDocument/2006/relationships/hyperlink" Target="https://fd.sindh.gov.pk/budget-volumes" TargetMode="External"/><Relationship Id="rId10" Type="http://schemas.openxmlformats.org/officeDocument/2006/relationships/hyperlink" Target="https://fd.sindh.gov.pk/quarterly-reports" TargetMode="External"/><Relationship Id="rId4" Type="http://schemas.openxmlformats.org/officeDocument/2006/relationships/hyperlink" Target="http://www.fdsindh.gov.pk/site/cms.php?page=Budget_Volumes" TargetMode="External"/><Relationship Id="rId9" Type="http://schemas.openxmlformats.org/officeDocument/2006/relationships/hyperlink" Target="https://fd.sindh.gov.pk/budget-volum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www.treasury.gov.pg/html/national_budget/files/2013/budget_documents/Related%20Budget%20Documents/2017%20FINAL%20BUDGET%20OUTCOME.pdf" TargetMode="External"/><Relationship Id="rId2" Type="http://schemas.openxmlformats.org/officeDocument/2006/relationships/hyperlink" Target="http://www.treasury.gov.pg/html/national_budget/files/2013/budget_documents/Related%20Budget%20Documents/2017%20FINAL%20BUDGET%20OUTCOME.pdf" TargetMode="External"/><Relationship Id="rId1" Type="http://schemas.openxmlformats.org/officeDocument/2006/relationships/hyperlink" Target="http://www.treasury.gov.pg/html/national_budget/files/2012/budget_html/related_budget_documents.htm" TargetMode="External"/><Relationship Id="rId6" Type="http://schemas.openxmlformats.org/officeDocument/2006/relationships/printerSettings" Target="../printerSettings/printerSettings50.bin"/><Relationship Id="rId5" Type="http://schemas.openxmlformats.org/officeDocument/2006/relationships/hyperlink" Target="http://www.treasury.gov.pg/html/national_budget/files/2012/budget_html/related_budget_documents.htm" TargetMode="External"/><Relationship Id="rId4" Type="http://schemas.openxmlformats.org/officeDocument/2006/relationships/hyperlink" Target="http://www.treasury.gov.pg/html/national_budget/files/2012/budget_html/related_budget_documents.htm"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s://www.unicef.org/esaro/UNICEF-Rwanda-2018-Education-Budget-Brief.pdf" TargetMode="External"/><Relationship Id="rId13" Type="http://schemas.openxmlformats.org/officeDocument/2006/relationships/vmlDrawing" Target="../drawings/vmlDrawing27.vml"/><Relationship Id="rId3" Type="http://schemas.openxmlformats.org/officeDocument/2006/relationships/hyperlink" Target="http://www.minecofin.gov.rw/index.php?id=231&amp;L=data%3A%2F%2Ftext%2Fplain..&amp;tx-filelist-pi1-174%5Bpath%5D=Budget_Execution_Reports%2FBudget_Execution_Report_2015-2016&amp;cHash=37a2c39b6c31cac3ec66a65d9bc97e4e" TargetMode="External"/><Relationship Id="rId7" Type="http://schemas.openxmlformats.org/officeDocument/2006/relationships/hyperlink" Target="https://www.unicef.org/esaro/UNICEF-Rwanda-2018-Education-Budget-Brief.pdf" TargetMode="External"/><Relationship Id="rId12" Type="http://schemas.openxmlformats.org/officeDocument/2006/relationships/printerSettings" Target="../printerSettings/printerSettings51.bin"/><Relationship Id="rId2" Type="http://schemas.openxmlformats.org/officeDocument/2006/relationships/hyperlink" Target="http://www.minecofin.gov.rw/index.php?id=231&amp;L=data%3A%2F%2Ftext%2Fplain..&amp;tx-filelist-pi1-174%5Bpath%5D=Budget_Execution_Reports%2FBudget_Execution_Report_2015-2016&amp;cHash=37a2c39b6c31cac3ec66a65d9bc97e4e" TargetMode="External"/><Relationship Id="rId1" Type="http://schemas.openxmlformats.org/officeDocument/2006/relationships/hyperlink" Target="http://www.minecofin.gov.rw/fileadmin/templates/documents/BUdget_Management_and_Reporting_Unit/Budget_Execution_Reports/2014-2015_Annual_Budget_Execution_Report.pdf" TargetMode="External"/><Relationship Id="rId6" Type="http://schemas.openxmlformats.org/officeDocument/2006/relationships/hyperlink" Target="http://www.minecofin.gov.rw/fileadmin/templates/documents/Budget_Management_and_Reporting_Unit/Budget_Execution_Reports/2017-2018_Budget_Execution_Reports/2017-2018_Annual_Budget_Execution_Report/2017-2018_ANNUAL_BUDGET_EXECUTION_REPORT.pdf" TargetMode="External"/><Relationship Id="rId11" Type="http://schemas.openxmlformats.org/officeDocument/2006/relationships/hyperlink" Target="http://www.minecofin.gov.rw/" TargetMode="External"/><Relationship Id="rId5" Type="http://schemas.openxmlformats.org/officeDocument/2006/relationships/hyperlink" Target="http://www.minecofin.gov.rw/index.php?id=231&amp;L=data%3A%2F%2Ftext%2Fplain..&amp;tx-filelist-pi1-174%5Bpath%5D=Budget_Execution_Reports%2FBudget_Execution_Report_2015-2016&amp;cHash=37a2c39b6c31cac3ec66a65d9bc97e4e" TargetMode="External"/><Relationship Id="rId15" Type="http://schemas.microsoft.com/office/2017/10/relationships/threadedComment" Target="../threadedComments/threadedComment9.xml"/><Relationship Id="rId10" Type="http://schemas.openxmlformats.org/officeDocument/2006/relationships/hyperlink" Target="http://www.minecofin.gov.rw/fileadmin/templates/documents/Budget_Management_and_Reporting_Unit/Budget_Execution_Reports/2017-2018_Budget_Execution_Reports/2017-2018_Annual_Budget_Execution_Report/2017-2018_ANNUAL_BUDGET_EXECUTION_REPORT.pdf" TargetMode="External"/><Relationship Id="rId4" Type="http://schemas.openxmlformats.org/officeDocument/2006/relationships/hyperlink" Target="http://www.minecofin.gov.rw/index.php?id=231&amp;L=428&amp;tx-filelist-pi1-174%5Bpath%5D=Budget_Execution_Reports%2F2016-2017_Budget_Execution_Report&amp;cHash=63cc770b5b2799ec6e57876fda5cdc51" TargetMode="External"/><Relationship Id="rId9" Type="http://schemas.openxmlformats.org/officeDocument/2006/relationships/hyperlink" Target="http://www.minecofin.gov.rw/fileadmin/templates/documents/Budget_Management_and_Reporting_Unit/Budget_Execution_Reports/2017-2018_Budget_Execution_Reports/2017-2018_Annual_Budget_Execution_Report/2017_2018_Fiscal_Outturn.pdf" TargetMode="External"/><Relationship Id="rId14"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8" Type="http://schemas.openxmlformats.org/officeDocument/2006/relationships/hyperlink" Target="https://www.financas.gov.st/index.php/publicacoes/documentos/file/891-3-oge2019-tofe-pdf" TargetMode="External"/><Relationship Id="rId13" Type="http://schemas.openxmlformats.org/officeDocument/2006/relationships/printerSettings" Target="../printerSettings/printerSettings52.bin"/><Relationship Id="rId3" Type="http://schemas.openxmlformats.org/officeDocument/2006/relationships/hyperlink" Target="http://www.min-financas.st/index.php/pt/pub-min/publ-oge/file/1386-2-oge2017-lei-e-relatorio-pdf" TargetMode="External"/><Relationship Id="rId7" Type="http://schemas.openxmlformats.org/officeDocument/2006/relationships/hyperlink" Target="https://www.financas.gov.st/index.php/publicacoes/documentos/file/891-3-oge2019-tofe-pdf" TargetMode="External"/><Relationship Id="rId12" Type="http://schemas.openxmlformats.org/officeDocument/2006/relationships/hyperlink" Target="https://www.financas.gov.st/index.php/publicacoes/documentos/file/944-relatorio-de-execucao-orcamental-iii-trimestre-2019" TargetMode="External"/><Relationship Id="rId2" Type="http://schemas.openxmlformats.org/officeDocument/2006/relationships/hyperlink" Target="http://www.min-financas.st/index.php/pt/pub-min/publ-oge/file/1313-1-orcamento-geral-estado-2016" TargetMode="External"/><Relationship Id="rId1" Type="http://schemas.openxmlformats.org/officeDocument/2006/relationships/hyperlink" Target="http://www.min-financas.st/index.php/pt/pub-min/publ-oge/file/1386-2-oge2017-lei-e-relatorio-pdf" TargetMode="External"/><Relationship Id="rId6" Type="http://schemas.openxmlformats.org/officeDocument/2006/relationships/hyperlink" Target="http://www.min-financas.st/index.php/pt/pub-min/publ-oge/file/1386-2-oge2017-lei-e-relatorio-pdf" TargetMode="External"/><Relationship Id="rId11" Type="http://schemas.openxmlformats.org/officeDocument/2006/relationships/hyperlink" Target="https://www.financas.gov.st/index.php/publicacoes/documentos/category/162-ano-2019" TargetMode="External"/><Relationship Id="rId5" Type="http://schemas.openxmlformats.org/officeDocument/2006/relationships/hyperlink" Target="https://financas.gov.st/index.php/publicacoes/documentos/file/762-3-oge-2018-tofe" TargetMode="External"/><Relationship Id="rId10" Type="http://schemas.openxmlformats.org/officeDocument/2006/relationships/hyperlink" Target="https://www.financas.gov.st/index.php/publicacoes/documentos/category/101-oge" TargetMode="External"/><Relationship Id="rId4" Type="http://schemas.openxmlformats.org/officeDocument/2006/relationships/hyperlink" Target="https://financas.gov.st/index.php/publicacoes/documentos/file/762-3-oge-2018-tofe" TargetMode="External"/><Relationship Id="rId9" Type="http://schemas.openxmlformats.org/officeDocument/2006/relationships/hyperlink" Target="https://www.financas.gov.st/index.php/publicacoes/documentos/file/778-relatorio-execucao-orcamental-fim-periodo-2017"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finances.gouv.sn/images/yootheme/demo/PLFR_2016.pdf" TargetMode="External"/><Relationship Id="rId13" Type="http://schemas.openxmlformats.org/officeDocument/2006/relationships/vmlDrawing" Target="../drawings/vmlDrawing28.vml"/><Relationship Id="rId3" Type="http://schemas.openxmlformats.org/officeDocument/2006/relationships/hyperlink" Target="http://www.finances.gouv.sn/images/yootheme/demo/PLFR_2016.pdf" TargetMode="External"/><Relationship Id="rId7" Type="http://schemas.openxmlformats.org/officeDocument/2006/relationships/hyperlink" Target="http://www.budget.gouv.sn_loi_de_finances_2019_2019-04-01_08-21/" TargetMode="External"/><Relationship Id="rId12" Type="http://schemas.openxmlformats.org/officeDocument/2006/relationships/printerSettings" Target="../printerSettings/printerSettings53.bin"/><Relationship Id="rId2" Type="http://schemas.openxmlformats.org/officeDocument/2006/relationships/hyperlink" Target="http://www.finances.gouv.sn/images/yootheme/demo/LFI_2017.pdf" TargetMode="External"/><Relationship Id="rId1" Type="http://schemas.openxmlformats.org/officeDocument/2006/relationships/hyperlink" Target="http://www.finances.gouv.sn/images/yootheme/demo/LFI_2017.pdf" TargetMode="External"/><Relationship Id="rId6" Type="http://schemas.openxmlformats.org/officeDocument/2006/relationships/hyperlink" Target="http://www.budget.gouv.sn/documents/public_download/5ae30567-98b8-4d16-aac6-589e8ea6b956/telechargement" TargetMode="External"/><Relationship Id="rId11" Type="http://schemas.openxmlformats.org/officeDocument/2006/relationships/hyperlink" Target="http://www.budget.gouv.sn/documents/public_download/5b3fa333-18dc-44d1-a303-059d0a610b4d/telechargement" TargetMode="External"/><Relationship Id="rId5" Type="http://schemas.openxmlformats.org/officeDocument/2006/relationships/hyperlink" Target="http://www.finances.gouv.sn/images/yootheme/demo/PLFR_2016.pdf" TargetMode="External"/><Relationship Id="rId15" Type="http://schemas.microsoft.com/office/2017/10/relationships/threadedComment" Target="../threadedComments/threadedComment10.xml"/><Relationship Id="rId10" Type="http://schemas.openxmlformats.org/officeDocument/2006/relationships/hyperlink" Target="http://www.budget.gouv.sn_loi_de_finances_2019_2019-04-01_08-21/" TargetMode="External"/><Relationship Id="rId4" Type="http://schemas.openxmlformats.org/officeDocument/2006/relationships/hyperlink" Target="http://www.budget.gouv.sn_loi_de_finances_2019_2019-04-01_08-21/" TargetMode="External"/><Relationship Id="rId9" Type="http://schemas.openxmlformats.org/officeDocument/2006/relationships/hyperlink" Target="http://www.budget.gouv.sn/documents/public_download/5ae30567-98b8-4d16-aac6-589e8ea6b956/telechargement" TargetMode="External"/><Relationship Id="rId14" Type="http://schemas.openxmlformats.org/officeDocument/2006/relationships/comments" Target="../comments28.xml"/></Relationships>
</file>

<file path=xl/worksheets/_rels/sheet54.xml.rels><?xml version="1.0" encoding="UTF-8" standalone="yes"?>
<Relationships xmlns="http://schemas.openxmlformats.org/package/2006/relationships"><Relationship Id="rId13" Type="http://schemas.openxmlformats.org/officeDocument/2006/relationships/hyperlink" Target="https://mof.gov.sl/annual-budget/" TargetMode="External"/><Relationship Id="rId18" Type="http://schemas.openxmlformats.org/officeDocument/2006/relationships/hyperlink" Target="https://mof.gov.sl/annual-budget/" TargetMode="External"/><Relationship Id="rId26" Type="http://schemas.openxmlformats.org/officeDocument/2006/relationships/hyperlink" Target="https://mof.gov.sl/annual-budget/" TargetMode="External"/><Relationship Id="rId3" Type="http://schemas.openxmlformats.org/officeDocument/2006/relationships/hyperlink" Target="http://mofed.gov.sl/PUBLICATIONS/April17/Annual%20Accounts%202016%20Final.pdf" TargetMode="External"/><Relationship Id="rId21" Type="http://schemas.openxmlformats.org/officeDocument/2006/relationships/hyperlink" Target="https://mof.gov.sl/annual-budget/" TargetMode="External"/><Relationship Id="rId34" Type="http://schemas.openxmlformats.org/officeDocument/2006/relationships/comments" Target="../comments29.xml"/><Relationship Id="rId7" Type="http://schemas.openxmlformats.org/officeDocument/2006/relationships/hyperlink" Target="http://mofed.gov.sl/PUBLICATIONS/April17/Annual%20Accounts%202016%20Final.pdf" TargetMode="External"/><Relationship Id="rId12" Type="http://schemas.openxmlformats.org/officeDocument/2006/relationships/hyperlink" Target="https://mof.gov.sl/annual-accounts/" TargetMode="External"/><Relationship Id="rId17" Type="http://schemas.openxmlformats.org/officeDocument/2006/relationships/hyperlink" Target="https://mof.gov.sl/annual-budget/" TargetMode="External"/><Relationship Id="rId25" Type="http://schemas.openxmlformats.org/officeDocument/2006/relationships/hyperlink" Target="https://mof.gov.sl/annual-budget/" TargetMode="External"/><Relationship Id="rId33" Type="http://schemas.openxmlformats.org/officeDocument/2006/relationships/vmlDrawing" Target="../drawings/vmlDrawing29.vml"/><Relationship Id="rId2" Type="http://schemas.openxmlformats.org/officeDocument/2006/relationships/hyperlink" Target="http://mofed.gov.sl/ACG/Annual%20Report%20version%204.pdf" TargetMode="External"/><Relationship Id="rId16" Type="http://schemas.openxmlformats.org/officeDocument/2006/relationships/hyperlink" Target="https://mof.gov.sl/annual-budget/" TargetMode="External"/><Relationship Id="rId20" Type="http://schemas.openxmlformats.org/officeDocument/2006/relationships/hyperlink" Target="https://mof.gov.sl/annual-accounts/" TargetMode="External"/><Relationship Id="rId29" Type="http://schemas.openxmlformats.org/officeDocument/2006/relationships/hyperlink" Target="https://mof.gov.sl/annual-accounts/" TargetMode="External"/><Relationship Id="rId1" Type="http://schemas.openxmlformats.org/officeDocument/2006/relationships/hyperlink" Target="http://mofed.gov.sl/PUBLICATIONS/April17/Annual%20Accounts%202016%20Final.pdf" TargetMode="External"/><Relationship Id="rId6" Type="http://schemas.openxmlformats.org/officeDocument/2006/relationships/hyperlink" Target="http://mofed.gov.sl/PUBLICATIONS/April17/Annual%20Accounts%202016%20Final.pdf" TargetMode="External"/><Relationship Id="rId11" Type="http://schemas.openxmlformats.org/officeDocument/2006/relationships/hyperlink" Target="http://mofed.gov.sl/index.php/budget/fiscal-reports" TargetMode="External"/><Relationship Id="rId24" Type="http://schemas.openxmlformats.org/officeDocument/2006/relationships/hyperlink" Target="https://mof.gov.sl/annual-accounts/" TargetMode="External"/><Relationship Id="rId32" Type="http://schemas.openxmlformats.org/officeDocument/2006/relationships/printerSettings" Target="../printerSettings/printerSettings54.bin"/><Relationship Id="rId5" Type="http://schemas.openxmlformats.org/officeDocument/2006/relationships/hyperlink" Target="http://mofed.gov.sl/PUBLICATIONS/April17/Annual%20Accounts%202016%20Final.pdf" TargetMode="External"/><Relationship Id="rId15" Type="http://schemas.openxmlformats.org/officeDocument/2006/relationships/hyperlink" Target="https://mof.gov.sl/annual-accounts/" TargetMode="External"/><Relationship Id="rId23" Type="http://schemas.openxmlformats.org/officeDocument/2006/relationships/hyperlink" Target="https://mof.gov.sl/annual-accounts/" TargetMode="External"/><Relationship Id="rId28" Type="http://schemas.openxmlformats.org/officeDocument/2006/relationships/hyperlink" Target="https://mof.gov.sl/annual-budget/" TargetMode="External"/><Relationship Id="rId10" Type="http://schemas.openxmlformats.org/officeDocument/2006/relationships/hyperlink" Target="http://www.parliament.gov.sl/ParliamentaryBusiness/BudgetSpeeches.aspx" TargetMode="External"/><Relationship Id="rId19" Type="http://schemas.openxmlformats.org/officeDocument/2006/relationships/hyperlink" Target="https://mof.gov.sl/annual-accounts/" TargetMode="External"/><Relationship Id="rId31" Type="http://schemas.openxmlformats.org/officeDocument/2006/relationships/hyperlink" Target="https://mof.gov.sl/annual-budget/" TargetMode="External"/><Relationship Id="rId4" Type="http://schemas.openxmlformats.org/officeDocument/2006/relationships/hyperlink" Target="http://mofed.gov.sl/PUBLICATIONS/April17/Annual%20Accounts%202016%20Final.pdf" TargetMode="External"/><Relationship Id="rId9" Type="http://schemas.openxmlformats.org/officeDocument/2006/relationships/hyperlink" Target="http://www.parliament.gov.sl/ParliamentaryBusiness/BudgetSpeeches.aspx" TargetMode="External"/><Relationship Id="rId14" Type="http://schemas.openxmlformats.org/officeDocument/2006/relationships/hyperlink" Target="https://mof.gov.sl/annual-accounts/" TargetMode="External"/><Relationship Id="rId22" Type="http://schemas.openxmlformats.org/officeDocument/2006/relationships/hyperlink" Target="https://mof.gov.sl/annual-budget/" TargetMode="External"/><Relationship Id="rId27" Type="http://schemas.openxmlformats.org/officeDocument/2006/relationships/hyperlink" Target="https://mof.gov.sl/annual-accounts/" TargetMode="External"/><Relationship Id="rId30" Type="http://schemas.openxmlformats.org/officeDocument/2006/relationships/hyperlink" Target="https://mof.gov.sl/annual-accounts/" TargetMode="External"/><Relationship Id="rId35" Type="http://schemas.microsoft.com/office/2017/10/relationships/threadedComment" Target="../threadedComments/threadedComment11.xml"/><Relationship Id="rId8" Type="http://schemas.openxmlformats.org/officeDocument/2006/relationships/hyperlink" Target="http://mofed.gov.sl/PUBLICATIONS/April17/Annual%20Accounts%202016%20Final.pdf" TargetMode="External"/></Relationships>
</file>

<file path=xl/worksheets/_rels/sheet55.xml.rels><?xml version="1.0" encoding="UTF-8" standalone="yes"?>
<Relationships xmlns="http://schemas.openxmlformats.org/package/2006/relationships"><Relationship Id="rId8" Type="http://schemas.openxmlformats.org/officeDocument/2006/relationships/vmlDrawing" Target="../drawings/vmlDrawing30.vml"/><Relationship Id="rId3" Type="http://schemas.openxmlformats.org/officeDocument/2006/relationships/hyperlink" Target="http://grss-mof.org/documents/?document_cat=9&amp;document_subcat=317&amp;sector=&amp;state=&amp;fiscal_year=201516" TargetMode="External"/><Relationship Id="rId7" Type="http://schemas.openxmlformats.org/officeDocument/2006/relationships/printerSettings" Target="../printerSettings/printerSettings55.bin"/><Relationship Id="rId2" Type="http://schemas.openxmlformats.org/officeDocument/2006/relationships/hyperlink" Target="http://grss-mof.org/documents/?document_cat=9&amp;document_subcat=317&amp;sector=&amp;state=&amp;fiscal_year=201516" TargetMode="External"/><Relationship Id="rId1" Type="http://schemas.openxmlformats.org/officeDocument/2006/relationships/hyperlink" Target="http://grss-mof.org/documents/?document_cat=9&amp;document_subcat=317&amp;sector=&amp;state=&amp;fiscal_year=201516" TargetMode="External"/><Relationship Id="rId6" Type="http://schemas.openxmlformats.org/officeDocument/2006/relationships/hyperlink" Target="http://www.mofep-grss.org/documents/" TargetMode="External"/><Relationship Id="rId5" Type="http://schemas.openxmlformats.org/officeDocument/2006/relationships/hyperlink" Target="http://www.mofep-grss.org/documents/" TargetMode="External"/><Relationship Id="rId4" Type="http://schemas.openxmlformats.org/officeDocument/2006/relationships/hyperlink" Target="http://grss-mof.org/documents/?document_cat=9&amp;document_subcat=317&amp;sector=&amp;state=&amp;fiscal_year=201516" TargetMode="External"/><Relationship Id="rId9" Type="http://schemas.openxmlformats.org/officeDocument/2006/relationships/comments" Target="../comments30.xm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hyperlink" Target="http://minfin.tj/downloads/otjet_po_ispolneniy_bydjet_4_kvartala_2015g4.pdf" TargetMode="External"/><Relationship Id="rId7" Type="http://schemas.openxmlformats.org/officeDocument/2006/relationships/hyperlink" Target="http://minfin.tj/index.php?do=static&amp;page=budget" TargetMode="External"/><Relationship Id="rId2" Type="http://schemas.openxmlformats.org/officeDocument/2006/relationships/hyperlink" Target="http://minfin.tj/downloads/otjet_po_ispolneniy_bydjet_4_kvartala_2015g4.pdf" TargetMode="External"/><Relationship Id="rId1" Type="http://schemas.openxmlformats.org/officeDocument/2006/relationships/hyperlink" Target="http://minfin.tj/downloads/isp%20budjet_2014.pdf" TargetMode="External"/><Relationship Id="rId6" Type="http://schemas.openxmlformats.org/officeDocument/2006/relationships/hyperlink" Target="http://minfin.tj/index.php?do=static&amp;page=budget" TargetMode="External"/><Relationship Id="rId5" Type="http://schemas.openxmlformats.org/officeDocument/2006/relationships/hyperlink" Target="http://minfin.tj/index.php?do=static&amp;page=budget" TargetMode="External"/><Relationship Id="rId10" Type="http://schemas.openxmlformats.org/officeDocument/2006/relationships/comments" Target="../comments31.xml"/><Relationship Id="rId4" Type="http://schemas.openxmlformats.org/officeDocument/2006/relationships/hyperlink" Target="http://minfin.tj/index.php?do=static&amp;page=budget" TargetMode="External"/><Relationship Id="rId9" Type="http://schemas.openxmlformats.org/officeDocument/2006/relationships/vmlDrawing" Target="../drawings/vmlDrawing31.vml"/></Relationships>
</file>

<file path=xl/worksheets/_rels/sheet57.xml.rels><?xml version="1.0" encoding="UTF-8" standalone="yes"?>
<Relationships xmlns="http://schemas.openxmlformats.org/package/2006/relationships"><Relationship Id="rId8" Type="http://schemas.openxmlformats.org/officeDocument/2006/relationships/hyperlink" Target="http://www.mof.go.tz/mofdocs/budget/Budget%20Books/As%20Passed%20by%20National%20Assembly/Volume%20III%20-As%20Passed%202016-2017.pdf" TargetMode="External"/><Relationship Id="rId13" Type="http://schemas.openxmlformats.org/officeDocument/2006/relationships/printerSettings" Target="../printerSettings/printerSettings57.bin"/><Relationship Id="rId3" Type="http://schemas.openxmlformats.org/officeDocument/2006/relationships/hyperlink" Target="http://www.mof.go.tz/index.php/budget/budget-books" TargetMode="External"/><Relationship Id="rId7" Type="http://schemas.openxmlformats.org/officeDocument/2006/relationships/hyperlink" Target="http://www.mof.go.tz/mofdocs/budget/Budget%20Books/As%20Passed%20by%20National%20Assembly/Volume%20IV%20-%20As%20Passed%202016-2017.pdf" TargetMode="External"/><Relationship Id="rId12" Type="http://schemas.openxmlformats.org/officeDocument/2006/relationships/hyperlink" Target="https://mof.go.tz/index.php/budget/budget-bookss" TargetMode="External"/><Relationship Id="rId2" Type="http://schemas.openxmlformats.org/officeDocument/2006/relationships/hyperlink" Target="http://www.mof.go.tz/index.php/budget/budget-books" TargetMode="External"/><Relationship Id="rId1" Type="http://schemas.openxmlformats.org/officeDocument/2006/relationships/hyperlink" Target="http://www.mof.go.tz/mofdocs/budget/Budget%20Execution%20Report/BER-QT4-2014-15.pdf" TargetMode="External"/><Relationship Id="rId6" Type="http://schemas.openxmlformats.org/officeDocument/2006/relationships/hyperlink" Target="https://mof.go.tz/index.php/budget/budget-bookss" TargetMode="External"/><Relationship Id="rId11" Type="http://schemas.openxmlformats.org/officeDocument/2006/relationships/hyperlink" Target="https://mof.go.tz/index.php/budget/budget-bookss" TargetMode="External"/><Relationship Id="rId5" Type="http://schemas.openxmlformats.org/officeDocument/2006/relationships/hyperlink" Target="https://mof.go.tz/index.php/budget/budget-bookss" TargetMode="External"/><Relationship Id="rId10" Type="http://schemas.openxmlformats.org/officeDocument/2006/relationships/hyperlink" Target="http://www.mof.go.tz/index.php/budget/budget-bookss" TargetMode="External"/><Relationship Id="rId4" Type="http://schemas.openxmlformats.org/officeDocument/2006/relationships/hyperlink" Target="http://www.mof.go.tz/index.php/budget/budget-bookss" TargetMode="External"/><Relationship Id="rId9" Type="http://schemas.openxmlformats.org/officeDocument/2006/relationships/hyperlink" Target="http://www.mof.go.tz/index.php/budget/budget-books"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zanzibar.go.tz/admin/uploads/HOTUBA%20YA%20WAZIRI%20WA%20ELIMU%20NA%20MAFUNZO%20YA%20AMALI%20.pdf" TargetMode="External"/><Relationship Id="rId13" Type="http://schemas.openxmlformats.org/officeDocument/2006/relationships/printerSettings" Target="../printerSettings/printerSettings58.bin"/><Relationship Id="rId3" Type="http://schemas.openxmlformats.org/officeDocument/2006/relationships/hyperlink" Target="http://www.zanzibar.go.tz/admin/uploads/Bajeti-WEMA-Final.pdf" TargetMode="External"/><Relationship Id="rId7" Type="http://schemas.openxmlformats.org/officeDocument/2006/relationships/hyperlink" Target="http://www.zanzibar.go.tz/admin/uploads/Hotuba-ya-Bajeti-13-Mei-2015(3).pdf" TargetMode="External"/><Relationship Id="rId12" Type="http://schemas.openxmlformats.org/officeDocument/2006/relationships/hyperlink" Target="http://www.mofeaznz.org/folder/" TargetMode="External"/><Relationship Id="rId2" Type="http://schemas.openxmlformats.org/officeDocument/2006/relationships/hyperlink" Target="http://www.zanzibar.go.tz/admin/uploads/Hotuba-ya-Bajeti-13-Mei-2015(3).pdf" TargetMode="External"/><Relationship Id="rId1" Type="http://schemas.openxmlformats.org/officeDocument/2006/relationships/hyperlink" Target="http://www.zanzibar.go.tz/admin/uploads/Hotuba-ya-Bajeti-13-Mei-2015(3).pdf" TargetMode="External"/><Relationship Id="rId6" Type="http://schemas.openxmlformats.org/officeDocument/2006/relationships/hyperlink" Target="http://www.zanzibar.go.tz/admin/uploads/HOTUBA%20YA%20WAZIRI%20WA%20ELIMU%20NA%20MAFUNZO%20YA%20AMALI%20.pdf" TargetMode="External"/><Relationship Id="rId11" Type="http://schemas.openxmlformats.org/officeDocument/2006/relationships/hyperlink" Target="http://www.mofeaznz.org/folder/" TargetMode="External"/><Relationship Id="rId5" Type="http://schemas.openxmlformats.org/officeDocument/2006/relationships/hyperlink" Target="http://www.zanzibar.go.tz/admin/uploads/Bajeti-WEMA-Final.pdf" TargetMode="External"/><Relationship Id="rId10" Type="http://schemas.openxmlformats.org/officeDocument/2006/relationships/hyperlink" Target="http://www.zanzibar.go.tz/admin/uploads/bajetyaserikali.pdf" TargetMode="External"/><Relationship Id="rId4" Type="http://schemas.openxmlformats.org/officeDocument/2006/relationships/hyperlink" Target="http://www.zanzibar.go.tz/admin/uploads/HOTUBA%20YA%20WAZIRI%20WA%20ELIMU%20NA%20MAFUNZO%20YA%20AMALI%20.pdf" TargetMode="External"/><Relationship Id="rId9" Type="http://schemas.openxmlformats.org/officeDocument/2006/relationships/hyperlink" Target="http://www.zanzibar.go.tz/admin/uploads/Hotuba-ya-Bajeti-13-Mei-2015(3).pdf"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budgettransparency.gov.tl/publicTransparency" TargetMode="External"/><Relationship Id="rId3" Type="http://schemas.openxmlformats.org/officeDocument/2006/relationships/hyperlink" Target="http://www.budgettransparency.gov.tl/publicTransparency" TargetMode="External"/><Relationship Id="rId7" Type="http://schemas.openxmlformats.org/officeDocument/2006/relationships/hyperlink" Target="http://www.budgettransparency.gov.tl/publicTransparency" TargetMode="External"/><Relationship Id="rId12" Type="http://schemas.openxmlformats.org/officeDocument/2006/relationships/printerSettings" Target="../printerSettings/printerSettings59.bin"/><Relationship Id="rId2" Type="http://schemas.openxmlformats.org/officeDocument/2006/relationships/hyperlink" Target="http://www.budgettransparency.gov.tl/publicTransparency" TargetMode="External"/><Relationship Id="rId1" Type="http://schemas.openxmlformats.org/officeDocument/2006/relationships/hyperlink" Target="https://www.mof.gov.tl/budget-spending/budget-execution/?lang=en" TargetMode="External"/><Relationship Id="rId6" Type="http://schemas.openxmlformats.org/officeDocument/2006/relationships/hyperlink" Target="http://www.budgettransparency.gov.tl/publicTransparency" TargetMode="External"/><Relationship Id="rId11" Type="http://schemas.openxmlformats.org/officeDocument/2006/relationships/hyperlink" Target="http://www.budgettransparency.gov.tl/publicTransparency" TargetMode="External"/><Relationship Id="rId5" Type="http://schemas.openxmlformats.org/officeDocument/2006/relationships/hyperlink" Target="http://www.budgettransparency.gov.tl/publicTransparency" TargetMode="External"/><Relationship Id="rId10" Type="http://schemas.openxmlformats.org/officeDocument/2006/relationships/hyperlink" Target="http://www.budgettransparency.gov.tl/publicTransparency" TargetMode="External"/><Relationship Id="rId4" Type="http://schemas.openxmlformats.org/officeDocument/2006/relationships/hyperlink" Target="http://www.budgettransparency.gov.tl/publicTransparency" TargetMode="External"/><Relationship Id="rId9" Type="http://schemas.openxmlformats.org/officeDocument/2006/relationships/hyperlink" Target="http://www.budgettransparency.gov.tl/publicTransparenc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hyperlink" Target="https://finances.gouv.tg/listing-documents" TargetMode="External"/><Relationship Id="rId3" Type="http://schemas.openxmlformats.org/officeDocument/2006/relationships/hyperlink" Target="http://www.togoreforme.com/fr/index.php?option=com_docman&amp;task=search_result&amp;Itemid=65" TargetMode="External"/><Relationship Id="rId7" Type="http://schemas.openxmlformats.org/officeDocument/2006/relationships/hyperlink" Target="http://www.togoreforme.com/fr/index.php?option=com_docman&amp;task=search_result&amp;Itemid=65" TargetMode="External"/><Relationship Id="rId2" Type="http://schemas.openxmlformats.org/officeDocument/2006/relationships/hyperlink" Target="http://finances.gouv.tg/sites/default/files/documents/budget_depense_2016_1_0.pdf" TargetMode="External"/><Relationship Id="rId1" Type="http://schemas.openxmlformats.org/officeDocument/2006/relationships/hyperlink" Target="http://finances.gouv.tg/sites/default/files/documents/tofe_2016_valeurs_du_08_mars_2017x.pdf" TargetMode="External"/><Relationship Id="rId6" Type="http://schemas.openxmlformats.org/officeDocument/2006/relationships/hyperlink" Target="https://finances.gouv.tg/listing-documents" TargetMode="External"/><Relationship Id="rId11" Type="http://schemas.openxmlformats.org/officeDocument/2006/relationships/comments" Target="../comments32.xml"/><Relationship Id="rId5" Type="http://schemas.openxmlformats.org/officeDocument/2006/relationships/hyperlink" Target="http://www.togoreforme.com/fr/index.php?option=com_docman&amp;task=search_result&amp;Itemid=65" TargetMode="External"/><Relationship Id="rId10" Type="http://schemas.openxmlformats.org/officeDocument/2006/relationships/vmlDrawing" Target="../drawings/vmlDrawing32.vml"/><Relationship Id="rId4" Type="http://schemas.openxmlformats.org/officeDocument/2006/relationships/hyperlink" Target="http://finances.gouv.tg/sites/default/files/documents/budget_depense_2017.pdf" TargetMode="External"/><Relationship Id="rId9"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8" Type="http://schemas.openxmlformats.org/officeDocument/2006/relationships/hyperlink" Target="https://budget.go.ug/sites/default/files/National%20Budget%20docs/Annual%20Budget%20Performance%20Report%20%28ABPR%29%20FY%202017-18.pdf" TargetMode="External"/><Relationship Id="rId3" Type="http://schemas.openxmlformats.org/officeDocument/2006/relationships/hyperlink" Target="http://www.budget.go.ug/budget/national-budget-performance-reports?field_document_typeperformance_tid=47&amp;field_financial_yearperformance_tid=All&amp;field_periodperformance_tid=500" TargetMode="External"/><Relationship Id="rId7" Type="http://schemas.openxmlformats.org/officeDocument/2006/relationships/hyperlink" Target="http://budget.go.ug/budget/sites/default/files/National%20Budget%20docs/Annual%20Budget%20Performance%20Report%20FY%202015-16.pdf" TargetMode="External"/><Relationship Id="rId2" Type="http://schemas.openxmlformats.org/officeDocument/2006/relationships/hyperlink" Target="http://www.budget.go.ug/budget/national-budget-performance-reports?field_document_typeperformance_tid=47&amp;field_financial_yearperformance_tid=All&amp;field_periodperformance_tid=500" TargetMode="External"/><Relationship Id="rId1" Type="http://schemas.openxmlformats.org/officeDocument/2006/relationships/hyperlink" Target="http://www.budget.go.ug/budget/national-budget-performance-reports?field_document_typeperformance_tid=47&amp;field_financial_yearperformance_tid=All&amp;field_periodperformance_tid=500" TargetMode="External"/><Relationship Id="rId6" Type="http://schemas.openxmlformats.org/officeDocument/2006/relationships/hyperlink" Target="http://budget.go.ug/budget/sites/default/files/National%20Budget%20docs/ANNUAL%20BUDGET%20PERFORMANCE%20REPORT%20FY%2020116-17.pdf" TargetMode="External"/><Relationship Id="rId5" Type="http://schemas.openxmlformats.org/officeDocument/2006/relationships/hyperlink" Target="http://budget.go.ug/budget/sites/default/files/National%20Budget%20docs/ANNUAL%20BUDGET%20PERFORMANCE%20REPORT%20FY%2020116-17.pdf" TargetMode="External"/><Relationship Id="rId10" Type="http://schemas.openxmlformats.org/officeDocument/2006/relationships/printerSettings" Target="../printerSettings/printerSettings61.bin"/><Relationship Id="rId4" Type="http://schemas.openxmlformats.org/officeDocument/2006/relationships/hyperlink" Target="http://budget.go.ug/budget/sites/default/files/National%20Budget%20docs/Annual%20Budget%20Performance%20Report%20FY%202015-16.pdf" TargetMode="External"/><Relationship Id="rId9" Type="http://schemas.openxmlformats.org/officeDocument/2006/relationships/hyperlink" Target="https://budget.go.ug/sites/default/files/National%20Budget%20docs/Annual%20Budget%20Performance%20Report%20%28ABPR%29%20FY%202017-18.pdf"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s://www.mf.uz/media/file/state-budget/1/2018.xlsx" TargetMode="External"/><Relationship Id="rId3" Type="http://schemas.openxmlformats.org/officeDocument/2006/relationships/hyperlink" Target="https://www.mf.uz/media/file/state-budget/1/ispolnenie_2015_godovoy.pdf" TargetMode="External"/><Relationship Id="rId7" Type="http://schemas.openxmlformats.org/officeDocument/2006/relationships/hyperlink" Target="https://www.mf.uz/" TargetMode="External"/><Relationship Id="rId2" Type="http://schemas.openxmlformats.org/officeDocument/2006/relationships/hyperlink" Target="https://www.mf.uz/media/file/state-budget/1/2013-4.pdf" TargetMode="External"/><Relationship Id="rId1" Type="http://schemas.openxmlformats.org/officeDocument/2006/relationships/hyperlink" Target="http://www.stat.kg/media/statisticsoperational/90465663-df1b-4c86-928c-85b034d585d6.xls" TargetMode="External"/><Relationship Id="rId6" Type="http://schemas.openxmlformats.org/officeDocument/2006/relationships/hyperlink" Target="https://www.mf.uz/home/deyatelnost/gosudarstvennyj-byudzhet.html" TargetMode="External"/><Relationship Id="rId11" Type="http://schemas.openxmlformats.org/officeDocument/2006/relationships/comments" Target="../comments33.xml"/><Relationship Id="rId5" Type="http://schemas.openxmlformats.org/officeDocument/2006/relationships/hyperlink" Target="https://www.mf.uz/home/deyatelnost/gosudarstvennyj-byudzhet.html" TargetMode="External"/><Relationship Id="rId10" Type="http://schemas.openxmlformats.org/officeDocument/2006/relationships/vmlDrawing" Target="../drawings/vmlDrawing33.vml"/><Relationship Id="rId4" Type="http://schemas.openxmlformats.org/officeDocument/2006/relationships/hyperlink" Target="https://www.mf.uz/media/file/state-budget/1/2014-4.pdf" TargetMode="External"/><Relationship Id="rId9"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8" Type="http://schemas.openxmlformats.org/officeDocument/2006/relationships/hyperlink" Target="https://www.mof.gov.vn/webcenter/portal/mof/r/lvtc/nsnn/solieutrongnuoc/dutoan80?_afrLoop=6356436075168609" TargetMode="External"/><Relationship Id="rId3" Type="http://schemas.openxmlformats.org/officeDocument/2006/relationships/hyperlink" Target="https://www.mof.gov.vn/webcenter/portal/btc/r/lvtc/slnsnn/slqt/slqt_chitiet?dDocName=MOFUCM142926&amp;dID=149140&amp;_afrLoop=63092613299646674" TargetMode="External"/><Relationship Id="rId7" Type="http://schemas.openxmlformats.org/officeDocument/2006/relationships/hyperlink" Target="https://www.mof.gov.vn/webcenter/portal/mof/r/lvtc/nsnn?_afrLoop=6356031478631445" TargetMode="External"/><Relationship Id="rId2" Type="http://schemas.openxmlformats.org/officeDocument/2006/relationships/hyperlink" Target="https://thuvienphapluat.vn/van-ban/Tai-chinh-nha-nuoc/Nghi-quyet-37-2017-QH14-phe-chuan-quyet-toan-ngan-sach-nha-nuoc-2015-353830.aspx" TargetMode="External"/><Relationship Id="rId1" Type="http://schemas.openxmlformats.org/officeDocument/2006/relationships/hyperlink" Target="http://www.mof.gov.vn/webcenter/portal/btc/r/lvtc/slnsnn/slqt/slqt_chitiet?dDocName=MOFUCM142926&amp;_adf.ctrl-state=1duchb7f5v_802&amp;_afrLoop=28595251226288159" TargetMode="External"/><Relationship Id="rId6" Type="http://schemas.openxmlformats.org/officeDocument/2006/relationships/hyperlink" Target="https://www.mof.gov.vn/webcenter/portal/btc/r/lvtc/slnsnn/slqt/slqt_chitiet?dDocName=MOFUCM142934&amp;dID=149149&amp;_afrLoop=63093757429791116" TargetMode="External"/><Relationship Id="rId5" Type="http://schemas.openxmlformats.org/officeDocument/2006/relationships/hyperlink" Target="https://www.mof.gov.vn/webcenter/portal/btc/r/lvtc/slnsnn/slqt/slqt_chitiet?dDocName=MOFUCM169811&amp;_afrLoop=63093548674916782" TargetMode="External"/><Relationship Id="rId10" Type="http://schemas.openxmlformats.org/officeDocument/2006/relationships/drawing" Target="../drawings/drawing4.xml"/><Relationship Id="rId4" Type="http://schemas.openxmlformats.org/officeDocument/2006/relationships/hyperlink" Target="https://www.mof.gov.vn/webcenter/portal/btc/r/lvtc/slnsnn/slqt/slqt_chitiet?dDocName=UCMDR118236&amp;dID=128649&amp;_afrLoop=63092833716603596" TargetMode="External"/><Relationship Id="rId9"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8" Type="http://schemas.openxmlformats.org/officeDocument/2006/relationships/hyperlink" Target="http://www.mof.gov.zm/jdownloads/Budget/Budget%20Yellow%20Book/yellow_book_2016.pdf" TargetMode="External"/><Relationship Id="rId13" Type="http://schemas.openxmlformats.org/officeDocument/2006/relationships/hyperlink" Target="https://www.mof.gov.zm/2019-2021-medium-term-expenditure-framework/" TargetMode="External"/><Relationship Id="rId3" Type="http://schemas.openxmlformats.org/officeDocument/2006/relationships/hyperlink" Target="http://www.mofnp.gov.zm/index.php/budgetdata/viewcategory/17-budget-yellow-book" TargetMode="External"/><Relationship Id="rId7" Type="http://schemas.openxmlformats.org/officeDocument/2006/relationships/hyperlink" Target="http://zambiamf.opendataforafrica.org/zimnugb" TargetMode="External"/><Relationship Id="rId12" Type="http://schemas.openxmlformats.org/officeDocument/2006/relationships/hyperlink" Target="http://www.mof.gov.zm/" TargetMode="External"/><Relationship Id="rId17" Type="http://schemas.openxmlformats.org/officeDocument/2006/relationships/printerSettings" Target="../printerSettings/printerSettings64.bin"/><Relationship Id="rId2" Type="http://schemas.openxmlformats.org/officeDocument/2006/relationships/hyperlink" Target="http://www.mofnp.gov.zm/index.php/budgetdata/viewcategory/17-budget-yellow-book" TargetMode="External"/><Relationship Id="rId16" Type="http://schemas.openxmlformats.org/officeDocument/2006/relationships/hyperlink" Target="http://www.mof.gov.zm/" TargetMode="External"/><Relationship Id="rId1" Type="http://schemas.openxmlformats.org/officeDocument/2006/relationships/hyperlink" Target="http://www.mofnp.gov.zm/index.php/publicfinancialmanagement/viewcategory/91-detailed-annual-financial-reports" TargetMode="External"/><Relationship Id="rId6" Type="http://schemas.openxmlformats.org/officeDocument/2006/relationships/hyperlink" Target="http://zambiamf.opendataforafrica.org/zimnugb" TargetMode="External"/><Relationship Id="rId11" Type="http://schemas.openxmlformats.org/officeDocument/2006/relationships/hyperlink" Target="http://www.mof.gov.zm/wp-content/uploads/2018/09/2019-2021-Green-Paper-Merged.pdf" TargetMode="External"/><Relationship Id="rId5" Type="http://schemas.openxmlformats.org/officeDocument/2006/relationships/hyperlink" Target="http://zambiamf.opendataforafrica.org/zimnugb" TargetMode="External"/><Relationship Id="rId15" Type="http://schemas.openxmlformats.org/officeDocument/2006/relationships/hyperlink" Target="https://www.mof.gov.zm/yellow-for-the-2019-budget/" TargetMode="External"/><Relationship Id="rId10" Type="http://schemas.openxmlformats.org/officeDocument/2006/relationships/hyperlink" Target="http://www.parliament.gov.zm/publications/" TargetMode="External"/><Relationship Id="rId4" Type="http://schemas.openxmlformats.org/officeDocument/2006/relationships/hyperlink" Target="http://www.mof.gov.zm/jdownloads/Budget/Budget%20Yellow%20Book/yellow_book_2016.pdf" TargetMode="External"/><Relationship Id="rId9" Type="http://schemas.openxmlformats.org/officeDocument/2006/relationships/hyperlink" Target="http://zambiamf.opendataforafrica.org/zimnugb" TargetMode="External"/><Relationship Id="rId14" Type="http://schemas.openxmlformats.org/officeDocument/2006/relationships/hyperlink" Target="https://www.mof.gov.zm/yellow-for-the-2019-budget/" TargetMode="External"/></Relationships>
</file>

<file path=xl/worksheets/_rels/sheet65.xml.rels><?xml version="1.0" encoding="UTF-8" standalone="yes"?>
<Relationships xmlns="http://schemas.openxmlformats.org/package/2006/relationships"><Relationship Id="rId8" Type="http://schemas.openxmlformats.org/officeDocument/2006/relationships/comments" Target="../comments34.xml"/><Relationship Id="rId3" Type="http://schemas.openxmlformats.org/officeDocument/2006/relationships/hyperlink" Target="http://www.zimtreasury.gov.zw/index.php/resources/downloads/category/20-budget-policy-statements" TargetMode="External"/><Relationship Id="rId7" Type="http://schemas.openxmlformats.org/officeDocument/2006/relationships/vmlDrawing" Target="../drawings/vmlDrawing34.vml"/><Relationship Id="rId2" Type="http://schemas.openxmlformats.org/officeDocument/2006/relationships/hyperlink" Target="http://www.zimtreasury.gov.zw/index.php/budget-policy-statements" TargetMode="External"/><Relationship Id="rId1" Type="http://schemas.openxmlformats.org/officeDocument/2006/relationships/hyperlink" Target="http://www.zimtreasury.gov.zw/index.php/budget-policy-statements" TargetMode="External"/><Relationship Id="rId6" Type="http://schemas.openxmlformats.org/officeDocument/2006/relationships/printerSettings" Target="../printerSettings/printerSettings65.bin"/><Relationship Id="rId5" Type="http://schemas.openxmlformats.org/officeDocument/2006/relationships/hyperlink" Target="http://www.zimtreasury.gov.zw/" TargetMode="External"/><Relationship Id="rId4" Type="http://schemas.openxmlformats.org/officeDocument/2006/relationships/hyperlink" Target="http://www.zimtreasury.gov.zw/index.php/resources/downloads/category/20-budget-policy-statement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budgetmof.gov.af/images/stories/DGB/BPRD/National%20Budget/1396_Budget/1396%20National%20Budget%20-%20Approved%20-%20English%20dated%2025Feb2017.pdf" TargetMode="External"/><Relationship Id="rId7" Type="http://schemas.openxmlformats.org/officeDocument/2006/relationships/hyperlink" Target="http://www.budgetmof.gov.af/index.php/en/2012-12-06-22-51-13/monthly-financial-reports" TargetMode="External"/><Relationship Id="rId2" Type="http://schemas.openxmlformats.org/officeDocument/2006/relationships/hyperlink" Target="http://www.budgetmof.gov.af/images/stories/DGB/BPRD/National%20Budget/1396_Budget/1396%20National%20Budget%20-%20Approved%20-%20English%20dated%2025Feb2017.pdf" TargetMode="External"/><Relationship Id="rId1" Type="http://schemas.openxmlformats.org/officeDocument/2006/relationships/hyperlink" Target="http://www.budgetmof.gov.af/images/stories/DGB/BPRD/National%20Budget/1396_Budget/1396%20National%20Budget%20-%20Approved%20-%20English%20dated%2025Feb2017.pdf" TargetMode="External"/><Relationship Id="rId6" Type="http://schemas.openxmlformats.org/officeDocument/2006/relationships/hyperlink" Target="http://www.budgetmof.gov.af/index.php/en/2012-12-06-22-51-13/national-budget" TargetMode="External"/><Relationship Id="rId5" Type="http://schemas.openxmlformats.org/officeDocument/2006/relationships/hyperlink" Target="http://www.budgetmof.gov.af/index.php/en/2012-12-06-22-51-13/national-budget" TargetMode="External"/><Relationship Id="rId10" Type="http://schemas.openxmlformats.org/officeDocument/2006/relationships/comments" Target="../comments2.xml"/><Relationship Id="rId4" Type="http://schemas.openxmlformats.org/officeDocument/2006/relationships/hyperlink" Target="http://www.budgetmof.gov.af/index.php/en/2012-12-06-22-51-13/national-budget" TargetMode="External"/><Relationship Id="rId9"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hyperlink" Target="http://www.financa.gov.al/al/raportime/thesari/buletini-fiskal" TargetMode="External"/><Relationship Id="rId13" Type="http://schemas.openxmlformats.org/officeDocument/2006/relationships/hyperlink" Target="http://www.arsimi.gov.al/al/ministria/buxheti-dhe-financat" TargetMode="External"/><Relationship Id="rId18" Type="http://schemas.openxmlformats.org/officeDocument/2006/relationships/hyperlink" Target="http://www.arsimi.gov.al/al/ministria/buxheti-dhe-financat" TargetMode="External"/><Relationship Id="rId3" Type="http://schemas.openxmlformats.org/officeDocument/2006/relationships/hyperlink" Target="http://www.financa.gov.al/al/raportime/buxheti/buxheti-ne-vite/buxheti-2016/akti-normativ-nr-2-i-buxhetit-2016" TargetMode="External"/><Relationship Id="rId21" Type="http://schemas.openxmlformats.org/officeDocument/2006/relationships/hyperlink" Target="http://www.financa.gov.al/thesari-borxhi/" TargetMode="External"/><Relationship Id="rId7" Type="http://schemas.openxmlformats.org/officeDocument/2006/relationships/hyperlink" Target="http://www.financa.gov.al/al/raportime/buxheti/buxheti-ne-vite/buxheti-2016/akti-normativ-nr-2-i-buxhetit-2016" TargetMode="External"/><Relationship Id="rId12" Type="http://schemas.openxmlformats.org/officeDocument/2006/relationships/hyperlink" Target="http://www.financa.gov.al/al/raportime/thesari/buletini-fiskal" TargetMode="External"/><Relationship Id="rId17" Type="http://schemas.openxmlformats.org/officeDocument/2006/relationships/hyperlink" Target="http://www.financa.gov.al/thesari-borxhi/" TargetMode="External"/><Relationship Id="rId2" Type="http://schemas.openxmlformats.org/officeDocument/2006/relationships/hyperlink" Target="http://www.financa.gov.al/files/userfiles/Buxheti/Buxheti_ne_vite/Buxheti_2015/akt_normativ_3/Copy_of_Tab_1_e_AN_2015_(dhjetor_II).pdf" TargetMode="External"/><Relationship Id="rId16" Type="http://schemas.openxmlformats.org/officeDocument/2006/relationships/hyperlink" Target="http://www.arsimi.gov.al/files/userfiles/buxheti/2016/2016_Aneksi_13_Raportimi_12-M-1.pdf" TargetMode="External"/><Relationship Id="rId20" Type="http://schemas.openxmlformats.org/officeDocument/2006/relationships/hyperlink" Target="http://www.financa.gov.al/thesari-borxhi/" TargetMode="External"/><Relationship Id="rId1" Type="http://schemas.openxmlformats.org/officeDocument/2006/relationships/hyperlink" Target="http://www.financa.gov.al/files/userfiles/Thesari/Treguesit_Fiskal_sipas_Buxhetit_te_Konsoliduar/2016/Treguesit_fiskal_12-2016_PDF_20.02.2017_(1).pdf" TargetMode="External"/><Relationship Id="rId6" Type="http://schemas.openxmlformats.org/officeDocument/2006/relationships/hyperlink" Target="http://www.financa.gov.al/al/raportime/buxheti/buxheti-ne-vite/buxheti-2017/akti-normativ-nr-2-i-buxhetit-2017" TargetMode="External"/><Relationship Id="rId11" Type="http://schemas.openxmlformats.org/officeDocument/2006/relationships/hyperlink" Target="http://www.financa.gov.al/files/userfiles/Buxheti/Buxheti_ne_vite/Buxheti_2015/akt_normativ_3/Copy_of_Tab_1_e_AN_2015_(dhjetor_II).pdf" TargetMode="External"/><Relationship Id="rId24" Type="http://schemas.openxmlformats.org/officeDocument/2006/relationships/comments" Target="../comments3.xml"/><Relationship Id="rId5" Type="http://schemas.openxmlformats.org/officeDocument/2006/relationships/hyperlink" Target="http://www.financa.gov.al/files/userfiles/Buxheti/Buxheti_ne_vite/Buxheti_2015/akt_normativ_3/Copy_of_Tab_1_e_AN_2015_(dhjetor_II).pdf" TargetMode="External"/><Relationship Id="rId15" Type="http://schemas.openxmlformats.org/officeDocument/2006/relationships/hyperlink" Target="http://www.arsimi.gov.al/al/ministria/buxheti-dhe-financat" TargetMode="External"/><Relationship Id="rId23" Type="http://schemas.openxmlformats.org/officeDocument/2006/relationships/vmlDrawing" Target="../drawings/vmlDrawing3.vml"/><Relationship Id="rId10" Type="http://schemas.openxmlformats.org/officeDocument/2006/relationships/hyperlink" Target="http://www.arsimi.gov.al/al/ministria/buxheti-dhe-financat" TargetMode="External"/><Relationship Id="rId19" Type="http://schemas.openxmlformats.org/officeDocument/2006/relationships/hyperlink" Target="http://www.arsimi.gov.al/files/userfiles/buxheti/2016/2016_Aneksi_13_Raportimi_12-M-1.pdf" TargetMode="External"/><Relationship Id="rId4" Type="http://schemas.openxmlformats.org/officeDocument/2006/relationships/hyperlink" Target="http://www.financa.gov.al/files/userfiles/Thesari/Treguesit_Fiskal_sipas_Buxhetit_te_Konsoliduar/2017/Perfundimtare/treguesit_fiskal_12-2017_dt.15.02.2018_3_(publikimi).pdf" TargetMode="External"/><Relationship Id="rId9" Type="http://schemas.openxmlformats.org/officeDocument/2006/relationships/hyperlink" Target="http://www.arsimi.gov.al/files/userfiles/buxheti/2016/2016_Aneksi_13_Raportimi_12-M-1.pdf" TargetMode="External"/><Relationship Id="rId14" Type="http://schemas.openxmlformats.org/officeDocument/2006/relationships/hyperlink" Target="http://www.arsimi.gov.al/files/userfiles/buxheti/2016/2016_Aneksi_13_Raportimi_12-M-1.pdf" TargetMode="External"/><Relationship Id="rId22"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22069-D8D6-4F7D-B36E-FD9F77EDD2DA}">
  <sheetPr>
    <tabColor rgb="FF0070C0"/>
  </sheetPr>
  <dimension ref="A1:BS59"/>
  <sheetViews>
    <sheetView workbookViewId="0">
      <pane xSplit="2" ySplit="10" topLeftCell="AC11" activePane="bottomRight" state="frozen"/>
      <selection pane="topRight" activeCell="C1" sqref="C1"/>
      <selection pane="bottomLeft" activeCell="A5" sqref="A5"/>
      <selection pane="bottomRight" activeCell="AH12" sqref="AH12"/>
    </sheetView>
  </sheetViews>
  <sheetFormatPr defaultColWidth="8.6328125" defaultRowHeight="12" x14ac:dyDescent="0.3"/>
  <cols>
    <col min="1" max="1" width="8.6328125" style="6045"/>
    <col min="2" max="2" width="18.1796875" style="6045" customWidth="1"/>
    <col min="3" max="3" width="1.453125" style="6045" customWidth="1"/>
    <col min="4" max="5" width="14.81640625" style="6046" bestFit="1" customWidth="1"/>
    <col min="6" max="6" width="14.1796875" style="6046" bestFit="1" customWidth="1"/>
    <col min="7" max="7" width="14.81640625" style="6068" bestFit="1" customWidth="1"/>
    <col min="8" max="9" width="16.1796875" style="6046" bestFit="1" customWidth="1"/>
    <col min="10" max="11" width="16.1796875" style="6046" customWidth="1"/>
    <col min="12" max="12" width="6.453125" style="6045" customWidth="1"/>
    <col min="13" max="13" width="1.36328125" style="6069" customWidth="1"/>
    <col min="14" max="15" width="14.81640625" style="6046" bestFit="1" customWidth="1"/>
    <col min="16" max="16" width="14.1796875" style="6046" bestFit="1" customWidth="1"/>
    <col min="17" max="17" width="14.81640625" style="6068" bestFit="1" customWidth="1"/>
    <col min="18" max="19" width="16.1796875" style="6046" bestFit="1" customWidth="1"/>
    <col min="20" max="21" width="16.1796875" style="6046" customWidth="1"/>
    <col min="22" max="22" width="6.453125" style="6045" customWidth="1"/>
    <col min="23" max="23" width="1.453125" style="6069" customWidth="1"/>
    <col min="24" max="25" width="14.81640625" style="6046" bestFit="1" customWidth="1"/>
    <col min="26" max="26" width="14.1796875" style="6046" bestFit="1" customWidth="1"/>
    <col min="27" max="27" width="14.81640625" style="6068" bestFit="1" customWidth="1"/>
    <col min="28" max="29" width="16.1796875" style="6046" bestFit="1" customWidth="1"/>
    <col min="30" max="31" width="16.1796875" style="6046" customWidth="1"/>
    <col min="32" max="32" width="6.453125" style="6045" customWidth="1"/>
    <col min="33" max="33" width="1.453125" style="6046" customWidth="1"/>
    <col min="34" max="35" width="20.6328125" style="6046" customWidth="1"/>
    <col min="36" max="36" width="1.36328125" style="6069" customWidth="1"/>
    <col min="37" max="38" width="20.81640625" style="6046" customWidth="1"/>
    <col min="39" max="39" width="1.36328125" style="6069" customWidth="1"/>
    <col min="40" max="41" width="20.81640625" style="6045" customWidth="1"/>
    <col min="42" max="42" width="1.453125" style="6045" customWidth="1"/>
    <col min="43" max="44" width="21.453125" style="6045" customWidth="1"/>
    <col min="45" max="45" width="1.36328125" style="6070" customWidth="1"/>
    <col min="46" max="47" width="21.453125" style="6045" customWidth="1"/>
    <col min="48" max="48" width="1.1796875" style="6070" customWidth="1"/>
    <col min="49" max="50" width="21.453125" style="6045" customWidth="1"/>
    <col min="51" max="51" width="1.1796875" style="6045" customWidth="1"/>
    <col min="52" max="16384" width="8.6328125" style="6045"/>
  </cols>
  <sheetData>
    <row r="1" spans="2:71" x14ac:dyDescent="0.3">
      <c r="D1" s="6060"/>
      <c r="E1" s="6046" t="s">
        <v>0</v>
      </c>
      <c r="G1" s="6046"/>
      <c r="Q1" s="6046"/>
      <c r="AA1" s="6046"/>
    </row>
    <row r="2" spans="2:71" x14ac:dyDescent="0.3">
      <c r="G2" s="6046"/>
      <c r="Q2" s="6046"/>
      <c r="AA2" s="6046"/>
    </row>
    <row r="3" spans="2:71" x14ac:dyDescent="0.3">
      <c r="G3" s="6046"/>
      <c r="Q3" s="6046"/>
      <c r="AA3" s="6046"/>
    </row>
    <row r="4" spans="2:71" x14ac:dyDescent="0.3">
      <c r="G4" s="6046"/>
      <c r="Q4" s="6086">
        <f>Q13/H13</f>
        <v>8.715978804419737E-2</v>
      </c>
      <c r="AA4" s="6046"/>
    </row>
    <row r="5" spans="2:71" x14ac:dyDescent="0.3">
      <c r="G5" s="6046"/>
      <c r="Q5" s="6046"/>
      <c r="AA5" s="6046"/>
    </row>
    <row r="6" spans="2:71" x14ac:dyDescent="0.3">
      <c r="G6" s="6046"/>
      <c r="Q6" s="6046"/>
      <c r="AA6" s="6046"/>
    </row>
    <row r="7" spans="2:71" x14ac:dyDescent="0.3">
      <c r="D7" s="9093"/>
      <c r="E7" s="9093"/>
      <c r="F7" s="9093"/>
      <c r="G7" s="9093"/>
      <c r="H7" s="9093"/>
      <c r="I7" s="9093"/>
      <c r="J7" s="9093"/>
      <c r="K7" s="9093"/>
      <c r="L7" s="9093"/>
      <c r="M7" s="9093"/>
      <c r="N7" s="9093"/>
      <c r="O7" s="9093"/>
      <c r="P7" s="9093"/>
      <c r="Q7" s="9093"/>
      <c r="R7" s="9093"/>
      <c r="S7" s="9093"/>
      <c r="T7" s="9093"/>
      <c r="U7" s="9093"/>
      <c r="V7" s="9093"/>
      <c r="W7" s="9093"/>
      <c r="X7" s="9093"/>
      <c r="Y7" s="9093"/>
      <c r="Z7" s="9093"/>
      <c r="AA7" s="9093"/>
      <c r="AB7" s="9093"/>
      <c r="AC7" s="9093"/>
      <c r="AD7" s="7714"/>
      <c r="AE7" s="7714"/>
      <c r="AF7" s="6065"/>
      <c r="AH7" s="9094" t="s">
        <v>1</v>
      </c>
      <c r="AI7" s="9094"/>
      <c r="AJ7" s="9094"/>
      <c r="AK7" s="9094"/>
      <c r="AL7" s="9094"/>
      <c r="AM7" s="9094"/>
      <c r="AN7" s="9094"/>
      <c r="AO7" s="9094"/>
      <c r="AP7" s="6046"/>
      <c r="AQ7" s="9093" t="s">
        <v>2</v>
      </c>
      <c r="AR7" s="9093"/>
      <c r="AS7" s="9093"/>
      <c r="AT7" s="9093"/>
      <c r="AU7" s="9093"/>
      <c r="AV7" s="9093"/>
      <c r="AW7" s="9093"/>
      <c r="AX7" s="9093"/>
    </row>
    <row r="8" spans="2:71" s="6072" customFormat="1" x14ac:dyDescent="0.3">
      <c r="D8" s="9095">
        <v>2018</v>
      </c>
      <c r="E8" s="9095"/>
      <c r="F8" s="9095"/>
      <c r="G8" s="9095"/>
      <c r="H8" s="9095"/>
      <c r="I8" s="9095"/>
      <c r="J8" s="8313"/>
      <c r="K8" s="8313"/>
      <c r="L8" s="6079"/>
      <c r="M8" s="6073"/>
      <c r="N8" s="9095">
        <v>2017</v>
      </c>
      <c r="O8" s="9095"/>
      <c r="P8" s="9095"/>
      <c r="Q8" s="9095"/>
      <c r="R8" s="9095"/>
      <c r="S8" s="9095"/>
      <c r="T8" s="8313"/>
      <c r="U8" s="8313"/>
      <c r="V8" s="6079"/>
      <c r="W8" s="6073"/>
      <c r="X8" s="9095">
        <v>2016</v>
      </c>
      <c r="Y8" s="9095"/>
      <c r="Z8" s="9095"/>
      <c r="AA8" s="9095"/>
      <c r="AB8" s="9095"/>
      <c r="AC8" s="9095"/>
      <c r="AD8" s="8313"/>
      <c r="AE8" s="8313"/>
      <c r="AF8" s="6079"/>
      <c r="AG8" s="6074"/>
      <c r="AH8" s="9095">
        <v>2018</v>
      </c>
      <c r="AI8" s="9095"/>
      <c r="AJ8" s="6073"/>
      <c r="AK8" s="9095">
        <v>2017</v>
      </c>
      <c r="AL8" s="9095"/>
      <c r="AM8" s="6073"/>
      <c r="AN8" s="9095">
        <v>2016</v>
      </c>
      <c r="AO8" s="9095"/>
      <c r="AQ8" s="9095">
        <v>2018</v>
      </c>
      <c r="AR8" s="9095"/>
      <c r="AS8" s="6073"/>
      <c r="AT8" s="9095">
        <v>2017</v>
      </c>
      <c r="AU8" s="9095"/>
      <c r="AV8" s="6073"/>
      <c r="AW8" s="9095">
        <v>2016</v>
      </c>
      <c r="AX8" s="9095"/>
    </row>
    <row r="9" spans="2:71" s="6047" customFormat="1" x14ac:dyDescent="0.3">
      <c r="D9" s="9092" t="s">
        <v>3</v>
      </c>
      <c r="E9" s="9092"/>
      <c r="F9" s="9092"/>
      <c r="G9" s="9092" t="s">
        <v>4</v>
      </c>
      <c r="H9" s="9092"/>
      <c r="I9" s="9092"/>
      <c r="J9" s="9092"/>
      <c r="K9" s="9092"/>
      <c r="L9" s="6080"/>
      <c r="M9" s="6048"/>
      <c r="N9" s="9092" t="s">
        <v>3</v>
      </c>
      <c r="O9" s="9092"/>
      <c r="P9" s="9092"/>
      <c r="Q9" s="9092" t="s">
        <v>4</v>
      </c>
      <c r="R9" s="9092"/>
      <c r="S9" s="9092"/>
      <c r="T9" s="9092"/>
      <c r="U9" s="9092"/>
      <c r="V9" s="6080"/>
      <c r="W9" s="6048"/>
      <c r="X9" s="9092" t="s">
        <v>3</v>
      </c>
      <c r="Y9" s="9092"/>
      <c r="Z9" s="9092"/>
      <c r="AA9" s="9091" t="s">
        <v>4</v>
      </c>
      <c r="AB9" s="9091"/>
      <c r="AC9" s="9091"/>
      <c r="AD9" s="9091"/>
      <c r="AE9" s="9091"/>
      <c r="AG9" s="8312"/>
      <c r="AH9" s="8312" t="s">
        <v>5</v>
      </c>
      <c r="AI9" s="8312" t="s">
        <v>6</v>
      </c>
      <c r="AJ9" s="6049"/>
      <c r="AK9" s="8312" t="s">
        <v>5</v>
      </c>
      <c r="AL9" s="8312" t="s">
        <v>6</v>
      </c>
      <c r="AM9" s="6049"/>
      <c r="AN9" s="8312" t="s">
        <v>5</v>
      </c>
      <c r="AO9" s="8312" t="s">
        <v>6</v>
      </c>
      <c r="AQ9" s="8312" t="s">
        <v>7</v>
      </c>
      <c r="AR9" s="8312" t="s">
        <v>8</v>
      </c>
      <c r="AS9" s="6049"/>
      <c r="AT9" s="8312" t="s">
        <v>7</v>
      </c>
      <c r="AU9" s="8312" t="s">
        <v>8</v>
      </c>
      <c r="AV9" s="6049"/>
      <c r="AW9" s="8312" t="s">
        <v>7</v>
      </c>
      <c r="AX9" s="8312" t="s">
        <v>8</v>
      </c>
    </row>
    <row r="10" spans="2:71" ht="36" x14ac:dyDescent="0.3">
      <c r="B10" s="6047" t="s">
        <v>9</v>
      </c>
      <c r="D10" s="6050" t="s">
        <v>10</v>
      </c>
      <c r="E10" s="6050" t="s">
        <v>11</v>
      </c>
      <c r="F10" s="6053" t="s">
        <v>12</v>
      </c>
      <c r="G10" s="6051" t="s">
        <v>13</v>
      </c>
      <c r="H10" s="6050" t="s">
        <v>14</v>
      </c>
      <c r="I10" s="6050" t="s">
        <v>15</v>
      </c>
      <c r="J10" s="6050" t="s">
        <v>16</v>
      </c>
      <c r="K10" s="6050" t="s">
        <v>17</v>
      </c>
      <c r="L10" s="6081" t="s">
        <v>18</v>
      </c>
      <c r="M10" s="6052"/>
      <c r="N10" s="6050" t="s">
        <v>10</v>
      </c>
      <c r="O10" s="6050" t="s">
        <v>11</v>
      </c>
      <c r="P10" s="6053" t="s">
        <v>12</v>
      </c>
      <c r="Q10" s="6051" t="s">
        <v>13</v>
      </c>
      <c r="R10" s="6050" t="s">
        <v>14</v>
      </c>
      <c r="S10" s="6050" t="s">
        <v>15</v>
      </c>
      <c r="T10" s="6050" t="s">
        <v>16</v>
      </c>
      <c r="U10" s="6050" t="s">
        <v>17</v>
      </c>
      <c r="V10" s="6081" t="s">
        <v>18</v>
      </c>
      <c r="W10" s="6052"/>
      <c r="X10" s="6050" t="s">
        <v>10</v>
      </c>
      <c r="Y10" s="6050" t="s">
        <v>11</v>
      </c>
      <c r="Z10" s="6053" t="s">
        <v>12</v>
      </c>
      <c r="AA10" s="6051" t="s">
        <v>13</v>
      </c>
      <c r="AB10" s="6050" t="s">
        <v>14</v>
      </c>
      <c r="AC10" s="6054" t="s">
        <v>15</v>
      </c>
      <c r="AD10" s="6050" t="s">
        <v>16</v>
      </c>
      <c r="AE10" s="6050" t="s">
        <v>17</v>
      </c>
      <c r="AF10" s="6081" t="s">
        <v>18</v>
      </c>
      <c r="AH10" s="6055" t="s">
        <v>19</v>
      </c>
      <c r="AI10" s="6055" t="s">
        <v>20</v>
      </c>
      <c r="AJ10" s="6056"/>
      <c r="AK10" s="6055" t="s">
        <v>19</v>
      </c>
      <c r="AL10" s="6055" t="s">
        <v>20</v>
      </c>
      <c r="AM10" s="6056"/>
      <c r="AN10" s="6055" t="s">
        <v>19</v>
      </c>
      <c r="AO10" s="6055" t="s">
        <v>20</v>
      </c>
      <c r="AQ10" s="6055" t="s">
        <v>21</v>
      </c>
      <c r="AR10" s="6055" t="s">
        <v>21</v>
      </c>
      <c r="AS10" s="6056"/>
      <c r="AT10" s="6055" t="s">
        <v>21</v>
      </c>
      <c r="AU10" s="6055" t="s">
        <v>21</v>
      </c>
      <c r="AV10" s="6056"/>
      <c r="AW10" s="6055" t="s">
        <v>21</v>
      </c>
      <c r="AX10" s="6055" t="s">
        <v>21</v>
      </c>
    </row>
    <row r="12" spans="2:71" x14ac:dyDescent="0.3">
      <c r="B12" s="6045" t="s">
        <v>22</v>
      </c>
      <c r="D12" s="6057">
        <f>[15]Afghanistan!AO85</f>
        <v>49373.43686569477</v>
      </c>
      <c r="E12" s="6057">
        <f>[15]Afghanistan!AO87</f>
        <v>46137.275149240624</v>
      </c>
      <c r="F12" s="6057">
        <f>[15]Afghanistan!AO88</f>
        <v>3236.1617164541431</v>
      </c>
      <c r="G12" s="6058">
        <f>[15]Afghanistan!AO19+[15]Afghanistan!AO20</f>
        <v>0</v>
      </c>
      <c r="H12" s="6057">
        <f>[15]Afghanistan!AO21</f>
        <v>347732.5145713063</v>
      </c>
      <c r="I12" s="6057">
        <f t="shared" ref="I12:I59" si="0">H12-G12</f>
        <v>347732.5145713063</v>
      </c>
      <c r="J12" s="6075">
        <f t="shared" ref="J12:J46" si="1">K12+G12</f>
        <v>263507.50514444354</v>
      </c>
      <c r="K12" s="6075">
        <f>[15]Afghanistan!AO$17</f>
        <v>263507.50514444354</v>
      </c>
      <c r="M12" s="6059"/>
      <c r="N12" s="6057">
        <f>[15]Afghanistan!AJ85</f>
        <v>46245.461242952813</v>
      </c>
      <c r="O12" s="6057">
        <f>[15]Afghanistan!AJ87</f>
        <v>39768.621589952818</v>
      </c>
      <c r="P12" s="6057">
        <f>[15]Afghanistan!AJ88</f>
        <v>6476.8396530000009</v>
      </c>
      <c r="Q12" s="6058">
        <f>[15]Afghanistan!AJ19+[15]Afghanistan!AJ20</f>
        <v>0</v>
      </c>
      <c r="R12" s="6057">
        <f>[15]Afghanistan!AJ20+[15]Afghanistan!AJ21</f>
        <v>356000</v>
      </c>
      <c r="S12" s="6057">
        <f t="shared" ref="S12:S25" si="2">R12-Q12</f>
        <v>356000</v>
      </c>
      <c r="T12" s="6075">
        <f t="shared" ref="T12:T25" si="3">U12+Q12</f>
        <v>254000</v>
      </c>
      <c r="U12" s="6075">
        <f>[15]Afghanistan!AJ$17</f>
        <v>254000</v>
      </c>
      <c r="W12" s="6059"/>
      <c r="X12" s="6057">
        <f>[15]Afghanistan!AA85</f>
        <v>55568.768725041402</v>
      </c>
      <c r="Y12" s="6057">
        <f>[15]Afghanistan!AA87</f>
        <v>37102.706725041404</v>
      </c>
      <c r="Z12" s="6057">
        <f>[15]Afghanistan!AA88</f>
        <v>18466.061999999998</v>
      </c>
      <c r="AA12" s="6058">
        <f>[15]Afghanistan!AA19+[15]Afghanistan!AA20</f>
        <v>547.79999999999995</v>
      </c>
      <c r="AB12" s="6057">
        <f>[15]Afghanistan!AA21</f>
        <v>445911</v>
      </c>
      <c r="AC12" s="6057">
        <f>AB12-AA12</f>
        <v>445363.20000000001</v>
      </c>
      <c r="AD12" s="6075">
        <f t="shared" ref="AD12:AD46" si="4">AE12+AA12</f>
        <v>300149</v>
      </c>
      <c r="AE12" s="6075">
        <f>[15]Afghanistan!AA$17</f>
        <v>299601.2</v>
      </c>
      <c r="AG12" s="6057"/>
      <c r="AH12" s="6057"/>
      <c r="AI12" s="6057"/>
      <c r="AJ12" s="6059"/>
      <c r="AK12" s="6057"/>
      <c r="AL12" s="6057"/>
      <c r="AM12" s="6059"/>
      <c r="AN12" s="6057"/>
      <c r="AO12" s="6057"/>
      <c r="AP12" s="6057"/>
      <c r="AQ12" s="6057"/>
      <c r="AR12" s="6057"/>
      <c r="AS12" s="6059"/>
      <c r="AT12" s="6057"/>
      <c r="AU12" s="6057"/>
      <c r="AV12" s="6059"/>
      <c r="AW12" s="6057"/>
      <c r="AX12" s="6057"/>
      <c r="AY12" s="6057"/>
      <c r="AZ12" s="6057"/>
      <c r="BA12" s="6057"/>
      <c r="BB12" s="6057"/>
      <c r="BC12" s="6057"/>
      <c r="BD12" s="6057"/>
      <c r="BE12" s="6057"/>
      <c r="BF12" s="6057"/>
      <c r="BG12" s="6057"/>
      <c r="BH12" s="6057"/>
      <c r="BI12" s="6057"/>
      <c r="BJ12" s="6057"/>
      <c r="BK12" s="6057"/>
      <c r="BL12" s="6057"/>
      <c r="BM12" s="6057"/>
      <c r="BN12" s="6057"/>
      <c r="BO12" s="6057"/>
      <c r="BP12" s="6057"/>
      <c r="BQ12" s="6057"/>
      <c r="BR12" s="6057"/>
      <c r="BS12" s="6057"/>
    </row>
    <row r="13" spans="2:71" x14ac:dyDescent="0.3">
      <c r="B13" s="6045" t="s">
        <v>23</v>
      </c>
      <c r="D13" s="6057">
        <f>[15]Albania!AP92</f>
        <v>40145220.250142843</v>
      </c>
      <c r="E13" s="6057">
        <f>[15]Albania!AP94</f>
        <v>38845910.935376294</v>
      </c>
      <c r="F13" s="6057">
        <f t="shared" ref="F13:F23" si="5">D13-E13</f>
        <v>1299309.3147665486</v>
      </c>
      <c r="G13" s="6058">
        <f>[15]Albania!AP21+[15]Albania!AP22</f>
        <v>36513000</v>
      </c>
      <c r="H13" s="6057">
        <f>[15]Albania!AP24</f>
        <v>476137000</v>
      </c>
      <c r="I13" s="6057">
        <f t="shared" si="0"/>
        <v>439624000</v>
      </c>
      <c r="J13" s="6075">
        <f t="shared" si="1"/>
        <v>229454000</v>
      </c>
      <c r="K13" s="6075">
        <f>[15]Albania!AP$18</f>
        <v>192941000</v>
      </c>
      <c r="M13" s="6059"/>
      <c r="N13" s="6057">
        <f>[15]Albania!AJ92</f>
        <v>38045089.660185196</v>
      </c>
      <c r="O13" s="6057">
        <f>[15]Albania!AJ94</f>
        <v>36881141.190637156</v>
      </c>
      <c r="P13" s="6057">
        <f t="shared" ref="P13:P23" si="6">N13-O13</f>
        <v>1163948.4695480391</v>
      </c>
      <c r="Q13" s="6058">
        <f>[15]Albania!AN22+[15]Albania!AN21</f>
        <v>41500000</v>
      </c>
      <c r="R13" s="6057">
        <f>[15]Albania!AJ24</f>
        <v>459959000</v>
      </c>
      <c r="S13" s="6057">
        <f t="shared" si="2"/>
        <v>418459000</v>
      </c>
      <c r="T13" s="6075">
        <f t="shared" si="3"/>
        <v>206380000</v>
      </c>
      <c r="U13" s="6075">
        <f>[15]Albania!AJ$18</f>
        <v>164880000</v>
      </c>
      <c r="W13" s="6059"/>
      <c r="X13" s="6057">
        <f>[15]Albania!Z92</f>
        <v>35821591.654460721</v>
      </c>
      <c r="Y13" s="6057">
        <f>[15]Albania!Z94</f>
        <v>32913058.796268899</v>
      </c>
      <c r="Z13" s="6057">
        <f t="shared" ref="Z13:Z23" si="7">X13-Y13</f>
        <v>2908532.8581918217</v>
      </c>
      <c r="AA13" s="6058">
        <f>[15]Albania!Z24</f>
        <v>431209000</v>
      </c>
      <c r="AB13" s="6057">
        <f>[15]Albania!Z21+[15]Albania!Z22</f>
        <v>41758000</v>
      </c>
      <c r="AC13" s="6057">
        <f>AA13-AB13</f>
        <v>389451000</v>
      </c>
      <c r="AD13" s="6075">
        <f t="shared" si="4"/>
        <v>588375000</v>
      </c>
      <c r="AE13" s="6075">
        <f>[15]Albania!Z$18</f>
        <v>157166000</v>
      </c>
      <c r="AG13" s="6057"/>
      <c r="AH13" s="6057"/>
      <c r="AI13" s="6057"/>
      <c r="AJ13" s="6059"/>
      <c r="AK13" s="6057"/>
      <c r="AL13" s="6057"/>
      <c r="AM13" s="6059"/>
      <c r="AN13" s="6057"/>
      <c r="AO13" s="6057"/>
      <c r="AP13" s="6057"/>
      <c r="AQ13" s="6057"/>
      <c r="AR13" s="6057"/>
      <c r="AS13" s="6059"/>
      <c r="AT13" s="6057"/>
      <c r="AU13" s="6057"/>
      <c r="AV13" s="6059"/>
      <c r="AW13" s="6057"/>
      <c r="AX13" s="6057"/>
      <c r="AY13" s="6057"/>
      <c r="AZ13" s="6057"/>
      <c r="BA13" s="6057"/>
      <c r="BB13" s="6057"/>
      <c r="BC13" s="6057"/>
      <c r="BD13" s="6057"/>
      <c r="BE13" s="6057"/>
      <c r="BF13" s="6057"/>
      <c r="BG13" s="6057"/>
      <c r="BH13" s="6057"/>
      <c r="BI13" s="6057"/>
      <c r="BJ13" s="6057"/>
      <c r="BK13" s="6057"/>
      <c r="BL13" s="6057"/>
      <c r="BM13" s="6057"/>
      <c r="BN13" s="6057"/>
      <c r="BO13" s="6057"/>
      <c r="BP13" s="6057"/>
      <c r="BQ13" s="6057"/>
      <c r="BR13" s="6057"/>
      <c r="BS13" s="6057"/>
    </row>
    <row r="14" spans="2:71" x14ac:dyDescent="0.3">
      <c r="B14" s="6045" t="s">
        <v>24</v>
      </c>
      <c r="D14" s="6057">
        <f>[15]Bangladesh!AP$87</f>
        <v>39239.5</v>
      </c>
      <c r="E14" s="6057">
        <f>[15]Bangladesh!AP$89</f>
        <v>28584.6</v>
      </c>
      <c r="F14" s="6057">
        <f t="shared" si="5"/>
        <v>10654.900000000001</v>
      </c>
      <c r="G14" s="6058">
        <f>[15]Bangladesh!AP19+[15]Bangladesh!AP20</f>
        <v>55477</v>
      </c>
      <c r="H14" s="6057">
        <f>[15]Bangladesh!AP21</f>
        <v>325756</v>
      </c>
      <c r="I14" s="6057">
        <f t="shared" si="0"/>
        <v>270279</v>
      </c>
      <c r="J14" s="6075">
        <f t="shared" si="1"/>
        <v>223264</v>
      </c>
      <c r="K14" s="6075">
        <f>[15]Bangladesh!AP$17</f>
        <v>167787</v>
      </c>
      <c r="M14" s="6059"/>
      <c r="N14" s="6057">
        <f>[15]Bangladesh!AJ$87</f>
        <v>42846.3</v>
      </c>
      <c r="O14" s="6057">
        <f>[15]Bangladesh!AJ$89</f>
        <v>32083.5</v>
      </c>
      <c r="P14" s="6057">
        <f t="shared" si="6"/>
        <v>10762.800000000003</v>
      </c>
      <c r="Q14" s="6058">
        <f>[15]Bangladesh!AJ$19+[15]Bangladesh!AJ$20</f>
        <v>35316</v>
      </c>
      <c r="R14" s="6057">
        <f>[15]Bangladesh!$AJ$21</f>
        <v>266886</v>
      </c>
      <c r="S14" s="6057">
        <f t="shared" si="2"/>
        <v>231570</v>
      </c>
      <c r="T14" s="6075">
        <f t="shared" si="3"/>
        <v>179404</v>
      </c>
      <c r="U14" s="6075">
        <f>[15]Bangladesh!AJ$17</f>
        <v>144088</v>
      </c>
      <c r="W14" s="6059"/>
      <c r="X14" s="6057">
        <f>[15]Bangladesh!AA$87</f>
        <v>37805.5</v>
      </c>
      <c r="Y14" s="6057">
        <f>[15]Bangladesh!AA$89</f>
        <v>28995.7</v>
      </c>
      <c r="Z14" s="6057">
        <f t="shared" si="7"/>
        <v>8809.7999999999993</v>
      </c>
      <c r="AA14" s="6058">
        <f>[15]Bangladesh!AA$19+[15]Bangladesh!AA$20</f>
        <v>33090.800000000003</v>
      </c>
      <c r="AB14" s="6057">
        <f>[15]Bangladesh!$AA$21</f>
        <v>239267</v>
      </c>
      <c r="AC14" s="6057">
        <f t="shared" ref="AC14:AC59" si="8">AB14-AA14</f>
        <v>206176.2</v>
      </c>
      <c r="AD14" s="6075">
        <f t="shared" si="4"/>
        <v>157249.60000000001</v>
      </c>
      <c r="AE14" s="6075">
        <f>[15]Bangladesh!AA$17</f>
        <v>124158.8</v>
      </c>
      <c r="AG14" s="6057"/>
      <c r="AH14" s="6057"/>
      <c r="AI14" s="6057"/>
      <c r="AJ14" s="6059"/>
      <c r="AK14" s="6057"/>
      <c r="AL14" s="6057"/>
      <c r="AM14" s="6059"/>
      <c r="AN14" s="6057"/>
      <c r="AO14" s="6057"/>
      <c r="AP14" s="6057"/>
      <c r="AQ14" s="6057"/>
      <c r="AR14" s="6057"/>
      <c r="AS14" s="6059"/>
      <c r="AT14" s="6057"/>
      <c r="AU14" s="6057"/>
      <c r="AV14" s="6059"/>
      <c r="AW14" s="6057"/>
      <c r="AX14" s="6057"/>
      <c r="AY14" s="6057"/>
      <c r="AZ14" s="6057"/>
      <c r="BA14" s="6057"/>
      <c r="BB14" s="6057"/>
      <c r="BC14" s="6057"/>
      <c r="BD14" s="6057"/>
      <c r="BE14" s="6057"/>
      <c r="BF14" s="6057"/>
      <c r="BG14" s="6057"/>
      <c r="BH14" s="6057"/>
      <c r="BI14" s="6057"/>
      <c r="BJ14" s="6057"/>
      <c r="BK14" s="6057"/>
      <c r="BL14" s="6057"/>
      <c r="BM14" s="6057"/>
      <c r="BN14" s="6057"/>
      <c r="BO14" s="6057"/>
      <c r="BP14" s="6057"/>
      <c r="BQ14" s="6057"/>
      <c r="BR14" s="6057"/>
      <c r="BS14" s="6057"/>
    </row>
    <row r="15" spans="2:71" x14ac:dyDescent="0.3">
      <c r="B15" s="6045" t="s">
        <v>25</v>
      </c>
      <c r="D15" s="6057">
        <f>[15]Benin!AD$73</f>
        <v>232243200</v>
      </c>
      <c r="E15" s="6057">
        <f>[15]Benin!AD$75</f>
        <v>232243200</v>
      </c>
      <c r="F15" s="6057">
        <f t="shared" si="5"/>
        <v>0</v>
      </c>
      <c r="G15" s="6058">
        <f>[15]Benin!AD$20</f>
        <v>114923000</v>
      </c>
      <c r="H15" s="6057">
        <f>[15]Benin!AD$21</f>
        <v>1208162400</v>
      </c>
      <c r="I15" s="6057">
        <f t="shared" si="0"/>
        <v>1093239400</v>
      </c>
      <c r="J15" s="6075">
        <f t="shared" si="1"/>
        <v>748127200</v>
      </c>
      <c r="K15" s="6075">
        <f>[15]Benin!AD$16</f>
        <v>633204200</v>
      </c>
      <c r="M15" s="6059"/>
      <c r="N15" s="6057">
        <f>[15]Benin!X$73</f>
        <v>260760335</v>
      </c>
      <c r="O15" s="6057">
        <f>[15]Benin!X$75</f>
        <v>196786907</v>
      </c>
      <c r="P15" s="6057">
        <f t="shared" si="6"/>
        <v>63973428</v>
      </c>
      <c r="Q15" s="6058">
        <f>[15]Benin!X$20</f>
        <v>103700000</v>
      </c>
      <c r="R15" s="6057">
        <f>[15]Benin!X$21</f>
        <v>1682786000</v>
      </c>
      <c r="S15" s="6057">
        <f t="shared" si="2"/>
        <v>1579086000</v>
      </c>
      <c r="T15" s="6075">
        <f t="shared" si="3"/>
        <v>893469000</v>
      </c>
      <c r="U15" s="6075">
        <f>[15]Benin!X$16</f>
        <v>789769000</v>
      </c>
      <c r="W15" s="6059"/>
      <c r="X15" s="6057">
        <f>[15]Benin!V$73</f>
        <v>203088393.29504678</v>
      </c>
      <c r="Y15" s="6057">
        <f>[15]Benin!V$75</f>
        <v>187993583.89722392</v>
      </c>
      <c r="Z15" s="6057">
        <f t="shared" si="7"/>
        <v>15094809.397822857</v>
      </c>
      <c r="AA15" s="6058">
        <f>[15]Benin!V$20</f>
        <v>28926266.767681267</v>
      </c>
      <c r="AB15" s="6057">
        <f>[15]Benin!V$21</f>
        <v>1047854703.2339216</v>
      </c>
      <c r="AC15" s="6057">
        <f t="shared" si="8"/>
        <v>1018928436.4662404</v>
      </c>
      <c r="AD15" s="6075">
        <f t="shared" si="4"/>
        <v>730135266.76768124</v>
      </c>
      <c r="AE15" s="6075">
        <f>[15]Benin!V$16</f>
        <v>701209000</v>
      </c>
      <c r="AG15" s="6057"/>
      <c r="AH15" s="6057"/>
      <c r="AI15" s="6057"/>
      <c r="AJ15" s="6059"/>
      <c r="AK15" s="6057"/>
      <c r="AL15" s="6057"/>
      <c r="AM15" s="6059"/>
      <c r="AN15" s="6057"/>
      <c r="AO15" s="6057"/>
      <c r="AP15" s="6057"/>
      <c r="AQ15" s="6057"/>
      <c r="AR15" s="6057"/>
      <c r="AS15" s="6059"/>
      <c r="AT15" s="6057"/>
      <c r="AU15" s="6057"/>
      <c r="AV15" s="6059"/>
      <c r="AW15" s="6057"/>
      <c r="AX15" s="6057"/>
      <c r="AY15" s="6057"/>
      <c r="AZ15" s="6057"/>
      <c r="BA15" s="6057"/>
      <c r="BB15" s="6057"/>
      <c r="BC15" s="6057"/>
      <c r="BD15" s="6057"/>
      <c r="BE15" s="6057"/>
      <c r="BF15" s="6057"/>
      <c r="BG15" s="6057"/>
      <c r="BH15" s="6057"/>
      <c r="BI15" s="6057"/>
      <c r="BJ15" s="6057"/>
      <c r="BK15" s="6057"/>
      <c r="BL15" s="6057"/>
      <c r="BM15" s="6057"/>
      <c r="BN15" s="6057"/>
      <c r="BO15" s="6057"/>
      <c r="BP15" s="6057"/>
      <c r="BQ15" s="6057"/>
      <c r="BR15" s="6057"/>
      <c r="BS15" s="6057"/>
    </row>
    <row r="16" spans="2:71" x14ac:dyDescent="0.3">
      <c r="B16" s="6045" t="s">
        <v>26</v>
      </c>
      <c r="D16" s="6057">
        <f>[15]Bhutan!AL$77</f>
        <v>10931.687</v>
      </c>
      <c r="E16" s="6057">
        <f>[15]Bhutan!AL$75</f>
        <v>7227.8329999999996</v>
      </c>
      <c r="F16" s="6057">
        <f t="shared" si="5"/>
        <v>3703.8540000000003</v>
      </c>
      <c r="G16" s="6058">
        <f>[15]Bhutan!AL21+[15]Bhutan!AL20</f>
        <v>4909.13</v>
      </c>
      <c r="H16" s="6057">
        <f>[15]Bhutan!AL22</f>
        <v>56513.5</v>
      </c>
      <c r="I16" s="6057">
        <f t="shared" si="0"/>
        <v>51604.37</v>
      </c>
      <c r="J16" s="6075">
        <f t="shared" si="1"/>
        <v>33525.769999999997</v>
      </c>
      <c r="K16" s="6075">
        <f>[15]Bhutan!AL$18</f>
        <v>28616.639999999999</v>
      </c>
      <c r="M16" s="6059"/>
      <c r="N16" s="6057">
        <f>[15]Bhutan!AE$77</f>
        <v>10482587.96597451</v>
      </c>
      <c r="O16" s="6057">
        <f>[15]Bhutan!AE$75</f>
        <v>7113142.7271947786</v>
      </c>
      <c r="P16" s="6057">
        <f t="shared" si="6"/>
        <v>3369445.2387797311</v>
      </c>
      <c r="Q16" s="6058">
        <f>[15]Bhutan!AE21+[15]Bhutan!AS20</f>
        <v>2758648.6292883032</v>
      </c>
      <c r="R16" s="6057">
        <f>[15]Bhutan!AE22</f>
        <v>48974808.263098061</v>
      </c>
      <c r="S16" s="6057">
        <f t="shared" si="2"/>
        <v>46216159.63380976</v>
      </c>
      <c r="T16" s="6075">
        <f t="shared" si="3"/>
        <v>25626449.266834226</v>
      </c>
      <c r="U16" s="6075">
        <f>[15]Bhutan!AE$18</f>
        <v>22867800.637545921</v>
      </c>
      <c r="W16" s="6059"/>
      <c r="X16" s="6057">
        <f>[15]Bhutan!Y$77</f>
        <v>8988854</v>
      </c>
      <c r="Y16" s="6057">
        <f>[15]Bhutan!Y$75</f>
        <v>6506140</v>
      </c>
      <c r="Z16" s="6057">
        <f t="shared" si="7"/>
        <v>2482714</v>
      </c>
      <c r="AA16" s="6058">
        <f>[15]Bhutan!Y21+[15]Bhutan!Y20</f>
        <v>5358135</v>
      </c>
      <c r="AB16" s="6057">
        <f>[15]Bhutan!Y22</f>
        <v>47937499</v>
      </c>
      <c r="AC16" s="6057">
        <f t="shared" si="8"/>
        <v>42579364</v>
      </c>
      <c r="AD16" s="6075">
        <f t="shared" si="4"/>
        <v>26129643</v>
      </c>
      <c r="AE16" s="6075">
        <f>[15]Bhutan!Y$18</f>
        <v>20771508</v>
      </c>
      <c r="AG16" s="6057"/>
      <c r="AH16" s="6057"/>
      <c r="AI16" s="6057"/>
      <c r="AJ16" s="6059"/>
      <c r="AK16" s="6057"/>
      <c r="AL16" s="6057"/>
      <c r="AM16" s="6059"/>
      <c r="AN16" s="6057"/>
      <c r="AO16" s="6057"/>
      <c r="AP16" s="6057"/>
      <c r="AQ16" s="6057"/>
      <c r="AR16" s="6057"/>
      <c r="AS16" s="6059"/>
      <c r="AT16" s="6057"/>
      <c r="AU16" s="6057"/>
      <c r="AV16" s="6059"/>
      <c r="AW16" s="6057"/>
      <c r="AX16" s="6057"/>
      <c r="AY16" s="6057"/>
      <c r="AZ16" s="6057"/>
      <c r="BA16" s="6057"/>
      <c r="BB16" s="6057"/>
      <c r="BC16" s="6057"/>
      <c r="BD16" s="6057"/>
      <c r="BE16" s="6057"/>
      <c r="BF16" s="6057"/>
      <c r="BG16" s="6057"/>
      <c r="BH16" s="6057"/>
      <c r="BI16" s="6057"/>
      <c r="BJ16" s="6057"/>
      <c r="BK16" s="6057"/>
      <c r="BL16" s="6057"/>
      <c r="BM16" s="6057"/>
      <c r="BN16" s="6057"/>
      <c r="BO16" s="6057"/>
      <c r="BP16" s="6057"/>
      <c r="BQ16" s="6057"/>
      <c r="BR16" s="6057"/>
      <c r="BS16" s="6057"/>
    </row>
    <row r="17" spans="2:71" x14ac:dyDescent="0.3">
      <c r="B17" s="6045" t="s">
        <v>27</v>
      </c>
      <c r="D17" s="6057">
        <f>'[15]Burkina Faso'!AL$88</f>
        <v>484429.02300000004</v>
      </c>
      <c r="E17" s="6057">
        <f>'[15]Burkina Faso'!AL$90</f>
        <v>457118.94399999996</v>
      </c>
      <c r="F17" s="6057">
        <f t="shared" si="5"/>
        <v>27310.079000000085</v>
      </c>
      <c r="G17" s="6058">
        <f>'[15]Burkina Faso'!AL$18</f>
        <v>97320</v>
      </c>
      <c r="H17" s="6057">
        <f>'[15]Burkina Faso'!AL$19</f>
        <v>2172030</v>
      </c>
      <c r="I17" s="6057">
        <f t="shared" si="0"/>
        <v>2074710</v>
      </c>
      <c r="J17" s="6075">
        <f t="shared" si="1"/>
        <v>1393560</v>
      </c>
      <c r="K17" s="6075">
        <f>'[15]Burkina Faso'!AL16</f>
        <v>1296240</v>
      </c>
      <c r="M17" s="6059"/>
      <c r="N17" s="6057">
        <f>'[15]Burkina Faso'!AH$88</f>
        <v>461044.96547683905</v>
      </c>
      <c r="O17" s="6057">
        <f>'[15]Burkina Faso'!AH$90</f>
        <v>342808.55534803512</v>
      </c>
      <c r="P17" s="6057">
        <f t="shared" si="6"/>
        <v>118236.41012880392</v>
      </c>
      <c r="Q17" s="6058">
        <f>'[15]Burkina Faso'!AH$18</f>
        <v>75000</v>
      </c>
      <c r="R17" s="6057">
        <f>'[15]Burkina Faso'!AH$19</f>
        <v>2116416.5929999999</v>
      </c>
      <c r="S17" s="6057">
        <f t="shared" si="2"/>
        <v>2041416.5929999999</v>
      </c>
      <c r="T17" s="6075">
        <f t="shared" si="3"/>
        <v>1300809.584</v>
      </c>
      <c r="U17" s="6075">
        <f>'[15]Burkina Faso'!AH16</f>
        <v>1225809.584</v>
      </c>
      <c r="W17" s="6059"/>
      <c r="X17" s="6057">
        <f>'[15]Burkina Faso'!AB$88</f>
        <v>417726.89399999991</v>
      </c>
      <c r="Y17" s="6057">
        <f>'[15]Burkina Faso'!AB$90</f>
        <v>382198.14299999998</v>
      </c>
      <c r="Z17" s="6057">
        <f t="shared" si="7"/>
        <v>35528.750999999931</v>
      </c>
      <c r="AA17" s="6058">
        <f>'[15]Burkina Faso'!AB$18</f>
        <v>229100</v>
      </c>
      <c r="AB17" s="6057">
        <f>'[15]Burkina Faso'!AB$19</f>
        <v>1816020</v>
      </c>
      <c r="AC17" s="6057">
        <f t="shared" si="8"/>
        <v>1586920</v>
      </c>
      <c r="AD17" s="6075">
        <f t="shared" si="4"/>
        <v>1280150</v>
      </c>
      <c r="AE17" s="6075">
        <f>'[15]Burkina Faso'!AB16</f>
        <v>1051050</v>
      </c>
      <c r="AG17" s="6057"/>
      <c r="AH17" s="6057"/>
      <c r="AI17" s="6057"/>
      <c r="AJ17" s="6059"/>
      <c r="AK17" s="6057"/>
      <c r="AL17" s="6057"/>
      <c r="AM17" s="6059"/>
      <c r="AN17" s="6057"/>
      <c r="AO17" s="6057"/>
      <c r="AP17" s="6057"/>
      <c r="AQ17" s="6057"/>
      <c r="AR17" s="6057"/>
      <c r="AS17" s="6059"/>
      <c r="AT17" s="6057"/>
      <c r="AU17" s="6057"/>
      <c r="AV17" s="6059"/>
      <c r="AW17" s="6057"/>
      <c r="AX17" s="6057"/>
      <c r="AY17" s="6057"/>
      <c r="AZ17" s="6057"/>
      <c r="BA17" s="6057"/>
      <c r="BB17" s="6057"/>
      <c r="BC17" s="6057"/>
      <c r="BD17" s="6057"/>
      <c r="BE17" s="6057"/>
      <c r="BF17" s="6057"/>
      <c r="BG17" s="6057"/>
      <c r="BH17" s="6057"/>
      <c r="BI17" s="6057"/>
      <c r="BJ17" s="6057"/>
      <c r="BK17" s="6057"/>
      <c r="BL17" s="6057"/>
      <c r="BM17" s="6057"/>
      <c r="BN17" s="6057"/>
      <c r="BO17" s="6057"/>
      <c r="BP17" s="6057"/>
      <c r="BQ17" s="6057"/>
      <c r="BR17" s="6057"/>
      <c r="BS17" s="6057"/>
    </row>
    <row r="18" spans="2:71" x14ac:dyDescent="0.3">
      <c r="B18" s="6045" t="s">
        <v>28</v>
      </c>
      <c r="D18" s="6057">
        <f>[15]Burundi!AP$88</f>
        <v>274982658054.83643</v>
      </c>
      <c r="E18" s="6057">
        <f>[15]Burundi!AP$90</f>
        <v>273800514061.91299</v>
      </c>
      <c r="F18" s="6057">
        <f t="shared" si="5"/>
        <v>1182143992.9234314</v>
      </c>
      <c r="G18" s="6058">
        <f>[15]Burundi!AP$20+[15]Burundi!AP$21</f>
        <v>66395717690.027641</v>
      </c>
      <c r="H18" s="6057">
        <f>[15]Burundi!AP$22</f>
        <v>1282453265583.1243</v>
      </c>
      <c r="I18" s="6057">
        <f t="shared" si="0"/>
        <v>1216057547893.0967</v>
      </c>
      <c r="J18" s="6075">
        <f t="shared" si="1"/>
        <v>924639111080.95825</v>
      </c>
      <c r="K18" s="6075">
        <f>[15]Burundi!AP$17</f>
        <v>858243393390.93066</v>
      </c>
      <c r="M18" s="6059"/>
      <c r="N18" s="6057">
        <f>[15]Burundi!AJ$88</f>
        <v>261199.59354225383</v>
      </c>
      <c r="O18" s="6057">
        <f>[15]Burundi!AJ$90</f>
        <v>256499.4875413987</v>
      </c>
      <c r="P18" s="6057">
        <f t="shared" si="6"/>
        <v>4700.1060008551285</v>
      </c>
      <c r="Q18" s="6058">
        <f>[15]Burundi!AJ$20+[15]Burundi!AW$21</f>
        <v>62785.21303223967</v>
      </c>
      <c r="R18" s="6057">
        <f>[15]Burundi!AJ$22</f>
        <v>1219451.5245332993</v>
      </c>
      <c r="S18" s="6057">
        <f t="shared" si="2"/>
        <v>1156666.3115010597</v>
      </c>
      <c r="T18" s="6075">
        <f t="shared" si="3"/>
        <v>865899.97366856551</v>
      </c>
      <c r="U18" s="6075">
        <f>[15]Burundi!AJ$17</f>
        <v>803114.76063632581</v>
      </c>
      <c r="W18" s="6059"/>
      <c r="X18" s="6057">
        <f>[15]Burundi!Z$88</f>
        <v>229771.98661847878</v>
      </c>
      <c r="Y18" s="6057">
        <f>[15]Burundi!Z$90</f>
        <v>218712.76163963685</v>
      </c>
      <c r="Z18" s="6057">
        <f t="shared" si="7"/>
        <v>11059.224978841929</v>
      </c>
      <c r="AA18" s="6058">
        <f>[15]Burundi!Z$20+[15]Burundi!BD$21</f>
        <v>48900.063204884675</v>
      </c>
      <c r="AB18" s="6057">
        <f>[15]Burundi!Z$22</f>
        <v>1098675.4250601563</v>
      </c>
      <c r="AC18" s="6057">
        <f t="shared" si="8"/>
        <v>1049775.3618552715</v>
      </c>
      <c r="AD18" s="6075">
        <f t="shared" si="4"/>
        <v>790665.20623105613</v>
      </c>
      <c r="AE18" s="6075">
        <f>[15]Burundi!Z$17</f>
        <v>741765.14302617148</v>
      </c>
      <c r="AG18" s="6057"/>
      <c r="AH18" s="6057"/>
      <c r="AI18" s="6057"/>
      <c r="AJ18" s="6059"/>
      <c r="AK18" s="6057"/>
      <c r="AL18" s="6057"/>
      <c r="AM18" s="6059"/>
      <c r="AN18" s="6057"/>
      <c r="AO18" s="6057"/>
      <c r="AP18" s="6057"/>
      <c r="AQ18" s="6057"/>
      <c r="AR18" s="6057"/>
      <c r="AS18" s="6059"/>
      <c r="AT18" s="6057"/>
      <c r="AU18" s="6057"/>
      <c r="AV18" s="6059"/>
      <c r="AW18" s="6057"/>
      <c r="AX18" s="6057"/>
      <c r="AY18" s="6057"/>
      <c r="AZ18" s="6057"/>
      <c r="BA18" s="6057"/>
      <c r="BB18" s="6057"/>
      <c r="BC18" s="6057"/>
      <c r="BD18" s="6057"/>
      <c r="BE18" s="6057"/>
      <c r="BF18" s="6057"/>
      <c r="BG18" s="6057"/>
      <c r="BH18" s="6057"/>
      <c r="BI18" s="6057"/>
      <c r="BJ18" s="6057"/>
      <c r="BK18" s="6057"/>
      <c r="BL18" s="6057"/>
      <c r="BM18" s="6057"/>
      <c r="BN18" s="6057"/>
      <c r="BO18" s="6057"/>
      <c r="BP18" s="6057"/>
      <c r="BQ18" s="6057"/>
      <c r="BR18" s="6057"/>
      <c r="BS18" s="6057"/>
    </row>
    <row r="19" spans="2:71" x14ac:dyDescent="0.3">
      <c r="B19" s="6045" t="s">
        <v>29</v>
      </c>
      <c r="D19" s="6057">
        <f>[15]Cambodia!AJ87</f>
        <v>2153.2570000000001</v>
      </c>
      <c r="E19" s="6057">
        <f>[15]Cambodia!AJ89</f>
        <v>2153.2570000000001</v>
      </c>
      <c r="F19" s="6057">
        <f t="shared" si="5"/>
        <v>0</v>
      </c>
      <c r="G19" s="6058">
        <f>[15]Cambodia!AJ21+[15]Cambodia!AJ22</f>
        <v>3373.75</v>
      </c>
      <c r="H19" s="6057">
        <f>[15]Cambodia!AJ23</f>
        <v>18191.079999999998</v>
      </c>
      <c r="I19" s="6057">
        <f t="shared" si="0"/>
        <v>14817.329999999998</v>
      </c>
      <c r="J19" s="6075">
        <f t="shared" si="1"/>
        <v>15449.42</v>
      </c>
      <c r="K19" s="6075">
        <f>[15]Cambodia!AJ$17</f>
        <v>12075.67</v>
      </c>
      <c r="M19" s="6059"/>
      <c r="N19" s="6057">
        <f>[15]Cambodia!AE87</f>
        <v>2164.0990000000002</v>
      </c>
      <c r="O19" s="6057">
        <f>[15]Cambodia!AE89</f>
        <v>2164.0990000000002</v>
      </c>
      <c r="P19" s="6057">
        <f t="shared" si="6"/>
        <v>0</v>
      </c>
      <c r="Q19" s="6058">
        <f>[15]Cambodia!AE21+[15]Cambodia!AR22</f>
        <v>3520.9</v>
      </c>
      <c r="R19" s="6057">
        <f>[15]Cambodia!AE23</f>
        <v>17584.78</v>
      </c>
      <c r="S19" s="6057">
        <f t="shared" si="2"/>
        <v>14063.88</v>
      </c>
      <c r="T19" s="6075">
        <f t="shared" si="3"/>
        <v>15564.619999999999</v>
      </c>
      <c r="U19" s="6075">
        <f>[15]Cambodia!AE$17</f>
        <v>12043.72</v>
      </c>
      <c r="W19" s="6059"/>
      <c r="X19" s="6057">
        <f>[15]Cambodia!Y87</f>
        <v>1945.1</v>
      </c>
      <c r="Y19" s="6057">
        <f>[15]Cambodia!Y89</f>
        <v>1908</v>
      </c>
      <c r="Z19" s="6057">
        <f t="shared" si="7"/>
        <v>37.099999999999909</v>
      </c>
      <c r="AA19" s="6058">
        <f>[15]Cambodia!Y21+[15]Cambodia!Y22</f>
        <v>2487.7600000000002</v>
      </c>
      <c r="AB19" s="6057">
        <f>[15]Cambodia!Y23</f>
        <v>13775.38</v>
      </c>
      <c r="AC19" s="6057">
        <f t="shared" si="8"/>
        <v>11287.619999999999</v>
      </c>
      <c r="AD19" s="6075">
        <f t="shared" si="4"/>
        <v>12142.880000000001</v>
      </c>
      <c r="AE19" s="6075">
        <f>[15]Cambodia!Y$17</f>
        <v>9655.1200000000008</v>
      </c>
      <c r="AG19" s="6057"/>
      <c r="AH19" s="6057"/>
      <c r="AI19" s="6057"/>
      <c r="AJ19" s="6059"/>
      <c r="AK19" s="6057"/>
      <c r="AL19" s="6057"/>
      <c r="AM19" s="6059"/>
      <c r="AN19" s="6057"/>
      <c r="AO19" s="6057"/>
      <c r="AP19" s="6057"/>
      <c r="AQ19" s="6057"/>
      <c r="AR19" s="6057"/>
      <c r="AS19" s="6059"/>
      <c r="AT19" s="6057"/>
      <c r="AU19" s="6057"/>
      <c r="AV19" s="6059"/>
      <c r="AW19" s="6057"/>
      <c r="AX19" s="6057"/>
      <c r="AY19" s="6057"/>
      <c r="AZ19" s="6057"/>
      <c r="BA19" s="6057"/>
      <c r="BB19" s="6057"/>
      <c r="BC19" s="6057"/>
      <c r="BD19" s="6057"/>
      <c r="BE19" s="6057"/>
      <c r="BF19" s="6057"/>
      <c r="BG19" s="6057"/>
      <c r="BH19" s="6057"/>
      <c r="BI19" s="6057"/>
      <c r="BJ19" s="6057"/>
      <c r="BK19" s="6057"/>
      <c r="BL19" s="6057"/>
      <c r="BM19" s="6057"/>
      <c r="BN19" s="6057"/>
      <c r="BO19" s="6057"/>
      <c r="BP19" s="6057"/>
      <c r="BQ19" s="6057"/>
      <c r="BR19" s="6057"/>
      <c r="BS19" s="6057"/>
    </row>
    <row r="20" spans="2:71" x14ac:dyDescent="0.3">
      <c r="B20" s="6045" t="s">
        <v>30</v>
      </c>
      <c r="D20" s="6057">
        <f>[15]Cameroun!AN75</f>
        <v>672974</v>
      </c>
      <c r="E20" s="6057">
        <f>[15]Cameroun!AN77</f>
        <v>597341</v>
      </c>
      <c r="F20" s="6057">
        <f t="shared" si="5"/>
        <v>75633</v>
      </c>
      <c r="G20" s="6058">
        <f>[15]Cameroun!AN18</f>
        <v>1027000</v>
      </c>
      <c r="H20" s="6057">
        <f>[15]Cameroun!AN19</f>
        <v>4513500</v>
      </c>
      <c r="I20" s="6057">
        <f t="shared" si="0"/>
        <v>3486500</v>
      </c>
      <c r="J20" s="6075">
        <f t="shared" si="1"/>
        <v>3221992</v>
      </c>
      <c r="K20" s="6075">
        <f>[15]Cameroun!AN$16</f>
        <v>2194992</v>
      </c>
      <c r="M20" s="6059"/>
      <c r="N20" s="6057">
        <f>[15]Cameroun!AE75</f>
        <v>623469.31707061583</v>
      </c>
      <c r="O20" s="6057">
        <f>[15]Cameroun!AE77</f>
        <v>546697.27287363191</v>
      </c>
      <c r="P20" s="6057">
        <f t="shared" si="6"/>
        <v>76772.044196983916</v>
      </c>
      <c r="Q20" s="6058">
        <f>[15]Cameroun!AE18</f>
        <v>726100</v>
      </c>
      <c r="R20" s="6057">
        <f>[15]Cameroun!AE19</f>
        <v>4363800</v>
      </c>
      <c r="S20" s="6057">
        <f t="shared" si="2"/>
        <v>3637700</v>
      </c>
      <c r="T20" s="6075">
        <f t="shared" si="3"/>
        <v>2878800</v>
      </c>
      <c r="U20" s="6075">
        <f>[15]Cameroun!AE$16</f>
        <v>2152700</v>
      </c>
      <c r="W20" s="6059"/>
      <c r="X20" s="6057">
        <f>[15]Cameroun!Y75</f>
        <v>513456.64598784898</v>
      </c>
      <c r="Y20" s="6057">
        <f>[15]Cameroun!Y77</f>
        <v>446177.55113604077</v>
      </c>
      <c r="Z20" s="6057">
        <f t="shared" si="7"/>
        <v>67279.094851808215</v>
      </c>
      <c r="AA20" s="6058">
        <f>[15]Cameroun!Y18</f>
        <v>595600</v>
      </c>
      <c r="AB20" s="6057">
        <f>[15]Cameroun!Y19</f>
        <v>4451500</v>
      </c>
      <c r="AC20" s="6057">
        <f t="shared" si="8"/>
        <v>3855900</v>
      </c>
      <c r="AD20" s="6075">
        <f t="shared" si="4"/>
        <v>2936900</v>
      </c>
      <c r="AE20" s="6075">
        <f>[15]Cameroun!Y$16</f>
        <v>2341300</v>
      </c>
      <c r="AG20" s="6057"/>
      <c r="AH20" s="6057"/>
      <c r="AI20" s="6057"/>
      <c r="AJ20" s="6059"/>
      <c r="AK20" s="6057"/>
      <c r="AL20" s="6057"/>
      <c r="AM20" s="6059"/>
      <c r="AN20" s="6057"/>
      <c r="AO20" s="6057"/>
      <c r="AP20" s="6057"/>
      <c r="AQ20" s="6057"/>
      <c r="AR20" s="6057"/>
      <c r="AS20" s="6059"/>
      <c r="AT20" s="6057"/>
      <c r="AU20" s="6057"/>
      <c r="AV20" s="6059"/>
      <c r="AW20" s="6057"/>
      <c r="AX20" s="6057"/>
      <c r="AY20" s="6057"/>
      <c r="AZ20" s="6057"/>
      <c r="BA20" s="6057"/>
      <c r="BB20" s="6057"/>
      <c r="BC20" s="6057"/>
      <c r="BD20" s="6057"/>
      <c r="BE20" s="6057"/>
      <c r="BF20" s="6057"/>
      <c r="BG20" s="6057"/>
      <c r="BH20" s="6057"/>
      <c r="BI20" s="6057"/>
      <c r="BJ20" s="6057"/>
      <c r="BK20" s="6057"/>
      <c r="BL20" s="6057"/>
      <c r="BM20" s="6057"/>
      <c r="BN20" s="6057"/>
      <c r="BO20" s="6057"/>
      <c r="BP20" s="6057"/>
      <c r="BQ20" s="6057"/>
      <c r="BR20" s="6057"/>
      <c r="BS20" s="6057"/>
    </row>
    <row r="21" spans="2:71" x14ac:dyDescent="0.3">
      <c r="B21" s="6045" t="s">
        <v>31</v>
      </c>
      <c r="D21" s="6057">
        <f>[15]Chad!AC100</f>
        <v>140811412140</v>
      </c>
      <c r="E21" s="6057">
        <f>[15]Chad!AC102</f>
        <v>123897107140</v>
      </c>
      <c r="F21" s="6057">
        <f t="shared" si="5"/>
        <v>16914305000</v>
      </c>
      <c r="G21" s="6058">
        <f>[15]Chad!AC20</f>
        <v>515715000000</v>
      </c>
      <c r="H21" s="6057">
        <f>[15]Chad!AC21</f>
        <v>1343034000000</v>
      </c>
      <c r="I21" s="6057">
        <f t="shared" si="0"/>
        <v>827319000000</v>
      </c>
      <c r="J21" s="6075">
        <f t="shared" si="1"/>
        <v>1068715000000</v>
      </c>
      <c r="K21" s="6075">
        <f>[15]Chad!AC$16</f>
        <v>553000000000</v>
      </c>
      <c r="M21" s="6059"/>
      <c r="N21" s="6057">
        <f>[15]Chad!X100</f>
        <v>142546514740</v>
      </c>
      <c r="O21" s="6057">
        <f>[15]Chad!X102</f>
        <v>123407418740</v>
      </c>
      <c r="P21" s="6057">
        <f t="shared" si="6"/>
        <v>19139096000</v>
      </c>
      <c r="Q21" s="6058">
        <f>[15]Chad!X20</f>
        <v>192238000000</v>
      </c>
      <c r="R21" s="6057">
        <f>[15]Chad!X21</f>
        <v>966110000000</v>
      </c>
      <c r="S21" s="6057">
        <f t="shared" si="2"/>
        <v>773872000000</v>
      </c>
      <c r="T21" s="6075">
        <f t="shared" si="3"/>
        <v>734698000000</v>
      </c>
      <c r="U21" s="6075">
        <f>[15]Chad!X$16</f>
        <v>542460000000</v>
      </c>
      <c r="V21" s="6045" t="s">
        <v>32</v>
      </c>
      <c r="W21" s="6059"/>
      <c r="X21" s="6057">
        <f>[15]Chad!O100</f>
        <v>145241633251</v>
      </c>
      <c r="Y21" s="6057">
        <f>[15]Chad!O102</f>
        <v>131466175651</v>
      </c>
      <c r="Z21" s="6057">
        <f t="shared" si="7"/>
        <v>13775457600</v>
      </c>
      <c r="AA21" s="6058">
        <f>[15]Chad!O20</f>
        <v>39041147000</v>
      </c>
      <c r="AB21" s="6057">
        <f>[15]Chad!O21</f>
        <v>759630561866</v>
      </c>
      <c r="AC21" s="6057">
        <f t="shared" si="8"/>
        <v>720589414866</v>
      </c>
      <c r="AD21" s="6075">
        <f t="shared" si="4"/>
        <v>551924127635</v>
      </c>
      <c r="AE21" s="6075">
        <f>[15]Chad!O$16</f>
        <v>512882980635</v>
      </c>
      <c r="AF21" s="6045" t="s">
        <v>32</v>
      </c>
      <c r="AG21" s="6057"/>
      <c r="AH21" s="6057"/>
      <c r="AI21" s="6057"/>
      <c r="AJ21" s="6059"/>
      <c r="AK21" s="6057"/>
      <c r="AL21" s="6057"/>
      <c r="AM21" s="6059"/>
      <c r="AN21" s="6057"/>
      <c r="AO21" s="6057"/>
      <c r="AP21" s="6057"/>
      <c r="AQ21" s="6057"/>
      <c r="AR21" s="6057"/>
      <c r="AS21" s="6059"/>
      <c r="AT21" s="6057"/>
      <c r="AU21" s="6057"/>
      <c r="AV21" s="6059"/>
      <c r="AW21" s="6057"/>
      <c r="AX21" s="6057"/>
      <c r="AY21" s="6057"/>
      <c r="AZ21" s="6057"/>
      <c r="BA21" s="6057"/>
      <c r="BB21" s="6057"/>
      <c r="BC21" s="6057"/>
      <c r="BD21" s="6057"/>
      <c r="BE21" s="6057"/>
      <c r="BF21" s="6057"/>
      <c r="BG21" s="6057"/>
      <c r="BH21" s="6057"/>
      <c r="BI21" s="6057"/>
      <c r="BJ21" s="6057"/>
      <c r="BK21" s="6057"/>
      <c r="BL21" s="6057"/>
      <c r="BM21" s="6057"/>
      <c r="BN21" s="6057"/>
      <c r="BO21" s="6057"/>
      <c r="BP21" s="6057"/>
      <c r="BQ21" s="6057"/>
      <c r="BR21" s="6057"/>
      <c r="BS21" s="6057"/>
    </row>
    <row r="22" spans="2:71" x14ac:dyDescent="0.3">
      <c r="B22" s="6045" t="s">
        <v>33</v>
      </c>
      <c r="D22" s="6057">
        <f>[15]Congo!AP$72</f>
        <v>227445928146</v>
      </c>
      <c r="E22" s="6057">
        <f>[15]Congo!AP$74</f>
        <v>205703928146</v>
      </c>
      <c r="F22" s="6057">
        <f t="shared" si="5"/>
        <v>21742000000</v>
      </c>
      <c r="G22" s="6058">
        <f>[15]Congo!AP$18</f>
        <v>146000000000</v>
      </c>
      <c r="H22" s="6057">
        <f>[15]Congo!AP$19</f>
        <v>1303629000000</v>
      </c>
      <c r="I22" s="6057">
        <f t="shared" si="0"/>
        <v>1157629000000</v>
      </c>
      <c r="J22" s="6075">
        <f t="shared" si="1"/>
        <v>1039629000000</v>
      </c>
      <c r="K22" s="6075">
        <f>[15]Congo!AP$16</f>
        <v>893629000000</v>
      </c>
      <c r="M22" s="6059"/>
      <c r="N22" s="6057">
        <f>[15]Congo!AD$72</f>
        <v>286715236172</v>
      </c>
      <c r="O22" s="6057">
        <f>[15]Congo!AD$74</f>
        <v>227165236172</v>
      </c>
      <c r="P22" s="6057">
        <f t="shared" si="6"/>
        <v>59550000000</v>
      </c>
      <c r="Q22" s="6058">
        <f>[15]Congo!AD$18</f>
        <v>27600000000</v>
      </c>
      <c r="R22" s="6058">
        <f>[15]Congo!AD$19</f>
        <v>2107117000000</v>
      </c>
      <c r="S22" s="6057">
        <f t="shared" si="2"/>
        <v>2079517000000</v>
      </c>
      <c r="T22" s="6075">
        <f t="shared" si="3"/>
        <v>1128697481253</v>
      </c>
      <c r="U22" s="6075">
        <f>[15]Congo!AD$16</f>
        <v>1101097481253</v>
      </c>
      <c r="V22" s="6045" t="s">
        <v>32</v>
      </c>
      <c r="W22" s="6059"/>
      <c r="X22" s="6057">
        <f>[15]Congo!Y$72</f>
        <v>290263782879</v>
      </c>
      <c r="Y22" s="6057">
        <f>[15]Congo!Y$74</f>
        <v>200586782879</v>
      </c>
      <c r="Z22" s="6057">
        <f t="shared" si="7"/>
        <v>89677000000</v>
      </c>
      <c r="AA22" s="6058">
        <f>[15]Congo!Y$18</f>
        <v>22625000000</v>
      </c>
      <c r="AB22" s="6058">
        <f>[15]Congo!Y$19</f>
        <v>2454717036830</v>
      </c>
      <c r="AC22" s="6057">
        <f t="shared" si="8"/>
        <v>2432092036830</v>
      </c>
      <c r="AD22" s="6075">
        <f t="shared" si="4"/>
        <v>1104861035782</v>
      </c>
      <c r="AE22" s="6075">
        <f>[15]Congo!Y$16</f>
        <v>1082236035782</v>
      </c>
      <c r="AG22" s="6057"/>
      <c r="AH22" s="6057"/>
      <c r="AI22" s="6057"/>
      <c r="AJ22" s="6059"/>
      <c r="AK22" s="6057"/>
      <c r="AL22" s="6057"/>
      <c r="AM22" s="6059"/>
      <c r="AN22" s="6057"/>
      <c r="AO22" s="6057"/>
      <c r="AP22" s="6057"/>
      <c r="AQ22" s="6057"/>
      <c r="AR22" s="6057"/>
      <c r="AS22" s="6059"/>
      <c r="AT22" s="6057"/>
      <c r="AU22" s="6057"/>
      <c r="AV22" s="6059"/>
      <c r="AW22" s="6057"/>
      <c r="AX22" s="6057"/>
      <c r="AY22" s="6057"/>
      <c r="AZ22" s="6057"/>
      <c r="BA22" s="6057"/>
      <c r="BB22" s="6057"/>
      <c r="BC22" s="6057"/>
      <c r="BD22" s="6057"/>
      <c r="BE22" s="6057"/>
      <c r="BF22" s="6057"/>
      <c r="BG22" s="6057"/>
      <c r="BH22" s="6057"/>
      <c r="BI22" s="6057"/>
      <c r="BJ22" s="6057"/>
      <c r="BK22" s="6057"/>
      <c r="BL22" s="6057"/>
      <c r="BM22" s="6057"/>
      <c r="BN22" s="6057"/>
      <c r="BO22" s="6057"/>
      <c r="BP22" s="6057"/>
      <c r="BQ22" s="6057"/>
      <c r="BR22" s="6057"/>
      <c r="BS22" s="6057"/>
    </row>
    <row r="23" spans="2:71" x14ac:dyDescent="0.3">
      <c r="B23" s="6045" t="s">
        <v>34</v>
      </c>
      <c r="D23" s="6057">
        <f>'[15]Cote Ivoire'!AQ$112</f>
        <v>1150609.1311229179</v>
      </c>
      <c r="E23" s="6057">
        <f>'[15]Cote Ivoire'!AQ$114</f>
        <v>1057859.2003762939</v>
      </c>
      <c r="F23" s="6057">
        <f t="shared" si="5"/>
        <v>92749.930746624013</v>
      </c>
      <c r="G23" s="6058">
        <f>'[15]Cote Ivoire'!AQ$26+'[15]Cote Ivoire'!AQ$27</f>
        <v>2152091.1736534196</v>
      </c>
      <c r="H23" s="6057">
        <f>'[15]Cote Ivoire'!AQ$29</f>
        <v>6881286.1859408226</v>
      </c>
      <c r="I23" s="6057">
        <f t="shared" si="0"/>
        <v>4729195.0122874025</v>
      </c>
      <c r="J23" s="6075">
        <f t="shared" si="1"/>
        <v>5409454.709636135</v>
      </c>
      <c r="K23" s="6075">
        <f>'[15]Cote Ivoire'!AQ$12</f>
        <v>3257363.5359827154</v>
      </c>
      <c r="L23" s="6045" t="s">
        <v>35</v>
      </c>
      <c r="M23" s="6059"/>
      <c r="N23" s="6057">
        <f>'[15]Cote Ivoire'!AK$112</f>
        <v>1002650.577258</v>
      </c>
      <c r="O23" s="6057">
        <f>'[15]Cote Ivoire'!AK$114</f>
        <v>916314.88160700002</v>
      </c>
      <c r="P23" s="6057">
        <f t="shared" si="6"/>
        <v>86335.695651000016</v>
      </c>
      <c r="Q23" s="6058">
        <f>'[15]Cote Ivoire'!AK$26+'[15]Cote Ivoire'!AK$27</f>
        <v>1973416.8189999999</v>
      </c>
      <c r="R23" s="6057">
        <f>'[15]Cote Ivoire'!AK$29</f>
        <v>6706001.0389999999</v>
      </c>
      <c r="S23" s="6057">
        <f t="shared" si="2"/>
        <v>4732584.22</v>
      </c>
      <c r="T23" s="6075">
        <f t="shared" si="3"/>
        <v>5178323.841</v>
      </c>
      <c r="U23" s="6075">
        <f>'[15]Cote Ivoire'!AK$12</f>
        <v>3204907.0219999999</v>
      </c>
      <c r="W23" s="6059"/>
      <c r="X23" s="6057">
        <f>'[15]Cote Ivoire'!V$112</f>
        <v>1026270.834977161</v>
      </c>
      <c r="Y23" s="6057">
        <f>'[15]Cote Ivoire'!V$114</f>
        <v>975945.49735258229</v>
      </c>
      <c r="Z23" s="6057">
        <f t="shared" si="7"/>
        <v>50325.337624578737</v>
      </c>
      <c r="AA23" s="6058">
        <f>'[15]Cote Ivoire'!V$26+'[15]Cote Ivoire'!V$27</f>
        <v>1255498.1933836939</v>
      </c>
      <c r="AB23" s="6057">
        <f>'[15]Cote Ivoire'!V$29</f>
        <v>5251627.177938899</v>
      </c>
      <c r="AC23" s="6057">
        <f t="shared" si="8"/>
        <v>3996128.9845552053</v>
      </c>
      <c r="AD23" s="6075">
        <f t="shared" si="4"/>
        <v>4559829.9980648672</v>
      </c>
      <c r="AE23" s="6075">
        <f>'[15]Cote Ivoire'!V$12</f>
        <v>3304331.8046811731</v>
      </c>
      <c r="AG23" s="6057"/>
      <c r="AH23" s="6057"/>
      <c r="AI23" s="6057"/>
      <c r="AJ23" s="6059"/>
      <c r="AK23" s="6057"/>
      <c r="AL23" s="6057"/>
      <c r="AM23" s="6059"/>
      <c r="AN23" s="6057"/>
      <c r="AO23" s="6057"/>
      <c r="AP23" s="6057"/>
      <c r="AQ23" s="6057"/>
      <c r="AR23" s="6057"/>
      <c r="AS23" s="6059"/>
      <c r="AT23" s="6057"/>
      <c r="AU23" s="6057"/>
      <c r="AV23" s="6059"/>
      <c r="AW23" s="6057"/>
      <c r="AX23" s="6057"/>
      <c r="AY23" s="6057"/>
      <c r="AZ23" s="6057"/>
      <c r="BA23" s="6057"/>
      <c r="BB23" s="6057"/>
      <c r="BC23" s="6057"/>
      <c r="BD23" s="6057"/>
      <c r="BE23" s="6057"/>
      <c r="BF23" s="6057"/>
      <c r="BG23" s="6057"/>
      <c r="BH23" s="6057"/>
      <c r="BI23" s="6057"/>
      <c r="BJ23" s="6057"/>
      <c r="BK23" s="6057"/>
      <c r="BL23" s="6057"/>
      <c r="BM23" s="6057"/>
      <c r="BN23" s="6057"/>
      <c r="BO23" s="6057"/>
      <c r="BP23" s="6057"/>
      <c r="BQ23" s="6057"/>
      <c r="BR23" s="6057"/>
      <c r="BS23" s="6057"/>
    </row>
    <row r="24" spans="2:71" x14ac:dyDescent="0.3">
      <c r="B24" s="6045" t="s">
        <v>36</v>
      </c>
      <c r="D24" s="6057">
        <f>[15]Djibouti!X$69</f>
        <v>19424306.61043191</v>
      </c>
      <c r="E24" s="6060"/>
      <c r="F24" s="6060"/>
      <c r="G24" s="6058">
        <f>[15]Djibouti!X$18</f>
        <v>26519619</v>
      </c>
      <c r="H24" s="6057">
        <f>[15]Djibouti!X$19</f>
        <v>132798032</v>
      </c>
      <c r="I24" s="6057">
        <f t="shared" si="0"/>
        <v>106278413</v>
      </c>
      <c r="J24" s="6075">
        <f t="shared" si="1"/>
        <v>108806925</v>
      </c>
      <c r="K24" s="6075">
        <f>[15]Djibouti!X$16</f>
        <v>82287306</v>
      </c>
      <c r="M24" s="6059"/>
      <c r="N24" s="6057">
        <f>[15]Djibouti!U$69</f>
        <v>18330063.07014031</v>
      </c>
      <c r="O24" s="6060"/>
      <c r="P24" s="6060"/>
      <c r="Q24" s="6058">
        <f>[15]Djibouti!U$18</f>
        <v>27161123</v>
      </c>
      <c r="R24" s="6057">
        <f>[15]Djibouti!U$19</f>
        <v>131646000</v>
      </c>
      <c r="S24" s="6057">
        <f t="shared" si="2"/>
        <v>104484877</v>
      </c>
      <c r="T24" s="6075">
        <f t="shared" si="3"/>
        <v>105594096</v>
      </c>
      <c r="U24" s="6075">
        <f>[15]Djibouti!U$16</f>
        <v>78432973</v>
      </c>
      <c r="W24" s="6059"/>
      <c r="X24" s="6057">
        <f>[15]Djibouti!O$69</f>
        <v>18158305.583259799</v>
      </c>
      <c r="Y24" s="6060"/>
      <c r="Z24" s="6060"/>
      <c r="AA24" s="6058">
        <f>[15]Djibouti!O$18</f>
        <v>17001958</v>
      </c>
      <c r="AB24" s="6057">
        <f>[15]Djibouti!O$19</f>
        <v>125099652</v>
      </c>
      <c r="AC24" s="6057">
        <f t="shared" si="8"/>
        <v>108097694</v>
      </c>
      <c r="AD24" s="6075">
        <f t="shared" si="4"/>
        <v>93979960</v>
      </c>
      <c r="AE24" s="6075">
        <f>[15]Djibouti!O$16</f>
        <v>76978002</v>
      </c>
      <c r="AG24" s="6057"/>
      <c r="AH24" s="6057"/>
      <c r="AI24" s="6057"/>
      <c r="AJ24" s="6059"/>
      <c r="AK24" s="6057"/>
      <c r="AL24" s="6057"/>
      <c r="AM24" s="6059"/>
      <c r="AN24" s="6057"/>
      <c r="AO24" s="6057"/>
      <c r="AP24" s="6057"/>
      <c r="AQ24" s="6057"/>
      <c r="AR24" s="6057"/>
      <c r="AS24" s="6059"/>
      <c r="AT24" s="6057"/>
      <c r="AU24" s="6057"/>
      <c r="AV24" s="6059"/>
      <c r="AW24" s="6057"/>
      <c r="AX24" s="6057"/>
      <c r="AY24" s="6057"/>
      <c r="AZ24" s="6057"/>
      <c r="BA24" s="6057"/>
      <c r="BB24" s="6057"/>
      <c r="BC24" s="6057"/>
      <c r="BD24" s="6057"/>
      <c r="BE24" s="6057"/>
      <c r="BF24" s="6057"/>
      <c r="BG24" s="6057"/>
      <c r="BH24" s="6057"/>
      <c r="BI24" s="6057"/>
      <c r="BJ24" s="6057"/>
      <c r="BK24" s="6057"/>
      <c r="BL24" s="6057"/>
      <c r="BM24" s="6057"/>
      <c r="BN24" s="6057"/>
      <c r="BO24" s="6057"/>
      <c r="BP24" s="6057"/>
      <c r="BQ24" s="6057"/>
      <c r="BR24" s="6057"/>
      <c r="BS24" s="6057"/>
    </row>
    <row r="25" spans="2:71" x14ac:dyDescent="0.3">
      <c r="B25" s="6045" t="s">
        <v>37</v>
      </c>
      <c r="D25" s="6045">
        <f>[15]DRCongo!AI$84</f>
        <v>1055717.4849760002</v>
      </c>
      <c r="E25" s="6045">
        <f>[15]DRCongo!AI$86</f>
        <v>1006741.7933960001</v>
      </c>
      <c r="F25" s="6057">
        <f>D25-E25</f>
        <v>48975.691580000101</v>
      </c>
      <c r="G25" s="6061">
        <f>[15]DRCongo!AI$20</f>
        <v>190526.36939499999</v>
      </c>
      <c r="H25" s="6057">
        <f>[15]DRCongo!AI$21</f>
        <v>6266942.5204489995</v>
      </c>
      <c r="I25" s="6057">
        <f t="shared" si="0"/>
        <v>6076416.1510539996</v>
      </c>
      <c r="J25" s="6075">
        <f t="shared" si="1"/>
        <v>5770160.133556</v>
      </c>
      <c r="K25" s="6075">
        <f>[15]DRCongo!AI$16</f>
        <v>5579633.764161</v>
      </c>
      <c r="M25" s="6045"/>
      <c r="N25" s="6045">
        <f>[15]DRCongo!AE$84</f>
        <v>810057.82199999993</v>
      </c>
      <c r="O25" s="6045">
        <f>[15]DRCongo!AE$86</f>
        <v>804775.19499999995</v>
      </c>
      <c r="P25" s="6057">
        <f>N25-O25</f>
        <v>5282.6269999999786</v>
      </c>
      <c r="Q25" s="6061">
        <f>[15]DRCongo!AE$20</f>
        <v>150279.9</v>
      </c>
      <c r="R25" s="6057">
        <f>[15]DRCongo!AE$21</f>
        <v>4375045.6870000008</v>
      </c>
      <c r="S25" s="6057">
        <f t="shared" si="2"/>
        <v>4224765.7870000005</v>
      </c>
      <c r="T25" s="6075">
        <f t="shared" si="3"/>
        <v>3830609.38</v>
      </c>
      <c r="U25" s="6075">
        <f>[15]DRCongo!AE$16</f>
        <v>3680329.48</v>
      </c>
      <c r="W25" s="6045"/>
      <c r="X25" s="6045">
        <f>[15]DRCongo!Y$84</f>
        <v>794877.04115200008</v>
      </c>
      <c r="Y25" s="6045">
        <f>[15]DRCongo!Y$86</f>
        <v>763577.44115199998</v>
      </c>
      <c r="Z25" s="6057">
        <f>X25-Y25</f>
        <v>31299.600000000093</v>
      </c>
      <c r="AA25" s="6061">
        <f>[15]DRCongo!Y$20</f>
        <v>230128.1</v>
      </c>
      <c r="AB25" s="6057">
        <f>[15]DRCongo!Y$21</f>
        <v>4124331</v>
      </c>
      <c r="AC25" s="6057">
        <f t="shared" si="8"/>
        <v>3894202.9</v>
      </c>
      <c r="AD25" s="6075">
        <f t="shared" si="4"/>
        <v>3786344</v>
      </c>
      <c r="AE25" s="6075">
        <f>[15]DRCongo!Y$16</f>
        <v>3556215.9</v>
      </c>
      <c r="AG25" s="6057"/>
      <c r="AH25" s="6057"/>
      <c r="AI25" s="6057"/>
      <c r="AJ25" s="6059"/>
      <c r="AK25" s="6057"/>
      <c r="AL25" s="6057"/>
      <c r="AM25" s="6059"/>
      <c r="AN25" s="6057"/>
      <c r="AO25" s="6057"/>
      <c r="AP25" s="6057"/>
      <c r="AQ25" s="6057"/>
      <c r="AR25" s="6057"/>
      <c r="AS25" s="6059"/>
      <c r="AT25" s="6057"/>
      <c r="AU25" s="6057"/>
      <c r="AV25" s="6059"/>
      <c r="AW25" s="6057"/>
      <c r="AX25" s="6057"/>
      <c r="AY25" s="6057"/>
      <c r="AZ25" s="6057"/>
      <c r="BA25" s="6057"/>
      <c r="BB25" s="6057"/>
      <c r="BC25" s="6057"/>
      <c r="BD25" s="6057"/>
      <c r="BE25" s="6057"/>
      <c r="BF25" s="6057"/>
      <c r="BG25" s="6057"/>
      <c r="BH25" s="6057"/>
      <c r="BI25" s="6057"/>
      <c r="BJ25" s="6057"/>
      <c r="BK25" s="6057"/>
      <c r="BL25" s="6057"/>
      <c r="BM25" s="6057"/>
      <c r="BN25" s="6057"/>
      <c r="BO25" s="6057"/>
      <c r="BP25" s="6057"/>
      <c r="BQ25" s="6057"/>
      <c r="BR25" s="6057"/>
      <c r="BS25" s="6057"/>
    </row>
    <row r="26" spans="2:71" x14ac:dyDescent="0.3">
      <c r="B26" s="6045" t="s">
        <v>38</v>
      </c>
      <c r="D26" s="6045">
        <f>[15]Gambia!AR$90</f>
        <v>1902900247</v>
      </c>
      <c r="E26" s="6045">
        <f>[15]Gambia!AR$92</f>
        <v>1902900247</v>
      </c>
      <c r="F26" s="6057">
        <f>D26-E26</f>
        <v>0</v>
      </c>
      <c r="G26" s="6061">
        <f>[15]Gambia!AR$19+[15]Gambia!AR$20</f>
        <v>4148583270</v>
      </c>
      <c r="H26" s="6057">
        <f>[15]Gambia!AR$21</f>
        <v>13041975453</v>
      </c>
      <c r="I26" s="6057">
        <f t="shared" si="0"/>
        <v>8893392183</v>
      </c>
      <c r="J26" s="6075">
        <f t="shared" si="1"/>
        <v>12361001687</v>
      </c>
      <c r="K26" s="6075">
        <f>[15]Gambia!AR$17</f>
        <v>8212418417</v>
      </c>
      <c r="L26" s="6045" t="s">
        <v>39</v>
      </c>
      <c r="M26" s="6059"/>
      <c r="N26" s="6062"/>
      <c r="O26" s="6062"/>
      <c r="P26" s="6060"/>
      <c r="Q26" s="6063"/>
      <c r="R26" s="6060"/>
      <c r="S26" s="6060"/>
      <c r="T26" s="6060"/>
      <c r="U26" s="6060"/>
      <c r="W26" s="6059"/>
      <c r="X26" s="6045">
        <f>[15]Gambia!AC$90</f>
        <v>1303527.9048885112</v>
      </c>
      <c r="Y26" s="6045">
        <f>[15]Gambia!AC$92</f>
        <v>1222899.9019162159</v>
      </c>
      <c r="Z26" s="6057">
        <f>X26-Y26</f>
        <v>80628.002972295275</v>
      </c>
      <c r="AA26" s="6061">
        <f>[15]Gambia!AC$19+[15]Gambia!AC$20</f>
        <v>3603725.8908619653</v>
      </c>
      <c r="AB26" s="6057">
        <f>[15]Gambia!AC$21</f>
        <v>14522788.875896748</v>
      </c>
      <c r="AC26" s="6057">
        <f t="shared" si="8"/>
        <v>10919062.985034782</v>
      </c>
      <c r="AD26" s="6075">
        <f t="shared" si="4"/>
        <v>13763659.000133157</v>
      </c>
      <c r="AE26" s="6075">
        <f>[15]Gambia!AC$17</f>
        <v>10159933.109271191</v>
      </c>
      <c r="AG26" s="6057"/>
      <c r="AH26" s="6057"/>
      <c r="AI26" s="6057"/>
      <c r="AJ26" s="6059"/>
      <c r="AK26" s="6057"/>
      <c r="AL26" s="6057"/>
      <c r="AM26" s="6059"/>
      <c r="AN26" s="6057"/>
      <c r="AO26" s="6057"/>
      <c r="AP26" s="6057"/>
      <c r="AQ26" s="6057"/>
      <c r="AR26" s="6057"/>
      <c r="AS26" s="6059"/>
      <c r="AT26" s="6057"/>
      <c r="AU26" s="6057"/>
      <c r="AV26" s="6059"/>
      <c r="AW26" s="6057"/>
      <c r="AX26" s="6057"/>
      <c r="AY26" s="6057"/>
      <c r="AZ26" s="6057"/>
      <c r="BA26" s="6057"/>
      <c r="BB26" s="6057"/>
      <c r="BC26" s="6057"/>
      <c r="BD26" s="6057"/>
      <c r="BE26" s="6057"/>
      <c r="BF26" s="6057"/>
      <c r="BG26" s="6057"/>
      <c r="BH26" s="6057"/>
      <c r="BI26" s="6057"/>
      <c r="BJ26" s="6057"/>
      <c r="BK26" s="6057"/>
      <c r="BL26" s="6057"/>
      <c r="BM26" s="6057"/>
      <c r="BN26" s="6057"/>
      <c r="BO26" s="6057"/>
      <c r="BP26" s="6057"/>
      <c r="BQ26" s="6057"/>
      <c r="BR26" s="6057"/>
      <c r="BS26" s="6057"/>
    </row>
    <row r="27" spans="2:71" x14ac:dyDescent="0.3">
      <c r="B27" s="6045" t="s">
        <v>40</v>
      </c>
      <c r="D27" s="6045">
        <f>[15]Ghana!AK$87</f>
        <v>11992098499.988785</v>
      </c>
      <c r="E27" s="6060"/>
      <c r="F27" s="6060"/>
      <c r="G27" s="6061">
        <f>[15]Ghana!AK$21+[15]Ghana!AK$22</f>
        <v>15091615959</v>
      </c>
      <c r="H27" s="6045">
        <f>[15]Ghana!AK$23</f>
        <v>59171734232</v>
      </c>
      <c r="I27" s="6045">
        <f t="shared" si="0"/>
        <v>44080118273</v>
      </c>
      <c r="J27" s="6075">
        <f t="shared" si="1"/>
        <v>52778406994</v>
      </c>
      <c r="K27" s="6077">
        <f>[15]Ghana!AK$17</f>
        <v>37686791035</v>
      </c>
      <c r="L27" s="6045" t="s">
        <v>41</v>
      </c>
      <c r="M27" s="6059"/>
      <c r="N27" s="6045">
        <f>[15]Ghana!AF$87</f>
        <v>737013575</v>
      </c>
      <c r="O27" s="6060"/>
      <c r="P27" s="6060"/>
      <c r="Q27" s="6058">
        <f>[15]Ghana!AF$21+[15]Ghana!AF$22</f>
        <v>13283516710</v>
      </c>
      <c r="R27" s="6057">
        <f>[15]Ghana!AF$23</f>
        <v>51416499435</v>
      </c>
      <c r="S27" s="6057">
        <f t="shared" ref="S27:S59" si="9">R27-Q27</f>
        <v>38132982725</v>
      </c>
      <c r="T27" s="6060"/>
      <c r="U27" s="6060"/>
      <c r="W27" s="6059"/>
      <c r="X27" s="6045">
        <f>[15]Ghana!V$87</f>
        <v>9650139341.0978603</v>
      </c>
      <c r="Y27" s="6060"/>
      <c r="Z27" s="6060"/>
      <c r="AA27" s="6058">
        <f>[15]Ghana!V$21+[15]Ghana!V$22</f>
        <v>10770439587</v>
      </c>
      <c r="AB27" s="6057">
        <f>[15]Ghana!V$23</f>
        <v>51125042600</v>
      </c>
      <c r="AC27" s="6057">
        <f t="shared" si="8"/>
        <v>40354603013</v>
      </c>
      <c r="AD27" s="6075">
        <f t="shared" si="4"/>
        <v>43446945364</v>
      </c>
      <c r="AE27" s="6075">
        <f>[15]Ghana!V$17</f>
        <v>32676505777</v>
      </c>
      <c r="AG27" s="6057"/>
      <c r="AH27" s="6057"/>
      <c r="AI27" s="6057"/>
      <c r="AJ27" s="6059"/>
      <c r="AK27" s="6057"/>
      <c r="AL27" s="6057"/>
      <c r="AM27" s="6059"/>
      <c r="AN27" s="6057"/>
      <c r="AO27" s="6057"/>
      <c r="AP27" s="6057"/>
      <c r="AQ27" s="6057"/>
      <c r="AR27" s="6057"/>
      <c r="AS27" s="6059"/>
      <c r="AT27" s="6057"/>
      <c r="AU27" s="6057"/>
      <c r="AV27" s="6059"/>
      <c r="AW27" s="6057"/>
      <c r="AX27" s="6057"/>
      <c r="AY27" s="6057"/>
      <c r="AZ27" s="6057"/>
      <c r="BA27" s="6057"/>
      <c r="BB27" s="6057"/>
      <c r="BC27" s="6057"/>
      <c r="BD27" s="6057"/>
      <c r="BE27" s="6057"/>
      <c r="BF27" s="6057"/>
      <c r="BG27" s="6057"/>
      <c r="BH27" s="6057"/>
      <c r="BI27" s="6057"/>
      <c r="BJ27" s="6057"/>
      <c r="BK27" s="6057"/>
      <c r="BL27" s="6057"/>
      <c r="BM27" s="6057"/>
      <c r="BN27" s="6057"/>
      <c r="BO27" s="6057"/>
      <c r="BP27" s="6057"/>
      <c r="BQ27" s="6057"/>
      <c r="BR27" s="6057"/>
      <c r="BS27" s="6057"/>
    </row>
    <row r="28" spans="2:71" x14ac:dyDescent="0.3">
      <c r="B28" s="6045" t="s">
        <v>42</v>
      </c>
      <c r="D28" s="6046">
        <f>[15]Guinée!AP$76</f>
        <v>2228326665.2024517</v>
      </c>
      <c r="E28" s="6057">
        <f>[15]Guinée!AP$78</f>
        <v>1938165243.9672186</v>
      </c>
      <c r="F28" s="6057">
        <f>D28-E28</f>
        <v>290161421.23523307</v>
      </c>
      <c r="G28" s="6061">
        <f>[15]Guinée!AP$19</f>
        <v>775855210.85486376</v>
      </c>
      <c r="H28" s="6045">
        <f>[15]Guinée!AP$20</f>
        <v>20410925565.939487</v>
      </c>
      <c r="I28" s="6045">
        <f t="shared" si="0"/>
        <v>19635070355.084625</v>
      </c>
      <c r="J28" s="6075">
        <f t="shared" si="1"/>
        <v>11710861782.086672</v>
      </c>
      <c r="K28" s="6077">
        <f>[15]Guinée!AP$16</f>
        <v>10935006571.231808</v>
      </c>
      <c r="M28" s="6059"/>
      <c r="N28" s="6046">
        <f>[15]Guinée!AJ$76</f>
        <v>2242930000</v>
      </c>
      <c r="O28" s="6057">
        <f>[15]Guinée!AJ$78</f>
        <v>1916560000</v>
      </c>
      <c r="P28" s="6057">
        <f>N28-O28</f>
        <v>326370000</v>
      </c>
      <c r="Q28" s="6058">
        <f>[15]Guinée!AJ$19</f>
        <v>756300000</v>
      </c>
      <c r="R28" s="6045">
        <f>[15]Guinée!AJ$20</f>
        <v>16057600000</v>
      </c>
      <c r="S28" s="6057">
        <f t="shared" si="9"/>
        <v>15301300000</v>
      </c>
      <c r="T28" s="6075">
        <f t="shared" ref="T28:T46" si="10">U28+Q28</f>
        <v>10662600000</v>
      </c>
      <c r="U28" s="6077">
        <f>[15]Guinée!AJ$16</f>
        <v>9906300000</v>
      </c>
      <c r="W28" s="6059"/>
      <c r="X28" s="6046">
        <f>[15]Guinée!Y$76</f>
        <v>1635243392.0340183</v>
      </c>
      <c r="Y28" s="6057">
        <f>[15]Guinée!Y$78</f>
        <v>1488373179.3152668</v>
      </c>
      <c r="Z28" s="6057">
        <f>X28-Y28</f>
        <v>146870212.71875143</v>
      </c>
      <c r="AA28" s="6058">
        <f>[15]Guinée!Y$19</f>
        <v>942800000</v>
      </c>
      <c r="AB28" s="6045">
        <f>[15]Guinée!Y$20</f>
        <v>12362270000</v>
      </c>
      <c r="AC28" s="6057">
        <f t="shared" si="8"/>
        <v>11419470000</v>
      </c>
      <c r="AD28" s="6075">
        <f t="shared" si="4"/>
        <v>8680200000</v>
      </c>
      <c r="AE28" s="6077">
        <f>[15]Guinée!Y$16</f>
        <v>7737400000</v>
      </c>
      <c r="AG28" s="6057"/>
      <c r="AH28" s="6057"/>
      <c r="AI28" s="6057"/>
      <c r="AJ28" s="6059"/>
      <c r="AK28" s="6057"/>
      <c r="AL28" s="6057"/>
      <c r="AM28" s="6059"/>
      <c r="AN28" s="6057"/>
      <c r="AO28" s="6057"/>
      <c r="AP28" s="6057"/>
      <c r="AQ28" s="6057"/>
      <c r="AR28" s="6057"/>
      <c r="AS28" s="6059"/>
      <c r="AT28" s="6057"/>
      <c r="AU28" s="6057"/>
      <c r="AV28" s="6059"/>
      <c r="AW28" s="6057"/>
      <c r="AX28" s="6057"/>
      <c r="AY28" s="6057"/>
      <c r="AZ28" s="6057"/>
      <c r="BA28" s="6057"/>
      <c r="BB28" s="6057"/>
      <c r="BC28" s="6057"/>
      <c r="BD28" s="6057"/>
      <c r="BE28" s="6057"/>
      <c r="BF28" s="6057"/>
      <c r="BG28" s="6057"/>
      <c r="BH28" s="6057"/>
      <c r="BI28" s="6057"/>
      <c r="BJ28" s="6057"/>
      <c r="BK28" s="6057"/>
      <c r="BL28" s="6057"/>
      <c r="BM28" s="6057"/>
      <c r="BN28" s="6057"/>
      <c r="BO28" s="6057"/>
      <c r="BP28" s="6057"/>
      <c r="BQ28" s="6057"/>
      <c r="BR28" s="6057"/>
      <c r="BS28" s="6057"/>
    </row>
    <row r="29" spans="2:71" x14ac:dyDescent="0.3">
      <c r="B29" s="6045" t="s">
        <v>43</v>
      </c>
      <c r="D29" s="6046">
        <f>[15]Guyana!AP$127</f>
        <v>44259780.644277483</v>
      </c>
      <c r="E29" s="6057">
        <f>[15]Guyana!AP$129</f>
        <v>42536366.030615978</v>
      </c>
      <c r="F29" s="6057">
        <f>D29-E29</f>
        <v>1723414.6136615053</v>
      </c>
      <c r="G29" s="6061">
        <f>[15]Guyana!AP$19+[15]Guyana!AP$20</f>
        <v>0</v>
      </c>
      <c r="H29" s="6045">
        <f>[15]Guyana!AP$21</f>
        <v>264195980.00384593</v>
      </c>
      <c r="I29" s="6045">
        <f t="shared" si="0"/>
        <v>264195980.00384593</v>
      </c>
      <c r="J29" s="6075">
        <f t="shared" si="1"/>
        <v>202537177.17886022</v>
      </c>
      <c r="K29" s="6077">
        <f>[15]Guyana!AP$17</f>
        <v>202537177.17886022</v>
      </c>
      <c r="M29" s="6059"/>
      <c r="N29" s="6046">
        <f>[15]Guyana!AJ$127</f>
        <v>45738084.439739093</v>
      </c>
      <c r="O29" s="6057">
        <f>[15]Guyana!AJ$129</f>
        <v>44368417.439739086</v>
      </c>
      <c r="P29" s="6057">
        <f>N29-O29</f>
        <v>1369667.0000000075</v>
      </c>
      <c r="Q29" s="6058">
        <f>[15]Guyana!AJ$19+[15]Guyana!AX$20</f>
        <v>14828323</v>
      </c>
      <c r="R29" s="6057">
        <f>[15]Guyana!AJ$21</f>
        <v>246820058</v>
      </c>
      <c r="S29" s="6057">
        <f t="shared" si="9"/>
        <v>231991735</v>
      </c>
      <c r="T29" s="6075">
        <f t="shared" si="10"/>
        <v>188201800</v>
      </c>
      <c r="U29" s="6077">
        <f>[15]Guyana!AJ$17</f>
        <v>173373477</v>
      </c>
      <c r="W29" s="6059"/>
      <c r="X29" s="6046">
        <f>[15]Guyana!AA$127</f>
        <v>34429662.558004782</v>
      </c>
      <c r="Y29" s="6057">
        <f>[15]Guyana!AA$129</f>
        <v>31982644.558004785</v>
      </c>
      <c r="Z29" s="6057">
        <f>X29-Y29</f>
        <v>2447017.9999999963</v>
      </c>
      <c r="AA29" s="6058">
        <f>[15]Guyana!AA$19+[15]Guyana!BF$20</f>
        <v>20251831</v>
      </c>
      <c r="AB29" s="6057">
        <f>[15]Guyana!AA$21</f>
        <v>192068882</v>
      </c>
      <c r="AC29" s="6057">
        <f t="shared" si="8"/>
        <v>171817051</v>
      </c>
      <c r="AD29" s="6075">
        <f t="shared" si="4"/>
        <v>161404000</v>
      </c>
      <c r="AE29" s="6077">
        <f>[15]Guyana!AA$17</f>
        <v>141152169</v>
      </c>
      <c r="AG29" s="6057"/>
      <c r="AH29" s="6057"/>
      <c r="AI29" s="6057"/>
      <c r="AJ29" s="6059"/>
      <c r="AK29" s="6057"/>
      <c r="AL29" s="6057"/>
      <c r="AM29" s="6059"/>
      <c r="AN29" s="6057"/>
      <c r="AO29" s="6057"/>
      <c r="AP29" s="6057"/>
      <c r="AQ29" s="6057"/>
      <c r="AR29" s="6057"/>
      <c r="AS29" s="6059"/>
      <c r="AT29" s="6057"/>
      <c r="AU29" s="6057"/>
      <c r="AV29" s="6059"/>
      <c r="AW29" s="6057"/>
      <c r="AX29" s="6057"/>
      <c r="AY29" s="6057"/>
      <c r="AZ29" s="6057"/>
      <c r="BA29" s="6057"/>
      <c r="BB29" s="6057"/>
      <c r="BC29" s="6057"/>
      <c r="BD29" s="6057"/>
      <c r="BE29" s="6057"/>
      <c r="BF29" s="6057"/>
      <c r="BG29" s="6057"/>
      <c r="BH29" s="6057"/>
      <c r="BI29" s="6057"/>
      <c r="BJ29" s="6057"/>
      <c r="BK29" s="6057"/>
      <c r="BL29" s="6057"/>
      <c r="BM29" s="6057"/>
      <c r="BN29" s="6057"/>
      <c r="BO29" s="6057"/>
      <c r="BP29" s="6057"/>
      <c r="BQ29" s="6057"/>
      <c r="BR29" s="6057"/>
      <c r="BS29" s="6057"/>
    </row>
    <row r="30" spans="2:71" x14ac:dyDescent="0.3">
      <c r="B30" s="6045" t="s">
        <v>44</v>
      </c>
      <c r="D30" s="6046">
        <f>[15]Haïti!AN$106</f>
        <v>17567841638.52005</v>
      </c>
      <c r="E30" s="6057">
        <f>[15]Haïti!AN$108</f>
        <v>14271638333.130001</v>
      </c>
      <c r="F30" s="6057">
        <f>D30-E30</f>
        <v>3296203305.390049</v>
      </c>
      <c r="G30" s="6061">
        <f>[15]Haïti!AN$22+[15]Haïti!AN$23</f>
        <v>1949106327.2</v>
      </c>
      <c r="H30" s="6045">
        <f>[15]Haïti!AN$24</f>
        <v>105641636197.76598</v>
      </c>
      <c r="I30" s="6045">
        <f t="shared" si="0"/>
        <v>103692529870.56598</v>
      </c>
      <c r="J30" s="6075">
        <f t="shared" si="1"/>
        <v>76286971696.495804</v>
      </c>
      <c r="K30" s="6077">
        <f>[15]Haïti!AN$18</f>
        <v>74337865369.295807</v>
      </c>
      <c r="M30" s="6059"/>
      <c r="N30" s="6046">
        <f>[15]Haïti!AH$106</f>
        <v>14845501886.802258</v>
      </c>
      <c r="O30" s="6057">
        <f>[15]Haïti!AH$108</f>
        <v>11722634896.15274</v>
      </c>
      <c r="P30" s="6057">
        <f>N30-O30</f>
        <v>3122866990.6495171</v>
      </c>
      <c r="Q30" s="6058">
        <f>[15]Haïti!AH$22+[15]Haïti!AH$23</f>
        <v>11472250264.59</v>
      </c>
      <c r="R30" s="6046">
        <f>[15]Haïti!AH$24</f>
        <v>106626681806.39001</v>
      </c>
      <c r="S30" s="6057">
        <f t="shared" si="9"/>
        <v>95154431541.800018</v>
      </c>
      <c r="T30" s="6075">
        <f t="shared" si="10"/>
        <v>83679730807.690002</v>
      </c>
      <c r="U30" s="6077">
        <f>[15]Haïti!AH$18</f>
        <v>72207480543.100006</v>
      </c>
      <c r="W30" s="6059"/>
      <c r="X30" s="6046">
        <f>[15]Haïti!AE$106</f>
        <v>12139735830.512434</v>
      </c>
      <c r="Y30" s="6057">
        <f>[15]Haïti!AE$108</f>
        <v>11887229058.662283</v>
      </c>
      <c r="Z30" s="6057">
        <f>X30-Y30</f>
        <v>252506771.85015106</v>
      </c>
      <c r="AA30" s="6058">
        <f>[15]Haïti!AE$22+[15]Haïti!AE$23</f>
        <v>1637612356.4533331</v>
      </c>
      <c r="AB30" s="6046">
        <f>[15]Haïti!AE$24</f>
        <v>69674038938.202667</v>
      </c>
      <c r="AC30" s="6057">
        <f t="shared" si="8"/>
        <v>68036426581.749336</v>
      </c>
      <c r="AD30" s="6075">
        <f t="shared" si="4"/>
        <v>61797302570.629333</v>
      </c>
      <c r="AE30" s="6077">
        <f>[15]Haïti!AE$18</f>
        <v>60159690214.176003</v>
      </c>
      <c r="AG30" s="6057"/>
      <c r="AH30" s="6057"/>
      <c r="AI30" s="6057"/>
      <c r="AJ30" s="6059"/>
      <c r="AK30" s="6057"/>
      <c r="AL30" s="6057"/>
      <c r="AM30" s="6059"/>
      <c r="AN30" s="6057"/>
      <c r="AO30" s="6057"/>
      <c r="AP30" s="6057"/>
      <c r="AQ30" s="6057"/>
      <c r="AR30" s="6057"/>
      <c r="AS30" s="6059"/>
      <c r="AT30" s="6057"/>
      <c r="AU30" s="6057"/>
      <c r="AV30" s="6059"/>
      <c r="AW30" s="6057"/>
      <c r="AX30" s="6057"/>
      <c r="AY30" s="6057"/>
      <c r="AZ30" s="6057"/>
      <c r="BA30" s="6057"/>
      <c r="BB30" s="6057"/>
      <c r="BC30" s="6057"/>
      <c r="BD30" s="6057"/>
      <c r="BE30" s="6057"/>
      <c r="BF30" s="6057"/>
      <c r="BG30" s="6057"/>
      <c r="BH30" s="6057"/>
      <c r="BI30" s="6057"/>
      <c r="BJ30" s="6057"/>
      <c r="BK30" s="6057"/>
      <c r="BL30" s="6057"/>
      <c r="BM30" s="6057"/>
      <c r="BN30" s="6057"/>
      <c r="BO30" s="6057"/>
      <c r="BP30" s="6057"/>
      <c r="BQ30" s="6057"/>
      <c r="BR30" s="6057"/>
      <c r="BS30" s="6057"/>
    </row>
    <row r="31" spans="2:71" x14ac:dyDescent="0.3">
      <c r="B31" s="6045" t="s">
        <v>45</v>
      </c>
      <c r="D31" s="6057">
        <f>[15]Honduras!AP$93</f>
        <v>34841961246</v>
      </c>
      <c r="E31" s="6060"/>
      <c r="F31" s="6060"/>
      <c r="G31" s="6058">
        <f>[15]Honduras!AP$23+[15]Honduras!AP$24</f>
        <v>75480943098</v>
      </c>
      <c r="H31" s="6045">
        <f>[15]Honduras!AP$25</f>
        <v>235631436876</v>
      </c>
      <c r="I31" s="6045">
        <f t="shared" si="0"/>
        <v>160150493778</v>
      </c>
      <c r="J31" s="6075">
        <f t="shared" si="1"/>
        <v>215837053870</v>
      </c>
      <c r="K31" s="6077">
        <f>[15]Honduras!AP$20</f>
        <v>140356110772</v>
      </c>
      <c r="M31" s="6059"/>
      <c r="N31" s="6057">
        <f>[15]Honduras!AJ$93</f>
        <v>32144727983</v>
      </c>
      <c r="O31" s="6060"/>
      <c r="P31" s="6060"/>
      <c r="Q31" s="6058">
        <f>[15]Honduras!AJ$23+[15]Honduras!AJ$24</f>
        <v>66848636514</v>
      </c>
      <c r="R31" s="6057">
        <f>[15]Honduras!AJ$25</f>
        <v>215808776000</v>
      </c>
      <c r="S31" s="6057">
        <f t="shared" si="9"/>
        <v>148960139486</v>
      </c>
      <c r="T31" s="6075">
        <f t="shared" si="10"/>
        <v>192927124235</v>
      </c>
      <c r="U31" s="6077">
        <f>[15]Honduras!AJ$20</f>
        <v>126078487721</v>
      </c>
      <c r="W31" s="6059"/>
      <c r="X31" s="6057">
        <f>[15]Honduras!Y$93</f>
        <v>31145800359.400002</v>
      </c>
      <c r="Y31" s="6060"/>
      <c r="Z31" s="6060"/>
      <c r="AA31" s="6058">
        <f>[15]Honduras!Y$23+[15]Honduras!Y$24</f>
        <v>54385561761.600006</v>
      </c>
      <c r="AB31" s="6057">
        <f>[15]Honduras!Y$25</f>
        <v>227284482738.79999</v>
      </c>
      <c r="AC31" s="6057">
        <f t="shared" si="8"/>
        <v>172898920977.19998</v>
      </c>
      <c r="AD31" s="6075">
        <f t="shared" si="4"/>
        <v>175115130063.5</v>
      </c>
      <c r="AE31" s="6077">
        <f>[15]Honduras!Y$20</f>
        <v>120729568301.90001</v>
      </c>
      <c r="AG31" s="6057"/>
      <c r="AH31" s="6057"/>
      <c r="AI31" s="6057"/>
      <c r="AJ31" s="6059"/>
      <c r="AK31" s="6057"/>
      <c r="AL31" s="6057"/>
      <c r="AM31" s="6059"/>
      <c r="AN31" s="6057"/>
      <c r="AO31" s="6057"/>
      <c r="AP31" s="6057"/>
      <c r="AQ31" s="6057"/>
      <c r="AR31" s="6057"/>
      <c r="AS31" s="6059"/>
      <c r="AT31" s="6057"/>
      <c r="AU31" s="6057"/>
      <c r="AV31" s="6059"/>
      <c r="AW31" s="6057"/>
      <c r="AX31" s="6057"/>
      <c r="AY31" s="6057"/>
      <c r="AZ31" s="6057"/>
      <c r="BA31" s="6057"/>
      <c r="BB31" s="6057"/>
      <c r="BC31" s="6057"/>
      <c r="BD31" s="6057"/>
      <c r="BE31" s="6057"/>
      <c r="BF31" s="6057"/>
      <c r="BG31" s="6057"/>
      <c r="BH31" s="6057"/>
      <c r="BI31" s="6057"/>
      <c r="BJ31" s="6057"/>
      <c r="BK31" s="6057"/>
      <c r="BL31" s="6057"/>
      <c r="BM31" s="6057"/>
      <c r="BN31" s="6057"/>
      <c r="BO31" s="6057"/>
      <c r="BP31" s="6057"/>
      <c r="BQ31" s="6057"/>
      <c r="BR31" s="6057"/>
      <c r="BS31" s="6057"/>
    </row>
    <row r="32" spans="2:71" x14ac:dyDescent="0.3">
      <c r="B32" s="6045" t="s">
        <v>46</v>
      </c>
      <c r="D32" s="6057">
        <f>[15]Laos!O$96</f>
        <v>4187.9260000000004</v>
      </c>
      <c r="E32" s="6060"/>
      <c r="F32" s="6060"/>
      <c r="G32" s="6058">
        <f>[15]Laos!O$19</f>
        <v>2857.4119999999998</v>
      </c>
      <c r="H32" s="6045">
        <f>[15]Laos!O$20</f>
        <v>32809.411999999997</v>
      </c>
      <c r="I32" s="6045">
        <f t="shared" si="0"/>
        <v>29951.999999999996</v>
      </c>
      <c r="J32" s="6075">
        <f t="shared" si="1"/>
        <v>20157.412</v>
      </c>
      <c r="K32" s="6077">
        <f>[15]Laos!O$17</f>
        <v>17300</v>
      </c>
      <c r="M32" s="6059"/>
      <c r="N32" s="6057">
        <f>[15]Laos!H96</f>
        <v>4538.1399999999994</v>
      </c>
      <c r="O32" s="6057">
        <f>[15]Laos!H98</f>
        <v>2715.4</v>
      </c>
      <c r="P32" s="6057">
        <f>N32-O32</f>
        <v>1822.7399999999993</v>
      </c>
      <c r="Q32" s="6058">
        <f>[15]Laos!H19</f>
        <v>1881</v>
      </c>
      <c r="R32" s="6057">
        <f>[15]Laos!H20</f>
        <v>32402</v>
      </c>
      <c r="S32" s="6057">
        <f t="shared" si="9"/>
        <v>30521</v>
      </c>
      <c r="T32" s="6075">
        <f t="shared" si="10"/>
        <v>18861</v>
      </c>
      <c r="U32" s="6077">
        <f>[15]Laos!H$17</f>
        <v>16980</v>
      </c>
      <c r="V32" s="6045" t="s">
        <v>32</v>
      </c>
      <c r="W32" s="6059"/>
      <c r="X32" s="6064"/>
      <c r="Y32" s="6060"/>
      <c r="Z32" s="6060"/>
      <c r="AA32" s="6057">
        <f>[15]Laos!F19</f>
        <v>6721.18</v>
      </c>
      <c r="AB32" s="6057">
        <f>[15]Laos!F20</f>
        <v>27712.32</v>
      </c>
      <c r="AC32" s="6057">
        <f t="shared" si="8"/>
        <v>20991.14</v>
      </c>
      <c r="AD32" s="6075">
        <f t="shared" si="4"/>
        <v>24826.29</v>
      </c>
      <c r="AE32" s="6077">
        <f>[15]Laos!F$17</f>
        <v>18105.11</v>
      </c>
      <c r="AF32" s="6045" t="s">
        <v>39</v>
      </c>
      <c r="AG32" s="6057"/>
      <c r="AH32" s="6057"/>
      <c r="AI32" s="6057"/>
      <c r="AJ32" s="6059"/>
      <c r="AK32" s="6057"/>
      <c r="AL32" s="6057"/>
      <c r="AM32" s="6059"/>
      <c r="AN32" s="6057"/>
      <c r="AO32" s="6057"/>
      <c r="AP32" s="6057"/>
      <c r="AQ32" s="6057"/>
      <c r="AR32" s="6057"/>
      <c r="AS32" s="6059"/>
      <c r="AT32" s="6057"/>
      <c r="AU32" s="6057"/>
      <c r="AV32" s="6059"/>
      <c r="AW32" s="6057"/>
      <c r="AX32" s="6057"/>
      <c r="AY32" s="6057"/>
      <c r="AZ32" s="6057"/>
      <c r="BA32" s="6057"/>
      <c r="BB32" s="6057"/>
      <c r="BC32" s="6057"/>
      <c r="BD32" s="6057"/>
      <c r="BE32" s="6057"/>
      <c r="BF32" s="6057"/>
      <c r="BG32" s="6057"/>
      <c r="BH32" s="6057"/>
      <c r="BI32" s="6057"/>
      <c r="BJ32" s="6057"/>
      <c r="BK32" s="6057"/>
      <c r="BL32" s="6057"/>
      <c r="BM32" s="6057"/>
      <c r="BN32" s="6057"/>
      <c r="BO32" s="6057"/>
      <c r="BP32" s="6057"/>
      <c r="BQ32" s="6057"/>
      <c r="BR32" s="6057"/>
      <c r="BS32" s="6057"/>
    </row>
    <row r="33" spans="1:71" x14ac:dyDescent="0.3">
      <c r="B33" s="6045" t="s">
        <v>47</v>
      </c>
      <c r="D33" s="6057">
        <f>[15]Lesotho!AN$87</f>
        <v>2663.8905562155064</v>
      </c>
      <c r="E33" s="6057">
        <f>[15]Lesotho!AN$89</f>
        <v>2555.7583648037416</v>
      </c>
      <c r="F33" s="6057">
        <f>D33-E33</f>
        <v>108.13219141176478</v>
      </c>
      <c r="G33" s="6058">
        <f>[15]Lesotho!AN$20+[15]Lesotho!AN$21</f>
        <v>327.39999999999998</v>
      </c>
      <c r="H33" s="6045">
        <f>[15]Lesotho!AN$15</f>
        <v>14914.1</v>
      </c>
      <c r="I33" s="6045">
        <f t="shared" si="0"/>
        <v>14586.7</v>
      </c>
      <c r="J33" s="6075">
        <f t="shared" si="1"/>
        <v>12113</v>
      </c>
      <c r="K33" s="6077">
        <f>[15]Lesotho!AN$17</f>
        <v>11785.6</v>
      </c>
      <c r="M33" s="6059"/>
      <c r="N33" s="6057">
        <f>[15]Lesotho!AH$87</f>
        <v>2536.5141600387892</v>
      </c>
      <c r="O33" s="6057">
        <f>[15]Lesotho!AH$89</f>
        <v>2403.4054320387891</v>
      </c>
      <c r="P33" s="6057">
        <f>N33-O33</f>
        <v>133.10872800000016</v>
      </c>
      <c r="Q33" s="6058">
        <f>[15]Lesotho!AH$20+[15]Lesotho!AH$21</f>
        <v>254.6</v>
      </c>
      <c r="R33" s="6045">
        <f>[15]Lesotho!AH$15</f>
        <v>14051.2</v>
      </c>
      <c r="S33" s="6045">
        <f t="shared" si="9"/>
        <v>13796.6</v>
      </c>
      <c r="T33" s="6075">
        <f t="shared" si="10"/>
        <v>12262.8</v>
      </c>
      <c r="U33" s="6077">
        <f>[15]Lesotho!AH$17</f>
        <v>12008.199999999999</v>
      </c>
      <c r="W33" s="6059"/>
      <c r="X33" s="6057">
        <f>[15]Lesotho!Y$87</f>
        <v>2434.9068230654852</v>
      </c>
      <c r="Y33" s="6057">
        <f>[15]Lesotho!Y$89</f>
        <v>2348.9068230654852</v>
      </c>
      <c r="Z33" s="6057">
        <f t="shared" ref="Z33:Z43" si="11">X33-Y33</f>
        <v>86</v>
      </c>
      <c r="AA33" s="6058">
        <f>[15]Lesotho!Y$20+[15]Lesotho!Y$21</f>
        <v>274.10000000000002</v>
      </c>
      <c r="AB33" s="6045">
        <f>[15]Lesotho!Y$15</f>
        <v>15321.1</v>
      </c>
      <c r="AC33" s="6045">
        <f t="shared" si="8"/>
        <v>15047</v>
      </c>
      <c r="AD33" s="6075">
        <f t="shared" si="4"/>
        <v>11180.7</v>
      </c>
      <c r="AE33" s="6077">
        <f>[15]Lesotho!Y$17</f>
        <v>10906.6</v>
      </c>
      <c r="AG33" s="6057"/>
      <c r="AH33" s="6057"/>
      <c r="AI33" s="6057"/>
      <c r="AJ33" s="6059"/>
      <c r="AK33" s="6057"/>
      <c r="AL33" s="6057"/>
      <c r="AM33" s="6059"/>
      <c r="AN33" s="6057"/>
      <c r="AO33" s="6057"/>
      <c r="AP33" s="6057"/>
      <c r="AQ33" s="6057"/>
      <c r="AR33" s="6057"/>
      <c r="AS33" s="6059"/>
      <c r="AT33" s="6057"/>
      <c r="AU33" s="6057"/>
      <c r="AV33" s="6059"/>
      <c r="AW33" s="6057"/>
      <c r="AX33" s="6057"/>
      <c r="AY33" s="6057"/>
      <c r="AZ33" s="6057"/>
      <c r="BA33" s="6057"/>
      <c r="BB33" s="6057"/>
      <c r="BC33" s="6057"/>
      <c r="BD33" s="6057"/>
      <c r="BE33" s="6057"/>
      <c r="BF33" s="6057"/>
      <c r="BG33" s="6057"/>
      <c r="BH33" s="6057"/>
      <c r="BI33" s="6057"/>
      <c r="BJ33" s="6057"/>
      <c r="BK33" s="6057"/>
      <c r="BL33" s="6057"/>
      <c r="BM33" s="6057"/>
      <c r="BN33" s="6057"/>
      <c r="BO33" s="6057"/>
      <c r="BP33" s="6057"/>
      <c r="BQ33" s="6057"/>
      <c r="BR33" s="6057"/>
      <c r="BS33" s="6057"/>
    </row>
    <row r="34" spans="1:71" x14ac:dyDescent="0.3">
      <c r="B34" s="6045" t="s">
        <v>48</v>
      </c>
      <c r="D34" s="6057">
        <f>[15]Liberia!AR$87</f>
        <v>75.410592539027348</v>
      </c>
      <c r="E34" s="6057">
        <f>[15]Liberia!AR$89</f>
        <v>75.410592539027348</v>
      </c>
      <c r="F34" s="6057">
        <f>D34-E34</f>
        <v>0</v>
      </c>
      <c r="G34" s="6058">
        <f>[15]Liberia!AR$20+[15]Liberia!AR$21</f>
        <v>13.017000000000001</v>
      </c>
      <c r="H34" s="6045">
        <f>[15]Liberia!AR$22</f>
        <v>473.90199999999999</v>
      </c>
      <c r="I34" s="6045">
        <f t="shared" si="0"/>
        <v>460.88499999999999</v>
      </c>
      <c r="J34" s="6075">
        <f t="shared" si="1"/>
        <v>432.21199999999993</v>
      </c>
      <c r="K34" s="6077">
        <f>[15]Liberia!AR$17</f>
        <v>419.19499999999994</v>
      </c>
      <c r="M34" s="6059"/>
      <c r="N34" s="6057">
        <f>[15]Liberia!AL$87</f>
        <v>90.507687402135829</v>
      </c>
      <c r="O34" s="6057">
        <f>[15]Liberia!AL$89</f>
        <v>90.507687402135829</v>
      </c>
      <c r="P34" s="6057">
        <f>N34-O34</f>
        <v>0</v>
      </c>
      <c r="Q34" s="6058">
        <f>[15]Liberia!AL$20+[15]Liberia!AZ$21</f>
        <v>0</v>
      </c>
      <c r="R34" s="6045">
        <f>[15]Liberia!AL$22</f>
        <v>555.779</v>
      </c>
      <c r="S34" s="6045">
        <f t="shared" si="9"/>
        <v>555.779</v>
      </c>
      <c r="T34" s="6075">
        <f t="shared" si="10"/>
        <v>456.471</v>
      </c>
      <c r="U34" s="6077">
        <f>[15]Liberia!AL$17</f>
        <v>456.471</v>
      </c>
      <c r="W34" s="6059"/>
      <c r="X34" s="6057">
        <f>[15]Liberia!AA$87</f>
        <v>81.543975000000003</v>
      </c>
      <c r="Y34" s="6057">
        <f>[15]Liberia!AA$89</f>
        <v>81.543975000000003</v>
      </c>
      <c r="Z34" s="6057">
        <f t="shared" si="11"/>
        <v>0</v>
      </c>
      <c r="AA34" s="6058">
        <f>[15]Liberia!AA$20+[15]Liberia!AA$21</f>
        <v>8.6266160000000003</v>
      </c>
      <c r="AB34" s="6045">
        <f>[15]Liberia!AA$22</f>
        <v>559.44774700000005</v>
      </c>
      <c r="AC34" s="6045">
        <f t="shared" si="8"/>
        <v>550.82113100000004</v>
      </c>
      <c r="AD34" s="6075">
        <f t="shared" si="4"/>
        <v>557.36025600000005</v>
      </c>
      <c r="AE34" s="6077">
        <f>[15]Liberia!AA$17</f>
        <v>548.73364000000004</v>
      </c>
      <c r="AG34" s="6057"/>
      <c r="AH34" s="6057"/>
      <c r="AI34" s="6057"/>
      <c r="AJ34" s="6059"/>
      <c r="AK34" s="6057"/>
      <c r="AL34" s="6057"/>
      <c r="AM34" s="6059"/>
      <c r="AN34" s="6057"/>
      <c r="AO34" s="6057"/>
      <c r="AP34" s="6057"/>
      <c r="AQ34" s="6057"/>
      <c r="AR34" s="6057"/>
      <c r="AS34" s="6059"/>
      <c r="AT34" s="6057"/>
      <c r="AU34" s="6057"/>
      <c r="AV34" s="6059"/>
      <c r="AW34" s="6057"/>
      <c r="AX34" s="6057"/>
      <c r="AY34" s="6057"/>
      <c r="AZ34" s="6057"/>
      <c r="BA34" s="6057"/>
      <c r="BB34" s="6057"/>
      <c r="BC34" s="6057"/>
      <c r="BD34" s="6057"/>
      <c r="BE34" s="6057"/>
      <c r="BF34" s="6057"/>
      <c r="BG34" s="6057"/>
      <c r="BH34" s="6057"/>
      <c r="BI34" s="6057"/>
      <c r="BJ34" s="6057"/>
      <c r="BK34" s="6057"/>
      <c r="BL34" s="6057"/>
      <c r="BM34" s="6057"/>
      <c r="BN34" s="6057"/>
      <c r="BO34" s="6057"/>
      <c r="BP34" s="6057"/>
      <c r="BQ34" s="6057"/>
      <c r="BR34" s="6057"/>
      <c r="BS34" s="6057"/>
    </row>
    <row r="35" spans="1:71" x14ac:dyDescent="0.3">
      <c r="B35" s="6045" t="s">
        <v>49</v>
      </c>
      <c r="D35" s="6057">
        <f>[15]Madagascar!AN$101</f>
        <v>1305051703.8552775</v>
      </c>
      <c r="E35" s="6057">
        <f>[15]Madagascar!AN$103</f>
        <v>1089764734.0211213</v>
      </c>
      <c r="F35" s="6057">
        <f>D35-E35</f>
        <v>215286969.83415627</v>
      </c>
      <c r="G35" s="6058">
        <f>[15]Madagascar!AN$22+[15]Madagascar!AN$23</f>
        <v>406949716.06800646</v>
      </c>
      <c r="H35" s="6046">
        <f>[15]Madagascar!AN$24</f>
        <v>6244335893.8745327</v>
      </c>
      <c r="I35" s="6045">
        <f t="shared" si="0"/>
        <v>5837386177.8065262</v>
      </c>
      <c r="J35" s="6075">
        <f t="shared" si="1"/>
        <v>4951684324.1996202</v>
      </c>
      <c r="K35" s="6077">
        <f>[15]Madagascar!AN$18</f>
        <v>4544734608.1316137</v>
      </c>
      <c r="M35" s="6059"/>
      <c r="N35" s="6057">
        <f>[15]Madagascar!AH$101</f>
        <v>1074785481.9900002</v>
      </c>
      <c r="O35" s="6057">
        <f>[15]Madagascar!AH$103</f>
        <v>679077813.70000005</v>
      </c>
      <c r="P35" s="6057">
        <f>N35-O35</f>
        <v>395707668.2900002</v>
      </c>
      <c r="Q35" s="6058">
        <f>[15]Madagascar!AH$22+[15]Madagascar!AH$23</f>
        <v>336270000</v>
      </c>
      <c r="R35" s="6046">
        <f>[15]Madagascar!AH$24</f>
        <v>5989363473.5442095</v>
      </c>
      <c r="S35" s="6045">
        <f t="shared" si="9"/>
        <v>5653093473.5442095</v>
      </c>
      <c r="T35" s="6075">
        <f t="shared" si="10"/>
        <v>4667424760.5734196</v>
      </c>
      <c r="U35" s="6077">
        <f>[15]Madagascar!AH$18</f>
        <v>4331154760.5734196</v>
      </c>
      <c r="W35" s="6059"/>
      <c r="X35" s="6057">
        <f>[15]Madagascar!Y$101</f>
        <v>1011394652.520523</v>
      </c>
      <c r="Y35" s="6057">
        <f>[15]Madagascar!Y$103</f>
        <v>811183502.41052294</v>
      </c>
      <c r="Z35" s="6057">
        <f t="shared" si="11"/>
        <v>200211150.11000001</v>
      </c>
      <c r="AA35" s="6058">
        <f>[15]Madagascar!Y$22+[15]Madagascar!Y$23</f>
        <v>629100000</v>
      </c>
      <c r="AB35" s="6046">
        <f>[15]Madagascar!Y$24</f>
        <v>5240400000</v>
      </c>
      <c r="AC35" s="6045">
        <f t="shared" si="8"/>
        <v>4611300000</v>
      </c>
      <c r="AD35" s="6075">
        <f t="shared" si="4"/>
        <v>3618800000</v>
      </c>
      <c r="AE35" s="6077">
        <f>[15]Madagascar!Y$18</f>
        <v>2989700000</v>
      </c>
      <c r="AG35" s="6057"/>
      <c r="AH35" s="6057"/>
      <c r="AI35" s="6057"/>
      <c r="AJ35" s="6059"/>
      <c r="AK35" s="6057"/>
      <c r="AL35" s="6057"/>
      <c r="AM35" s="6059"/>
      <c r="AN35" s="6057"/>
      <c r="AO35" s="6057"/>
      <c r="AP35" s="6057"/>
      <c r="AQ35" s="6057"/>
      <c r="AR35" s="6057"/>
      <c r="AS35" s="6059"/>
      <c r="AT35" s="6057"/>
      <c r="AU35" s="6057"/>
      <c r="AV35" s="6059"/>
      <c r="AW35" s="6057"/>
      <c r="AX35" s="6057"/>
      <c r="AY35" s="6057"/>
      <c r="AZ35" s="6057"/>
      <c r="BA35" s="6057"/>
      <c r="BB35" s="6057"/>
      <c r="BC35" s="6057"/>
      <c r="BD35" s="6057"/>
      <c r="BE35" s="6057"/>
      <c r="BF35" s="6057"/>
      <c r="BG35" s="6057"/>
      <c r="BH35" s="6057"/>
      <c r="BI35" s="6057"/>
      <c r="BJ35" s="6057"/>
      <c r="BK35" s="6057"/>
      <c r="BL35" s="6057"/>
      <c r="BM35" s="6057"/>
      <c r="BN35" s="6057"/>
      <c r="BO35" s="6057"/>
      <c r="BP35" s="6057"/>
      <c r="BQ35" s="6057"/>
      <c r="BR35" s="6057"/>
      <c r="BS35" s="6057"/>
    </row>
    <row r="36" spans="1:71" x14ac:dyDescent="0.3">
      <c r="B36" s="6045" t="s">
        <v>50</v>
      </c>
      <c r="D36" s="6057">
        <f>[15]Malawi!AM$91</f>
        <v>217029.70304442203</v>
      </c>
      <c r="E36" s="6057">
        <f>[15]Malawi!AM$93</f>
        <v>180232.70304442203</v>
      </c>
      <c r="F36" s="6057">
        <f>D36-E36</f>
        <v>36797</v>
      </c>
      <c r="G36" s="6058">
        <f>[15]Malawi!AM$21+[15]Malawi!AM$22</f>
        <v>177319</v>
      </c>
      <c r="H36" s="6045">
        <f>[15]Malawi!AM$23</f>
        <v>1319314</v>
      </c>
      <c r="I36" s="6045">
        <f t="shared" si="0"/>
        <v>1141995</v>
      </c>
      <c r="J36" s="6075">
        <f t="shared" si="1"/>
        <v>965740</v>
      </c>
      <c r="K36" s="6077">
        <f>[15]Malawi!AM$17</f>
        <v>788421</v>
      </c>
      <c r="L36" s="6045" t="s">
        <v>32</v>
      </c>
      <c r="M36" s="6059"/>
      <c r="N36" s="6057">
        <f>[15]Malawi!AJ$91</f>
        <v>157259.99459944191</v>
      </c>
      <c r="O36" s="6057">
        <f>[15]Malawi!AJ$93</f>
        <v>135968.31891427311</v>
      </c>
      <c r="P36" s="6057">
        <f>N36-O36</f>
        <v>21291.675685168797</v>
      </c>
      <c r="Q36" s="6058">
        <f>[15]Malawi!AJ$21+[15]Malawi!AJ$22</f>
        <v>195197.93450599999</v>
      </c>
      <c r="R36" s="6045">
        <f>[15]Malawi!AJ$23</f>
        <v>1130769.7149673023</v>
      </c>
      <c r="S36" s="6045">
        <f t="shared" si="9"/>
        <v>935571.78046130226</v>
      </c>
      <c r="T36" s="6075">
        <f t="shared" si="10"/>
        <v>874957.93450600002</v>
      </c>
      <c r="U36" s="6077">
        <f>[15]Malawi!AJ$17</f>
        <v>679760</v>
      </c>
      <c r="V36" s="6045" t="s">
        <v>39</v>
      </c>
      <c r="W36" s="6059"/>
      <c r="X36" s="6057">
        <f>[15]Malawi!Y$91</f>
        <v>180389.07230403333</v>
      </c>
      <c r="Y36" s="6057">
        <f>[15]Malawi!Y$93</f>
        <v>169656.8686560333</v>
      </c>
      <c r="Z36" s="6057">
        <f t="shared" si="11"/>
        <v>10732.203648000024</v>
      </c>
      <c r="AA36" s="6058">
        <f>[15]Malawi!Y$21+[15]Malawi!Y$22</f>
        <v>132577</v>
      </c>
      <c r="AB36" s="6045">
        <f>[15]Malawi!Y$23</f>
        <v>895908</v>
      </c>
      <c r="AC36" s="6045">
        <f t="shared" si="8"/>
        <v>763331</v>
      </c>
      <c r="AD36" s="6075">
        <f t="shared" si="4"/>
        <v>727969</v>
      </c>
      <c r="AE36" s="6077">
        <f>[15]Malawi!Y$17</f>
        <v>595392</v>
      </c>
      <c r="AF36" s="6045" t="s">
        <v>39</v>
      </c>
      <c r="AG36" s="6057"/>
      <c r="AH36" s="6057"/>
      <c r="AI36" s="6057"/>
      <c r="AJ36" s="6059"/>
      <c r="AK36" s="6057"/>
      <c r="AL36" s="6057"/>
      <c r="AM36" s="6059"/>
      <c r="AN36" s="6057"/>
      <c r="AO36" s="6057"/>
      <c r="AP36" s="6057"/>
      <c r="AQ36" s="6057"/>
      <c r="AR36" s="6057"/>
      <c r="AS36" s="6059"/>
      <c r="AT36" s="6057"/>
      <c r="AU36" s="6057"/>
      <c r="AV36" s="6059"/>
      <c r="AW36" s="6057"/>
      <c r="AX36" s="6057"/>
      <c r="AY36" s="6057"/>
      <c r="AZ36" s="6057"/>
      <c r="BA36" s="6057"/>
      <c r="BB36" s="6057"/>
      <c r="BC36" s="6057"/>
      <c r="BD36" s="6057"/>
      <c r="BE36" s="6057"/>
      <c r="BF36" s="6057"/>
      <c r="BG36" s="6057"/>
      <c r="BH36" s="6057"/>
      <c r="BI36" s="6057"/>
      <c r="BJ36" s="6057"/>
      <c r="BK36" s="6057"/>
      <c r="BL36" s="6057"/>
      <c r="BM36" s="6057"/>
      <c r="BN36" s="6057"/>
      <c r="BO36" s="6057"/>
      <c r="BP36" s="6057"/>
      <c r="BQ36" s="6057"/>
      <c r="BR36" s="6057"/>
      <c r="BS36" s="6057"/>
    </row>
    <row r="37" spans="1:71" x14ac:dyDescent="0.3">
      <c r="B37" s="6045" t="s">
        <v>51</v>
      </c>
      <c r="D37" s="6057">
        <f>[15]Mali!AS$101</f>
        <v>333900303255.03998</v>
      </c>
      <c r="E37" s="6060"/>
      <c r="F37" s="6060"/>
      <c r="G37" s="6058">
        <f>[15]Mali!AS21+[15]Mali!AS$22</f>
        <v>0</v>
      </c>
      <c r="H37" s="6057">
        <f>[15]Mali!AS$23</f>
        <v>1860646000000</v>
      </c>
      <c r="I37" s="6045">
        <f t="shared" si="0"/>
        <v>1860646000000</v>
      </c>
      <c r="J37" s="6075">
        <f t="shared" si="1"/>
        <v>1174106000000</v>
      </c>
      <c r="K37" s="6077">
        <f>[15]Mali!AS$18</f>
        <v>1174106000000</v>
      </c>
      <c r="M37" s="6059"/>
      <c r="N37" s="6057">
        <f>[15]Mali!AM$101</f>
        <v>334473556141.31879</v>
      </c>
      <c r="O37" s="6060"/>
      <c r="P37" s="6060"/>
      <c r="Q37" s="6058">
        <f>[15]Mali!AM21+[15]Mali!BA$22</f>
        <v>0</v>
      </c>
      <c r="R37" s="6057">
        <f>[15]Mali!AM$23</f>
        <v>1633972005000</v>
      </c>
      <c r="S37" s="6045">
        <f t="shared" si="9"/>
        <v>1633972005000</v>
      </c>
      <c r="T37" s="6075">
        <f t="shared" si="10"/>
        <v>1243761990000</v>
      </c>
      <c r="U37" s="6077">
        <f>[15]Mali!AM$18</f>
        <v>1243761990000</v>
      </c>
      <c r="W37" s="6059"/>
      <c r="X37" s="6057">
        <f>[15]Mali!Y$101</f>
        <v>307518348258.26581</v>
      </c>
      <c r="Y37" s="6057">
        <f>[15]Mali!Y103</f>
        <v>303735410258.26581</v>
      </c>
      <c r="Z37" s="6057">
        <f t="shared" si="11"/>
        <v>3782938000</v>
      </c>
      <c r="AA37" s="6058">
        <f>[15]Mali!Y21+[15]Mali!Y$22</f>
        <v>160010590000</v>
      </c>
      <c r="AB37" s="6057">
        <f>[15]Mali!Y$23</f>
        <v>2016072296000</v>
      </c>
      <c r="AC37" s="6045">
        <f t="shared" si="8"/>
        <v>1856061706000</v>
      </c>
      <c r="AD37" s="6075">
        <f t="shared" si="4"/>
        <v>1472379991000</v>
      </c>
      <c r="AE37" s="6077">
        <f>[15]Mali!Y$18</f>
        <v>1312369401000</v>
      </c>
      <c r="AG37" s="6057"/>
      <c r="AH37" s="6057"/>
      <c r="AI37" s="6057"/>
      <c r="AJ37" s="6059"/>
      <c r="AK37" s="6057"/>
      <c r="AL37" s="6057"/>
      <c r="AM37" s="6059"/>
      <c r="AN37" s="6057"/>
      <c r="AO37" s="6057"/>
      <c r="AP37" s="6057"/>
      <c r="AQ37" s="6057"/>
      <c r="AR37" s="6057"/>
      <c r="AS37" s="6059"/>
      <c r="AT37" s="6057"/>
      <c r="AU37" s="6057"/>
      <c r="AV37" s="6059"/>
      <c r="AW37" s="6057"/>
      <c r="AX37" s="6057"/>
      <c r="AY37" s="6057"/>
      <c r="AZ37" s="6057"/>
      <c r="BA37" s="6057"/>
      <c r="BB37" s="6057"/>
      <c r="BC37" s="6057"/>
      <c r="BD37" s="6057"/>
      <c r="BE37" s="6057"/>
      <c r="BF37" s="6057"/>
      <c r="BG37" s="6057"/>
      <c r="BH37" s="6057"/>
      <c r="BI37" s="6057"/>
      <c r="BJ37" s="6057"/>
      <c r="BK37" s="6057"/>
      <c r="BL37" s="6057"/>
      <c r="BM37" s="6057"/>
      <c r="BN37" s="6057"/>
      <c r="BO37" s="6057"/>
      <c r="BP37" s="6057"/>
      <c r="BQ37" s="6057"/>
      <c r="BR37" s="6057"/>
      <c r="BS37" s="6057"/>
    </row>
    <row r="38" spans="1:71" x14ac:dyDescent="0.3">
      <c r="B38" s="6045" t="s">
        <v>52</v>
      </c>
      <c r="D38" s="6057">
        <f>[15]Mauritanie!AK$92</f>
        <v>77339.710999999996</v>
      </c>
      <c r="E38" s="6057">
        <f>[15]Mauritanie!AK$94</f>
        <v>71422.510999999984</v>
      </c>
      <c r="F38" s="6057">
        <f>D38-E38</f>
        <v>5917.2000000000116</v>
      </c>
      <c r="G38" s="6058">
        <f>[15]Mauritanie!AK$20</f>
        <v>26500</v>
      </c>
      <c r="H38" s="6057">
        <f>[15]Mauritanie!AK$21</f>
        <v>540600</v>
      </c>
      <c r="I38" s="6045">
        <f t="shared" si="0"/>
        <v>514100</v>
      </c>
      <c r="J38" s="6075">
        <f t="shared" si="1"/>
        <v>312800</v>
      </c>
      <c r="K38" s="6077">
        <f>[15]Mauritanie!AK$16</f>
        <v>286300</v>
      </c>
      <c r="L38" s="6045" t="s">
        <v>32</v>
      </c>
      <c r="M38" s="6059"/>
      <c r="N38" s="6057">
        <f>[15]Mauritanie!AG$92</f>
        <v>72231.735547000004</v>
      </c>
      <c r="O38" s="6057">
        <f>[15]Mauritanie!AG$94</f>
        <v>70894.697046999994</v>
      </c>
      <c r="P38" s="6057">
        <f t="shared" ref="P38:P46" si="12">N38-O38</f>
        <v>1337.0385000000097</v>
      </c>
      <c r="Q38" s="6058">
        <f>[15]Mauritanie!AG$20</f>
        <v>18000</v>
      </c>
      <c r="R38" s="6057">
        <f>[15]Mauritanie!AG$21</f>
        <v>488860</v>
      </c>
      <c r="S38" s="6045">
        <f t="shared" si="9"/>
        <v>470860</v>
      </c>
      <c r="T38" s="6075">
        <f t="shared" si="10"/>
        <v>290600</v>
      </c>
      <c r="U38" s="6077">
        <f>[15]Mauritanie!AG$16</f>
        <v>272600</v>
      </c>
      <c r="W38" s="6059"/>
      <c r="X38" s="6057">
        <f>[15]Mauritanie!W$92</f>
        <v>60484.87371</v>
      </c>
      <c r="Y38" s="6057">
        <f>[15]Mauritanie!W$94</f>
        <v>58040.87371</v>
      </c>
      <c r="Z38" s="6057">
        <f t="shared" si="11"/>
        <v>2444</v>
      </c>
      <c r="AA38" s="6058">
        <f>[15]Mauritanie!W$20</f>
        <v>17200</v>
      </c>
      <c r="AB38" s="6057">
        <f>[15]Mauritanie!W$21</f>
        <v>488640</v>
      </c>
      <c r="AC38" s="6045">
        <f t="shared" si="8"/>
        <v>471440</v>
      </c>
      <c r="AD38" s="6075">
        <f t="shared" si="4"/>
        <v>278390</v>
      </c>
      <c r="AE38" s="6077">
        <f>[15]Mauritanie!W$16</f>
        <v>261190</v>
      </c>
      <c r="AG38" s="6057"/>
      <c r="AH38" s="6057"/>
      <c r="AI38" s="6057"/>
      <c r="AJ38" s="6059"/>
      <c r="AK38" s="6057"/>
      <c r="AL38" s="6057"/>
      <c r="AM38" s="6059"/>
      <c r="AN38" s="6057"/>
      <c r="AO38" s="6057"/>
      <c r="AP38" s="6057"/>
      <c r="AQ38" s="6057"/>
      <c r="AR38" s="6057"/>
      <c r="AS38" s="6059"/>
      <c r="AT38" s="6057"/>
      <c r="AU38" s="6057"/>
      <c r="AV38" s="6059"/>
      <c r="AW38" s="6057"/>
      <c r="AX38" s="6057"/>
      <c r="AY38" s="6057"/>
      <c r="AZ38" s="6057"/>
      <c r="BA38" s="6057"/>
      <c r="BB38" s="6057"/>
      <c r="BC38" s="6057"/>
      <c r="BD38" s="6057"/>
      <c r="BE38" s="6057"/>
      <c r="BF38" s="6057"/>
      <c r="BG38" s="6057"/>
      <c r="BH38" s="6057"/>
      <c r="BI38" s="6057"/>
      <c r="BJ38" s="6057"/>
      <c r="BK38" s="6057"/>
      <c r="BL38" s="6057"/>
      <c r="BM38" s="6057"/>
      <c r="BN38" s="6057"/>
      <c r="BO38" s="6057"/>
      <c r="BP38" s="6057"/>
      <c r="BQ38" s="6057"/>
      <c r="BR38" s="6057"/>
      <c r="BS38" s="6057"/>
    </row>
    <row r="39" spans="1:71" x14ac:dyDescent="0.3">
      <c r="B39" s="6045" t="s">
        <v>53</v>
      </c>
      <c r="D39" s="6057">
        <f>[15]Moldova!AR$100</f>
        <v>10167586722.195301</v>
      </c>
      <c r="E39" s="6057">
        <f>[15]Moldova!AR$102</f>
        <v>9917023712.0420055</v>
      </c>
      <c r="F39" s="6057">
        <f>D39-E39</f>
        <v>250563010.15329552</v>
      </c>
      <c r="G39" s="6058">
        <f>[15]Moldova!AR$20+[15]Moldova!AR$21</f>
        <v>1462767363.3987951</v>
      </c>
      <c r="H39" s="6046">
        <f>[15]Moldova!AR$22</f>
        <v>40147867363.398796</v>
      </c>
      <c r="I39" s="6045">
        <f t="shared" si="0"/>
        <v>38685100000</v>
      </c>
      <c r="J39" s="6075">
        <f t="shared" si="1"/>
        <v>40147867363.398796</v>
      </c>
      <c r="K39" s="6077">
        <f>[15]Moldova!AR$17</f>
        <v>38685100000</v>
      </c>
      <c r="M39" s="6059"/>
      <c r="N39" s="6057">
        <f>[15]Moldova!AL$100</f>
        <v>8929463800</v>
      </c>
      <c r="O39" s="6057">
        <f>[15]Moldova!AL$102</f>
        <v>8674212900</v>
      </c>
      <c r="P39" s="6057">
        <f t="shared" si="12"/>
        <v>255250900</v>
      </c>
      <c r="Q39" s="6058">
        <f>[15]Moldova!AL$20+[15]Moldova!AL$21</f>
        <v>1929000000</v>
      </c>
      <c r="R39" s="6046">
        <f>[15]Moldova!AL$22</f>
        <v>35479100000</v>
      </c>
      <c r="S39" s="6045">
        <f t="shared" si="9"/>
        <v>33550100000</v>
      </c>
      <c r="T39" s="6075">
        <f t="shared" si="10"/>
        <v>35479100000</v>
      </c>
      <c r="U39" s="6077">
        <f>[15]Moldova!AL$17</f>
        <v>33550100000</v>
      </c>
      <c r="W39" s="6059"/>
      <c r="X39" s="6057">
        <f>[15]Moldova!AA$100</f>
        <v>8929463800</v>
      </c>
      <c r="Y39" s="6057">
        <f>[15]Moldova!AA$102</f>
        <v>8674212900</v>
      </c>
      <c r="Z39" s="6057">
        <f t="shared" si="11"/>
        <v>255250900</v>
      </c>
      <c r="AA39" s="6058">
        <f>[15]Moldova!AA$20+[15]Moldova!AA$21</f>
        <v>1747200000</v>
      </c>
      <c r="AB39" s="6046">
        <f>[15]Moldova!AA$22</f>
        <v>32313300000</v>
      </c>
      <c r="AC39" s="6045">
        <f t="shared" si="8"/>
        <v>30566100000</v>
      </c>
      <c r="AD39" s="6075">
        <f t="shared" si="4"/>
        <v>32313300000</v>
      </c>
      <c r="AE39" s="6077">
        <f>[15]Moldova!AA$17</f>
        <v>30566100000</v>
      </c>
      <c r="AG39" s="6057"/>
      <c r="AH39" s="6057"/>
      <c r="AI39" s="6057"/>
      <c r="AJ39" s="6059"/>
      <c r="AK39" s="6057"/>
      <c r="AL39" s="6057"/>
      <c r="AM39" s="6059"/>
      <c r="AN39" s="6057"/>
      <c r="AO39" s="6057"/>
      <c r="AP39" s="6057"/>
      <c r="AQ39" s="6057"/>
      <c r="AR39" s="6057"/>
      <c r="AS39" s="6059"/>
      <c r="AT39" s="6057"/>
      <c r="AU39" s="6057"/>
      <c r="AV39" s="6059"/>
      <c r="AW39" s="6057"/>
      <c r="AX39" s="6057"/>
      <c r="AY39" s="6057"/>
      <c r="AZ39" s="6057"/>
      <c r="BA39" s="6057"/>
      <c r="BB39" s="6057"/>
      <c r="BC39" s="6057"/>
      <c r="BD39" s="6057"/>
      <c r="BE39" s="6057"/>
      <c r="BF39" s="6057"/>
      <c r="BG39" s="6057"/>
      <c r="BH39" s="6057"/>
      <c r="BI39" s="6057"/>
      <c r="BJ39" s="6057"/>
      <c r="BK39" s="6057"/>
      <c r="BL39" s="6057"/>
      <c r="BM39" s="6057"/>
      <c r="BN39" s="6057"/>
      <c r="BO39" s="6057"/>
      <c r="BP39" s="6057"/>
      <c r="BQ39" s="6057"/>
      <c r="BR39" s="6057"/>
      <c r="BS39" s="6057"/>
    </row>
    <row r="40" spans="1:71" x14ac:dyDescent="0.3">
      <c r="B40" s="6045" t="s">
        <v>54</v>
      </c>
      <c r="D40" s="6057">
        <f>[15]Mozambique!AN87</f>
        <v>48827.553306957765</v>
      </c>
      <c r="E40" s="6060"/>
      <c r="F40" s="6060"/>
      <c r="G40" s="6058">
        <f>[15]Mozambique!AN21+[15]Mozambique!AN22</f>
        <v>23094.191833315388</v>
      </c>
      <c r="H40" s="6057">
        <f>[15]Mozambique!AN23</f>
        <v>231868.22658218889</v>
      </c>
      <c r="I40" s="6045">
        <f t="shared" si="0"/>
        <v>208774.0347488735</v>
      </c>
      <c r="J40" s="6075">
        <f t="shared" si="1"/>
        <v>194253.6517707461</v>
      </c>
      <c r="K40" s="6077">
        <f>[15]Mozambique!AN$18</f>
        <v>171159.45993743071</v>
      </c>
      <c r="M40" s="6059"/>
      <c r="N40" s="6057">
        <f>[15]Mozambique!AH$87</f>
        <v>46275.735999999997</v>
      </c>
      <c r="O40" s="6057">
        <f>[15]Mozambique!AH$89</f>
        <v>41381.015999999996</v>
      </c>
      <c r="P40" s="6057">
        <f t="shared" si="12"/>
        <v>4894.7200000000012</v>
      </c>
      <c r="Q40" s="6058">
        <f>[15]Mozambique!AH$21+[15]Mozambique!AH$22</f>
        <v>18740.933333333334</v>
      </c>
      <c r="R40" s="6057">
        <f>[15]Mozambique!AH$23</f>
        <v>202380.53333333333</v>
      </c>
      <c r="S40" s="6045">
        <f t="shared" si="9"/>
        <v>183639.59999999998</v>
      </c>
      <c r="T40" s="6075">
        <f t="shared" si="10"/>
        <v>165697.46666666667</v>
      </c>
      <c r="U40" s="6077">
        <f>[15]Mozambique!AH$18</f>
        <v>146956.53333333333</v>
      </c>
      <c r="W40" s="6059"/>
      <c r="X40" s="6057">
        <f>[15]Mozambique!Y$87</f>
        <v>44146.261999999995</v>
      </c>
      <c r="Y40" s="6057">
        <f>[15]Mozambique!Y$89</f>
        <v>38122.250999999997</v>
      </c>
      <c r="Z40" s="6057">
        <f t="shared" si="11"/>
        <v>6024.0109999999986</v>
      </c>
      <c r="AA40" s="6058">
        <f>[15]Mozambique!Y$21+[15]Mozambique!Y$22</f>
        <v>45578.400000000001</v>
      </c>
      <c r="AB40" s="6057">
        <f>[15]Mozambique!Y$23</f>
        <v>220626.80000000002</v>
      </c>
      <c r="AC40" s="6045">
        <f t="shared" si="8"/>
        <v>175048.40000000002</v>
      </c>
      <c r="AD40" s="6075">
        <f t="shared" si="4"/>
        <v>170356.2</v>
      </c>
      <c r="AE40" s="6077">
        <f>[15]Mozambique!Y$18</f>
        <v>124777.80000000002</v>
      </c>
      <c r="AG40" s="6057"/>
      <c r="AH40" s="6057"/>
      <c r="AI40" s="6057"/>
      <c r="AJ40" s="6059"/>
      <c r="AK40" s="6057"/>
      <c r="AL40" s="6057"/>
      <c r="AM40" s="6059"/>
      <c r="AN40" s="6057"/>
      <c r="AO40" s="6057"/>
      <c r="AP40" s="6057"/>
      <c r="AQ40" s="6057"/>
      <c r="AR40" s="6057"/>
      <c r="AS40" s="6059"/>
      <c r="AT40" s="6057"/>
      <c r="AU40" s="6057"/>
      <c r="AV40" s="6059"/>
      <c r="AW40" s="6057"/>
      <c r="AX40" s="6057"/>
      <c r="AY40" s="6057"/>
      <c r="AZ40" s="6057"/>
      <c r="BA40" s="6057"/>
      <c r="BB40" s="6057"/>
      <c r="BC40" s="6057"/>
      <c r="BD40" s="6057"/>
      <c r="BE40" s="6057"/>
      <c r="BF40" s="6057"/>
      <c r="BG40" s="6057"/>
      <c r="BH40" s="6057"/>
      <c r="BI40" s="6057"/>
      <c r="BJ40" s="6057"/>
      <c r="BK40" s="6057"/>
      <c r="BL40" s="6057"/>
      <c r="BM40" s="6057"/>
      <c r="BN40" s="6057"/>
      <c r="BO40" s="6057"/>
      <c r="BP40" s="6057"/>
      <c r="BQ40" s="6057"/>
      <c r="BR40" s="6057"/>
      <c r="BS40" s="6057"/>
    </row>
    <row r="41" spans="1:71" x14ac:dyDescent="0.3">
      <c r="A41" s="6071" t="s">
        <v>55</v>
      </c>
      <c r="B41" s="6045" t="s">
        <v>56</v>
      </c>
      <c r="D41" s="6057">
        <f>[15]Nepal!AL$91</f>
        <v>136876985.92864323</v>
      </c>
      <c r="E41" s="6057">
        <f>[15]Nepal!AL$93</f>
        <v>122283331.92864321</v>
      </c>
      <c r="F41" s="6057">
        <f>D41-E41</f>
        <v>14593654.000000015</v>
      </c>
      <c r="G41" s="6058">
        <f>[15]Nepal!AL$20+[15]Nepal!AL$21</f>
        <v>25373500</v>
      </c>
      <c r="H41" s="6057">
        <f>[15]Nepal!AL$22</f>
        <v>963622200</v>
      </c>
      <c r="I41" s="6045">
        <f t="shared" si="0"/>
        <v>938248700</v>
      </c>
      <c r="J41" s="6075">
        <f t="shared" si="1"/>
        <v>724959800</v>
      </c>
      <c r="K41" s="6077">
        <f>[15]Nepal!AL$17</f>
        <v>699586300</v>
      </c>
      <c r="M41" s="6059"/>
      <c r="N41" s="6057">
        <f>[15]Nepal!AH$91</f>
        <v>124337910.95790999</v>
      </c>
      <c r="O41" s="6057">
        <f>[15]Nepal!AH$93</f>
        <v>111931307.95790999</v>
      </c>
      <c r="P41" s="6057">
        <f t="shared" si="12"/>
        <v>12406603</v>
      </c>
      <c r="Q41" s="6058">
        <f>[15]Nepal!AH$20+[15]Nepal!AH$21</f>
        <v>10023700</v>
      </c>
      <c r="R41" s="6057">
        <f>[15]Nepal!AH$22</f>
        <v>727363700</v>
      </c>
      <c r="S41" s="6045">
        <f t="shared" si="9"/>
        <v>717340000</v>
      </c>
      <c r="T41" s="6075">
        <f t="shared" si="10"/>
        <v>518614300</v>
      </c>
      <c r="U41" s="6077">
        <f>[15]Nepal!AH$17</f>
        <v>508590600</v>
      </c>
      <c r="W41" s="6059"/>
      <c r="X41" s="6057">
        <f>[15]Nepal!Y$91</f>
        <v>94599786.66094166</v>
      </c>
      <c r="Y41" s="6057">
        <f>[15]Nepal!Y$93</f>
        <v>93749549.353941664</v>
      </c>
      <c r="Z41" s="6057">
        <f t="shared" si="11"/>
        <v>850237.3069999963</v>
      </c>
      <c r="AA41" s="6058">
        <f>[15]Nepal!Y$20+[15]Nepal!Y$21</f>
        <v>8673040</v>
      </c>
      <c r="AB41" s="6057">
        <f>[15]Nepal!Y$22</f>
        <v>493337237</v>
      </c>
      <c r="AC41" s="6045">
        <f t="shared" si="8"/>
        <v>484664197</v>
      </c>
      <c r="AD41" s="6075">
        <f t="shared" si="4"/>
        <v>370986807</v>
      </c>
      <c r="AE41" s="6077">
        <f>[15]Nepal!Y$17</f>
        <v>362313767</v>
      </c>
      <c r="AG41" s="6057"/>
      <c r="AH41" s="6057"/>
      <c r="AI41" s="6057"/>
      <c r="AJ41" s="6059"/>
      <c r="AK41" s="6057"/>
      <c r="AL41" s="6057"/>
      <c r="AM41" s="6059"/>
      <c r="AN41" s="6057"/>
      <c r="AO41" s="6057"/>
      <c r="AP41" s="6057"/>
      <c r="AQ41" s="6057"/>
      <c r="AR41" s="6057"/>
      <c r="AS41" s="6059"/>
      <c r="AT41" s="6057"/>
      <c r="AU41" s="6057"/>
      <c r="AV41" s="6059"/>
      <c r="AW41" s="6057"/>
      <c r="AX41" s="6057"/>
      <c r="AY41" s="6057"/>
      <c r="AZ41" s="6057"/>
      <c r="BA41" s="6057"/>
      <c r="BB41" s="6057"/>
      <c r="BC41" s="6057"/>
      <c r="BD41" s="6057"/>
      <c r="BE41" s="6057"/>
      <c r="BF41" s="6057"/>
      <c r="BG41" s="6057"/>
      <c r="BH41" s="6057"/>
      <c r="BI41" s="6057"/>
      <c r="BJ41" s="6057"/>
      <c r="BK41" s="6057"/>
      <c r="BL41" s="6057"/>
      <c r="BM41" s="6057"/>
      <c r="BN41" s="6057"/>
      <c r="BO41" s="6057"/>
      <c r="BP41" s="6057"/>
      <c r="BQ41" s="6057"/>
      <c r="BR41" s="6057"/>
      <c r="BS41" s="6057"/>
    </row>
    <row r="42" spans="1:71" x14ac:dyDescent="0.3">
      <c r="B42" s="6045" t="s">
        <v>57</v>
      </c>
      <c r="D42" s="6057">
        <f>[15]Nicaragua!AF$95</f>
        <v>18268.610144710001</v>
      </c>
      <c r="E42" s="6057">
        <f>[15]Nicaragua!AF$97</f>
        <v>12702.148365459998</v>
      </c>
      <c r="F42" s="6057">
        <f>D42-E42</f>
        <v>5566.461779250003</v>
      </c>
      <c r="G42" s="6058">
        <f>[15]Nicaragua!AF$20+[15]Nicaragua!AF$21</f>
        <v>16811.784642999999</v>
      </c>
      <c r="H42" s="6057">
        <f>[15]Nicaragua!AF$22</f>
        <v>93603.730585999991</v>
      </c>
      <c r="I42" s="6045">
        <f t="shared" si="0"/>
        <v>76791.945942999999</v>
      </c>
      <c r="J42" s="6075">
        <f t="shared" si="1"/>
        <v>72118.163532999999</v>
      </c>
      <c r="K42" s="6077">
        <f>[15]Nicaragua!AF$17</f>
        <v>55306.37889</v>
      </c>
      <c r="M42" s="6059"/>
      <c r="N42" s="6057">
        <f>[15]Nicaragua!AB$95</f>
        <v>18061.658881629999</v>
      </c>
      <c r="O42" s="6057">
        <f>[15]Nicaragua!AB$97</f>
        <v>12052.353757909999</v>
      </c>
      <c r="P42" s="6057">
        <f t="shared" si="12"/>
        <v>6009.3051237199998</v>
      </c>
      <c r="Q42" s="6058">
        <f>[15]Nicaragua!AB$20+[15]Nicaragua!AB$21</f>
        <v>14220.316048999999</v>
      </c>
      <c r="R42" s="6057">
        <f>[15]Nicaragua!AB$22</f>
        <v>82048.495140910003</v>
      </c>
      <c r="S42" s="6045">
        <f t="shared" si="9"/>
        <v>67828.179091910002</v>
      </c>
      <c r="T42" s="6075">
        <f t="shared" si="10"/>
        <v>72921.70123839</v>
      </c>
      <c r="U42" s="6077">
        <f>[15]Nicaragua!AB$17</f>
        <v>58701.385189389999</v>
      </c>
      <c r="W42" s="6059"/>
      <c r="X42" s="6057">
        <f>[15]Nicaragua!V$95</f>
        <v>15519.222666666665</v>
      </c>
      <c r="Y42" s="6057">
        <f>[15]Nicaragua!V$97</f>
        <v>10587.353333333333</v>
      </c>
      <c r="Z42" s="6057">
        <f t="shared" si="11"/>
        <v>4931.8693333333322</v>
      </c>
      <c r="AA42" s="6058">
        <f>[15]Nicaragua!V$20+[15]Nicaragua!V$21</f>
        <v>12130.641333333333</v>
      </c>
      <c r="AB42" s="6057">
        <f>[15]Nicaragua!V$22</f>
        <v>76382.093333333323</v>
      </c>
      <c r="AC42" s="6045">
        <f t="shared" si="8"/>
        <v>64251.45199999999</v>
      </c>
      <c r="AD42" s="6075">
        <f t="shared" si="4"/>
        <v>58205.905333333329</v>
      </c>
      <c r="AE42" s="6077">
        <f>[15]Nicaragua!V$17</f>
        <v>46075.263999999996</v>
      </c>
      <c r="AG42" s="6057"/>
      <c r="AH42" s="6057"/>
      <c r="AI42" s="6057"/>
      <c r="AJ42" s="6059"/>
      <c r="AK42" s="6057"/>
      <c r="AL42" s="6057"/>
      <c r="AM42" s="6059"/>
      <c r="AN42" s="6057"/>
      <c r="AO42" s="6057"/>
      <c r="AP42" s="6057"/>
      <c r="AQ42" s="6057"/>
      <c r="AR42" s="6057"/>
      <c r="AS42" s="6059"/>
      <c r="AT42" s="6057"/>
      <c r="AU42" s="6057"/>
      <c r="AV42" s="6059"/>
      <c r="AW42" s="6057"/>
      <c r="AX42" s="6057"/>
      <c r="AY42" s="6057"/>
      <c r="AZ42" s="6057"/>
      <c r="BA42" s="6057"/>
      <c r="BB42" s="6057"/>
      <c r="BC42" s="6057"/>
      <c r="BD42" s="6057"/>
      <c r="BE42" s="6057"/>
      <c r="BF42" s="6057"/>
      <c r="BG42" s="6057"/>
      <c r="BH42" s="6057"/>
      <c r="BI42" s="6057"/>
      <c r="BJ42" s="6057"/>
      <c r="BK42" s="6057"/>
      <c r="BL42" s="6057"/>
      <c r="BM42" s="6057"/>
      <c r="BN42" s="6057"/>
      <c r="BO42" s="6057"/>
      <c r="BP42" s="6057"/>
      <c r="BQ42" s="6057"/>
      <c r="BR42" s="6057"/>
      <c r="BS42" s="6057"/>
    </row>
    <row r="43" spans="1:71" x14ac:dyDescent="0.3">
      <c r="B43" s="6045" t="s">
        <v>58</v>
      </c>
      <c r="D43" s="6057">
        <f>[15]Niger!AP$106</f>
        <v>252.60701879538067</v>
      </c>
      <c r="E43" s="6060"/>
      <c r="F43" s="6060"/>
      <c r="G43" s="6058">
        <f>[15]Niger!AP$22+[15]Niger!AP$23</f>
        <v>39.577225858513401</v>
      </c>
      <c r="H43" s="6057">
        <f>[15]Niger!AP$24</f>
        <v>1229.2777824339371</v>
      </c>
      <c r="I43" s="6045">
        <f t="shared" si="0"/>
        <v>1189.7005565754237</v>
      </c>
      <c r="J43" s="6075">
        <f t="shared" si="1"/>
        <v>603.46408372339727</v>
      </c>
      <c r="K43" s="6077">
        <f>[15]Niger!AP$18</f>
        <v>563.88685786488384</v>
      </c>
      <c r="M43" s="6059"/>
      <c r="N43" s="6057">
        <f>[15]Niger!AJ$106</f>
        <v>213.42958016579743</v>
      </c>
      <c r="O43" s="6057">
        <f>[15]Niger!AJ$108</f>
        <v>204.62083707908366</v>
      </c>
      <c r="P43" s="6057">
        <f t="shared" si="12"/>
        <v>8.8087430867137755</v>
      </c>
      <c r="Q43" s="6058">
        <f>[15]Niger!AJ$22+[15]Niger!AJ$23</f>
        <v>162.88</v>
      </c>
      <c r="R43" s="6057">
        <f>[15]Niger!AJ$24</f>
        <v>1363.12</v>
      </c>
      <c r="S43" s="6045">
        <f t="shared" si="9"/>
        <v>1200.2399999999998</v>
      </c>
      <c r="T43" s="6075">
        <f t="shared" si="10"/>
        <v>710.78</v>
      </c>
      <c r="U43" s="6077">
        <f>[15]Niger!AJ$18</f>
        <v>547.9</v>
      </c>
      <c r="W43" s="6059"/>
      <c r="X43" s="6057">
        <f>[15]Niger!AA$106</f>
        <v>217.08300619600001</v>
      </c>
      <c r="Y43" s="6057">
        <f>[15]Niger!AA$108</f>
        <v>207.456585663</v>
      </c>
      <c r="Z43" s="6057">
        <f t="shared" si="11"/>
        <v>9.6264205330000152</v>
      </c>
      <c r="AA43" s="6058">
        <f>[15]Niger!AA$22+[15]Niger!AA$23</f>
        <v>117.14</v>
      </c>
      <c r="AB43" s="6057">
        <f>[15]Niger!AA$24</f>
        <v>1341.0500000000002</v>
      </c>
      <c r="AC43" s="6045">
        <f t="shared" si="8"/>
        <v>1223.9100000000001</v>
      </c>
      <c r="AD43" s="6075">
        <f t="shared" si="4"/>
        <v>671.13</v>
      </c>
      <c r="AE43" s="6077">
        <f>[15]Niger!AA$18</f>
        <v>553.99</v>
      </c>
      <c r="AG43" s="6057"/>
      <c r="AH43" s="6057"/>
      <c r="AI43" s="6057"/>
      <c r="AJ43" s="6059"/>
      <c r="AK43" s="6057"/>
      <c r="AL43" s="6057"/>
      <c r="AM43" s="6059"/>
      <c r="AN43" s="6057"/>
      <c r="AO43" s="6057"/>
      <c r="AP43" s="6057"/>
      <c r="AQ43" s="6057"/>
      <c r="AR43" s="6057"/>
      <c r="AS43" s="6059"/>
      <c r="AT43" s="6057"/>
      <c r="AU43" s="6057"/>
      <c r="AV43" s="6059"/>
      <c r="AW43" s="6057"/>
      <c r="AX43" s="6057"/>
      <c r="AY43" s="6057"/>
      <c r="AZ43" s="6057"/>
      <c r="BA43" s="6057"/>
      <c r="BB43" s="6057"/>
      <c r="BC43" s="6057"/>
      <c r="BD43" s="6057"/>
      <c r="BE43" s="6057"/>
      <c r="BF43" s="6057"/>
      <c r="BG43" s="6057"/>
      <c r="BH43" s="6057"/>
      <c r="BI43" s="6057"/>
      <c r="BJ43" s="6057"/>
      <c r="BK43" s="6057"/>
      <c r="BL43" s="6057"/>
      <c r="BM43" s="6057"/>
      <c r="BN43" s="6057"/>
      <c r="BO43" s="6057"/>
      <c r="BP43" s="6057"/>
      <c r="BQ43" s="6057"/>
      <c r="BR43" s="6057"/>
      <c r="BS43" s="6057"/>
    </row>
    <row r="44" spans="1:71" s="6065" customFormat="1" x14ac:dyDescent="0.3">
      <c r="B44" s="6065" t="s">
        <v>59</v>
      </c>
      <c r="D44" s="6066">
        <f>[15]Balochistan!AN$89</f>
        <v>62253.699343221706</v>
      </c>
      <c r="E44" s="6066">
        <f>[15]Balochistan!AN$91</f>
        <v>56066.66977139136</v>
      </c>
      <c r="F44" s="6066">
        <f>D44-E44</f>
        <v>6187.029571830346</v>
      </c>
      <c r="G44" s="6067">
        <f>[15]Balochistan!AN$20+[15]Balochistan!AN$21</f>
        <v>8504.5260323473995</v>
      </c>
      <c r="H44" s="6066">
        <f>[15]Balochistan!AN$22</f>
        <v>307372.40983615542</v>
      </c>
      <c r="I44" s="6066">
        <f t="shared" si="0"/>
        <v>298867.88380380801</v>
      </c>
      <c r="J44" s="6066">
        <f t="shared" si="1"/>
        <v>220732.07083615544</v>
      </c>
      <c r="K44" s="6066">
        <f>[15]Balochistan!AN$17</f>
        <v>212227.54480380804</v>
      </c>
      <c r="M44" s="6066"/>
      <c r="N44" s="6066">
        <f>[15]Balochistan!AH$89</f>
        <v>54255.924637585253</v>
      </c>
      <c r="O44" s="6066">
        <f>[15]Balochistan!AH$91</f>
        <v>45564.559637585255</v>
      </c>
      <c r="P44" s="6066">
        <f t="shared" si="12"/>
        <v>8691.364999999998</v>
      </c>
      <c r="Q44" s="6067">
        <f>[15]Balochistan!AH$20+[15]Balochistan!AH$21</f>
        <v>9444.2790000000005</v>
      </c>
      <c r="R44" s="6066">
        <f>[15]Balochistan!AH$22</f>
        <v>256070.71000000002</v>
      </c>
      <c r="S44" s="6066">
        <f t="shared" si="9"/>
        <v>246626.43100000001</v>
      </c>
      <c r="T44" s="6066">
        <f t="shared" si="10"/>
        <v>183059.24900000004</v>
      </c>
      <c r="U44" s="6066">
        <f>[15]Balochistan!AH$17</f>
        <v>173614.97000000003</v>
      </c>
      <c r="W44" s="6066"/>
      <c r="X44" s="6066">
        <f>[15]Balochistan!AE$89</f>
        <v>54308.09426610051</v>
      </c>
      <c r="Y44" s="6066">
        <f>[15]Balochistan!AE$91</f>
        <v>42384.828482980025</v>
      </c>
      <c r="Z44" s="6066">
        <f>X44-Y44</f>
        <v>11923.265783120485</v>
      </c>
      <c r="AA44" s="6067">
        <f>[15]Balochistan!AE$20+[15]Balochistan!BD$21</f>
        <v>2886.0223034248761</v>
      </c>
      <c r="AB44" s="6066">
        <f>[15]Balochistan!AE$22</f>
        <v>229484.61644678714</v>
      </c>
      <c r="AC44" s="6066">
        <f t="shared" si="8"/>
        <v>226598.59414336228</v>
      </c>
      <c r="AD44" s="6066">
        <f t="shared" si="4"/>
        <v>161426.42344678714</v>
      </c>
      <c r="AE44" s="6066">
        <f>[15]Balochistan!AE$17</f>
        <v>158540.40114336228</v>
      </c>
      <c r="AG44" s="6066"/>
      <c r="AH44" s="6066"/>
      <c r="AI44" s="6066"/>
      <c r="AJ44" s="6066"/>
      <c r="AK44" s="6066"/>
      <c r="AL44" s="6066"/>
      <c r="AM44" s="6066"/>
      <c r="AN44" s="6066"/>
      <c r="AO44" s="6066"/>
      <c r="AP44" s="6066"/>
      <c r="AQ44" s="6066"/>
      <c r="AR44" s="6066"/>
      <c r="AS44" s="6066"/>
      <c r="AT44" s="6066"/>
      <c r="AU44" s="6066"/>
      <c r="AV44" s="6066"/>
      <c r="AW44" s="6066"/>
      <c r="AX44" s="6066"/>
      <c r="AY44" s="6066"/>
      <c r="AZ44" s="6066"/>
      <c r="BA44" s="6066"/>
      <c r="BB44" s="6066"/>
      <c r="BC44" s="6066"/>
      <c r="BD44" s="6066"/>
      <c r="BE44" s="6066"/>
      <c r="BF44" s="6066"/>
      <c r="BG44" s="6066"/>
      <c r="BH44" s="6066"/>
      <c r="BI44" s="6066"/>
      <c r="BJ44" s="6066"/>
      <c r="BK44" s="6066"/>
      <c r="BL44" s="6066"/>
      <c r="BM44" s="6066"/>
      <c r="BN44" s="6066"/>
      <c r="BO44" s="6066"/>
      <c r="BP44" s="6066"/>
      <c r="BQ44" s="6066"/>
      <c r="BR44" s="6066"/>
      <c r="BS44" s="6066"/>
    </row>
    <row r="45" spans="1:71" s="6065" customFormat="1" x14ac:dyDescent="0.3">
      <c r="B45" s="6065" t="s">
        <v>60</v>
      </c>
      <c r="D45" s="6066">
        <f>'[15]Pakistan Sindh'!AQ$87</f>
        <v>179141.78929715004</v>
      </c>
      <c r="E45" s="6066">
        <f>'[15]Pakistan Sindh'!AQ$89</f>
        <v>167869.56144057773</v>
      </c>
      <c r="F45" s="6066">
        <f>D45-E45</f>
        <v>11272.22785657231</v>
      </c>
      <c r="G45" s="6067">
        <f>'[15]Pakistan Sindh'!AQ$20+'[15]Pakistan Sindh'!AQ$21</f>
        <v>17374.602163415911</v>
      </c>
      <c r="H45" s="6066">
        <f>'[15]Pakistan Sindh'!AQ$22</f>
        <v>890748.69692645059</v>
      </c>
      <c r="I45" s="6066">
        <f t="shared" si="0"/>
        <v>873374.09476303472</v>
      </c>
      <c r="J45" s="6066">
        <f t="shared" si="1"/>
        <v>682642.60216341587</v>
      </c>
      <c r="K45" s="6066">
        <f>'[15]Pakistan Sindh'!AQ$17</f>
        <v>665268</v>
      </c>
      <c r="M45" s="6066"/>
      <c r="N45" s="6066">
        <f>'[15]Pakistan Sindh'!AK$87</f>
        <v>166916.33010078676</v>
      </c>
      <c r="O45" s="6066">
        <f>'[15]Pakistan Sindh'!AK$89</f>
        <v>156438.81910078679</v>
      </c>
      <c r="P45" s="6066">
        <f t="shared" si="12"/>
        <v>10477.510999999969</v>
      </c>
      <c r="Q45" s="6067">
        <f>'[15]Pakistan Sindh'!AK$20+'[15]Pakistan Sindh'!AK$21</f>
        <v>15319</v>
      </c>
      <c r="R45" s="6066">
        <f>'[15]Pakistan Sindh'!AK$22</f>
        <v>761011</v>
      </c>
      <c r="S45" s="6066">
        <f t="shared" si="9"/>
        <v>745692</v>
      </c>
      <c r="T45" s="6066">
        <f t="shared" si="10"/>
        <v>550918</v>
      </c>
      <c r="U45" s="6066">
        <f>'[15]Pakistan Sindh'!AK$17</f>
        <v>535599</v>
      </c>
      <c r="W45" s="6066"/>
      <c r="X45" s="6066">
        <f>'[15]Pakistan Sindh'!AG$87</f>
        <v>164899.67384227947</v>
      </c>
      <c r="Y45" s="6066">
        <f>'[15]Pakistan Sindh'!AG$89</f>
        <v>155766.00199572701</v>
      </c>
      <c r="Z45" s="6066">
        <f>X45-Y45</f>
        <v>9133.6718465524609</v>
      </c>
      <c r="AA45" s="6067">
        <f>'[15]Pakistan Sindh'!AG$20+'[15]Pakistan Sindh'!AG$21</f>
        <v>15942.334423566879</v>
      </c>
      <c r="AB45" s="6066">
        <f>'[15]Pakistan Sindh'!AG$22</f>
        <v>921958.16943369398</v>
      </c>
      <c r="AC45" s="6066">
        <f t="shared" si="8"/>
        <v>906015.83501012705</v>
      </c>
      <c r="AD45" s="6066">
        <f t="shared" si="4"/>
        <v>731544.14642356697</v>
      </c>
      <c r="AE45" s="6066">
        <f>'[15]Pakistan Sindh'!AG$17</f>
        <v>715601.81200000003</v>
      </c>
      <c r="AG45" s="6066"/>
      <c r="AH45" s="6066"/>
      <c r="AI45" s="6066"/>
      <c r="AJ45" s="6066"/>
      <c r="AK45" s="6066"/>
      <c r="AL45" s="6066"/>
      <c r="AM45" s="6066"/>
      <c r="AN45" s="6066"/>
      <c r="AO45" s="6066"/>
      <c r="AP45" s="6066"/>
      <c r="AQ45" s="6066"/>
      <c r="AR45" s="6066"/>
      <c r="AS45" s="6066"/>
      <c r="AT45" s="6066"/>
      <c r="AU45" s="6066"/>
      <c r="AV45" s="6066"/>
      <c r="AW45" s="6066"/>
      <c r="AX45" s="6066"/>
      <c r="AY45" s="6066"/>
      <c r="AZ45" s="6066"/>
      <c r="BA45" s="6066"/>
      <c r="BB45" s="6066"/>
      <c r="BC45" s="6066"/>
      <c r="BD45" s="6066"/>
      <c r="BE45" s="6066"/>
      <c r="BF45" s="6066"/>
      <c r="BG45" s="6066"/>
      <c r="BH45" s="6066"/>
      <c r="BI45" s="6066"/>
      <c r="BJ45" s="6066"/>
      <c r="BK45" s="6066"/>
      <c r="BL45" s="6066"/>
      <c r="BM45" s="6066"/>
      <c r="BN45" s="6066"/>
      <c r="BO45" s="6066"/>
      <c r="BP45" s="6066"/>
      <c r="BQ45" s="6066"/>
      <c r="BR45" s="6066"/>
      <c r="BS45" s="6066"/>
    </row>
    <row r="46" spans="1:71" x14ac:dyDescent="0.3">
      <c r="B46" s="6045" t="s">
        <v>61</v>
      </c>
      <c r="D46" s="6057">
        <f>'[15]Papua New Guinea'!AH$88</f>
        <v>1488.7</v>
      </c>
      <c r="E46" s="6057">
        <f>'[15]Papua New Guinea'!AH$90</f>
        <v>1351.9143663880732</v>
      </c>
      <c r="F46" s="6057">
        <f>D46-E46</f>
        <v>136.78563361192687</v>
      </c>
      <c r="G46" s="6058">
        <f>'[15]Papua New Guinea'!AH$19+'[15]Papua New Guinea'!AH$20</f>
        <v>1853.3</v>
      </c>
      <c r="H46" s="6057">
        <f>'[15]Papua New Guinea'!AH$21</f>
        <v>16134.1</v>
      </c>
      <c r="I46" s="6057">
        <f t="shared" si="0"/>
        <v>14280.800000000001</v>
      </c>
      <c r="J46" s="6075">
        <f t="shared" si="1"/>
        <v>13319.4</v>
      </c>
      <c r="K46" s="6075">
        <f>'[15]Papua New Guinea'!AH$16</f>
        <v>11466.1</v>
      </c>
      <c r="M46" s="6059"/>
      <c r="N46" s="6057">
        <f>'[15]Papua New Guinea'!AB$88</f>
        <v>1425</v>
      </c>
      <c r="O46" s="6057">
        <f>'[15]Papua New Guinea'!AB$90</f>
        <v>1295.2062394348368</v>
      </c>
      <c r="P46" s="6057">
        <f t="shared" si="12"/>
        <v>129.79376056516321</v>
      </c>
      <c r="Q46" s="6058">
        <f>'[15]Papua New Guinea'!AB$19+'[15]Papua New Guinea'!AB$20</f>
        <v>1633.9</v>
      </c>
      <c r="R46" s="6057">
        <f>'[15]Papua New Guinea'!AB$21</f>
        <v>13319.9</v>
      </c>
      <c r="S46" s="6057">
        <f t="shared" si="9"/>
        <v>11686</v>
      </c>
      <c r="T46" s="6075">
        <f t="shared" si="10"/>
        <v>11786.199999999999</v>
      </c>
      <c r="U46" s="6075">
        <f>'[15]Papua New Guinea'!AB$16</f>
        <v>10152.299999999999</v>
      </c>
      <c r="W46" s="6059"/>
      <c r="X46" s="6057">
        <f>'[15]Papua New Guinea'!V$88</f>
        <v>2228.0340000000001</v>
      </c>
      <c r="Y46" s="6057">
        <f>'[15]Papua New Guinea'!V$90</f>
        <v>2054.9340000000002</v>
      </c>
      <c r="Z46" s="6057">
        <f>X46-Y46</f>
        <v>173.09999999999991</v>
      </c>
      <c r="AA46" s="6058">
        <f>'[15]Papua New Guinea'!V$19+'[15]Papua New Guinea'!V$20</f>
        <v>1264.3</v>
      </c>
      <c r="AB46" s="6057">
        <f>'[15]Papua New Guinea'!V$21</f>
        <v>13572.4</v>
      </c>
      <c r="AC46" s="6057">
        <f t="shared" si="8"/>
        <v>12308.1</v>
      </c>
      <c r="AD46" s="6075">
        <f t="shared" si="4"/>
        <v>9447.5</v>
      </c>
      <c r="AE46" s="6075">
        <f>'[15]Papua New Guinea'!V$16</f>
        <v>8183.2</v>
      </c>
      <c r="AG46" s="6057"/>
      <c r="AH46" s="6057"/>
      <c r="AI46" s="6057"/>
      <c r="AJ46" s="6059"/>
      <c r="AK46" s="6057"/>
      <c r="AL46" s="6057"/>
      <c r="AM46" s="6059"/>
      <c r="AN46" s="6057"/>
      <c r="AO46" s="6057"/>
      <c r="AP46" s="6057"/>
      <c r="AQ46" s="6057"/>
      <c r="AR46" s="6057"/>
      <c r="AS46" s="6059"/>
      <c r="AT46" s="6057"/>
      <c r="AU46" s="6057"/>
      <c r="AV46" s="6059"/>
      <c r="AW46" s="6057"/>
      <c r="AX46" s="6057"/>
      <c r="AY46" s="6057"/>
      <c r="AZ46" s="6057"/>
      <c r="BA46" s="6057"/>
      <c r="BB46" s="6057"/>
      <c r="BC46" s="6057"/>
      <c r="BD46" s="6057"/>
      <c r="BE46" s="6057"/>
      <c r="BF46" s="6057"/>
      <c r="BG46" s="6057"/>
      <c r="BH46" s="6057"/>
      <c r="BI46" s="6057"/>
      <c r="BJ46" s="6057"/>
      <c r="BK46" s="6057"/>
      <c r="BL46" s="6057"/>
      <c r="BM46" s="6057"/>
      <c r="BN46" s="6057"/>
      <c r="BO46" s="6057"/>
      <c r="BP46" s="6057"/>
      <c r="BQ46" s="6057"/>
      <c r="BR46" s="6057"/>
      <c r="BS46" s="6057"/>
    </row>
    <row r="47" spans="1:71" x14ac:dyDescent="0.3">
      <c r="A47" s="6078" t="s">
        <v>62</v>
      </c>
      <c r="B47" s="6045" t="s">
        <v>63</v>
      </c>
      <c r="D47" s="6057">
        <f>[15]Rwanda!AO$87</f>
        <v>240.5</v>
      </c>
      <c r="E47" s="6060"/>
      <c r="F47" s="6060"/>
      <c r="G47" s="6058">
        <f>[15]Rwanda!AO$21+[15]Rwanda!AO$22</f>
        <v>246.8</v>
      </c>
      <c r="H47" s="6057">
        <f>[15]Rwanda!AO$23</f>
        <v>2148.8000000000002</v>
      </c>
      <c r="I47" s="6057">
        <f t="shared" si="0"/>
        <v>1902.0000000000002</v>
      </c>
      <c r="J47" s="6057">
        <f>[15]Rwanda!AO$17</f>
        <v>1089.6000000000001</v>
      </c>
      <c r="K47" s="6057">
        <f>J47-G47</f>
        <v>842.80000000000018</v>
      </c>
      <c r="M47" s="6059"/>
      <c r="N47" s="6057">
        <f>[15]Rwanda!AJ$87</f>
        <v>213.86760281400001</v>
      </c>
      <c r="O47" s="6060"/>
      <c r="P47" s="6060"/>
      <c r="Q47" s="6058">
        <f>[15]Rwanda!AJ$21+[15]Rwanda!AJ$22</f>
        <v>188.60000000000002</v>
      </c>
      <c r="R47" s="6057">
        <f>[15]Rwanda!AJ$23</f>
        <v>1945.5</v>
      </c>
      <c r="S47" s="6057">
        <f t="shared" si="9"/>
        <v>1756.9</v>
      </c>
      <c r="T47" s="6057">
        <f>[15]Rwanda!AJ$17</f>
        <v>997.39999999999986</v>
      </c>
      <c r="U47" s="6057">
        <f>T47-Q47</f>
        <v>808.79999999999984</v>
      </c>
      <c r="W47" s="6059"/>
      <c r="X47" s="6057">
        <f>[15]Rwanda!Y$87</f>
        <v>204.8</v>
      </c>
      <c r="Y47" s="6060"/>
      <c r="Z47" s="6060"/>
      <c r="AA47" s="6058">
        <f>[15]Rwanda!Y$21+[15]Rwanda!Y$22</f>
        <v>145.10000000000002</v>
      </c>
      <c r="AB47" s="6057">
        <f>[15]Rwanda!Y$23</f>
        <v>1736.1000000000001</v>
      </c>
      <c r="AC47" s="6057">
        <f t="shared" si="8"/>
        <v>1591</v>
      </c>
      <c r="AD47" s="6057">
        <f>[15]Rwanda!Y$17</f>
        <v>870.09999999999991</v>
      </c>
      <c r="AE47" s="6057">
        <f>AD47-AA47</f>
        <v>724.99999999999989</v>
      </c>
      <c r="AG47" s="6057"/>
      <c r="AH47" s="6057"/>
      <c r="AI47" s="6057"/>
      <c r="AJ47" s="6059"/>
      <c r="AK47" s="6057"/>
      <c r="AL47" s="6057"/>
      <c r="AM47" s="6059"/>
      <c r="AN47" s="6057"/>
      <c r="AO47" s="6057"/>
      <c r="AP47" s="6057"/>
      <c r="AQ47" s="6057"/>
      <c r="AR47" s="6057"/>
      <c r="AS47" s="6059"/>
      <c r="AT47" s="6057"/>
      <c r="AU47" s="6057"/>
      <c r="AV47" s="6059"/>
      <c r="AW47" s="6057"/>
      <c r="AX47" s="6057"/>
      <c r="AY47" s="6057"/>
      <c r="AZ47" s="6057"/>
      <c r="BA47" s="6057"/>
      <c r="BB47" s="6057"/>
      <c r="BC47" s="6057"/>
      <c r="BD47" s="6057"/>
      <c r="BE47" s="6057"/>
      <c r="BF47" s="6057"/>
      <c r="BG47" s="6057"/>
      <c r="BH47" s="6057"/>
      <c r="BI47" s="6057"/>
      <c r="BJ47" s="6057"/>
      <c r="BK47" s="6057"/>
      <c r="BL47" s="6057"/>
      <c r="BM47" s="6057"/>
      <c r="BN47" s="6057"/>
      <c r="BO47" s="6057"/>
      <c r="BP47" s="6057"/>
      <c r="BQ47" s="6057"/>
      <c r="BR47" s="6057"/>
      <c r="BS47" s="6057"/>
    </row>
    <row r="48" spans="1:71" x14ac:dyDescent="0.3">
      <c r="B48" s="6045" t="s">
        <v>64</v>
      </c>
      <c r="D48" s="6057">
        <f>'[15]Sao Tomé'!AN$86</f>
        <v>451214</v>
      </c>
      <c r="E48" s="6060"/>
      <c r="F48" s="6060"/>
      <c r="G48" s="6058">
        <f>'[15]Sao Tomé'!AN$20+'[15]Sao Tomé'!AN$21</f>
        <v>120390</v>
      </c>
      <c r="H48" s="6057">
        <f>'[15]Sao Tomé'!AN$22</f>
        <v>2273514</v>
      </c>
      <c r="I48" s="6057">
        <f t="shared" si="0"/>
        <v>2153124</v>
      </c>
      <c r="J48" s="6057">
        <f>'[15]Sao Tomé'!AN$17</f>
        <v>1367440</v>
      </c>
      <c r="K48" s="6057">
        <f>J48-G48</f>
        <v>1247050</v>
      </c>
      <c r="M48" s="6059"/>
      <c r="N48" s="6057">
        <f>'[15]Sao Tomé'!AH$86</f>
        <v>414552</v>
      </c>
      <c r="O48" s="6057">
        <f>'[15]Sao Tomé'!AH$88</f>
        <v>414552</v>
      </c>
      <c r="P48" s="6057">
        <f>N48-O48</f>
        <v>0</v>
      </c>
      <c r="Q48" s="6058">
        <f>'[15]Sao Tomé'!AH$20+'[15]Sao Tomé'!AH$21</f>
        <v>150190</v>
      </c>
      <c r="R48" s="6057">
        <f>'[15]Sao Tomé'!AH$22</f>
        <v>2716736</v>
      </c>
      <c r="S48" s="6057">
        <f t="shared" si="9"/>
        <v>2566546</v>
      </c>
      <c r="T48" s="6057">
        <f>'[15]Sao Tomé'!AH$17</f>
        <v>1365942</v>
      </c>
      <c r="U48" s="6057">
        <f>T48-Q48</f>
        <v>1215752</v>
      </c>
      <c r="W48" s="6059"/>
      <c r="X48" s="6057">
        <f>'[15]Sao Tomé'!Y$86</f>
        <v>398208.54000000004</v>
      </c>
      <c r="Y48" s="6057">
        <f>'[15]Sao Tomé'!Y$88</f>
        <v>315168.14850000001</v>
      </c>
      <c r="Z48" s="6057">
        <f>X48-Y48</f>
        <v>83040.391500000027</v>
      </c>
      <c r="AA48" s="6058">
        <f>'[15]Sao Tomé'!Y$20+'[15]Sao Tomé'!Y$21</f>
        <v>153950</v>
      </c>
      <c r="AB48" s="6057">
        <f>'[15]Sao Tomé'!Y$22</f>
        <v>2538842</v>
      </c>
      <c r="AC48" s="6057">
        <f t="shared" si="8"/>
        <v>2384892</v>
      </c>
      <c r="AD48" s="6057">
        <f>'[15]Sao Tomé'!Y$17</f>
        <v>1324200</v>
      </c>
      <c r="AE48" s="6057">
        <f>AD48-AA48</f>
        <v>1170250</v>
      </c>
      <c r="AG48" s="6057"/>
      <c r="AH48" s="6057"/>
      <c r="AI48" s="6057"/>
      <c r="AJ48" s="6059"/>
      <c r="AK48" s="6057"/>
      <c r="AL48" s="6057"/>
      <c r="AM48" s="6059"/>
      <c r="AN48" s="6057"/>
      <c r="AO48" s="6057"/>
      <c r="AP48" s="6057"/>
      <c r="AQ48" s="6057"/>
      <c r="AR48" s="6057"/>
      <c r="AS48" s="6059"/>
      <c r="AT48" s="6057"/>
      <c r="AU48" s="6057"/>
      <c r="AV48" s="6059"/>
      <c r="AW48" s="6057"/>
      <c r="AX48" s="6057"/>
      <c r="AY48" s="6057"/>
      <c r="AZ48" s="6057"/>
      <c r="BA48" s="6057"/>
      <c r="BB48" s="6057"/>
      <c r="BC48" s="6057"/>
      <c r="BD48" s="6057"/>
      <c r="BE48" s="6057"/>
      <c r="BF48" s="6057"/>
      <c r="BG48" s="6057"/>
      <c r="BH48" s="6057"/>
      <c r="BI48" s="6057"/>
      <c r="BJ48" s="6057"/>
      <c r="BK48" s="6057"/>
      <c r="BL48" s="6057"/>
      <c r="BM48" s="6057"/>
      <c r="BN48" s="6057"/>
      <c r="BO48" s="6057"/>
      <c r="BP48" s="6057"/>
      <c r="BQ48" s="6057"/>
      <c r="BR48" s="6057"/>
      <c r="BS48" s="6057"/>
    </row>
    <row r="49" spans="2:71" x14ac:dyDescent="0.3">
      <c r="B49" s="6045" t="s">
        <v>65</v>
      </c>
      <c r="D49" s="6057">
        <f>[15]Senegal!AN$76</f>
        <v>689514.58709421253</v>
      </c>
      <c r="E49" s="6057">
        <f>[15]Senegal!AN$78</f>
        <v>609811.77254040772</v>
      </c>
      <c r="F49" s="6057">
        <f>D49-E49</f>
        <v>79702.814553804812</v>
      </c>
      <c r="G49" s="6058">
        <f>[15]Senegal!AN$21+[15]Senegal!AN$22</f>
        <v>829710</v>
      </c>
      <c r="H49" s="6057">
        <f>[15]Senegal!AN$23</f>
        <v>3510640</v>
      </c>
      <c r="I49" s="6057">
        <f t="shared" si="0"/>
        <v>2680930</v>
      </c>
      <c r="J49" s="6057">
        <f>[15]Senegal!AN$18</f>
        <v>1526200</v>
      </c>
      <c r="K49" s="6057">
        <f>J49-G49</f>
        <v>696490</v>
      </c>
      <c r="M49" s="6059"/>
      <c r="N49" s="6057">
        <f>[15]Senegal!AH$76</f>
        <v>563866.51092100004</v>
      </c>
      <c r="O49" s="6057">
        <f>[15]Senegal!AH$78</f>
        <v>531366.02297500009</v>
      </c>
      <c r="P49" s="6057">
        <f>N49-O49</f>
        <v>32500.48794599995</v>
      </c>
      <c r="Q49" s="6058">
        <f>[15]Senegal!AH$21+[15]Senegal!AH$22</f>
        <v>738470</v>
      </c>
      <c r="R49" s="6057">
        <f>[15]Senegal!AH$23</f>
        <v>3304038</v>
      </c>
      <c r="S49" s="6057">
        <f t="shared" si="9"/>
        <v>2565568</v>
      </c>
      <c r="T49" s="6057">
        <f>[15]Senegal!AH$18</f>
        <v>1360160</v>
      </c>
      <c r="U49" s="6057">
        <f>T49-Q49</f>
        <v>621690</v>
      </c>
      <c r="W49" s="6059"/>
      <c r="X49" s="6057">
        <f>[15]Senegal!Y$76</f>
        <v>564390.01938886882</v>
      </c>
      <c r="Y49" s="6057">
        <f>[15]Senegal!Y$78</f>
        <v>479500.30066629557</v>
      </c>
      <c r="Z49" s="6057">
        <f>X49-Y49</f>
        <v>84889.718722573249</v>
      </c>
      <c r="AA49" s="6058">
        <f>[15]Senegal!Y$21+[15]Senegal!Y$22</f>
        <v>612320</v>
      </c>
      <c r="AB49" s="6057">
        <f>[15]Senegal!Y$23</f>
        <v>3147089</v>
      </c>
      <c r="AC49" s="6057">
        <f t="shared" si="8"/>
        <v>2534769</v>
      </c>
      <c r="AD49" s="6057">
        <f>[15]Senegal!Y$18</f>
        <v>1364231</v>
      </c>
      <c r="AE49" s="6057">
        <f>AD49-AA49</f>
        <v>751911</v>
      </c>
      <c r="AG49" s="6057"/>
      <c r="AH49" s="6057"/>
      <c r="AI49" s="6057"/>
      <c r="AJ49" s="6059"/>
      <c r="AK49" s="6057"/>
      <c r="AL49" s="6057"/>
      <c r="AM49" s="6059"/>
      <c r="AN49" s="6057"/>
      <c r="AO49" s="6057"/>
      <c r="AP49" s="6057"/>
      <c r="AQ49" s="6057"/>
      <c r="AR49" s="6057"/>
      <c r="AS49" s="6059"/>
      <c r="AT49" s="6057"/>
      <c r="AU49" s="6057"/>
      <c r="AV49" s="6059"/>
      <c r="AW49" s="6057"/>
      <c r="AX49" s="6057"/>
      <c r="AY49" s="6057"/>
      <c r="AZ49" s="6057"/>
      <c r="BA49" s="6057"/>
      <c r="BB49" s="6057"/>
      <c r="BC49" s="6057"/>
      <c r="BD49" s="6057"/>
      <c r="BE49" s="6057"/>
      <c r="BF49" s="6057"/>
      <c r="BG49" s="6057"/>
      <c r="BH49" s="6057"/>
      <c r="BI49" s="6057"/>
      <c r="BJ49" s="6057"/>
      <c r="BK49" s="6057"/>
      <c r="BL49" s="6057"/>
      <c r="BM49" s="6057"/>
      <c r="BN49" s="6057"/>
      <c r="BO49" s="6057"/>
      <c r="BP49" s="6057"/>
      <c r="BQ49" s="6057"/>
      <c r="BR49" s="6057"/>
      <c r="BS49" s="6057"/>
    </row>
    <row r="50" spans="2:71" x14ac:dyDescent="0.3">
      <c r="B50" s="6045" t="s">
        <v>66</v>
      </c>
      <c r="D50" s="6057">
        <f>'[15]Sierra Leone'!AT$90</f>
        <v>641151.8550327993</v>
      </c>
      <c r="E50" s="6057">
        <f>'[15]Sierra Leone'!AT$92</f>
        <v>637796.8550327993</v>
      </c>
      <c r="F50" s="6057">
        <f>D50-E50</f>
        <v>3355</v>
      </c>
      <c r="G50" s="6058">
        <f>'[15]Sierra Leone'!AT$20+'[15]Sierra Leone'!AT$21</f>
        <v>903661</v>
      </c>
      <c r="H50" s="6057">
        <f>'[15]Sierra Leone'!AT$22</f>
        <v>5652606</v>
      </c>
      <c r="I50" s="6057">
        <f t="shared" si="0"/>
        <v>4748945</v>
      </c>
      <c r="J50" s="6057">
        <f>'[15]Sierra Leone'!AT$17</f>
        <v>4088334</v>
      </c>
      <c r="K50" s="6057">
        <f>J50-G50</f>
        <v>3184673</v>
      </c>
      <c r="M50" s="6059"/>
      <c r="N50" s="6057">
        <f>'[15]Sierra Leone'!AM$90</f>
        <v>605787.03971520241</v>
      </c>
      <c r="O50" s="6057">
        <f>'[15]Sierra Leone'!AM$92</f>
        <v>534872.58516974782</v>
      </c>
      <c r="P50" s="6057">
        <f>N50-O50</f>
        <v>70914.454545454588</v>
      </c>
      <c r="Q50" s="6058">
        <f>'[15]Sierra Leone'!AM$20+'[15]Sierra Leone'!AM$21</f>
        <v>580444.36363636365</v>
      </c>
      <c r="R50" s="6057">
        <f>'[15]Sierra Leone'!AM$22</f>
        <v>5040705.8181818184</v>
      </c>
      <c r="S50" s="6057">
        <f t="shared" si="9"/>
        <v>4460261.4545454551</v>
      </c>
      <c r="T50" s="6057">
        <f>'[15]Sierra Leone'!AM$17</f>
        <v>3447353.4545454546</v>
      </c>
      <c r="U50" s="6057">
        <f>T50-Q50</f>
        <v>2866909.0909090908</v>
      </c>
      <c r="W50" s="6059"/>
      <c r="X50" s="6057">
        <f>'[15]Sierra Leone'!AB$90</f>
        <v>744795.60359483433</v>
      </c>
      <c r="Y50" s="6057">
        <f>'[15]Sierra Leone'!AB$92</f>
        <v>714051.60359483433</v>
      </c>
      <c r="Z50" s="6057">
        <f>X50-Y50</f>
        <v>30744</v>
      </c>
      <c r="AA50" s="6058">
        <f>'[15]Sierra Leone'!AB$20+'[15]Sierra Leone'!AB$21</f>
        <v>203372</v>
      </c>
      <c r="AB50" s="6057">
        <f>'[15]Sierra Leone'!AB$22</f>
        <v>4720228.7007609168</v>
      </c>
      <c r="AC50" s="6057">
        <f t="shared" si="8"/>
        <v>4516856.7007609168</v>
      </c>
      <c r="AD50" s="6057">
        <f>'[15]Sierra Leone'!AB$17</f>
        <v>3097508</v>
      </c>
      <c r="AE50" s="6057">
        <f>AD50-AA50</f>
        <v>2894136</v>
      </c>
      <c r="AG50" s="6057"/>
      <c r="AH50" s="6057"/>
      <c r="AI50" s="6057"/>
      <c r="AJ50" s="6059"/>
      <c r="AK50" s="6057"/>
      <c r="AL50" s="6057"/>
      <c r="AM50" s="6059"/>
      <c r="AN50" s="6057"/>
      <c r="AO50" s="6057"/>
      <c r="AP50" s="6057"/>
      <c r="AQ50" s="6057"/>
      <c r="AR50" s="6057"/>
      <c r="AS50" s="6059"/>
      <c r="AT50" s="6057"/>
      <c r="AU50" s="6057"/>
      <c r="AV50" s="6059"/>
      <c r="AW50" s="6057"/>
      <c r="AX50" s="6057"/>
      <c r="AY50" s="6057"/>
      <c r="AZ50" s="6057"/>
      <c r="BA50" s="6057"/>
      <c r="BB50" s="6057"/>
      <c r="BC50" s="6057"/>
      <c r="BD50" s="6057"/>
      <c r="BE50" s="6057"/>
      <c r="BF50" s="6057"/>
      <c r="BG50" s="6057"/>
      <c r="BH50" s="6057"/>
      <c r="BI50" s="6057"/>
      <c r="BJ50" s="6057"/>
      <c r="BK50" s="6057"/>
      <c r="BL50" s="6057"/>
      <c r="BM50" s="6057"/>
      <c r="BN50" s="6057"/>
      <c r="BO50" s="6057"/>
      <c r="BP50" s="6057"/>
      <c r="BQ50" s="6057"/>
      <c r="BR50" s="6057"/>
      <c r="BS50" s="6057"/>
    </row>
    <row r="51" spans="2:71" x14ac:dyDescent="0.3">
      <c r="B51" s="6045" t="s">
        <v>67</v>
      </c>
      <c r="D51" s="6057">
        <f>'[15]South Sudan'!AL$87</f>
        <v>1862</v>
      </c>
      <c r="E51" s="6057">
        <f>'[15]South Sudan'!AL$89</f>
        <v>1862</v>
      </c>
      <c r="F51" s="6057">
        <f>D51-E51</f>
        <v>0</v>
      </c>
      <c r="G51" s="6058">
        <f>'[15]South Sudan'!AL$21+'[15]South Sudan'!AL$22</f>
        <v>702</v>
      </c>
      <c r="H51" s="6057">
        <f>'[15]South Sudan'!AL$23</f>
        <v>46277</v>
      </c>
      <c r="I51" s="6057">
        <f t="shared" si="0"/>
        <v>45575</v>
      </c>
      <c r="J51" s="6057">
        <f>'[15]South Sudan'!AL$17</f>
        <v>39757</v>
      </c>
      <c r="K51" s="6057">
        <f>J51-G51</f>
        <v>39055</v>
      </c>
      <c r="M51" s="6059"/>
      <c r="N51" s="6057">
        <f>'[15]South Sudan'!AH$87</f>
        <v>960000000</v>
      </c>
      <c r="O51" s="6057">
        <f>'[15]South Sudan'!AH$89</f>
        <v>960000000</v>
      </c>
      <c r="P51" s="6057">
        <f>N51-O51</f>
        <v>0</v>
      </c>
      <c r="Q51" s="6058">
        <f>'[15]South Sudan'!AH$21+'[15]South Sudan'!AH$22</f>
        <v>4000000</v>
      </c>
      <c r="R51" s="6057">
        <f>'[15]South Sudan'!AH$23</f>
        <v>32840000000</v>
      </c>
      <c r="S51" s="6057">
        <f t="shared" si="9"/>
        <v>32836000000</v>
      </c>
      <c r="T51" s="6057">
        <f>'[15]South Sudan'!AH$17</f>
        <v>30293000000</v>
      </c>
      <c r="U51" s="6057">
        <f>T51-Q51</f>
        <v>30289000000</v>
      </c>
      <c r="W51" s="6059"/>
      <c r="X51" s="6057">
        <f>'[15]South Sudan'!Y$87</f>
        <v>667619908</v>
      </c>
      <c r="Y51" s="6057">
        <f>'[15]South Sudan'!Y$89</f>
        <v>667619908</v>
      </c>
      <c r="Z51" s="6057">
        <f>X51-Y51</f>
        <v>0</v>
      </c>
      <c r="AA51" s="6058">
        <f>'[15]South Sudan'!Y$21+'[15]South Sudan'!Y$22</f>
        <v>43000000</v>
      </c>
      <c r="AB51" s="6057">
        <f>'[15]South Sudan'!Y$23</f>
        <v>17527000000</v>
      </c>
      <c r="AC51" s="6057">
        <f t="shared" si="8"/>
        <v>17484000000</v>
      </c>
      <c r="AD51" s="6057">
        <f>'[15]South Sudan'!Y$17</f>
        <v>14727000000</v>
      </c>
      <c r="AE51" s="6057">
        <f>AD51-AA51</f>
        <v>14684000000</v>
      </c>
      <c r="AG51" s="6057"/>
      <c r="AH51" s="6057"/>
      <c r="AI51" s="6057"/>
      <c r="AJ51" s="6059"/>
      <c r="AK51" s="6057"/>
      <c r="AL51" s="6057"/>
      <c r="AM51" s="6059"/>
      <c r="AN51" s="6057"/>
      <c r="AO51" s="6057"/>
      <c r="AP51" s="6057"/>
      <c r="AQ51" s="6057"/>
      <c r="AR51" s="6057"/>
      <c r="AS51" s="6059"/>
      <c r="AT51" s="6057"/>
      <c r="AU51" s="6057"/>
      <c r="AV51" s="6059"/>
      <c r="AW51" s="6057"/>
      <c r="AX51" s="6057"/>
      <c r="AY51" s="6057"/>
      <c r="AZ51" s="6057"/>
      <c r="BA51" s="6057"/>
      <c r="BB51" s="6057"/>
      <c r="BC51" s="6057"/>
      <c r="BD51" s="6057"/>
      <c r="BE51" s="6057"/>
      <c r="BF51" s="6057"/>
      <c r="BG51" s="6057"/>
      <c r="BH51" s="6057"/>
      <c r="BI51" s="6057"/>
      <c r="BJ51" s="6057"/>
      <c r="BK51" s="6057"/>
      <c r="BL51" s="6057"/>
      <c r="BM51" s="6057"/>
      <c r="BN51" s="6057"/>
      <c r="BO51" s="6057"/>
      <c r="BP51" s="6057"/>
      <c r="BQ51" s="6057"/>
      <c r="BR51" s="6057"/>
      <c r="BS51" s="6057"/>
    </row>
    <row r="52" spans="2:71" s="6065" customFormat="1" x14ac:dyDescent="0.3">
      <c r="B52" s="6065" t="s">
        <v>68</v>
      </c>
      <c r="D52" s="6066">
        <f>'[15]Tanzania Mainland'!AN$97</f>
        <v>4392.7146081370001</v>
      </c>
      <c r="E52" s="6060"/>
      <c r="F52" s="6060"/>
      <c r="G52" s="6067">
        <f>'[15]Tanzania Mainland'!AN$27+'[15]Tanzania Mainland'!AN$28</f>
        <v>9532.7936555399992</v>
      </c>
      <c r="H52" s="6066">
        <f>'[15]Tanzania Mainland'!AN$29</f>
        <v>25321.674513298</v>
      </c>
      <c r="I52" s="6066">
        <f t="shared" si="0"/>
        <v>15788.880857758</v>
      </c>
      <c r="J52" s="6060"/>
      <c r="K52" s="6060"/>
      <c r="M52" s="6066"/>
      <c r="N52" s="6066">
        <f>'[15]Tanzania Mainland'!AG$97</f>
        <v>4801.0482469999997</v>
      </c>
      <c r="O52" s="6060"/>
      <c r="P52" s="6060"/>
      <c r="Q52" s="6067">
        <f>'[15]Tanzania Mainland'!AG$27+'[15]Tanzania Mainland'!AG$28</f>
        <v>8009.341187</v>
      </c>
      <c r="R52" s="6066">
        <f>'[15]Tanzania Mainland'!AG$29</f>
        <v>29539.603197</v>
      </c>
      <c r="S52" s="6066">
        <f t="shared" si="9"/>
        <v>21530.262009999999</v>
      </c>
      <c r="T52" s="6060"/>
      <c r="U52" s="6060"/>
      <c r="V52" s="6065" t="s">
        <v>32</v>
      </c>
      <c r="W52" s="6066"/>
      <c r="X52" s="6066">
        <f>'[15]Tanzania Mainland'!X$97</f>
        <v>3910.4621764099998</v>
      </c>
      <c r="Y52" s="6060"/>
      <c r="Z52" s="6060"/>
      <c r="AA52" s="6067">
        <f>'[15]Tanzania Mainland'!X$27+'[15]Tanzania Mainland'!X$28</f>
        <v>6396.6019999999999</v>
      </c>
      <c r="AB52" s="6066">
        <f>'[15]Tanzania Mainland'!X$29</f>
        <v>22535.491999999998</v>
      </c>
      <c r="AC52" s="6066">
        <f t="shared" si="8"/>
        <v>16138.89</v>
      </c>
      <c r="AD52" s="6060"/>
      <c r="AE52" s="6060"/>
      <c r="AG52" s="6066"/>
      <c r="AH52" s="6066"/>
      <c r="AI52" s="6066"/>
      <c r="AJ52" s="6066"/>
      <c r="AK52" s="6066"/>
      <c r="AL52" s="6066"/>
      <c r="AM52" s="6066"/>
      <c r="AN52" s="6066"/>
      <c r="AO52" s="6066"/>
      <c r="AP52" s="6066"/>
      <c r="AQ52" s="6066"/>
      <c r="AR52" s="6066"/>
      <c r="AS52" s="6066"/>
      <c r="AT52" s="6066"/>
      <c r="AU52" s="6066"/>
      <c r="AV52" s="6066"/>
      <c r="AW52" s="6066"/>
      <c r="AX52" s="6066"/>
      <c r="AY52" s="6066"/>
      <c r="AZ52" s="6066"/>
      <c r="BA52" s="6066"/>
      <c r="BB52" s="6066"/>
      <c r="BC52" s="6066"/>
      <c r="BD52" s="6066"/>
      <c r="BE52" s="6066"/>
      <c r="BF52" s="6066"/>
      <c r="BG52" s="6066"/>
      <c r="BH52" s="6066"/>
      <c r="BI52" s="6066"/>
      <c r="BJ52" s="6066"/>
      <c r="BK52" s="6066"/>
      <c r="BL52" s="6066"/>
      <c r="BM52" s="6066"/>
      <c r="BN52" s="6066"/>
      <c r="BO52" s="6066"/>
      <c r="BP52" s="6066"/>
      <c r="BQ52" s="6066"/>
      <c r="BR52" s="6066"/>
      <c r="BS52" s="6066"/>
    </row>
    <row r="53" spans="2:71" s="6065" customFormat="1" x14ac:dyDescent="0.3">
      <c r="B53" s="6065" t="s">
        <v>69</v>
      </c>
      <c r="D53" s="6066">
        <f>[15]Zanzibar!AL$95</f>
        <v>197290.17600000001</v>
      </c>
      <c r="E53" s="6066">
        <f>[15]Zanzibar!AL$97</f>
        <v>136812.20000000001</v>
      </c>
      <c r="F53" s="6066">
        <f>D53-E53</f>
        <v>60477.975999999995</v>
      </c>
      <c r="G53" s="6067">
        <f>[15]Zanzibar!AN$20+[15]Zanzibar!AN$21</f>
        <v>0</v>
      </c>
      <c r="H53" s="6066">
        <f>[15]Zanzibar!AN$22</f>
        <v>876392.1662352843</v>
      </c>
      <c r="I53" s="6066">
        <f t="shared" si="0"/>
        <v>876392.1662352843</v>
      </c>
      <c r="J53" s="6066">
        <f>[15]Zanzibar!AN$17</f>
        <v>590800</v>
      </c>
      <c r="K53" s="6066">
        <f>I53-J53</f>
        <v>285592.1662352843</v>
      </c>
      <c r="M53" s="6066"/>
      <c r="N53" s="6066">
        <f>[15]Zanzibar!AH$95</f>
        <v>98289.334077527354</v>
      </c>
      <c r="O53" s="6066">
        <f>[15]Zanzibar!AH$97</f>
        <v>82259.867285788336</v>
      </c>
      <c r="P53" s="6066">
        <f>N53-O53</f>
        <v>16029.466791739018</v>
      </c>
      <c r="Q53" s="6067">
        <f>[15]Zanzibar!AH$20+[15]Zanzibar!AH$21</f>
        <v>0</v>
      </c>
      <c r="R53" s="6066">
        <f>[15]Zanzibar!AH$22</f>
        <v>687200</v>
      </c>
      <c r="S53" s="6066">
        <f t="shared" si="9"/>
        <v>687200</v>
      </c>
      <c r="T53" s="6066">
        <f>[15]Zanzibar!AH$17</f>
        <v>470200</v>
      </c>
      <c r="U53" s="6066">
        <f>S53-T53</f>
        <v>217000</v>
      </c>
      <c r="W53" s="6066"/>
      <c r="X53" s="6066">
        <f>[15]Zanzibar!Y$95</f>
        <v>93143.544000000009</v>
      </c>
      <c r="Y53" s="6066">
        <f>[15]Zanzibar!Y$97</f>
        <v>85676.469818181824</v>
      </c>
      <c r="Z53" s="6066">
        <f>X53-Y53</f>
        <v>7467.074181818185</v>
      </c>
      <c r="AA53" s="6067">
        <f>[15]Zanzibar!Y$20+[15]Zanzibar!Y$21</f>
        <v>0</v>
      </c>
      <c r="AB53" s="6066">
        <f>[15]Zanzibar!Y$22</f>
        <v>601541.2950946379</v>
      </c>
      <c r="AC53" s="6066">
        <f t="shared" si="8"/>
        <v>601541.2950946379</v>
      </c>
      <c r="AD53" s="6066">
        <f>[15]Zanzibar!Y$17</f>
        <v>393473.46613545821</v>
      </c>
      <c r="AE53" s="6066">
        <f>AC53-AD53</f>
        <v>208067.82895917969</v>
      </c>
      <c r="AG53" s="6066"/>
      <c r="AH53" s="6066"/>
      <c r="AI53" s="6066"/>
      <c r="AJ53" s="6066"/>
      <c r="AK53" s="6066"/>
      <c r="AL53" s="6066"/>
      <c r="AM53" s="6066"/>
      <c r="AN53" s="6066"/>
      <c r="AO53" s="6066"/>
      <c r="AP53" s="6066"/>
      <c r="AQ53" s="6066"/>
      <c r="AR53" s="6066"/>
      <c r="AS53" s="6066"/>
      <c r="AT53" s="6066"/>
      <c r="AU53" s="6066"/>
      <c r="AV53" s="6066"/>
      <c r="AW53" s="6066"/>
      <c r="AX53" s="6066"/>
      <c r="AY53" s="6066"/>
      <c r="AZ53" s="6066"/>
      <c r="BA53" s="6066"/>
      <c r="BB53" s="6066"/>
      <c r="BC53" s="6066"/>
      <c r="BD53" s="6066"/>
      <c r="BE53" s="6066"/>
      <c r="BF53" s="6066"/>
      <c r="BG53" s="6066"/>
      <c r="BH53" s="6066"/>
      <c r="BI53" s="6066"/>
      <c r="BJ53" s="6066"/>
      <c r="BK53" s="6066"/>
      <c r="BL53" s="6066"/>
      <c r="BM53" s="6066"/>
      <c r="BN53" s="6066"/>
      <c r="BO53" s="6066"/>
      <c r="BP53" s="6066"/>
      <c r="BQ53" s="6066"/>
      <c r="BR53" s="6066"/>
      <c r="BS53" s="6066"/>
    </row>
    <row r="54" spans="2:71" x14ac:dyDescent="0.3">
      <c r="B54" s="6045" t="s">
        <v>70</v>
      </c>
      <c r="D54" s="6057">
        <f>'[15]Timor Leste'!AN$92</f>
        <v>106554.51196757826</v>
      </c>
      <c r="E54" s="6057">
        <f>'[15]Timor Leste'!AN$94</f>
        <v>105503.15196757826</v>
      </c>
      <c r="F54" s="6057">
        <f>D54-E54</f>
        <v>1051.3600000000006</v>
      </c>
      <c r="G54" s="6058">
        <f>'[15]Timor Leste'!AN$22+'[15]Timor Leste'!AN$23</f>
        <v>0</v>
      </c>
      <c r="H54" s="6057">
        <f>'[15]Timor Leste'!AN$24</f>
        <v>1159510.3130000001</v>
      </c>
      <c r="I54" s="6057">
        <f t="shared" si="0"/>
        <v>1159510.3130000001</v>
      </c>
      <c r="J54" s="6057">
        <f>'[15]Timor Leste'!AN$18</f>
        <v>862761.91300000006</v>
      </c>
      <c r="K54" s="6057">
        <f>J54-G54</f>
        <v>862761.91300000006</v>
      </c>
      <c r="M54" s="6059"/>
      <c r="N54" s="6057">
        <f>'[15]Timor Leste'!AH$92</f>
        <v>113650.60611062071</v>
      </c>
      <c r="O54" s="6057">
        <f>'[15]Timor Leste'!AH$94</f>
        <v>112546.99514062071</v>
      </c>
      <c r="P54" s="6057">
        <f>N54-O54</f>
        <v>1103.6109699999943</v>
      </c>
      <c r="Q54" s="6058">
        <f>'[15]Timor Leste'!AH$22+'[15]Timor Leste'!AH$23</f>
        <v>0</v>
      </c>
      <c r="R54" s="6057">
        <f>'[15]Timor Leste'!AH$24</f>
        <v>1184989.0659999999</v>
      </c>
      <c r="S54" s="6057">
        <f t="shared" si="9"/>
        <v>1184989.0659999999</v>
      </c>
      <c r="T54" s="6057">
        <f>'[15]Timor Leste'!AH$18</f>
        <v>944775.85800000001</v>
      </c>
      <c r="U54" s="6057">
        <f>T54-Q54</f>
        <v>944775.85800000001</v>
      </c>
      <c r="W54" s="6059"/>
      <c r="X54" s="6057">
        <f>'[15]Timor Leste'!Y$92</f>
        <v>133343.18601342628</v>
      </c>
      <c r="Y54" s="6057">
        <f>'[15]Timor Leste'!Y$94</f>
        <v>131221.19783342627</v>
      </c>
      <c r="Z54" s="6057">
        <f>X54-Y54</f>
        <v>2121.9881800000148</v>
      </c>
      <c r="AA54" s="6058">
        <f>'[15]Timor Leste'!Y$22+'[15]Timor Leste'!Y$23</f>
        <v>0</v>
      </c>
      <c r="AB54" s="6057">
        <f>'[15]Timor Leste'!Y$24</f>
        <v>1629934.8401000001</v>
      </c>
      <c r="AC54" s="6057">
        <f t="shared" si="8"/>
        <v>1629934.8401000001</v>
      </c>
      <c r="AD54" s="6057">
        <f>'[15]Timor Leste'!Y$18</f>
        <v>1048550.2528599999</v>
      </c>
      <c r="AE54" s="6057">
        <f>AD54-AA54</f>
        <v>1048550.2528599999</v>
      </c>
      <c r="AG54" s="6057"/>
      <c r="AH54" s="6057"/>
      <c r="AI54" s="6057"/>
      <c r="AJ54" s="6059"/>
      <c r="AK54" s="6057"/>
      <c r="AL54" s="6057"/>
      <c r="AM54" s="6059"/>
      <c r="AN54" s="6057"/>
      <c r="AO54" s="6057"/>
      <c r="AP54" s="6057"/>
      <c r="AQ54" s="6057"/>
      <c r="AR54" s="6057"/>
      <c r="AS54" s="6059"/>
      <c r="AT54" s="6057"/>
      <c r="AU54" s="6057"/>
      <c r="AV54" s="6059"/>
      <c r="AW54" s="6057"/>
      <c r="AX54" s="6057"/>
      <c r="AY54" s="6057"/>
      <c r="AZ54" s="6057"/>
      <c r="BA54" s="6057"/>
      <c r="BB54" s="6057"/>
      <c r="BC54" s="6057"/>
      <c r="BD54" s="6057"/>
      <c r="BE54" s="6057"/>
      <c r="BF54" s="6057"/>
      <c r="BG54" s="6057"/>
      <c r="BH54" s="6057"/>
      <c r="BI54" s="6057"/>
      <c r="BJ54" s="6057"/>
      <c r="BK54" s="6057"/>
      <c r="BL54" s="6057"/>
      <c r="BM54" s="6057"/>
      <c r="BN54" s="6057"/>
      <c r="BO54" s="6057"/>
      <c r="BP54" s="6057"/>
      <c r="BQ54" s="6057"/>
      <c r="BR54" s="6057"/>
      <c r="BS54" s="6057"/>
    </row>
    <row r="55" spans="2:71" x14ac:dyDescent="0.3">
      <c r="B55" s="6045" t="s">
        <v>71</v>
      </c>
      <c r="D55" s="6057">
        <f>[15]Togo!AL$92</f>
        <v>159753525000</v>
      </c>
      <c r="E55" s="6057">
        <f>[15]Togo!AL$94</f>
        <v>146152110000</v>
      </c>
      <c r="F55" s="6057">
        <f>D55-E55</f>
        <v>13601415000</v>
      </c>
      <c r="G55" s="6058">
        <f>[15]Togo!AL$20+[15]Togo!AL$19</f>
        <v>463990000000</v>
      </c>
      <c r="H55" s="6057">
        <f>[15]Togo!AL$21</f>
        <v>1318540000000</v>
      </c>
      <c r="I55" s="6057">
        <f t="shared" si="0"/>
        <v>854550000000</v>
      </c>
      <c r="J55" s="6075">
        <f>G55+K55</f>
        <v>905440000000</v>
      </c>
      <c r="K55" s="6075">
        <f>[15]Togo!AL$17</f>
        <v>441450000000</v>
      </c>
      <c r="M55" s="6059"/>
      <c r="N55" s="6057">
        <f>[15]Togo!AE$92</f>
        <v>137758254674.19998</v>
      </c>
      <c r="O55" s="6057">
        <f>[15]Togo!AE$94</f>
        <v>135593063793.93375</v>
      </c>
      <c r="P55" s="6057">
        <f>N55-O55</f>
        <v>2165190880.2662354</v>
      </c>
      <c r="Q55" s="6058">
        <f>[15]Togo!AE$20+[15]Togo!AE$19</f>
        <v>543897891444.04211</v>
      </c>
      <c r="R55" s="6057">
        <f>[15]Togo!AE$21</f>
        <v>1414779018838.4436</v>
      </c>
      <c r="S55" s="6057">
        <f t="shared" si="9"/>
        <v>870881127394.40149</v>
      </c>
      <c r="T55" s="6075">
        <f>Q55+U55</f>
        <v>1102027583356.0247</v>
      </c>
      <c r="U55" s="6075">
        <f>[15]Togo!AE$17</f>
        <v>558129691911.98254</v>
      </c>
      <c r="W55" s="6059"/>
      <c r="X55" s="6057">
        <f>[15]Togo!Y$92</f>
        <v>128172002428.87967</v>
      </c>
      <c r="Y55" s="6057">
        <f>[15]Togo!Y$94</f>
        <v>126012735757.12326</v>
      </c>
      <c r="Z55" s="6057">
        <f>X55-Y55</f>
        <v>2159266671.7564087</v>
      </c>
      <c r="AA55" s="6058">
        <f>[15]Togo!Y$20+[15]Togo!Y$19</f>
        <v>305356316425.52527</v>
      </c>
      <c r="AB55" s="6057">
        <f>[15]Togo!Y$21</f>
        <v>1155186316425.5251</v>
      </c>
      <c r="AC55" s="6057">
        <f t="shared" si="8"/>
        <v>849829999999.99988</v>
      </c>
      <c r="AD55" s="6075">
        <f>AA55+AE55</f>
        <v>822806316425.52539</v>
      </c>
      <c r="AE55" s="6075">
        <f>[15]Togo!Y$17</f>
        <v>517450000000.00006</v>
      </c>
      <c r="AG55" s="6057"/>
      <c r="AH55" s="6057"/>
      <c r="AI55" s="6057"/>
      <c r="AJ55" s="6059"/>
      <c r="AK55" s="6057"/>
      <c r="AL55" s="6057"/>
      <c r="AM55" s="6059"/>
      <c r="AN55" s="6057"/>
      <c r="AO55" s="6057"/>
      <c r="AP55" s="6057"/>
      <c r="AQ55" s="6057"/>
      <c r="AR55" s="6057"/>
      <c r="AS55" s="6059"/>
      <c r="AT55" s="6057"/>
      <c r="AU55" s="6057"/>
      <c r="AV55" s="6059"/>
      <c r="AW55" s="6057"/>
      <c r="AX55" s="6057"/>
      <c r="AY55" s="6057"/>
      <c r="AZ55" s="6057"/>
      <c r="BA55" s="6057"/>
      <c r="BB55" s="6057"/>
      <c r="BC55" s="6057"/>
      <c r="BD55" s="6057"/>
      <c r="BE55" s="6057"/>
      <c r="BF55" s="6057"/>
      <c r="BG55" s="6057"/>
      <c r="BH55" s="6057"/>
      <c r="BI55" s="6057"/>
      <c r="BJ55" s="6057"/>
      <c r="BK55" s="6057"/>
      <c r="BL55" s="6057"/>
      <c r="BM55" s="6057"/>
      <c r="BN55" s="6057"/>
      <c r="BO55" s="6057"/>
      <c r="BP55" s="6057"/>
      <c r="BQ55" s="6057"/>
      <c r="BR55" s="6057"/>
      <c r="BS55" s="6057"/>
    </row>
    <row r="56" spans="2:71" x14ac:dyDescent="0.3">
      <c r="B56" s="6045" t="s">
        <v>72</v>
      </c>
      <c r="D56" s="6057">
        <f>[15]Uganda!AJ$164</f>
        <v>2312.1847111898978</v>
      </c>
      <c r="E56" s="6057">
        <f>[15]Uganda!AJ$166</f>
        <v>1965.4037111898979</v>
      </c>
      <c r="F56" s="6057">
        <f>D56-E56</f>
        <v>346.78099999999995</v>
      </c>
      <c r="G56" s="6058">
        <f>[15]Uganda!AJ$21+[15]Uganda!AJ$22</f>
        <v>3945.6</v>
      </c>
      <c r="H56" s="6057">
        <f>[15]Uganda!AJ$23</f>
        <v>20167.2</v>
      </c>
      <c r="I56" s="6057">
        <f t="shared" si="0"/>
        <v>16221.6</v>
      </c>
      <c r="J56" s="6057">
        <f>[15]Uganda!AJ$17</f>
        <v>8655.5</v>
      </c>
      <c r="K56" s="6057">
        <f>J56-G56</f>
        <v>4709.8999999999996</v>
      </c>
      <c r="M56" s="6059"/>
      <c r="N56" s="6057">
        <f>[15]Uganda!AE$164</f>
        <v>2266000416473.623</v>
      </c>
      <c r="O56" s="6057">
        <f>[15]Uganda!AE$166</f>
        <v>1902766416473.6228</v>
      </c>
      <c r="P56" s="6057">
        <f>N56-O56</f>
        <v>363234000000.00024</v>
      </c>
      <c r="Q56" s="6058">
        <f>[15]Uganda!AE$21+[15]Uganda!AE$22</f>
        <v>3049000000000</v>
      </c>
      <c r="R56" s="6057">
        <f>[15]Uganda!AE$23</f>
        <v>17401000000000</v>
      </c>
      <c r="S56" s="6057">
        <f t="shared" si="9"/>
        <v>14352000000000</v>
      </c>
      <c r="T56" s="6057">
        <f>[15]Uganda!AE$17</f>
        <v>7634000000000</v>
      </c>
      <c r="U56" s="6057">
        <f>T56-Q56</f>
        <v>4585000000000</v>
      </c>
      <c r="W56" s="6059"/>
      <c r="X56" s="6057">
        <f>[15]Uganda!Y$164</f>
        <v>2021497334552.3054</v>
      </c>
      <c r="Y56" s="6057">
        <f>[15]Uganda!Y$166</f>
        <v>1766539334552.3054</v>
      </c>
      <c r="Z56" s="6057">
        <f>X56-Y56</f>
        <v>254958000000</v>
      </c>
      <c r="AA56" s="6058">
        <f>[15]Uganda!Y$21+[15]Uganda!Y$22</f>
        <v>3333000000000</v>
      </c>
      <c r="AB56" s="6057">
        <f>[15]Uganda!Y$23</f>
        <v>16727000000000</v>
      </c>
      <c r="AC56" s="6057">
        <f t="shared" si="8"/>
        <v>13394000000000</v>
      </c>
      <c r="AD56" s="6057">
        <f>[15]Uganda!Y$17</f>
        <v>7487000000000</v>
      </c>
      <c r="AE56" s="6057">
        <f>AD56-AA56</f>
        <v>4154000000000</v>
      </c>
      <c r="AG56" s="6057"/>
      <c r="AH56" s="6057"/>
      <c r="AI56" s="6057"/>
      <c r="AJ56" s="6059"/>
      <c r="AK56" s="6057"/>
      <c r="AL56" s="6057"/>
      <c r="AM56" s="6059"/>
      <c r="AN56" s="6057"/>
      <c r="AO56" s="6057"/>
      <c r="AP56" s="6057"/>
      <c r="AQ56" s="6057"/>
      <c r="AR56" s="6057"/>
      <c r="AS56" s="6059"/>
      <c r="AT56" s="6057"/>
      <c r="AU56" s="6057"/>
      <c r="AV56" s="6059"/>
      <c r="AW56" s="6057"/>
      <c r="AX56" s="6057"/>
      <c r="AY56" s="6057"/>
      <c r="AZ56" s="6057"/>
      <c r="BA56" s="6057"/>
      <c r="BB56" s="6057"/>
      <c r="BC56" s="6057"/>
      <c r="BD56" s="6057"/>
      <c r="BE56" s="6057"/>
      <c r="BF56" s="6057"/>
      <c r="BG56" s="6057"/>
      <c r="BH56" s="6057"/>
      <c r="BI56" s="6057"/>
      <c r="BJ56" s="6057"/>
      <c r="BK56" s="6057"/>
      <c r="BL56" s="6057"/>
      <c r="BM56" s="6057"/>
      <c r="BN56" s="6057"/>
      <c r="BO56" s="6057"/>
      <c r="BP56" s="6057"/>
      <c r="BQ56" s="6057"/>
      <c r="BR56" s="6057"/>
      <c r="BS56" s="6057"/>
    </row>
    <row r="57" spans="2:71" x14ac:dyDescent="0.3">
      <c r="B57" s="6076" t="s">
        <v>73</v>
      </c>
      <c r="D57" s="6057">
        <f>'[15]Viet Nam'!O$96</f>
        <v>230974</v>
      </c>
      <c r="E57" s="6060"/>
      <c r="F57" s="6060"/>
      <c r="G57" s="6058">
        <f>'[15]Viet Nam'!O$19</f>
        <v>153744</v>
      </c>
      <c r="H57" s="6057">
        <f>'[15]Viet Nam'!O$20</f>
        <v>1676944</v>
      </c>
      <c r="I57" s="6057">
        <f t="shared" si="0"/>
        <v>1523200</v>
      </c>
      <c r="J57" s="6057">
        <f>'[15]Viet Nam'!O$17</f>
        <v>1104835</v>
      </c>
      <c r="K57" s="6057">
        <f>J57-G57</f>
        <v>951091</v>
      </c>
      <c r="M57" s="6059"/>
      <c r="N57" s="6057">
        <f>'[15]Viet Nam'!Y$96</f>
        <v>0</v>
      </c>
      <c r="O57" s="6060"/>
      <c r="P57" s="6060"/>
      <c r="Q57" s="6058">
        <f>'[15]Viet Nam'!Y$19</f>
        <v>0</v>
      </c>
      <c r="R57" s="6057">
        <f>'[15]Viet Nam'!Y$20</f>
        <v>0</v>
      </c>
      <c r="S57" s="6057">
        <f t="shared" si="9"/>
        <v>0</v>
      </c>
      <c r="T57" s="6057">
        <f>'[15]Viet Nam'!Y$17</f>
        <v>0</v>
      </c>
      <c r="U57" s="6057">
        <f>T57-Q57</f>
        <v>0</v>
      </c>
      <c r="W57" s="6059"/>
      <c r="X57" s="6057">
        <f>'[15]Viet Nam'!AI$96</f>
        <v>0</v>
      </c>
      <c r="Y57" s="6060"/>
      <c r="Z57" s="6060"/>
      <c r="AA57" s="6058">
        <f>'[15]Viet Nam'!AI$19</f>
        <v>0</v>
      </c>
      <c r="AB57" s="6057">
        <f>'[15]Viet Nam'!AI$20</f>
        <v>0</v>
      </c>
      <c r="AC57" s="6057">
        <f t="shared" si="8"/>
        <v>0</v>
      </c>
      <c r="AD57" s="6057">
        <f>'[15]Viet Nam'!AI$17</f>
        <v>0</v>
      </c>
      <c r="AE57" s="6057">
        <f>AD57-AA57</f>
        <v>0</v>
      </c>
      <c r="AG57" s="6057"/>
      <c r="AH57" s="6057"/>
      <c r="AI57" s="6057"/>
      <c r="AJ57" s="6059"/>
      <c r="AK57" s="6057"/>
      <c r="AL57" s="6057"/>
      <c r="AM57" s="6059"/>
      <c r="AN57" s="6057"/>
      <c r="AO57" s="6057"/>
      <c r="AP57" s="6057"/>
      <c r="AQ57" s="6057"/>
      <c r="AR57" s="6057"/>
      <c r="AS57" s="6059"/>
      <c r="AT57" s="6057"/>
      <c r="AU57" s="6057"/>
      <c r="AV57" s="6059"/>
      <c r="AW57" s="6057"/>
      <c r="AX57" s="6057"/>
      <c r="AY57" s="6057"/>
      <c r="AZ57" s="6057"/>
      <c r="BA57" s="6057"/>
      <c r="BB57" s="6057"/>
      <c r="BC57" s="6057"/>
      <c r="BD57" s="6057"/>
      <c r="BE57" s="6057"/>
      <c r="BF57" s="6057"/>
      <c r="BG57" s="6057"/>
      <c r="BH57" s="6057"/>
      <c r="BI57" s="6057"/>
      <c r="BJ57" s="6057"/>
      <c r="BK57" s="6057"/>
      <c r="BL57" s="6057"/>
      <c r="BM57" s="6057"/>
      <c r="BN57" s="6057"/>
      <c r="BO57" s="6057"/>
      <c r="BP57" s="6057"/>
      <c r="BQ57" s="6057"/>
      <c r="BR57" s="6057"/>
      <c r="BS57" s="6057"/>
    </row>
    <row r="58" spans="2:71" x14ac:dyDescent="0.3">
      <c r="B58" s="6076" t="s">
        <v>74</v>
      </c>
      <c r="D58" s="6057">
        <f>[15]Zambia!BA$151</f>
        <v>13042579740.236023</v>
      </c>
      <c r="E58" s="6060"/>
      <c r="F58" s="6060"/>
      <c r="G58" s="6058">
        <f>[15]Zambia!BA$21+[15]Zambia!BA$22</f>
        <v>10923277000</v>
      </c>
      <c r="H58" s="6057">
        <f>[15]Zambia!BA$23</f>
        <v>66653082000</v>
      </c>
      <c r="I58" s="6057">
        <f t="shared" si="0"/>
        <v>55729805000</v>
      </c>
      <c r="J58" s="6060"/>
      <c r="K58" s="6060"/>
      <c r="M58" s="6059"/>
      <c r="N58" s="6057">
        <f>[15]Zambia!AV$151</f>
        <v>11240523485.33288</v>
      </c>
      <c r="O58" s="6060"/>
      <c r="P58" s="6060"/>
      <c r="Q58" s="6058">
        <f>[15]Zambia!AV$21+[15]Zambia!AV$22</f>
        <v>8407567000</v>
      </c>
      <c r="R58" s="6057">
        <f>[15]Zambia!AV$23</f>
        <v>61616302000</v>
      </c>
      <c r="S58" s="6057">
        <f t="shared" si="9"/>
        <v>53208735000</v>
      </c>
      <c r="T58" s="6060"/>
      <c r="U58" s="6060"/>
      <c r="W58" s="6059"/>
      <c r="X58" s="6057">
        <f>[15]Zambia!AL$151</f>
        <v>9412183944.7361259</v>
      </c>
      <c r="Y58" s="6060"/>
      <c r="Z58" s="6060"/>
      <c r="AA58" s="6058">
        <f>[15]Zambia!AL$21+[15]Zambia!AL$22</f>
        <v>7164825847</v>
      </c>
      <c r="AB58" s="6057">
        <f>[15]Zambia!AL$23</f>
        <v>53135825364</v>
      </c>
      <c r="AC58" s="6057">
        <f t="shared" si="8"/>
        <v>45970999517</v>
      </c>
      <c r="AD58" s="6060"/>
      <c r="AE58" s="6060"/>
      <c r="AG58" s="6057"/>
      <c r="AH58" s="6057"/>
      <c r="AI58" s="6057"/>
      <c r="AJ58" s="6059"/>
      <c r="AK58" s="6057"/>
      <c r="AL58" s="6057"/>
      <c r="AM58" s="6059"/>
      <c r="AN58" s="6057"/>
      <c r="AO58" s="6057"/>
      <c r="AP58" s="6057"/>
      <c r="AQ58" s="6057"/>
      <c r="AR58" s="6057"/>
      <c r="AS58" s="6059"/>
      <c r="AT58" s="6057"/>
      <c r="AU58" s="6057"/>
      <c r="AV58" s="6059"/>
      <c r="AW58" s="6057"/>
      <c r="AX58" s="6057"/>
      <c r="AY58" s="6057"/>
      <c r="AZ58" s="6057"/>
      <c r="BA58" s="6057"/>
      <c r="BB58" s="6057"/>
      <c r="BC58" s="6057"/>
      <c r="BD58" s="6057"/>
      <c r="BE58" s="6057"/>
      <c r="BF58" s="6057"/>
      <c r="BG58" s="6057"/>
      <c r="BH58" s="6057"/>
      <c r="BI58" s="6057"/>
      <c r="BJ58" s="6057"/>
      <c r="BK58" s="6057"/>
      <c r="BL58" s="6057"/>
      <c r="BM58" s="6057"/>
      <c r="BN58" s="6057"/>
      <c r="BO58" s="6057"/>
      <c r="BP58" s="6057"/>
      <c r="BQ58" s="6057"/>
      <c r="BR58" s="6057"/>
      <c r="BS58" s="6057"/>
    </row>
    <row r="59" spans="2:71" x14ac:dyDescent="0.3">
      <c r="B59" s="6045" t="s">
        <v>75</v>
      </c>
      <c r="D59" s="6057">
        <f>[15]Zimbabwe!AO$95</f>
        <v>1427416920.9998629</v>
      </c>
      <c r="E59" s="6057">
        <f>[15]Zimbabwe!AO$97</f>
        <v>1391545171.6665294</v>
      </c>
      <c r="F59" s="6057">
        <f>D59-E59</f>
        <v>35871749.333333492</v>
      </c>
      <c r="G59" s="6058">
        <f>[15]Zimbabwe!AO$20+[15]Zimbabwe!AO$21</f>
        <v>1915704647.1244445</v>
      </c>
      <c r="H59" s="6057">
        <f>[15]Zimbabwe!AO$22</f>
        <v>8004903504.7749424</v>
      </c>
      <c r="I59" s="6057">
        <f t="shared" si="0"/>
        <v>6089198857.6504974</v>
      </c>
      <c r="J59" s="6057">
        <f>[15]Zimbabwe!AO$17</f>
        <v>6089198857.6504984</v>
      </c>
      <c r="K59" s="6057">
        <f>J59-G59</f>
        <v>4173494210.5260539</v>
      </c>
      <c r="M59" s="6059"/>
      <c r="N59" s="6057">
        <f>[15]Zimbabwe!AI$95</f>
        <v>1282510646.0913205</v>
      </c>
      <c r="O59" s="6057">
        <f>[15]Zimbabwe!AI$97</f>
        <v>1274720728.7579873</v>
      </c>
      <c r="P59" s="6057">
        <f>N59-O59</f>
        <v>7789917.3333332539</v>
      </c>
      <c r="Q59" s="6058">
        <f>[15]Zimbabwe!AI$20+[15]Zimbabwe!AY$21</f>
        <v>193360264</v>
      </c>
      <c r="R59" s="6057">
        <f>[15]Zimbabwe!AI$22</f>
        <v>7046299086.666667</v>
      </c>
      <c r="S59" s="6057">
        <f t="shared" si="9"/>
        <v>6852938822.666667</v>
      </c>
      <c r="T59" s="6057">
        <f>[15]Zimbabwe!AI$17</f>
        <v>6001469732</v>
      </c>
      <c r="U59" s="6057">
        <f>T59-Q59</f>
        <v>5808109468</v>
      </c>
      <c r="W59" s="6059"/>
      <c r="X59" s="6057">
        <f>[15]Zimbabwe!Z$95</f>
        <v>1278057352.3101127</v>
      </c>
      <c r="Y59" s="6057">
        <f>[15]Zimbabwe!Z$97</f>
        <v>1278057352.310113</v>
      </c>
      <c r="Z59" s="6057">
        <f>X59-Y59</f>
        <v>0</v>
      </c>
      <c r="AA59" s="6058">
        <f>[15]Zimbabwe!Z$20+[15]Zimbabwe!Z$21</f>
        <v>120200000</v>
      </c>
      <c r="AB59" s="6057">
        <f>[15]Zimbabwe!Z$22</f>
        <v>4902200000</v>
      </c>
      <c r="AC59" s="6057">
        <f t="shared" si="8"/>
        <v>4782000000</v>
      </c>
      <c r="AD59" s="6057">
        <f>[15]Zimbabwe!Z$17</f>
        <v>3814600000</v>
      </c>
      <c r="AE59" s="6057">
        <f>AD59-AA59</f>
        <v>3694400000</v>
      </c>
      <c r="AG59" s="6057"/>
      <c r="AH59" s="6057"/>
      <c r="AI59" s="6057"/>
      <c r="AJ59" s="6059"/>
      <c r="AK59" s="6057"/>
      <c r="AL59" s="6057"/>
      <c r="AM59" s="6059"/>
      <c r="AN59" s="6057"/>
      <c r="AO59" s="6057"/>
      <c r="AP59" s="6057"/>
      <c r="AQ59" s="6057"/>
      <c r="AR59" s="6057"/>
      <c r="AS59" s="6059"/>
      <c r="AT59" s="6057"/>
      <c r="AU59" s="6057"/>
      <c r="AV59" s="6059"/>
      <c r="AW59" s="6057"/>
      <c r="AX59" s="6057"/>
      <c r="AY59" s="6057"/>
      <c r="AZ59" s="6057"/>
      <c r="BA59" s="6057"/>
      <c r="BB59" s="6057"/>
      <c r="BC59" s="6057"/>
      <c r="BD59" s="6057"/>
      <c r="BE59" s="6057"/>
      <c r="BF59" s="6057"/>
      <c r="BG59" s="6057"/>
      <c r="BH59" s="6057"/>
      <c r="BI59" s="6057"/>
      <c r="BJ59" s="6057"/>
      <c r="BK59" s="6057"/>
      <c r="BL59" s="6057"/>
      <c r="BM59" s="6057"/>
      <c r="BN59" s="6057"/>
      <c r="BO59" s="6057"/>
      <c r="BP59" s="6057"/>
      <c r="BQ59" s="6057"/>
      <c r="BR59" s="6057"/>
      <c r="BS59" s="6057"/>
    </row>
  </sheetData>
  <mergeCells count="18">
    <mergeCell ref="D7:AC7"/>
    <mergeCell ref="AH7:AO7"/>
    <mergeCell ref="AQ7:AX7"/>
    <mergeCell ref="D8:I8"/>
    <mergeCell ref="N8:S8"/>
    <mergeCell ref="X8:AC8"/>
    <mergeCell ref="AH8:AI8"/>
    <mergeCell ref="AK8:AL8"/>
    <mergeCell ref="AN8:AO8"/>
    <mergeCell ref="AQ8:AR8"/>
    <mergeCell ref="AT8:AU8"/>
    <mergeCell ref="AW8:AX8"/>
    <mergeCell ref="AA9:AE9"/>
    <mergeCell ref="D9:F9"/>
    <mergeCell ref="G9:K9"/>
    <mergeCell ref="N9:P9"/>
    <mergeCell ref="Q9:U9"/>
    <mergeCell ref="X9:Z9"/>
  </mergeCells>
  <conditionalFormatting sqref="M17:S17 G18:H18 M18 W18 AG18:AO18 D17:F18 D19:G19 D20:H22 E26 D23:G24 I19:M23 V19:W24 G25:I25 H26:I26 W26 E27:I27 G28 I28 E28:E30 G29:I29 G30 I30 V27:W30 D31:G31 S32 Y32:AC32 E33 M31:S31 M33:M35 G34:G35 D34:E36 G36:H36 D37:H37 D38:E38 G38:H38 L36:M39 P38 D39:G39 L40:O40 Q40:R40 L41:M42 D40:H43 L43:O43 D14:S16 D12:I13 K12:S13 J17:J18 L28:M28 K29:M30 K26:M27 K25:L25 H24:I24 K24:M24 D47:AO74 D46:I46 K46:S46 D44:S45 V31:AC31 V12:AC17 AF12:AO17 V44:AC46 AF19:AO46 V32:W43">
    <cfRule type="cellIs" dxfId="471" priority="139" operator="equal">
      <formula>"""0"""</formula>
    </cfRule>
  </conditionalFormatting>
  <conditionalFormatting sqref="G17:I17 I18 K17:L18">
    <cfRule type="cellIs" dxfId="470" priority="138" operator="equal">
      <formula>"""0"""</formula>
    </cfRule>
  </conditionalFormatting>
  <conditionalFormatting sqref="N18:R18">
    <cfRule type="cellIs" dxfId="469" priority="137" operator="equal">
      <formula>"""0"""</formula>
    </cfRule>
  </conditionalFormatting>
  <conditionalFormatting sqref="S18 V18">
    <cfRule type="cellIs" dxfId="468" priority="136" operator="equal">
      <formula>"""0"""</formula>
    </cfRule>
  </conditionalFormatting>
  <conditionalFormatting sqref="X18:AB18">
    <cfRule type="cellIs" dxfId="467" priority="135" operator="equal">
      <formula>"""0"""</formula>
    </cfRule>
  </conditionalFormatting>
  <conditionalFormatting sqref="AC18 AF18">
    <cfRule type="cellIs" dxfId="466" priority="134" operator="equal">
      <formula>"""0"""</formula>
    </cfRule>
  </conditionalFormatting>
  <conditionalFormatting sqref="N19:Q19">
    <cfRule type="cellIs" dxfId="465" priority="133" operator="equal">
      <formula>"""0"""</formula>
    </cfRule>
  </conditionalFormatting>
  <conditionalFormatting sqref="S19">
    <cfRule type="cellIs" dxfId="464" priority="132" operator="equal">
      <formula>"""0"""</formula>
    </cfRule>
  </conditionalFormatting>
  <conditionalFormatting sqref="X19:AA19">
    <cfRule type="cellIs" dxfId="463" priority="131" operator="equal">
      <formula>"""0"""</formula>
    </cfRule>
  </conditionalFormatting>
  <conditionalFormatting sqref="AC19">
    <cfRule type="cellIs" dxfId="462" priority="130" operator="equal">
      <formula>"""0"""</formula>
    </cfRule>
  </conditionalFormatting>
  <conditionalFormatting sqref="N20:R20 P21">
    <cfRule type="cellIs" dxfId="461" priority="129" operator="equal">
      <formula>"""0"""</formula>
    </cfRule>
  </conditionalFormatting>
  <conditionalFormatting sqref="S20">
    <cfRule type="cellIs" dxfId="460" priority="128" operator="equal">
      <formula>"""0"""</formula>
    </cfRule>
  </conditionalFormatting>
  <conditionalFormatting sqref="X20:AB20 Z22">
    <cfRule type="cellIs" dxfId="459" priority="127" operator="equal">
      <formula>"""0"""</formula>
    </cfRule>
  </conditionalFormatting>
  <conditionalFormatting sqref="AC20">
    <cfRule type="cellIs" dxfId="458" priority="126" operator="equal">
      <formula>"""0"""</formula>
    </cfRule>
  </conditionalFormatting>
  <conditionalFormatting sqref="N21:O21 Q21:R21">
    <cfRule type="cellIs" dxfId="457" priority="125" operator="equal">
      <formula>"""0"""</formula>
    </cfRule>
  </conditionalFormatting>
  <conditionalFormatting sqref="S21">
    <cfRule type="cellIs" dxfId="456" priority="124" operator="equal">
      <formula>"""0"""</formula>
    </cfRule>
  </conditionalFormatting>
  <conditionalFormatting sqref="AC22">
    <cfRule type="cellIs" dxfId="455" priority="120" operator="equal">
      <formula>"""0"""</formula>
    </cfRule>
  </conditionalFormatting>
  <conditionalFormatting sqref="Z21">
    <cfRule type="cellIs" dxfId="454" priority="119" operator="equal">
      <formula>"""0"""</formula>
    </cfRule>
  </conditionalFormatting>
  <conditionalFormatting sqref="N22:R22">
    <cfRule type="cellIs" dxfId="453" priority="123" operator="equal">
      <formula>"""0"""</formula>
    </cfRule>
  </conditionalFormatting>
  <conditionalFormatting sqref="S22">
    <cfRule type="cellIs" dxfId="452" priority="122" operator="equal">
      <formula>"""0"""</formula>
    </cfRule>
  </conditionalFormatting>
  <conditionalFormatting sqref="X22:Y22 AA22:AB22">
    <cfRule type="cellIs" dxfId="451" priority="121" operator="equal">
      <formula>"""0"""</formula>
    </cfRule>
  </conditionalFormatting>
  <conditionalFormatting sqref="X21:Y21 AA21:AB21">
    <cfRule type="cellIs" dxfId="450" priority="118" operator="equal">
      <formula>"""0"""</formula>
    </cfRule>
  </conditionalFormatting>
  <conditionalFormatting sqref="AC21">
    <cfRule type="cellIs" dxfId="449" priority="117" operator="equal">
      <formula>"""0"""</formula>
    </cfRule>
  </conditionalFormatting>
  <conditionalFormatting sqref="N24:S24">
    <cfRule type="cellIs" dxfId="448" priority="109" operator="equal">
      <formula>"""0"""</formula>
    </cfRule>
  </conditionalFormatting>
  <conditionalFormatting sqref="X23:AA23 AC23">
    <cfRule type="cellIs" dxfId="447" priority="110" operator="equal">
      <formula>"""0"""</formula>
    </cfRule>
  </conditionalFormatting>
  <conditionalFormatting sqref="X24:AC24">
    <cfRule type="cellIs" dxfId="446" priority="108" operator="equal">
      <formula>"""0"""</formula>
    </cfRule>
  </conditionalFormatting>
  <conditionalFormatting sqref="AA25:AC25">
    <cfRule type="cellIs" dxfId="445" priority="105" operator="equal">
      <formula>"""0"""</formula>
    </cfRule>
  </conditionalFormatting>
  <conditionalFormatting sqref="P25">
    <cfRule type="cellIs" dxfId="444" priority="106" operator="equal">
      <formula>"""0"""</formula>
    </cfRule>
  </conditionalFormatting>
  <conditionalFormatting sqref="Z25">
    <cfRule type="cellIs" dxfId="443" priority="104" operator="equal">
      <formula>"""0"""</formula>
    </cfRule>
  </conditionalFormatting>
  <conditionalFormatting sqref="F25:F26">
    <cfRule type="cellIs" dxfId="442" priority="116" operator="equal">
      <formula>"""0"""</formula>
    </cfRule>
  </conditionalFormatting>
  <conditionalFormatting sqref="Z26">
    <cfRule type="cellIs" dxfId="441" priority="102" operator="equal">
      <formula>"""0"""</formula>
    </cfRule>
  </conditionalFormatting>
  <conditionalFormatting sqref="AA26">
    <cfRule type="cellIs" dxfId="440" priority="101" operator="equal">
      <formula>"""0"""</formula>
    </cfRule>
  </conditionalFormatting>
  <conditionalFormatting sqref="G26">
    <cfRule type="cellIs" dxfId="439" priority="115" operator="equal">
      <formula>"""0"""</formula>
    </cfRule>
  </conditionalFormatting>
  <conditionalFormatting sqref="O26 R26:U26">
    <cfRule type="cellIs" dxfId="438" priority="114" operator="equal">
      <formula>"""0"""</formula>
    </cfRule>
  </conditionalFormatting>
  <conditionalFormatting sqref="P26">
    <cfRule type="cellIs" dxfId="437" priority="113" operator="equal">
      <formula>"""0"""</formula>
    </cfRule>
  </conditionalFormatting>
  <conditionalFormatting sqref="Q26">
    <cfRule type="cellIs" dxfId="436" priority="112" operator="equal">
      <formula>"""0"""</formula>
    </cfRule>
  </conditionalFormatting>
  <conditionalFormatting sqref="F28:F30">
    <cfRule type="cellIs" dxfId="435" priority="98" operator="equal">
      <formula>"""0"""</formula>
    </cfRule>
  </conditionalFormatting>
  <conditionalFormatting sqref="O28 Q28 S28">
    <cfRule type="cellIs" dxfId="434" priority="97" operator="equal">
      <formula>"""0"""</formula>
    </cfRule>
  </conditionalFormatting>
  <conditionalFormatting sqref="P28">
    <cfRule type="cellIs" dxfId="433" priority="96" operator="equal">
      <formula>"""0"""</formula>
    </cfRule>
  </conditionalFormatting>
  <conditionalFormatting sqref="N23:Q23 S23">
    <cfRule type="cellIs" dxfId="432" priority="111" operator="equal">
      <formula>"""0"""</formula>
    </cfRule>
  </conditionalFormatting>
  <conditionalFormatting sqref="Q25:S25">
    <cfRule type="cellIs" dxfId="431" priority="107" operator="equal">
      <formula>"""0"""</formula>
    </cfRule>
  </conditionalFormatting>
  <conditionalFormatting sqref="Y26 AB26:AC26">
    <cfRule type="cellIs" dxfId="430" priority="103" operator="equal">
      <formula>"""0"""</formula>
    </cfRule>
  </conditionalFormatting>
  <conditionalFormatting sqref="O27:S27">
    <cfRule type="cellIs" dxfId="429" priority="100" operator="equal">
      <formula>"""0"""</formula>
    </cfRule>
  </conditionalFormatting>
  <conditionalFormatting sqref="Y27:AC27">
    <cfRule type="cellIs" dxfId="428" priority="99" operator="equal">
      <formula>"""0"""</formula>
    </cfRule>
  </conditionalFormatting>
  <conditionalFormatting sqref="Y28 AA28 AC28">
    <cfRule type="cellIs" dxfId="427" priority="95" operator="equal">
      <formula>"""0"""</formula>
    </cfRule>
  </conditionalFormatting>
  <conditionalFormatting sqref="Z28">
    <cfRule type="cellIs" dxfId="426" priority="94" operator="equal">
      <formula>"""0"""</formula>
    </cfRule>
  </conditionalFormatting>
  <conditionalFormatting sqref="O29 Q29:S29">
    <cfRule type="cellIs" dxfId="425" priority="93" operator="equal">
      <formula>"""0"""</formula>
    </cfRule>
  </conditionalFormatting>
  <conditionalFormatting sqref="P29">
    <cfRule type="cellIs" dxfId="424" priority="92" operator="equal">
      <formula>"""0"""</formula>
    </cfRule>
  </conditionalFormatting>
  <conditionalFormatting sqref="Y29 AA29:AC29">
    <cfRule type="cellIs" dxfId="423" priority="91" operator="equal">
      <formula>"""0"""</formula>
    </cfRule>
  </conditionalFormatting>
  <conditionalFormatting sqref="Z29">
    <cfRule type="cellIs" dxfId="422" priority="90" operator="equal">
      <formula>"""0"""</formula>
    </cfRule>
  </conditionalFormatting>
  <conditionalFormatting sqref="O30 Q30 S30">
    <cfRule type="cellIs" dxfId="421" priority="89" operator="equal">
      <formula>"""0"""</formula>
    </cfRule>
  </conditionalFormatting>
  <conditionalFormatting sqref="P30">
    <cfRule type="cellIs" dxfId="420" priority="88" operator="equal">
      <formula>"""0"""</formula>
    </cfRule>
  </conditionalFormatting>
  <conditionalFormatting sqref="Y30 AA30 AC30">
    <cfRule type="cellIs" dxfId="419" priority="87" operator="equal">
      <formula>"""0"""</formula>
    </cfRule>
  </conditionalFormatting>
  <conditionalFormatting sqref="Z30">
    <cfRule type="cellIs" dxfId="418" priority="86" operator="equal">
      <formula>"""0"""</formula>
    </cfRule>
  </conditionalFormatting>
  <conditionalFormatting sqref="G32 M32:O32 Q32">
    <cfRule type="cellIs" dxfId="417" priority="85" operator="equal">
      <formula>"""0"""</formula>
    </cfRule>
  </conditionalFormatting>
  <conditionalFormatting sqref="E32:F32">
    <cfRule type="cellIs" dxfId="416" priority="84" operator="equal">
      <formula>"""0"""</formula>
    </cfRule>
  </conditionalFormatting>
  <conditionalFormatting sqref="P32">
    <cfRule type="cellIs" dxfId="415" priority="83" operator="equal">
      <formula>"""0"""</formula>
    </cfRule>
  </conditionalFormatting>
  <conditionalFormatting sqref="R32">
    <cfRule type="cellIs" dxfId="414" priority="82" operator="equal">
      <formula>"""0"""</formula>
    </cfRule>
  </conditionalFormatting>
  <conditionalFormatting sqref="D32">
    <cfRule type="cellIs" dxfId="413" priority="81" operator="equal">
      <formula>"""0"""</formula>
    </cfRule>
  </conditionalFormatting>
  <conditionalFormatting sqref="D33">
    <cfRule type="cellIs" dxfId="412" priority="80" operator="equal">
      <formula>"""0"""</formula>
    </cfRule>
  </conditionalFormatting>
  <conditionalFormatting sqref="F33:F36">
    <cfRule type="cellIs" dxfId="411" priority="79" operator="equal">
      <formula>"""0"""</formula>
    </cfRule>
  </conditionalFormatting>
  <conditionalFormatting sqref="G33">
    <cfRule type="cellIs" dxfId="410" priority="78" operator="equal">
      <formula>"""0"""</formula>
    </cfRule>
  </conditionalFormatting>
  <conditionalFormatting sqref="O33">
    <cfRule type="cellIs" dxfId="409" priority="77" operator="equal">
      <formula>"""0"""</formula>
    </cfRule>
  </conditionalFormatting>
  <conditionalFormatting sqref="N33">
    <cfRule type="cellIs" dxfId="408" priority="76" operator="equal">
      <formula>"""0"""</formula>
    </cfRule>
  </conditionalFormatting>
  <conditionalFormatting sqref="P33">
    <cfRule type="cellIs" dxfId="407" priority="75" operator="equal">
      <formula>"""0"""</formula>
    </cfRule>
  </conditionalFormatting>
  <conditionalFormatting sqref="Q33">
    <cfRule type="cellIs" dxfId="406" priority="74" operator="equal">
      <formula>"""0"""</formula>
    </cfRule>
  </conditionalFormatting>
  <conditionalFormatting sqref="Y33">
    <cfRule type="cellIs" dxfId="405" priority="73" operator="equal">
      <formula>"""0"""</formula>
    </cfRule>
  </conditionalFormatting>
  <conditionalFormatting sqref="X33">
    <cfRule type="cellIs" dxfId="404" priority="72" operator="equal">
      <formula>"""0"""</formula>
    </cfRule>
  </conditionalFormatting>
  <conditionalFormatting sqref="Z33">
    <cfRule type="cellIs" dxfId="403" priority="71" operator="equal">
      <formula>"""0"""</formula>
    </cfRule>
  </conditionalFormatting>
  <conditionalFormatting sqref="AA33">
    <cfRule type="cellIs" dxfId="402" priority="70" operator="equal">
      <formula>"""0"""</formula>
    </cfRule>
  </conditionalFormatting>
  <conditionalFormatting sqref="N34:O34 Q34">
    <cfRule type="cellIs" dxfId="401" priority="69" operator="equal">
      <formula>"""0"""</formula>
    </cfRule>
  </conditionalFormatting>
  <conditionalFormatting sqref="P34">
    <cfRule type="cellIs" dxfId="400" priority="68" operator="equal">
      <formula>"""0"""</formula>
    </cfRule>
  </conditionalFormatting>
  <conditionalFormatting sqref="X34:Y34 AA34">
    <cfRule type="cellIs" dxfId="399" priority="67" operator="equal">
      <formula>"""0"""</formula>
    </cfRule>
  </conditionalFormatting>
  <conditionalFormatting sqref="Z34">
    <cfRule type="cellIs" dxfId="398" priority="66" operator="equal">
      <formula>"""0"""</formula>
    </cfRule>
  </conditionalFormatting>
  <conditionalFormatting sqref="N35:O35 Q35">
    <cfRule type="cellIs" dxfId="397" priority="65" operator="equal">
      <formula>"""0"""</formula>
    </cfRule>
  </conditionalFormatting>
  <conditionalFormatting sqref="P35">
    <cfRule type="cellIs" dxfId="396" priority="64" operator="equal">
      <formula>"""0"""</formula>
    </cfRule>
  </conditionalFormatting>
  <conditionalFormatting sqref="X35:Y35 AA35">
    <cfRule type="cellIs" dxfId="395" priority="63" operator="equal">
      <formula>"""0"""</formula>
    </cfRule>
  </conditionalFormatting>
  <conditionalFormatting sqref="Z35">
    <cfRule type="cellIs" dxfId="394" priority="62" operator="equal">
      <formula>"""0"""</formula>
    </cfRule>
  </conditionalFormatting>
  <conditionalFormatting sqref="N36:O36 Q36:R36">
    <cfRule type="cellIs" dxfId="393" priority="61" operator="equal">
      <formula>"""0"""</formula>
    </cfRule>
  </conditionalFormatting>
  <conditionalFormatting sqref="P36">
    <cfRule type="cellIs" dxfId="392" priority="60" operator="equal">
      <formula>"""0"""</formula>
    </cfRule>
  </conditionalFormatting>
  <conditionalFormatting sqref="X36:Y36 AA36:AB36 Y37">
    <cfRule type="cellIs" dxfId="391" priority="59" operator="equal">
      <formula>"""0"""</formula>
    </cfRule>
  </conditionalFormatting>
  <conditionalFormatting sqref="Z36:Z37">
    <cfRule type="cellIs" dxfId="390" priority="58" operator="equal">
      <formula>"""0"""</formula>
    </cfRule>
  </conditionalFormatting>
  <conditionalFormatting sqref="N37:R37">
    <cfRule type="cellIs" dxfId="389" priority="57" operator="equal">
      <formula>"""0"""</formula>
    </cfRule>
  </conditionalFormatting>
  <conditionalFormatting sqref="X37 AA37:AB37">
    <cfRule type="cellIs" dxfId="388" priority="56" operator="equal">
      <formula>"""0"""</formula>
    </cfRule>
  </conditionalFormatting>
  <conditionalFormatting sqref="F38">
    <cfRule type="cellIs" dxfId="387" priority="55" operator="equal">
      <formula>"""0"""</formula>
    </cfRule>
  </conditionalFormatting>
  <conditionalFormatting sqref="N38:O38 Q38:R38">
    <cfRule type="cellIs" dxfId="386" priority="54" operator="equal">
      <formula>"""0"""</formula>
    </cfRule>
  </conditionalFormatting>
  <conditionalFormatting sqref="X38:Y38 AA38:AB38">
    <cfRule type="cellIs" dxfId="385" priority="53" operator="equal">
      <formula>"""0"""</formula>
    </cfRule>
  </conditionalFormatting>
  <conditionalFormatting sqref="Z38">
    <cfRule type="cellIs" dxfId="384" priority="52" operator="equal">
      <formula>"""0"""</formula>
    </cfRule>
  </conditionalFormatting>
  <conditionalFormatting sqref="X39:Y39 AA39">
    <cfRule type="cellIs" dxfId="383" priority="51" operator="equal">
      <formula>"""0"""</formula>
    </cfRule>
  </conditionalFormatting>
  <conditionalFormatting sqref="Z39">
    <cfRule type="cellIs" dxfId="382" priority="50" operator="equal">
      <formula>"""0"""</formula>
    </cfRule>
  </conditionalFormatting>
  <conditionalFormatting sqref="N39:Q39 P40">
    <cfRule type="cellIs" dxfId="381" priority="49" operator="equal">
      <formula>"""0"""</formula>
    </cfRule>
  </conditionalFormatting>
  <conditionalFormatting sqref="X40:Y40 AA40:AB40">
    <cfRule type="cellIs" dxfId="380" priority="48" operator="equal">
      <formula>"""0"""</formula>
    </cfRule>
  </conditionalFormatting>
  <conditionalFormatting sqref="Z40">
    <cfRule type="cellIs" dxfId="379" priority="47" operator="equal">
      <formula>"""0"""</formula>
    </cfRule>
  </conditionalFormatting>
  <conditionalFormatting sqref="N41:R41">
    <cfRule type="cellIs" dxfId="378" priority="46" operator="equal">
      <formula>"""0"""</formula>
    </cfRule>
  </conditionalFormatting>
  <conditionalFormatting sqref="X41:AB41">
    <cfRule type="cellIs" dxfId="377" priority="45" operator="equal">
      <formula>"""0"""</formula>
    </cfRule>
  </conditionalFormatting>
  <conditionalFormatting sqref="N42:R42 P43">
    <cfRule type="cellIs" dxfId="376" priority="44" operator="equal">
      <formula>"""0"""</formula>
    </cfRule>
  </conditionalFormatting>
  <conditionalFormatting sqref="X42:AB42">
    <cfRule type="cellIs" dxfId="375" priority="43" operator="equal">
      <formula>"""0"""</formula>
    </cfRule>
  </conditionalFormatting>
  <conditionalFormatting sqref="Q43:R43">
    <cfRule type="cellIs" dxfId="374" priority="42" operator="equal">
      <formula>"""0"""</formula>
    </cfRule>
  </conditionalFormatting>
  <conditionalFormatting sqref="J13">
    <cfRule type="cellIs" dxfId="373" priority="41" operator="equal">
      <formula>"""0"""</formula>
    </cfRule>
  </conditionalFormatting>
  <conditionalFormatting sqref="J12">
    <cfRule type="cellIs" dxfId="372" priority="40" operator="equal">
      <formula>"""0"""</formula>
    </cfRule>
  </conditionalFormatting>
  <conditionalFormatting sqref="J26:J31">
    <cfRule type="cellIs" dxfId="371" priority="39" operator="equal">
      <formula>"""0"""</formula>
    </cfRule>
  </conditionalFormatting>
  <conditionalFormatting sqref="J25">
    <cfRule type="cellIs" dxfId="370" priority="38" operator="equal">
      <formula>"""0"""</formula>
    </cfRule>
  </conditionalFormatting>
  <conditionalFormatting sqref="J24">
    <cfRule type="cellIs" dxfId="369" priority="37" operator="equal">
      <formula>"""0"""</formula>
    </cfRule>
  </conditionalFormatting>
  <conditionalFormatting sqref="J34:J43">
    <cfRule type="cellIs" dxfId="368" priority="36" operator="equal">
      <formula>"""0"""</formula>
    </cfRule>
  </conditionalFormatting>
  <conditionalFormatting sqref="J33">
    <cfRule type="cellIs" dxfId="367" priority="35" operator="equal">
      <formula>"""0"""</formula>
    </cfRule>
  </conditionalFormatting>
  <conditionalFormatting sqref="J32">
    <cfRule type="cellIs" dxfId="366" priority="34" operator="equal">
      <formula>"""0"""</formula>
    </cfRule>
  </conditionalFormatting>
  <conditionalFormatting sqref="J46">
    <cfRule type="cellIs" dxfId="365" priority="33" operator="equal">
      <formula>"""0"""</formula>
    </cfRule>
  </conditionalFormatting>
  <conditionalFormatting sqref="T19:U23 T14:U16 U12:U13 T17:T18 U29:U30 U24:U25">
    <cfRule type="cellIs" dxfId="364" priority="32" operator="equal">
      <formula>"""0"""</formula>
    </cfRule>
  </conditionalFormatting>
  <conditionalFormatting sqref="U17:U18">
    <cfRule type="cellIs" dxfId="363" priority="31" operator="equal">
      <formula>"""0"""</formula>
    </cfRule>
  </conditionalFormatting>
  <conditionalFormatting sqref="T13">
    <cfRule type="cellIs" dxfId="362" priority="30" operator="equal">
      <formula>"""0"""</formula>
    </cfRule>
  </conditionalFormatting>
  <conditionalFormatting sqref="T12">
    <cfRule type="cellIs" dxfId="361" priority="29" operator="equal">
      <formula>"""0"""</formula>
    </cfRule>
  </conditionalFormatting>
  <conditionalFormatting sqref="T28:T31">
    <cfRule type="cellIs" dxfId="360" priority="28" operator="equal">
      <formula>"""0"""</formula>
    </cfRule>
  </conditionalFormatting>
  <conditionalFormatting sqref="T25">
    <cfRule type="cellIs" dxfId="359" priority="27" operator="equal">
      <formula>"""0"""</formula>
    </cfRule>
  </conditionalFormatting>
  <conditionalFormatting sqref="T24">
    <cfRule type="cellIs" dxfId="358" priority="26" operator="equal">
      <formula>"""0"""</formula>
    </cfRule>
  </conditionalFormatting>
  <conditionalFormatting sqref="T34:T43">
    <cfRule type="cellIs" dxfId="357" priority="25" operator="equal">
      <formula>"""0"""</formula>
    </cfRule>
  </conditionalFormatting>
  <conditionalFormatting sqref="T33">
    <cfRule type="cellIs" dxfId="356" priority="24" operator="equal">
      <formula>"""0"""</formula>
    </cfRule>
  </conditionalFormatting>
  <conditionalFormatting sqref="T32">
    <cfRule type="cellIs" dxfId="355" priority="23" operator="equal">
      <formula>"""0"""</formula>
    </cfRule>
  </conditionalFormatting>
  <conditionalFormatting sqref="AD28:AD31">
    <cfRule type="cellIs" dxfId="354" priority="14" operator="equal">
      <formula>"""0"""</formula>
    </cfRule>
  </conditionalFormatting>
  <conditionalFormatting sqref="AD25:AD27">
    <cfRule type="cellIs" dxfId="353" priority="13" operator="equal">
      <formula>"""0"""</formula>
    </cfRule>
  </conditionalFormatting>
  <conditionalFormatting sqref="AD24">
    <cfRule type="cellIs" dxfId="352" priority="12" operator="equal">
      <formula>"""0"""</formula>
    </cfRule>
  </conditionalFormatting>
  <conditionalFormatting sqref="AD34:AD42">
    <cfRule type="cellIs" dxfId="351" priority="11" operator="equal">
      <formula>"""0"""</formula>
    </cfRule>
  </conditionalFormatting>
  <conditionalFormatting sqref="AD33">
    <cfRule type="cellIs" dxfId="350" priority="10" operator="equal">
      <formula>"""0"""</formula>
    </cfRule>
  </conditionalFormatting>
  <conditionalFormatting sqref="AD32">
    <cfRule type="cellIs" dxfId="349" priority="9" operator="equal">
      <formula>"""0"""</formula>
    </cfRule>
  </conditionalFormatting>
  <conditionalFormatting sqref="AE27">
    <cfRule type="cellIs" dxfId="348" priority="8" operator="equal">
      <formula>"""0"""</formula>
    </cfRule>
  </conditionalFormatting>
  <conditionalFormatting sqref="AE46 AD44:AE45">
    <cfRule type="cellIs" dxfId="347" priority="7" operator="equal">
      <formula>"""0"""</formula>
    </cfRule>
  </conditionalFormatting>
  <conditionalFormatting sqref="AD46">
    <cfRule type="cellIs" dxfId="346" priority="6" operator="equal">
      <formula>"""0"""</formula>
    </cfRule>
  </conditionalFormatting>
  <conditionalFormatting sqref="X43:Y43">
    <cfRule type="cellIs" dxfId="345" priority="5" operator="equal">
      <formula>"""0"""</formula>
    </cfRule>
  </conditionalFormatting>
  <conditionalFormatting sqref="T27:U27">
    <cfRule type="cellIs" dxfId="344" priority="22" operator="equal">
      <formula>"""0"""</formula>
    </cfRule>
  </conditionalFormatting>
  <conditionalFormatting sqref="U46 T44:U45">
    <cfRule type="cellIs" dxfId="343" priority="21" operator="equal">
      <formula>"""0"""</formula>
    </cfRule>
  </conditionalFormatting>
  <conditionalFormatting sqref="T46">
    <cfRule type="cellIs" dxfId="342" priority="20" operator="equal">
      <formula>"""0"""</formula>
    </cfRule>
  </conditionalFormatting>
  <conditionalFormatting sqref="AE26">
    <cfRule type="cellIs" dxfId="341" priority="19" operator="equal">
      <formula>"""0"""</formula>
    </cfRule>
  </conditionalFormatting>
  <conditionalFormatting sqref="AD19:AE23 AD14:AE16 AE12:AE13 AD17:AD18 AE29:AE30 AE24:AE25">
    <cfRule type="cellIs" dxfId="340" priority="18" operator="equal">
      <formula>"""0"""</formula>
    </cfRule>
  </conditionalFormatting>
  <conditionalFormatting sqref="AE17:AE18">
    <cfRule type="cellIs" dxfId="339" priority="17" operator="equal">
      <formula>"""0"""</formula>
    </cfRule>
  </conditionalFormatting>
  <conditionalFormatting sqref="AD13">
    <cfRule type="cellIs" dxfId="338" priority="16" operator="equal">
      <formula>"""0"""</formula>
    </cfRule>
  </conditionalFormatting>
  <conditionalFormatting sqref="AD12">
    <cfRule type="cellIs" dxfId="337" priority="15" operator="equal">
      <formula>"""0"""</formula>
    </cfRule>
  </conditionalFormatting>
  <conditionalFormatting sqref="Z43">
    <cfRule type="cellIs" dxfId="336" priority="4" operator="equal">
      <formula>"""0"""</formula>
    </cfRule>
  </conditionalFormatting>
  <conditionalFormatting sqref="AA43:AB43">
    <cfRule type="cellIs" dxfId="335" priority="3" operator="equal">
      <formula>"""0"""</formula>
    </cfRule>
  </conditionalFormatting>
  <conditionalFormatting sqref="AD43">
    <cfRule type="cellIs" dxfId="334" priority="2" operator="equal">
      <formula>"""0"""</formula>
    </cfRule>
  </conditionalFormatting>
  <conditionalFormatting sqref="D1">
    <cfRule type="cellIs" dxfId="333" priority="1" operator="equal">
      <formula>"""0"""</formula>
    </cfRule>
  </conditionalFormatting>
  <pageMargins left="0.7" right="0.7" top="0.75" bottom="0.75" header="0.3" footer="0.3"/>
  <pageSetup orientation="portrait" r:id="rId1"/>
  <headerFooter>
    <oddFooter>&amp;R&amp;1#&amp;"Calibri"&amp;12&amp;K000000Official Use</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H107"/>
  <sheetViews>
    <sheetView topLeftCell="A30" zoomScale="70" zoomScaleNormal="70" workbookViewId="0">
      <pane xSplit="3" topLeftCell="AP1" activePane="topRight" state="frozen"/>
      <selection activeCell="A24" sqref="A24"/>
      <selection pane="topRight" activeCell="AP87" sqref="AP87"/>
    </sheetView>
  </sheetViews>
  <sheetFormatPr defaultColWidth="9.1796875" defaultRowHeight="14.5" x14ac:dyDescent="0.35"/>
  <cols>
    <col min="1" max="1" width="4" style="462" customWidth="1"/>
    <col min="2" max="2" width="19.453125" style="462" customWidth="1"/>
    <col min="3" max="3" width="19.36328125" style="456" customWidth="1"/>
    <col min="4" max="4" width="3.453125" style="456" customWidth="1"/>
    <col min="5" max="5" width="1.6328125" style="456" customWidth="1"/>
    <col min="6" max="6" width="21.6328125" style="456" customWidth="1"/>
    <col min="7" max="7" width="1.6328125" style="456" customWidth="1"/>
    <col min="8" max="9" width="21.6328125" style="459" customWidth="1"/>
    <col min="10" max="10" width="8.6328125" style="459" customWidth="1"/>
    <col min="11" max="11" width="1.6328125" style="456" customWidth="1"/>
    <col min="12" max="13" width="19.36328125" style="462" customWidth="1"/>
    <col min="14" max="14" width="1.6328125" style="1" customWidth="1"/>
    <col min="15" max="15" width="18.1796875" style="6" customWidth="1"/>
    <col min="16" max="16" width="18.453125" style="6" customWidth="1"/>
    <col min="17" max="17" width="21.6328125" style="6" customWidth="1"/>
    <col min="18" max="18" width="8.6328125" style="7" customWidth="1"/>
    <col min="19" max="19" width="1.6328125" style="1" customWidth="1"/>
    <col min="20" max="21" width="21.6328125" customWidth="1"/>
    <col min="22" max="22" width="22" customWidth="1"/>
    <col min="23" max="23" width="8.6328125" style="7" customWidth="1"/>
    <col min="24" max="25" width="1.6328125" style="1" customWidth="1"/>
    <col min="26" max="26" width="18.1796875" style="6" customWidth="1"/>
    <col min="27" max="27" width="18.453125" style="6" customWidth="1"/>
    <col min="28" max="28" width="21.6328125" style="6" customWidth="1"/>
    <col min="29" max="29" width="8.6328125" style="7" customWidth="1"/>
    <col min="30" max="30" width="1.6328125" style="1" customWidth="1"/>
    <col min="31" max="33" width="21.6328125" customWidth="1"/>
    <col min="34" max="34" width="3.1796875" customWidth="1"/>
    <col min="35" max="37" width="21.6328125" customWidth="1"/>
    <col min="38" max="39" width="9.1796875" style="462"/>
    <col min="40" max="42" width="15.453125" style="462" customWidth="1"/>
    <col min="43" max="43" width="13.6328125" style="456" customWidth="1"/>
    <col min="44" max="46" width="21.6328125" customWidth="1"/>
    <col min="47" max="47" width="9.1796875" style="462"/>
    <col min="48" max="48" width="4.1796875" style="462" customWidth="1"/>
    <col min="49" max="51" width="15.453125" style="462" customWidth="1"/>
    <col min="52" max="52" width="3.81640625" style="462" customWidth="1"/>
    <col min="53" max="54" width="15.453125" customWidth="1"/>
    <col min="55" max="55" width="19.453125" customWidth="1"/>
    <col min="56" max="57" width="9.1796875" style="462"/>
    <col min="58" max="58" width="15.453125" style="462" customWidth="1"/>
    <col min="59" max="59" width="16.81640625" style="462" customWidth="1"/>
    <col min="60" max="60" width="15.453125" style="462" customWidth="1"/>
    <col min="61" max="16384" width="9.1796875" style="462"/>
  </cols>
  <sheetData>
    <row r="1" spans="1:60" s="470" customFormat="1" ht="31" x14ac:dyDescent="0.7">
      <c r="F1" s="9118" t="s">
        <v>394</v>
      </c>
      <c r="G1" s="9119"/>
      <c r="H1" s="9119"/>
      <c r="I1" s="9119"/>
      <c r="J1" s="9119"/>
      <c r="K1" s="9119"/>
      <c r="L1" s="9119"/>
      <c r="M1" s="9120"/>
      <c r="N1" s="710"/>
      <c r="O1" s="9121" t="s">
        <v>395</v>
      </c>
      <c r="P1" s="9122"/>
      <c r="Q1" s="9122"/>
      <c r="R1" s="9122"/>
      <c r="S1" s="9122"/>
      <c r="T1" s="9122"/>
      <c r="U1" s="9122"/>
      <c r="V1" s="9123"/>
      <c r="W1" s="1537"/>
      <c r="X1" s="710"/>
      <c r="Y1" s="710"/>
      <c r="Z1" s="9124" t="s">
        <v>396</v>
      </c>
      <c r="AA1" s="9125"/>
      <c r="AB1" s="9125"/>
      <c r="AC1" s="9125"/>
      <c r="AD1" s="9125"/>
      <c r="AE1" s="9125"/>
      <c r="AF1" s="9125"/>
      <c r="AG1" s="9126"/>
      <c r="AH1"/>
      <c r="AI1" s="9187" t="s">
        <v>397</v>
      </c>
      <c r="AJ1" s="9188"/>
      <c r="AK1" s="9188"/>
      <c r="AL1" s="9188"/>
      <c r="AM1" s="9188"/>
      <c r="AN1" s="9188"/>
      <c r="AO1" s="9188"/>
      <c r="AP1" s="9189"/>
      <c r="AR1" s="9187" t="s">
        <v>398</v>
      </c>
      <c r="AS1" s="9188"/>
      <c r="AT1" s="9188"/>
      <c r="AU1" s="9188"/>
      <c r="AV1" s="9188"/>
      <c r="AW1" s="9188"/>
      <c r="AX1" s="9188"/>
      <c r="AY1" s="9189"/>
      <c r="BA1" s="9115" t="s">
        <v>399</v>
      </c>
      <c r="BB1" s="9116"/>
      <c r="BC1" s="9116"/>
      <c r="BD1" s="9116"/>
      <c r="BE1" s="9116"/>
      <c r="BF1" s="9116"/>
      <c r="BG1" s="9116"/>
      <c r="BH1" s="9117"/>
    </row>
    <row r="2" spans="1:60" ht="21" x14ac:dyDescent="0.5">
      <c r="B2" s="456" t="s">
        <v>9</v>
      </c>
      <c r="C2" s="4" t="s">
        <v>24</v>
      </c>
      <c r="H2" s="462"/>
      <c r="AQ2" s="4"/>
    </row>
    <row r="3" spans="1:60" x14ac:dyDescent="0.35">
      <c r="F3" s="459"/>
      <c r="H3" s="462"/>
    </row>
    <row r="4" spans="1:60" ht="14.5" customHeight="1" x14ac:dyDescent="0.35">
      <c r="F4" s="8323" t="s">
        <v>400</v>
      </c>
      <c r="G4" s="712"/>
      <c r="H4" s="9133" t="s">
        <v>401</v>
      </c>
      <c r="I4" s="9134"/>
      <c r="J4" s="9135"/>
      <c r="K4" s="712"/>
      <c r="L4" s="9133" t="s">
        <v>402</v>
      </c>
      <c r="M4" s="9135"/>
      <c r="N4" s="8"/>
      <c r="O4" s="9130" t="s">
        <v>403</v>
      </c>
      <c r="P4" s="9131"/>
      <c r="Q4" s="9131"/>
      <c r="R4" s="9132"/>
      <c r="S4" s="8"/>
      <c r="T4" s="9130" t="s">
        <v>402</v>
      </c>
      <c r="U4" s="9131"/>
      <c r="V4" s="9132"/>
      <c r="W4" s="8"/>
      <c r="X4" s="8"/>
      <c r="Y4" s="8"/>
      <c r="Z4" s="9130" t="s">
        <v>403</v>
      </c>
      <c r="AA4" s="9131"/>
      <c r="AB4" s="9131"/>
      <c r="AC4" s="9132"/>
      <c r="AD4" s="8"/>
      <c r="AE4" s="9130" t="s">
        <v>402</v>
      </c>
      <c r="AF4" s="9131"/>
      <c r="AG4" s="9132"/>
      <c r="AI4" s="9130" t="s">
        <v>403</v>
      </c>
      <c r="AJ4" s="9131"/>
      <c r="AK4" s="9131"/>
      <c r="AL4" s="9132"/>
      <c r="AN4" s="9130" t="s">
        <v>402</v>
      </c>
      <c r="AO4" s="9131"/>
      <c r="AP4" s="9132"/>
      <c r="AQ4" s="456" t="s">
        <v>404</v>
      </c>
      <c r="AR4" s="9130" t="s">
        <v>403</v>
      </c>
      <c r="AS4" s="9131"/>
      <c r="AT4" s="9131"/>
      <c r="AU4" s="9132"/>
      <c r="AW4" s="9130" t="s">
        <v>402</v>
      </c>
      <c r="AX4" s="9131"/>
      <c r="AY4" s="9132"/>
      <c r="BA4" s="9130" t="s">
        <v>403</v>
      </c>
      <c r="BB4" s="9131"/>
      <c r="BC4" s="9131"/>
      <c r="BD4" s="9132"/>
      <c r="BF4" s="9130" t="s">
        <v>402</v>
      </c>
      <c r="BG4" s="9131"/>
      <c r="BH4" s="9132"/>
    </row>
    <row r="5" spans="1:60" x14ac:dyDescent="0.35">
      <c r="B5" s="456" t="s">
        <v>406</v>
      </c>
      <c r="C5" s="714">
        <v>2015</v>
      </c>
      <c r="F5" s="8324"/>
      <c r="G5" s="12"/>
      <c r="H5" s="9138" t="s">
        <v>736</v>
      </c>
      <c r="I5" s="9139"/>
      <c r="J5" s="9140"/>
      <c r="K5" s="12"/>
      <c r="L5" s="9138" t="s">
        <v>737</v>
      </c>
      <c r="M5" s="9140"/>
      <c r="N5" s="12"/>
      <c r="O5" s="9138" t="s">
        <v>738</v>
      </c>
      <c r="P5" s="9139"/>
      <c r="Q5" s="9139"/>
      <c r="R5" s="9140"/>
      <c r="S5" s="12"/>
      <c r="T5" s="9138" t="s">
        <v>739</v>
      </c>
      <c r="U5" s="9139"/>
      <c r="V5" s="9140"/>
      <c r="W5" s="3218"/>
      <c r="X5" s="12"/>
      <c r="Y5" s="12"/>
      <c r="Z5" s="9138" t="s">
        <v>739</v>
      </c>
      <c r="AA5" s="9139"/>
      <c r="AB5" s="9139"/>
      <c r="AC5" s="9140"/>
      <c r="AD5" s="12"/>
      <c r="AE5" s="9138" t="s">
        <v>740</v>
      </c>
      <c r="AF5" s="9139"/>
      <c r="AG5" s="9140"/>
      <c r="AI5" s="9138" t="s">
        <v>740</v>
      </c>
      <c r="AJ5" s="9139"/>
      <c r="AK5" s="9139"/>
      <c r="AL5" s="9140"/>
      <c r="AN5" s="9138" t="s">
        <v>741</v>
      </c>
      <c r="AO5" s="9139"/>
      <c r="AP5" s="9140"/>
      <c r="AQ5" s="714"/>
      <c r="AR5" s="9138" t="s">
        <v>741</v>
      </c>
      <c r="AS5" s="9139"/>
      <c r="AT5" s="9139"/>
      <c r="AU5" s="9140"/>
      <c r="AW5" s="9138" t="s">
        <v>742</v>
      </c>
      <c r="AX5" s="9139"/>
      <c r="AY5" s="9140"/>
      <c r="BA5" s="9138" t="s">
        <v>743</v>
      </c>
      <c r="BB5" s="9139"/>
      <c r="BC5" s="9139"/>
      <c r="BD5" s="9140"/>
      <c r="BF5" s="9138" t="s">
        <v>744</v>
      </c>
      <c r="BG5" s="9139"/>
      <c r="BH5" s="9140"/>
    </row>
    <row r="6" spans="1:60" x14ac:dyDescent="0.35">
      <c r="F6" s="459"/>
      <c r="L6" s="715"/>
      <c r="T6" s="14"/>
      <c r="U6" s="14"/>
      <c r="AE6" s="14"/>
      <c r="AF6" s="14"/>
      <c r="AI6" s="6"/>
      <c r="AJ6" s="6"/>
      <c r="AK6" s="6"/>
      <c r="AL6" s="7"/>
      <c r="AN6" s="14"/>
      <c r="AO6" s="14"/>
      <c r="AP6"/>
      <c r="AR6" s="6"/>
      <c r="AS6" s="6"/>
      <c r="AT6" s="6"/>
      <c r="AU6" s="7"/>
      <c r="AW6" s="14"/>
      <c r="AX6" s="14"/>
      <c r="AY6"/>
      <c r="BA6" s="6"/>
      <c r="BB6" s="6"/>
      <c r="BC6" s="6"/>
      <c r="BD6" s="7"/>
      <c r="BF6" s="14"/>
      <c r="BG6" s="14"/>
      <c r="BH6"/>
    </row>
    <row r="7" spans="1:60" ht="15.25" customHeight="1" x14ac:dyDescent="0.35">
      <c r="B7" s="456" t="s">
        <v>101</v>
      </c>
      <c r="C7" s="714" t="s">
        <v>745</v>
      </c>
      <c r="D7" s="456" t="s">
        <v>417</v>
      </c>
      <c r="F7" s="717"/>
      <c r="H7" s="9194" t="s">
        <v>746</v>
      </c>
      <c r="I7" s="9194"/>
      <c r="J7" s="9143" t="s">
        <v>419</v>
      </c>
      <c r="L7" s="9145" t="s">
        <v>746</v>
      </c>
      <c r="M7" s="9146"/>
      <c r="O7" s="9173" t="str">
        <f>L7</f>
        <v>Crore TK (10,000,000)</v>
      </c>
      <c r="P7" s="9173"/>
      <c r="Q7" s="16"/>
      <c r="R7" s="9147" t="s">
        <v>419</v>
      </c>
      <c r="T7" s="9149" t="str">
        <f>O7</f>
        <v>Crore TK (10,000,000)</v>
      </c>
      <c r="U7" s="9150"/>
      <c r="V7" s="9151"/>
      <c r="W7" s="9147" t="s">
        <v>419</v>
      </c>
      <c r="Z7" s="9173" t="str">
        <f>T7</f>
        <v>Crore TK (10,000,000)</v>
      </c>
      <c r="AA7" s="9173"/>
      <c r="AB7" s="16"/>
      <c r="AC7" s="9147" t="s">
        <v>419</v>
      </c>
      <c r="AE7" s="9149" t="str">
        <f>Z7</f>
        <v>Crore TK (10,000,000)</v>
      </c>
      <c r="AF7" s="9150"/>
      <c r="AG7" s="9151"/>
      <c r="AI7" s="9173" t="str">
        <f>AE7</f>
        <v>Crore TK (10,000,000)</v>
      </c>
      <c r="AJ7" s="9173"/>
      <c r="AK7" s="16"/>
      <c r="AL7" s="9147" t="s">
        <v>419</v>
      </c>
      <c r="AN7" s="9149" t="str">
        <f>AE7</f>
        <v>Crore TK (10,000,000)</v>
      </c>
      <c r="AO7" s="9150"/>
      <c r="AP7" s="9151"/>
      <c r="AQ7" s="714"/>
      <c r="AR7" s="9173" t="str">
        <f>AN7</f>
        <v>Crore TK (10,000,000)</v>
      </c>
      <c r="AS7" s="9173"/>
      <c r="AT7" s="16"/>
      <c r="AU7" s="9147" t="s">
        <v>419</v>
      </c>
      <c r="AW7" s="9149" t="str">
        <f>AN7</f>
        <v>Crore TK (10,000,000)</v>
      </c>
      <c r="AX7" s="9150"/>
      <c r="AY7" s="9151"/>
      <c r="BA7" s="9173" t="str">
        <f>AW7</f>
        <v>Crore TK (10,000,000)</v>
      </c>
      <c r="BB7" s="9173"/>
      <c r="BC7" s="16"/>
      <c r="BD7" s="9147" t="s">
        <v>419</v>
      </c>
      <c r="BF7" s="9149" t="str">
        <f>AW7</f>
        <v>Crore TK (10,000,000)</v>
      </c>
      <c r="BG7" s="9150"/>
      <c r="BH7" s="9151"/>
    </row>
    <row r="8" spans="1:60" s="712" customFormat="1" ht="15.25" customHeight="1" x14ac:dyDescent="0.35">
      <c r="B8" s="456" t="s">
        <v>420</v>
      </c>
      <c r="C8" s="714" t="s">
        <v>747</v>
      </c>
      <c r="F8" s="720" t="s">
        <v>96</v>
      </c>
      <c r="G8" s="456"/>
      <c r="H8" s="720" t="s">
        <v>423</v>
      </c>
      <c r="I8" s="720" t="s">
        <v>96</v>
      </c>
      <c r="J8" s="9144"/>
      <c r="K8" s="456"/>
      <c r="L8" s="721" t="s">
        <v>423</v>
      </c>
      <c r="M8" s="720" t="s">
        <v>96</v>
      </c>
      <c r="N8" s="1"/>
      <c r="O8" s="20" t="s">
        <v>748</v>
      </c>
      <c r="P8" s="20" t="s">
        <v>96</v>
      </c>
      <c r="Q8" s="22" t="s">
        <v>425</v>
      </c>
      <c r="R8" s="9148"/>
      <c r="S8" s="1"/>
      <c r="T8" s="21" t="s">
        <v>748</v>
      </c>
      <c r="U8" s="22" t="s">
        <v>425</v>
      </c>
      <c r="V8" s="20" t="s">
        <v>749</v>
      </c>
      <c r="W8" s="9148"/>
      <c r="X8" s="1"/>
      <c r="Y8" s="1"/>
      <c r="Z8" s="20" t="s">
        <v>748</v>
      </c>
      <c r="AA8" s="20" t="s">
        <v>96</v>
      </c>
      <c r="AB8" s="22" t="s">
        <v>425</v>
      </c>
      <c r="AC8" s="9148"/>
      <c r="AD8" s="1"/>
      <c r="AE8" s="21" t="s">
        <v>748</v>
      </c>
      <c r="AF8" s="22" t="s">
        <v>425</v>
      </c>
      <c r="AG8" s="20" t="s">
        <v>750</v>
      </c>
      <c r="AH8"/>
      <c r="AI8" s="20" t="s">
        <v>748</v>
      </c>
      <c r="AJ8" s="20" t="s">
        <v>96</v>
      </c>
      <c r="AK8" s="22" t="s">
        <v>425</v>
      </c>
      <c r="AL8" s="9148"/>
      <c r="AN8" s="21" t="s">
        <v>748</v>
      </c>
      <c r="AO8" s="22" t="s">
        <v>425</v>
      </c>
      <c r="AP8" s="20" t="s">
        <v>96</v>
      </c>
      <c r="AQ8" s="714"/>
      <c r="AR8" s="20" t="s">
        <v>748</v>
      </c>
      <c r="AS8" s="20" t="s">
        <v>96</v>
      </c>
      <c r="AT8" s="22" t="s">
        <v>425</v>
      </c>
      <c r="AU8" s="9148"/>
      <c r="AW8" s="21" t="s">
        <v>748</v>
      </c>
      <c r="AX8" s="22" t="s">
        <v>425</v>
      </c>
      <c r="AY8" s="20" t="s">
        <v>96</v>
      </c>
      <c r="BA8" s="20" t="s">
        <v>748</v>
      </c>
      <c r="BB8" s="20" t="s">
        <v>96</v>
      </c>
      <c r="BC8" s="22" t="s">
        <v>425</v>
      </c>
      <c r="BD8" s="9148"/>
      <c r="BF8" s="21" t="s">
        <v>748</v>
      </c>
      <c r="BG8" s="22" t="s">
        <v>425</v>
      </c>
      <c r="BH8" s="20" t="s">
        <v>96</v>
      </c>
    </row>
    <row r="9" spans="1:60" x14ac:dyDescent="0.35">
      <c r="F9" s="462"/>
      <c r="G9" s="462"/>
      <c r="H9" s="462"/>
      <c r="I9" s="462"/>
      <c r="J9" s="462"/>
      <c r="K9" s="462"/>
      <c r="N9"/>
      <c r="O9"/>
      <c r="P9"/>
      <c r="Q9"/>
      <c r="R9" s="25"/>
      <c r="S9"/>
      <c r="W9" s="25"/>
      <c r="X9"/>
      <c r="Y9"/>
      <c r="Z9"/>
      <c r="AA9"/>
      <c r="AB9"/>
      <c r="AC9" s="25"/>
      <c r="AD9"/>
      <c r="AL9" s="25"/>
      <c r="AN9"/>
      <c r="AO9"/>
      <c r="AP9"/>
      <c r="AU9" s="25"/>
      <c r="AW9"/>
      <c r="AX9"/>
      <c r="AY9"/>
      <c r="BD9" s="25"/>
      <c r="BF9"/>
      <c r="BG9"/>
      <c r="BH9"/>
    </row>
    <row r="10" spans="1:60" ht="31.75" customHeight="1" x14ac:dyDescent="0.35">
      <c r="A10" s="9152" t="s">
        <v>426</v>
      </c>
      <c r="B10" s="724"/>
      <c r="C10" s="725" t="s">
        <v>427</v>
      </c>
      <c r="D10" s="580" t="s">
        <v>428</v>
      </c>
      <c r="F10" s="31"/>
      <c r="G10"/>
      <c r="H10" s="31" t="s">
        <v>751</v>
      </c>
      <c r="I10" s="31" t="s">
        <v>751</v>
      </c>
      <c r="J10" s="32"/>
      <c r="K10" s="33"/>
      <c r="L10" s="31" t="s">
        <v>752</v>
      </c>
      <c r="M10" s="36" t="s">
        <v>593</v>
      </c>
      <c r="N10" s="33"/>
      <c r="O10" s="31" t="s">
        <v>753</v>
      </c>
      <c r="P10" s="31" t="s">
        <v>753</v>
      </c>
      <c r="Q10" s="3219" t="s">
        <v>754</v>
      </c>
      <c r="R10" s="32"/>
      <c r="S10" s="33"/>
      <c r="T10" s="31" t="s">
        <v>755</v>
      </c>
      <c r="U10" s="652" t="s">
        <v>756</v>
      </c>
      <c r="V10" s="34" t="s">
        <v>593</v>
      </c>
      <c r="W10" s="32"/>
      <c r="X10" s="33"/>
      <c r="Y10" s="33"/>
      <c r="Z10" s="31" t="s">
        <v>757</v>
      </c>
      <c r="AA10" s="31" t="s">
        <v>757</v>
      </c>
      <c r="AB10" s="652" t="s">
        <v>758</v>
      </c>
      <c r="AC10" s="32"/>
      <c r="AD10" s="33"/>
      <c r="AE10" s="31" t="s">
        <v>757</v>
      </c>
      <c r="AF10" s="652" t="s">
        <v>758</v>
      </c>
      <c r="AG10" s="31"/>
      <c r="AI10" s="31" t="s">
        <v>759</v>
      </c>
      <c r="AJ10" s="31" t="s">
        <v>760</v>
      </c>
      <c r="AK10" s="3220" t="s">
        <v>761</v>
      </c>
      <c r="AL10" s="32"/>
      <c r="AN10" s="31" t="s">
        <v>759</v>
      </c>
      <c r="AO10" s="3220" t="s">
        <v>761</v>
      </c>
      <c r="AP10" s="31" t="s">
        <v>759</v>
      </c>
      <c r="AQ10" s="725"/>
      <c r="AR10" s="31" t="s">
        <v>762</v>
      </c>
      <c r="AS10" s="31" t="s">
        <v>763</v>
      </c>
      <c r="AT10" s="3220" t="s">
        <v>764</v>
      </c>
      <c r="AU10" s="32"/>
      <c r="AW10" s="31" t="s">
        <v>762</v>
      </c>
      <c r="AX10" s="3220" t="s">
        <v>761</v>
      </c>
      <c r="AY10" s="31" t="s">
        <v>762</v>
      </c>
      <c r="BA10" s="31" t="s">
        <v>765</v>
      </c>
      <c r="BB10" s="31" t="s">
        <v>765</v>
      </c>
      <c r="BC10" s="1612" t="s">
        <v>766</v>
      </c>
      <c r="BD10" s="32"/>
      <c r="BF10" s="31" t="s">
        <v>765</v>
      </c>
      <c r="BG10" s="7732" t="s">
        <v>766</v>
      </c>
      <c r="BH10" s="31" t="s">
        <v>767</v>
      </c>
    </row>
    <row r="11" spans="1:60" ht="12.75" customHeight="1" x14ac:dyDescent="0.35">
      <c r="A11" s="9153"/>
      <c r="B11" s="40" t="s">
        <v>451</v>
      </c>
      <c r="C11" s="728"/>
      <c r="D11" s="729"/>
      <c r="F11" s="730"/>
      <c r="G11" s="731"/>
      <c r="H11" s="732"/>
      <c r="I11" s="733"/>
      <c r="J11" s="734"/>
      <c r="K11" s="731"/>
      <c r="L11" s="732"/>
      <c r="M11" s="735"/>
      <c r="N11" s="48"/>
      <c r="O11" s="736"/>
      <c r="P11" s="737"/>
      <c r="Q11" s="474"/>
      <c r="R11" s="47"/>
      <c r="S11" s="48"/>
      <c r="T11" s="46"/>
      <c r="U11" s="474"/>
      <c r="V11" s="49"/>
      <c r="W11" s="47"/>
      <c r="X11" s="48"/>
      <c r="Y11" s="48"/>
      <c r="Z11" s="18"/>
      <c r="AA11" s="49"/>
      <c r="AB11" s="474"/>
      <c r="AC11" s="47"/>
      <c r="AD11" s="48"/>
      <c r="AE11" s="18"/>
      <c r="AF11" s="474"/>
      <c r="AG11" s="49"/>
      <c r="AI11" s="18"/>
      <c r="AJ11" s="49"/>
      <c r="AK11" s="474"/>
      <c r="AL11" s="47"/>
      <c r="AN11" s="18"/>
      <c r="AO11" s="474"/>
      <c r="AP11" s="49"/>
      <c r="AQ11" s="728"/>
      <c r="AR11" s="18"/>
      <c r="AS11" s="49"/>
      <c r="AT11" s="474"/>
      <c r="AU11" s="47"/>
      <c r="AW11" s="18"/>
      <c r="AX11" s="474"/>
      <c r="AY11" s="49"/>
      <c r="BA11" s="18"/>
      <c r="BB11" s="49"/>
      <c r="BC11" s="313" t="s">
        <v>768</v>
      </c>
      <c r="BD11" s="47"/>
      <c r="BF11" s="18"/>
      <c r="BG11" s="474" t="s">
        <v>768</v>
      </c>
      <c r="BH11" s="49" t="s">
        <v>769</v>
      </c>
    </row>
    <row r="12" spans="1:60" x14ac:dyDescent="0.35">
      <c r="A12" s="9153"/>
      <c r="B12" s="58"/>
      <c r="C12" s="743" t="s">
        <v>456</v>
      </c>
      <c r="D12" s="456">
        <v>1</v>
      </c>
      <c r="F12" s="744"/>
      <c r="G12" s="745"/>
      <c r="H12" s="746">
        <v>156671</v>
      </c>
      <c r="I12" s="747">
        <v>141604</v>
      </c>
      <c r="J12" s="748">
        <f>IF(H12=0,0,I12/H12)</f>
        <v>0.90383031958690507</v>
      </c>
      <c r="K12" s="745"/>
      <c r="L12" s="746">
        <v>163371</v>
      </c>
      <c r="M12" s="749">
        <f>L12*J12</f>
        <v>147659.66314123227</v>
      </c>
      <c r="N12" s="65"/>
      <c r="O12" s="62">
        <v>163371</v>
      </c>
      <c r="P12" s="63">
        <v>145966</v>
      </c>
      <c r="Q12" s="789" t="s">
        <v>770</v>
      </c>
      <c r="R12" s="476">
        <f>IF(O12=0,0,P12/O12)</f>
        <v>0.89346334416756956</v>
      </c>
      <c r="S12" s="65"/>
      <c r="T12" s="63">
        <v>177400</v>
      </c>
      <c r="U12" s="106" t="s">
        <v>771</v>
      </c>
      <c r="V12" s="63">
        <v>177400</v>
      </c>
      <c r="W12" s="476">
        <f>IF(T12=0,0,V12/T12)</f>
        <v>1</v>
      </c>
      <c r="X12" s="65"/>
      <c r="Y12" s="65"/>
      <c r="Z12" s="62">
        <v>177399.9</v>
      </c>
      <c r="AA12" s="63">
        <v>172949</v>
      </c>
      <c r="AB12" s="1828" t="s">
        <v>772</v>
      </c>
      <c r="AC12" s="476">
        <f>IF(Z12=0,0,AA12/Z12)</f>
        <v>0.97491035789760871</v>
      </c>
      <c r="AD12" s="65"/>
      <c r="AE12" s="62">
        <v>218500.6</v>
      </c>
      <c r="AF12" s="1828" t="s">
        <v>772</v>
      </c>
      <c r="AG12" s="301">
        <v>200751.8</v>
      </c>
      <c r="AI12" s="62">
        <f>AE12</f>
        <v>218500.6</v>
      </c>
      <c r="AJ12" s="63">
        <v>201232</v>
      </c>
      <c r="AK12" s="106" t="s">
        <v>759</v>
      </c>
      <c r="AL12" s="476">
        <f>IF(AI12=0,0,AJ12/AI12)</f>
        <v>0.92096772274309546</v>
      </c>
      <c r="AN12" s="62">
        <v>259454</v>
      </c>
      <c r="AO12" s="106" t="s">
        <v>759</v>
      </c>
      <c r="AP12" s="301">
        <v>230966</v>
      </c>
      <c r="AQ12" s="743" t="s">
        <v>773</v>
      </c>
      <c r="AR12" s="62">
        <f>232220+27252</f>
        <v>259472</v>
      </c>
      <c r="AS12" s="63">
        <f>194325+22229</f>
        <v>216554</v>
      </c>
      <c r="AT12" s="106" t="s">
        <v>762</v>
      </c>
      <c r="AU12" s="476">
        <f>IF(AR12=0,0,AS12/AR12)</f>
        <v>0.83459486958130358</v>
      </c>
      <c r="AW12" s="62">
        <v>316612</v>
      </c>
      <c r="AX12" s="106" t="s">
        <v>759</v>
      </c>
      <c r="AY12" s="301">
        <v>252057</v>
      </c>
      <c r="BA12" s="62">
        <f>289600+27013</f>
        <v>316613</v>
      </c>
      <c r="BB12" s="63">
        <f>225960+25921</f>
        <v>251881</v>
      </c>
      <c r="BD12" s="476">
        <f>IF(BA12=0,0,BB12/BA12)</f>
        <v>0.7955485087472719</v>
      </c>
      <c r="BF12" s="62">
        <f>313070+35002</f>
        <v>348072</v>
      </c>
      <c r="BG12" s="106"/>
      <c r="BH12" s="301">
        <f>(220780+42282)*12/11</f>
        <v>286976.72727272729</v>
      </c>
    </row>
    <row r="13" spans="1:60" x14ac:dyDescent="0.35">
      <c r="A13" s="9153"/>
      <c r="B13" s="58"/>
      <c r="C13" s="752" t="s">
        <v>774</v>
      </c>
      <c r="E13" s="462"/>
      <c r="F13" s="753"/>
      <c r="G13" s="745"/>
      <c r="H13" s="746">
        <v>5956</v>
      </c>
      <c r="I13" s="747">
        <v>6165</v>
      </c>
      <c r="J13" s="754">
        <f>IF(H13=0,0,I13/H13)</f>
        <v>1.0350906648757556</v>
      </c>
      <c r="K13" s="745"/>
      <c r="L13" s="746">
        <v>5674</v>
      </c>
      <c r="M13" s="749">
        <f>L13*J13</f>
        <v>5873.104432505037</v>
      </c>
      <c r="N13" s="65"/>
      <c r="O13" s="62">
        <v>5674</v>
      </c>
      <c r="P13" s="63">
        <v>2324</v>
      </c>
      <c r="Q13" s="789" t="s">
        <v>770</v>
      </c>
      <c r="R13" s="73">
        <f>IF(O13=0,0,P13/O13)</f>
        <v>0.40958759252731758</v>
      </c>
      <c r="S13" s="65"/>
      <c r="T13" s="63">
        <v>5027</v>
      </c>
      <c r="U13" s="106" t="s">
        <v>771</v>
      </c>
      <c r="V13" s="63">
        <v>5027</v>
      </c>
      <c r="W13" s="476">
        <f t="shared" ref="W13:W78" si="0">IF(T13=0,0,V13/T13)</f>
        <v>1</v>
      </c>
      <c r="X13" s="65"/>
      <c r="Y13" s="65"/>
      <c r="Z13" s="62">
        <v>5027</v>
      </c>
      <c r="AA13" s="63">
        <v>2055.8000000000002</v>
      </c>
      <c r="AB13" s="1828" t="s">
        <v>772</v>
      </c>
      <c r="AC13" s="73">
        <f>IF(Z13=0,0,AA13/Z13)</f>
        <v>0.40895166103043568</v>
      </c>
      <c r="AD13" s="65"/>
      <c r="AE13" s="62">
        <v>4694.3999999999996</v>
      </c>
      <c r="AF13" s="1828" t="s">
        <v>772</v>
      </c>
      <c r="AG13" s="301">
        <v>874.9</v>
      </c>
      <c r="AI13" s="62">
        <f>AE13</f>
        <v>4694.3999999999996</v>
      </c>
      <c r="AJ13" s="63">
        <v>1445</v>
      </c>
      <c r="AK13" s="313" t="s">
        <v>768</v>
      </c>
      <c r="AL13" s="73">
        <f>IF(AI13=0,0,AJ13/AI13)</f>
        <v>0.30781356509884117</v>
      </c>
      <c r="AN13" s="62">
        <v>4457</v>
      </c>
      <c r="AO13" s="313" t="s">
        <v>768</v>
      </c>
      <c r="AP13" s="301">
        <v>864</v>
      </c>
      <c r="AQ13" s="752"/>
      <c r="AR13" s="62">
        <v>4457</v>
      </c>
      <c r="AS13" s="63">
        <v>868</v>
      </c>
      <c r="AT13" s="313" t="s">
        <v>768</v>
      </c>
      <c r="AU13" s="73">
        <f>IF(AR13=0,0,AS13/AR13)</f>
        <v>0.19474983172537583</v>
      </c>
      <c r="AW13" s="62">
        <v>3787</v>
      </c>
      <c r="AX13" s="313" t="s">
        <v>768</v>
      </c>
      <c r="AY13" s="301">
        <v>314</v>
      </c>
      <c r="BA13" s="62">
        <v>3787</v>
      </c>
      <c r="BB13" s="63">
        <v>1677</v>
      </c>
      <c r="BD13" s="73">
        <f>IF(BA13=0,0,BB13/BA13)</f>
        <v>0.44283073673092155</v>
      </c>
      <c r="BF13" s="62">
        <v>3454</v>
      </c>
      <c r="BG13" s="313"/>
      <c r="BH13" s="301">
        <f>1957*12/11</f>
        <v>2134.909090909091</v>
      </c>
    </row>
    <row r="14" spans="1:60" ht="14.75" customHeight="1" x14ac:dyDescent="0.35">
      <c r="A14" s="9153"/>
      <c r="B14" s="75"/>
      <c r="C14" s="755" t="s">
        <v>465</v>
      </c>
      <c r="E14" s="462"/>
      <c r="F14" s="756"/>
      <c r="G14" s="745"/>
      <c r="H14" s="757"/>
      <c r="I14" s="758"/>
      <c r="J14" s="754"/>
      <c r="K14" s="745"/>
      <c r="L14" s="746"/>
      <c r="M14" s="749"/>
      <c r="N14" s="80"/>
      <c r="O14" s="62"/>
      <c r="P14" s="63"/>
      <c r="Q14" s="789"/>
      <c r="R14" s="73"/>
      <c r="S14" s="80"/>
      <c r="T14" s="79"/>
      <c r="U14" s="106"/>
      <c r="V14" s="79"/>
      <c r="W14" s="476">
        <f t="shared" si="0"/>
        <v>0</v>
      </c>
      <c r="X14" s="80"/>
      <c r="Y14" s="80"/>
      <c r="Z14" s="78"/>
      <c r="AA14" s="79" t="s">
        <v>775</v>
      </c>
      <c r="AB14" s="1109"/>
      <c r="AC14" s="73"/>
      <c r="AD14" s="80"/>
      <c r="AE14" s="78"/>
      <c r="AF14" s="1109"/>
      <c r="AG14" s="759"/>
      <c r="AI14" s="78"/>
      <c r="AJ14" s="79"/>
      <c r="AK14" s="1109"/>
      <c r="AL14" s="73"/>
      <c r="AN14" s="78"/>
      <c r="AO14" s="1109"/>
      <c r="AP14" s="301"/>
      <c r="AQ14" s="755"/>
      <c r="AR14" s="78"/>
      <c r="AS14" s="79"/>
      <c r="AT14" s="1109"/>
      <c r="AU14" s="73"/>
      <c r="AW14" s="78"/>
      <c r="AX14" s="1109"/>
      <c r="AY14" s="301"/>
      <c r="BA14" s="78"/>
      <c r="BB14" s="79"/>
      <c r="BC14" s="1109"/>
      <c r="BD14" s="73"/>
      <c r="BF14" s="78"/>
      <c r="BG14" s="1109"/>
      <c r="BH14" s="301"/>
    </row>
    <row r="15" spans="1:60" ht="22.75" customHeight="1" x14ac:dyDescent="0.35">
      <c r="A15" s="9153"/>
      <c r="B15" s="85"/>
      <c r="C15" s="762" t="s">
        <v>466</v>
      </c>
      <c r="E15" s="223"/>
      <c r="F15" s="763"/>
      <c r="G15" s="745"/>
      <c r="H15" s="764">
        <f>SUM(H12:H13)</f>
        <v>162627</v>
      </c>
      <c r="I15" s="765">
        <f>SUM(I12:I13)</f>
        <v>147769</v>
      </c>
      <c r="J15" s="766">
        <f>IF(H15=0,0,I15/H15)</f>
        <v>0.90863755710921312</v>
      </c>
      <c r="K15" s="745"/>
      <c r="L15" s="764">
        <f>SUM(L12:L13)</f>
        <v>169045</v>
      </c>
      <c r="M15" s="767">
        <f>L15*J15</f>
        <v>153600.63584152694</v>
      </c>
      <c r="N15" s="80"/>
      <c r="O15" s="89">
        <v>169045</v>
      </c>
      <c r="P15" s="90">
        <v>148290</v>
      </c>
      <c r="Q15" s="1000" t="s">
        <v>770</v>
      </c>
      <c r="R15" s="91">
        <f>IF(O15=0,0,P15/O15)</f>
        <v>0.87722204146824811</v>
      </c>
      <c r="S15" s="80"/>
      <c r="T15" s="90">
        <v>182427</v>
      </c>
      <c r="U15" s="216" t="s">
        <v>771</v>
      </c>
      <c r="V15" s="90">
        <v>182427</v>
      </c>
      <c r="W15" s="476">
        <f t="shared" si="0"/>
        <v>1</v>
      </c>
      <c r="X15" s="80"/>
      <c r="Y15" s="80"/>
      <c r="Z15" s="89">
        <v>182426.9</v>
      </c>
      <c r="AA15" s="90">
        <f>SUM(AA12:AA14)</f>
        <v>175004.79999999999</v>
      </c>
      <c r="AB15" s="3221"/>
      <c r="AC15" s="91">
        <f>IF(Z15=0,0,AA15/Z15)</f>
        <v>0.95931466247576425</v>
      </c>
      <c r="AD15" s="80"/>
      <c r="AE15" s="89">
        <f>SUM(AE12:AE14)</f>
        <v>223195</v>
      </c>
      <c r="AF15" s="3221"/>
      <c r="AG15" s="309">
        <f>SUM(AG12:AG14)</f>
        <v>201626.69999999998</v>
      </c>
      <c r="AI15" s="89">
        <f>SUM(AI12:AI14)</f>
        <v>223195</v>
      </c>
      <c r="AJ15" s="90">
        <f>SUM(AJ12:AJ14)</f>
        <v>202677</v>
      </c>
      <c r="AK15" s="3221"/>
      <c r="AL15" s="91">
        <f>IF(AI15=0,0,AJ15/AI15)</f>
        <v>0.90807141737046082</v>
      </c>
      <c r="AN15" s="89">
        <f>SUM(AN12:AN14)</f>
        <v>263911</v>
      </c>
      <c r="AO15" s="3221"/>
      <c r="AP15" s="301">
        <f>SUM(AP12:AP14)</f>
        <v>231830</v>
      </c>
      <c r="AQ15" s="762"/>
      <c r="AR15" s="89">
        <v>263911</v>
      </c>
      <c r="AS15" s="90">
        <v>217424</v>
      </c>
      <c r="AT15" s="3221"/>
      <c r="AU15" s="91">
        <f>IF(AR15=0,0,AS15/AR15)</f>
        <v>0.82385349606496128</v>
      </c>
      <c r="AW15" s="89">
        <v>320400</v>
      </c>
      <c r="AX15" s="3221"/>
      <c r="AY15" s="301">
        <v>252370</v>
      </c>
      <c r="BA15" s="89">
        <f>SUM(BA12:BA14)</f>
        <v>320400</v>
      </c>
      <c r="BB15" s="90">
        <f>SUM(BB12:BB14)</f>
        <v>253558</v>
      </c>
      <c r="BC15" s="3221"/>
      <c r="BD15" s="91">
        <f>IF(BA15=0,0,BB15/BA15)</f>
        <v>0.79137952559300873</v>
      </c>
      <c r="BF15" s="89">
        <f>SUM(BF12:BF14)</f>
        <v>351526</v>
      </c>
      <c r="BG15" s="3221"/>
      <c r="BH15" s="301">
        <f>SUM(BH12:BH14)</f>
        <v>289111.63636363641</v>
      </c>
    </row>
    <row r="16" spans="1:60" x14ac:dyDescent="0.35">
      <c r="A16" s="9153"/>
      <c r="B16" s="100" t="s">
        <v>468</v>
      </c>
      <c r="C16" s="771"/>
      <c r="D16" s="729"/>
      <c r="E16" s="729"/>
      <c r="F16" s="772"/>
      <c r="G16" s="729"/>
      <c r="H16" s="773"/>
      <c r="I16" s="774"/>
      <c r="J16" s="775"/>
      <c r="K16" s="729"/>
      <c r="L16" s="773"/>
      <c r="M16" s="776"/>
      <c r="N16" s="43"/>
      <c r="O16" s="102"/>
      <c r="P16" s="106"/>
      <c r="Q16" s="106"/>
      <c r="R16" s="104"/>
      <c r="S16" s="43"/>
      <c r="T16" s="777"/>
      <c r="U16" s="106"/>
      <c r="V16" s="777"/>
      <c r="W16" s="476">
        <f t="shared" si="0"/>
        <v>0</v>
      </c>
      <c r="X16" s="43"/>
      <c r="Y16" s="43"/>
      <c r="Z16" s="777"/>
      <c r="AA16" s="1341"/>
      <c r="AB16" s="106" t="s">
        <v>776</v>
      </c>
      <c r="AC16" s="73"/>
      <c r="AD16" s="43"/>
      <c r="AE16" s="777"/>
      <c r="AF16" s="106" t="s">
        <v>776</v>
      </c>
      <c r="AG16" s="1341"/>
      <c r="AI16" s="777"/>
      <c r="AJ16" s="1341"/>
      <c r="AK16" s="106" t="s">
        <v>759</v>
      </c>
      <c r="AL16" s="73"/>
      <c r="AN16" s="777"/>
      <c r="AO16" s="106" t="s">
        <v>759</v>
      </c>
      <c r="AP16" s="1341"/>
      <c r="AQ16" s="771"/>
      <c r="AR16" s="777"/>
      <c r="AS16" s="1341"/>
      <c r="AT16" s="106" t="s">
        <v>762</v>
      </c>
      <c r="AU16" s="73"/>
      <c r="AW16" s="777"/>
      <c r="AX16" s="106" t="s">
        <v>759</v>
      </c>
      <c r="AY16" s="1341"/>
      <c r="BA16" s="777"/>
      <c r="BB16" s="1341"/>
      <c r="BC16" s="313" t="s">
        <v>768</v>
      </c>
      <c r="BD16" s="73"/>
      <c r="BF16" s="777"/>
      <c r="BG16" s="106" t="s">
        <v>768</v>
      </c>
      <c r="BH16" s="1341"/>
    </row>
    <row r="17" spans="1:60" x14ac:dyDescent="0.35">
      <c r="A17" s="9153"/>
      <c r="B17" s="6082"/>
      <c r="C17" s="778" t="s">
        <v>777</v>
      </c>
      <c r="D17" s="456">
        <v>2</v>
      </c>
      <c r="F17" s="779"/>
      <c r="H17" s="780">
        <f>134896+10484</f>
        <v>145380</v>
      </c>
      <c r="I17" s="781">
        <f>110567+18490</f>
        <v>129057</v>
      </c>
      <c r="J17" s="782">
        <f>IF(H17=0,0,I17/H17)</f>
        <v>0.88772183243912506</v>
      </c>
      <c r="L17" s="780">
        <f>127371+31821</f>
        <v>159192</v>
      </c>
      <c r="M17" s="783">
        <f>L17*J17</f>
        <v>141318.21394964919</v>
      </c>
      <c r="O17" s="112">
        <f>149399+7971</f>
        <v>157370</v>
      </c>
      <c r="P17" s="115">
        <f>129526+3973</f>
        <v>133499</v>
      </c>
      <c r="Q17" s="789" t="s">
        <v>778</v>
      </c>
      <c r="R17" s="476">
        <f>IF(O17=0,0,P17/O17)</f>
        <v>0.8483128931816738</v>
      </c>
      <c r="T17" s="117">
        <v>163751</v>
      </c>
      <c r="U17" s="789" t="s">
        <v>779</v>
      </c>
      <c r="V17" s="117">
        <v>163751</v>
      </c>
      <c r="W17" s="476">
        <f t="shared" si="0"/>
        <v>1</v>
      </c>
      <c r="Z17" s="117">
        <f>164335.8-Z19</f>
        <v>132666.69999999998</v>
      </c>
      <c r="AA17" s="115">
        <f>157249.6-AA19</f>
        <v>124158.8</v>
      </c>
      <c r="AB17" s="313" t="s">
        <v>780</v>
      </c>
      <c r="AC17" s="476">
        <f>IF(Z17=0,0,AA17/Z17)</f>
        <v>0.93587011661554875</v>
      </c>
      <c r="AE17" s="117">
        <f>187404.5-AE19</f>
        <v>152046.9</v>
      </c>
      <c r="AF17" s="313" t="s">
        <v>780</v>
      </c>
      <c r="AG17" s="115">
        <f>175795.2-AG19</f>
        <v>143681.20000000001</v>
      </c>
      <c r="AI17" s="117">
        <f>AE17</f>
        <v>152046.9</v>
      </c>
      <c r="AJ17" s="115">
        <f>179404-AJ19</f>
        <v>144088</v>
      </c>
      <c r="AK17" s="313" t="s">
        <v>768</v>
      </c>
      <c r="AL17" s="476">
        <f>IF(AI17=0,0,AJ17/AI17)</f>
        <v>0.9476549669871599</v>
      </c>
      <c r="AN17" s="117">
        <f>193301-AN19</f>
        <v>155381</v>
      </c>
      <c r="AO17" s="313" t="s">
        <v>768</v>
      </c>
      <c r="AP17" s="115">
        <f>223264-AP19</f>
        <v>167787</v>
      </c>
      <c r="AQ17" s="778" t="s">
        <v>781</v>
      </c>
      <c r="AR17" s="117">
        <f>210577-AR19</f>
        <v>172657</v>
      </c>
      <c r="AS17" s="115">
        <f>191473-AS19</f>
        <v>149707</v>
      </c>
      <c r="AT17" s="313" t="s">
        <v>768</v>
      </c>
      <c r="AU17" s="476">
        <f>IF(AR17=0,0,AS17/AR17)</f>
        <v>0.86707750047782595</v>
      </c>
      <c r="AW17" s="117">
        <f>266727-AW19</f>
        <v>217985</v>
      </c>
      <c r="AX17" s="313" t="s">
        <v>768</v>
      </c>
      <c r="AY17" s="115">
        <f>226758-AY19</f>
        <v>180611</v>
      </c>
      <c r="BA17" s="117">
        <f>266727-BA19</f>
        <v>217985</v>
      </c>
      <c r="BB17" s="115">
        <f>238148-BB19</f>
        <v>188651</v>
      </c>
      <c r="BD17" s="476">
        <f>IF(BA17=0,0,BB17/BA17)</f>
        <v>0.8654311076450214</v>
      </c>
      <c r="BF17" s="117">
        <f>295280-BF19</f>
        <v>238212</v>
      </c>
      <c r="BG17" s="313"/>
      <c r="BH17" s="115">
        <f>238312*12/11-BH19</f>
        <v>194607.92727272725</v>
      </c>
    </row>
    <row r="18" spans="1:60" x14ac:dyDescent="0.35">
      <c r="A18" s="9153"/>
      <c r="B18" s="6082"/>
      <c r="C18" s="778" t="s">
        <v>782</v>
      </c>
      <c r="D18" s="456">
        <v>3</v>
      </c>
      <c r="F18" s="779"/>
      <c r="H18" s="785">
        <f>65157</f>
        <v>65157</v>
      </c>
      <c r="I18" s="786">
        <f>59151</f>
        <v>59151</v>
      </c>
      <c r="J18" s="782">
        <f>IF(H18=0,0,I18/H18)</f>
        <v>0.90782264376812927</v>
      </c>
      <c r="L18" s="785">
        <v>80476</v>
      </c>
      <c r="M18" s="783">
        <f>L18*J18</f>
        <v>73057.935079883973</v>
      </c>
      <c r="O18" s="117">
        <v>80476</v>
      </c>
      <c r="P18" s="115">
        <v>63676</v>
      </c>
      <c r="Q18" s="789" t="s">
        <v>783</v>
      </c>
      <c r="R18" s="476">
        <f>IF(O18=0,0,P18/O18)</f>
        <v>0.79124210944877971</v>
      </c>
      <c r="T18" s="117">
        <v>95508</v>
      </c>
      <c r="U18" s="789" t="s">
        <v>779</v>
      </c>
      <c r="V18" s="117">
        <v>95508</v>
      </c>
      <c r="W18" s="476">
        <f t="shared" si="0"/>
        <v>1</v>
      </c>
      <c r="Z18" s="117">
        <v>92635.6</v>
      </c>
      <c r="AA18" s="115">
        <v>81453.2</v>
      </c>
      <c r="AB18" s="313" t="s">
        <v>784</v>
      </c>
      <c r="AC18" s="476">
        <f>IF(Z18=0,0,AA18/Z18)</f>
        <v>0.87928614916943371</v>
      </c>
      <c r="AE18" s="117">
        <v>115519.7</v>
      </c>
      <c r="AF18" s="313" t="s">
        <v>784</v>
      </c>
      <c r="AG18" s="115">
        <v>78104.100000000006</v>
      </c>
      <c r="AI18" s="117">
        <f>AE18</f>
        <v>115519.7</v>
      </c>
      <c r="AJ18" s="115">
        <v>87482</v>
      </c>
      <c r="AK18" s="313"/>
      <c r="AL18" s="476">
        <f>IF(AI18=0,0,AJ18/AI18)</f>
        <v>0.75729074781184513</v>
      </c>
      <c r="AN18" s="117">
        <v>153688</v>
      </c>
      <c r="AO18" s="313"/>
      <c r="AP18" s="115">
        <v>102492</v>
      </c>
      <c r="AQ18" s="778" t="s">
        <v>785</v>
      </c>
      <c r="AR18" s="117">
        <v>153688</v>
      </c>
      <c r="AS18" s="115">
        <v>122154</v>
      </c>
      <c r="AT18" s="313"/>
      <c r="AU18" s="476">
        <f>IF(AR18=0,0,AS18/AR18)</f>
        <v>0.79481807297902241</v>
      </c>
      <c r="AW18" s="117">
        <v>173449</v>
      </c>
      <c r="AX18" s="313"/>
      <c r="AY18" s="115">
        <v>116971</v>
      </c>
      <c r="BA18" s="117">
        <v>173449</v>
      </c>
      <c r="BB18" s="115">
        <v>151055</v>
      </c>
      <c r="BC18" s="313"/>
      <c r="BD18" s="476">
        <f>IF(BA18=0,0,BB18/BA18)</f>
        <v>0.87089000224849955</v>
      </c>
      <c r="BF18" s="117">
        <v>202349</v>
      </c>
      <c r="BG18" s="313"/>
      <c r="BH18" s="115">
        <f>151091*12/11</f>
        <v>164826.54545454544</v>
      </c>
    </row>
    <row r="19" spans="1:60" x14ac:dyDescent="0.35">
      <c r="A19" s="9153"/>
      <c r="B19" s="6082"/>
      <c r="C19" s="787" t="s">
        <v>786</v>
      </c>
      <c r="F19" s="788"/>
      <c r="H19" s="785"/>
      <c r="I19" s="786"/>
      <c r="J19" s="782">
        <f>IF(H19=0,0,I19/H19)</f>
        <v>0</v>
      </c>
      <c r="L19" s="785"/>
      <c r="M19" s="783">
        <f>L19*J19</f>
        <v>0</v>
      </c>
      <c r="O19" s="117"/>
      <c r="P19" s="115"/>
      <c r="Q19" s="789"/>
      <c r="R19" s="476">
        <f>IF(O19=0,0,P19/O19)</f>
        <v>0</v>
      </c>
      <c r="T19" s="117">
        <v>4906</v>
      </c>
      <c r="U19" s="789" t="s">
        <v>779</v>
      </c>
      <c r="V19" s="117">
        <v>4906</v>
      </c>
      <c r="W19" s="476">
        <f t="shared" si="0"/>
        <v>1</v>
      </c>
      <c r="Z19" s="117">
        <v>31669.1</v>
      </c>
      <c r="AA19" s="115">
        <v>33090.800000000003</v>
      </c>
      <c r="AB19" s="313" t="s">
        <v>780</v>
      </c>
      <c r="AC19" s="476">
        <f>IF(Z19=0,0,AA19/Z19)</f>
        <v>1.04489233985178</v>
      </c>
      <c r="AE19" s="117">
        <v>35357.599999999999</v>
      </c>
      <c r="AF19" s="313" t="s">
        <v>780</v>
      </c>
      <c r="AG19" s="115">
        <v>32114</v>
      </c>
      <c r="AI19" s="117">
        <f>AE19</f>
        <v>35357.599999999999</v>
      </c>
      <c r="AJ19" s="115">
        <v>35316</v>
      </c>
      <c r="AK19" s="313" t="s">
        <v>787</v>
      </c>
      <c r="AL19" s="476">
        <f>IF(AI19=0,0,AJ19/AI19)</f>
        <v>0.9988234495553997</v>
      </c>
      <c r="AN19" s="117">
        <v>37920</v>
      </c>
      <c r="AO19" s="313" t="s">
        <v>787</v>
      </c>
      <c r="AP19" s="115">
        <v>55477</v>
      </c>
      <c r="AQ19" s="787"/>
      <c r="AR19" s="117">
        <v>37920</v>
      </c>
      <c r="AS19" s="115">
        <v>41766</v>
      </c>
      <c r="AT19" s="313" t="s">
        <v>788</v>
      </c>
      <c r="AU19" s="476">
        <f>IF(AR19=0,0,AS19/AR19)</f>
        <v>1.1014240506329114</v>
      </c>
      <c r="AW19" s="117">
        <v>48742</v>
      </c>
      <c r="AX19" s="313" t="s">
        <v>787</v>
      </c>
      <c r="AY19" s="115">
        <v>46147</v>
      </c>
      <c r="BA19" s="117">
        <v>48742</v>
      </c>
      <c r="BB19" s="115">
        <v>49497</v>
      </c>
      <c r="BC19" s="254" t="s">
        <v>788</v>
      </c>
      <c r="BD19" s="476">
        <f>IF(BA19=0,0,BB19/BA19)</f>
        <v>1.0154897213901768</v>
      </c>
      <c r="BF19" s="117">
        <v>57068</v>
      </c>
      <c r="BG19" s="254" t="s">
        <v>788</v>
      </c>
      <c r="BH19" s="115">
        <f>54474*12/10</f>
        <v>65368.800000000003</v>
      </c>
    </row>
    <row r="20" spans="1:60" x14ac:dyDescent="0.35">
      <c r="A20" s="9153"/>
      <c r="B20" s="6082"/>
      <c r="C20" s="787" t="s">
        <v>478</v>
      </c>
      <c r="F20" s="790"/>
      <c r="H20" s="791"/>
      <c r="I20" s="792"/>
      <c r="J20" s="782"/>
      <c r="L20" s="785"/>
      <c r="M20" s="783"/>
      <c r="O20" s="117"/>
      <c r="P20" s="123"/>
      <c r="Q20" s="789"/>
      <c r="R20" s="476">
        <f>IF(O20=0,0,P20/O20)</f>
        <v>0</v>
      </c>
      <c r="T20" s="114"/>
      <c r="U20" s="789"/>
      <c r="V20" s="114"/>
      <c r="W20" s="476">
        <f t="shared" si="0"/>
        <v>0</v>
      </c>
      <c r="Z20" s="114"/>
      <c r="AA20" s="123"/>
      <c r="AB20" s="106"/>
      <c r="AC20" s="476">
        <f>IF(Z20=0,0,AA20/Z20)</f>
        <v>0</v>
      </c>
      <c r="AE20" s="114"/>
      <c r="AF20" s="106"/>
      <c r="AG20" s="123"/>
      <c r="AI20" s="117">
        <f>AE20</f>
        <v>0</v>
      </c>
      <c r="AJ20" s="123"/>
      <c r="AK20" s="106"/>
      <c r="AL20" s="476">
        <f>IF(AI20=0,0,AJ20/AI20)</f>
        <v>0</v>
      </c>
      <c r="AN20" s="117"/>
      <c r="AO20" s="106"/>
      <c r="AP20" s="115"/>
      <c r="AQ20" s="787"/>
      <c r="AR20" s="117">
        <f>AN20</f>
        <v>0</v>
      </c>
      <c r="AS20" s="123"/>
      <c r="AT20" s="106"/>
      <c r="AU20" s="476">
        <f>IF(AR20=0,0,AS20/AR20)</f>
        <v>0</v>
      </c>
      <c r="AW20" s="117"/>
      <c r="AX20" s="106"/>
      <c r="AY20" s="115"/>
      <c r="BA20" s="117"/>
      <c r="BB20" s="123"/>
      <c r="BC20" s="106"/>
      <c r="BD20" s="476">
        <f>IF(BA20=0,0,BB20/BA20)</f>
        <v>0</v>
      </c>
      <c r="BF20" s="117"/>
      <c r="BG20" s="106"/>
      <c r="BH20" s="115"/>
    </row>
    <row r="21" spans="1:60" x14ac:dyDescent="0.35">
      <c r="A21" s="9153"/>
      <c r="B21" s="128"/>
      <c r="C21" s="794" t="s">
        <v>479</v>
      </c>
      <c r="E21" s="729"/>
      <c r="F21" s="795"/>
      <c r="H21" s="796">
        <f>SUM(H17:H19)</f>
        <v>210537</v>
      </c>
      <c r="I21" s="797">
        <f>SUM(I17:I19)</f>
        <v>188208</v>
      </c>
      <c r="J21" s="798">
        <f>IF(H21=0,0,I21/H21)</f>
        <v>0.89394263241140515</v>
      </c>
      <c r="L21" s="796">
        <f>SUM(L17:L19)</f>
        <v>239668</v>
      </c>
      <c r="M21" s="799">
        <f>L21*J21</f>
        <v>214249.44282477666</v>
      </c>
      <c r="O21" s="131">
        <v>239668</v>
      </c>
      <c r="P21" s="132">
        <v>204380</v>
      </c>
      <c r="Q21" s="789" t="s">
        <v>783</v>
      </c>
      <c r="R21" s="484">
        <f>IF(O21=0,0,P21/O21)</f>
        <v>0.85276298880117496</v>
      </c>
      <c r="T21" s="131">
        <v>264565</v>
      </c>
      <c r="U21" s="789" t="s">
        <v>771</v>
      </c>
      <c r="V21" s="131">
        <v>264565</v>
      </c>
      <c r="W21" s="476">
        <f t="shared" si="0"/>
        <v>1</v>
      </c>
      <c r="Z21" s="131">
        <v>264564.5</v>
      </c>
      <c r="AA21" s="132">
        <v>239267</v>
      </c>
      <c r="AB21" s="106"/>
      <c r="AC21" s="484">
        <f>IF(Z21=0,0,AA21/Z21)</f>
        <v>0.90438059528016801</v>
      </c>
      <c r="AE21" s="131">
        <f>SUM(AE17:AE20)</f>
        <v>302924.19999999995</v>
      </c>
      <c r="AF21" s="106"/>
      <c r="AG21" s="132">
        <f>SUM(AG17:AG20)</f>
        <v>253899.30000000002</v>
      </c>
      <c r="AI21" s="131">
        <f>SUM(AI17:AI20)</f>
        <v>302924.19999999995</v>
      </c>
      <c r="AJ21" s="132">
        <f>SUM(AJ17:AJ20)</f>
        <v>266886</v>
      </c>
      <c r="AK21" s="106"/>
      <c r="AL21" s="484">
        <f>IF(AI21=0,0,AJ21/AI21)</f>
        <v>0.8810322846441454</v>
      </c>
      <c r="AN21" s="131">
        <f>SUM(AN17:AN20)</f>
        <v>346989</v>
      </c>
      <c r="AO21" s="106"/>
      <c r="AP21" s="115">
        <f>SUM(AP17:AP20)</f>
        <v>325756</v>
      </c>
      <c r="AQ21" s="794"/>
      <c r="AR21" s="131">
        <f>SUM(AR17:AR20)</f>
        <v>364265</v>
      </c>
      <c r="AS21" s="132">
        <f>SUM(AS17:AS20)</f>
        <v>313627</v>
      </c>
      <c r="AT21" s="106"/>
      <c r="AU21" s="484">
        <f>IF(AR21=0,0,AS21/AR21)</f>
        <v>0.86098582076235708</v>
      </c>
      <c r="AW21" s="131">
        <f>SUM(AW17:AW20)</f>
        <v>440176</v>
      </c>
      <c r="AX21" s="106"/>
      <c r="AY21" s="115">
        <f>SUM(AY17:AY20)</f>
        <v>343729</v>
      </c>
      <c r="BA21" s="131">
        <f>SUM(BA17:BA20)</f>
        <v>440176</v>
      </c>
      <c r="BB21" s="132">
        <f>SUM(BB17:BB20)</f>
        <v>389203</v>
      </c>
      <c r="BC21" s="106"/>
      <c r="BD21" s="484">
        <f>IF(BA21=0,0,BB21/BA21)</f>
        <v>0.88419859328995676</v>
      </c>
      <c r="BF21" s="131">
        <f>SUM(BF17:BF20)</f>
        <v>497629</v>
      </c>
      <c r="BG21" s="106"/>
      <c r="BH21" s="115">
        <f>SUM(BH17:BH20)</f>
        <v>424803.27272727265</v>
      </c>
    </row>
    <row r="22" spans="1:60" x14ac:dyDescent="0.35">
      <c r="A22" s="9153"/>
      <c r="B22" s="139" t="s">
        <v>480</v>
      </c>
      <c r="C22" s="771"/>
      <c r="D22" s="801"/>
      <c r="F22" s="802"/>
      <c r="G22" s="801"/>
      <c r="H22" s="803"/>
      <c r="I22" s="804"/>
      <c r="J22" s="805"/>
      <c r="K22" s="801"/>
      <c r="L22" s="147" t="s">
        <v>789</v>
      </c>
      <c r="M22" s="806"/>
      <c r="N22" s="141"/>
      <c r="O22" s="144"/>
      <c r="P22" s="145"/>
      <c r="Q22" s="145"/>
      <c r="R22" s="486"/>
      <c r="S22" s="141"/>
      <c r="T22" s="151"/>
      <c r="U22" s="145"/>
      <c r="V22" s="148"/>
      <c r="W22" s="476">
        <f t="shared" si="0"/>
        <v>0</v>
      </c>
      <c r="X22" s="141"/>
      <c r="Y22" s="141"/>
      <c r="Z22" s="144"/>
      <c r="AA22" s="145"/>
      <c r="AB22" s="103" t="s">
        <v>790</v>
      </c>
      <c r="AC22" s="486"/>
      <c r="AD22" s="141"/>
      <c r="AE22" s="151"/>
      <c r="AF22" s="103" t="s">
        <v>790</v>
      </c>
      <c r="AG22" s="148"/>
      <c r="AI22" s="144"/>
      <c r="AJ22" s="145"/>
      <c r="AK22" s="103" t="s">
        <v>788</v>
      </c>
      <c r="AL22" s="486"/>
      <c r="AN22" s="151"/>
      <c r="AO22" s="103" t="s">
        <v>788</v>
      </c>
      <c r="AP22" s="148"/>
      <c r="AQ22" s="771"/>
      <c r="AR22" s="144"/>
      <c r="AS22" s="145"/>
      <c r="AT22" s="103" t="s">
        <v>788</v>
      </c>
      <c r="AU22" s="486"/>
      <c r="AW22" s="151"/>
      <c r="AX22" s="103" t="s">
        <v>788</v>
      </c>
      <c r="AY22" s="148"/>
      <c r="BA22" s="144"/>
      <c r="BB22" s="145"/>
      <c r="BC22" s="231" t="s">
        <v>788</v>
      </c>
      <c r="BD22" s="486"/>
      <c r="BF22" s="151"/>
      <c r="BG22" s="103" t="s">
        <v>788</v>
      </c>
      <c r="BH22" s="148"/>
    </row>
    <row r="23" spans="1:60" x14ac:dyDescent="0.35">
      <c r="A23" s="9153"/>
      <c r="B23" s="6082"/>
      <c r="C23" s="778" t="s">
        <v>483</v>
      </c>
      <c r="F23" s="788"/>
      <c r="H23" s="785"/>
      <c r="I23" s="786"/>
      <c r="J23" s="782">
        <f>IF(H23=0,0,I23/H23)</f>
        <v>0</v>
      </c>
      <c r="L23" s="807">
        <f>3200.3242+10605.1568+216.5983+450.3121</f>
        <v>14472.391399999999</v>
      </c>
      <c r="M23" s="808">
        <f>L23*J23</f>
        <v>0</v>
      </c>
      <c r="O23" s="117"/>
      <c r="P23" s="115"/>
      <c r="Q23" s="789"/>
      <c r="R23" s="476">
        <f>IF(O23=0,0,P23/O23)</f>
        <v>0</v>
      </c>
      <c r="T23" s="156"/>
      <c r="U23" s="789"/>
      <c r="V23" s="157">
        <f>T23*R23</f>
        <v>0</v>
      </c>
      <c r="W23" s="476">
        <f t="shared" si="0"/>
        <v>0</v>
      </c>
      <c r="Z23" s="117">
        <v>42489.1</v>
      </c>
      <c r="AA23" s="115">
        <v>39949.599999999999</v>
      </c>
      <c r="AB23" s="789"/>
      <c r="AC23" s="476">
        <f>IF(Z23=0,0,AA23/Z23)</f>
        <v>0.94023173002016991</v>
      </c>
      <c r="AE23" s="156">
        <v>49746.400000000001</v>
      </c>
      <c r="AF23" s="789"/>
      <c r="AG23" s="611">
        <v>48726.400000000001</v>
      </c>
      <c r="AI23" s="117">
        <f>AE23</f>
        <v>49746.400000000001</v>
      </c>
      <c r="AJ23" s="115">
        <v>40031.800000000003</v>
      </c>
      <c r="AK23" s="789"/>
      <c r="AL23" s="476">
        <f>IF(AI23=0,0,AJ23/AI23)</f>
        <v>0.8047175272984578</v>
      </c>
      <c r="AN23" s="117">
        <v>52696.4</v>
      </c>
      <c r="AO23" s="789"/>
      <c r="AP23" s="611">
        <v>47366.3</v>
      </c>
      <c r="AQ23" s="778"/>
      <c r="AR23" s="117"/>
      <c r="AS23" s="115"/>
      <c r="AT23" s="789"/>
      <c r="AU23" s="476">
        <f>IF(AR23=0,0,AS23/AR23)</f>
        <v>0</v>
      </c>
      <c r="AW23" s="117"/>
      <c r="AX23" s="789"/>
      <c r="AY23" s="611"/>
      <c r="BA23" s="117"/>
      <c r="BB23" s="115"/>
      <c r="BC23" s="789"/>
      <c r="BD23" s="476">
        <f>IF(BA23=0,0,BB23/BA23)</f>
        <v>0</v>
      </c>
      <c r="BF23" s="117"/>
      <c r="BG23" s="789"/>
      <c r="BH23" s="611"/>
    </row>
    <row r="24" spans="1:60" x14ac:dyDescent="0.35">
      <c r="A24" s="9153"/>
      <c r="B24" s="6082"/>
      <c r="C24" s="778" t="s">
        <v>489</v>
      </c>
      <c r="F24" s="788"/>
      <c r="H24" s="785"/>
      <c r="I24" s="786"/>
      <c r="J24" s="782">
        <f>IF(H24=0,0,I24/H24)</f>
        <v>0</v>
      </c>
      <c r="L24" s="807"/>
      <c r="M24" s="808">
        <f>L24*J24</f>
        <v>0</v>
      </c>
      <c r="O24" s="117"/>
      <c r="P24" s="115"/>
      <c r="Q24" s="789"/>
      <c r="R24" s="476">
        <f>IF(O24=0,0,P24/O24)</f>
        <v>0</v>
      </c>
      <c r="T24" s="156"/>
      <c r="U24" s="789"/>
      <c r="V24" s="157">
        <f>T24*R24</f>
        <v>0</v>
      </c>
      <c r="W24" s="476">
        <f t="shared" si="0"/>
        <v>0</v>
      </c>
      <c r="Z24" s="117"/>
      <c r="AA24" s="115"/>
      <c r="AB24" s="789"/>
      <c r="AC24" s="476">
        <f>IF(Z24=0,0,AA24/Z24)</f>
        <v>0</v>
      </c>
      <c r="AE24" s="156"/>
      <c r="AF24" s="789"/>
      <c r="AG24" s="611">
        <f>AE24*AC24</f>
        <v>0</v>
      </c>
      <c r="AI24" s="117"/>
      <c r="AJ24" s="115"/>
      <c r="AK24" s="789"/>
      <c r="AL24" s="476">
        <f>IF(AI24=0,0,AJ24/AI24)</f>
        <v>0</v>
      </c>
      <c r="AN24" s="156"/>
      <c r="AO24" s="789"/>
      <c r="AP24" s="611"/>
      <c r="AQ24" s="778"/>
      <c r="AR24" s="117">
        <v>53210</v>
      </c>
      <c r="AS24" s="115">
        <v>47847</v>
      </c>
      <c r="AT24" s="789"/>
      <c r="AU24" s="476">
        <f>IF(AR24=0,0,AS24/AR24)</f>
        <v>0.89921067468520954</v>
      </c>
      <c r="AW24" s="117">
        <v>57994</v>
      </c>
      <c r="AX24" s="789"/>
      <c r="AY24" s="611">
        <v>53447</v>
      </c>
      <c r="BA24" s="117">
        <v>57994</v>
      </c>
      <c r="BB24" s="115">
        <v>53400</v>
      </c>
      <c r="BC24" s="119" t="s">
        <v>791</v>
      </c>
      <c r="BD24" s="476">
        <f>IF(BA24=0,0,BB24/BA24)</f>
        <v>0.92078490878366726</v>
      </c>
      <c r="BF24" s="117">
        <v>60109</v>
      </c>
      <c r="BG24" s="119" t="s">
        <v>791</v>
      </c>
      <c r="BH24" s="611">
        <f>55483*12/10</f>
        <v>66579.600000000006</v>
      </c>
    </row>
    <row r="25" spans="1:60" x14ac:dyDescent="0.35">
      <c r="A25" s="9153"/>
      <c r="B25" s="6082"/>
      <c r="C25" s="778" t="s">
        <v>490</v>
      </c>
      <c r="F25" s="788"/>
      <c r="H25" s="785"/>
      <c r="I25" s="786"/>
      <c r="J25" s="782">
        <f>IF(H25=0,0,I25/H25)</f>
        <v>0</v>
      </c>
      <c r="L25" s="807"/>
      <c r="M25" s="808">
        <f>L25*J25</f>
        <v>0</v>
      </c>
      <c r="O25" s="117"/>
      <c r="P25" s="115"/>
      <c r="Q25" s="789"/>
      <c r="R25" s="476">
        <f>IF(O25=0,0,P25/O25)</f>
        <v>0</v>
      </c>
      <c r="T25" s="156"/>
      <c r="U25" s="789"/>
      <c r="V25" s="157">
        <f>T25*R25</f>
        <v>0</v>
      </c>
      <c r="W25" s="476">
        <f t="shared" si="0"/>
        <v>0</v>
      </c>
      <c r="Z25" s="117">
        <v>11143.9</v>
      </c>
      <c r="AA25" s="115">
        <v>10629.9</v>
      </c>
      <c r="AB25" s="789" t="s">
        <v>792</v>
      </c>
      <c r="AC25" s="476">
        <f>IF(Z25=0,0,AA25/Z25)</f>
        <v>0.95387611159468411</v>
      </c>
      <c r="AE25" s="156">
        <v>12667</v>
      </c>
      <c r="AF25" s="789" t="s">
        <v>792</v>
      </c>
      <c r="AG25" s="611">
        <v>14645.2</v>
      </c>
      <c r="AI25" s="117">
        <f>AE25</f>
        <v>12667</v>
      </c>
      <c r="AJ25" s="115">
        <v>15520</v>
      </c>
      <c r="AK25" s="789"/>
      <c r="AL25" s="476">
        <f>IF(AI25=0,0,AJ25/AI25)</f>
        <v>1.2252309149759217</v>
      </c>
      <c r="AN25" s="3222">
        <v>13686.3</v>
      </c>
      <c r="AO25" s="789"/>
      <c r="AP25" s="611">
        <v>14742.9</v>
      </c>
      <c r="AQ25" s="778"/>
      <c r="AR25" s="117">
        <v>13686</v>
      </c>
      <c r="AS25" s="115">
        <v>14709</v>
      </c>
      <c r="AT25" s="789"/>
      <c r="AU25" s="476">
        <f>IF(AR25=0,0,AS25/AR25)</f>
        <v>1.0747479175800088</v>
      </c>
      <c r="AW25" s="3222">
        <v>26527</v>
      </c>
      <c r="AX25" s="789"/>
      <c r="AY25" s="611">
        <v>15039</v>
      </c>
      <c r="BA25" s="117">
        <v>26527</v>
      </c>
      <c r="BB25" s="115">
        <v>15012</v>
      </c>
      <c r="BC25" s="119" t="s">
        <v>793</v>
      </c>
      <c r="BD25" s="476">
        <f>IF(BA25=0,0,BB25/BA25)</f>
        <v>0.56591397444113545</v>
      </c>
      <c r="BF25" s="3222">
        <v>27118</v>
      </c>
      <c r="BG25" s="119" t="s">
        <v>793</v>
      </c>
      <c r="BH25" s="611">
        <f>16174*12/10</f>
        <v>19408.8</v>
      </c>
    </row>
    <row r="26" spans="1:60" x14ac:dyDescent="0.35">
      <c r="A26" s="9153"/>
      <c r="B26" s="6082"/>
      <c r="C26" s="817" t="s">
        <v>497</v>
      </c>
      <c r="E26" s="801"/>
      <c r="F26" s="790"/>
      <c r="H26" s="818"/>
      <c r="I26" s="819"/>
      <c r="J26" s="782">
        <f>IF(H26=0,0,I26/H26)</f>
        <v>0</v>
      </c>
      <c r="L26" s="820"/>
      <c r="M26" s="808">
        <f>L26*J26</f>
        <v>0</v>
      </c>
      <c r="O26" s="164"/>
      <c r="P26" s="165"/>
      <c r="Q26" s="106"/>
      <c r="R26" s="476">
        <f>IF(O26=0,0,P26/O26)</f>
        <v>0</v>
      </c>
      <c r="T26" s="156"/>
      <c r="U26" s="106"/>
      <c r="V26" s="157">
        <f>T26*R26</f>
        <v>0</v>
      </c>
      <c r="W26" s="476">
        <f t="shared" si="0"/>
        <v>0</v>
      </c>
      <c r="Z26" s="164"/>
      <c r="AA26" s="165"/>
      <c r="AB26" s="106"/>
      <c r="AC26" s="476">
        <f>IF(Z26=0,0,AA26/Z26)</f>
        <v>0</v>
      </c>
      <c r="AE26" s="156"/>
      <c r="AF26" s="106"/>
      <c r="AG26" s="611">
        <f>AE26*AC26</f>
        <v>0</v>
      </c>
      <c r="AI26" s="164"/>
      <c r="AJ26" s="165"/>
      <c r="AK26" s="106"/>
      <c r="AL26" s="476">
        <f>IF(AI26=0,0,AJ26/AI26)</f>
        <v>0</v>
      </c>
      <c r="AN26" s="156"/>
      <c r="AO26" s="106"/>
      <c r="AP26" s="611"/>
      <c r="AQ26" s="817"/>
      <c r="AR26" s="164"/>
      <c r="AS26" s="165"/>
      <c r="AT26" s="106"/>
      <c r="AU26" s="476">
        <f>IF(AR26=0,0,AS26/AR26)</f>
        <v>0</v>
      </c>
      <c r="AW26" s="156"/>
      <c r="AX26" s="106"/>
      <c r="AY26" s="611"/>
      <c r="BA26" s="164"/>
      <c r="BB26" s="165"/>
      <c r="BC26" s="106"/>
      <c r="BD26" s="476">
        <f>IF(BA26=0,0,BB26/BA26)</f>
        <v>0</v>
      </c>
      <c r="BF26" s="156"/>
      <c r="BG26" s="106"/>
      <c r="BH26" s="611"/>
    </row>
    <row r="27" spans="1:60" x14ac:dyDescent="0.35">
      <c r="A27" s="9153"/>
      <c r="B27" s="128"/>
      <c r="C27" s="794" t="s">
        <v>499</v>
      </c>
      <c r="F27" s="822">
        <f>IF(F24=0,0,(F25-F26)/F24)</f>
        <v>0</v>
      </c>
      <c r="G27" s="823"/>
      <c r="H27" s="824">
        <f>IF(H24=0,0,(H25-H26)/H24)</f>
        <v>0</v>
      </c>
      <c r="I27" s="825">
        <f>IF(I24=0,0,(I25-I26)/I24)</f>
        <v>0</v>
      </c>
      <c r="J27" s="826"/>
      <c r="K27" s="823"/>
      <c r="L27" s="827">
        <f>IF(L24=0,0,L25/L24)</f>
        <v>0</v>
      </c>
      <c r="M27" s="828">
        <f>IF(M24=0,0,M25/M24)</f>
        <v>0</v>
      </c>
      <c r="N27" s="170"/>
      <c r="O27" s="492"/>
      <c r="P27" s="497"/>
      <c r="Q27" s="497"/>
      <c r="R27" s="494"/>
      <c r="S27" s="170"/>
      <c r="T27" s="495">
        <f>IF(T24=0,0,T25/T24)</f>
        <v>0</v>
      </c>
      <c r="U27" s="497"/>
      <c r="V27" s="496">
        <f>IF(V24=0,0,V25/V24)</f>
        <v>0</v>
      </c>
      <c r="W27" s="476">
        <f t="shared" si="0"/>
        <v>0</v>
      </c>
      <c r="X27" s="170"/>
      <c r="Y27" s="170"/>
      <c r="Z27" s="492"/>
      <c r="AA27" s="497"/>
      <c r="AB27" s="497"/>
      <c r="AC27" s="494"/>
      <c r="AD27" s="170"/>
      <c r="AE27" s="495">
        <f>IF(AE24=0,0,AE25/AE24)</f>
        <v>0</v>
      </c>
      <c r="AF27" s="497"/>
      <c r="AG27" s="496">
        <f>IF(AG24=0,0,AG25/AG24)</f>
        <v>0</v>
      </c>
      <c r="AI27" s="492"/>
      <c r="AJ27" s="497"/>
      <c r="AK27" s="497"/>
      <c r="AL27" s="494"/>
      <c r="AN27" s="495">
        <f>IF(AN24=0,0,AN25/AN24)</f>
        <v>0</v>
      </c>
      <c r="AO27" s="497"/>
      <c r="AP27" s="496">
        <f>IF(AP24=0,0,AP25/AP24)</f>
        <v>0</v>
      </c>
      <c r="AQ27" s="794"/>
      <c r="AR27" s="495">
        <f>IF(AR24=0,0,AR25/AR24)</f>
        <v>0.25720729186243185</v>
      </c>
      <c r="AS27" s="495">
        <f>IF(AS24=0,0,AS25/AS24)</f>
        <v>0.30741739293999626</v>
      </c>
      <c r="AT27" s="497"/>
      <c r="AU27" s="494"/>
      <c r="AW27" s="495">
        <f>IF(AW24=0,0,AW25/AW24)</f>
        <v>0.45740938717798391</v>
      </c>
      <c r="AX27" s="497"/>
      <c r="AY27" s="496">
        <f>IF(AY24=0,0,AY25/AY24)</f>
        <v>0.28138155555971334</v>
      </c>
      <c r="BA27" s="495">
        <f>IF(BA24=0,0,BA25/BA24)</f>
        <v>0.45740938717798391</v>
      </c>
      <c r="BB27" s="495">
        <f>IF(BB24=0,0,BB25/BB24)</f>
        <v>0.281123595505618</v>
      </c>
      <c r="BC27" s="497"/>
      <c r="BD27" s="494"/>
      <c r="BF27" s="495">
        <f>IF(BF24=0,0,BF25/BF24)</f>
        <v>0.45114708279958077</v>
      </c>
      <c r="BG27" s="497"/>
      <c r="BH27" s="496">
        <f>IF(BH24=0,0,BH25/BH24)</f>
        <v>0.29151271560658215</v>
      </c>
    </row>
    <row r="28" spans="1:60" x14ac:dyDescent="0.35">
      <c r="A28" s="9153"/>
      <c r="B28" s="139" t="s">
        <v>501</v>
      </c>
      <c r="C28" s="831"/>
      <c r="D28" s="456">
        <v>4</v>
      </c>
      <c r="E28" s="1"/>
      <c r="F28" s="832"/>
      <c r="G28" s="170"/>
      <c r="H28" s="833"/>
      <c r="I28" s="834"/>
      <c r="J28" s="835"/>
      <c r="K28" s="170"/>
      <c r="L28" s="836"/>
      <c r="M28" s="837"/>
      <c r="N28" s="170"/>
      <c r="O28" s="838"/>
      <c r="P28" s="839"/>
      <c r="Q28" s="839"/>
      <c r="R28" s="840"/>
      <c r="S28" s="170"/>
      <c r="T28" s="836"/>
      <c r="U28" s="834"/>
      <c r="V28" s="837"/>
      <c r="W28" s="476">
        <f t="shared" si="0"/>
        <v>0</v>
      </c>
      <c r="X28" s="170"/>
      <c r="Y28" s="170"/>
      <c r="Z28" s="838"/>
      <c r="AA28" s="839"/>
      <c r="AB28" s="839"/>
      <c r="AC28" s="840"/>
      <c r="AD28" s="170"/>
      <c r="AE28" s="836"/>
      <c r="AF28" s="834"/>
      <c r="AG28" s="837"/>
      <c r="AI28" s="838"/>
      <c r="AJ28" s="839"/>
      <c r="AK28" s="839"/>
      <c r="AL28" s="840"/>
      <c r="AN28" s="836"/>
      <c r="AO28" s="834"/>
      <c r="AP28" s="837"/>
      <c r="AQ28" s="831"/>
      <c r="AR28" s="838"/>
      <c r="AS28" s="839"/>
      <c r="AT28" s="839"/>
      <c r="AU28" s="840"/>
      <c r="AW28" s="836"/>
      <c r="AX28" s="834"/>
      <c r="AY28" s="837"/>
      <c r="BA28" s="838"/>
      <c r="BB28" s="839"/>
      <c r="BC28" s="839"/>
      <c r="BD28" s="840"/>
      <c r="BF28" s="836"/>
      <c r="BG28" s="834"/>
      <c r="BH28" s="837"/>
    </row>
    <row r="29" spans="1:60" x14ac:dyDescent="0.35">
      <c r="A29" s="9153"/>
      <c r="B29" s="6082"/>
      <c r="C29" s="121" t="s">
        <v>11</v>
      </c>
      <c r="E29" s="1"/>
      <c r="F29" s="841"/>
      <c r="G29" s="170"/>
      <c r="H29" s="112">
        <f>11405+1917</f>
        <v>13322</v>
      </c>
      <c r="I29" s="113">
        <v>12399</v>
      </c>
      <c r="J29" s="476">
        <f>IF(H29=0,0,I29/H29)</f>
        <v>0.93071610869238852</v>
      </c>
      <c r="K29" s="170"/>
      <c r="L29" s="117">
        <v>17001</v>
      </c>
      <c r="M29" s="842">
        <f>L29*J29</f>
        <v>15823.104563879297</v>
      </c>
      <c r="N29" s="170"/>
      <c r="O29" s="117"/>
      <c r="P29" s="115"/>
      <c r="Q29" s="834"/>
      <c r="R29" s="843">
        <f>IF(O29=0,0,P29/O29)</f>
        <v>0</v>
      </c>
      <c r="S29" s="170"/>
      <c r="T29" s="200"/>
      <c r="U29" s="834"/>
      <c r="V29" s="157">
        <f>T29*R29</f>
        <v>0</v>
      </c>
      <c r="W29" s="476">
        <f t="shared" si="0"/>
        <v>0</v>
      </c>
      <c r="X29" s="170"/>
      <c r="Y29" s="170"/>
      <c r="Z29" s="117"/>
      <c r="AA29" s="115"/>
      <c r="AB29" s="834"/>
      <c r="AC29" s="843">
        <f>IF(Z29=0,0,AA29/Z29)</f>
        <v>0</v>
      </c>
      <c r="AD29" s="170"/>
      <c r="AE29" s="200"/>
      <c r="AF29" s="834"/>
      <c r="AG29" s="157">
        <f>AE29*AC29</f>
        <v>0</v>
      </c>
      <c r="AI29" s="117"/>
      <c r="AJ29" s="115"/>
      <c r="AK29" s="834"/>
      <c r="AL29" s="843">
        <f>IF(AI29=0,0,AJ29/AI29)</f>
        <v>0</v>
      </c>
      <c r="AN29" s="200"/>
      <c r="AO29" s="834"/>
      <c r="AP29" s="157"/>
      <c r="AQ29" s="121" t="s">
        <v>794</v>
      </c>
      <c r="AR29" s="117"/>
      <c r="AS29" s="115"/>
      <c r="AT29" s="834"/>
      <c r="AU29" s="843">
        <f>IF(AR29=0,0,AS29/AR29)</f>
        <v>0</v>
      </c>
      <c r="AW29" s="200"/>
      <c r="AX29" s="834"/>
      <c r="AY29" s="157"/>
      <c r="BA29" s="117"/>
      <c r="BB29" s="115"/>
      <c r="BC29" s="834"/>
      <c r="BD29" s="843">
        <f>IF(BA29=0,0,BB29/BA29)</f>
        <v>0</v>
      </c>
      <c r="BF29" s="200"/>
      <c r="BG29" s="834"/>
      <c r="BH29" s="157"/>
    </row>
    <row r="30" spans="1:60" x14ac:dyDescent="0.35">
      <c r="A30" s="9154"/>
      <c r="B30" s="844"/>
      <c r="C30" s="208" t="s">
        <v>502</v>
      </c>
      <c r="E30" s="1"/>
      <c r="F30" s="210"/>
      <c r="G30" s="1"/>
      <c r="H30" s="217"/>
      <c r="I30" s="845"/>
      <c r="J30" s="484">
        <f>IF(H30=0,0,I30/H30)</f>
        <v>0</v>
      </c>
      <c r="K30" s="1"/>
      <c r="L30" s="131"/>
      <c r="M30" s="846">
        <f>L30*J30</f>
        <v>0</v>
      </c>
      <c r="O30" s="131"/>
      <c r="P30" s="132"/>
      <c r="Q30" s="216"/>
      <c r="R30" s="484">
        <f>IF(O30=0,0,P30/O30)</f>
        <v>0</v>
      </c>
      <c r="T30" s="211"/>
      <c r="U30" s="216"/>
      <c r="V30" s="213">
        <f>T30*R30</f>
        <v>0</v>
      </c>
      <c r="W30" s="476">
        <f t="shared" si="0"/>
        <v>0</v>
      </c>
      <c r="Z30" s="131"/>
      <c r="AA30" s="132"/>
      <c r="AB30" s="216"/>
      <c r="AC30" s="484">
        <f>IF(Z30=0,0,AA30/Z30)</f>
        <v>0</v>
      </c>
      <c r="AE30" s="211"/>
      <c r="AF30" s="216"/>
      <c r="AG30" s="213">
        <f>AE30*AC30</f>
        <v>0</v>
      </c>
      <c r="AI30" s="131"/>
      <c r="AJ30" s="132"/>
      <c r="AK30" s="216"/>
      <c r="AL30" s="484">
        <f>IF(AI30=0,0,AJ30/AI30)</f>
        <v>0</v>
      </c>
      <c r="AN30" s="211"/>
      <c r="AO30" s="216"/>
      <c r="AP30" s="213">
        <f>AN30*AQ30</f>
        <v>0</v>
      </c>
      <c r="AQ30" s="208"/>
      <c r="AR30" s="131"/>
      <c r="AS30" s="132"/>
      <c r="AT30" s="216"/>
      <c r="AU30" s="484">
        <f>IF(AR30=0,0,AS30/AR30)</f>
        <v>0</v>
      </c>
      <c r="AW30" s="211"/>
      <c r="AX30" s="216"/>
      <c r="AY30" s="213">
        <f>AW30*AZ30</f>
        <v>0</v>
      </c>
      <c r="BA30" s="131"/>
      <c r="BB30" s="132"/>
      <c r="BC30" s="216"/>
      <c r="BD30" s="484">
        <f>IF(BA30=0,0,BB30/BA30)</f>
        <v>0</v>
      </c>
      <c r="BF30" s="211"/>
      <c r="BG30" s="216"/>
      <c r="BH30" s="213">
        <f>BF30*BI30</f>
        <v>0</v>
      </c>
    </row>
    <row r="31" spans="1:60" x14ac:dyDescent="0.35">
      <c r="F31" s="847"/>
      <c r="H31" s="847"/>
      <c r="I31" s="847"/>
      <c r="J31" s="847"/>
      <c r="L31" s="847"/>
      <c r="N31" s="462"/>
      <c r="O31" s="462"/>
      <c r="P31" s="462"/>
      <c r="Q31" s="462"/>
      <c r="R31" s="462"/>
      <c r="S31" s="462"/>
      <c r="T31" s="462"/>
      <c r="U31" s="462"/>
      <c r="V31" s="462"/>
      <c r="W31" s="476">
        <f t="shared" si="0"/>
        <v>0</v>
      </c>
      <c r="X31" s="462"/>
      <c r="Y31" s="462"/>
      <c r="Z31" s="462"/>
      <c r="AA31" s="462"/>
      <c r="AB31" s="462"/>
      <c r="AC31" s="462"/>
      <c r="AD31" s="462"/>
      <c r="AE31" s="462"/>
      <c r="AF31" s="462"/>
      <c r="AG31" s="462"/>
      <c r="AI31" s="462"/>
      <c r="AJ31" s="462"/>
      <c r="AK31" s="462"/>
      <c r="AR31" s="462"/>
      <c r="AS31" s="462"/>
      <c r="AT31" s="462"/>
      <c r="BA31" s="462"/>
      <c r="BB31" s="462"/>
      <c r="BC31" s="462"/>
    </row>
    <row r="32" spans="1:60" ht="23.5" customHeight="1" x14ac:dyDescent="0.35">
      <c r="A32" s="9152" t="s">
        <v>503</v>
      </c>
      <c r="B32" s="848"/>
      <c r="C32" s="725" t="s">
        <v>427</v>
      </c>
      <c r="D32" s="456" t="s">
        <v>428</v>
      </c>
      <c r="F32" s="849"/>
      <c r="G32" s="223"/>
      <c r="H32" s="850" t="s">
        <v>751</v>
      </c>
      <c r="I32" s="8327" t="s">
        <v>795</v>
      </c>
      <c r="J32" s="851"/>
      <c r="K32" s="223"/>
      <c r="L32" s="850" t="s">
        <v>752</v>
      </c>
      <c r="M32" s="8315"/>
      <c r="N32" s="170"/>
      <c r="O32" s="1024"/>
      <c r="P32" s="1025"/>
      <c r="Q32" s="854"/>
      <c r="R32" s="855"/>
      <c r="S32" s="170"/>
      <c r="T32" s="503"/>
      <c r="U32" s="854"/>
      <c r="V32" s="857"/>
      <c r="W32" s="476">
        <f t="shared" si="0"/>
        <v>0</v>
      </c>
      <c r="X32" s="170"/>
      <c r="Y32" s="170"/>
      <c r="Z32" s="31" t="s">
        <v>796</v>
      </c>
      <c r="AA32" s="31" t="s">
        <v>797</v>
      </c>
      <c r="AB32" s="854"/>
      <c r="AC32" s="855"/>
      <c r="AD32" s="170"/>
      <c r="AE32" s="31" t="s">
        <v>797</v>
      </c>
      <c r="AF32" s="854"/>
      <c r="AG32" s="31" t="s">
        <v>797</v>
      </c>
      <c r="AI32" s="31" t="s">
        <v>796</v>
      </c>
      <c r="AJ32" s="31" t="s">
        <v>797</v>
      </c>
      <c r="AK32" s="854"/>
      <c r="AL32" s="855"/>
      <c r="AN32" s="21" t="s">
        <v>748</v>
      </c>
      <c r="AO32" s="854"/>
      <c r="AP32" s="31" t="s">
        <v>798</v>
      </c>
      <c r="AQ32" s="725"/>
      <c r="AR32" s="31" t="s">
        <v>796</v>
      </c>
      <c r="AS32" s="31" t="s">
        <v>797</v>
      </c>
      <c r="AT32" s="854"/>
      <c r="AU32" s="855"/>
      <c r="AW32" s="21" t="s">
        <v>748</v>
      </c>
      <c r="AX32" s="854"/>
      <c r="AY32" s="31" t="s">
        <v>798</v>
      </c>
      <c r="BA32" s="31" t="s">
        <v>765</v>
      </c>
      <c r="BB32" s="31" t="s">
        <v>799</v>
      </c>
      <c r="BC32" s="854"/>
      <c r="BD32" s="855"/>
      <c r="BF32" s="21" t="s">
        <v>748</v>
      </c>
      <c r="BG32" s="854"/>
      <c r="BH32" s="31" t="s">
        <v>798</v>
      </c>
    </row>
    <row r="33" spans="1:60" x14ac:dyDescent="0.35">
      <c r="A33" s="9153"/>
      <c r="B33" s="863" t="s">
        <v>514</v>
      </c>
      <c r="C33" s="864"/>
      <c r="F33" s="865"/>
      <c r="G33" s="457"/>
      <c r="H33" s="866"/>
      <c r="I33" s="847"/>
      <c r="J33" s="776"/>
      <c r="K33" s="457"/>
      <c r="L33" s="773"/>
      <c r="M33" s="867"/>
      <c r="O33" s="773"/>
      <c r="P33" s="868"/>
      <c r="Q33" s="103"/>
      <c r="R33" s="869"/>
      <c r="T33" s="773"/>
      <c r="U33" s="103"/>
      <c r="V33" s="533"/>
      <c r="W33" s="476">
        <f t="shared" si="0"/>
        <v>0</v>
      </c>
      <c r="Z33" s="3223"/>
      <c r="AA33" s="3224"/>
      <c r="AB33" s="103" t="s">
        <v>800</v>
      </c>
      <c r="AC33" s="869"/>
      <c r="AE33" s="3223"/>
      <c r="AF33" s="103" t="s">
        <v>800</v>
      </c>
      <c r="AG33" s="3225"/>
      <c r="AI33" s="3223"/>
      <c r="AJ33" s="3224"/>
      <c r="AK33" s="3726" t="s">
        <v>801</v>
      </c>
      <c r="AL33" s="869"/>
      <c r="AN33" s="3223"/>
      <c r="AO33" s="3726" t="s">
        <v>801</v>
      </c>
      <c r="AP33" s="3225"/>
      <c r="AQ33" s="864"/>
      <c r="AR33" s="3223"/>
      <c r="AS33" s="3224"/>
      <c r="AT33" s="3726"/>
      <c r="AU33" s="869"/>
      <c r="AW33" s="3223"/>
      <c r="AX33" s="3726"/>
      <c r="AY33" s="3225"/>
      <c r="BA33" s="3223"/>
      <c r="BB33" s="3224"/>
      <c r="BC33" s="3726"/>
      <c r="BD33" s="869"/>
      <c r="BF33" s="3223"/>
      <c r="BG33" s="3726"/>
      <c r="BH33" s="3225"/>
    </row>
    <row r="34" spans="1:60" ht="15.5" customHeight="1" x14ac:dyDescent="0.35">
      <c r="A34" s="9153"/>
      <c r="B34" s="873"/>
      <c r="C34" s="874" t="s">
        <v>802</v>
      </c>
      <c r="F34" s="779"/>
      <c r="H34" s="780">
        <f>7435+4529</f>
        <v>11964</v>
      </c>
      <c r="I34" s="781">
        <f>6658+4299</f>
        <v>10957</v>
      </c>
      <c r="J34" s="782">
        <f>IF(H34=0,0,I34/H34)</f>
        <v>0.91583082581076558</v>
      </c>
      <c r="L34" s="780">
        <v>12417</v>
      </c>
      <c r="M34" s="875">
        <f>L34*J34</f>
        <v>11371.871364092276</v>
      </c>
      <c r="O34" s="780">
        <v>8084</v>
      </c>
      <c r="P34" s="876">
        <v>7902</v>
      </c>
      <c r="Q34" s="106" t="s">
        <v>803</v>
      </c>
      <c r="R34" s="877">
        <f>IF(O34=0,0,P34/O34)</f>
        <v>0.97748639287481442</v>
      </c>
      <c r="T34" s="878">
        <v>11599</v>
      </c>
      <c r="U34" s="106" t="s">
        <v>804</v>
      </c>
      <c r="V34" s="901">
        <v>11315.2</v>
      </c>
      <c r="W34" s="476">
        <f t="shared" si="0"/>
        <v>0.9755323734804725</v>
      </c>
      <c r="Z34" s="780">
        <v>11599.5</v>
      </c>
      <c r="AA34" s="3226">
        <v>11314</v>
      </c>
      <c r="AB34" s="106"/>
      <c r="AC34" s="877">
        <f>IF(Z34=0,0,AA34/Z34)</f>
        <v>0.97538687012371228</v>
      </c>
      <c r="AE34" s="780">
        <v>11534.7</v>
      </c>
      <c r="AF34" s="3227"/>
      <c r="AG34" s="783">
        <v>14726.9</v>
      </c>
      <c r="AI34" s="780">
        <f>AE34</f>
        <v>11534.7</v>
      </c>
      <c r="AJ34" s="3226">
        <v>11835</v>
      </c>
      <c r="AK34" s="106"/>
      <c r="AL34" s="877">
        <f>IF(AI34=0,0,AJ34/AI34)</f>
        <v>1.0260344872428411</v>
      </c>
      <c r="AN34" s="791">
        <v>12696.2</v>
      </c>
      <c r="AO34"/>
      <c r="AP34" s="783">
        <v>11802.5</v>
      </c>
      <c r="AQ34" s="874" t="s">
        <v>805</v>
      </c>
      <c r="AR34" s="780">
        <v>34927</v>
      </c>
      <c r="AS34" s="3226">
        <v>33484</v>
      </c>
      <c r="AT34" s="106" t="s">
        <v>806</v>
      </c>
      <c r="AU34" s="877">
        <f>IF(AR34=0,0,AS34/AR34)</f>
        <v>0.95868525782346037</v>
      </c>
      <c r="AW34" s="791">
        <v>39414</v>
      </c>
      <c r="AX34"/>
      <c r="AY34" s="783">
        <v>37496</v>
      </c>
      <c r="BA34" s="780"/>
      <c r="BB34" s="3226"/>
      <c r="BC34" s="57" t="s">
        <v>787</v>
      </c>
      <c r="BD34" s="877">
        <f>IF(BA34=0,0,BB34/BA34)</f>
        <v>0</v>
      </c>
      <c r="BF34" s="791">
        <v>41223</v>
      </c>
      <c r="BG34" t="s">
        <v>787</v>
      </c>
      <c r="BH34" s="783">
        <f>38378*12/11</f>
        <v>41866.909090909088</v>
      </c>
    </row>
    <row r="35" spans="1:60" x14ac:dyDescent="0.35">
      <c r="A35" s="9153"/>
      <c r="B35" s="873"/>
      <c r="C35" s="874" t="s">
        <v>807</v>
      </c>
      <c r="F35" s="788"/>
      <c r="H35" s="785">
        <f>11215+3148</f>
        <v>14363</v>
      </c>
      <c r="I35" s="786">
        <f>11097+3034</f>
        <v>14131</v>
      </c>
      <c r="J35" s="782">
        <f>IF(H35=0,0,I35/H35)</f>
        <v>0.9838473856436678</v>
      </c>
      <c r="L35" s="785">
        <v>16197</v>
      </c>
      <c r="M35" s="881">
        <f>L35*J35</f>
        <v>15935.376105270487</v>
      </c>
      <c r="N35" s="223"/>
      <c r="O35" s="785">
        <v>12055</v>
      </c>
      <c r="P35" s="882">
        <v>12037</v>
      </c>
      <c r="Q35" s="106" t="s">
        <v>803</v>
      </c>
      <c r="R35" s="883">
        <f>IF(O35=0,0,P35/O35)</f>
        <v>0.99850684363334719</v>
      </c>
      <c r="S35" s="223"/>
      <c r="T35" s="1035">
        <v>16002</v>
      </c>
      <c r="U35" s="106" t="s">
        <v>804</v>
      </c>
      <c r="V35" s="1036">
        <v>17683.400000000001</v>
      </c>
      <c r="W35" s="476">
        <f t="shared" si="0"/>
        <v>1.105074365704287</v>
      </c>
      <c r="X35" s="223"/>
      <c r="Y35" s="223"/>
      <c r="Z35" s="785">
        <v>16001.6</v>
      </c>
      <c r="AA35" s="3228">
        <v>17681.7</v>
      </c>
      <c r="AB35" s="106"/>
      <c r="AC35" s="883">
        <f>IF(Z35=0,0,AA35/Z35)</f>
        <v>1.1049957504249575</v>
      </c>
      <c r="AD35" s="223"/>
      <c r="AE35" s="785">
        <v>16334.3</v>
      </c>
      <c r="AF35" s="3227"/>
      <c r="AG35" s="1629">
        <v>20253.2</v>
      </c>
      <c r="AI35" s="780">
        <f>AE35</f>
        <v>16334.3</v>
      </c>
      <c r="AJ35" s="3228">
        <v>20248.5</v>
      </c>
      <c r="AK35" s="106"/>
      <c r="AL35" s="883">
        <f>IF(AI35=0,0,AJ35/AI35)</f>
        <v>1.2396307157331505</v>
      </c>
      <c r="AN35" s="791">
        <v>17171.099999999999</v>
      </c>
      <c r="AO35"/>
      <c r="AP35" s="783">
        <v>16782.099999999999</v>
      </c>
      <c r="AR35" s="780"/>
      <c r="AS35" s="3228"/>
      <c r="AT35" s="106"/>
      <c r="AU35" s="883">
        <f>IF(AR35=0,0,AS35/AR35)</f>
        <v>0</v>
      </c>
      <c r="AW35" s="791"/>
      <c r="AX35"/>
      <c r="AY35" s="783"/>
      <c r="BA35" s="780">
        <v>39414</v>
      </c>
      <c r="BB35" s="3228">
        <v>37543</v>
      </c>
      <c r="BC35" s="57" t="s">
        <v>808</v>
      </c>
      <c r="BD35" s="883">
        <f>IF(BA35=0,0,BB35/BA35)</f>
        <v>0.95252955802506722</v>
      </c>
      <c r="BF35" s="791"/>
      <c r="BG35" t="s">
        <v>808</v>
      </c>
      <c r="BH35" s="783"/>
    </row>
    <row r="36" spans="1:60" ht="15.25" customHeight="1" x14ac:dyDescent="0.35">
      <c r="A36" s="9153"/>
      <c r="B36" s="9190" t="s">
        <v>809</v>
      </c>
      <c r="C36" s="9191"/>
      <c r="F36" s="790"/>
      <c r="H36" s="791"/>
      <c r="I36" s="792"/>
      <c r="J36" s="782"/>
      <c r="L36" s="785"/>
      <c r="M36" s="881"/>
      <c r="N36" s="223"/>
      <c r="O36" s="791"/>
      <c r="P36" s="882"/>
      <c r="Q36" s="106"/>
      <c r="R36" s="883"/>
      <c r="S36" s="223"/>
      <c r="T36" s="818"/>
      <c r="U36" s="106"/>
      <c r="V36" s="1036"/>
      <c r="W36" s="476"/>
      <c r="X36" s="223"/>
      <c r="Y36" s="223"/>
      <c r="Z36" s="791"/>
      <c r="AA36" s="3229"/>
      <c r="AB36" s="106"/>
      <c r="AC36" s="883"/>
      <c r="AD36" s="223"/>
      <c r="AE36" s="791"/>
      <c r="AF36" s="3227"/>
      <c r="AG36" s="1630"/>
      <c r="AI36" s="780">
        <v>4335.1000000000004</v>
      </c>
      <c r="AJ36" s="3229">
        <v>778.3</v>
      </c>
      <c r="AK36" s="106"/>
      <c r="AL36" s="883"/>
      <c r="AN36" s="791">
        <v>4423.2</v>
      </c>
      <c r="AO36"/>
      <c r="AP36" s="783">
        <v>96.8</v>
      </c>
      <c r="AQ36"/>
      <c r="AR36" s="780"/>
      <c r="AS36" s="3229"/>
      <c r="AT36" s="106"/>
      <c r="AU36" s="883"/>
      <c r="AW36" s="791"/>
      <c r="AX36"/>
      <c r="AY36" s="783"/>
      <c r="BA36" s="780"/>
      <c r="BB36" s="3229"/>
      <c r="BC36" s="106"/>
      <c r="BD36" s="883"/>
      <c r="BF36" s="791"/>
      <c r="BG36"/>
      <c r="BH36" s="783"/>
    </row>
    <row r="37" spans="1:60" x14ac:dyDescent="0.35">
      <c r="A37" s="9153"/>
      <c r="B37" s="873"/>
      <c r="C37" s="874" t="s">
        <v>810</v>
      </c>
      <c r="F37" s="790"/>
      <c r="H37" s="791"/>
      <c r="I37" s="792"/>
      <c r="J37" s="782">
        <f>IF(H37=0,0,I37/H37)</f>
        <v>0</v>
      </c>
      <c r="L37" s="785"/>
      <c r="M37" s="881">
        <f>L37*J37</f>
        <v>0</v>
      </c>
      <c r="N37" s="223"/>
      <c r="O37" s="791">
        <v>4333</v>
      </c>
      <c r="P37" s="882">
        <v>3973</v>
      </c>
      <c r="Q37" s="106" t="s">
        <v>811</v>
      </c>
      <c r="R37" s="883">
        <f>IF(O37=0,0,P37/O37)</f>
        <v>0.91691668589891528</v>
      </c>
      <c r="S37" s="223"/>
      <c r="T37" s="818">
        <v>5247</v>
      </c>
      <c r="U37" s="106" t="s">
        <v>812</v>
      </c>
      <c r="V37" s="1036">
        <v>4968.7</v>
      </c>
      <c r="W37" s="476">
        <f t="shared" si="0"/>
        <v>0.94696016771488467</v>
      </c>
      <c r="X37" s="223"/>
      <c r="Y37" s="223"/>
      <c r="Z37" s="791">
        <v>5247.4</v>
      </c>
      <c r="AA37" s="3229">
        <v>4902.2</v>
      </c>
      <c r="AB37" s="106" t="s">
        <v>813</v>
      </c>
      <c r="AC37" s="883">
        <f>IF(Z37=0,0,AA37/Z37)</f>
        <v>0.93421503982924881</v>
      </c>
      <c r="AD37" s="223"/>
      <c r="AE37" s="791">
        <v>6262.5</v>
      </c>
      <c r="AF37" s="3227" t="s">
        <v>813</v>
      </c>
      <c r="AG37" s="1630">
        <v>5538.2</v>
      </c>
      <c r="AI37" s="780">
        <v>6062.5</v>
      </c>
      <c r="AJ37" s="3229">
        <v>5363.4</v>
      </c>
      <c r="AK37" s="106"/>
      <c r="AL37" s="883">
        <f>IF(AI37=0,0,AJ37/AI37)</f>
        <v>0.88468453608247422</v>
      </c>
      <c r="AN37" s="791">
        <v>7402</v>
      </c>
      <c r="AO37"/>
      <c r="AP37" s="783">
        <v>6746.1</v>
      </c>
      <c r="AQ37" s="874" t="s">
        <v>814</v>
      </c>
      <c r="AR37" s="780">
        <v>25000</v>
      </c>
      <c r="AS37" s="3229">
        <v>14089</v>
      </c>
      <c r="AT37" s="106" t="s">
        <v>815</v>
      </c>
      <c r="AU37" s="883">
        <f>IF(AR37=0,0,AS37/AR37)</f>
        <v>0.56355999999999995</v>
      </c>
      <c r="AW37" s="791">
        <v>26861</v>
      </c>
      <c r="AX37"/>
      <c r="AY37" s="783">
        <v>16366</v>
      </c>
      <c r="BA37" s="780">
        <v>26860</v>
      </c>
      <c r="BB37" s="3229">
        <v>25701.4</v>
      </c>
      <c r="BC37" s="57" t="s">
        <v>816</v>
      </c>
      <c r="BD37" s="883">
        <f>IF(BA37=0,0,BB37/BA37)</f>
        <v>0.95686522710349964</v>
      </c>
      <c r="BF37" s="791">
        <v>38264.6</v>
      </c>
      <c r="BG37" t="s">
        <v>816</v>
      </c>
      <c r="BH37" s="783">
        <f>27587*12/11</f>
        <v>30094.909090909092</v>
      </c>
    </row>
    <row r="38" spans="1:60" x14ac:dyDescent="0.35">
      <c r="A38" s="9153"/>
      <c r="B38" s="885"/>
      <c r="C38" s="886" t="s">
        <v>817</v>
      </c>
      <c r="E38" s="223"/>
      <c r="F38" s="790"/>
      <c r="H38" s="791"/>
      <c r="I38" s="792"/>
      <c r="J38" s="782">
        <f>IF(H38=0,0,I38/H38)</f>
        <v>0</v>
      </c>
      <c r="L38" s="791"/>
      <c r="M38" s="808">
        <f>L38*J38</f>
        <v>0</v>
      </c>
      <c r="N38" s="143"/>
      <c r="O38" s="791">
        <v>4142</v>
      </c>
      <c r="P38" s="887">
        <v>4089</v>
      </c>
      <c r="Q38" s="106" t="s">
        <v>818</v>
      </c>
      <c r="R38" s="877">
        <f>IF(O38=0,0,P38/O38)</f>
        <v>0.9872042491549976</v>
      </c>
      <c r="S38" s="143"/>
      <c r="T38" s="818">
        <v>4257</v>
      </c>
      <c r="U38" s="106" t="s">
        <v>812</v>
      </c>
      <c r="V38" s="901">
        <v>3932.6</v>
      </c>
      <c r="W38" s="476">
        <f t="shared" si="0"/>
        <v>0.9237961005402866</v>
      </c>
      <c r="X38" s="143"/>
      <c r="Y38" s="143"/>
      <c r="Z38" s="791">
        <v>4257.2</v>
      </c>
      <c r="AA38" s="3229">
        <v>3907.6</v>
      </c>
      <c r="AB38" s="106"/>
      <c r="AC38" s="877">
        <f>IF(Z38=0,0,AA38/Z38)</f>
        <v>0.91788029690876638</v>
      </c>
      <c r="AD38" s="143"/>
      <c r="AE38" s="791">
        <v>5373.2</v>
      </c>
      <c r="AF38" s="3227"/>
      <c r="AG38" s="1630">
        <v>4864.7</v>
      </c>
      <c r="AI38" s="780">
        <f>AE38</f>
        <v>5373.2</v>
      </c>
      <c r="AJ38" s="3229">
        <v>4412.1000000000004</v>
      </c>
      <c r="AK38" s="106"/>
      <c r="AL38" s="877">
        <f>IF(AI38=0,0,AJ38/AI38)</f>
        <v>0.8211307972902554</v>
      </c>
      <c r="AN38" s="791">
        <v>4347.2</v>
      </c>
      <c r="AO38"/>
      <c r="AP38" s="783">
        <v>3311.2</v>
      </c>
      <c r="AQ38" s="886"/>
      <c r="AR38" s="780"/>
      <c r="AS38" s="3229"/>
      <c r="AT38" s="106"/>
      <c r="AU38" s="877">
        <f>IF(AR38=0,0,AS38/AR38)</f>
        <v>0</v>
      </c>
      <c r="AW38" s="791"/>
      <c r="AX38"/>
      <c r="AY38" s="783"/>
      <c r="BA38" s="780"/>
      <c r="BB38" s="3229"/>
      <c r="BC38" s="57" t="s">
        <v>808</v>
      </c>
      <c r="BD38" s="877">
        <f>IF(BA38=0,0,BB38/BA38)</f>
        <v>0</v>
      </c>
      <c r="BF38" s="791"/>
      <c r="BG38" t="s">
        <v>808</v>
      </c>
      <c r="BH38" s="783"/>
    </row>
    <row r="39" spans="1:60" ht="15.25" customHeight="1" x14ac:dyDescent="0.35">
      <c r="A39" s="9153"/>
      <c r="B39" s="9192" t="s">
        <v>819</v>
      </c>
      <c r="C39" s="9193"/>
      <c r="E39" s="223"/>
      <c r="F39" s="3230"/>
      <c r="H39" s="1632"/>
      <c r="I39" s="3231"/>
      <c r="J39" s="782"/>
      <c r="L39" s="1632"/>
      <c r="M39" s="1622"/>
      <c r="N39" s="143"/>
      <c r="O39" s="1632"/>
      <c r="P39" s="3232"/>
      <c r="Q39" s="106"/>
      <c r="R39" s="877"/>
      <c r="S39" s="143"/>
      <c r="T39" s="1632"/>
      <c r="U39" s="106"/>
      <c r="V39" s="901"/>
      <c r="W39" s="476"/>
      <c r="X39" s="143"/>
      <c r="Y39" s="143"/>
      <c r="Z39" s="1632"/>
      <c r="AA39" s="3231"/>
      <c r="AB39" s="106"/>
      <c r="AC39" s="877"/>
      <c r="AD39" s="143"/>
      <c r="AE39" s="1632"/>
      <c r="AF39" s="3227"/>
      <c r="AG39" s="1555"/>
      <c r="AI39" s="1632">
        <v>419.8</v>
      </c>
      <c r="AJ39" s="3231">
        <v>209</v>
      </c>
      <c r="AK39" s="106"/>
      <c r="AL39" s="877"/>
      <c r="AN39" s="791">
        <v>717.7</v>
      </c>
      <c r="AO39"/>
      <c r="AP39" s="783">
        <v>500.8</v>
      </c>
      <c r="AQ39"/>
      <c r="AR39" s="1632"/>
      <c r="AS39" s="3231"/>
      <c r="AT39" s="106"/>
      <c r="AU39" s="877"/>
      <c r="AW39" s="791"/>
      <c r="AX39"/>
      <c r="AY39" s="783"/>
      <c r="BA39" s="1632"/>
      <c r="BB39" s="3231"/>
      <c r="BC39" s="106"/>
      <c r="BD39" s="877"/>
      <c r="BF39" s="791"/>
      <c r="BG39"/>
      <c r="BH39" s="783"/>
    </row>
    <row r="40" spans="1:60" x14ac:dyDescent="0.35">
      <c r="A40" s="9153"/>
      <c r="B40" s="196" t="s">
        <v>531</v>
      </c>
      <c r="C40" s="889"/>
      <c r="E40" s="457"/>
      <c r="F40" s="865"/>
      <c r="G40" s="457"/>
      <c r="H40" s="866"/>
      <c r="I40" s="847"/>
      <c r="J40" s="890"/>
      <c r="K40" s="457"/>
      <c r="L40" s="866"/>
      <c r="M40" s="891"/>
      <c r="O40" s="866"/>
      <c r="P40" s="892"/>
      <c r="Q40" s="106"/>
      <c r="R40" s="476"/>
      <c r="T40" s="866"/>
      <c r="U40" s="106"/>
      <c r="V40" s="543"/>
      <c r="W40" s="476">
        <f t="shared" si="0"/>
        <v>0</v>
      </c>
      <c r="Z40" s="866"/>
      <c r="AA40" s="892"/>
      <c r="AB40" s="106"/>
      <c r="AC40" s="476"/>
      <c r="AE40" s="866"/>
      <c r="AF40" s="789"/>
      <c r="AG40" s="543"/>
      <c r="AI40" s="866"/>
      <c r="AJ40" s="892"/>
      <c r="AK40" s="106"/>
      <c r="AL40" s="476"/>
      <c r="AN40" s="866"/>
      <c r="AO40" s="789"/>
      <c r="AP40" s="543"/>
      <c r="AQ40" s="889"/>
      <c r="AR40" s="866"/>
      <c r="AS40" s="892"/>
      <c r="AT40" s="106"/>
      <c r="AU40" s="476"/>
      <c r="AW40" s="866"/>
      <c r="AX40" s="789"/>
      <c r="AY40" s="543"/>
      <c r="BA40" s="866"/>
      <c r="BB40" s="892"/>
      <c r="BC40" s="106"/>
      <c r="BD40" s="476"/>
      <c r="BF40" s="866"/>
      <c r="BG40" s="789"/>
      <c r="BH40" s="543"/>
    </row>
    <row r="41" spans="1:60" x14ac:dyDescent="0.35">
      <c r="A41" s="9153"/>
      <c r="B41" s="873"/>
      <c r="C41" s="874" t="s">
        <v>532</v>
      </c>
      <c r="F41" s="779"/>
      <c r="H41" s="780"/>
      <c r="I41" s="781"/>
      <c r="J41" s="782">
        <f>IF(H41=0,0,I41/H41)</f>
        <v>0</v>
      </c>
      <c r="L41" s="780"/>
      <c r="M41" s="875">
        <f>L41*J41</f>
        <v>0</v>
      </c>
      <c r="O41" s="780"/>
      <c r="P41" s="876">
        <f>O41*M41</f>
        <v>0</v>
      </c>
      <c r="Q41" s="106"/>
      <c r="R41" s="476">
        <f>IF(O41=0,0,P41/O41)</f>
        <v>0</v>
      </c>
      <c r="T41" s="780"/>
      <c r="U41" s="106"/>
      <c r="V41" s="543">
        <f>T41*R41</f>
        <v>0</v>
      </c>
      <c r="W41" s="476">
        <f t="shared" si="0"/>
        <v>0</v>
      </c>
      <c r="Z41" s="780"/>
      <c r="AA41" s="876">
        <f>Z41*X41</f>
        <v>0</v>
      </c>
      <c r="AB41" s="106"/>
      <c r="AC41" s="476">
        <f>IF(Z41=0,0,AA41/Z41)</f>
        <v>0</v>
      </c>
      <c r="AE41" s="780"/>
      <c r="AF41" s="106"/>
      <c r="AG41" s="3233">
        <f>AE41*AC41</f>
        <v>0</v>
      </c>
      <c r="AI41" s="780"/>
      <c r="AJ41" s="876">
        <f>AI41*AQ41</f>
        <v>0</v>
      </c>
      <c r="AK41" s="106"/>
      <c r="AL41" s="476">
        <f>IF(AI41=0,0,AJ41/AI41)</f>
        <v>0</v>
      </c>
      <c r="AN41" s="780"/>
      <c r="AO41" s="106"/>
      <c r="AP41" s="3233">
        <f>AN41*AQ41</f>
        <v>0</v>
      </c>
      <c r="AQ41" s="874"/>
      <c r="AR41" s="780"/>
      <c r="AS41" s="876">
        <f>AR41*AZ41</f>
        <v>0</v>
      </c>
      <c r="AT41" s="106"/>
      <c r="AU41" s="476">
        <f>IF(AR41=0,0,AS41/AR41)</f>
        <v>0</v>
      </c>
      <c r="AW41" s="780"/>
      <c r="AX41" s="106"/>
      <c r="AY41" s="3233">
        <f>AW41*AZ41</f>
        <v>0</v>
      </c>
      <c r="BA41" s="780"/>
      <c r="BB41" s="876">
        <f>BA41*BI41</f>
        <v>0</v>
      </c>
      <c r="BC41" s="106"/>
      <c r="BD41" s="476">
        <f>IF(BA41=0,0,BB41/BA41)</f>
        <v>0</v>
      </c>
      <c r="BF41" s="780"/>
      <c r="BG41" s="106"/>
      <c r="BH41" s="3233">
        <f>BF41*BI41</f>
        <v>0</v>
      </c>
    </row>
    <row r="42" spans="1:60" x14ac:dyDescent="0.35">
      <c r="A42" s="9153"/>
      <c r="B42" s="873"/>
      <c r="C42" s="874" t="s">
        <v>533</v>
      </c>
      <c r="F42" s="788"/>
      <c r="H42" s="785"/>
      <c r="I42" s="786"/>
      <c r="J42" s="782">
        <f>IF(H42=0,0,I42/H42)</f>
        <v>0</v>
      </c>
      <c r="L42" s="785"/>
      <c r="M42" s="881">
        <f>L42*J42</f>
        <v>0</v>
      </c>
      <c r="O42" s="785"/>
      <c r="P42" s="882">
        <f>O42*M42</f>
        <v>0</v>
      </c>
      <c r="Q42" s="106"/>
      <c r="R42" s="476">
        <f>IF(O42=0,0,P42/O42)</f>
        <v>0</v>
      </c>
      <c r="T42" s="785"/>
      <c r="U42" s="106"/>
      <c r="V42" s="543">
        <f>T42*R42</f>
        <v>0</v>
      </c>
      <c r="W42" s="476">
        <f t="shared" si="0"/>
        <v>0</v>
      </c>
      <c r="Z42" s="785"/>
      <c r="AA42" s="882">
        <f>Z42*X42</f>
        <v>0</v>
      </c>
      <c r="AB42" s="106"/>
      <c r="AC42" s="476">
        <f>IF(Z42=0,0,AA42/Z42)</f>
        <v>0</v>
      </c>
      <c r="AE42" s="785"/>
      <c r="AF42" s="106"/>
      <c r="AG42" s="3233">
        <f>AE42*AC42</f>
        <v>0</v>
      </c>
      <c r="AI42" s="785"/>
      <c r="AJ42" s="882">
        <f>AI42*AQ42</f>
        <v>0</v>
      </c>
      <c r="AK42" s="106"/>
      <c r="AL42" s="476">
        <f>IF(AI42=0,0,AJ42/AI42)</f>
        <v>0</v>
      </c>
      <c r="AN42" s="785"/>
      <c r="AO42" s="106"/>
      <c r="AP42" s="3233">
        <f>AN42*AQ42</f>
        <v>0</v>
      </c>
      <c r="AQ42" s="874"/>
      <c r="AR42" s="785"/>
      <c r="AS42" s="882">
        <f>AR42*AZ42</f>
        <v>0</v>
      </c>
      <c r="AT42" s="106"/>
      <c r="AU42" s="476">
        <f>IF(AR42=0,0,AS42/AR42)</f>
        <v>0</v>
      </c>
      <c r="AW42" s="785"/>
      <c r="AX42" s="106"/>
      <c r="AY42" s="3233">
        <f>AW42*AZ42</f>
        <v>0</v>
      </c>
      <c r="BA42" s="785"/>
      <c r="BB42" s="882">
        <f>BA42*BI42</f>
        <v>0</v>
      </c>
      <c r="BC42" s="106"/>
      <c r="BD42" s="476">
        <f>IF(BA42=0,0,BB42/BA42)</f>
        <v>0</v>
      </c>
      <c r="BF42" s="785"/>
      <c r="BG42" s="106"/>
      <c r="BH42" s="3233">
        <f>BF42*BI42</f>
        <v>0</v>
      </c>
    </row>
    <row r="43" spans="1:60" x14ac:dyDescent="0.35">
      <c r="A43" s="9153"/>
      <c r="B43" s="895"/>
      <c r="C43" s="896" t="s">
        <v>534</v>
      </c>
      <c r="F43" s="795"/>
      <c r="H43" s="791"/>
      <c r="I43" s="792"/>
      <c r="J43" s="782">
        <f>IF(H43=0,0,I43/H43)</f>
        <v>0</v>
      </c>
      <c r="L43" s="796"/>
      <c r="M43" s="897">
        <f>L43*J43</f>
        <v>0</v>
      </c>
      <c r="O43" s="796"/>
      <c r="P43" s="898">
        <f>O43*M43</f>
        <v>0</v>
      </c>
      <c r="Q43" s="216"/>
      <c r="R43" s="484">
        <f>IF(O43=0,0,P43/O43)</f>
        <v>0</v>
      </c>
      <c r="T43" s="796"/>
      <c r="U43" s="216"/>
      <c r="V43" s="553">
        <f>T43*R43</f>
        <v>0</v>
      </c>
      <c r="W43" s="476">
        <f t="shared" si="0"/>
        <v>0</v>
      </c>
      <c r="Z43" s="796"/>
      <c r="AA43" s="898">
        <f>Z43*X43</f>
        <v>0</v>
      </c>
      <c r="AB43" s="216"/>
      <c r="AC43" s="484">
        <f>IF(Z43=0,0,AA43/Z43)</f>
        <v>0</v>
      </c>
      <c r="AE43" s="796"/>
      <c r="AF43" s="216"/>
      <c r="AG43" s="3234">
        <f>AE43*AC43</f>
        <v>0</v>
      </c>
      <c r="AI43" s="796"/>
      <c r="AJ43" s="898">
        <f>AI43*AQ43</f>
        <v>0</v>
      </c>
      <c r="AK43" s="216"/>
      <c r="AL43" s="484">
        <f>IF(AI43=0,0,AJ43/AI43)</f>
        <v>0</v>
      </c>
      <c r="AN43" s="796"/>
      <c r="AO43" s="216"/>
      <c r="AP43" s="3234">
        <f>AN43*AQ43</f>
        <v>0</v>
      </c>
      <c r="AQ43" s="896"/>
      <c r="AR43" s="796"/>
      <c r="AS43" s="898">
        <f>AR43*AZ43</f>
        <v>0</v>
      </c>
      <c r="AT43" s="216"/>
      <c r="AU43" s="484">
        <f>IF(AR43=0,0,AS43/AR43)</f>
        <v>0</v>
      </c>
      <c r="AW43" s="796"/>
      <c r="AX43" s="216"/>
      <c r="AY43" s="3234">
        <f>AW43*AZ43</f>
        <v>0</v>
      </c>
      <c r="BA43" s="796"/>
      <c r="BB43" s="898">
        <f>BA43*BI43</f>
        <v>0</v>
      </c>
      <c r="BC43" s="216"/>
      <c r="BD43" s="484">
        <f>IF(BA43=0,0,BB43/BA43)</f>
        <v>0</v>
      </c>
      <c r="BF43" s="796"/>
      <c r="BG43" s="216"/>
      <c r="BH43" s="3234">
        <f>BF43*BI43</f>
        <v>0</v>
      </c>
    </row>
    <row r="44" spans="1:60" x14ac:dyDescent="0.35">
      <c r="A44" s="9153"/>
      <c r="B44" s="141" t="s">
        <v>535</v>
      </c>
      <c r="C44" s="899"/>
      <c r="E44" s="457"/>
      <c r="F44" s="870"/>
      <c r="G44" s="457"/>
      <c r="H44" s="773"/>
      <c r="I44" s="774"/>
      <c r="J44" s="900"/>
      <c r="K44" s="457"/>
      <c r="L44" s="866"/>
      <c r="M44" s="891"/>
      <c r="N44" s="143"/>
      <c r="O44" s="866"/>
      <c r="P44" s="892"/>
      <c r="Q44" s="106"/>
      <c r="R44" s="877"/>
      <c r="S44" s="143"/>
      <c r="T44" s="866"/>
      <c r="U44" s="106"/>
      <c r="V44" s="901"/>
      <c r="W44" s="476">
        <f t="shared" si="0"/>
        <v>0</v>
      </c>
      <c r="X44" s="143"/>
      <c r="Y44" s="143"/>
      <c r="Z44" s="866"/>
      <c r="AA44" s="892"/>
      <c r="AB44" s="106"/>
      <c r="AC44" s="877"/>
      <c r="AD44" s="143"/>
      <c r="AE44" s="866"/>
      <c r="AF44" s="106"/>
      <c r="AG44" s="901"/>
      <c r="AI44" s="866"/>
      <c r="AJ44" s="892"/>
      <c r="AK44" s="106"/>
      <c r="AL44" s="877"/>
      <c r="AN44" s="866"/>
      <c r="AO44" s="106"/>
      <c r="AP44" s="901"/>
      <c r="AQ44" s="899"/>
      <c r="AR44" s="866"/>
      <c r="AS44" s="892"/>
      <c r="AT44" s="106"/>
      <c r="AU44" s="877"/>
      <c r="AW44" s="866"/>
      <c r="AX44" s="106"/>
      <c r="AY44" s="901"/>
      <c r="BA44" s="866"/>
      <c r="BB44" s="892"/>
      <c r="BC44" s="106"/>
      <c r="BD44" s="877"/>
      <c r="BF44" s="866"/>
      <c r="BG44" s="106"/>
      <c r="BH44" s="901"/>
    </row>
    <row r="45" spans="1:60" x14ac:dyDescent="0.35">
      <c r="A45" s="9153"/>
      <c r="B45" s="240"/>
      <c r="C45" s="874" t="s">
        <v>532</v>
      </c>
      <c r="F45" s="779"/>
      <c r="H45" s="780"/>
      <c r="I45" s="781"/>
      <c r="J45" s="782">
        <f t="shared" ref="J45:J51" si="1">IF(H45=0,0,I45/H45)</f>
        <v>0</v>
      </c>
      <c r="L45" s="780"/>
      <c r="M45" s="902">
        <f t="shared" ref="M45:M51" si="2">L45*J45</f>
        <v>0</v>
      </c>
      <c r="O45" s="780"/>
      <c r="P45" s="882">
        <f t="shared" ref="P45:P51" si="3">O45*M45</f>
        <v>0</v>
      </c>
      <c r="Q45" s="106"/>
      <c r="R45" s="476">
        <f t="shared" ref="R45:R51" si="4">IF(O45=0,0,P45/O45)</f>
        <v>0</v>
      </c>
      <c r="T45" s="780"/>
      <c r="U45" s="106"/>
      <c r="V45" s="543">
        <f t="shared" ref="V45:V51" si="5">T45*R45</f>
        <v>0</v>
      </c>
      <c r="W45" s="476">
        <f t="shared" si="0"/>
        <v>0</v>
      </c>
      <c r="Z45" s="780"/>
      <c r="AA45" s="882">
        <f t="shared" ref="AA45:AA51" si="6">Z45*X45</f>
        <v>0</v>
      </c>
      <c r="AB45" s="106"/>
      <c r="AC45" s="476">
        <f t="shared" ref="AC45:AC51" si="7">IF(Z45=0,0,AA45/Z45)</f>
        <v>0</v>
      </c>
      <c r="AE45" s="780"/>
      <c r="AF45" s="106"/>
      <c r="AG45" s="3233">
        <f t="shared" ref="AG45:AG51" si="8">AE45*AC45</f>
        <v>0</v>
      </c>
      <c r="AI45" s="780"/>
      <c r="AJ45" s="882">
        <f t="shared" ref="AJ45:AJ51" si="9">AI45*AQ45</f>
        <v>0</v>
      </c>
      <c r="AK45" s="106"/>
      <c r="AL45" s="476">
        <f t="shared" ref="AL45:AL51" si="10">IF(AI45=0,0,AJ45/AI45)</f>
        <v>0</v>
      </c>
      <c r="AN45" s="780"/>
      <c r="AO45" s="106"/>
      <c r="AP45" s="3233">
        <f t="shared" ref="AP45:AP51" si="11">AN45*AQ45</f>
        <v>0</v>
      </c>
      <c r="AQ45" s="874"/>
      <c r="AR45" s="780"/>
      <c r="AS45" s="882">
        <f t="shared" ref="AS45:AS51" si="12">AR45*AZ45</f>
        <v>0</v>
      </c>
      <c r="AT45" s="106"/>
      <c r="AU45" s="476">
        <f t="shared" ref="AU45:AU51" si="13">IF(AR45=0,0,AS45/AR45)</f>
        <v>0</v>
      </c>
      <c r="AW45" s="780"/>
      <c r="AX45" s="106"/>
      <c r="AY45" s="3233">
        <f t="shared" ref="AY45:AY51" si="14">AW45*AZ45</f>
        <v>0</v>
      </c>
      <c r="BA45" s="780"/>
      <c r="BB45" s="882">
        <f t="shared" ref="BB45:BB51" si="15">BA45*BI45</f>
        <v>0</v>
      </c>
      <c r="BC45" s="106"/>
      <c r="BD45" s="476">
        <f t="shared" ref="BD45:BD51" si="16">IF(BA45=0,0,BB45/BA45)</f>
        <v>0</v>
      </c>
      <c r="BF45" s="780"/>
      <c r="BG45" s="106"/>
      <c r="BH45" s="3233">
        <f t="shared" ref="BH45:BH51" si="17">BF45*BI45</f>
        <v>0</v>
      </c>
    </row>
    <row r="46" spans="1:60" x14ac:dyDescent="0.35">
      <c r="A46" s="9153"/>
      <c r="B46" s="240"/>
      <c r="C46" s="874" t="s">
        <v>533</v>
      </c>
      <c r="F46" s="788"/>
      <c r="H46" s="785"/>
      <c r="I46" s="786"/>
      <c r="J46" s="782">
        <f t="shared" si="1"/>
        <v>0</v>
      </c>
      <c r="L46" s="785"/>
      <c r="M46" s="905">
        <f t="shared" si="2"/>
        <v>0</v>
      </c>
      <c r="O46" s="785"/>
      <c r="P46" s="882">
        <f t="shared" si="3"/>
        <v>0</v>
      </c>
      <c r="Q46" s="106"/>
      <c r="R46" s="476">
        <f t="shared" si="4"/>
        <v>0</v>
      </c>
      <c r="T46" s="785"/>
      <c r="U46" s="106"/>
      <c r="V46" s="543">
        <f t="shared" si="5"/>
        <v>0</v>
      </c>
      <c r="W46" s="476">
        <f t="shared" si="0"/>
        <v>0</v>
      </c>
      <c r="Z46" s="785"/>
      <c r="AA46" s="882">
        <f t="shared" si="6"/>
        <v>0</v>
      </c>
      <c r="AB46" s="106"/>
      <c r="AC46" s="476">
        <f t="shared" si="7"/>
        <v>0</v>
      </c>
      <c r="AE46" s="785"/>
      <c r="AF46" s="106"/>
      <c r="AG46" s="3233">
        <f t="shared" si="8"/>
        <v>0</v>
      </c>
      <c r="AI46" s="785"/>
      <c r="AJ46" s="882">
        <f t="shared" si="9"/>
        <v>0</v>
      </c>
      <c r="AK46" s="106"/>
      <c r="AL46" s="476">
        <f t="shared" si="10"/>
        <v>0</v>
      </c>
      <c r="AN46" s="785"/>
      <c r="AO46" s="106"/>
      <c r="AP46" s="3233">
        <f t="shared" si="11"/>
        <v>0</v>
      </c>
      <c r="AQ46" s="874"/>
      <c r="AR46" s="785"/>
      <c r="AS46" s="882">
        <f t="shared" si="12"/>
        <v>0</v>
      </c>
      <c r="AT46" s="106"/>
      <c r="AU46" s="476">
        <f t="shared" si="13"/>
        <v>0</v>
      </c>
      <c r="AW46" s="785"/>
      <c r="AX46" s="106"/>
      <c r="AY46" s="3233">
        <f t="shared" si="14"/>
        <v>0</v>
      </c>
      <c r="BA46" s="785"/>
      <c r="BB46" s="882">
        <f t="shared" si="15"/>
        <v>0</v>
      </c>
      <c r="BC46" s="106"/>
      <c r="BD46" s="476">
        <f t="shared" si="16"/>
        <v>0</v>
      </c>
      <c r="BF46" s="785"/>
      <c r="BG46" s="106"/>
      <c r="BH46" s="3233">
        <f t="shared" si="17"/>
        <v>0</v>
      </c>
    </row>
    <row r="47" spans="1:60" x14ac:dyDescent="0.35">
      <c r="A47" s="9153"/>
      <c r="B47" s="240"/>
      <c r="C47" s="874" t="s">
        <v>534</v>
      </c>
      <c r="F47" s="788"/>
      <c r="H47" s="785"/>
      <c r="I47" s="786"/>
      <c r="J47" s="782">
        <f t="shared" si="1"/>
        <v>0</v>
      </c>
      <c r="L47" s="785"/>
      <c r="M47" s="905">
        <f t="shared" si="2"/>
        <v>0</v>
      </c>
      <c r="O47" s="785"/>
      <c r="P47" s="882">
        <f t="shared" si="3"/>
        <v>0</v>
      </c>
      <c r="Q47" s="106"/>
      <c r="R47" s="476">
        <f t="shared" si="4"/>
        <v>0</v>
      </c>
      <c r="T47" s="785"/>
      <c r="U47" s="106"/>
      <c r="V47" s="543">
        <f t="shared" si="5"/>
        <v>0</v>
      </c>
      <c r="W47" s="476">
        <f t="shared" si="0"/>
        <v>0</v>
      </c>
      <c r="Z47" s="785"/>
      <c r="AA47" s="882">
        <f t="shared" si="6"/>
        <v>0</v>
      </c>
      <c r="AB47" s="106"/>
      <c r="AC47" s="476">
        <f t="shared" si="7"/>
        <v>0</v>
      </c>
      <c r="AE47" s="785"/>
      <c r="AF47" s="106"/>
      <c r="AG47" s="3233">
        <f t="shared" si="8"/>
        <v>0</v>
      </c>
      <c r="AI47" s="785"/>
      <c r="AJ47" s="882">
        <f t="shared" si="9"/>
        <v>0</v>
      </c>
      <c r="AK47" s="106"/>
      <c r="AL47" s="476">
        <f t="shared" si="10"/>
        <v>0</v>
      </c>
      <c r="AN47" s="785"/>
      <c r="AO47" s="106"/>
      <c r="AP47" s="3233">
        <f t="shared" si="11"/>
        <v>0</v>
      </c>
      <c r="AQ47" s="874"/>
      <c r="AR47" s="785"/>
      <c r="AS47" s="882">
        <f t="shared" si="12"/>
        <v>0</v>
      </c>
      <c r="AT47" s="106"/>
      <c r="AU47" s="476">
        <f t="shared" si="13"/>
        <v>0</v>
      </c>
      <c r="AW47" s="785"/>
      <c r="AX47" s="106"/>
      <c r="AY47" s="3233">
        <f t="shared" si="14"/>
        <v>0</v>
      </c>
      <c r="BA47" s="785"/>
      <c r="BB47" s="882">
        <f t="shared" si="15"/>
        <v>0</v>
      </c>
      <c r="BC47" s="106"/>
      <c r="BD47" s="476">
        <f t="shared" si="16"/>
        <v>0</v>
      </c>
      <c r="BF47" s="785"/>
      <c r="BG47" s="106"/>
      <c r="BH47" s="3233">
        <f t="shared" si="17"/>
        <v>0</v>
      </c>
    </row>
    <row r="48" spans="1:60" x14ac:dyDescent="0.35">
      <c r="A48" s="9153"/>
      <c r="B48" s="240"/>
      <c r="C48" s="874" t="s">
        <v>536</v>
      </c>
      <c r="E48" s="457"/>
      <c r="F48" s="788"/>
      <c r="H48" s="785"/>
      <c r="I48" s="786"/>
      <c r="J48" s="782">
        <f t="shared" si="1"/>
        <v>0</v>
      </c>
      <c r="L48" s="785"/>
      <c r="M48" s="905">
        <f t="shared" si="2"/>
        <v>0</v>
      </c>
      <c r="N48" s="143"/>
      <c r="O48" s="785"/>
      <c r="P48" s="882">
        <f t="shared" si="3"/>
        <v>0</v>
      </c>
      <c r="Q48" s="106"/>
      <c r="R48" s="476">
        <f t="shared" si="4"/>
        <v>0</v>
      </c>
      <c r="S48" s="143"/>
      <c r="T48" s="785"/>
      <c r="U48" s="106"/>
      <c r="V48" s="543">
        <f t="shared" si="5"/>
        <v>0</v>
      </c>
      <c r="W48" s="476">
        <f t="shared" si="0"/>
        <v>0</v>
      </c>
      <c r="X48" s="143"/>
      <c r="Y48" s="143"/>
      <c r="Z48" s="785"/>
      <c r="AA48" s="882">
        <f t="shared" si="6"/>
        <v>0</v>
      </c>
      <c r="AB48" s="106"/>
      <c r="AC48" s="476">
        <f t="shared" si="7"/>
        <v>0</v>
      </c>
      <c r="AD48" s="143"/>
      <c r="AE48" s="785"/>
      <c r="AF48" s="106"/>
      <c r="AG48" s="3233">
        <f t="shared" si="8"/>
        <v>0</v>
      </c>
      <c r="AI48" s="785"/>
      <c r="AJ48" s="882">
        <f t="shared" si="9"/>
        <v>0</v>
      </c>
      <c r="AK48" s="106"/>
      <c r="AL48" s="476">
        <f t="shared" si="10"/>
        <v>0</v>
      </c>
      <c r="AN48" s="785"/>
      <c r="AO48" s="106"/>
      <c r="AP48" s="3233">
        <f t="shared" si="11"/>
        <v>0</v>
      </c>
      <c r="AQ48" s="874"/>
      <c r="AR48" s="785"/>
      <c r="AS48" s="882">
        <f t="shared" si="12"/>
        <v>0</v>
      </c>
      <c r="AT48" s="106"/>
      <c r="AU48" s="476">
        <f t="shared" si="13"/>
        <v>0</v>
      </c>
      <c r="AW48" s="785"/>
      <c r="AX48" s="106"/>
      <c r="AY48" s="3233">
        <f t="shared" si="14"/>
        <v>0</v>
      </c>
      <c r="BA48" s="785"/>
      <c r="BB48" s="882">
        <f t="shared" si="15"/>
        <v>0</v>
      </c>
      <c r="BC48" s="106"/>
      <c r="BD48" s="476">
        <f t="shared" si="16"/>
        <v>0</v>
      </c>
      <c r="BF48" s="785"/>
      <c r="BG48" s="106"/>
      <c r="BH48" s="3233">
        <f t="shared" si="17"/>
        <v>0</v>
      </c>
    </row>
    <row r="49" spans="1:60" x14ac:dyDescent="0.35">
      <c r="A49" s="9153"/>
      <c r="B49" s="240"/>
      <c r="C49" s="874" t="s">
        <v>537</v>
      </c>
      <c r="F49" s="788"/>
      <c r="H49" s="785"/>
      <c r="I49" s="786"/>
      <c r="J49" s="782">
        <f t="shared" si="1"/>
        <v>0</v>
      </c>
      <c r="L49" s="785"/>
      <c r="M49" s="905">
        <f t="shared" si="2"/>
        <v>0</v>
      </c>
      <c r="O49" s="785"/>
      <c r="P49" s="882">
        <f t="shared" si="3"/>
        <v>0</v>
      </c>
      <c r="Q49" s="106"/>
      <c r="R49" s="476">
        <f t="shared" si="4"/>
        <v>0</v>
      </c>
      <c r="T49" s="785"/>
      <c r="U49" s="106"/>
      <c r="V49" s="543">
        <f t="shared" si="5"/>
        <v>0</v>
      </c>
      <c r="W49" s="476">
        <f t="shared" si="0"/>
        <v>0</v>
      </c>
      <c r="Z49" s="785"/>
      <c r="AA49" s="882">
        <f t="shared" si="6"/>
        <v>0</v>
      </c>
      <c r="AB49" s="106"/>
      <c r="AC49" s="476">
        <f t="shared" si="7"/>
        <v>0</v>
      </c>
      <c r="AE49" s="785"/>
      <c r="AF49" s="106"/>
      <c r="AG49" s="3233">
        <f t="shared" si="8"/>
        <v>0</v>
      </c>
      <c r="AI49" s="785"/>
      <c r="AJ49" s="882">
        <f t="shared" si="9"/>
        <v>0</v>
      </c>
      <c r="AK49" s="106"/>
      <c r="AL49" s="476">
        <f t="shared" si="10"/>
        <v>0</v>
      </c>
      <c r="AN49" s="785"/>
      <c r="AO49" s="106"/>
      <c r="AP49" s="3233">
        <f t="shared" si="11"/>
        <v>0</v>
      </c>
      <c r="AQ49" s="874"/>
      <c r="AR49" s="785"/>
      <c r="AS49" s="882">
        <f t="shared" si="12"/>
        <v>0</v>
      </c>
      <c r="AT49" s="106"/>
      <c r="AU49" s="476">
        <f t="shared" si="13"/>
        <v>0</v>
      </c>
      <c r="AW49" s="785"/>
      <c r="AX49" s="106"/>
      <c r="AY49" s="3233">
        <f t="shared" si="14"/>
        <v>0</v>
      </c>
      <c r="BA49" s="785"/>
      <c r="BB49" s="882">
        <f t="shared" si="15"/>
        <v>0</v>
      </c>
      <c r="BC49" s="106"/>
      <c r="BD49" s="476">
        <f t="shared" si="16"/>
        <v>0</v>
      </c>
      <c r="BF49" s="785"/>
      <c r="BG49" s="106"/>
      <c r="BH49" s="3233">
        <f t="shared" si="17"/>
        <v>0</v>
      </c>
    </row>
    <row r="50" spans="1:60" x14ac:dyDescent="0.35">
      <c r="A50" s="9153"/>
      <c r="B50" s="240"/>
      <c r="C50" s="874" t="s">
        <v>538</v>
      </c>
      <c r="F50" s="788"/>
      <c r="H50" s="785"/>
      <c r="I50" s="786"/>
      <c r="J50" s="782">
        <f t="shared" si="1"/>
        <v>0</v>
      </c>
      <c r="L50" s="785"/>
      <c r="M50" s="905">
        <f t="shared" si="2"/>
        <v>0</v>
      </c>
      <c r="O50" s="785"/>
      <c r="P50" s="882">
        <f t="shared" si="3"/>
        <v>0</v>
      </c>
      <c r="Q50" s="106"/>
      <c r="R50" s="476">
        <f t="shared" si="4"/>
        <v>0</v>
      </c>
      <c r="T50" s="785"/>
      <c r="U50" s="106"/>
      <c r="V50" s="543">
        <f t="shared" si="5"/>
        <v>0</v>
      </c>
      <c r="W50" s="476">
        <f t="shared" si="0"/>
        <v>0</v>
      </c>
      <c r="Z50" s="785"/>
      <c r="AA50" s="882">
        <f t="shared" si="6"/>
        <v>0</v>
      </c>
      <c r="AB50" s="106"/>
      <c r="AC50" s="476">
        <f t="shared" si="7"/>
        <v>0</v>
      </c>
      <c r="AE50" s="785"/>
      <c r="AF50" s="106"/>
      <c r="AG50" s="3233">
        <f t="shared" si="8"/>
        <v>0</v>
      </c>
      <c r="AI50" s="785"/>
      <c r="AJ50" s="882">
        <f t="shared" si="9"/>
        <v>0</v>
      </c>
      <c r="AK50" s="106"/>
      <c r="AL50" s="476">
        <f t="shared" si="10"/>
        <v>0</v>
      </c>
      <c r="AN50" s="785"/>
      <c r="AO50" s="106"/>
      <c r="AP50" s="3233">
        <f t="shared" si="11"/>
        <v>0</v>
      </c>
      <c r="AQ50" s="874"/>
      <c r="AR50" s="785"/>
      <c r="AS50" s="882">
        <f t="shared" si="12"/>
        <v>0</v>
      </c>
      <c r="AT50" s="106"/>
      <c r="AU50" s="476">
        <f t="shared" si="13"/>
        <v>0</v>
      </c>
      <c r="AW50" s="785"/>
      <c r="AX50" s="106"/>
      <c r="AY50" s="3233">
        <f t="shared" si="14"/>
        <v>0</v>
      </c>
      <c r="BA50" s="785"/>
      <c r="BB50" s="882">
        <f t="shared" si="15"/>
        <v>0</v>
      </c>
      <c r="BC50" s="106"/>
      <c r="BD50" s="476">
        <f t="shared" si="16"/>
        <v>0</v>
      </c>
      <c r="BF50" s="785"/>
      <c r="BG50" s="106"/>
      <c r="BH50" s="3233">
        <f t="shared" si="17"/>
        <v>0</v>
      </c>
    </row>
    <row r="51" spans="1:60" x14ac:dyDescent="0.35">
      <c r="A51" s="9153"/>
      <c r="B51" s="241"/>
      <c r="C51" s="874" t="s">
        <v>539</v>
      </c>
      <c r="F51" s="795"/>
      <c r="H51" s="796"/>
      <c r="I51" s="797"/>
      <c r="J51" s="798">
        <f t="shared" si="1"/>
        <v>0</v>
      </c>
      <c r="L51" s="791"/>
      <c r="M51" s="906">
        <f t="shared" si="2"/>
        <v>0</v>
      </c>
      <c r="O51" s="791"/>
      <c r="P51" s="907">
        <f t="shared" si="3"/>
        <v>0</v>
      </c>
      <c r="Q51" s="216"/>
      <c r="R51" s="484">
        <f t="shared" si="4"/>
        <v>0</v>
      </c>
      <c r="T51" s="791"/>
      <c r="U51" s="216"/>
      <c r="V51" s="553">
        <f t="shared" si="5"/>
        <v>0</v>
      </c>
      <c r="W51" s="476">
        <f t="shared" si="0"/>
        <v>0</v>
      </c>
      <c r="Z51" s="791"/>
      <c r="AA51" s="907">
        <f t="shared" si="6"/>
        <v>0</v>
      </c>
      <c r="AB51" s="216"/>
      <c r="AC51" s="484">
        <f t="shared" si="7"/>
        <v>0</v>
      </c>
      <c r="AE51" s="791"/>
      <c r="AF51" s="216"/>
      <c r="AG51" s="3234">
        <f t="shared" si="8"/>
        <v>0</v>
      </c>
      <c r="AI51" s="791"/>
      <c r="AJ51" s="907">
        <f t="shared" si="9"/>
        <v>0</v>
      </c>
      <c r="AK51" s="216"/>
      <c r="AL51" s="484">
        <f t="shared" si="10"/>
        <v>0</v>
      </c>
      <c r="AN51" s="791"/>
      <c r="AO51" s="216"/>
      <c r="AP51" s="3234">
        <f t="shared" si="11"/>
        <v>0</v>
      </c>
      <c r="AQ51" s="874"/>
      <c r="AR51" s="791"/>
      <c r="AS51" s="907">
        <f t="shared" si="12"/>
        <v>0</v>
      </c>
      <c r="AT51" s="216"/>
      <c r="AU51" s="484">
        <f t="shared" si="13"/>
        <v>0</v>
      </c>
      <c r="AW51" s="791"/>
      <c r="AX51" s="216"/>
      <c r="AY51" s="3234">
        <f t="shared" si="14"/>
        <v>0</v>
      </c>
      <c r="BA51" s="791"/>
      <c r="BB51" s="907">
        <f t="shared" si="15"/>
        <v>0</v>
      </c>
      <c r="BC51" s="216"/>
      <c r="BD51" s="484">
        <f t="shared" si="16"/>
        <v>0</v>
      </c>
      <c r="BF51" s="791"/>
      <c r="BG51" s="216"/>
      <c r="BH51" s="3234">
        <f t="shared" si="17"/>
        <v>0</v>
      </c>
    </row>
    <row r="52" spans="1:60" x14ac:dyDescent="0.35">
      <c r="A52" s="9153"/>
      <c r="B52" s="139" t="s">
        <v>540</v>
      </c>
      <c r="C52" s="908"/>
      <c r="F52" s="870"/>
      <c r="G52" s="801"/>
      <c r="H52" s="866"/>
      <c r="I52" s="847"/>
      <c r="J52" s="909"/>
      <c r="K52" s="801"/>
      <c r="L52" s="773"/>
      <c r="M52" s="910"/>
      <c r="O52" s="773"/>
      <c r="P52" s="912"/>
      <c r="Q52" s="106"/>
      <c r="R52" s="476"/>
      <c r="T52" s="773"/>
      <c r="U52" s="106"/>
      <c r="V52" s="543"/>
      <c r="W52" s="476">
        <f t="shared" si="0"/>
        <v>0</v>
      </c>
      <c r="Z52" s="773"/>
      <c r="AA52" s="912"/>
      <c r="AB52" s="106"/>
      <c r="AC52" s="476"/>
      <c r="AE52" s="773"/>
      <c r="AF52" s="106"/>
      <c r="AG52" s="543"/>
      <c r="AI52" s="773"/>
      <c r="AJ52" s="912"/>
      <c r="AK52" s="106"/>
      <c r="AL52" s="476"/>
      <c r="AN52" s="773"/>
      <c r="AO52" s="106"/>
      <c r="AP52" s="543"/>
      <c r="AQ52" s="908"/>
      <c r="AR52" s="773"/>
      <c r="AS52" s="912"/>
      <c r="AT52" s="106"/>
      <c r="AU52" s="476"/>
      <c r="AW52" s="773"/>
      <c r="AX52" s="106"/>
      <c r="AY52" s="543"/>
      <c r="BA52" s="773"/>
      <c r="BB52" s="912"/>
      <c r="BC52" s="106"/>
      <c r="BD52" s="476"/>
      <c r="BF52" s="773"/>
      <c r="BG52" s="106"/>
      <c r="BH52" s="543"/>
    </row>
    <row r="53" spans="1:60" x14ac:dyDescent="0.35">
      <c r="A53" s="9153"/>
      <c r="B53" s="873"/>
      <c r="C53" s="914" t="s">
        <v>532</v>
      </c>
      <c r="F53" s="779"/>
      <c r="H53" s="780"/>
      <c r="I53" s="781"/>
      <c r="J53" s="782">
        <f>IF(H53=0,0,I53/H53)</f>
        <v>0</v>
      </c>
      <c r="L53" s="780"/>
      <c r="M53" s="902">
        <f>L53*J53</f>
        <v>0</v>
      </c>
      <c r="O53" s="780"/>
      <c r="P53" s="876">
        <f t="shared" ref="P53:P59" si="18">O53*M53</f>
        <v>0</v>
      </c>
      <c r="Q53" s="106"/>
      <c r="R53" s="476">
        <f t="shared" ref="R53:R60" si="19">IF(O53=0,0,P53/O53)</f>
        <v>0</v>
      </c>
      <c r="T53" s="780"/>
      <c r="U53" s="106"/>
      <c r="V53" s="543">
        <f t="shared" ref="V53:V60" si="20">T53*R53</f>
        <v>0</v>
      </c>
      <c r="W53" s="476">
        <f t="shared" si="0"/>
        <v>0</v>
      </c>
      <c r="Z53" s="780"/>
      <c r="AA53" s="876">
        <f t="shared" ref="AA53:AA59" si="21">Z53*X53</f>
        <v>0</v>
      </c>
      <c r="AB53" s="106"/>
      <c r="AC53" s="476">
        <f t="shared" ref="AC53:AC60" si="22">IF(Z53=0,0,AA53/Z53)</f>
        <v>0</v>
      </c>
      <c r="AE53" s="780"/>
      <c r="AF53" s="106"/>
      <c r="AG53" s="3233">
        <f t="shared" ref="AG53:AG60" si="23">AE53*AC53</f>
        <v>0</v>
      </c>
      <c r="AI53" s="780"/>
      <c r="AJ53" s="876">
        <f t="shared" ref="AJ53:AJ59" si="24">AI53*AQ53</f>
        <v>0</v>
      </c>
      <c r="AK53" s="106"/>
      <c r="AL53" s="476">
        <f t="shared" ref="AL53:AL60" si="25">IF(AI53=0,0,AJ53/AI53)</f>
        <v>0</v>
      </c>
      <c r="AN53" s="780"/>
      <c r="AO53" s="106"/>
      <c r="AP53" s="3233">
        <f t="shared" ref="AP53:AP60" si="26">AN53*AQ53</f>
        <v>0</v>
      </c>
      <c r="AQ53" s="914"/>
      <c r="AR53" s="780"/>
      <c r="AS53" s="876">
        <f t="shared" ref="AS53:AS59" si="27">AR53*AZ53</f>
        <v>0</v>
      </c>
      <c r="AT53" s="106"/>
      <c r="AU53" s="476">
        <f t="shared" ref="AU53:AU60" si="28">IF(AR53=0,0,AS53/AR53)</f>
        <v>0</v>
      </c>
      <c r="AW53" s="780"/>
      <c r="AX53" s="106"/>
      <c r="AY53" s="3233">
        <f t="shared" ref="AY53:AY60" si="29">AW53*AZ53</f>
        <v>0</v>
      </c>
      <c r="BA53" s="780"/>
      <c r="BB53" s="876">
        <f t="shared" ref="BB53:BB59" si="30">BA53*BI53</f>
        <v>0</v>
      </c>
      <c r="BC53" s="106"/>
      <c r="BD53" s="476">
        <f t="shared" ref="BD53:BD60" si="31">IF(BA53=0,0,BB53/BA53)</f>
        <v>0</v>
      </c>
      <c r="BF53" s="780"/>
      <c r="BG53" s="106"/>
      <c r="BH53" s="3233">
        <f t="shared" ref="BH53:BH60" si="32">BF53*BI53</f>
        <v>0</v>
      </c>
    </row>
    <row r="54" spans="1:60" x14ac:dyDescent="0.35">
      <c r="A54" s="9153"/>
      <c r="B54" s="873"/>
      <c r="C54" s="914" t="s">
        <v>533</v>
      </c>
      <c r="F54" s="788"/>
      <c r="H54" s="785"/>
      <c r="I54" s="786"/>
      <c r="J54" s="782">
        <f>IF(H54=0,0,I54/H54)</f>
        <v>0</v>
      </c>
      <c r="L54" s="785"/>
      <c r="M54" s="905">
        <f>L54*J54</f>
        <v>0</v>
      </c>
      <c r="O54" s="785"/>
      <c r="P54" s="882">
        <f t="shared" si="18"/>
        <v>0</v>
      </c>
      <c r="Q54" s="106"/>
      <c r="R54" s="476">
        <f t="shared" si="19"/>
        <v>0</v>
      </c>
      <c r="T54" s="785"/>
      <c r="U54" s="106"/>
      <c r="V54" s="543">
        <f t="shared" si="20"/>
        <v>0</v>
      </c>
      <c r="W54" s="476">
        <f t="shared" si="0"/>
        <v>0</v>
      </c>
      <c r="Z54" s="785"/>
      <c r="AA54" s="882">
        <f t="shared" si="21"/>
        <v>0</v>
      </c>
      <c r="AB54" s="106"/>
      <c r="AC54" s="476">
        <f t="shared" si="22"/>
        <v>0</v>
      </c>
      <c r="AE54" s="785"/>
      <c r="AF54" s="106"/>
      <c r="AG54" s="3233">
        <f t="shared" si="23"/>
        <v>0</v>
      </c>
      <c r="AI54" s="785"/>
      <c r="AJ54" s="882">
        <f t="shared" si="24"/>
        <v>0</v>
      </c>
      <c r="AK54" s="106"/>
      <c r="AL54" s="476">
        <f t="shared" si="25"/>
        <v>0</v>
      </c>
      <c r="AN54" s="785"/>
      <c r="AO54" s="106"/>
      <c r="AP54" s="3233">
        <f t="shared" si="26"/>
        <v>0</v>
      </c>
      <c r="AQ54" s="914"/>
      <c r="AR54" s="785"/>
      <c r="AS54" s="882">
        <f t="shared" si="27"/>
        <v>0</v>
      </c>
      <c r="AT54" s="106"/>
      <c r="AU54" s="476">
        <f t="shared" si="28"/>
        <v>0</v>
      </c>
      <c r="AW54" s="785"/>
      <c r="AX54" s="106"/>
      <c r="AY54" s="3233">
        <f t="shared" si="29"/>
        <v>0</v>
      </c>
      <c r="BA54" s="785"/>
      <c r="BB54" s="882">
        <f t="shared" si="30"/>
        <v>0</v>
      </c>
      <c r="BC54" s="106"/>
      <c r="BD54" s="476">
        <f t="shared" si="31"/>
        <v>0</v>
      </c>
      <c r="BF54" s="785"/>
      <c r="BG54" s="106"/>
      <c r="BH54" s="3233">
        <f t="shared" si="32"/>
        <v>0</v>
      </c>
    </row>
    <row r="55" spans="1:60" x14ac:dyDescent="0.35">
      <c r="A55" s="9153"/>
      <c r="B55" s="873"/>
      <c r="C55" s="914" t="s">
        <v>534</v>
      </c>
      <c r="F55" s="790"/>
      <c r="H55" s="791"/>
      <c r="I55" s="792"/>
      <c r="J55" s="782">
        <f>IF(H55=0,0,I55/H55)</f>
        <v>0</v>
      </c>
      <c r="L55" s="791"/>
      <c r="M55" s="905">
        <f>L55*J55</f>
        <v>0</v>
      </c>
      <c r="O55" s="791"/>
      <c r="P55" s="882">
        <f t="shared" si="18"/>
        <v>0</v>
      </c>
      <c r="Q55" s="106"/>
      <c r="R55" s="476">
        <f t="shared" si="19"/>
        <v>0</v>
      </c>
      <c r="T55" s="791"/>
      <c r="U55" s="106"/>
      <c r="V55" s="543">
        <f t="shared" si="20"/>
        <v>0</v>
      </c>
      <c r="W55" s="476">
        <f t="shared" si="0"/>
        <v>0</v>
      </c>
      <c r="Z55" s="791"/>
      <c r="AA55" s="882">
        <f t="shared" si="21"/>
        <v>0</v>
      </c>
      <c r="AB55" s="106"/>
      <c r="AC55" s="476">
        <f t="shared" si="22"/>
        <v>0</v>
      </c>
      <c r="AE55" s="791"/>
      <c r="AF55" s="106"/>
      <c r="AG55" s="3233">
        <f t="shared" si="23"/>
        <v>0</v>
      </c>
      <c r="AI55" s="791"/>
      <c r="AJ55" s="882">
        <f t="shared" si="24"/>
        <v>0</v>
      </c>
      <c r="AK55" s="106"/>
      <c r="AL55" s="476">
        <f t="shared" si="25"/>
        <v>0</v>
      </c>
      <c r="AN55" s="791"/>
      <c r="AO55" s="106"/>
      <c r="AP55" s="3233">
        <f t="shared" si="26"/>
        <v>0</v>
      </c>
      <c r="AQ55" s="914"/>
      <c r="AR55" s="791"/>
      <c r="AS55" s="882">
        <f t="shared" si="27"/>
        <v>0</v>
      </c>
      <c r="AT55" s="106"/>
      <c r="AU55" s="476">
        <f t="shared" si="28"/>
        <v>0</v>
      </c>
      <c r="AW55" s="791"/>
      <c r="AX55" s="106"/>
      <c r="AY55" s="3233">
        <f t="shared" si="29"/>
        <v>0</v>
      </c>
      <c r="BA55" s="791"/>
      <c r="BB55" s="882">
        <f t="shared" si="30"/>
        <v>0</v>
      </c>
      <c r="BC55" s="106"/>
      <c r="BD55" s="476">
        <f t="shared" si="31"/>
        <v>0</v>
      </c>
      <c r="BF55" s="791"/>
      <c r="BG55" s="106"/>
      <c r="BH55" s="3233">
        <f t="shared" si="32"/>
        <v>0</v>
      </c>
    </row>
    <row r="56" spans="1:60" x14ac:dyDescent="0.35">
      <c r="A56" s="9153"/>
      <c r="B56" s="873"/>
      <c r="C56" s="914" t="s">
        <v>536</v>
      </c>
      <c r="E56" s="801"/>
      <c r="F56" s="790"/>
      <c r="H56" s="791"/>
      <c r="I56" s="792"/>
      <c r="J56" s="782">
        <f>IF(H56=0,0,I56/H56)</f>
        <v>0</v>
      </c>
      <c r="L56" s="791"/>
      <c r="M56" s="905">
        <f>L56*J56</f>
        <v>0</v>
      </c>
      <c r="N56" s="141"/>
      <c r="O56" s="791"/>
      <c r="P56" s="882">
        <f t="shared" si="18"/>
        <v>0</v>
      </c>
      <c r="Q56" s="106"/>
      <c r="R56" s="476">
        <f t="shared" si="19"/>
        <v>0</v>
      </c>
      <c r="S56" s="141"/>
      <c r="T56" s="791"/>
      <c r="U56" s="106"/>
      <c r="V56" s="543">
        <f t="shared" si="20"/>
        <v>0</v>
      </c>
      <c r="W56" s="476">
        <f t="shared" si="0"/>
        <v>0</v>
      </c>
      <c r="X56" s="141"/>
      <c r="Y56" s="141"/>
      <c r="Z56" s="791"/>
      <c r="AA56" s="882">
        <f t="shared" si="21"/>
        <v>0</v>
      </c>
      <c r="AB56" s="106"/>
      <c r="AC56" s="476">
        <f t="shared" si="22"/>
        <v>0</v>
      </c>
      <c r="AD56" s="141"/>
      <c r="AE56" s="791"/>
      <c r="AF56" s="106"/>
      <c r="AG56" s="3233">
        <f t="shared" si="23"/>
        <v>0</v>
      </c>
      <c r="AI56" s="791"/>
      <c r="AJ56" s="882">
        <f t="shared" si="24"/>
        <v>0</v>
      </c>
      <c r="AK56" s="106"/>
      <c r="AL56" s="476">
        <f t="shared" si="25"/>
        <v>0</v>
      </c>
      <c r="AN56" s="791"/>
      <c r="AO56" s="106"/>
      <c r="AP56" s="3233">
        <f t="shared" si="26"/>
        <v>0</v>
      </c>
      <c r="AQ56" s="914"/>
      <c r="AR56" s="791"/>
      <c r="AS56" s="882">
        <f t="shared" si="27"/>
        <v>0</v>
      </c>
      <c r="AT56" s="106"/>
      <c r="AU56" s="476">
        <f t="shared" si="28"/>
        <v>0</v>
      </c>
      <c r="AW56" s="791"/>
      <c r="AX56" s="106"/>
      <c r="AY56" s="3233">
        <f t="shared" si="29"/>
        <v>0</v>
      </c>
      <c r="BA56" s="791"/>
      <c r="BB56" s="882">
        <f t="shared" si="30"/>
        <v>0</v>
      </c>
      <c r="BC56" s="106"/>
      <c r="BD56" s="476">
        <f t="shared" si="31"/>
        <v>0</v>
      </c>
      <c r="BF56" s="791"/>
      <c r="BG56" s="106"/>
      <c r="BH56" s="3233">
        <f t="shared" si="32"/>
        <v>0</v>
      </c>
    </row>
    <row r="57" spans="1:60" x14ac:dyDescent="0.35">
      <c r="A57" s="9153"/>
      <c r="B57" s="873"/>
      <c r="C57" s="914" t="s">
        <v>537</v>
      </c>
      <c r="F57" s="790"/>
      <c r="H57" s="791"/>
      <c r="I57" s="792"/>
      <c r="J57" s="782">
        <f>IF(H57=0,0,I57/H57)</f>
        <v>0</v>
      </c>
      <c r="L57" s="791"/>
      <c r="M57" s="905">
        <f>L57*J57</f>
        <v>0</v>
      </c>
      <c r="O57" s="791"/>
      <c r="P57" s="882">
        <f t="shared" si="18"/>
        <v>0</v>
      </c>
      <c r="Q57" s="106"/>
      <c r="R57" s="476">
        <f t="shared" si="19"/>
        <v>0</v>
      </c>
      <c r="T57" s="791"/>
      <c r="U57" s="106"/>
      <c r="V57" s="543">
        <f t="shared" si="20"/>
        <v>0</v>
      </c>
      <c r="W57" s="476">
        <f t="shared" si="0"/>
        <v>0</v>
      </c>
      <c r="Z57" s="791"/>
      <c r="AA57" s="882">
        <f t="shared" si="21"/>
        <v>0</v>
      </c>
      <c r="AB57" s="106"/>
      <c r="AC57" s="476">
        <f t="shared" si="22"/>
        <v>0</v>
      </c>
      <c r="AE57" s="791"/>
      <c r="AF57" s="106"/>
      <c r="AG57" s="3233">
        <f t="shared" si="23"/>
        <v>0</v>
      </c>
      <c r="AI57" s="791"/>
      <c r="AJ57" s="882">
        <f t="shared" si="24"/>
        <v>0</v>
      </c>
      <c r="AK57" s="106"/>
      <c r="AL57" s="476">
        <f t="shared" si="25"/>
        <v>0</v>
      </c>
      <c r="AN57" s="791"/>
      <c r="AO57" s="106"/>
      <c r="AP57" s="3233">
        <f t="shared" si="26"/>
        <v>0</v>
      </c>
      <c r="AQ57" s="914"/>
      <c r="AR57" s="791"/>
      <c r="AS57" s="882">
        <f t="shared" si="27"/>
        <v>0</v>
      </c>
      <c r="AT57" s="106"/>
      <c r="AU57" s="476">
        <f t="shared" si="28"/>
        <v>0</v>
      </c>
      <c r="AW57" s="791"/>
      <c r="AX57" s="106"/>
      <c r="AY57" s="3233">
        <f t="shared" si="29"/>
        <v>0</v>
      </c>
      <c r="BA57" s="791"/>
      <c r="BB57" s="882">
        <f t="shared" si="30"/>
        <v>0</v>
      </c>
      <c r="BC57" s="106"/>
      <c r="BD57" s="476">
        <f t="shared" si="31"/>
        <v>0</v>
      </c>
      <c r="BF57" s="791"/>
      <c r="BG57" s="106"/>
      <c r="BH57" s="3233">
        <f t="shared" si="32"/>
        <v>0</v>
      </c>
    </row>
    <row r="58" spans="1:60" x14ac:dyDescent="0.35">
      <c r="A58" s="9153"/>
      <c r="B58" s="873"/>
      <c r="C58" s="914" t="s">
        <v>538</v>
      </c>
      <c r="F58" s="790"/>
      <c r="H58" s="791"/>
      <c r="I58" s="792"/>
      <c r="J58" s="782"/>
      <c r="L58" s="791"/>
      <c r="M58" s="905"/>
      <c r="O58" s="791"/>
      <c r="P58" s="882">
        <f t="shared" si="18"/>
        <v>0</v>
      </c>
      <c r="Q58" s="106"/>
      <c r="R58" s="476">
        <f t="shared" si="19"/>
        <v>0</v>
      </c>
      <c r="T58" s="791"/>
      <c r="U58" s="106"/>
      <c r="V58" s="543">
        <f t="shared" si="20"/>
        <v>0</v>
      </c>
      <c r="W58" s="476">
        <f t="shared" si="0"/>
        <v>0</v>
      </c>
      <c r="Z58" s="791"/>
      <c r="AA58" s="882">
        <f t="shared" si="21"/>
        <v>0</v>
      </c>
      <c r="AB58" s="106"/>
      <c r="AC58" s="476">
        <f t="shared" si="22"/>
        <v>0</v>
      </c>
      <c r="AE58" s="791"/>
      <c r="AF58" s="106"/>
      <c r="AG58" s="3233">
        <f t="shared" si="23"/>
        <v>0</v>
      </c>
      <c r="AI58" s="791"/>
      <c r="AJ58" s="882">
        <f t="shared" si="24"/>
        <v>0</v>
      </c>
      <c r="AK58" s="106"/>
      <c r="AL58" s="476">
        <f t="shared" si="25"/>
        <v>0</v>
      </c>
      <c r="AN58" s="791"/>
      <c r="AO58" s="106"/>
      <c r="AP58" s="3233">
        <f t="shared" si="26"/>
        <v>0</v>
      </c>
      <c r="AQ58" s="914"/>
      <c r="AR58" s="791"/>
      <c r="AS58" s="882">
        <f t="shared" si="27"/>
        <v>0</v>
      </c>
      <c r="AT58" s="106"/>
      <c r="AU58" s="476">
        <f t="shared" si="28"/>
        <v>0</v>
      </c>
      <c r="AW58" s="791"/>
      <c r="AX58" s="106"/>
      <c r="AY58" s="3233">
        <f t="shared" si="29"/>
        <v>0</v>
      </c>
      <c r="BA58" s="791"/>
      <c r="BB58" s="882">
        <f t="shared" si="30"/>
        <v>0</v>
      </c>
      <c r="BC58" s="106"/>
      <c r="BD58" s="476">
        <f t="shared" si="31"/>
        <v>0</v>
      </c>
      <c r="BF58" s="791"/>
      <c r="BG58" s="106"/>
      <c r="BH58" s="3233">
        <f t="shared" si="32"/>
        <v>0</v>
      </c>
    </row>
    <row r="59" spans="1:60" x14ac:dyDescent="0.35">
      <c r="A59" s="9153"/>
      <c r="B59" s="873"/>
      <c r="C59" s="914" t="s">
        <v>539</v>
      </c>
      <c r="F59" s="790"/>
      <c r="H59" s="791"/>
      <c r="I59" s="792"/>
      <c r="J59" s="782">
        <f>IF(H59=0,0,I59/H59)</f>
        <v>0</v>
      </c>
      <c r="L59" s="791"/>
      <c r="M59" s="905">
        <f>L59*J59</f>
        <v>0</v>
      </c>
      <c r="O59" s="791"/>
      <c r="P59" s="882">
        <f t="shared" si="18"/>
        <v>0</v>
      </c>
      <c r="Q59" s="106"/>
      <c r="R59" s="476">
        <f t="shared" si="19"/>
        <v>0</v>
      </c>
      <c r="T59" s="791"/>
      <c r="U59" s="106"/>
      <c r="V59" s="543">
        <f t="shared" si="20"/>
        <v>0</v>
      </c>
      <c r="W59" s="476">
        <f t="shared" si="0"/>
        <v>0</v>
      </c>
      <c r="Z59" s="791"/>
      <c r="AA59" s="882">
        <f t="shared" si="21"/>
        <v>0</v>
      </c>
      <c r="AB59" s="106"/>
      <c r="AC59" s="476">
        <f t="shared" si="22"/>
        <v>0</v>
      </c>
      <c r="AE59" s="791"/>
      <c r="AF59" s="106"/>
      <c r="AG59" s="3233">
        <f t="shared" si="23"/>
        <v>0</v>
      </c>
      <c r="AI59" s="791"/>
      <c r="AJ59" s="882">
        <f t="shared" si="24"/>
        <v>0</v>
      </c>
      <c r="AK59" s="106"/>
      <c r="AL59" s="476">
        <f t="shared" si="25"/>
        <v>0</v>
      </c>
      <c r="AN59" s="791"/>
      <c r="AO59" s="106"/>
      <c r="AP59" s="3233">
        <f t="shared" si="26"/>
        <v>0</v>
      </c>
      <c r="AQ59" s="914"/>
      <c r="AR59" s="791"/>
      <c r="AS59" s="882">
        <f t="shared" si="27"/>
        <v>0</v>
      </c>
      <c r="AT59" s="106"/>
      <c r="AU59" s="476">
        <f t="shared" si="28"/>
        <v>0</v>
      </c>
      <c r="AW59" s="791"/>
      <c r="AX59" s="106"/>
      <c r="AY59" s="3233">
        <f t="shared" si="29"/>
        <v>0</v>
      </c>
      <c r="BA59" s="791"/>
      <c r="BB59" s="882">
        <f t="shared" si="30"/>
        <v>0</v>
      </c>
      <c r="BC59" s="106"/>
      <c r="BD59" s="476">
        <f t="shared" si="31"/>
        <v>0</v>
      </c>
      <c r="BF59" s="791"/>
      <c r="BG59" s="106"/>
      <c r="BH59" s="3233">
        <f t="shared" si="32"/>
        <v>0</v>
      </c>
    </row>
    <row r="60" spans="1:60" x14ac:dyDescent="0.35">
      <c r="A60" s="9153"/>
      <c r="B60" s="895"/>
      <c r="C60" s="917" t="s">
        <v>704</v>
      </c>
      <c r="F60" s="795"/>
      <c r="H60" s="791"/>
      <c r="I60" s="792"/>
      <c r="J60" s="782">
        <f>IF(H60=0,0,I60/H60)</f>
        <v>0</v>
      </c>
      <c r="L60" s="791"/>
      <c r="M60" s="906">
        <f>L60*J60</f>
        <v>0</v>
      </c>
      <c r="O60" s="796"/>
      <c r="P60" s="898">
        <f>M60*O60</f>
        <v>0</v>
      </c>
      <c r="Q60" s="216"/>
      <c r="R60" s="484">
        <f t="shared" si="19"/>
        <v>0</v>
      </c>
      <c r="T60" s="796"/>
      <c r="U60" s="216"/>
      <c r="V60" s="553">
        <f t="shared" si="20"/>
        <v>0</v>
      </c>
      <c r="W60" s="476">
        <f t="shared" si="0"/>
        <v>0</v>
      </c>
      <c r="Z60" s="796"/>
      <c r="AA60" s="898">
        <f>X60*Z60</f>
        <v>0</v>
      </c>
      <c r="AB60" s="216"/>
      <c r="AC60" s="484">
        <f t="shared" si="22"/>
        <v>0</v>
      </c>
      <c r="AE60" s="796"/>
      <c r="AF60" s="216"/>
      <c r="AG60" s="3234">
        <f t="shared" si="23"/>
        <v>0</v>
      </c>
      <c r="AI60" s="796"/>
      <c r="AJ60" s="898">
        <f>AQ60*AI60</f>
        <v>0</v>
      </c>
      <c r="AK60" s="216"/>
      <c r="AL60" s="484">
        <f t="shared" si="25"/>
        <v>0</v>
      </c>
      <c r="AN60" s="796"/>
      <c r="AO60" s="216"/>
      <c r="AP60" s="3234">
        <f t="shared" si="26"/>
        <v>0</v>
      </c>
      <c r="AQ60" s="917"/>
      <c r="AR60" s="796"/>
      <c r="AS60" s="898">
        <f>AZ60*AR60</f>
        <v>0</v>
      </c>
      <c r="AT60" s="216"/>
      <c r="AU60" s="484">
        <f t="shared" si="28"/>
        <v>0</v>
      </c>
      <c r="AW60" s="796"/>
      <c r="AX60" s="216"/>
      <c r="AY60" s="3234">
        <f t="shared" si="29"/>
        <v>0</v>
      </c>
      <c r="BA60" s="796"/>
      <c r="BB60" s="898">
        <f>BI60*BA60</f>
        <v>0</v>
      </c>
      <c r="BC60" s="216"/>
      <c r="BD60" s="484">
        <f t="shared" si="31"/>
        <v>0</v>
      </c>
      <c r="BF60" s="796"/>
      <c r="BG60" s="216"/>
      <c r="BH60" s="3234">
        <f t="shared" si="32"/>
        <v>0</v>
      </c>
    </row>
    <row r="61" spans="1:60" x14ac:dyDescent="0.35">
      <c r="A61" s="9153"/>
      <c r="B61" s="139" t="s">
        <v>552</v>
      </c>
      <c r="C61" s="908"/>
      <c r="F61" s="870"/>
      <c r="G61" s="457"/>
      <c r="H61" s="773"/>
      <c r="I61" s="774"/>
      <c r="J61" s="776"/>
      <c r="K61" s="457"/>
      <c r="L61" s="773"/>
      <c r="M61" s="910"/>
      <c r="O61" s="919"/>
      <c r="P61" s="920"/>
      <c r="Q61" s="106"/>
      <c r="R61" s="476"/>
      <c r="T61" s="919"/>
      <c r="U61" s="106"/>
      <c r="V61" s="476"/>
      <c r="W61" s="476">
        <f t="shared" si="0"/>
        <v>0</v>
      </c>
      <c r="Z61" s="919"/>
      <c r="AA61" s="920"/>
      <c r="AB61" s="106"/>
      <c r="AC61" s="476"/>
      <c r="AE61" s="919"/>
      <c r="AF61" s="106"/>
      <c r="AG61" s="476"/>
      <c r="AI61" s="919"/>
      <c r="AJ61" s="920"/>
      <c r="AK61" s="106"/>
      <c r="AL61" s="476"/>
      <c r="AN61" s="919"/>
      <c r="AO61" s="106"/>
      <c r="AP61" s="476"/>
      <c r="AQ61" s="908"/>
      <c r="AR61" s="919"/>
      <c r="AS61" s="920"/>
      <c r="AT61" s="106"/>
      <c r="AU61" s="476"/>
      <c r="AW61" s="919"/>
      <c r="AX61" s="106"/>
      <c r="AY61" s="476"/>
      <c r="BA61" s="919"/>
      <c r="BB61" s="920"/>
      <c r="BC61" s="106"/>
      <c r="BD61" s="476"/>
      <c r="BF61" s="919"/>
      <c r="BG61" s="106"/>
      <c r="BH61" s="476"/>
    </row>
    <row r="62" spans="1:60" x14ac:dyDescent="0.35">
      <c r="A62" s="9153"/>
      <c r="B62" s="65"/>
      <c r="C62" s="921" t="s">
        <v>820</v>
      </c>
      <c r="F62" s="779"/>
      <c r="H62" s="780"/>
      <c r="I62" s="781"/>
      <c r="J62" s="782">
        <f>IF(H62=0,0,I62/H62)</f>
        <v>0</v>
      </c>
      <c r="L62" s="780"/>
      <c r="M62" s="902">
        <f>M29*M64</f>
        <v>0</v>
      </c>
      <c r="O62" s="242"/>
      <c r="P62" s="201"/>
      <c r="Q62" s="106"/>
      <c r="R62" s="476">
        <f>IF(O62=0,0,P62/O62)</f>
        <v>0</v>
      </c>
      <c r="T62" s="242"/>
      <c r="U62" s="106"/>
      <c r="V62" s="476">
        <f>T62*R62</f>
        <v>0</v>
      </c>
      <c r="W62" s="476">
        <f t="shared" si="0"/>
        <v>0</v>
      </c>
      <c r="Z62" s="242"/>
      <c r="AA62" s="201"/>
      <c r="AB62" s="106"/>
      <c r="AC62" s="476">
        <f>IF(Z62=0,0,AA62/Z62)</f>
        <v>0</v>
      </c>
      <c r="AE62" s="242"/>
      <c r="AF62" s="106"/>
      <c r="AG62" s="3235">
        <f>AE62*AC62</f>
        <v>0</v>
      </c>
      <c r="AI62" s="242"/>
      <c r="AJ62" s="201"/>
      <c r="AK62" s="106"/>
      <c r="AL62" s="476">
        <f>IF(AI62=0,0,AJ62/AI62)</f>
        <v>0</v>
      </c>
      <c r="AN62" s="242"/>
      <c r="AO62" s="106"/>
      <c r="AP62" s="3235">
        <f>AN62*AQ62</f>
        <v>0</v>
      </c>
      <c r="AQ62" s="921"/>
      <c r="AR62" s="242"/>
      <c r="AS62" s="201"/>
      <c r="AT62" s="106"/>
      <c r="AU62" s="476">
        <f>IF(AR62=0,0,AS62/AR62)</f>
        <v>0</v>
      </c>
      <c r="AW62" s="242"/>
      <c r="AX62" s="106"/>
      <c r="AY62" s="3235">
        <f>AW62*AZ62</f>
        <v>0</v>
      </c>
      <c r="BA62" s="242"/>
      <c r="BB62" s="201"/>
      <c r="BC62" s="106"/>
      <c r="BD62" s="476">
        <f>IF(BA62=0,0,BB62/BA62)</f>
        <v>0</v>
      </c>
      <c r="BF62" s="242"/>
      <c r="BG62" s="106"/>
      <c r="BH62" s="3235">
        <f>BF62*BI62</f>
        <v>0</v>
      </c>
    </row>
    <row r="63" spans="1:60" x14ac:dyDescent="0.35">
      <c r="A63" s="9153"/>
      <c r="B63" s="80"/>
      <c r="C63" s="921" t="s">
        <v>821</v>
      </c>
      <c r="F63" s="788"/>
      <c r="H63" s="785"/>
      <c r="I63" s="786"/>
      <c r="J63" s="782">
        <f>IF(H63=0,0,I63/H63)</f>
        <v>0</v>
      </c>
      <c r="L63" s="785"/>
      <c r="M63" s="905">
        <f>M62*M64</f>
        <v>0</v>
      </c>
      <c r="O63" s="242"/>
      <c r="P63" s="201"/>
      <c r="Q63" s="106"/>
      <c r="R63" s="476">
        <f>IF(O63=0,0,P63/O63)</f>
        <v>0</v>
      </c>
      <c r="T63" s="242"/>
      <c r="U63" s="106"/>
      <c r="V63" s="476">
        <f>T63*R63</f>
        <v>0</v>
      </c>
      <c r="W63" s="476">
        <f t="shared" si="0"/>
        <v>0</v>
      </c>
      <c r="Z63" s="242"/>
      <c r="AA63" s="201"/>
      <c r="AB63" s="106"/>
      <c r="AC63" s="476">
        <f>IF(Z63=0,0,AA63/Z63)</f>
        <v>0</v>
      </c>
      <c r="AE63" s="242"/>
      <c r="AF63" s="106"/>
      <c r="AG63" s="3235">
        <f>AE63*AC63</f>
        <v>0</v>
      </c>
      <c r="AI63" s="242"/>
      <c r="AJ63" s="201"/>
      <c r="AK63" s="106"/>
      <c r="AL63" s="476">
        <f>IF(AI63=0,0,AJ63/AI63)</f>
        <v>0</v>
      </c>
      <c r="AN63" s="242"/>
      <c r="AO63" s="106"/>
      <c r="AP63" s="3235">
        <f>AN63*AQ63</f>
        <v>0</v>
      </c>
      <c r="AQ63" s="921"/>
      <c r="AR63" s="242"/>
      <c r="AS63" s="201"/>
      <c r="AT63" s="106"/>
      <c r="AU63" s="476">
        <f>IF(AR63=0,0,AS63/AR63)</f>
        <v>0</v>
      </c>
      <c r="AW63" s="242"/>
      <c r="AX63" s="106"/>
      <c r="AY63" s="3235">
        <f>AW63*AZ63</f>
        <v>0</v>
      </c>
      <c r="BA63" s="242"/>
      <c r="BB63" s="201"/>
      <c r="BC63" s="106"/>
      <c r="BD63" s="476">
        <f>IF(BA63=0,0,BB63/BA63)</f>
        <v>0</v>
      </c>
      <c r="BF63" s="242"/>
      <c r="BG63" s="106"/>
      <c r="BH63" s="3235">
        <f>BF63*BI63</f>
        <v>0</v>
      </c>
    </row>
    <row r="64" spans="1:60" x14ac:dyDescent="0.35">
      <c r="A64" s="9153"/>
      <c r="B64" s="922"/>
      <c r="C64" s="923" t="s">
        <v>555</v>
      </c>
      <c r="F64" s="924"/>
      <c r="H64" s="925"/>
      <c r="I64" s="926"/>
      <c r="J64" s="798"/>
      <c r="L64" s="925"/>
      <c r="M64" s="927"/>
      <c r="O64" s="242"/>
      <c r="P64" s="201"/>
      <c r="Q64" s="216"/>
      <c r="R64" s="476">
        <f>IF(O64=0,0,P64/O64)</f>
        <v>0</v>
      </c>
      <c r="T64" s="242"/>
      <c r="U64" s="216"/>
      <c r="V64" s="476">
        <f>T64*R64</f>
        <v>0</v>
      </c>
      <c r="W64" s="476">
        <f t="shared" si="0"/>
        <v>0</v>
      </c>
      <c r="Z64" s="242"/>
      <c r="AA64" s="201"/>
      <c r="AB64" s="216"/>
      <c r="AC64" s="476">
        <f>IF(Z64=0,0,AA64/Z64)</f>
        <v>0</v>
      </c>
      <c r="AE64" s="242"/>
      <c r="AF64" s="216"/>
      <c r="AG64" s="3235">
        <f>AE64*AC64</f>
        <v>0</v>
      </c>
      <c r="AI64" s="242"/>
      <c r="AJ64" s="201"/>
      <c r="AK64" s="216"/>
      <c r="AL64" s="476">
        <f>IF(AI64=0,0,AJ64/AI64)</f>
        <v>0</v>
      </c>
      <c r="AN64" s="242"/>
      <c r="AO64" s="216"/>
      <c r="AP64" s="3235">
        <f>AN64*AQ64</f>
        <v>0</v>
      </c>
      <c r="AQ64" s="923"/>
      <c r="AR64" s="242"/>
      <c r="AS64" s="201"/>
      <c r="AT64" s="216"/>
      <c r="AU64" s="476">
        <f>IF(AR64=0,0,AS64/AR64)</f>
        <v>0</v>
      </c>
      <c r="AW64" s="242"/>
      <c r="AX64" s="216"/>
      <c r="AY64" s="3235">
        <f>AW64*AZ64</f>
        <v>0</v>
      </c>
      <c r="BA64" s="242"/>
      <c r="BB64" s="201"/>
      <c r="BC64" s="216"/>
      <c r="BD64" s="476">
        <f>IF(BA64=0,0,BB64/BA64)</f>
        <v>0</v>
      </c>
      <c r="BF64" s="242"/>
      <c r="BG64" s="216"/>
      <c r="BH64" s="3235">
        <f>BF64*BI64</f>
        <v>0</v>
      </c>
    </row>
    <row r="65" spans="1:60" x14ac:dyDescent="0.35">
      <c r="A65" s="9153"/>
      <c r="B65" s="287" t="s">
        <v>556</v>
      </c>
      <c r="C65" s="288"/>
      <c r="E65" s="457"/>
      <c r="F65" s="289"/>
      <c r="H65" s="928"/>
      <c r="I65" s="929"/>
      <c r="J65" s="930"/>
      <c r="L65" s="928"/>
      <c r="M65" s="931"/>
      <c r="N65" s="143"/>
      <c r="O65" s="928"/>
      <c r="P65" s="929"/>
      <c r="Q65" s="106"/>
      <c r="R65" s="293"/>
      <c r="T65" s="291"/>
      <c r="U65" s="106"/>
      <c r="V65" s="268"/>
      <c r="W65" s="476">
        <f>IF(T65=0,0,V65/T65)</f>
        <v>0</v>
      </c>
      <c r="Y65" s="143"/>
      <c r="Z65" s="928"/>
      <c r="AA65" s="929"/>
      <c r="AB65" s="106"/>
      <c r="AC65" s="293"/>
      <c r="AE65" s="291"/>
      <c r="AF65" s="106"/>
      <c r="AG65" s="268"/>
      <c r="AI65" s="928"/>
      <c r="AJ65" s="929"/>
      <c r="AK65" s="106"/>
      <c r="AL65" s="293"/>
      <c r="AN65" s="291"/>
      <c r="AO65" s="106"/>
      <c r="AP65" s="268"/>
      <c r="AQ65" s="288"/>
      <c r="AR65" s="928"/>
      <c r="AS65" s="929"/>
      <c r="AT65" s="106"/>
      <c r="AU65" s="293"/>
      <c r="AW65" s="291"/>
      <c r="AX65" s="106"/>
      <c r="AY65" s="268"/>
      <c r="BA65" s="928"/>
      <c r="BB65" s="929"/>
      <c r="BC65" s="106"/>
      <c r="BD65" s="293"/>
      <c r="BF65" s="291"/>
      <c r="BG65" s="106"/>
      <c r="BH65" s="268"/>
    </row>
    <row r="66" spans="1:60" x14ac:dyDescent="0.35">
      <c r="A66" s="9153"/>
      <c r="B66" s="302"/>
      <c r="C66" s="59" t="s">
        <v>532</v>
      </c>
      <c r="F66" s="521"/>
      <c r="G66" s="457"/>
      <c r="H66" s="304"/>
      <c r="I66" s="932"/>
      <c r="J66" s="890">
        <f>IF(H66=0,0,I66/H66)</f>
        <v>0</v>
      </c>
      <c r="K66" s="457"/>
      <c r="L66" s="304"/>
      <c r="M66" s="933">
        <f>L66*J66</f>
        <v>0</v>
      </c>
      <c r="O66" s="304"/>
      <c r="P66" s="932"/>
      <c r="Q66" s="332"/>
      <c r="R66" s="523">
        <f>IF(O66=0,0,P66/O66)</f>
        <v>0</v>
      </c>
      <c r="T66" s="304"/>
      <c r="U66" s="332"/>
      <c r="V66" s="157">
        <f>T66*R66</f>
        <v>0</v>
      </c>
      <c r="W66" s="476">
        <f t="shared" si="0"/>
        <v>0</v>
      </c>
      <c r="Z66" s="304"/>
      <c r="AA66" s="932"/>
      <c r="AB66" s="332"/>
      <c r="AC66" s="523">
        <f>IF(Z66=0,0,AA66/Z66)</f>
        <v>0</v>
      </c>
      <c r="AE66" s="304"/>
      <c r="AF66" s="332"/>
      <c r="AG66" s="157">
        <f>AE66*AC66</f>
        <v>0</v>
      </c>
      <c r="AI66" s="304"/>
      <c r="AJ66" s="932"/>
      <c r="AK66" s="332"/>
      <c r="AL66" s="523">
        <f>IF(AI66=0,0,AJ66/AI66)</f>
        <v>0</v>
      </c>
      <c r="AN66" s="304"/>
      <c r="AO66" s="332"/>
      <c r="AP66" s="157">
        <f>AN66*AQ66</f>
        <v>0</v>
      </c>
      <c r="AQ66" s="59"/>
      <c r="AR66" s="304"/>
      <c r="AS66" s="932"/>
      <c r="AT66" s="332"/>
      <c r="AU66" s="523">
        <f>IF(AR66=0,0,AS66/AR66)</f>
        <v>0</v>
      </c>
      <c r="AW66" s="304"/>
      <c r="AX66" s="332"/>
      <c r="AY66" s="157">
        <f>AW66*AZ66</f>
        <v>0</v>
      </c>
      <c r="BA66" s="304"/>
      <c r="BB66" s="932"/>
      <c r="BC66" s="332"/>
      <c r="BD66" s="523">
        <f>IF(BA66=0,0,BB66/BA66)</f>
        <v>0</v>
      </c>
      <c r="BF66" s="304"/>
      <c r="BG66" s="332"/>
      <c r="BH66" s="157">
        <f>BF66*BI66</f>
        <v>0</v>
      </c>
    </row>
    <row r="67" spans="1:60" x14ac:dyDescent="0.35">
      <c r="A67" s="9153"/>
      <c r="B67" s="302"/>
      <c r="C67" s="59" t="s">
        <v>533</v>
      </c>
      <c r="F67" s="61"/>
      <c r="H67" s="62"/>
      <c r="I67" s="72"/>
      <c r="J67" s="782">
        <f>IF(H67=0,0,I67/H67)</f>
        <v>0</v>
      </c>
      <c r="L67" s="62"/>
      <c r="M67" s="934">
        <f>L67*J67</f>
        <v>0</v>
      </c>
      <c r="O67" s="62"/>
      <c r="P67" s="72"/>
      <c r="Q67" s="106"/>
      <c r="R67" s="523">
        <f>IF(O67=0,0,P67/O67)</f>
        <v>0</v>
      </c>
      <c r="T67" s="62"/>
      <c r="U67" s="106"/>
      <c r="V67" s="157">
        <f>T67*R67</f>
        <v>0</v>
      </c>
      <c r="W67" s="476">
        <f t="shared" si="0"/>
        <v>0</v>
      </c>
      <c r="Z67" s="62"/>
      <c r="AA67" s="72"/>
      <c r="AB67" s="106"/>
      <c r="AC67" s="523">
        <f>IF(Z67=0,0,AA67/Z67)</f>
        <v>0</v>
      </c>
      <c r="AE67" s="62"/>
      <c r="AF67" s="106"/>
      <c r="AG67" s="157">
        <f>AE67*AC67</f>
        <v>0</v>
      </c>
      <c r="AI67" s="62"/>
      <c r="AJ67" s="72"/>
      <c r="AK67" s="106"/>
      <c r="AL67" s="523">
        <f>IF(AI67=0,0,AJ67/AI67)</f>
        <v>0</v>
      </c>
      <c r="AN67" s="62"/>
      <c r="AO67" s="106"/>
      <c r="AP67" s="157">
        <f>AN67*AQ67</f>
        <v>0</v>
      </c>
      <c r="AQ67" s="59"/>
      <c r="AR67" s="62"/>
      <c r="AS67" s="72"/>
      <c r="AT67" s="106"/>
      <c r="AU67" s="523">
        <f>IF(AR67=0,0,AS67/AR67)</f>
        <v>0</v>
      </c>
      <c r="AW67" s="62"/>
      <c r="AX67" s="106"/>
      <c r="AY67" s="157">
        <f>AW67*AZ67</f>
        <v>0</v>
      </c>
      <c r="BA67" s="62"/>
      <c r="BB67" s="72"/>
      <c r="BC67" s="106"/>
      <c r="BD67" s="523">
        <f>IF(BA67=0,0,BB67/BA67)</f>
        <v>0</v>
      </c>
      <c r="BF67" s="62"/>
      <c r="BG67" s="106"/>
      <c r="BH67" s="157">
        <f>BF67*BI67</f>
        <v>0</v>
      </c>
    </row>
    <row r="68" spans="1:60" x14ac:dyDescent="0.35">
      <c r="A68" s="9153"/>
      <c r="B68" s="305"/>
      <c r="C68" s="59" t="s">
        <v>534</v>
      </c>
      <c r="F68" s="61"/>
      <c r="H68" s="62"/>
      <c r="I68" s="72"/>
      <c r="J68" s="782">
        <f>IF(H68=0,0,I68/H68)</f>
        <v>0</v>
      </c>
      <c r="L68" s="62"/>
      <c r="M68" s="934">
        <f>L68*J68</f>
        <v>0</v>
      </c>
      <c r="O68" s="62"/>
      <c r="P68" s="72"/>
      <c r="Q68" s="106"/>
      <c r="R68" s="523">
        <f>IF(O68=0,0,P68/O68)</f>
        <v>0</v>
      </c>
      <c r="T68" s="62"/>
      <c r="U68" s="106"/>
      <c r="V68" s="157">
        <f>T68*R68</f>
        <v>0</v>
      </c>
      <c r="W68" s="476">
        <f t="shared" si="0"/>
        <v>0</v>
      </c>
      <c r="Z68" s="62"/>
      <c r="AA68" s="72"/>
      <c r="AB68" s="106"/>
      <c r="AC68" s="523">
        <f>IF(Z68=0,0,AA68/Z68)</f>
        <v>0</v>
      </c>
      <c r="AE68" s="62"/>
      <c r="AF68" s="106"/>
      <c r="AG68" s="157">
        <f>AE68*AC68</f>
        <v>0</v>
      </c>
      <c r="AI68" s="62"/>
      <c r="AJ68" s="72"/>
      <c r="AK68" s="106"/>
      <c r="AL68" s="523">
        <f>IF(AI68=0,0,AJ68/AI68)</f>
        <v>0</v>
      </c>
      <c r="AN68" s="62"/>
      <c r="AO68" s="106"/>
      <c r="AP68" s="157">
        <f>AN68*AQ68</f>
        <v>0</v>
      </c>
      <c r="AQ68" s="59"/>
      <c r="AR68" s="62"/>
      <c r="AS68" s="72"/>
      <c r="AT68" s="106"/>
      <c r="AU68" s="523">
        <f>IF(AR68=0,0,AS68/AR68)</f>
        <v>0</v>
      </c>
      <c r="AW68" s="62"/>
      <c r="AX68" s="106"/>
      <c r="AY68" s="157">
        <f>AW68*AZ68</f>
        <v>0</v>
      </c>
      <c r="BA68" s="62"/>
      <c r="BB68" s="72"/>
      <c r="BC68" s="106"/>
      <c r="BD68" s="523">
        <f>IF(BA68=0,0,BB68/BA68)</f>
        <v>0</v>
      </c>
      <c r="BF68" s="62"/>
      <c r="BG68" s="106"/>
      <c r="BH68" s="157">
        <f>BF68*BI68</f>
        <v>0</v>
      </c>
    </row>
    <row r="69" spans="1:60" x14ac:dyDescent="0.35">
      <c r="A69" s="9154"/>
      <c r="B69" s="306"/>
      <c r="C69" s="86" t="s">
        <v>536</v>
      </c>
      <c r="F69" s="88"/>
      <c r="H69" s="89"/>
      <c r="I69" s="308"/>
      <c r="J69" s="798">
        <f>IF(H69=0,0,I69/H69)</f>
        <v>0</v>
      </c>
      <c r="L69" s="89"/>
      <c r="M69" s="935">
        <f>L69*J69</f>
        <v>0</v>
      </c>
      <c r="O69" s="89"/>
      <c r="P69" s="308"/>
      <c r="Q69" s="216"/>
      <c r="R69" s="527">
        <f>IF(O69=0,0,P69/O69)</f>
        <v>0</v>
      </c>
      <c r="T69" s="89"/>
      <c r="U69" s="216"/>
      <c r="V69" s="213">
        <f>T69*R69</f>
        <v>0</v>
      </c>
      <c r="W69" s="476">
        <f t="shared" si="0"/>
        <v>0</v>
      </c>
      <c r="Z69" s="89"/>
      <c r="AA69" s="308"/>
      <c r="AB69" s="216"/>
      <c r="AC69" s="527">
        <f>IF(Z69=0,0,AA69/Z69)</f>
        <v>0</v>
      </c>
      <c r="AE69" s="89"/>
      <c r="AF69" s="216"/>
      <c r="AG69" s="213">
        <f>AE69*AC69</f>
        <v>0</v>
      </c>
      <c r="AI69" s="89"/>
      <c r="AJ69" s="308"/>
      <c r="AK69" s="216"/>
      <c r="AL69" s="527">
        <f>IF(AI69=0,0,AJ69/AI69)</f>
        <v>0</v>
      </c>
      <c r="AN69" s="89"/>
      <c r="AO69" s="216"/>
      <c r="AP69" s="213">
        <f>AN69*AQ69</f>
        <v>0</v>
      </c>
      <c r="AQ69" s="86"/>
      <c r="AR69" s="89"/>
      <c r="AS69" s="308"/>
      <c r="AT69" s="216"/>
      <c r="AU69" s="527">
        <f>IF(AR69=0,0,AS69/AR69)</f>
        <v>0</v>
      </c>
      <c r="AW69" s="89"/>
      <c r="AX69" s="216"/>
      <c r="AY69" s="213">
        <f>AW69*AZ69</f>
        <v>0</v>
      </c>
      <c r="BA69" s="89"/>
      <c r="BB69" s="308"/>
      <c r="BC69" s="216"/>
      <c r="BD69" s="527">
        <f>IF(BA69=0,0,BB69/BA69)</f>
        <v>0</v>
      </c>
      <c r="BF69" s="89"/>
      <c r="BG69" s="216"/>
      <c r="BH69" s="213">
        <f>BF69*BI69</f>
        <v>0</v>
      </c>
    </row>
    <row r="70" spans="1:60" x14ac:dyDescent="0.35">
      <c r="A70" s="936"/>
      <c r="B70" s="936"/>
      <c r="E70" s="457"/>
      <c r="F70" s="847"/>
      <c r="H70" s="847"/>
      <c r="I70" s="847"/>
      <c r="J70" s="937"/>
      <c r="L70" s="847"/>
      <c r="M70" s="938"/>
      <c r="O70" s="106"/>
      <c r="P70" s="106"/>
      <c r="Q70" s="106"/>
      <c r="R70" s="558"/>
      <c r="T70" s="106"/>
      <c r="U70" s="106"/>
      <c r="V70" s="312"/>
      <c r="W70" s="476">
        <f t="shared" si="0"/>
        <v>0</v>
      </c>
      <c r="Z70" s="106"/>
      <c r="AA70" s="106"/>
      <c r="AB70" s="106"/>
      <c r="AC70" s="558"/>
      <c r="AE70" s="106"/>
      <c r="AF70" s="106"/>
      <c r="AG70" s="312"/>
      <c r="AI70" s="106"/>
      <c r="AJ70" s="106"/>
      <c r="AK70" s="106"/>
      <c r="AL70" s="558"/>
      <c r="AN70" s="106"/>
      <c r="AO70" s="106"/>
      <c r="AP70" s="312"/>
      <c r="AR70" s="106"/>
      <c r="AS70" s="106"/>
      <c r="AT70" s="106"/>
      <c r="AU70" s="558"/>
      <c r="AW70" s="106"/>
      <c r="AX70" s="106"/>
      <c r="AY70" s="312"/>
      <c r="BA70" s="106"/>
      <c r="BB70" s="106"/>
      <c r="BC70" s="106"/>
      <c r="BD70" s="558"/>
      <c r="BF70" s="106"/>
      <c r="BG70" s="106"/>
      <c r="BH70" s="312"/>
    </row>
    <row r="71" spans="1:60" customFormat="1" ht="14.5" customHeight="1" x14ac:dyDescent="0.35">
      <c r="A71" s="9159" t="s">
        <v>559</v>
      </c>
      <c r="B71" s="939" t="s">
        <v>560</v>
      </c>
      <c r="C71" s="940"/>
      <c r="D71" s="184"/>
      <c r="E71" s="1"/>
      <c r="F71" s="316"/>
      <c r="G71" s="290"/>
      <c r="H71" s="941"/>
      <c r="I71" s="942"/>
      <c r="J71" s="293"/>
      <c r="K71" s="1"/>
      <c r="L71" s="317"/>
      <c r="M71" s="268"/>
      <c r="N71" s="1"/>
      <c r="O71" s="941"/>
      <c r="P71" s="942"/>
      <c r="Q71" s="103"/>
      <c r="R71" s="293"/>
      <c r="S71" s="1"/>
      <c r="T71" s="317"/>
      <c r="U71" s="103"/>
      <c r="V71" s="323"/>
      <c r="W71" s="476">
        <f t="shared" si="0"/>
        <v>0</v>
      </c>
      <c r="X71" s="1"/>
      <c r="Y71" s="1"/>
      <c r="Z71" s="941"/>
      <c r="AA71" s="942"/>
      <c r="AB71" s="103"/>
      <c r="AC71" s="293"/>
      <c r="AD71" s="1"/>
      <c r="AE71" s="317"/>
      <c r="AF71" s="103"/>
      <c r="AG71" s="323"/>
      <c r="AI71" s="941"/>
      <c r="AJ71" s="942"/>
      <c r="AK71" s="103"/>
      <c r="AL71" s="293"/>
      <c r="AN71" s="317"/>
      <c r="AO71" s="103"/>
      <c r="AP71" s="323"/>
      <c r="AQ71" s="940"/>
      <c r="AR71" s="941"/>
      <c r="AS71" s="942"/>
      <c r="AT71" s="103"/>
      <c r="AU71" s="293"/>
      <c r="AW71" s="317"/>
      <c r="AX71" s="103"/>
      <c r="AY71" s="323"/>
      <c r="BA71" s="941"/>
      <c r="BB71" s="942"/>
      <c r="BC71" s="103"/>
      <c r="BD71" s="293"/>
      <c r="BF71" s="317"/>
      <c r="BG71" s="103"/>
      <c r="BH71" s="323"/>
    </row>
    <row r="72" spans="1:60" customFormat="1" x14ac:dyDescent="0.35">
      <c r="A72" s="9160"/>
      <c r="B72" s="944"/>
      <c r="C72" s="945" t="s">
        <v>562</v>
      </c>
      <c r="D72" s="197"/>
      <c r="E72" s="1"/>
      <c r="F72" s="327"/>
      <c r="G72" s="272"/>
      <c r="H72" s="325"/>
      <c r="I72" s="946"/>
      <c r="J72" s="523">
        <f t="shared" ref="J72:J80" si="33">IF(H72=0,0,I72/H72)</f>
        <v>0</v>
      </c>
      <c r="K72" s="1"/>
      <c r="L72" s="325"/>
      <c r="M72" s="157">
        <f t="shared" ref="M72:M80" si="34">L72*J72</f>
        <v>0</v>
      </c>
      <c r="N72" s="1"/>
      <c r="O72" s="325"/>
      <c r="P72" s="947"/>
      <c r="Q72" s="332"/>
      <c r="R72" s="523">
        <f t="shared" ref="R72:R80" si="35">IF(O72=0,0,P72/O72)</f>
        <v>0</v>
      </c>
      <c r="S72" s="1"/>
      <c r="T72" s="325"/>
      <c r="U72" s="332"/>
      <c r="V72" s="333">
        <f t="shared" ref="V72:V80" si="36">T72*R72</f>
        <v>0</v>
      </c>
      <c r="W72" s="476">
        <f t="shared" si="0"/>
        <v>0</v>
      </c>
      <c r="X72" s="1"/>
      <c r="Y72" s="1"/>
      <c r="Z72" s="325"/>
      <c r="AA72" s="947"/>
      <c r="AB72" s="332"/>
      <c r="AC72" s="523">
        <f t="shared" ref="AC72:AC80" si="37">IF(Z72=0,0,AA72/Z72)</f>
        <v>0</v>
      </c>
      <c r="AD72" s="1"/>
      <c r="AE72" s="325"/>
      <c r="AF72" s="332"/>
      <c r="AG72" s="333">
        <f t="shared" ref="AG72:AG80" si="38">AE72*AC72</f>
        <v>0</v>
      </c>
      <c r="AI72" s="325"/>
      <c r="AJ72" s="947"/>
      <c r="AK72" s="332"/>
      <c r="AL72" s="523">
        <f t="shared" ref="AL72:AL80" si="39">IF(AI72=0,0,AJ72/AI72)</f>
        <v>0</v>
      </c>
      <c r="AN72" s="325"/>
      <c r="AO72" s="332"/>
      <c r="AP72" s="333">
        <f t="shared" ref="AP72:AP80" si="40">AN72*AQ72</f>
        <v>0</v>
      </c>
      <c r="AQ72" s="945"/>
      <c r="AR72" s="325"/>
      <c r="AS72" s="947"/>
      <c r="AT72" s="332"/>
      <c r="AU72" s="523">
        <f t="shared" ref="AU72:AU80" si="41">IF(AR72=0,0,AS72/AR72)</f>
        <v>0</v>
      </c>
      <c r="AW72" s="325"/>
      <c r="AX72" s="332"/>
      <c r="AY72" s="333">
        <f t="shared" ref="AY72:AY80" si="42">AW72*AZ72</f>
        <v>0</v>
      </c>
      <c r="BA72" s="325"/>
      <c r="BB72" s="947"/>
      <c r="BC72" s="332"/>
      <c r="BD72" s="523">
        <f t="shared" ref="BD72:BD80" si="43">IF(BA72=0,0,BB72/BA72)</f>
        <v>0</v>
      </c>
      <c r="BF72" s="325"/>
      <c r="BG72" s="332"/>
      <c r="BH72" s="333">
        <f t="shared" ref="BH72:BH80" si="44">BF72*BI72</f>
        <v>0</v>
      </c>
    </row>
    <row r="73" spans="1:60" customFormat="1" x14ac:dyDescent="0.35">
      <c r="A73" s="9160"/>
      <c r="B73" s="944"/>
      <c r="C73" s="945" t="s">
        <v>565</v>
      </c>
      <c r="D73" s="197"/>
      <c r="E73" s="1"/>
      <c r="F73" s="336"/>
      <c r="G73" s="272"/>
      <c r="H73" s="330"/>
      <c r="I73" s="948"/>
      <c r="J73" s="523">
        <f t="shared" si="33"/>
        <v>0</v>
      </c>
      <c r="K73" s="1"/>
      <c r="L73" s="330"/>
      <c r="M73" s="157">
        <f t="shared" si="34"/>
        <v>0</v>
      </c>
      <c r="N73" s="1"/>
      <c r="O73" s="330"/>
      <c r="P73" s="331"/>
      <c r="Q73" s="106"/>
      <c r="R73" s="523">
        <f t="shared" si="35"/>
        <v>0</v>
      </c>
      <c r="S73" s="1"/>
      <c r="T73" s="330"/>
      <c r="U73" s="106"/>
      <c r="V73" s="333">
        <f t="shared" si="36"/>
        <v>0</v>
      </c>
      <c r="W73" s="476">
        <f t="shared" si="0"/>
        <v>0</v>
      </c>
      <c r="X73" s="1"/>
      <c r="Y73" s="1"/>
      <c r="Z73" s="330"/>
      <c r="AA73" s="331"/>
      <c r="AB73" s="106"/>
      <c r="AC73" s="523">
        <f t="shared" si="37"/>
        <v>0</v>
      </c>
      <c r="AD73" s="1"/>
      <c r="AE73" s="330"/>
      <c r="AF73" s="106"/>
      <c r="AG73" s="333">
        <f t="shared" si="38"/>
        <v>0</v>
      </c>
      <c r="AI73" s="330"/>
      <c r="AJ73" s="331"/>
      <c r="AK73" s="106"/>
      <c r="AL73" s="523">
        <f t="shared" si="39"/>
        <v>0</v>
      </c>
      <c r="AN73" s="330"/>
      <c r="AO73" s="106"/>
      <c r="AP73" s="333">
        <f t="shared" si="40"/>
        <v>0</v>
      </c>
      <c r="AQ73" s="945"/>
      <c r="AR73" s="330"/>
      <c r="AS73" s="331"/>
      <c r="AT73" s="106"/>
      <c r="AU73" s="523">
        <f t="shared" si="41"/>
        <v>0</v>
      </c>
      <c r="AW73" s="330"/>
      <c r="AX73" s="106"/>
      <c r="AY73" s="333">
        <f t="shared" si="42"/>
        <v>0</v>
      </c>
      <c r="BA73" s="330"/>
      <c r="BB73" s="331"/>
      <c r="BC73" s="106"/>
      <c r="BD73" s="523">
        <f t="shared" si="43"/>
        <v>0</v>
      </c>
      <c r="BF73" s="330"/>
      <c r="BG73" s="106"/>
      <c r="BH73" s="333">
        <f t="shared" si="44"/>
        <v>0</v>
      </c>
    </row>
    <row r="74" spans="1:60" customFormat="1" x14ac:dyDescent="0.35">
      <c r="A74" s="9160"/>
      <c r="B74" s="944"/>
      <c r="C74" s="945"/>
      <c r="D74" s="197"/>
      <c r="E74" s="1"/>
      <c r="F74" s="336"/>
      <c r="G74" s="272"/>
      <c r="H74" s="330"/>
      <c r="I74" s="948"/>
      <c r="J74" s="523">
        <f t="shared" si="33"/>
        <v>0</v>
      </c>
      <c r="K74" s="1"/>
      <c r="L74" s="330"/>
      <c r="M74" s="157">
        <f t="shared" si="34"/>
        <v>0</v>
      </c>
      <c r="N74" s="1"/>
      <c r="O74" s="330"/>
      <c r="P74" s="331"/>
      <c r="Q74" s="106"/>
      <c r="R74" s="523">
        <f t="shared" si="35"/>
        <v>0</v>
      </c>
      <c r="S74" s="1"/>
      <c r="T74" s="330"/>
      <c r="U74" s="106"/>
      <c r="V74" s="333">
        <f t="shared" si="36"/>
        <v>0</v>
      </c>
      <c r="W74" s="476">
        <f t="shared" si="0"/>
        <v>0</v>
      </c>
      <c r="X74" s="1"/>
      <c r="Y74" s="1"/>
      <c r="Z74" s="330"/>
      <c r="AA74" s="331"/>
      <c r="AB74" s="106"/>
      <c r="AC74" s="523">
        <f t="shared" si="37"/>
        <v>0</v>
      </c>
      <c r="AD74" s="1"/>
      <c r="AE74" s="330"/>
      <c r="AF74" s="106"/>
      <c r="AG74" s="333">
        <f t="shared" si="38"/>
        <v>0</v>
      </c>
      <c r="AI74" s="330"/>
      <c r="AJ74" s="331"/>
      <c r="AK74" s="106"/>
      <c r="AL74" s="523">
        <f t="shared" si="39"/>
        <v>0</v>
      </c>
      <c r="AN74" s="330"/>
      <c r="AO74" s="106"/>
      <c r="AP74" s="333">
        <f t="shared" si="40"/>
        <v>0</v>
      </c>
      <c r="AQ74" s="945"/>
      <c r="AR74" s="330"/>
      <c r="AS74" s="331"/>
      <c r="AT74" s="106"/>
      <c r="AU74" s="523">
        <f t="shared" si="41"/>
        <v>0</v>
      </c>
      <c r="AW74" s="330"/>
      <c r="AX74" s="106"/>
      <c r="AY74" s="333">
        <f t="shared" si="42"/>
        <v>0</v>
      </c>
      <c r="BA74" s="330"/>
      <c r="BB74" s="331"/>
      <c r="BC74" s="106"/>
      <c r="BD74" s="523">
        <f t="shared" si="43"/>
        <v>0</v>
      </c>
      <c r="BF74" s="330"/>
      <c r="BG74" s="106"/>
      <c r="BH74" s="333">
        <f t="shared" si="44"/>
        <v>0</v>
      </c>
    </row>
    <row r="75" spans="1:60" customFormat="1" x14ac:dyDescent="0.35">
      <c r="A75" s="9160"/>
      <c r="B75" s="944"/>
      <c r="C75" s="945"/>
      <c r="D75" s="197"/>
      <c r="E75" s="1"/>
      <c r="F75" s="336"/>
      <c r="G75" s="272"/>
      <c r="H75" s="330"/>
      <c r="I75" s="948"/>
      <c r="J75" s="523">
        <f t="shared" si="33"/>
        <v>0</v>
      </c>
      <c r="K75" s="1"/>
      <c r="L75" s="330"/>
      <c r="M75" s="157">
        <f t="shared" si="34"/>
        <v>0</v>
      </c>
      <c r="N75" s="1"/>
      <c r="O75" s="330"/>
      <c r="P75" s="331"/>
      <c r="Q75" s="106"/>
      <c r="R75" s="523">
        <f t="shared" si="35"/>
        <v>0</v>
      </c>
      <c r="S75" s="1"/>
      <c r="T75" s="330"/>
      <c r="U75" s="106"/>
      <c r="V75" s="333">
        <f t="shared" si="36"/>
        <v>0</v>
      </c>
      <c r="W75" s="476">
        <f t="shared" si="0"/>
        <v>0</v>
      </c>
      <c r="X75" s="1"/>
      <c r="Y75" s="1"/>
      <c r="Z75" s="330"/>
      <c r="AA75" s="331"/>
      <c r="AB75" s="106"/>
      <c r="AC75" s="523">
        <f t="shared" si="37"/>
        <v>0</v>
      </c>
      <c r="AD75" s="1"/>
      <c r="AE75" s="330"/>
      <c r="AF75" s="106"/>
      <c r="AG75" s="333">
        <f t="shared" si="38"/>
        <v>0</v>
      </c>
      <c r="AI75" s="330"/>
      <c r="AJ75" s="331"/>
      <c r="AK75" s="106"/>
      <c r="AL75" s="523">
        <f t="shared" si="39"/>
        <v>0</v>
      </c>
      <c r="AN75" s="330"/>
      <c r="AO75" s="106"/>
      <c r="AP75" s="333">
        <f t="shared" si="40"/>
        <v>0</v>
      </c>
      <c r="AQ75" s="945"/>
      <c r="AR75" s="330"/>
      <c r="AS75" s="331"/>
      <c r="AT75" s="106"/>
      <c r="AU75" s="523">
        <f t="shared" si="41"/>
        <v>0</v>
      </c>
      <c r="AW75" s="330"/>
      <c r="AX75" s="106"/>
      <c r="AY75" s="333">
        <f t="shared" si="42"/>
        <v>0</v>
      </c>
      <c r="BA75" s="330"/>
      <c r="BB75" s="331"/>
      <c r="BC75" s="106"/>
      <c r="BD75" s="523">
        <f t="shared" si="43"/>
        <v>0</v>
      </c>
      <c r="BF75" s="330"/>
      <c r="BG75" s="106"/>
      <c r="BH75" s="333">
        <f t="shared" si="44"/>
        <v>0</v>
      </c>
    </row>
    <row r="76" spans="1:60" customFormat="1" x14ac:dyDescent="0.35">
      <c r="A76" s="9160"/>
      <c r="B76" s="944"/>
      <c r="C76" s="945" t="s">
        <v>562</v>
      </c>
      <c r="D76" s="197"/>
      <c r="E76" s="1"/>
      <c r="F76" s="336"/>
      <c r="G76" s="272"/>
      <c r="H76" s="330"/>
      <c r="I76" s="948"/>
      <c r="J76" s="523">
        <f t="shared" si="33"/>
        <v>0</v>
      </c>
      <c r="K76" s="1"/>
      <c r="L76" s="330"/>
      <c r="M76" s="157">
        <f t="shared" si="34"/>
        <v>0</v>
      </c>
      <c r="N76" s="1"/>
      <c r="O76" s="330"/>
      <c r="P76" s="331"/>
      <c r="Q76" s="106"/>
      <c r="R76" s="523">
        <f t="shared" si="35"/>
        <v>0</v>
      </c>
      <c r="S76" s="1"/>
      <c r="T76" s="330"/>
      <c r="U76" s="106"/>
      <c r="V76" s="333">
        <f t="shared" si="36"/>
        <v>0</v>
      </c>
      <c r="W76" s="476">
        <f t="shared" si="0"/>
        <v>0</v>
      </c>
      <c r="X76" s="1"/>
      <c r="Y76" s="1"/>
      <c r="Z76" s="330"/>
      <c r="AA76" s="331"/>
      <c r="AB76" s="106"/>
      <c r="AC76" s="523">
        <f t="shared" si="37"/>
        <v>0</v>
      </c>
      <c r="AD76" s="1"/>
      <c r="AE76" s="330"/>
      <c r="AF76" s="106"/>
      <c r="AG76" s="333">
        <f t="shared" si="38"/>
        <v>0</v>
      </c>
      <c r="AI76" s="330"/>
      <c r="AJ76" s="331"/>
      <c r="AK76" s="106"/>
      <c r="AL76" s="523">
        <f t="shared" si="39"/>
        <v>0</v>
      </c>
      <c r="AN76" s="330"/>
      <c r="AO76" s="106"/>
      <c r="AP76" s="333">
        <f t="shared" si="40"/>
        <v>0</v>
      </c>
      <c r="AQ76" s="945"/>
      <c r="AR76" s="330"/>
      <c r="AS76" s="331"/>
      <c r="AT76" s="106"/>
      <c r="AU76" s="523">
        <f t="shared" si="41"/>
        <v>0</v>
      </c>
      <c r="AW76" s="330"/>
      <c r="AX76" s="106"/>
      <c r="AY76" s="333">
        <f t="shared" si="42"/>
        <v>0</v>
      </c>
      <c r="BA76" s="330"/>
      <c r="BB76" s="331"/>
      <c r="BC76" s="106"/>
      <c r="BD76" s="523">
        <f t="shared" si="43"/>
        <v>0</v>
      </c>
      <c r="BF76" s="330"/>
      <c r="BG76" s="106"/>
      <c r="BH76" s="333">
        <f t="shared" si="44"/>
        <v>0</v>
      </c>
    </row>
    <row r="77" spans="1:60" customFormat="1" x14ac:dyDescent="0.35">
      <c r="A77" s="9160"/>
      <c r="B77" s="944"/>
      <c r="C77" s="945" t="s">
        <v>565</v>
      </c>
      <c r="D77" s="197"/>
      <c r="E77" s="1"/>
      <c r="F77" s="336"/>
      <c r="G77" s="272"/>
      <c r="H77" s="330"/>
      <c r="I77" s="948"/>
      <c r="J77" s="523">
        <f t="shared" si="33"/>
        <v>0</v>
      </c>
      <c r="K77" s="1"/>
      <c r="L77" s="330"/>
      <c r="M77" s="157">
        <f t="shared" si="34"/>
        <v>0</v>
      </c>
      <c r="N77" s="1"/>
      <c r="O77" s="330"/>
      <c r="P77" s="331"/>
      <c r="Q77" s="106"/>
      <c r="R77" s="523">
        <f t="shared" si="35"/>
        <v>0</v>
      </c>
      <c r="S77" s="1"/>
      <c r="T77" s="330"/>
      <c r="U77" s="106"/>
      <c r="V77" s="333">
        <f t="shared" si="36"/>
        <v>0</v>
      </c>
      <c r="W77" s="476">
        <f t="shared" si="0"/>
        <v>0</v>
      </c>
      <c r="X77" s="1"/>
      <c r="Y77" s="1"/>
      <c r="Z77" s="330"/>
      <c r="AA77" s="331"/>
      <c r="AB77" s="106"/>
      <c r="AC77" s="523">
        <f t="shared" si="37"/>
        <v>0</v>
      </c>
      <c r="AD77" s="1"/>
      <c r="AE77" s="330"/>
      <c r="AF77" s="106"/>
      <c r="AG77" s="333">
        <f t="shared" si="38"/>
        <v>0</v>
      </c>
      <c r="AI77" s="330"/>
      <c r="AJ77" s="331"/>
      <c r="AK77" s="106"/>
      <c r="AL77" s="523">
        <f t="shared" si="39"/>
        <v>0</v>
      </c>
      <c r="AN77" s="330"/>
      <c r="AO77" s="106"/>
      <c r="AP77" s="333">
        <f t="shared" si="40"/>
        <v>0</v>
      </c>
      <c r="AQ77" s="945"/>
      <c r="AR77" s="330"/>
      <c r="AS77" s="331"/>
      <c r="AT77" s="106"/>
      <c r="AU77" s="523">
        <f t="shared" si="41"/>
        <v>0</v>
      </c>
      <c r="AW77" s="330"/>
      <c r="AX77" s="106"/>
      <c r="AY77" s="333">
        <f t="shared" si="42"/>
        <v>0</v>
      </c>
      <c r="BA77" s="330"/>
      <c r="BB77" s="331"/>
      <c r="BC77" s="106"/>
      <c r="BD77" s="523">
        <f t="shared" si="43"/>
        <v>0</v>
      </c>
      <c r="BF77" s="330"/>
      <c r="BG77" s="106"/>
      <c r="BH77" s="333">
        <f t="shared" si="44"/>
        <v>0</v>
      </c>
    </row>
    <row r="78" spans="1:60" customFormat="1" x14ac:dyDescent="0.35">
      <c r="A78" s="9160"/>
      <c r="B78" s="944"/>
      <c r="C78" s="945"/>
      <c r="D78" s="197"/>
      <c r="E78" s="1"/>
      <c r="F78" s="336"/>
      <c r="G78" s="272"/>
      <c r="H78" s="330"/>
      <c r="I78" s="948"/>
      <c r="J78" s="523">
        <f t="shared" si="33"/>
        <v>0</v>
      </c>
      <c r="K78" s="1"/>
      <c r="L78" s="330"/>
      <c r="M78" s="157">
        <f t="shared" si="34"/>
        <v>0</v>
      </c>
      <c r="N78" s="1"/>
      <c r="O78" s="330"/>
      <c r="P78" s="331"/>
      <c r="Q78" s="106"/>
      <c r="R78" s="523">
        <f t="shared" si="35"/>
        <v>0</v>
      </c>
      <c r="S78" s="1"/>
      <c r="T78" s="330"/>
      <c r="U78" s="106"/>
      <c r="V78" s="333">
        <f t="shared" si="36"/>
        <v>0</v>
      </c>
      <c r="W78" s="476">
        <f t="shared" si="0"/>
        <v>0</v>
      </c>
      <c r="X78" s="1"/>
      <c r="Y78" s="1"/>
      <c r="Z78" s="330"/>
      <c r="AA78" s="331"/>
      <c r="AB78" s="106"/>
      <c r="AC78" s="523">
        <f t="shared" si="37"/>
        <v>0</v>
      </c>
      <c r="AD78" s="1"/>
      <c r="AE78" s="330"/>
      <c r="AF78" s="106"/>
      <c r="AG78" s="333">
        <f t="shared" si="38"/>
        <v>0</v>
      </c>
      <c r="AI78" s="330"/>
      <c r="AJ78" s="331"/>
      <c r="AK78" s="106"/>
      <c r="AL78" s="523">
        <f t="shared" si="39"/>
        <v>0</v>
      </c>
      <c r="AN78" s="330"/>
      <c r="AO78" s="106"/>
      <c r="AP78" s="333">
        <f t="shared" si="40"/>
        <v>0</v>
      </c>
      <c r="AQ78" s="945"/>
      <c r="AR78" s="330"/>
      <c r="AS78" s="331"/>
      <c r="AT78" s="106"/>
      <c r="AU78" s="523">
        <f t="shared" si="41"/>
        <v>0</v>
      </c>
      <c r="AW78" s="330"/>
      <c r="AX78" s="106"/>
      <c r="AY78" s="333">
        <f t="shared" si="42"/>
        <v>0</v>
      </c>
      <c r="BA78" s="330"/>
      <c r="BB78" s="331"/>
      <c r="BC78" s="106"/>
      <c r="BD78" s="523">
        <f t="shared" si="43"/>
        <v>0</v>
      </c>
      <c r="BF78" s="330"/>
      <c r="BG78" s="106"/>
      <c r="BH78" s="333">
        <f t="shared" si="44"/>
        <v>0</v>
      </c>
    </row>
    <row r="79" spans="1:60" customFormat="1" x14ac:dyDescent="0.35">
      <c r="A79" s="9160"/>
      <c r="B79" s="944"/>
      <c r="C79" s="945"/>
      <c r="D79" s="197"/>
      <c r="E79" s="1"/>
      <c r="F79" s="336"/>
      <c r="G79" s="272"/>
      <c r="H79" s="330"/>
      <c r="I79" s="948"/>
      <c r="J79" s="523">
        <f t="shared" si="33"/>
        <v>0</v>
      </c>
      <c r="K79" s="1"/>
      <c r="L79" s="330"/>
      <c r="M79" s="157">
        <f t="shared" si="34"/>
        <v>0</v>
      </c>
      <c r="N79" s="1"/>
      <c r="O79" s="330"/>
      <c r="P79" s="331"/>
      <c r="Q79" s="106"/>
      <c r="R79" s="523">
        <f t="shared" si="35"/>
        <v>0</v>
      </c>
      <c r="S79" s="1"/>
      <c r="T79" s="330"/>
      <c r="U79" s="106"/>
      <c r="V79" s="333">
        <f t="shared" si="36"/>
        <v>0</v>
      </c>
      <c r="W79" s="476">
        <f>IF(T79=0,0,V79/T79)</f>
        <v>0</v>
      </c>
      <c r="X79" s="1"/>
      <c r="Y79" s="1"/>
      <c r="Z79" s="330"/>
      <c r="AA79" s="331"/>
      <c r="AB79" s="106"/>
      <c r="AC79" s="523">
        <f t="shared" si="37"/>
        <v>0</v>
      </c>
      <c r="AD79" s="1"/>
      <c r="AE79" s="330"/>
      <c r="AF79" s="106"/>
      <c r="AG79" s="333">
        <f t="shared" si="38"/>
        <v>0</v>
      </c>
      <c r="AI79" s="330"/>
      <c r="AJ79" s="331"/>
      <c r="AK79" s="106"/>
      <c r="AL79" s="523">
        <f t="shared" si="39"/>
        <v>0</v>
      </c>
      <c r="AN79" s="330"/>
      <c r="AO79" s="106"/>
      <c r="AP79" s="333">
        <f t="shared" si="40"/>
        <v>0</v>
      </c>
      <c r="AQ79" s="945"/>
      <c r="AR79" s="330"/>
      <c r="AS79" s="331"/>
      <c r="AT79" s="106"/>
      <c r="AU79" s="523">
        <f t="shared" si="41"/>
        <v>0</v>
      </c>
      <c r="AW79" s="330"/>
      <c r="AX79" s="106"/>
      <c r="AY79" s="333">
        <f t="shared" si="42"/>
        <v>0</v>
      </c>
      <c r="BA79" s="330"/>
      <c r="BB79" s="331"/>
      <c r="BC79" s="106"/>
      <c r="BD79" s="523">
        <f t="shared" si="43"/>
        <v>0</v>
      </c>
      <c r="BF79" s="330"/>
      <c r="BG79" s="106"/>
      <c r="BH79" s="333">
        <f t="shared" si="44"/>
        <v>0</v>
      </c>
    </row>
    <row r="80" spans="1:60" customFormat="1" x14ac:dyDescent="0.35">
      <c r="A80" s="9161"/>
      <c r="B80" s="949"/>
      <c r="C80" s="950" t="s">
        <v>10</v>
      </c>
      <c r="D80" s="209"/>
      <c r="E80" s="1"/>
      <c r="F80" s="343"/>
      <c r="G80" s="274"/>
      <c r="H80" s="341"/>
      <c r="I80" s="951"/>
      <c r="J80" s="527">
        <f t="shared" si="33"/>
        <v>0</v>
      </c>
      <c r="K80" s="1"/>
      <c r="L80" s="341"/>
      <c r="M80" s="213">
        <f t="shared" si="34"/>
        <v>0</v>
      </c>
      <c r="N80" s="1"/>
      <c r="O80" s="341"/>
      <c r="P80" s="952"/>
      <c r="Q80" s="216"/>
      <c r="R80" s="527">
        <f t="shared" si="35"/>
        <v>0</v>
      </c>
      <c r="S80" s="1"/>
      <c r="T80" s="341"/>
      <c r="U80" s="216"/>
      <c r="V80" s="347">
        <f t="shared" si="36"/>
        <v>0</v>
      </c>
      <c r="W80" s="476">
        <f>IF(T80=0,0,V80/T80)</f>
        <v>0</v>
      </c>
      <c r="X80" s="1"/>
      <c r="Y80" s="1"/>
      <c r="Z80" s="341"/>
      <c r="AA80" s="952"/>
      <c r="AB80" s="216"/>
      <c r="AC80" s="527">
        <f t="shared" si="37"/>
        <v>0</v>
      </c>
      <c r="AD80" s="1"/>
      <c r="AE80" s="341"/>
      <c r="AF80" s="216"/>
      <c r="AG80" s="347">
        <f t="shared" si="38"/>
        <v>0</v>
      </c>
      <c r="AI80" s="341"/>
      <c r="AJ80" s="952"/>
      <c r="AK80" s="216"/>
      <c r="AL80" s="527">
        <f t="shared" si="39"/>
        <v>0</v>
      </c>
      <c r="AN80" s="341"/>
      <c r="AO80" s="216"/>
      <c r="AP80" s="347">
        <f t="shared" si="40"/>
        <v>0</v>
      </c>
      <c r="AQ80" s="950"/>
      <c r="AR80" s="341"/>
      <c r="AS80" s="952"/>
      <c r="AT80" s="216"/>
      <c r="AU80" s="527">
        <f t="shared" si="41"/>
        <v>0</v>
      </c>
      <c r="AW80" s="341"/>
      <c r="AX80" s="216"/>
      <c r="AY80" s="347">
        <f t="shared" si="42"/>
        <v>0</v>
      </c>
      <c r="BA80" s="341"/>
      <c r="BB80" s="952"/>
      <c r="BC80" s="216"/>
      <c r="BD80" s="527">
        <f t="shared" si="43"/>
        <v>0</v>
      </c>
      <c r="BF80" s="341"/>
      <c r="BG80" s="216"/>
      <c r="BH80" s="347">
        <f t="shared" si="44"/>
        <v>0</v>
      </c>
    </row>
    <row r="81" spans="1:60" x14ac:dyDescent="0.35">
      <c r="A81" s="936"/>
      <c r="B81" s="936"/>
      <c r="E81" s="457"/>
      <c r="F81" s="847"/>
      <c r="H81" s="847"/>
      <c r="I81" s="847"/>
      <c r="J81" s="937"/>
      <c r="L81" s="847"/>
      <c r="M81" s="938"/>
      <c r="O81" s="106"/>
      <c r="P81" s="106"/>
      <c r="Q81" s="106"/>
      <c r="R81" s="558"/>
      <c r="T81" s="106"/>
      <c r="U81" s="106"/>
      <c r="V81" s="312"/>
      <c r="W81" s="558"/>
      <c r="Z81" s="106"/>
      <c r="AA81" s="106"/>
      <c r="AB81" s="106"/>
      <c r="AC81" s="558"/>
      <c r="AE81" s="106"/>
      <c r="AF81" s="106"/>
      <c r="AG81" s="312"/>
      <c r="AI81" s="106"/>
      <c r="AJ81" s="106"/>
      <c r="AK81" s="106"/>
      <c r="AL81" s="558"/>
      <c r="AN81" s="106"/>
      <c r="AO81" s="106"/>
      <c r="AP81" s="312"/>
      <c r="AR81" s="106"/>
      <c r="AS81" s="106"/>
      <c r="AT81" s="106"/>
      <c r="AU81" s="558"/>
      <c r="AW81" s="106"/>
      <c r="AX81" s="106"/>
      <c r="AY81" s="312"/>
      <c r="BA81" s="106"/>
      <c r="BB81" s="106"/>
      <c r="BC81" s="106"/>
      <c r="BD81" s="558"/>
      <c r="BF81" s="106"/>
      <c r="BG81" s="106"/>
      <c r="BH81" s="312"/>
    </row>
    <row r="82" spans="1:60" customFormat="1" x14ac:dyDescent="0.35">
      <c r="A82" s="9152" t="s">
        <v>566</v>
      </c>
      <c r="B82" s="139" t="s">
        <v>567</v>
      </c>
      <c r="C82" s="348"/>
      <c r="D82" s="49"/>
      <c r="E82" s="141"/>
      <c r="F82" s="227"/>
      <c r="G82" s="141"/>
      <c r="H82" s="102"/>
      <c r="I82" s="103"/>
      <c r="J82" s="228"/>
      <c r="K82" s="141"/>
      <c r="L82" s="102"/>
      <c r="M82" s="268"/>
      <c r="N82" s="141"/>
      <c r="O82" s="102"/>
      <c r="P82" s="103"/>
      <c r="Q82" s="103"/>
      <c r="R82" s="228"/>
      <c r="S82" s="141"/>
      <c r="T82" s="102"/>
      <c r="U82" s="103"/>
      <c r="V82" s="268"/>
      <c r="W82" s="228"/>
      <c r="X82" s="141"/>
      <c r="Y82" s="141"/>
      <c r="Z82" s="102"/>
      <c r="AA82" s="103"/>
      <c r="AB82" s="103"/>
      <c r="AC82" s="228"/>
      <c r="AD82" s="141"/>
      <c r="AE82" s="102"/>
      <c r="AF82" s="103"/>
      <c r="AG82" s="268"/>
      <c r="AI82" s="102"/>
      <c r="AJ82" s="103"/>
      <c r="AK82" s="103"/>
      <c r="AL82" s="228"/>
      <c r="AN82" s="102"/>
      <c r="AO82" s="103"/>
      <c r="AP82" s="268"/>
      <c r="AQ82" s="348"/>
      <c r="AR82" s="102"/>
      <c r="AS82" s="103"/>
      <c r="AT82" s="103"/>
      <c r="AU82" s="228"/>
      <c r="AW82" s="102"/>
      <c r="AX82" s="103"/>
      <c r="AY82" s="268"/>
      <c r="BA82" s="102"/>
      <c r="BB82" s="103"/>
      <c r="BC82" s="103"/>
      <c r="BD82" s="228"/>
      <c r="BF82" s="102"/>
      <c r="BG82" s="103"/>
      <c r="BH82" s="268"/>
    </row>
    <row r="83" spans="1:60" customFormat="1" ht="14.5" customHeight="1" x14ac:dyDescent="0.35">
      <c r="A83" s="9153"/>
      <c r="B83" s="6082"/>
      <c r="C83" s="110"/>
      <c r="D83" s="1" t="s">
        <v>568</v>
      </c>
      <c r="E83" s="1"/>
      <c r="F83" s="349">
        <f>SUM(F34:F37)-SUM(F41:F43)</f>
        <v>0</v>
      </c>
      <c r="G83" s="350"/>
      <c r="H83" s="351">
        <f>SUM(H34:H37)-SUM(H41:H43)</f>
        <v>26327</v>
      </c>
      <c r="I83" s="352">
        <f>SUM(I34:I37)-SUM(I41:I43)</f>
        <v>25088</v>
      </c>
      <c r="J83" s="246"/>
      <c r="K83" s="350"/>
      <c r="L83" s="351">
        <f>SUM(L34:L37)-SUM(L41:L43)</f>
        <v>28614</v>
      </c>
      <c r="M83" s="353">
        <f>SUM(M34:M37)-SUM(M41:M43)</f>
        <v>27307.247469362763</v>
      </c>
      <c r="N83" s="350"/>
      <c r="O83" s="351">
        <f>SUM(O34:O38)-SUM(O41:O43)</f>
        <v>28614</v>
      </c>
      <c r="P83" s="352">
        <f>SUM(P34:P38)-SUM(P41:P43)</f>
        <v>28001</v>
      </c>
      <c r="Q83" s="352"/>
      <c r="R83" s="246"/>
      <c r="S83" s="350"/>
      <c r="T83" s="351">
        <f>SUM(T34:T38)-SUM(T41:T43)</f>
        <v>37105</v>
      </c>
      <c r="U83" s="352"/>
      <c r="V83" s="353">
        <f>SUM(V34:V38)-SUM(V41:V43)</f>
        <v>37899.9</v>
      </c>
      <c r="W83" s="246"/>
      <c r="X83" s="350"/>
      <c r="Y83" s="350"/>
      <c r="Z83" s="351">
        <f>SUM(Z34:Z38)-SUM(Z41:Z43)</f>
        <v>37105.699999999997</v>
      </c>
      <c r="AA83" s="352">
        <f>SUM(AA34:AA38)-SUM(AA41:AA43)</f>
        <v>37805.5</v>
      </c>
      <c r="AB83" s="352"/>
      <c r="AC83" s="246"/>
      <c r="AD83" s="350"/>
      <c r="AE83" s="351">
        <f>SUM(AE34:AE39)-SUM(AE41:AE43)</f>
        <v>39504.699999999997</v>
      </c>
      <c r="AF83" s="352"/>
      <c r="AG83" s="353">
        <f>SUM(AG34:AG39)-SUM(AG41:AG43)</f>
        <v>45382.999999999993</v>
      </c>
      <c r="AI83" s="351">
        <f>SUM(AI34:AI39)-SUM(AI41:AI43)</f>
        <v>44059.6</v>
      </c>
      <c r="AJ83" s="352">
        <f>SUM(AJ34:AJ39)-SUM(AJ41:AJ43)</f>
        <v>42846.3</v>
      </c>
      <c r="AK83" s="352"/>
      <c r="AL83" s="246"/>
      <c r="AN83" s="351">
        <f>SUM(AN34:AN39)-SUM(AN41:AN43)</f>
        <v>46757.399999999994</v>
      </c>
      <c r="AO83" s="352"/>
      <c r="AP83" s="353">
        <f>SUM(AP34:AP39)-SUM(AP41:AP43)</f>
        <v>39239.5</v>
      </c>
      <c r="AQ83" s="110"/>
      <c r="AR83" s="351">
        <f>SUM(AR34:AR39)-SUM(AR41:AR43)</f>
        <v>59927</v>
      </c>
      <c r="AS83" s="352">
        <f>SUM(AS34:AS39)-SUM(AS41:AS43)</f>
        <v>47573</v>
      </c>
      <c r="AT83" s="352"/>
      <c r="AU83" s="246"/>
      <c r="AW83" s="351">
        <f>SUM(AW34:AW39)-SUM(AW41:AW43)</f>
        <v>66275</v>
      </c>
      <c r="AX83" s="352"/>
      <c r="AY83" s="353">
        <f>SUM(AY34:AY39)-SUM(AY41:AY43)</f>
        <v>53862</v>
      </c>
      <c r="BA83" s="351">
        <f>SUM(BA34:BA39)-SUM(BA41:BA43)</f>
        <v>66274</v>
      </c>
      <c r="BB83" s="352">
        <f>SUM(BB34:BB39)-SUM(BB41:BB43)</f>
        <v>63244.4</v>
      </c>
      <c r="BC83" s="352"/>
      <c r="BD83" s="246"/>
      <c r="BF83" s="351">
        <f>SUM(BF34:BF39)-SUM(BF41:BF43)</f>
        <v>79487.600000000006</v>
      </c>
      <c r="BG83" s="352"/>
      <c r="BH83" s="353">
        <f>SUM(BH34:BH39)-SUM(BH41:BH43)</f>
        <v>71961.818181818177</v>
      </c>
    </row>
    <row r="84" spans="1:60" customFormat="1" x14ac:dyDescent="0.35">
      <c r="A84" s="9153"/>
      <c r="B84" s="6082"/>
      <c r="C84" s="110"/>
      <c r="D84" s="1" t="s">
        <v>569</v>
      </c>
      <c r="E84" s="1"/>
      <c r="F84" s="349">
        <f>SUM(F45:F51)</f>
        <v>0</v>
      </c>
      <c r="G84" s="350"/>
      <c r="H84" s="351">
        <f>SUM(H45:H51)</f>
        <v>0</v>
      </c>
      <c r="I84" s="352">
        <f>SUM(I45:I51)</f>
        <v>0</v>
      </c>
      <c r="J84" s="246"/>
      <c r="K84" s="350"/>
      <c r="L84" s="351">
        <f>SUM(L45:L51)</f>
        <v>0</v>
      </c>
      <c r="M84" s="353">
        <f>SUM(M45:M51)</f>
        <v>0</v>
      </c>
      <c r="N84" s="350"/>
      <c r="O84" s="351">
        <f>SUM(O45:O51)</f>
        <v>0</v>
      </c>
      <c r="P84" s="352">
        <f>SUM(P45:P51)</f>
        <v>0</v>
      </c>
      <c r="Q84" s="352"/>
      <c r="R84" s="246"/>
      <c r="S84" s="350"/>
      <c r="T84" s="351">
        <f>SUM(T45:T51)</f>
        <v>0</v>
      </c>
      <c r="U84" s="352"/>
      <c r="V84" s="353">
        <f>SUM(V45:V51)</f>
        <v>0</v>
      </c>
      <c r="W84" s="246"/>
      <c r="X84" s="350"/>
      <c r="Y84" s="350"/>
      <c r="Z84" s="351">
        <f>SUM(Z45:Z51)</f>
        <v>0</v>
      </c>
      <c r="AA84" s="352">
        <f>SUM(AA45:AA51)</f>
        <v>0</v>
      </c>
      <c r="AB84" s="352"/>
      <c r="AC84" s="246"/>
      <c r="AD84" s="350"/>
      <c r="AE84" s="351">
        <f>SUM(AE45:AE51)</f>
        <v>0</v>
      </c>
      <c r="AF84" s="352"/>
      <c r="AG84" s="353">
        <f>SUM(AG45:AG51)</f>
        <v>0</v>
      </c>
      <c r="AI84" s="351">
        <f>SUM(AI45:AI51)</f>
        <v>0</v>
      </c>
      <c r="AJ84" s="352">
        <f>SUM(AJ45:AJ51)</f>
        <v>0</v>
      </c>
      <c r="AK84" s="352"/>
      <c r="AL84" s="246"/>
      <c r="AN84" s="351">
        <f>SUM(AN45:AN51)</f>
        <v>0</v>
      </c>
      <c r="AO84" s="352"/>
      <c r="AP84" s="353">
        <f>SUM(AP45:AP51)</f>
        <v>0</v>
      </c>
      <c r="AQ84" s="110"/>
      <c r="AR84" s="351">
        <f>SUM(AR45:AR51)</f>
        <v>0</v>
      </c>
      <c r="AS84" s="352">
        <f>SUM(AS45:AS51)</f>
        <v>0</v>
      </c>
      <c r="AT84" s="352"/>
      <c r="AU84" s="246"/>
      <c r="AW84" s="351">
        <f>SUM(AW45:AW51)</f>
        <v>0</v>
      </c>
      <c r="AX84" s="352"/>
      <c r="AY84" s="353">
        <f>SUM(AY45:AY51)</f>
        <v>0</v>
      </c>
      <c r="BA84" s="351">
        <f>SUM(BA45:BA51)</f>
        <v>0</v>
      </c>
      <c r="BB84" s="352">
        <f>SUM(BB45:BB51)</f>
        <v>0</v>
      </c>
      <c r="BC84" s="352"/>
      <c r="BD84" s="246"/>
      <c r="BF84" s="351">
        <f>SUM(BF45:BF51)</f>
        <v>0</v>
      </c>
      <c r="BG84" s="352"/>
      <c r="BH84" s="353">
        <f>SUM(BH45:BH51)</f>
        <v>0</v>
      </c>
    </row>
    <row r="85" spans="1:60" customFormat="1" x14ac:dyDescent="0.35">
      <c r="A85" s="9153"/>
      <c r="B85" s="6082"/>
      <c r="C85" s="110"/>
      <c r="D85" s="1" t="s">
        <v>570</v>
      </c>
      <c r="E85" s="1"/>
      <c r="F85" s="349">
        <f>SUM(F53:F60)*F27</f>
        <v>0</v>
      </c>
      <c r="G85" s="350"/>
      <c r="H85" s="351">
        <f>SUM(H53:H60)*H27</f>
        <v>0</v>
      </c>
      <c r="I85" s="352">
        <f>SUM(I53:I60)*I27</f>
        <v>0</v>
      </c>
      <c r="J85" s="246"/>
      <c r="K85" s="350"/>
      <c r="L85" s="351">
        <f>SUM(L53:L60)*L27</f>
        <v>0</v>
      </c>
      <c r="M85" s="353">
        <f>SUM(M53:M60)*M27</f>
        <v>0</v>
      </c>
      <c r="N85" s="350"/>
      <c r="O85" s="351">
        <f>SUM(O53:O60)*O27</f>
        <v>0</v>
      </c>
      <c r="P85" s="352">
        <f>SUM(P53:P60)*P27</f>
        <v>0</v>
      </c>
      <c r="Q85" s="352"/>
      <c r="R85" s="246"/>
      <c r="S85" s="350"/>
      <c r="T85" s="351">
        <f>SUM(T53:T60)*T27</f>
        <v>0</v>
      </c>
      <c r="U85" s="352"/>
      <c r="V85" s="353">
        <f>SUM(V53:V60)*V27</f>
        <v>0</v>
      </c>
      <c r="W85" s="246"/>
      <c r="X85" s="350"/>
      <c r="Y85" s="350"/>
      <c r="Z85" s="351">
        <f>SUM(Z53:Z60)*Z27</f>
        <v>0</v>
      </c>
      <c r="AA85" s="352">
        <f>SUM(AA53:AA60)*AA27</f>
        <v>0</v>
      </c>
      <c r="AB85" s="352"/>
      <c r="AC85" s="246"/>
      <c r="AD85" s="350"/>
      <c r="AE85" s="351">
        <f>SUM(AE53:AE60)*AE27</f>
        <v>0</v>
      </c>
      <c r="AF85" s="352"/>
      <c r="AG85" s="353">
        <f>SUM(AG53:AG60)*AG27</f>
        <v>0</v>
      </c>
      <c r="AI85" s="351">
        <f>SUM(AI53:AI60)*AI27</f>
        <v>0</v>
      </c>
      <c r="AJ85" s="352">
        <f>SUM(AJ53:AJ60)*AJ27</f>
        <v>0</v>
      </c>
      <c r="AK85" s="352"/>
      <c r="AL85" s="246"/>
      <c r="AN85" s="351">
        <f>SUM(AN53:AN60)*AN27</f>
        <v>0</v>
      </c>
      <c r="AO85" s="352"/>
      <c r="AP85" s="353">
        <f>SUM(AP53:AP60)*AP27</f>
        <v>0</v>
      </c>
      <c r="AQ85" s="110"/>
      <c r="AR85" s="351">
        <f>SUM(AR53:AR60)*AR27</f>
        <v>0</v>
      </c>
      <c r="AS85" s="352">
        <f>SUM(AS53:AS60)*AS27</f>
        <v>0</v>
      </c>
      <c r="AT85" s="352"/>
      <c r="AU85" s="246"/>
      <c r="AW85" s="351">
        <f>SUM(AW53:AW60)*AW27</f>
        <v>0</v>
      </c>
      <c r="AX85" s="352"/>
      <c r="AY85" s="353">
        <f>SUM(AY53:AY60)*AY27</f>
        <v>0</v>
      </c>
      <c r="BA85" s="351">
        <f>SUM(BA53:BA60)*BA27</f>
        <v>0</v>
      </c>
      <c r="BB85" s="352">
        <f>SUM(BB53:BB60)*BB27</f>
        <v>0</v>
      </c>
      <c r="BC85" s="352"/>
      <c r="BD85" s="246"/>
      <c r="BF85" s="351">
        <f>SUM(BF53:BF60)*BF27</f>
        <v>0</v>
      </c>
      <c r="BG85" s="352"/>
      <c r="BH85" s="353">
        <f>SUM(BH53:BH60)*BH27</f>
        <v>0</v>
      </c>
    </row>
    <row r="86" spans="1:60" customFormat="1" x14ac:dyDescent="0.35">
      <c r="A86" s="9153"/>
      <c r="B86" s="6082"/>
      <c r="C86" s="110"/>
      <c r="D86" s="1" t="s">
        <v>552</v>
      </c>
      <c r="E86" s="1"/>
      <c r="F86" s="349">
        <f>F62</f>
        <v>0</v>
      </c>
      <c r="G86" s="350"/>
      <c r="H86" s="351">
        <f>H62</f>
        <v>0</v>
      </c>
      <c r="I86" s="352">
        <f>I62</f>
        <v>0</v>
      </c>
      <c r="J86" s="246"/>
      <c r="K86" s="350"/>
      <c r="L86" s="351">
        <f>L62</f>
        <v>0</v>
      </c>
      <c r="M86" s="353">
        <f>M62</f>
        <v>0</v>
      </c>
      <c r="N86" s="350"/>
      <c r="O86" s="351">
        <f>O62+O63</f>
        <v>0</v>
      </c>
      <c r="P86" s="352">
        <f>P62+P63</f>
        <v>0</v>
      </c>
      <c r="Q86" s="352"/>
      <c r="R86" s="246"/>
      <c r="S86" s="350"/>
      <c r="T86" s="351">
        <f>T62+T63</f>
        <v>0</v>
      </c>
      <c r="U86" s="352"/>
      <c r="V86" s="353">
        <f>V62+V63</f>
        <v>0</v>
      </c>
      <c r="W86" s="246"/>
      <c r="X86" s="350"/>
      <c r="Y86" s="350"/>
      <c r="Z86" s="351">
        <f>Z62+Z63</f>
        <v>0</v>
      </c>
      <c r="AA86" s="352">
        <f>AA62+AA63</f>
        <v>0</v>
      </c>
      <c r="AB86" s="352"/>
      <c r="AC86" s="246"/>
      <c r="AD86" s="350"/>
      <c r="AE86" s="351">
        <f>AE62+AE63</f>
        <v>0</v>
      </c>
      <c r="AF86" s="352"/>
      <c r="AG86" s="353">
        <f>AG62+AG63</f>
        <v>0</v>
      </c>
      <c r="AI86" s="351">
        <f>AI62+AI63</f>
        <v>0</v>
      </c>
      <c r="AJ86" s="352">
        <f>AJ62+AJ63</f>
        <v>0</v>
      </c>
      <c r="AK86" s="352"/>
      <c r="AL86" s="246"/>
      <c r="AN86" s="351">
        <f>AN62+AN63</f>
        <v>0</v>
      </c>
      <c r="AO86" s="352"/>
      <c r="AP86" s="353">
        <f>AP62+AP63</f>
        <v>0</v>
      </c>
      <c r="AQ86" s="110"/>
      <c r="AR86" s="351">
        <f>AR62+AR63</f>
        <v>0</v>
      </c>
      <c r="AS86" s="352">
        <f>AS62+AS63</f>
        <v>0</v>
      </c>
      <c r="AT86" s="352"/>
      <c r="AU86" s="246"/>
      <c r="AW86" s="351">
        <f>AW62+AW63</f>
        <v>0</v>
      </c>
      <c r="AX86" s="352"/>
      <c r="AY86" s="353">
        <f>AY62+AY63</f>
        <v>0</v>
      </c>
      <c r="BA86" s="351">
        <f>BA62+BA63</f>
        <v>0</v>
      </c>
      <c r="BB86" s="352">
        <f>BB62+BB63</f>
        <v>0</v>
      </c>
      <c r="BC86" s="352"/>
      <c r="BD86" s="246"/>
      <c r="BF86" s="351">
        <f>BF62+BF63</f>
        <v>0</v>
      </c>
      <c r="BG86" s="352"/>
      <c r="BH86" s="353">
        <f>BH62+BH63</f>
        <v>0</v>
      </c>
    </row>
    <row r="87" spans="1:60" customFormat="1" x14ac:dyDescent="0.35">
      <c r="A87" s="9153"/>
      <c r="B87" s="6082"/>
      <c r="C87" s="356"/>
      <c r="D87" s="1" t="s">
        <v>571</v>
      </c>
      <c r="E87" s="143"/>
      <c r="F87" s="357">
        <f>SUM(F83:F86)</f>
        <v>0</v>
      </c>
      <c r="G87" s="358"/>
      <c r="H87" s="359">
        <f>SUM(H83:H86)</f>
        <v>26327</v>
      </c>
      <c r="I87" s="360">
        <f>SUM(I83:I86)</f>
        <v>25088</v>
      </c>
      <c r="J87" s="361"/>
      <c r="K87" s="358"/>
      <c r="L87" s="359">
        <f>SUM(L83:L86)</f>
        <v>28614</v>
      </c>
      <c r="M87" s="362">
        <f>SUM(M83:M86)</f>
        <v>27307.247469362763</v>
      </c>
      <c r="N87" s="358"/>
      <c r="O87" s="359">
        <f>SUM(O83:O86)</f>
        <v>28614</v>
      </c>
      <c r="P87" s="360">
        <f>SUM(P83:P86)</f>
        <v>28001</v>
      </c>
      <c r="Q87" s="360"/>
      <c r="R87" s="361"/>
      <c r="S87" s="358"/>
      <c r="T87" s="359">
        <f>SUM(T83:T86)</f>
        <v>37105</v>
      </c>
      <c r="U87" s="360"/>
      <c r="V87" s="362">
        <f>SUM(V83:V86)</f>
        <v>37899.9</v>
      </c>
      <c r="W87" s="361"/>
      <c r="X87" s="358"/>
      <c r="Y87" s="358"/>
      <c r="Z87" s="359">
        <f>SUM(Z83:Z86)</f>
        <v>37105.699999999997</v>
      </c>
      <c r="AA87" s="360">
        <f>SUM(AA83:AA86)</f>
        <v>37805.5</v>
      </c>
      <c r="AB87" s="360"/>
      <c r="AC87" s="361"/>
      <c r="AD87" s="358"/>
      <c r="AE87" s="359">
        <f>SUM(AE83:AE86)</f>
        <v>39504.699999999997</v>
      </c>
      <c r="AF87" s="360"/>
      <c r="AG87" s="362">
        <f>SUM(AG83:AG86)</f>
        <v>45382.999999999993</v>
      </c>
      <c r="AI87" s="359">
        <f>SUM(AI83:AI86)</f>
        <v>44059.6</v>
      </c>
      <c r="AJ87" s="360">
        <f>SUM(AJ83:AJ86)</f>
        <v>42846.3</v>
      </c>
      <c r="AK87" s="360"/>
      <c r="AL87" s="361"/>
      <c r="AN87" s="359">
        <f>SUM(AN83:AN86)</f>
        <v>46757.399999999994</v>
      </c>
      <c r="AO87" s="360"/>
      <c r="AP87" s="362">
        <f>SUM(AP83:AP86)</f>
        <v>39239.5</v>
      </c>
      <c r="AQ87" s="356"/>
      <c r="AR87" s="359">
        <f>SUM(AR83:AR86)</f>
        <v>59927</v>
      </c>
      <c r="AS87" s="360">
        <f>SUM(AS83:AS86)</f>
        <v>47573</v>
      </c>
      <c r="AT87" s="360"/>
      <c r="AU87" s="361"/>
      <c r="AW87" s="359">
        <f>SUM(AW83:AW86)</f>
        <v>66275</v>
      </c>
      <c r="AX87" s="360"/>
      <c r="AY87" s="362">
        <f>SUM(AY83:AY86)</f>
        <v>53862</v>
      </c>
      <c r="BA87" s="359">
        <f>SUM(BA83:BA86)</f>
        <v>66274</v>
      </c>
      <c r="BB87" s="360">
        <f>SUM(BB83:BB86)</f>
        <v>63244.4</v>
      </c>
      <c r="BC87" s="360"/>
      <c r="BD87" s="361"/>
      <c r="BF87" s="359">
        <f>SUM(BF83:BF86)</f>
        <v>79487.600000000006</v>
      </c>
      <c r="BG87" s="360"/>
      <c r="BH87" s="362">
        <f>SUM(BH83:BH86)</f>
        <v>71961.818181818177</v>
      </c>
    </row>
    <row r="88" spans="1:60" customFormat="1" ht="15.5" x14ac:dyDescent="0.35">
      <c r="A88" s="9153"/>
      <c r="B88" s="6082"/>
      <c r="C88" s="356"/>
      <c r="D88" s="1" t="s">
        <v>572</v>
      </c>
      <c r="E88" s="1"/>
      <c r="F88" s="559" t="e">
        <f>F87/(F17+F18)</f>
        <v>#DIV/0!</v>
      </c>
      <c r="G88" s="560"/>
      <c r="H88" s="561">
        <f>H87/(H17+H18)</f>
        <v>0.12504690386962861</v>
      </c>
      <c r="I88" s="562">
        <f>I87/(I17+I18)</f>
        <v>0.13329932840261838</v>
      </c>
      <c r="J88" s="563"/>
      <c r="K88" s="560"/>
      <c r="L88" s="561">
        <f>L87/(L17+L18)</f>
        <v>0.11939015638299648</v>
      </c>
      <c r="M88" s="563">
        <f>M87/(M17+M18)</f>
        <v>0.12738006346779196</v>
      </c>
      <c r="N88" s="560"/>
      <c r="O88" s="561">
        <f>O87/(O21-O19-O20)</f>
        <v>0.11939015638299648</v>
      </c>
      <c r="P88" s="562">
        <f>P87/(P21-P19-P20)</f>
        <v>0.1370045992758587</v>
      </c>
      <c r="Q88" s="562"/>
      <c r="R88" s="563"/>
      <c r="S88" s="560"/>
      <c r="T88" s="561">
        <f>T87/(T21-T19-T20)</f>
        <v>0.14289895593836532</v>
      </c>
      <c r="U88" s="562"/>
      <c r="V88" s="563">
        <f>V87/(V21-V19-V20)</f>
        <v>0.1459602786731829</v>
      </c>
      <c r="W88" s="563"/>
      <c r="X88" s="560"/>
      <c r="Y88" s="560"/>
      <c r="Z88" s="561">
        <f>Z87/(Z21-Z19-Z20)</f>
        <v>0.15932345593772998</v>
      </c>
      <c r="AA88" s="562">
        <f>AA87/(AA21-AA19-AA20)</f>
        <v>0.18336500527218952</v>
      </c>
      <c r="AB88" s="562"/>
      <c r="AC88" s="563"/>
      <c r="AD88" s="560"/>
      <c r="AE88" s="561">
        <f>AE87/(AE21-AE19-AE20)</f>
        <v>0.14764436218870367</v>
      </c>
      <c r="AF88" s="562"/>
      <c r="AG88" s="563">
        <f>AG87/(AG21-AG19-AG20)</f>
        <v>0.20462582506595337</v>
      </c>
      <c r="AI88" s="561">
        <f>AI87/(AI21-AI19-AI20)</f>
        <v>0.16466778738452409</v>
      </c>
      <c r="AJ88" s="562">
        <f>AJ87/(AJ21-AJ19-AJ20)</f>
        <v>0.18502526233968131</v>
      </c>
      <c r="AK88" s="562"/>
      <c r="AL88" s="563"/>
      <c r="AN88" s="561">
        <f>AN87/(AN21-AN19-AN20)</f>
        <v>0.15128466458946058</v>
      </c>
      <c r="AO88" s="562"/>
      <c r="AP88" s="563">
        <f>AP87/(AP21-AP19-AP20)</f>
        <v>0.14518146063882137</v>
      </c>
      <c r="AQ88" s="356"/>
      <c r="AR88" s="561">
        <f>AR87/(AR21-AR19-AR20)</f>
        <v>0.1836308201443258</v>
      </c>
      <c r="AS88" s="562">
        <f>AS87/(AS21-AS19-AS20)</f>
        <v>0.17499016041285803</v>
      </c>
      <c r="AT88" s="562"/>
      <c r="AU88" s="563"/>
      <c r="AW88" s="561">
        <f>AW87/(AW21-AW19-AW20)</f>
        <v>0.16931334528937189</v>
      </c>
      <c r="AX88" s="562"/>
      <c r="AY88" s="563">
        <f>AY87/(AY21-AY19-AY20)</f>
        <v>0.18099885073693972</v>
      </c>
      <c r="BA88" s="561">
        <f>BA87/(BA21-BA19-BA20)</f>
        <v>0.16931079058027662</v>
      </c>
      <c r="BB88" s="562">
        <f>BB87/(BB21-BB19-BB20)</f>
        <v>0.18617392686617251</v>
      </c>
      <c r="BC88" s="562"/>
      <c r="BD88" s="563"/>
      <c r="BF88" s="561">
        <f>BF87/(BF21-BF19-BF20)</f>
        <v>0.18042359627838145</v>
      </c>
      <c r="BG88" s="562"/>
      <c r="BH88" s="563">
        <f>BH87/(BH21-BH19-BH20)</f>
        <v>0.20020844866602569</v>
      </c>
    </row>
    <row r="89" spans="1:60" customFormat="1" x14ac:dyDescent="0.35">
      <c r="A89" s="9153"/>
      <c r="B89" s="371"/>
      <c r="C89" s="1053"/>
      <c r="D89" s="296" t="s">
        <v>573</v>
      </c>
      <c r="E89" s="374"/>
      <c r="F89" s="679"/>
      <c r="G89" s="954"/>
      <c r="H89" s="381"/>
      <c r="I89" s="382"/>
      <c r="J89" s="955"/>
      <c r="K89" s="954"/>
      <c r="L89" s="381"/>
      <c r="M89" s="680"/>
      <c r="N89" s="954"/>
      <c r="O89" s="381">
        <f>O34+O35</f>
        <v>20139</v>
      </c>
      <c r="P89" s="382">
        <f>P34+P35</f>
        <v>19939</v>
      </c>
      <c r="Q89" s="956"/>
      <c r="R89" s="955"/>
      <c r="S89" s="954"/>
      <c r="T89" s="386">
        <f>T34+T35</f>
        <v>27601</v>
      </c>
      <c r="U89" s="957"/>
      <c r="V89" s="680">
        <f>V34+V35</f>
        <v>28998.600000000002</v>
      </c>
      <c r="W89" s="955"/>
      <c r="X89" s="958"/>
      <c r="Y89" s="954"/>
      <c r="Z89" s="381">
        <f>Z34+Z35</f>
        <v>27601.1</v>
      </c>
      <c r="AA89" s="382">
        <f>AA34+AA35</f>
        <v>28995.7</v>
      </c>
      <c r="AB89" s="956"/>
      <c r="AC89" s="955"/>
      <c r="AD89" s="954"/>
      <c r="AE89" s="386">
        <f>AE34+AE35</f>
        <v>27869</v>
      </c>
      <c r="AF89" s="957"/>
      <c r="AG89" s="680">
        <f>AG34+AG35</f>
        <v>34980.1</v>
      </c>
      <c r="AI89" s="381">
        <f>AI34+AI35</f>
        <v>27869</v>
      </c>
      <c r="AJ89" s="382">
        <f>AJ34+AJ35</f>
        <v>32083.5</v>
      </c>
      <c r="AK89" s="956"/>
      <c r="AL89" s="955"/>
      <c r="AN89" s="386">
        <f>AN34+AN35</f>
        <v>29867.3</v>
      </c>
      <c r="AO89" s="957"/>
      <c r="AP89" s="680">
        <f>AP34+AP35</f>
        <v>28584.6</v>
      </c>
      <c r="AQ89" s="1053"/>
      <c r="AR89" s="381">
        <f>AR34+AR35</f>
        <v>34927</v>
      </c>
      <c r="AS89" s="382">
        <f>AS34+AS35</f>
        <v>33484</v>
      </c>
      <c r="AT89" s="956"/>
      <c r="AU89" s="955"/>
      <c r="AW89" s="386">
        <f>AW34+AW35</f>
        <v>39414</v>
      </c>
      <c r="AX89" s="957"/>
      <c r="AY89" s="680">
        <f>AY34+AY35</f>
        <v>37496</v>
      </c>
      <c r="BA89" s="381">
        <f>BA34+BA35</f>
        <v>39414</v>
      </c>
      <c r="BB89" s="382">
        <f>BB34+BB35</f>
        <v>37543</v>
      </c>
      <c r="BC89" s="956"/>
      <c r="BD89" s="955"/>
      <c r="BF89" s="386">
        <f>BF34+BF35</f>
        <v>41223</v>
      </c>
      <c r="BG89" s="957"/>
      <c r="BH89" s="680">
        <f>BH34+BH35</f>
        <v>41866.909090909088</v>
      </c>
    </row>
    <row r="90" spans="1:60" customFormat="1" x14ac:dyDescent="0.35">
      <c r="A90" s="9153"/>
      <c r="B90" s="58"/>
      <c r="C90" s="390"/>
      <c r="D90" s="296" t="s">
        <v>575</v>
      </c>
      <c r="E90" s="392"/>
      <c r="F90" s="7869"/>
      <c r="G90" s="7870"/>
      <c r="H90" s="1222"/>
      <c r="I90" s="1218"/>
      <c r="J90" s="7734"/>
      <c r="K90" s="7870"/>
      <c r="L90" s="1222"/>
      <c r="M90" s="7736"/>
      <c r="N90" s="7870"/>
      <c r="O90" s="1222">
        <f>(O87-O89)/O18</f>
        <v>0.10531090014414235</v>
      </c>
      <c r="P90" s="1218">
        <f>(P87-P89)/P18</f>
        <v>0.1266097116653056</v>
      </c>
      <c r="Q90" s="7733"/>
      <c r="R90" s="7734"/>
      <c r="S90" s="7870"/>
      <c r="T90" s="1211">
        <f>(T87-T89)/T18</f>
        <v>9.9509988692046733E-2</v>
      </c>
      <c r="U90" s="7735"/>
      <c r="V90" s="7736">
        <f>(V87-V89)/V18</f>
        <v>9.3199522553084557E-2</v>
      </c>
      <c r="W90" s="7734"/>
      <c r="X90" s="392"/>
      <c r="Y90" s="7870"/>
      <c r="Z90" s="1222">
        <f>(Z87-Z89)/Z18</f>
        <v>0.1026020234121655</v>
      </c>
      <c r="AA90" s="1218">
        <f>(AA87-AA89)/AA18</f>
        <v>0.1081578133210236</v>
      </c>
      <c r="AB90" s="7733"/>
      <c r="AC90" s="7734"/>
      <c r="AD90" s="7870"/>
      <c r="AE90" s="1211">
        <f>(AE87-AE89)/AE18</f>
        <v>0.10072481143908786</v>
      </c>
      <c r="AF90" s="7735"/>
      <c r="AG90" s="7736">
        <f>(AG87-AG89)/AG18</f>
        <v>0.13319275172494138</v>
      </c>
      <c r="AI90" s="1222">
        <f>(AI87-AI89)/AI18</f>
        <v>0.14015444984708236</v>
      </c>
      <c r="AJ90" s="1218">
        <f>(AJ87-AJ89)/AJ18</f>
        <v>0.12302873734025288</v>
      </c>
      <c r="AK90" s="7733"/>
      <c r="AL90" s="7734"/>
      <c r="AN90" s="1211">
        <f>(AN87-AN89)/AN18</f>
        <v>0.10989862578730931</v>
      </c>
      <c r="AO90" s="7735"/>
      <c r="AP90" s="7736">
        <f>(AP87-AP89)/AP18</f>
        <v>0.10395835772548102</v>
      </c>
      <c r="AQ90" s="390"/>
      <c r="AR90" s="1222">
        <f>(AR87-AR89)/AR18</f>
        <v>0.16266722190411742</v>
      </c>
      <c r="AS90" s="1218">
        <f>(AS87-AS89)/AS18</f>
        <v>0.11533801594708319</v>
      </c>
      <c r="AT90" s="7733"/>
      <c r="AU90" s="7734"/>
      <c r="AW90" s="1211">
        <f>(AW87-AW89)/AW18</f>
        <v>0.15486396577668363</v>
      </c>
      <c r="AX90" s="7735"/>
      <c r="AY90" s="7736">
        <f>(AY87-AY89)/AY18</f>
        <v>0.13991502167203837</v>
      </c>
      <c r="BA90" s="1222">
        <f>(BA87-BA89)/BA18</f>
        <v>0.15485820039319914</v>
      </c>
      <c r="BB90" s="1218">
        <f>(BB87-BB89)/BB18</f>
        <v>0.17014597332097581</v>
      </c>
      <c r="BC90" s="7733"/>
      <c r="BD90" s="7734"/>
      <c r="BF90" s="1211">
        <f>(BF87-BF89)/BF18</f>
        <v>0.18910199704470992</v>
      </c>
      <c r="BG90" s="7735"/>
      <c r="BH90" s="7736">
        <f>(BH87-BH89)/BH18</f>
        <v>0.1825853293710413</v>
      </c>
    </row>
    <row r="91" spans="1:60" customFormat="1" x14ac:dyDescent="0.35">
      <c r="A91" s="9153"/>
      <c r="B91" s="58"/>
      <c r="C91" s="390"/>
      <c r="D91" s="296" t="s">
        <v>576</v>
      </c>
      <c r="E91" s="392"/>
      <c r="F91" s="7869"/>
      <c r="G91" s="7870"/>
      <c r="H91" s="1222"/>
      <c r="I91" s="1218"/>
      <c r="J91" s="7734"/>
      <c r="K91" s="7870"/>
      <c r="L91" s="1222"/>
      <c r="M91" s="7736"/>
      <c r="N91" s="7870"/>
      <c r="O91" s="1222">
        <f>O89/O17</f>
        <v>0.12797229459236195</v>
      </c>
      <c r="P91" s="1218">
        <f>P89/P17</f>
        <v>0.14935692402190279</v>
      </c>
      <c r="Q91" s="7733"/>
      <c r="R91" s="7734"/>
      <c r="S91" s="7870"/>
      <c r="T91" s="1211">
        <f>T89/T17</f>
        <v>0.16855469584918564</v>
      </c>
      <c r="U91" s="7735"/>
      <c r="V91" s="7736">
        <f>V89/V17</f>
        <v>0.17708960555966072</v>
      </c>
      <c r="W91" s="7734"/>
      <c r="X91" s="392"/>
      <c r="Y91" s="7870"/>
      <c r="Z91" s="1222">
        <f>Z89/Z17</f>
        <v>0.20804844018883414</v>
      </c>
      <c r="AA91" s="1218">
        <f>AA89/AA17</f>
        <v>0.2335372120220234</v>
      </c>
      <c r="AB91" s="7733"/>
      <c r="AC91" s="7734"/>
      <c r="AD91" s="7870"/>
      <c r="AE91" s="1211">
        <f>AE89/AE17</f>
        <v>0.18329212894179361</v>
      </c>
      <c r="AF91" s="7735"/>
      <c r="AG91" s="7736">
        <f>AG89/AG17</f>
        <v>0.24345634641136069</v>
      </c>
      <c r="AI91" s="1222">
        <f>AI89/AI17</f>
        <v>0.18329212894179361</v>
      </c>
      <c r="AJ91" s="1218">
        <f>AJ89/AJ17</f>
        <v>0.22266600966076286</v>
      </c>
      <c r="AK91" s="7733"/>
      <c r="AL91" s="7734"/>
      <c r="AN91" s="1211">
        <f>AN89/AN17</f>
        <v>0.1922197694698837</v>
      </c>
      <c r="AO91" s="7735"/>
      <c r="AP91" s="7736">
        <f>AP89/AP17</f>
        <v>0.17036242378730174</v>
      </c>
      <c r="AQ91" s="390"/>
      <c r="AR91" s="1222">
        <f>AR89/AR17</f>
        <v>0.2022912479656197</v>
      </c>
      <c r="AS91" s="1218">
        <f>AS89/AS17</f>
        <v>0.22366355614633918</v>
      </c>
      <c r="AT91" s="7733"/>
      <c r="AU91" s="7734"/>
      <c r="AW91" s="1211">
        <f>AW89/AW17</f>
        <v>0.18081060623437392</v>
      </c>
      <c r="AX91" s="7735"/>
      <c r="AY91" s="7736">
        <f>AY89/AY17</f>
        <v>0.20760640271079833</v>
      </c>
      <c r="BA91" s="1222">
        <f>BA89/BA17</f>
        <v>0.18081060623437392</v>
      </c>
      <c r="BB91" s="1218">
        <f>BB89/BB17</f>
        <v>0.19900769145141028</v>
      </c>
      <c r="BC91" s="7733"/>
      <c r="BD91" s="7734"/>
      <c r="BF91" s="1211">
        <f>BF89/BF17</f>
        <v>0.17305173542894564</v>
      </c>
      <c r="BG91" s="7735"/>
      <c r="BH91" s="7736">
        <f>BH89/BH17</f>
        <v>0.215134653955982</v>
      </c>
    </row>
    <row r="92" spans="1:60" customFormat="1" x14ac:dyDescent="0.35">
      <c r="A92" s="9153"/>
      <c r="B92" s="58"/>
      <c r="C92" s="390"/>
      <c r="D92" s="296"/>
      <c r="E92" s="392"/>
      <c r="F92" s="393"/>
      <c r="G92" s="392"/>
      <c r="H92" s="394"/>
      <c r="I92" s="395"/>
      <c r="J92" s="229"/>
      <c r="K92" s="392"/>
      <c r="L92" s="394"/>
      <c r="M92" s="977"/>
      <c r="N92" s="392"/>
      <c r="O92" s="394"/>
      <c r="P92" s="395"/>
      <c r="R92" s="229"/>
      <c r="S92" s="392"/>
      <c r="T92" s="396"/>
      <c r="U92" s="978"/>
      <c r="V92" s="977"/>
      <c r="W92" s="229"/>
      <c r="X92" s="392"/>
      <c r="Y92" s="392"/>
      <c r="Z92" s="394"/>
      <c r="AA92" s="395"/>
      <c r="AC92" s="229"/>
      <c r="AD92" s="392"/>
      <c r="AE92" s="396"/>
      <c r="AF92" s="978"/>
      <c r="AG92" s="977"/>
      <c r="AI92" s="394"/>
      <c r="AJ92" s="395"/>
      <c r="AL92" s="229"/>
      <c r="AN92" s="396"/>
      <c r="AO92" s="978"/>
      <c r="AP92" s="977"/>
      <c r="AQ92" s="390"/>
      <c r="AR92" s="394"/>
      <c r="AS92" s="395"/>
      <c r="AU92" s="229"/>
      <c r="AW92" s="396"/>
      <c r="AX92" s="978"/>
      <c r="AY92" s="977"/>
      <c r="BA92" s="394"/>
      <c r="BB92" s="395"/>
      <c r="BD92" s="229"/>
      <c r="BF92" s="396"/>
      <c r="BG92" s="978"/>
      <c r="BH92" s="977"/>
    </row>
    <row r="93" spans="1:60" customFormat="1" x14ac:dyDescent="0.35">
      <c r="A93" s="9153"/>
      <c r="B93" s="58"/>
      <c r="C93" s="390"/>
      <c r="D93" s="296" t="s">
        <v>577</v>
      </c>
      <c r="E93" s="392"/>
      <c r="F93" s="7869"/>
      <c r="G93" s="7870"/>
      <c r="H93" s="1222"/>
      <c r="I93" s="1218"/>
      <c r="J93" s="7734"/>
      <c r="K93" s="7870"/>
      <c r="L93" s="1222"/>
      <c r="M93" s="7736"/>
      <c r="N93" s="7870"/>
      <c r="O93" s="1222"/>
      <c r="P93" s="1218"/>
      <c r="Q93" s="7733"/>
      <c r="R93" s="7734"/>
      <c r="S93" s="7870"/>
      <c r="T93" s="1211"/>
      <c r="U93" s="7735"/>
      <c r="V93" s="7736"/>
      <c r="W93" s="7734"/>
      <c r="X93" s="392"/>
      <c r="Y93" s="7870"/>
      <c r="Z93" s="1222"/>
      <c r="AA93" s="1218"/>
      <c r="AB93" s="7733"/>
      <c r="AC93" s="7734"/>
      <c r="AD93" s="7870"/>
      <c r="AE93" s="1211"/>
      <c r="AF93" s="7735"/>
      <c r="AG93" s="7736"/>
      <c r="AI93" s="1222"/>
      <c r="AJ93" s="1218"/>
      <c r="AK93" s="7733"/>
      <c r="AL93" s="7734"/>
      <c r="AN93" s="1211"/>
      <c r="AO93" s="7735"/>
      <c r="AP93" s="7736"/>
      <c r="AQ93" s="390"/>
      <c r="AR93" s="1222"/>
      <c r="AS93" s="1218"/>
      <c r="AT93" s="7733"/>
      <c r="AU93" s="7734"/>
      <c r="AW93" s="1211"/>
      <c r="AX93" s="7735"/>
      <c r="AY93" s="7736"/>
      <c r="BA93" s="1222"/>
      <c r="BB93" s="1218"/>
      <c r="BC93" s="7733"/>
      <c r="BD93" s="7734"/>
      <c r="BF93" s="1211"/>
      <c r="BG93" s="7735"/>
      <c r="BH93" s="7736"/>
    </row>
    <row r="94" spans="1:60" customFormat="1" x14ac:dyDescent="0.35">
      <c r="A94" s="9153"/>
      <c r="B94" s="58"/>
      <c r="C94" s="390"/>
      <c r="D94" s="59" t="s">
        <v>578</v>
      </c>
      <c r="E94" s="392"/>
      <c r="F94" s="393"/>
      <c r="G94" s="392"/>
      <c r="H94" s="394"/>
      <c r="I94" s="395"/>
      <c r="J94" s="229"/>
      <c r="K94" s="392"/>
      <c r="L94" s="394"/>
      <c r="M94" s="977"/>
      <c r="N94" s="392"/>
      <c r="O94" s="394"/>
      <c r="P94" s="395"/>
      <c r="R94" s="229"/>
      <c r="S94" s="392"/>
      <c r="T94" s="396"/>
      <c r="U94" s="978"/>
      <c r="V94" s="977"/>
      <c r="W94" s="229"/>
      <c r="X94" s="392"/>
      <c r="Y94" s="392"/>
      <c r="Z94" s="394"/>
      <c r="AA94" s="395"/>
      <c r="AC94" s="229"/>
      <c r="AD94" s="392"/>
      <c r="AE94" s="396"/>
      <c r="AF94" s="978"/>
      <c r="AG94" s="977"/>
      <c r="AI94" s="394"/>
      <c r="AJ94" s="395"/>
      <c r="AL94" s="229"/>
      <c r="AN94" s="396"/>
      <c r="AO94" s="978"/>
      <c r="AP94" s="977"/>
      <c r="AQ94" s="390"/>
      <c r="AR94" s="394"/>
      <c r="AS94" s="395"/>
      <c r="AU94" s="229"/>
      <c r="AW94" s="396"/>
      <c r="AX94" s="978"/>
      <c r="AY94" s="977"/>
      <c r="BA94" s="394"/>
      <c r="BB94" s="395"/>
      <c r="BD94" s="229"/>
      <c r="BF94" s="396"/>
      <c r="BG94" s="978"/>
      <c r="BH94" s="977"/>
    </row>
    <row r="95" spans="1:60" customFormat="1" x14ac:dyDescent="0.35">
      <c r="A95" s="9153"/>
      <c r="B95" s="58"/>
      <c r="C95" s="390"/>
      <c r="D95" s="296" t="s">
        <v>579</v>
      </c>
      <c r="E95" s="392"/>
      <c r="F95" s="393"/>
      <c r="G95" s="392"/>
      <c r="H95" s="394"/>
      <c r="I95" s="395"/>
      <c r="J95" s="229"/>
      <c r="K95" s="392"/>
      <c r="L95" s="394"/>
      <c r="M95" s="977"/>
      <c r="N95" s="392"/>
      <c r="O95" s="394"/>
      <c r="P95" s="395"/>
      <c r="R95" s="229"/>
      <c r="S95" s="392"/>
      <c r="T95" s="396"/>
      <c r="U95" s="978"/>
      <c r="V95" s="977"/>
      <c r="W95" s="229"/>
      <c r="X95" s="392"/>
      <c r="Y95" s="392"/>
      <c r="Z95" s="394"/>
      <c r="AA95" s="395"/>
      <c r="AC95" s="229"/>
      <c r="AD95" s="392"/>
      <c r="AE95" s="396"/>
      <c r="AF95" s="978"/>
      <c r="AG95" s="977"/>
      <c r="AI95" s="394"/>
      <c r="AJ95" s="395"/>
      <c r="AL95" s="229"/>
      <c r="AN95" s="396"/>
      <c r="AO95" s="978"/>
      <c r="AP95" s="977"/>
      <c r="AQ95" s="390"/>
      <c r="AR95" s="394"/>
      <c r="AS95" s="395"/>
      <c r="AU95" s="229"/>
      <c r="AW95" s="396"/>
      <c r="AX95" s="978"/>
      <c r="AY95" s="977"/>
      <c r="BA95" s="394"/>
      <c r="BB95" s="395"/>
      <c r="BD95" s="229"/>
      <c r="BF95" s="396"/>
      <c r="BG95" s="978"/>
      <c r="BH95" s="977"/>
    </row>
    <row r="96" spans="1:60" customFormat="1" x14ac:dyDescent="0.35">
      <c r="A96" s="9153"/>
      <c r="B96" s="58"/>
      <c r="C96" s="390"/>
      <c r="D96" s="296"/>
      <c r="E96" s="392"/>
      <c r="F96" s="393"/>
      <c r="G96" s="392"/>
      <c r="H96" s="394"/>
      <c r="I96" s="395"/>
      <c r="J96" s="229"/>
      <c r="K96" s="392"/>
      <c r="L96" s="394"/>
      <c r="M96" s="977"/>
      <c r="N96" s="392"/>
      <c r="O96" s="394"/>
      <c r="P96" s="395"/>
      <c r="R96" s="229"/>
      <c r="S96" s="392"/>
      <c r="T96" s="396"/>
      <c r="U96" s="978"/>
      <c r="V96" s="977"/>
      <c r="W96" s="229"/>
      <c r="X96" s="392"/>
      <c r="Y96" s="392"/>
      <c r="Z96" s="394"/>
      <c r="AA96" s="395"/>
      <c r="AC96" s="229"/>
      <c r="AD96" s="392"/>
      <c r="AE96" s="396"/>
      <c r="AF96" s="978"/>
      <c r="AG96" s="977"/>
      <c r="AI96" s="394"/>
      <c r="AJ96" s="395"/>
      <c r="AL96" s="229"/>
      <c r="AN96" s="396"/>
      <c r="AO96" s="978"/>
      <c r="AP96" s="977"/>
      <c r="AQ96" s="390"/>
      <c r="AR96" s="394"/>
      <c r="AS96" s="395"/>
      <c r="AU96" s="229"/>
      <c r="AW96" s="396"/>
      <c r="AX96" s="978"/>
      <c r="AY96" s="977"/>
      <c r="BA96" s="394"/>
      <c r="BB96" s="395"/>
      <c r="BD96" s="229"/>
      <c r="BF96" s="396"/>
      <c r="BG96" s="978"/>
      <c r="BH96" s="977"/>
    </row>
    <row r="97" spans="1:60" customFormat="1" x14ac:dyDescent="0.35">
      <c r="A97" s="9153"/>
      <c r="B97" s="58"/>
      <c r="C97" s="1070"/>
      <c r="D97" s="980" t="s">
        <v>580</v>
      </c>
      <c r="E97" s="424"/>
      <c r="F97" s="981"/>
      <c r="G97" s="982"/>
      <c r="H97" s="983"/>
      <c r="I97" s="979"/>
      <c r="J97" s="246"/>
      <c r="K97" s="982"/>
      <c r="L97" s="983"/>
      <c r="M97" s="984"/>
      <c r="N97" s="982"/>
      <c r="O97" s="983"/>
      <c r="P97" s="979"/>
      <c r="Q97" s="985"/>
      <c r="R97" s="246"/>
      <c r="S97" s="982"/>
      <c r="T97" s="986"/>
      <c r="U97" s="987"/>
      <c r="V97" s="984"/>
      <c r="W97" s="246"/>
      <c r="X97" s="982"/>
      <c r="Y97" s="982"/>
      <c r="Z97" s="983"/>
      <c r="AA97" s="979"/>
      <c r="AB97" s="985"/>
      <c r="AC97" s="246"/>
      <c r="AD97" s="982"/>
      <c r="AE97" s="986"/>
      <c r="AF97" s="987"/>
      <c r="AG97" s="984"/>
      <c r="AI97" s="983"/>
      <c r="AJ97" s="979"/>
      <c r="AK97" s="985"/>
      <c r="AL97" s="246"/>
      <c r="AN97" s="986"/>
      <c r="AO97" s="987"/>
      <c r="AP97" s="984"/>
      <c r="AQ97" s="1070"/>
      <c r="AR97" s="983"/>
      <c r="AS97" s="979"/>
      <c r="AT97" s="985"/>
      <c r="AU97" s="246"/>
      <c r="AW97" s="986"/>
      <c r="AX97" s="987"/>
      <c r="AY97" s="984"/>
      <c r="BA97" s="983"/>
      <c r="BB97" s="979"/>
      <c r="BC97" s="985"/>
      <c r="BD97" s="246"/>
      <c r="BF97" s="986"/>
      <c r="BG97" s="987"/>
      <c r="BH97" s="984"/>
    </row>
    <row r="98" spans="1:60" customFormat="1" x14ac:dyDescent="0.35">
      <c r="A98" s="9154"/>
      <c r="B98" s="85"/>
      <c r="C98" s="1079"/>
      <c r="D98" s="86" t="s">
        <v>581</v>
      </c>
      <c r="E98" s="274"/>
      <c r="F98" s="702"/>
      <c r="G98" s="460"/>
      <c r="H98" s="704"/>
      <c r="I98" s="705"/>
      <c r="J98" s="988"/>
      <c r="K98" s="460"/>
      <c r="L98" s="704"/>
      <c r="M98" s="708"/>
      <c r="N98" s="460"/>
      <c r="O98" s="704"/>
      <c r="P98" s="705"/>
      <c r="Q98" s="989"/>
      <c r="R98" s="988"/>
      <c r="S98" s="460"/>
      <c r="T98" s="707"/>
      <c r="U98" s="990"/>
      <c r="V98" s="708"/>
      <c r="W98" s="988"/>
      <c r="X98" s="460"/>
      <c r="Y98" s="460"/>
      <c r="Z98" s="704"/>
      <c r="AA98" s="705"/>
      <c r="AB98" s="989"/>
      <c r="AC98" s="988"/>
      <c r="AD98" s="460"/>
      <c r="AE98" s="707"/>
      <c r="AF98" s="990"/>
      <c r="AG98" s="708"/>
      <c r="AI98" s="704"/>
      <c r="AJ98" s="705"/>
      <c r="AK98" s="989"/>
      <c r="AL98" s="988"/>
      <c r="AN98" s="707"/>
      <c r="AO98" s="990"/>
      <c r="AP98" s="708"/>
      <c r="AQ98" s="1079"/>
      <c r="AR98" s="704"/>
      <c r="AS98" s="705"/>
      <c r="AT98" s="989"/>
      <c r="AU98" s="988"/>
      <c r="AW98" s="707"/>
      <c r="AX98" s="990"/>
      <c r="AY98" s="708"/>
      <c r="BA98" s="704"/>
      <c r="BB98" s="705"/>
      <c r="BC98" s="989"/>
      <c r="BD98" s="988"/>
      <c r="BF98" s="707"/>
      <c r="BG98" s="990"/>
      <c r="BH98" s="708"/>
    </row>
    <row r="99" spans="1:60" ht="11.75" customHeight="1" x14ac:dyDescent="0.35">
      <c r="N99" s="982"/>
      <c r="O99" s="1087"/>
      <c r="P99" s="1087"/>
      <c r="Q99" s="1087"/>
      <c r="R99" s="1087"/>
      <c r="S99" s="1087"/>
      <c r="T99" s="1087"/>
      <c r="U99" s="1087"/>
      <c r="V99" s="1087"/>
      <c r="W99" s="1087"/>
      <c r="X99" s="1087"/>
      <c r="Y99" s="982"/>
      <c r="Z99" s="1087"/>
      <c r="AA99" s="1087"/>
      <c r="AB99" s="1087"/>
      <c r="AC99" s="1087"/>
      <c r="AD99" s="1087"/>
      <c r="AE99" s="1087"/>
      <c r="AF99" s="1087"/>
      <c r="AG99" s="1087"/>
      <c r="AI99" s="1087"/>
      <c r="AJ99" s="1087"/>
      <c r="AK99" s="1087"/>
      <c r="AR99" s="1087"/>
      <c r="AS99" s="1087"/>
      <c r="AT99" s="1087"/>
      <c r="BA99" s="1087"/>
      <c r="BB99" s="1087"/>
      <c r="BC99" s="1087"/>
    </row>
    <row r="100" spans="1:60" x14ac:dyDescent="0.35">
      <c r="A100" s="455" t="s">
        <v>582</v>
      </c>
      <c r="B100" s="455"/>
      <c r="E100" s="457"/>
      <c r="N100" s="460"/>
      <c r="O100" s="461"/>
      <c r="P100" s="461"/>
      <c r="Q100" s="461"/>
      <c r="R100" s="461"/>
      <c r="S100" s="461"/>
      <c r="T100" s="461"/>
      <c r="U100" s="461"/>
      <c r="V100" s="461"/>
      <c r="W100" s="461"/>
      <c r="X100" s="461"/>
      <c r="Y100" s="460"/>
      <c r="Z100" s="461"/>
      <c r="AA100" s="461"/>
      <c r="AB100" s="461"/>
      <c r="AC100" s="461"/>
      <c r="AD100" s="461"/>
      <c r="AE100" s="461"/>
      <c r="AF100" s="461"/>
      <c r="AG100" s="461"/>
      <c r="AI100" s="461"/>
      <c r="AJ100" s="461"/>
      <c r="AK100" s="461"/>
      <c r="AR100" s="461"/>
      <c r="AS100" s="461"/>
      <c r="AT100" s="461"/>
      <c r="BA100" s="461"/>
      <c r="BB100" s="461"/>
      <c r="BC100" s="461"/>
    </row>
    <row r="101" spans="1:60" ht="36" x14ac:dyDescent="0.35">
      <c r="A101" s="991">
        <v>1</v>
      </c>
      <c r="B101" s="992" t="str">
        <f>AQ12</f>
        <v>including State trading &amp; recovery of loans &amp; advances</v>
      </c>
      <c r="C101" s="992"/>
      <c r="D101" s="992"/>
      <c r="E101" s="992"/>
      <c r="F101" s="992"/>
      <c r="G101" s="992"/>
      <c r="H101" s="992"/>
      <c r="I101" s="992"/>
      <c r="J101" s="992"/>
      <c r="K101" s="992"/>
      <c r="L101" s="992"/>
      <c r="M101" s="993"/>
      <c r="N101" s="456"/>
      <c r="O101" s="461"/>
      <c r="P101" s="461"/>
      <c r="Q101" s="461"/>
      <c r="R101" s="461"/>
      <c r="S101" s="461"/>
      <c r="T101" s="461"/>
      <c r="U101" s="461"/>
      <c r="V101" s="461"/>
      <c r="W101" s="461"/>
      <c r="X101" s="461"/>
      <c r="Y101" s="456"/>
      <c r="Z101" s="461"/>
      <c r="AA101" s="461"/>
      <c r="AB101" s="461"/>
      <c r="AC101" s="461"/>
      <c r="AD101" s="461"/>
      <c r="AE101" s="461"/>
      <c r="AF101" s="461"/>
      <c r="AG101" s="461"/>
      <c r="AI101" s="461"/>
      <c r="AJ101" s="461"/>
      <c r="AK101" s="461"/>
      <c r="AQ101" s="992"/>
      <c r="AR101" s="461"/>
      <c r="AS101" s="461"/>
      <c r="AT101" s="461"/>
      <c r="BA101" s="461"/>
      <c r="BB101" s="461"/>
      <c r="BC101" s="461"/>
    </row>
    <row r="102" spans="1:60" x14ac:dyDescent="0.35">
      <c r="A102" s="462">
        <v>2</v>
      </c>
      <c r="B102" s="462" t="str">
        <f>AQ17</f>
        <v>Non development and others</v>
      </c>
    </row>
    <row r="103" spans="1:60" x14ac:dyDescent="0.35">
      <c r="A103" s="462">
        <v>3</v>
      </c>
      <c r="B103" s="462" t="str">
        <f>AQ18</f>
        <v>Development expenditures</v>
      </c>
    </row>
    <row r="104" spans="1:60" x14ac:dyDescent="0.35">
      <c r="A104" s="462">
        <v>4</v>
      </c>
      <c r="B104" s="462" t="str">
        <f>AQ29</f>
        <v>Local Government division</v>
      </c>
    </row>
    <row r="106" spans="1:60" x14ac:dyDescent="0.35">
      <c r="A106" s="462" t="s">
        <v>583</v>
      </c>
    </row>
    <row r="107" spans="1:60" x14ac:dyDescent="0.35">
      <c r="A107" s="462" t="s">
        <v>822</v>
      </c>
    </row>
  </sheetData>
  <mergeCells count="55">
    <mergeCell ref="BA7:BB7"/>
    <mergeCell ref="BD7:BD8"/>
    <mergeCell ref="BF7:BH7"/>
    <mergeCell ref="BA1:BH1"/>
    <mergeCell ref="BA4:BD4"/>
    <mergeCell ref="BF4:BH4"/>
    <mergeCell ref="BA5:BD5"/>
    <mergeCell ref="BF5:BH5"/>
    <mergeCell ref="A82:A98"/>
    <mergeCell ref="AE7:AG7"/>
    <mergeCell ref="AI7:AJ7"/>
    <mergeCell ref="AL7:AL8"/>
    <mergeCell ref="A10:A30"/>
    <mergeCell ref="A32:A69"/>
    <mergeCell ref="B36:C36"/>
    <mergeCell ref="B39:C39"/>
    <mergeCell ref="A71:A80"/>
    <mergeCell ref="T7:V7"/>
    <mergeCell ref="W7:W8"/>
    <mergeCell ref="Z7:AA7"/>
    <mergeCell ref="AC7:AC8"/>
    <mergeCell ref="H7:I7"/>
    <mergeCell ref="J7:J8"/>
    <mergeCell ref="L7:M7"/>
    <mergeCell ref="O7:P7"/>
    <mergeCell ref="R7:R8"/>
    <mergeCell ref="L5:M5"/>
    <mergeCell ref="O5:R5"/>
    <mergeCell ref="T5:V5"/>
    <mergeCell ref="Z5:AC5"/>
    <mergeCell ref="AN7:AP7"/>
    <mergeCell ref="AE5:AG5"/>
    <mergeCell ref="AI5:AL5"/>
    <mergeCell ref="AN5:AP5"/>
    <mergeCell ref="T4:V4"/>
    <mergeCell ref="Z4:AC4"/>
    <mergeCell ref="AE4:AG4"/>
    <mergeCell ref="AI4:AL4"/>
    <mergeCell ref="AN4:AP4"/>
    <mergeCell ref="H5:J5"/>
    <mergeCell ref="AR7:AS7"/>
    <mergeCell ref="AU7:AU8"/>
    <mergeCell ref="AW7:AY7"/>
    <mergeCell ref="AR1:AY1"/>
    <mergeCell ref="AR4:AU4"/>
    <mergeCell ref="AW4:AY4"/>
    <mergeCell ref="AR5:AU5"/>
    <mergeCell ref="AW5:AY5"/>
    <mergeCell ref="F1:M1"/>
    <mergeCell ref="O1:V1"/>
    <mergeCell ref="Z1:AG1"/>
    <mergeCell ref="AI1:AP1"/>
    <mergeCell ref="H4:J4"/>
    <mergeCell ref="L4:M4"/>
    <mergeCell ref="O4:R4"/>
  </mergeCells>
  <hyperlinks>
    <hyperlink ref="Q10" r:id="rId1" xr:uid="{36EBF695-7BD8-4F3C-89C1-6EBD1796971F}"/>
    <hyperlink ref="U10" r:id="rId2" xr:uid="{87733101-AC12-42BC-9D44-F7218DE715F5}"/>
    <hyperlink ref="AB10" r:id="rId3" xr:uid="{A75112E5-0F14-402E-985B-37FD7D8D535C}"/>
    <hyperlink ref="AF10" r:id="rId4" xr:uid="{1788C41C-6FFF-4E56-B34E-866F6B4C68A7}"/>
    <hyperlink ref="AO10" r:id="rId5" xr:uid="{EC945E10-8813-4ADF-8144-F30C9BEB5E42}"/>
    <hyperlink ref="AK10" r:id="rId6" xr:uid="{FC03CC27-477E-4A71-A3B1-8B61DE909CE7}"/>
    <hyperlink ref="AX10" r:id="rId7" xr:uid="{C17A6330-23C9-48E4-8D8B-D42CB5AE043D}"/>
    <hyperlink ref="AT10" r:id="rId8" xr:uid="{1728C567-F497-4703-86C7-9421BC7B133B}"/>
    <hyperlink ref="BG10" r:id="rId9" xr:uid="{6A7122C4-6688-4370-A79B-CFDF0EEBEC0C}"/>
    <hyperlink ref="BC10" r:id="rId10" xr:uid="{9743AC6B-6F0A-4AAE-883F-D6B6512B886B}"/>
  </hyperlinks>
  <pageMargins left="0.23622047244094491" right="0.23622047244094491" top="0.35433070866141736" bottom="0.35433070866141736" header="0.31496062992125984" footer="0.31496062992125984"/>
  <pageSetup paperSize="9" scale="48" orientation="portrait" horizontalDpi="4294967293" r:id="rId11"/>
  <headerFooter>
    <oddFooter>&amp;R&amp;1#&amp;"Calibri"&amp;12&amp;K000000Official Use</oddFooter>
  </headerFooter>
  <legacyDrawing r:id="rId1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Z106"/>
  <sheetViews>
    <sheetView topLeftCell="A14" zoomScale="81" zoomScaleNormal="81" workbookViewId="0">
      <pane xSplit="4" topLeftCell="AE1" activePane="topRight" state="frozen"/>
      <selection activeCell="A53" sqref="A53"/>
      <selection pane="topRight" activeCell="AG77" sqref="AG77"/>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customWidth="1"/>
    <col min="18" max="18" width="10.453125" customWidth="1"/>
    <col min="19" max="19" width="1.6328125" style="1" customWidth="1"/>
    <col min="20" max="20" width="22.36328125" customWidth="1"/>
    <col min="21" max="21" width="23.36328125" customWidth="1"/>
    <col min="22" max="22" width="21.453125" customWidth="1"/>
    <col min="23" max="23" width="6" style="1" customWidth="1"/>
    <col min="24" max="24" width="22.36328125" customWidth="1"/>
    <col min="25" max="25" width="23.36328125" customWidth="1"/>
    <col min="26" max="26" width="21.453125" customWidth="1"/>
    <col min="27" max="27" width="4.453125" style="1" customWidth="1"/>
    <col min="28" max="28" width="22.36328125" customWidth="1"/>
    <col min="29" max="29" width="23.36328125" customWidth="1"/>
    <col min="30" max="30" width="21.453125" customWidth="1"/>
    <col min="31" max="31" width="11" style="1" customWidth="1"/>
    <col min="32" max="33" width="21.6328125" customWidth="1"/>
    <col min="34" max="34" width="19.81640625" bestFit="1" customWidth="1"/>
    <col min="35" max="35" width="12.453125" bestFit="1" customWidth="1"/>
    <col min="36" max="36" width="1.6328125" style="1" customWidth="1"/>
    <col min="37" max="37" width="22.36328125" customWidth="1"/>
    <col min="38" max="38" width="23.36328125" customWidth="1"/>
    <col min="39" max="39" width="21.453125" customWidth="1"/>
    <col min="40" max="40" width="13.453125" customWidth="1"/>
    <col min="41" max="42" width="5.453125" customWidth="1"/>
    <col min="43" max="44" width="21.6328125" customWidth="1"/>
    <col min="45" max="45" width="19.81640625" bestFit="1" customWidth="1"/>
    <col min="46" max="46" width="12.453125" bestFit="1" customWidth="1"/>
    <col min="47" max="47" width="1.6328125" style="1" customWidth="1"/>
    <col min="48" max="48" width="22.36328125" customWidth="1"/>
    <col min="49" max="49" width="23.36328125" customWidth="1"/>
    <col min="50" max="50" width="21.453125" customWidth="1"/>
    <col min="51" max="51" width="13.453125" customWidth="1"/>
  </cols>
  <sheetData>
    <row r="1" spans="1:51" s="470" customFormat="1" ht="31" x14ac:dyDescent="0.7">
      <c r="B1" s="1"/>
      <c r="C1" s="1"/>
      <c r="F1" s="9118" t="s">
        <v>823</v>
      </c>
      <c r="G1" s="9119"/>
      <c r="H1" s="9119"/>
      <c r="I1" s="9119"/>
      <c r="J1" s="9119"/>
      <c r="K1" s="9119"/>
      <c r="L1" s="9119"/>
      <c r="M1" s="9120"/>
      <c r="N1" s="710"/>
      <c r="O1" s="9121" t="s">
        <v>824</v>
      </c>
      <c r="P1" s="9122"/>
      <c r="Q1" s="9122"/>
      <c r="R1" s="9122"/>
      <c r="S1" s="9122"/>
      <c r="T1" s="9122"/>
      <c r="U1" s="9122"/>
      <c r="V1" s="9123"/>
      <c r="W1" s="710"/>
      <c r="X1" s="9207" t="s">
        <v>825</v>
      </c>
      <c r="Y1" s="9208"/>
      <c r="Z1" s="9209"/>
      <c r="AA1" s="710"/>
      <c r="AB1" s="9118" t="s">
        <v>826</v>
      </c>
      <c r="AC1" s="9119"/>
      <c r="AD1" s="9120"/>
      <c r="AE1" s="710"/>
      <c r="AF1" s="9195" t="s">
        <v>827</v>
      </c>
      <c r="AG1" s="9196"/>
      <c r="AH1" s="9196"/>
      <c r="AI1" s="9196"/>
      <c r="AJ1" s="9196"/>
      <c r="AK1" s="9196"/>
      <c r="AL1" s="9196"/>
      <c r="AM1" s="9197"/>
      <c r="AN1" s="7682"/>
      <c r="AO1" s="1537"/>
      <c r="AP1" s="1537"/>
      <c r="AQ1" s="9210" t="s">
        <v>828</v>
      </c>
      <c r="AR1" s="9211"/>
      <c r="AS1" s="9211"/>
      <c r="AT1" s="9211"/>
      <c r="AU1" s="9211"/>
      <c r="AV1" s="9211"/>
      <c r="AW1" s="9211"/>
      <c r="AX1" s="9212"/>
      <c r="AY1" s="7682"/>
    </row>
    <row r="2" spans="1:51" ht="21" x14ac:dyDescent="0.5">
      <c r="B2" s="1" t="s">
        <v>829</v>
      </c>
      <c r="C2" s="4" t="s">
        <v>25</v>
      </c>
      <c r="H2"/>
    </row>
    <row r="4" spans="1:51" s="8" customFormat="1" ht="15.25" customHeight="1" x14ac:dyDescent="0.35">
      <c r="D4" s="471"/>
      <c r="F4" s="8326" t="s">
        <v>830</v>
      </c>
      <c r="H4" s="9130" t="s">
        <v>831</v>
      </c>
      <c r="I4" s="9131"/>
      <c r="J4" s="9132"/>
      <c r="L4" s="9130" t="s">
        <v>832</v>
      </c>
      <c r="M4" s="9132"/>
      <c r="O4" s="9198" t="s">
        <v>833</v>
      </c>
      <c r="P4" s="9199"/>
      <c r="Q4" s="9199"/>
      <c r="R4" s="9200"/>
      <c r="T4" s="9198" t="s">
        <v>834</v>
      </c>
      <c r="U4" s="9199"/>
      <c r="V4" s="9200"/>
      <c r="X4" s="9198" t="s">
        <v>834</v>
      </c>
      <c r="Y4" s="9199"/>
      <c r="Z4" s="9200"/>
      <c r="AB4" s="9198" t="s">
        <v>834</v>
      </c>
      <c r="AC4" s="9199"/>
      <c r="AD4" s="9200"/>
      <c r="AF4" s="9198" t="s">
        <v>833</v>
      </c>
      <c r="AG4" s="9199"/>
      <c r="AH4" s="9199"/>
      <c r="AI4" s="9200"/>
      <c r="AK4" s="9198" t="s">
        <v>834</v>
      </c>
      <c r="AL4" s="9199"/>
      <c r="AM4" s="9200"/>
      <c r="AN4" s="1007"/>
      <c r="AO4" s="9180" t="s">
        <v>404</v>
      </c>
      <c r="AQ4" s="9198" t="s">
        <v>833</v>
      </c>
      <c r="AR4" s="9199"/>
      <c r="AS4" s="9199"/>
      <c r="AT4" s="9200"/>
      <c r="AV4" s="9198" t="s">
        <v>834</v>
      </c>
      <c r="AW4" s="9199"/>
      <c r="AX4" s="9200"/>
      <c r="AY4" s="1007"/>
    </row>
    <row r="5" spans="1:51" x14ac:dyDescent="0.35">
      <c r="B5" s="1" t="s">
        <v>835</v>
      </c>
      <c r="C5" s="11">
        <v>2007</v>
      </c>
      <c r="F5" s="8324">
        <v>2011</v>
      </c>
      <c r="G5" s="12"/>
      <c r="H5" s="9138">
        <v>2014</v>
      </c>
      <c r="I5" s="9139"/>
      <c r="J5" s="9140"/>
      <c r="K5" s="12"/>
      <c r="L5" s="9138">
        <v>2015</v>
      </c>
      <c r="M5" s="9140"/>
      <c r="N5" s="12"/>
      <c r="O5" s="9201">
        <v>2015</v>
      </c>
      <c r="P5" s="9202"/>
      <c r="Q5" s="9202"/>
      <c r="R5" s="9203"/>
      <c r="S5" s="12"/>
      <c r="T5" s="9201">
        <v>2016</v>
      </c>
      <c r="U5" s="9202"/>
      <c r="V5" s="9203"/>
      <c r="X5" s="9201">
        <v>2017</v>
      </c>
      <c r="Y5" s="9202"/>
      <c r="Z5" s="9203"/>
      <c r="AB5" s="9201">
        <v>2018</v>
      </c>
      <c r="AC5" s="9202"/>
      <c r="AD5" s="9203"/>
      <c r="AF5" s="9201">
        <v>2018</v>
      </c>
      <c r="AG5" s="9202"/>
      <c r="AH5" s="9202"/>
      <c r="AI5" s="9203"/>
      <c r="AJ5" s="12"/>
      <c r="AK5" s="9201">
        <v>2019</v>
      </c>
      <c r="AL5" s="9202"/>
      <c r="AM5" s="9203"/>
      <c r="AN5" s="8319"/>
      <c r="AO5" s="9181"/>
      <c r="AQ5" s="9201">
        <v>2019</v>
      </c>
      <c r="AR5" s="9202"/>
      <c r="AS5" s="9202"/>
      <c r="AT5" s="9203"/>
      <c r="AU5" s="12"/>
      <c r="AV5" s="9201">
        <v>2020</v>
      </c>
      <c r="AW5" s="9202"/>
      <c r="AX5" s="9203"/>
      <c r="AY5" s="8319"/>
    </row>
    <row r="6" spans="1:51" x14ac:dyDescent="0.35">
      <c r="C6"/>
      <c r="F6" s="6"/>
      <c r="L6" s="14"/>
      <c r="AO6" s="6"/>
    </row>
    <row r="7" spans="1:51" ht="12.75" customHeight="1" x14ac:dyDescent="0.35">
      <c r="B7" s="1" t="s">
        <v>836</v>
      </c>
      <c r="C7" s="15" t="s">
        <v>837</v>
      </c>
      <c r="D7" s="5" t="s">
        <v>417</v>
      </c>
      <c r="F7" s="8322"/>
      <c r="H7" s="9173" t="s">
        <v>838</v>
      </c>
      <c r="I7" s="9173"/>
      <c r="J7" s="9147" t="s">
        <v>839</v>
      </c>
      <c r="L7" s="9173" t="s">
        <v>838</v>
      </c>
      <c r="M7" s="9173"/>
      <c r="O7" s="9204" t="s">
        <v>838</v>
      </c>
      <c r="P7" s="9205"/>
      <c r="Q7" s="9205"/>
      <c r="R7" s="9206"/>
      <c r="T7" s="9204" t="s">
        <v>838</v>
      </c>
      <c r="U7" s="9205"/>
      <c r="V7" s="9206"/>
      <c r="X7" s="9204" t="s">
        <v>838</v>
      </c>
      <c r="Y7" s="9205"/>
      <c r="Z7" s="9206"/>
      <c r="AB7" s="9204" t="s">
        <v>838</v>
      </c>
      <c r="AC7" s="9205"/>
      <c r="AD7" s="9206"/>
      <c r="AF7" s="9204" t="s">
        <v>838</v>
      </c>
      <c r="AG7" s="9205"/>
      <c r="AH7" s="9205"/>
      <c r="AI7" s="9206"/>
      <c r="AK7" s="9204" t="s">
        <v>838</v>
      </c>
      <c r="AL7" s="9205"/>
      <c r="AM7" s="9206"/>
      <c r="AN7" s="8320"/>
      <c r="AO7" s="18"/>
      <c r="AQ7" s="9204" t="s">
        <v>840</v>
      </c>
      <c r="AR7" s="9205"/>
      <c r="AS7" s="9205"/>
      <c r="AT7" s="9206"/>
      <c r="AV7" s="9204" t="s">
        <v>838</v>
      </c>
      <c r="AW7" s="9205"/>
      <c r="AX7" s="9206"/>
      <c r="AY7" s="8320"/>
    </row>
    <row r="8" spans="1:51" x14ac:dyDescent="0.35">
      <c r="B8" s="1" t="s">
        <v>841</v>
      </c>
      <c r="C8" s="19" t="s">
        <v>842</v>
      </c>
      <c r="F8" s="20" t="s">
        <v>843</v>
      </c>
      <c r="H8" s="21" t="s">
        <v>844</v>
      </c>
      <c r="I8" s="20" t="s">
        <v>843</v>
      </c>
      <c r="J8" s="9148"/>
      <c r="L8" s="21" t="s">
        <v>844</v>
      </c>
      <c r="M8" s="20" t="s">
        <v>843</v>
      </c>
      <c r="O8" s="6089" t="s">
        <v>424</v>
      </c>
      <c r="P8" s="6090" t="s">
        <v>845</v>
      </c>
      <c r="Q8" s="6090" t="s">
        <v>846</v>
      </c>
      <c r="R8" s="6091"/>
      <c r="T8" s="6089" t="s">
        <v>424</v>
      </c>
      <c r="U8" s="6090" t="s">
        <v>846</v>
      </c>
      <c r="V8" s="6091" t="s">
        <v>847</v>
      </c>
      <c r="X8" s="6089" t="s">
        <v>424</v>
      </c>
      <c r="Y8" s="6090" t="s">
        <v>846</v>
      </c>
      <c r="Z8" s="7957" t="s">
        <v>847</v>
      </c>
      <c r="AB8" s="6089" t="s">
        <v>424</v>
      </c>
      <c r="AC8" s="6090" t="s">
        <v>846</v>
      </c>
      <c r="AD8" s="6091" t="s">
        <v>847</v>
      </c>
      <c r="AF8" s="6089" t="s">
        <v>424</v>
      </c>
      <c r="AG8" s="6090" t="s">
        <v>845</v>
      </c>
      <c r="AH8" s="6090" t="s">
        <v>846</v>
      </c>
      <c r="AI8" s="6091"/>
      <c r="AK8" s="6089" t="s">
        <v>424</v>
      </c>
      <c r="AL8" s="6090" t="s">
        <v>846</v>
      </c>
      <c r="AM8" s="6091" t="s">
        <v>847</v>
      </c>
      <c r="AN8" s="6091" t="s">
        <v>848</v>
      </c>
      <c r="AO8" s="24"/>
      <c r="AQ8" s="6089" t="s">
        <v>424</v>
      </c>
      <c r="AR8" s="6090" t="s">
        <v>845</v>
      </c>
      <c r="AS8" s="6090" t="s">
        <v>846</v>
      </c>
      <c r="AT8" s="6091"/>
      <c r="AV8" s="6089" t="s">
        <v>424</v>
      </c>
      <c r="AW8" s="6090" t="s">
        <v>846</v>
      </c>
      <c r="AX8" s="6091" t="s">
        <v>847</v>
      </c>
      <c r="AY8" s="6091" t="s">
        <v>848</v>
      </c>
    </row>
    <row r="9" spans="1:51" x14ac:dyDescent="0.35">
      <c r="C9"/>
      <c r="E9"/>
      <c r="F9"/>
      <c r="G9"/>
      <c r="H9"/>
      <c r="I9"/>
      <c r="J9" s="25"/>
      <c r="K9"/>
      <c r="N9"/>
      <c r="S9"/>
      <c r="W9"/>
      <c r="AA9"/>
      <c r="AE9"/>
      <c r="AF9" s="652" t="s">
        <v>849</v>
      </c>
      <c r="AG9" s="652" t="s">
        <v>849</v>
      </c>
      <c r="AH9" t="s">
        <v>850</v>
      </c>
      <c r="AJ9"/>
      <c r="AK9" s="3671" t="s">
        <v>851</v>
      </c>
      <c r="AL9" s="6" t="s">
        <v>850</v>
      </c>
      <c r="AM9" s="3671" t="s">
        <v>851</v>
      </c>
      <c r="AN9" s="3671"/>
      <c r="AO9" t="s">
        <v>850</v>
      </c>
      <c r="AQ9" s="652" t="s">
        <v>852</v>
      </c>
      <c r="AR9" s="652" t="s">
        <v>853</v>
      </c>
      <c r="AS9" t="s">
        <v>850</v>
      </c>
      <c r="AU9"/>
      <c r="AV9" s="3671" t="s">
        <v>852</v>
      </c>
      <c r="AW9" s="6" t="s">
        <v>850</v>
      </c>
      <c r="AX9" s="3671" t="s">
        <v>853</v>
      </c>
      <c r="AY9" s="3671"/>
    </row>
    <row r="10" spans="1:51" ht="33.25" customHeight="1" x14ac:dyDescent="0.35">
      <c r="A10" s="9167" t="s">
        <v>854</v>
      </c>
      <c r="B10" s="27"/>
      <c r="C10" s="28" t="s">
        <v>427</v>
      </c>
      <c r="D10" s="29" t="s">
        <v>428</v>
      </c>
      <c r="E10" s="30"/>
      <c r="F10" s="31" t="s">
        <v>855</v>
      </c>
      <c r="G10"/>
      <c r="H10" s="31" t="s">
        <v>856</v>
      </c>
      <c r="I10" s="31" t="s">
        <v>855</v>
      </c>
      <c r="J10" s="32"/>
      <c r="K10" s="33"/>
      <c r="L10" s="31" t="s">
        <v>856</v>
      </c>
      <c r="M10" s="34" t="s">
        <v>857</v>
      </c>
      <c r="N10" s="33"/>
      <c r="O10" s="36" t="s">
        <v>858</v>
      </c>
      <c r="P10" s="36" t="s">
        <v>859</v>
      </c>
      <c r="Q10" s="3936"/>
      <c r="R10" s="5158" t="s">
        <v>860</v>
      </c>
      <c r="S10" s="33"/>
      <c r="T10" s="31" t="s">
        <v>858</v>
      </c>
      <c r="U10" s="34"/>
      <c r="V10" s="31"/>
      <c r="W10" s="33"/>
      <c r="X10" s="31" t="s">
        <v>861</v>
      </c>
      <c r="Y10" s="34" t="s">
        <v>862</v>
      </c>
      <c r="Z10" s="31"/>
      <c r="AA10" s="33"/>
      <c r="AB10" s="31" t="s">
        <v>863</v>
      </c>
      <c r="AC10" s="34"/>
      <c r="AD10" s="727" t="s">
        <v>864</v>
      </c>
      <c r="AE10" s="8341" t="s">
        <v>865</v>
      </c>
      <c r="AF10" s="36" t="s">
        <v>866</v>
      </c>
      <c r="AG10" s="36" t="s">
        <v>866</v>
      </c>
      <c r="AH10" s="1613"/>
      <c r="AI10" s="5158" t="s">
        <v>860</v>
      </c>
      <c r="AJ10" s="33"/>
      <c r="AK10" s="31" t="s">
        <v>867</v>
      </c>
      <c r="AL10" s="35"/>
      <c r="AM10" s="31" t="s">
        <v>867</v>
      </c>
      <c r="AN10" s="472"/>
      <c r="AO10" s="39"/>
      <c r="AQ10" s="36" t="s">
        <v>867</v>
      </c>
      <c r="AR10" s="36" t="s">
        <v>867</v>
      </c>
      <c r="AS10" s="5158" t="s">
        <v>868</v>
      </c>
      <c r="AT10" s="5158" t="s">
        <v>860</v>
      </c>
      <c r="AU10" s="33"/>
      <c r="AV10" s="31" t="s">
        <v>869</v>
      </c>
      <c r="AW10" s="35"/>
      <c r="AX10" s="31" t="s">
        <v>869</v>
      </c>
      <c r="AY10" s="472"/>
    </row>
    <row r="11" spans="1:51" ht="12.75" customHeight="1" x14ac:dyDescent="0.35">
      <c r="A11" s="9168"/>
      <c r="B11" s="40" t="s">
        <v>870</v>
      </c>
      <c r="C11" s="41"/>
      <c r="D11" s="42"/>
      <c r="E11" s="43"/>
      <c r="F11" s="44"/>
      <c r="G11"/>
      <c r="H11" s="45"/>
      <c r="I11" s="46"/>
      <c r="J11" s="47"/>
      <c r="K11" s="48"/>
      <c r="L11" s="45"/>
      <c r="M11" s="49"/>
      <c r="N11" s="48"/>
      <c r="O11" s="6155"/>
      <c r="P11" s="7871" t="s">
        <v>871</v>
      </c>
      <c r="R11" s="883"/>
      <c r="S11" s="48"/>
      <c r="T11" s="45"/>
      <c r="V11" s="6096"/>
      <c r="W11" s="50"/>
      <c r="X11" s="45"/>
      <c r="Z11" s="738"/>
      <c r="AA11" s="50"/>
      <c r="AB11" s="1776"/>
      <c r="AD11" s="738"/>
      <c r="AE11" s="50"/>
      <c r="AF11" s="6155"/>
      <c r="AG11" s="6156"/>
      <c r="AI11" s="883"/>
      <c r="AJ11" s="48"/>
      <c r="AK11" s="45"/>
      <c r="AL11" s="348"/>
      <c r="AM11" s="46"/>
      <c r="AN11" s="6096"/>
      <c r="AO11" s="18"/>
      <c r="AQ11" s="6155"/>
      <c r="AR11" s="6156"/>
      <c r="AT11" s="883"/>
      <c r="AU11" s="48"/>
      <c r="AV11" s="45"/>
      <c r="AW11" s="348"/>
      <c r="AX11" s="46"/>
      <c r="AY11" s="6096"/>
    </row>
    <row r="12" spans="1:51" x14ac:dyDescent="0.35">
      <c r="A12" s="9168"/>
      <c r="B12" s="58"/>
      <c r="C12" s="59" t="s">
        <v>872</v>
      </c>
      <c r="D12" s="60"/>
      <c r="F12" s="61">
        <v>605550000</v>
      </c>
      <c r="G12"/>
      <c r="H12" s="62">
        <f>876047000-H14</f>
        <v>859325000</v>
      </c>
      <c r="I12" s="63">
        <v>780760000</v>
      </c>
      <c r="J12" s="64">
        <f>IF(H12=0,0,I12/H12)</f>
        <v>0.90857358973613012</v>
      </c>
      <c r="K12" s="64"/>
      <c r="L12" s="62">
        <f>943805000-L14</f>
        <v>927052000</v>
      </c>
      <c r="M12" s="66">
        <f>L12*J12</f>
        <v>842294963.51205885</v>
      </c>
      <c r="N12" s="65"/>
      <c r="O12" s="62">
        <v>912115000</v>
      </c>
      <c r="P12" s="63">
        <f>444780000*2-P14</f>
        <v>853632000</v>
      </c>
      <c r="Q12" s="106"/>
      <c r="R12" s="64">
        <f>IF(O12=0,0,P12/O12)</f>
        <v>0.93588198856503835</v>
      </c>
      <c r="S12" s="65"/>
      <c r="T12" s="62">
        <v>950597000</v>
      </c>
      <c r="U12" s="106"/>
      <c r="V12" s="3356">
        <f>T12*R12</f>
        <v>889646610.68395972</v>
      </c>
      <c r="W12" s="67"/>
      <c r="X12" s="62"/>
      <c r="Y12" s="106"/>
      <c r="Z12" s="998">
        <f>X12*AE12</f>
        <v>0</v>
      </c>
      <c r="AA12" s="67"/>
      <c r="AB12" s="62">
        <v>1036809000</v>
      </c>
      <c r="AC12" s="106"/>
      <c r="AD12" s="998">
        <v>1469302000</v>
      </c>
      <c r="AE12" s="64">
        <f>IF(AB12=0,0,AD12/AB12)</f>
        <v>1.4171385472155431</v>
      </c>
      <c r="AF12" s="62">
        <f>870400000+166409000</f>
        <v>1036809000</v>
      </c>
      <c r="AG12" s="6156">
        <f>888892900+217167000</f>
        <v>1106059900</v>
      </c>
      <c r="AH12" s="106" t="s">
        <v>873</v>
      </c>
      <c r="AI12" s="64">
        <f>IF(AF12=0,0,AG12/AF12)</f>
        <v>1.066792340730067</v>
      </c>
      <c r="AJ12" s="65"/>
      <c r="AK12" s="71">
        <f>1054680000+5000000+55000000</f>
        <v>1114680000</v>
      </c>
      <c r="AL12" s="106" t="s">
        <v>874</v>
      </c>
      <c r="AM12" s="72">
        <f>1060994400+1883000+53277100</f>
        <v>1116154500</v>
      </c>
      <c r="AN12" s="3994">
        <f>AM12/AK12</f>
        <v>1.0013228011626656</v>
      </c>
      <c r="AO12" s="26"/>
      <c r="AQ12" s="62">
        <f>935600+179080+16000</f>
        <v>1130680</v>
      </c>
      <c r="AR12" s="6156">
        <f>921455.9+194698.6+7811.2</f>
        <v>1123965.7</v>
      </c>
      <c r="AS12" s="106" t="s">
        <v>875</v>
      </c>
      <c r="AT12" s="64">
        <f>IF(AQ12=0,0,AR12/AQ12)</f>
        <v>0.99406171507411467</v>
      </c>
      <c r="AU12" s="65"/>
      <c r="AV12" s="4969">
        <f>952600+3000+58269</f>
        <v>1013869</v>
      </c>
      <c r="AW12" s="3758" t="s">
        <v>876</v>
      </c>
      <c r="AX12" s="7737">
        <f>1104128+2500.2+57978</f>
        <v>1164606.2</v>
      </c>
      <c r="AY12" s="3994">
        <f>AX12/AV12</f>
        <v>1.1486752233276685</v>
      </c>
    </row>
    <row r="13" spans="1:51" x14ac:dyDescent="0.35">
      <c r="A13" s="9168"/>
      <c r="B13" s="58"/>
      <c r="C13" s="59" t="s">
        <v>877</v>
      </c>
      <c r="D13" s="60"/>
      <c r="F13" s="61"/>
      <c r="G13"/>
      <c r="H13" s="62"/>
      <c r="I13" s="63"/>
      <c r="J13" s="64"/>
      <c r="K13" s="65"/>
      <c r="L13" s="62"/>
      <c r="M13" s="66"/>
      <c r="N13" s="65"/>
      <c r="O13" s="62"/>
      <c r="P13" s="63"/>
      <c r="Q13" s="106"/>
      <c r="R13" s="64"/>
      <c r="S13" s="65"/>
      <c r="T13" s="62"/>
      <c r="U13" s="106"/>
      <c r="V13" s="3356"/>
      <c r="W13" s="67"/>
      <c r="X13" s="62"/>
      <c r="Y13" s="106"/>
      <c r="Z13" s="998">
        <f t="shared" ref="Z13:Z15" si="0">X13*AE13</f>
        <v>0</v>
      </c>
      <c r="AA13" s="67"/>
      <c r="AB13" s="62"/>
      <c r="AC13" s="106"/>
      <c r="AD13" s="998"/>
      <c r="AE13" s="64">
        <f t="shared" ref="AE13:AE76" si="1">IF(AB13=0,0,AD13/AB13)</f>
        <v>0</v>
      </c>
      <c r="AF13" s="62"/>
      <c r="AG13" s="6156"/>
      <c r="AH13" s="106"/>
      <c r="AI13" s="64"/>
      <c r="AJ13" s="65"/>
      <c r="AK13" s="71"/>
      <c r="AL13" s="106"/>
      <c r="AM13" s="72"/>
      <c r="AN13" s="3994"/>
      <c r="AO13" s="26"/>
      <c r="AQ13" s="62"/>
      <c r="AR13" s="6156"/>
      <c r="AS13" s="106"/>
      <c r="AT13" s="64"/>
      <c r="AU13" s="65"/>
      <c r="AV13" s="4969">
        <v>12000</v>
      </c>
      <c r="AW13" s="3758"/>
      <c r="AX13" s="7737">
        <v>7811.2</v>
      </c>
      <c r="AY13" s="3994"/>
    </row>
    <row r="14" spans="1:51" x14ac:dyDescent="0.35">
      <c r="A14" s="9168"/>
      <c r="B14" s="58"/>
      <c r="C14" s="59" t="s">
        <v>878</v>
      </c>
      <c r="D14" s="60"/>
      <c r="F14" s="61">
        <v>76820000</v>
      </c>
      <c r="G14"/>
      <c r="H14" s="62">
        <f>9600000+7122000</f>
        <v>16722000</v>
      </c>
      <c r="I14" s="63">
        <v>35860000</v>
      </c>
      <c r="J14" s="73">
        <f t="shared" ref="J14:J15" si="2">IF(H14=0,0,I14/H14)</f>
        <v>2.1444803253199378</v>
      </c>
      <c r="K14" s="65"/>
      <c r="L14" s="62">
        <f>(9000+7753)*1000</f>
        <v>16753000</v>
      </c>
      <c r="M14" s="66">
        <f t="shared" ref="M14:M15" si="3">L14*J14</f>
        <v>35926478.890084915</v>
      </c>
      <c r="N14" s="65"/>
      <c r="O14" s="62">
        <v>120928000</v>
      </c>
      <c r="P14" s="63">
        <f>(4512+13452)*2*1000</f>
        <v>35928000</v>
      </c>
      <c r="Q14" s="106"/>
      <c r="R14" s="73">
        <f>IF(O14=0,0,P14/O14)</f>
        <v>0.2971024080444562</v>
      </c>
      <c r="S14" s="65"/>
      <c r="T14" s="62">
        <v>87218000</v>
      </c>
      <c r="U14" s="106"/>
      <c r="V14" s="3356">
        <f>T14*R14</f>
        <v>25912677.824821383</v>
      </c>
      <c r="W14" s="67"/>
      <c r="X14" s="62"/>
      <c r="Y14" s="106"/>
      <c r="Z14" s="998">
        <f t="shared" si="0"/>
        <v>0</v>
      </c>
      <c r="AA14" s="67"/>
      <c r="AB14" s="62">
        <v>98800000</v>
      </c>
      <c r="AC14" s="106"/>
      <c r="AD14" s="998">
        <v>155780000</v>
      </c>
      <c r="AE14" s="64">
        <f t="shared" si="1"/>
        <v>1.5767206477732794</v>
      </c>
      <c r="AF14" s="62">
        <f>17300000+81500000</f>
        <v>98800000</v>
      </c>
      <c r="AG14" s="6156">
        <f>2858000+44704000</f>
        <v>47562000</v>
      </c>
      <c r="AH14" s="106" t="s">
        <v>879</v>
      </c>
      <c r="AI14" s="73">
        <f>IF(AF14=0,0,AG14/AF14)</f>
        <v>0.48139676113360325</v>
      </c>
      <c r="AJ14" s="65"/>
      <c r="AK14" s="71">
        <f>16000000+81222000</f>
        <v>97222000</v>
      </c>
      <c r="AL14" s="106" t="s">
        <v>880</v>
      </c>
      <c r="AM14" s="72">
        <f>7811200+97666400</f>
        <v>105477600</v>
      </c>
      <c r="AN14" s="3994">
        <f t="shared" ref="AN14:AN15" si="4">AM14/AK14</f>
        <v>1.0849149369484272</v>
      </c>
      <c r="AO14" s="26"/>
      <c r="AQ14" s="62">
        <v>97222</v>
      </c>
      <c r="AR14" s="6156">
        <v>105477.6</v>
      </c>
      <c r="AS14" s="106"/>
      <c r="AT14" s="73">
        <f>IF(AQ14=0,0,AR14/AQ14)</f>
        <v>1.0849149369484274</v>
      </c>
      <c r="AU14" s="65"/>
      <c r="AV14" s="4969">
        <v>220817</v>
      </c>
      <c r="AW14" s="5935" t="s">
        <v>881</v>
      </c>
      <c r="AX14" s="7737">
        <v>152212.9</v>
      </c>
      <c r="AY14" s="3994">
        <f t="shared" ref="AY14:AY15" si="5">AX14/AV14</f>
        <v>0.68931694570617297</v>
      </c>
    </row>
    <row r="15" spans="1:51" x14ac:dyDescent="0.35">
      <c r="A15" s="9168"/>
      <c r="B15" s="85"/>
      <c r="C15" s="86" t="s">
        <v>882</v>
      </c>
      <c r="D15" s="87"/>
      <c r="F15" s="88">
        <f>SUM(F12:F14)</f>
        <v>682370000</v>
      </c>
      <c r="G15"/>
      <c r="H15" s="89">
        <f>SUM(H12:H14)</f>
        <v>876047000</v>
      </c>
      <c r="I15" s="90">
        <f>SUM(I12:I14)</f>
        <v>816620000</v>
      </c>
      <c r="J15" s="91">
        <f t="shared" si="2"/>
        <v>0.93216459847473931</v>
      </c>
      <c r="K15" s="80"/>
      <c r="L15" s="89">
        <f>SUM(L12:L14)</f>
        <v>943805000</v>
      </c>
      <c r="M15" s="92">
        <f t="shared" si="3"/>
        <v>879781608.86345136</v>
      </c>
      <c r="N15" s="80"/>
      <c r="O15" s="78">
        <f>+O12+O14</f>
        <v>1033043000</v>
      </c>
      <c r="P15" s="79">
        <f>SUM(P12:P14)</f>
        <v>889560000</v>
      </c>
      <c r="Q15" s="106"/>
      <c r="R15" s="73">
        <f>IF(O15=0,0,P15/O15)</f>
        <v>0.86110645926645846</v>
      </c>
      <c r="S15" s="80"/>
      <c r="T15" s="89">
        <f>T12+T14</f>
        <v>1037815000</v>
      </c>
      <c r="U15" s="216"/>
      <c r="V15" s="5360">
        <f>SUM(V12:V14)</f>
        <v>915559288.50878108</v>
      </c>
      <c r="W15" s="67"/>
      <c r="X15" s="1776">
        <v>992524000</v>
      </c>
      <c r="Y15" s="216"/>
      <c r="Z15" s="998">
        <f t="shared" si="0"/>
        <v>1420324149.3929689</v>
      </c>
      <c r="AA15" s="67"/>
      <c r="AB15" s="1776">
        <f>+AB12+AB14</f>
        <v>1135609000</v>
      </c>
      <c r="AC15" s="216"/>
      <c r="AD15" s="4877">
        <f>AD12+AD14</f>
        <v>1625082000</v>
      </c>
      <c r="AE15" s="64">
        <f t="shared" si="1"/>
        <v>1.4310224734041381</v>
      </c>
      <c r="AF15" s="78">
        <f>AF12+AF14</f>
        <v>1135609000</v>
      </c>
      <c r="AG15" s="6156">
        <f>AG12+AG14</f>
        <v>1153621900</v>
      </c>
      <c r="AH15" s="106"/>
      <c r="AI15" s="73">
        <f>IF(AF15=0,0,AG15/AF15)</f>
        <v>1.0158618855609634</v>
      </c>
      <c r="AJ15" s="80"/>
      <c r="AK15" s="768">
        <f>AK12+AK14</f>
        <v>1211902000</v>
      </c>
      <c r="AL15" s="216"/>
      <c r="AM15" s="6157">
        <f>AM12+AM14</f>
        <v>1221632100</v>
      </c>
      <c r="AN15" s="7740">
        <f t="shared" si="4"/>
        <v>1.0080287845056779</v>
      </c>
      <c r="AO15" s="6158"/>
      <c r="AQ15" s="78">
        <f>AQ12+AQ14</f>
        <v>1227902</v>
      </c>
      <c r="AR15" s="6156">
        <f>AR12+AR14</f>
        <v>1229443.3</v>
      </c>
      <c r="AS15" s="106"/>
      <c r="AT15" s="73">
        <f>IF(AQ15=0,0,AR15/AQ15)</f>
        <v>1.001255230466275</v>
      </c>
      <c r="AU15" s="80"/>
      <c r="AV15" s="7738">
        <f>AV12+AV14</f>
        <v>1234686</v>
      </c>
      <c r="AW15" s="4981"/>
      <c r="AX15" s="7739">
        <f>AX12+AX14</f>
        <v>1316819.0999999999</v>
      </c>
      <c r="AY15" s="7740">
        <f t="shared" si="5"/>
        <v>1.0665214475583265</v>
      </c>
    </row>
    <row r="16" spans="1:51" x14ac:dyDescent="0.35">
      <c r="A16" s="9168"/>
      <c r="B16" s="100" t="s">
        <v>883</v>
      </c>
      <c r="C16" s="49"/>
      <c r="D16" s="42"/>
      <c r="E16" s="43"/>
      <c r="F16" s="101"/>
      <c r="G16"/>
      <c r="H16" s="102"/>
      <c r="I16" s="103"/>
      <c r="J16" s="104"/>
      <c r="K16" s="43"/>
      <c r="L16" s="102"/>
      <c r="M16" s="105"/>
      <c r="N16" s="43"/>
      <c r="O16" s="102"/>
      <c r="P16" s="231" t="s">
        <v>884</v>
      </c>
      <c r="Q16" s="103"/>
      <c r="R16" s="104"/>
      <c r="S16" s="43"/>
      <c r="T16" s="245"/>
      <c r="U16" s="106"/>
      <c r="V16" s="106"/>
      <c r="W16" s="43"/>
      <c r="X16" s="3008"/>
      <c r="Y16" s="103"/>
      <c r="Z16" s="105"/>
      <c r="AA16" s="43"/>
      <c r="AB16" s="3008"/>
      <c r="AC16" s="103"/>
      <c r="AD16" s="105"/>
      <c r="AE16" s="64"/>
      <c r="AF16" s="102"/>
      <c r="AG16" s="231"/>
      <c r="AH16" s="103"/>
      <c r="AI16" s="104"/>
      <c r="AJ16" s="43"/>
      <c r="AK16" s="102"/>
      <c r="AL16" s="103"/>
      <c r="AM16" s="103"/>
      <c r="AN16" s="105"/>
      <c r="AO16" s="18"/>
      <c r="AQ16" s="102"/>
      <c r="AR16" s="231"/>
      <c r="AS16" s="103"/>
      <c r="AT16" s="104"/>
      <c r="AU16" s="43"/>
      <c r="AV16" s="102"/>
      <c r="AW16" s="103"/>
      <c r="AX16" s="103"/>
      <c r="AY16" s="105"/>
    </row>
    <row r="17" spans="1:52" x14ac:dyDescent="0.35">
      <c r="A17" s="9168"/>
      <c r="B17" s="6082"/>
      <c r="C17" s="110" t="s">
        <v>885</v>
      </c>
      <c r="D17" s="60"/>
      <c r="F17" s="113">
        <f>F24-F18-F23</f>
        <v>500700000</v>
      </c>
      <c r="G17"/>
      <c r="H17" s="112">
        <f>621170000-H23</f>
        <v>597420000</v>
      </c>
      <c r="I17" s="113">
        <f>I24-I18-I23</f>
        <v>621670000</v>
      </c>
      <c r="J17" s="64">
        <f t="shared" ref="J17:J24" si="6">IF(H17=0,0,I17/H17)</f>
        <v>1.0405912088647853</v>
      </c>
      <c r="L17" s="112">
        <f>(695558-44878)*1000</f>
        <v>650680000</v>
      </c>
      <c r="M17" s="66">
        <f t="shared" ref="M17:M24" si="7">L17*J17</f>
        <v>677091887.78413844</v>
      </c>
      <c r="O17" s="112">
        <f>695588000-44878000</f>
        <v>650710000</v>
      </c>
      <c r="P17" s="113">
        <f>(343.4+75+249.5+141.1)*1000000</f>
        <v>809000000</v>
      </c>
      <c r="Q17" s="106"/>
      <c r="R17" s="64">
        <f>IF(O17=0,0,P17/O17)</f>
        <v>1.243257365032042</v>
      </c>
      <c r="T17" s="112">
        <f>765474000-64265000</f>
        <v>701209000</v>
      </c>
      <c r="U17" s="106"/>
      <c r="V17" s="7872">
        <f>T17</f>
        <v>701209000</v>
      </c>
      <c r="X17" s="3164">
        <v>789769000</v>
      </c>
      <c r="Y17" s="106"/>
      <c r="Z17" s="5321">
        <f>X17*AE17</f>
        <v>646674521.77474213</v>
      </c>
      <c r="AB17" s="3164">
        <v>773318000</v>
      </c>
      <c r="AC17" s="106"/>
      <c r="AD17" s="5321">
        <f>316602.1*2*1000</f>
        <v>633204200</v>
      </c>
      <c r="AE17" s="64">
        <f t="shared" si="1"/>
        <v>0.81881476960319044</v>
      </c>
      <c r="AF17" s="112">
        <f>800035000-AF23</f>
        <v>667135000</v>
      </c>
      <c r="AG17" s="113">
        <f>751707100-AG23</f>
        <v>623209900</v>
      </c>
      <c r="AH17" s="253" t="s">
        <v>886</v>
      </c>
      <c r="AI17" s="64">
        <f t="shared" ref="AI17:AI24" si="8">IF(AF17=0,0,AG17/AF17)</f>
        <v>0.93415860358098435</v>
      </c>
      <c r="AK17" s="248">
        <f>824489000-AK23</f>
        <v>670589000</v>
      </c>
      <c r="AL17" s="106" t="s">
        <v>887</v>
      </c>
      <c r="AM17" s="204">
        <f>775568400-AM23</f>
        <v>636195700</v>
      </c>
      <c r="AN17" s="3994">
        <f t="shared" ref="AN17:AN21" si="9">IF(AK17=0,"**",AM17/AK17)</f>
        <v>0.94871180410057432</v>
      </c>
      <c r="AO17" s="6098" t="s">
        <v>888</v>
      </c>
      <c r="AQ17" s="242">
        <f>824489-AQ23</f>
        <v>670589</v>
      </c>
      <c r="AR17" s="113">
        <f>775568.5-AR23</f>
        <v>636195.80000000005</v>
      </c>
      <c r="AS17" s="253" t="s">
        <v>889</v>
      </c>
      <c r="AT17" s="3025">
        <f t="shared" ref="AT17:AT24" si="10">IF(AQ17=0,0,AR17/AQ17)</f>
        <v>0.94871195322321134</v>
      </c>
      <c r="AU17" s="274"/>
      <c r="AV17" s="3754">
        <f>1036224-AV23</f>
        <v>846924</v>
      </c>
      <c r="AW17" s="3758" t="s">
        <v>890</v>
      </c>
      <c r="AX17" s="7741">
        <f>934149.3-AX23</f>
        <v>757866.4</v>
      </c>
      <c r="AY17" s="3994">
        <f t="shared" ref="AY17" si="11">IF(AV17=0,"**",AX17/AV17)</f>
        <v>0.89484581851500256</v>
      </c>
    </row>
    <row r="18" spans="1:52" x14ac:dyDescent="0.35">
      <c r="A18" s="9168"/>
      <c r="B18" s="7873"/>
      <c r="C18" s="7874" t="s">
        <v>891</v>
      </c>
      <c r="D18" s="60"/>
      <c r="F18" s="111">
        <v>215520000</v>
      </c>
      <c r="G18"/>
      <c r="H18" s="112">
        <v>297800000</v>
      </c>
      <c r="I18" s="113">
        <v>263050000</v>
      </c>
      <c r="J18" s="3165">
        <f t="shared" si="6"/>
        <v>0.88331094694425794</v>
      </c>
      <c r="K18" s="374"/>
      <c r="L18" s="112">
        <v>408849000</v>
      </c>
      <c r="M18" s="66"/>
      <c r="N18" s="374"/>
      <c r="O18" s="112">
        <v>405619000</v>
      </c>
      <c r="P18" s="113">
        <v>216600000</v>
      </c>
      <c r="Q18" s="106"/>
      <c r="R18" s="3165">
        <f>IF(O18=0,0,(P18+P21)/O18)</f>
        <v>0.9291971036859713</v>
      </c>
      <c r="S18" s="374"/>
      <c r="T18" s="112">
        <v>341929000</v>
      </c>
      <c r="U18" s="106"/>
      <c r="V18" s="3356">
        <f>T18*R18</f>
        <v>317719436.46624047</v>
      </c>
      <c r="X18" s="3164">
        <v>789317000</v>
      </c>
      <c r="Y18" s="106"/>
      <c r="Z18" s="5321">
        <f t="shared" ref="Z18:Z23" si="12">X18*AE18</f>
        <v>726081991.51849639</v>
      </c>
      <c r="AB18" s="3164">
        <v>500100000</v>
      </c>
      <c r="AC18" s="106"/>
      <c r="AD18" s="5321">
        <f>230017.6*1000*2</f>
        <v>460035200</v>
      </c>
      <c r="AE18" s="64">
        <f t="shared" si="1"/>
        <v>0.91988642271545695</v>
      </c>
      <c r="AF18" s="112">
        <f>499031000</f>
        <v>499031000</v>
      </c>
      <c r="AG18" s="113">
        <f>466212200</f>
        <v>466212200</v>
      </c>
      <c r="AH18" s="253" t="s">
        <v>887</v>
      </c>
      <c r="AI18" s="3165">
        <f t="shared" si="8"/>
        <v>0.93423494732792156</v>
      </c>
      <c r="AJ18" s="374"/>
      <c r="AK18" s="248">
        <v>439800000</v>
      </c>
      <c r="AL18" s="106" t="s">
        <v>892</v>
      </c>
      <c r="AM18" s="204">
        <v>349947500</v>
      </c>
      <c r="AN18" s="3994">
        <f t="shared" si="9"/>
        <v>0.79569690768531154</v>
      </c>
      <c r="AO18" s="6098" t="s">
        <v>888</v>
      </c>
      <c r="AQ18" s="242"/>
      <c r="AR18" s="113"/>
      <c r="AS18" s="253"/>
      <c r="AT18" s="3025"/>
      <c r="AU18" s="274"/>
      <c r="AV18" s="3754"/>
      <c r="AW18" s="3758"/>
      <c r="AX18" s="7741"/>
      <c r="AY18" s="3994">
        <f>IF(AV19=0,"**",AX19/AV19)</f>
        <v>1.1340130389116425</v>
      </c>
      <c r="AZ18" t="s">
        <v>893</v>
      </c>
    </row>
    <row r="19" spans="1:52" x14ac:dyDescent="0.35">
      <c r="A19" s="9168"/>
      <c r="B19" s="7873"/>
      <c r="C19" s="7874" t="s">
        <v>894</v>
      </c>
      <c r="D19" s="60"/>
      <c r="F19" s="122"/>
      <c r="G19"/>
      <c r="H19" s="114"/>
      <c r="I19" s="123"/>
      <c r="J19" s="64"/>
      <c r="L19" s="114"/>
      <c r="M19" s="66"/>
      <c r="O19" s="114"/>
      <c r="P19" s="123"/>
      <c r="Q19" s="106"/>
      <c r="R19" s="64"/>
      <c r="T19" s="114"/>
      <c r="U19" s="106"/>
      <c r="V19" s="3356"/>
      <c r="X19" s="5361"/>
      <c r="Y19" s="106"/>
      <c r="Z19" s="5321">
        <f t="shared" si="12"/>
        <v>0</v>
      </c>
      <c r="AB19" s="5361"/>
      <c r="AC19" s="106"/>
      <c r="AD19" s="5362"/>
      <c r="AE19" s="64">
        <f t="shared" si="1"/>
        <v>0</v>
      </c>
      <c r="AF19" s="114"/>
      <c r="AG19" s="123"/>
      <c r="AH19" s="253"/>
      <c r="AI19" s="3165"/>
      <c r="AK19" s="198"/>
      <c r="AL19" s="106"/>
      <c r="AM19" s="204"/>
      <c r="AN19" s="3994"/>
      <c r="AO19" s="6098"/>
      <c r="AQ19" s="242">
        <v>208800</v>
      </c>
      <c r="AR19" s="113">
        <v>234575.4</v>
      </c>
      <c r="AS19" s="253" t="s">
        <v>895</v>
      </c>
      <c r="AT19" s="3025">
        <f>IF(AQ19=0,0,AR19/AQ19)</f>
        <v>1.1234454022988505</v>
      </c>
      <c r="AU19" s="274"/>
      <c r="AV19" s="3754">
        <v>321806</v>
      </c>
      <c r="AW19" s="3758" t="s">
        <v>896</v>
      </c>
      <c r="AX19" s="7741">
        <v>364932.2</v>
      </c>
      <c r="AY19" s="3994"/>
    </row>
    <row r="20" spans="1:52" x14ac:dyDescent="0.35">
      <c r="A20" s="9168"/>
      <c r="B20" s="7873"/>
      <c r="C20" s="7874" t="s">
        <v>897</v>
      </c>
      <c r="D20" s="60"/>
      <c r="F20" s="122"/>
      <c r="G20"/>
      <c r="H20" s="114"/>
      <c r="I20" s="123"/>
      <c r="J20" s="64"/>
      <c r="L20" s="114"/>
      <c r="M20" s="66"/>
      <c r="O20" s="114"/>
      <c r="P20" s="123"/>
      <c r="Q20" s="106"/>
      <c r="R20" s="64"/>
      <c r="T20" s="114"/>
      <c r="U20" s="106"/>
      <c r="V20" s="3356"/>
      <c r="X20" s="5361"/>
      <c r="Y20" s="106"/>
      <c r="Z20" s="5321">
        <f t="shared" si="12"/>
        <v>0</v>
      </c>
      <c r="AB20" s="5361"/>
      <c r="AC20" s="106"/>
      <c r="AD20" s="5362"/>
      <c r="AE20" s="64">
        <f t="shared" si="1"/>
        <v>0</v>
      </c>
      <c r="AF20" s="114"/>
      <c r="AG20" s="123"/>
      <c r="AH20" s="253"/>
      <c r="AI20" s="3165"/>
      <c r="AK20" s="198"/>
      <c r="AL20" s="106"/>
      <c r="AM20" s="204"/>
      <c r="AN20" s="3994"/>
      <c r="AO20" s="6098"/>
      <c r="AQ20" s="242">
        <v>231000</v>
      </c>
      <c r="AR20" s="113">
        <v>115372.1</v>
      </c>
      <c r="AS20" s="253" t="s">
        <v>895</v>
      </c>
      <c r="AT20" s="3025">
        <f>IF(AQ20=0,0,AR20/AQ20)</f>
        <v>0.49944632034632036</v>
      </c>
      <c r="AU20" s="274"/>
      <c r="AV20" s="3754">
        <v>234959</v>
      </c>
      <c r="AW20" s="3758" t="s">
        <v>896</v>
      </c>
      <c r="AX20" s="7741">
        <v>266012.90000000002</v>
      </c>
      <c r="AY20" s="3994"/>
    </row>
    <row r="21" spans="1:52" x14ac:dyDescent="0.35">
      <c r="A21" s="9168"/>
      <c r="B21" s="7873"/>
      <c r="C21" s="7874" t="s">
        <v>898</v>
      </c>
      <c r="D21" s="60"/>
      <c r="F21" s="122"/>
      <c r="G21"/>
      <c r="H21" s="114"/>
      <c r="I21" s="123"/>
      <c r="J21" s="64"/>
      <c r="L21" s="114"/>
      <c r="M21" s="66"/>
      <c r="O21" s="114"/>
      <c r="P21" s="123">
        <v>160300000</v>
      </c>
      <c r="Q21" s="106"/>
      <c r="R21" s="64"/>
      <c r="T21" s="114"/>
      <c r="U21" s="106"/>
      <c r="V21" s="3356"/>
      <c r="X21" s="5361"/>
      <c r="Y21" s="106"/>
      <c r="Z21" s="5321">
        <f t="shared" si="12"/>
        <v>0</v>
      </c>
      <c r="AB21" s="5361"/>
      <c r="AC21" s="106"/>
      <c r="AD21" s="5362"/>
      <c r="AE21" s="64">
        <f t="shared" si="1"/>
        <v>0</v>
      </c>
      <c r="AF21" s="114">
        <v>27202000</v>
      </c>
      <c r="AG21" s="123">
        <v>12726500</v>
      </c>
      <c r="AH21" s="253" t="s">
        <v>899</v>
      </c>
      <c r="AI21" s="3165">
        <f t="shared" si="8"/>
        <v>0.4678516285567238</v>
      </c>
      <c r="AK21" s="198">
        <v>23302000</v>
      </c>
      <c r="AL21" s="106" t="s">
        <v>900</v>
      </c>
      <c r="AM21" s="204">
        <v>7089410</v>
      </c>
      <c r="AN21" s="3994">
        <f t="shared" si="9"/>
        <v>0.30424040854862244</v>
      </c>
      <c r="AO21" s="6098" t="s">
        <v>888</v>
      </c>
      <c r="AQ21" s="242">
        <v>23302</v>
      </c>
      <c r="AR21" s="113">
        <v>7089.4</v>
      </c>
      <c r="AS21" s="253" t="s">
        <v>895</v>
      </c>
      <c r="AT21" s="3025">
        <f>IF(AQ21=0,0,AR21/AQ21)</f>
        <v>0.3042399794009098</v>
      </c>
      <c r="AU21" s="274"/>
      <c r="AV21" s="3754">
        <v>16500</v>
      </c>
      <c r="AW21" s="3758" t="s">
        <v>896</v>
      </c>
      <c r="AX21" s="7741">
        <v>5322.9</v>
      </c>
      <c r="AY21" s="3994">
        <f>IF(AV20=0,"**",AX20/AV20)</f>
        <v>1.1321673142973883</v>
      </c>
    </row>
    <row r="22" spans="1:52" x14ac:dyDescent="0.35">
      <c r="A22" s="9168"/>
      <c r="B22" s="7873"/>
      <c r="C22" s="7874" t="s">
        <v>901</v>
      </c>
      <c r="D22" s="60"/>
      <c r="F22" s="122"/>
      <c r="G22"/>
      <c r="H22" s="114"/>
      <c r="I22" s="123"/>
      <c r="J22" s="64"/>
      <c r="L22" s="114"/>
      <c r="M22" s="66"/>
      <c r="O22" s="114"/>
      <c r="P22" s="123">
        <v>36300000</v>
      </c>
      <c r="Q22" s="106"/>
      <c r="R22" s="64"/>
      <c r="T22" s="114"/>
      <c r="U22" s="106"/>
      <c r="V22" s="3356"/>
      <c r="X22" s="5361"/>
      <c r="Y22" s="106"/>
      <c r="Z22" s="5321">
        <f t="shared" si="12"/>
        <v>0</v>
      </c>
      <c r="AB22" s="5361"/>
      <c r="AC22" s="106"/>
      <c r="AD22" s="5362"/>
      <c r="AE22" s="64">
        <f t="shared" si="1"/>
        <v>0</v>
      </c>
      <c r="AF22" s="6159">
        <v>1300000</v>
      </c>
      <c r="AG22" s="6160">
        <v>2546800</v>
      </c>
      <c r="AH22" s="253" t="s">
        <v>899</v>
      </c>
      <c r="AI22" s="3165">
        <f t="shared" si="8"/>
        <v>1.9590769230769232</v>
      </c>
      <c r="AK22" s="198">
        <v>0</v>
      </c>
      <c r="AL22" s="106" t="s">
        <v>900</v>
      </c>
      <c r="AM22" s="204">
        <v>1068960</v>
      </c>
      <c r="AN22" s="3994" t="str">
        <f>IF(AK22=0,"**",AM22/AK22)</f>
        <v>**</v>
      </c>
      <c r="AO22" s="6098"/>
      <c r="AQ22" s="242"/>
      <c r="AR22" s="113"/>
      <c r="AS22" s="253"/>
      <c r="AT22" s="3025"/>
      <c r="AU22" s="274"/>
      <c r="AV22" s="3754"/>
      <c r="AW22" s="3758"/>
      <c r="AX22" s="7741"/>
      <c r="AY22" s="3994">
        <f>IF(AV21=0,"**",AX21/AV21)</f>
        <v>0.3226</v>
      </c>
    </row>
    <row r="23" spans="1:52" x14ac:dyDescent="0.35">
      <c r="A23" s="9168"/>
      <c r="B23" s="7873"/>
      <c r="C23" s="7874" t="s">
        <v>902</v>
      </c>
      <c r="D23" s="60"/>
      <c r="F23" s="163">
        <f>(1497+1254)*10000</f>
        <v>27510000</v>
      </c>
      <c r="G23" s="1569"/>
      <c r="H23" s="242">
        <v>23750000</v>
      </c>
      <c r="I23" s="243">
        <f>(1832+1351)*10000</f>
        <v>31830000</v>
      </c>
      <c r="J23" s="3025">
        <f t="shared" si="6"/>
        <v>1.3402105263157895</v>
      </c>
      <c r="K23" s="274"/>
      <c r="L23" s="242">
        <f>44878*1000</f>
        <v>44878000</v>
      </c>
      <c r="M23" s="66">
        <f t="shared" si="7"/>
        <v>60145968</v>
      </c>
      <c r="N23" s="274"/>
      <c r="O23" s="242">
        <v>44878000</v>
      </c>
      <c r="P23" s="243">
        <v>20200000</v>
      </c>
      <c r="Q23" s="106"/>
      <c r="R23" s="3025">
        <f>IF(O23=0,0,P23/O23)</f>
        <v>0.45010918490128793</v>
      </c>
      <c r="S23" s="274"/>
      <c r="T23" s="242">
        <v>64265000</v>
      </c>
      <c r="U23" s="106"/>
      <c r="V23" s="3356">
        <f>T23*R23</f>
        <v>28926266.767681267</v>
      </c>
      <c r="X23" s="3166">
        <v>103700000</v>
      </c>
      <c r="Y23" s="106"/>
      <c r="Z23" s="5321">
        <f t="shared" si="12"/>
        <v>89672799.849510908</v>
      </c>
      <c r="AB23" s="3166">
        <v>132900000</v>
      </c>
      <c r="AC23" s="106"/>
      <c r="AD23" s="5325">
        <f>57461.5*2*1000</f>
        <v>114923000</v>
      </c>
      <c r="AE23" s="64">
        <f t="shared" si="1"/>
        <v>0.86473288186606467</v>
      </c>
      <c r="AF23" s="242">
        <v>132900000</v>
      </c>
      <c r="AG23" s="243">
        <v>128497200</v>
      </c>
      <c r="AH23" s="253" t="s">
        <v>886</v>
      </c>
      <c r="AI23" s="3025">
        <f t="shared" si="8"/>
        <v>0.96687133182844243</v>
      </c>
      <c r="AJ23" s="274"/>
      <c r="AK23" s="164">
        <v>153900000</v>
      </c>
      <c r="AL23" s="106" t="s">
        <v>887</v>
      </c>
      <c r="AM23" s="204">
        <v>139372700</v>
      </c>
      <c r="AN23" s="3994">
        <f t="shared" ref="AN23:AN29" si="13">IF(AK23=0,"**",AM23/AK23)</f>
        <v>0.90560558804418456</v>
      </c>
      <c r="AO23" s="6098" t="s">
        <v>888</v>
      </c>
      <c r="AQ23" s="242">
        <v>153900</v>
      </c>
      <c r="AR23" s="113">
        <v>139372.70000000001</v>
      </c>
      <c r="AS23" s="253" t="s">
        <v>889</v>
      </c>
      <c r="AT23" s="3025">
        <f t="shared" si="10"/>
        <v>0.90560558804418456</v>
      </c>
      <c r="AU23" s="274"/>
      <c r="AV23" s="3754">
        <v>189300</v>
      </c>
      <c r="AW23" s="3758" t="s">
        <v>890</v>
      </c>
      <c r="AX23" s="7741">
        <v>176282.9</v>
      </c>
      <c r="AY23" s="3994">
        <f t="shared" ref="AY23:AY24" si="14">IF(AV23=0,"**",AX23/AV23)</f>
        <v>0.93123560486001056</v>
      </c>
    </row>
    <row r="24" spans="1:52" x14ac:dyDescent="0.35">
      <c r="A24" s="9168"/>
      <c r="B24" s="128"/>
      <c r="C24" s="129" t="s">
        <v>903</v>
      </c>
      <c r="D24" s="87"/>
      <c r="F24" s="130">
        <v>743730000</v>
      </c>
      <c r="G24" s="235"/>
      <c r="H24" s="131">
        <f>SUM(H17:H23)</f>
        <v>918970000</v>
      </c>
      <c r="I24" s="132">
        <v>916550000</v>
      </c>
      <c r="J24" s="133">
        <f t="shared" si="6"/>
        <v>0.99736661697335061</v>
      </c>
      <c r="L24" s="131">
        <f>SUM(L17:L23)</f>
        <v>1104407000</v>
      </c>
      <c r="M24" s="92">
        <f t="shared" si="7"/>
        <v>1101498673.3516872</v>
      </c>
      <c r="O24" s="131">
        <f>+O17+O18+O23</f>
        <v>1101207000</v>
      </c>
      <c r="P24" s="132">
        <f>SUM(P17:P23)</f>
        <v>1242400000</v>
      </c>
      <c r="Q24" s="216"/>
      <c r="R24" s="133">
        <f>IF(O24=0,0,P24/O24)</f>
        <v>1.128216584166283</v>
      </c>
      <c r="T24" s="242">
        <f>+T17+T18+T23</f>
        <v>1107403000</v>
      </c>
      <c r="U24" s="106"/>
      <c r="V24" s="3085">
        <f>SUM(V17:V23)</f>
        <v>1047854703.2339216</v>
      </c>
      <c r="X24" s="1781">
        <f>+X17+X18+X23</f>
        <v>1682786000</v>
      </c>
      <c r="Y24" s="216"/>
      <c r="Z24" s="1784">
        <f>SUM(Z17:Z23)</f>
        <v>1462429313.1427495</v>
      </c>
      <c r="AB24" s="1781">
        <f>AB17+AB18+AB23</f>
        <v>1406318000</v>
      </c>
      <c r="AC24" s="216"/>
      <c r="AD24" s="1784">
        <f>SUM(AD17:AD23)</f>
        <v>1208162400</v>
      </c>
      <c r="AE24" s="64">
        <f t="shared" si="1"/>
        <v>0.85909616459435201</v>
      </c>
      <c r="AF24" s="131">
        <f>AF17+AF18+AF23+AF21</f>
        <v>1326268000</v>
      </c>
      <c r="AG24" s="132">
        <f>AG17+AG18+AG23+AG21</f>
        <v>1230645800</v>
      </c>
      <c r="AH24" s="265"/>
      <c r="AI24" s="133">
        <f t="shared" si="8"/>
        <v>0.92790129898331253</v>
      </c>
      <c r="AK24" s="214">
        <f>AK17+AK18+AK23+AK21</f>
        <v>1287591000</v>
      </c>
      <c r="AL24" s="216"/>
      <c r="AM24" s="135">
        <f>AM17+AM18+AM23+AM21</f>
        <v>1132605310</v>
      </c>
      <c r="AN24" s="7744">
        <f t="shared" si="13"/>
        <v>0.87963127266344665</v>
      </c>
      <c r="AO24" s="6100"/>
      <c r="AQ24" s="131">
        <f>AQ17+AQ19+AQ23+AQ20</f>
        <v>1264289</v>
      </c>
      <c r="AR24" s="132">
        <f>AR17+AR19+AR23+AR20</f>
        <v>1125516.0000000002</v>
      </c>
      <c r="AS24" s="265"/>
      <c r="AT24" s="133">
        <f t="shared" si="10"/>
        <v>0.89023633045925432</v>
      </c>
      <c r="AV24" s="7742">
        <f>AV17+AV19+AV23+AV20</f>
        <v>1592989</v>
      </c>
      <c r="AW24" s="4981"/>
      <c r="AX24" s="7743">
        <f>AX17+AX19+AX23+AX20</f>
        <v>1565094.4</v>
      </c>
      <c r="AY24" s="7744">
        <f t="shared" si="14"/>
        <v>0.98248914462058423</v>
      </c>
    </row>
    <row r="25" spans="1:52" x14ac:dyDescent="0.35">
      <c r="A25" s="9168"/>
      <c r="B25" s="139" t="s">
        <v>904</v>
      </c>
      <c r="C25" s="49"/>
      <c r="D25" s="140"/>
      <c r="E25" s="141"/>
      <c r="F25" s="1578"/>
      <c r="G25" s="1579"/>
      <c r="H25" s="1580"/>
      <c r="I25" s="150"/>
      <c r="J25" s="146"/>
      <c r="K25" s="141"/>
      <c r="L25" s="1580"/>
      <c r="M25" s="148"/>
      <c r="N25" s="141"/>
      <c r="O25" s="6101"/>
      <c r="P25" s="5329"/>
      <c r="Q25" s="312"/>
      <c r="R25" s="5363"/>
      <c r="S25" s="141"/>
      <c r="T25" s="1580"/>
      <c r="U25" s="152"/>
      <c r="V25" s="5219"/>
      <c r="W25" s="141"/>
      <c r="X25" s="1580"/>
      <c r="Y25" s="152"/>
      <c r="Z25" s="5219"/>
      <c r="AA25" s="141"/>
      <c r="AB25" s="1580"/>
      <c r="AC25" s="152"/>
      <c r="AD25" s="5219"/>
      <c r="AE25" s="64"/>
      <c r="AF25" s="6101"/>
      <c r="AG25" s="5329"/>
      <c r="AH25" s="312"/>
      <c r="AI25" s="5363"/>
      <c r="AJ25" s="141"/>
      <c r="AK25" s="1580"/>
      <c r="AL25" s="152"/>
      <c r="AM25" s="150"/>
      <c r="AN25" s="5219"/>
      <c r="AO25" s="18"/>
      <c r="AQ25" s="6101"/>
      <c r="AR25" s="5329"/>
      <c r="AS25" s="312"/>
      <c r="AT25" s="5363"/>
      <c r="AU25" s="141"/>
      <c r="AV25" s="1580"/>
      <c r="AW25" s="152"/>
      <c r="AX25" s="150"/>
      <c r="AY25" s="5219"/>
    </row>
    <row r="26" spans="1:52" x14ac:dyDescent="0.35">
      <c r="A26" s="9168"/>
      <c r="B26" s="6082"/>
      <c r="C26" s="110" t="s">
        <v>905</v>
      </c>
      <c r="D26" s="60"/>
      <c r="F26" s="155">
        <v>253160000</v>
      </c>
      <c r="G26" s="235"/>
      <c r="H26" s="156">
        <f>326794*1000</f>
        <v>326794000</v>
      </c>
      <c r="I26" s="115">
        <v>317390000</v>
      </c>
      <c r="J26" s="64">
        <f t="shared" ref="J26:J29" si="15">IF(H26=0,0,I26/H26)</f>
        <v>0.97122346187506503</v>
      </c>
      <c r="L26" s="156">
        <f>326794*1000</f>
        <v>326794000</v>
      </c>
      <c r="M26" s="157">
        <f t="shared" ref="M26:M29" si="16">L26*J26</f>
        <v>317390000</v>
      </c>
      <c r="O26" s="156">
        <v>326794000</v>
      </c>
      <c r="P26" s="115"/>
      <c r="Q26" s="312"/>
      <c r="R26" s="64">
        <f>IF(O26=0,0,P26/O26)</f>
        <v>0</v>
      </c>
      <c r="T26" s="156">
        <v>336804000</v>
      </c>
      <c r="U26" s="312"/>
      <c r="V26" s="3265"/>
      <c r="X26" s="3169">
        <v>354628000</v>
      </c>
      <c r="Y26" s="312"/>
      <c r="Z26" s="3265">
        <f>X26*AE26</f>
        <v>352308583.23778439</v>
      </c>
      <c r="AB26" s="3169">
        <v>377468000</v>
      </c>
      <c r="AC26" s="312"/>
      <c r="AD26" s="3265">
        <f>187499.6*1000*2</f>
        <v>374999200</v>
      </c>
      <c r="AE26" s="64">
        <f t="shared" si="1"/>
        <v>0.99345957803045559</v>
      </c>
      <c r="AF26" s="3222">
        <v>375450000</v>
      </c>
      <c r="AG26" s="6161">
        <v>355939500</v>
      </c>
      <c r="AH26" s="312"/>
      <c r="AI26" s="64">
        <f>IF(AF26=0,0,AG26/AF26)</f>
        <v>0.94803435876947661</v>
      </c>
      <c r="AK26" s="159">
        <v>374750000</v>
      </c>
      <c r="AL26" s="312" t="s">
        <v>887</v>
      </c>
      <c r="AM26" s="204">
        <v>367036600</v>
      </c>
      <c r="AN26" s="3994">
        <f t="shared" si="13"/>
        <v>0.97941721147431626</v>
      </c>
      <c r="AO26" s="26" t="s">
        <v>906</v>
      </c>
      <c r="AQ26" s="3222">
        <v>374750</v>
      </c>
      <c r="AR26" s="6161">
        <v>367036.6</v>
      </c>
      <c r="AS26" s="312" t="s">
        <v>889</v>
      </c>
      <c r="AT26" s="64">
        <f>IF(AQ26=0,0,AR26/AQ26)</f>
        <v>0.97941721147431615</v>
      </c>
      <c r="AV26" s="7745">
        <v>393800</v>
      </c>
      <c r="AW26" s="2946" t="s">
        <v>890</v>
      </c>
      <c r="AX26" s="7741">
        <v>396679</v>
      </c>
      <c r="AY26" s="3994">
        <f t="shared" ref="AY26:AY29" si="17">IF(AV26=0,"**",AX26/AV26)</f>
        <v>1.0073108176739463</v>
      </c>
    </row>
    <row r="27" spans="1:52" x14ac:dyDescent="0.35">
      <c r="A27" s="9168"/>
      <c r="B27" s="6082"/>
      <c r="C27" s="110" t="s">
        <v>907</v>
      </c>
      <c r="D27" s="60"/>
      <c r="F27" s="155"/>
      <c r="G27" s="235"/>
      <c r="H27" s="117"/>
      <c r="I27" s="115"/>
      <c r="J27" s="64">
        <f t="shared" si="15"/>
        <v>0</v>
      </c>
      <c r="L27" s="117"/>
      <c r="M27" s="157">
        <f t="shared" si="16"/>
        <v>0</v>
      </c>
      <c r="O27" s="117"/>
      <c r="P27" s="115"/>
      <c r="Q27" s="312"/>
      <c r="R27" s="64">
        <f>IF(O27=0,0,P27/O27)</f>
        <v>0</v>
      </c>
      <c r="T27" s="117"/>
      <c r="U27" s="312"/>
      <c r="V27" s="3265"/>
      <c r="X27" s="117"/>
      <c r="Y27" s="312"/>
      <c r="Z27" s="3265"/>
      <c r="AB27" s="117"/>
      <c r="AC27" s="312"/>
      <c r="AD27" s="3265"/>
      <c r="AE27" s="64">
        <f t="shared" si="1"/>
        <v>0</v>
      </c>
      <c r="AF27" s="5832"/>
      <c r="AG27" s="6161"/>
      <c r="AH27" s="312"/>
      <c r="AI27" s="64">
        <f>IF(AF27=0,0,AG27/AF27)</f>
        <v>0</v>
      </c>
      <c r="AK27" s="200"/>
      <c r="AL27" s="312"/>
      <c r="AM27" s="204"/>
      <c r="AN27" s="3994" t="str">
        <f t="shared" si="13"/>
        <v>**</v>
      </c>
      <c r="AO27" s="26" t="s">
        <v>906</v>
      </c>
      <c r="AQ27" s="3222">
        <f t="shared" ref="AQ27" si="18">AK27</f>
        <v>0</v>
      </c>
      <c r="AR27" s="6161">
        <f t="shared" ref="AR27" si="19">AM27</f>
        <v>0</v>
      </c>
      <c r="AS27" s="312"/>
      <c r="AT27" s="64">
        <f>IF(AQ27=0,0,AR27/AQ27)</f>
        <v>0</v>
      </c>
      <c r="AV27" s="4987"/>
      <c r="AW27" s="2946"/>
      <c r="AX27" s="7741"/>
      <c r="AY27" s="3994" t="str">
        <f t="shared" si="17"/>
        <v>**</v>
      </c>
    </row>
    <row r="28" spans="1:52" x14ac:dyDescent="0.35">
      <c r="A28" s="9168"/>
      <c r="B28" s="6082"/>
      <c r="C28" s="110" t="s">
        <v>908</v>
      </c>
      <c r="D28" s="60"/>
      <c r="F28" s="155"/>
      <c r="G28" s="235"/>
      <c r="H28" s="117"/>
      <c r="I28" s="115"/>
      <c r="J28" s="64">
        <f t="shared" si="15"/>
        <v>0</v>
      </c>
      <c r="L28" s="117"/>
      <c r="M28" s="157">
        <f t="shared" si="16"/>
        <v>0</v>
      </c>
      <c r="O28" s="117"/>
      <c r="P28" s="115"/>
      <c r="Q28" s="312"/>
      <c r="R28" s="64">
        <f>IF(O28=0,0,P28/O28)</f>
        <v>0</v>
      </c>
      <c r="T28" s="117"/>
      <c r="U28" s="312"/>
      <c r="V28" s="3265"/>
      <c r="X28" s="117"/>
      <c r="Y28" s="312"/>
      <c r="Z28" s="3265"/>
      <c r="AB28" s="117"/>
      <c r="AC28" s="312"/>
      <c r="AD28" s="3265"/>
      <c r="AE28" s="64">
        <f t="shared" si="1"/>
        <v>0</v>
      </c>
      <c r="AF28" s="5832">
        <f>80050000</f>
        <v>80050000</v>
      </c>
      <c r="AG28" s="6161">
        <v>85763500</v>
      </c>
      <c r="AH28" s="312" t="s">
        <v>900</v>
      </c>
      <c r="AI28" s="64">
        <f>IF(AF28=0,0,AG28/AF28)</f>
        <v>1.0713741411617739</v>
      </c>
      <c r="AK28" s="200">
        <v>85450000</v>
      </c>
      <c r="AL28" s="312" t="s">
        <v>892</v>
      </c>
      <c r="AM28" s="204">
        <v>88359200</v>
      </c>
      <c r="AN28" s="3994">
        <f t="shared" si="13"/>
        <v>1.0340456407255705</v>
      </c>
      <c r="AO28" s="26" t="s">
        <v>906</v>
      </c>
      <c r="AQ28" s="3222">
        <f>AK28/1000</f>
        <v>85450</v>
      </c>
      <c r="AR28" s="6161">
        <v>88359.2</v>
      </c>
      <c r="AS28" s="312" t="s">
        <v>909</v>
      </c>
      <c r="AT28" s="64">
        <f>IF(AQ28=0,0,AR28/AQ28)</f>
        <v>1.0340456407255705</v>
      </c>
      <c r="AV28" s="4987">
        <f>AX28/AY28</f>
        <v>86874.564796905222</v>
      </c>
      <c r="AW28" s="2946" t="s">
        <v>896</v>
      </c>
      <c r="AX28" s="7741">
        <v>89828.3</v>
      </c>
      <c r="AY28" s="3994">
        <v>1.034</v>
      </c>
    </row>
    <row r="29" spans="1:52" x14ac:dyDescent="0.35">
      <c r="A29" s="9168"/>
      <c r="B29" s="6082"/>
      <c r="C29" s="161" t="s">
        <v>910</v>
      </c>
      <c r="D29" s="162"/>
      <c r="F29" s="163"/>
      <c r="G29" s="235"/>
      <c r="H29" s="164"/>
      <c r="I29" s="165"/>
      <c r="J29" s="64">
        <f t="shared" si="15"/>
        <v>0</v>
      </c>
      <c r="L29" s="164"/>
      <c r="M29" s="157">
        <f t="shared" si="16"/>
        <v>0</v>
      </c>
      <c r="O29" s="164"/>
      <c r="P29" s="165"/>
      <c r="Q29" s="312"/>
      <c r="R29" s="64">
        <f>IF(O29=0,0,P29/O29)</f>
        <v>0</v>
      </c>
      <c r="T29" s="214"/>
      <c r="U29" s="3054"/>
      <c r="V29" s="658"/>
      <c r="X29" s="214"/>
      <c r="Y29" s="3054"/>
      <c r="Z29" s="658"/>
      <c r="AB29" s="214"/>
      <c r="AC29" s="3054"/>
      <c r="AD29" s="658"/>
      <c r="AE29" s="64">
        <f t="shared" si="1"/>
        <v>0</v>
      </c>
      <c r="AF29" s="5674">
        <v>44800000</v>
      </c>
      <c r="AG29" s="5675">
        <v>41146100</v>
      </c>
      <c r="AH29" s="312"/>
      <c r="AI29" s="64">
        <f>IF(AF29=0,0,AG29/AF29)</f>
        <v>0.91843973214285712</v>
      </c>
      <c r="AK29" s="164">
        <v>51000000</v>
      </c>
      <c r="AL29" s="312" t="s">
        <v>911</v>
      </c>
      <c r="AM29" s="165">
        <v>43119900</v>
      </c>
      <c r="AN29" s="66">
        <f t="shared" si="13"/>
        <v>0.84548823529411765</v>
      </c>
      <c r="AO29" s="26" t="s">
        <v>906</v>
      </c>
      <c r="AQ29" s="3222">
        <v>51000</v>
      </c>
      <c r="AR29" s="6161">
        <v>43119.9</v>
      </c>
      <c r="AS29" s="312" t="s">
        <v>912</v>
      </c>
      <c r="AT29" s="64">
        <f>IF(AQ29=0,0,AR29/AQ29)</f>
        <v>0.84548823529411765</v>
      </c>
      <c r="AV29" s="3754">
        <v>52269</v>
      </c>
      <c r="AW29" s="2946" t="s">
        <v>913</v>
      </c>
      <c r="AX29" s="3755">
        <v>47299.5</v>
      </c>
      <c r="AY29" s="66">
        <f t="shared" si="17"/>
        <v>0.90492452505309073</v>
      </c>
    </row>
    <row r="30" spans="1:52" ht="27.75" customHeight="1" x14ac:dyDescent="0.35">
      <c r="A30" s="9168"/>
      <c r="B30" s="128"/>
      <c r="C30" s="129" t="s">
        <v>914</v>
      </c>
      <c r="D30" s="87"/>
      <c r="F30" s="169">
        <f>IF(F27=0,0,(F28-F29)/F27)</f>
        <v>0</v>
      </c>
      <c r="G30" s="170"/>
      <c r="H30" s="171">
        <f t="shared" ref="H30:I30" si="20">IF(H27=0,0,(H28-H29)/H27)</f>
        <v>0</v>
      </c>
      <c r="I30" s="172">
        <f t="shared" si="20"/>
        <v>0</v>
      </c>
      <c r="J30" s="173"/>
      <c r="K30" s="170"/>
      <c r="L30" s="171">
        <f t="shared" ref="L30" si="21">IF(L27=0,0,(L28-L29)/L27)</f>
        <v>0</v>
      </c>
      <c r="M30" s="175">
        <f>IF(M27=0,0,M28/M27)</f>
        <v>0</v>
      </c>
      <c r="N30" s="170"/>
      <c r="O30" s="3958"/>
      <c r="P30" s="3959"/>
      <c r="Q30" s="1022"/>
      <c r="R30" s="203"/>
      <c r="S30" s="170"/>
      <c r="T30" s="1018"/>
      <c r="U30" s="1022"/>
      <c r="V30" s="202"/>
      <c r="W30" s="176"/>
      <c r="X30" s="1018"/>
      <c r="Y30" s="1022"/>
      <c r="Z30" s="202"/>
      <c r="AA30" s="176"/>
      <c r="AB30" s="1018"/>
      <c r="AC30" s="1022"/>
      <c r="AD30" s="202"/>
      <c r="AE30" s="64"/>
      <c r="AF30" s="5680">
        <f t="shared" ref="AF30:AG30" si="22">IF(AF26=0,0,(AF28-AF29)/AF26)</f>
        <v>9.3887335197762684E-2</v>
      </c>
      <c r="AG30" s="2805">
        <f t="shared" si="22"/>
        <v>0.12535107792195022</v>
      </c>
      <c r="AH30" s="1022"/>
      <c r="AI30" s="203"/>
      <c r="AJ30" s="170"/>
      <c r="AK30" s="7746">
        <f>IF(AK26=0,0,(AK28-AK29)/AK26)</f>
        <v>9.1927951967978649E-2</v>
      </c>
      <c r="AL30" s="7747"/>
      <c r="AM30" s="7748">
        <f>IF(AM26=0,0,(AM28-AM29)/AM26)</f>
        <v>0.1232555554405201</v>
      </c>
      <c r="AN30" s="7749"/>
      <c r="AO30" s="24"/>
      <c r="AQ30" s="5680">
        <f t="shared" ref="AQ30:AR30" si="23">IF(AQ26=0,0,(AQ28-AQ29)/AQ26)</f>
        <v>9.1927951967978649E-2</v>
      </c>
      <c r="AR30" s="2805">
        <f t="shared" si="23"/>
        <v>0.1232555554405201</v>
      </c>
      <c r="AS30" s="1022"/>
      <c r="AT30" s="203"/>
      <c r="AU30" s="170"/>
      <c r="AV30" s="7746">
        <f>IF(AV26=0,0,(AV28-AV29)/AV26)</f>
        <v>8.7875989834700921E-2</v>
      </c>
      <c r="AW30" s="7747"/>
      <c r="AX30" s="7748">
        <f>IF(AX26=0,0,(AX28-AX29)/AX26)</f>
        <v>0.10721212869851947</v>
      </c>
      <c r="AY30" s="7749"/>
    </row>
    <row r="31" spans="1:52" x14ac:dyDescent="0.35">
      <c r="A31" s="9169"/>
      <c r="B31" s="499" t="s">
        <v>915</v>
      </c>
      <c r="C31" s="500"/>
      <c r="D31" s="501"/>
      <c r="F31" s="502"/>
      <c r="H31" s="503"/>
      <c r="I31" s="504"/>
      <c r="J31" s="3050">
        <f>IF(H31=0,0,I31/H31)</f>
        <v>0</v>
      </c>
      <c r="L31" s="503"/>
      <c r="M31" s="506">
        <f t="shared" ref="M31" si="24">L31*J31</f>
        <v>0</v>
      </c>
      <c r="O31" s="503"/>
      <c r="P31" s="504"/>
      <c r="Q31" s="3052"/>
      <c r="R31" s="3050"/>
      <c r="T31" s="503"/>
      <c r="U31" s="3052"/>
      <c r="V31" s="5221"/>
      <c r="X31" s="503"/>
      <c r="Y31" s="3052"/>
      <c r="Z31" s="5221"/>
      <c r="AB31" s="503"/>
      <c r="AC31" s="3052"/>
      <c r="AD31" s="5221"/>
      <c r="AE31" s="64"/>
      <c r="AF31" s="503"/>
      <c r="AG31" s="504"/>
      <c r="AH31" s="3052"/>
      <c r="AI31" s="3050"/>
      <c r="AK31" s="503"/>
      <c r="AL31" s="3052"/>
      <c r="AM31" s="5221"/>
      <c r="AN31" s="6164"/>
      <c r="AO31" s="509"/>
      <c r="AQ31" s="503"/>
      <c r="AR31" s="504"/>
      <c r="AS31" s="3052"/>
      <c r="AT31" s="3050"/>
      <c r="AV31" s="503"/>
      <c r="AW31" s="3052"/>
      <c r="AX31" s="5221"/>
      <c r="AY31" s="6164"/>
    </row>
    <row r="32" spans="1:52" x14ac:dyDescent="0.35">
      <c r="A32" s="220"/>
      <c r="B32" s="220"/>
      <c r="F32" s="106"/>
      <c r="H32" s="106"/>
      <c r="I32" s="106"/>
      <c r="J32" s="221"/>
      <c r="L32" s="106"/>
      <c r="O32" s="106"/>
      <c r="P32" s="106"/>
      <c r="R32" s="221"/>
      <c r="T32" s="106"/>
      <c r="V32" s="106"/>
      <c r="X32" s="106"/>
      <c r="Z32" s="106"/>
      <c r="AB32" s="106"/>
      <c r="AD32" s="106"/>
      <c r="AE32" s="64"/>
      <c r="AF32" s="106"/>
      <c r="AG32" s="106"/>
      <c r="AI32" s="221"/>
      <c r="AK32" s="106"/>
      <c r="AM32" s="106"/>
      <c r="AN32" s="106"/>
      <c r="AQ32" s="106"/>
      <c r="AR32" s="106"/>
      <c r="AT32" s="221"/>
      <c r="AV32" s="106"/>
      <c r="AX32" s="106"/>
      <c r="AY32" s="106"/>
    </row>
    <row r="33" spans="1:51" ht="60" customHeight="1" x14ac:dyDescent="0.35">
      <c r="A33" s="9167" t="s">
        <v>916</v>
      </c>
      <c r="B33" s="27"/>
      <c r="C33" s="28" t="s">
        <v>427</v>
      </c>
      <c r="D33" s="42" t="s">
        <v>428</v>
      </c>
      <c r="E33" s="30"/>
      <c r="F33" s="31"/>
      <c r="G33" s="510"/>
      <c r="H33" s="31"/>
      <c r="I33" s="31"/>
      <c r="J33" s="224"/>
      <c r="K33" s="223"/>
      <c r="L33" s="31"/>
      <c r="M33" s="511"/>
      <c r="N33" s="223"/>
      <c r="O33" s="727" t="s">
        <v>917</v>
      </c>
      <c r="P33" s="36"/>
      <c r="Q33" s="5364"/>
      <c r="R33" s="224"/>
      <c r="S33" s="223"/>
      <c r="T33" s="31" t="s">
        <v>917</v>
      </c>
      <c r="U33" s="511"/>
      <c r="V33" s="31"/>
      <c r="W33" s="30"/>
      <c r="X33" s="727" t="s">
        <v>917</v>
      </c>
      <c r="Y33" s="511"/>
      <c r="Z33" s="31"/>
      <c r="AA33" s="30"/>
      <c r="AB33" s="727" t="s">
        <v>917</v>
      </c>
      <c r="AC33" s="511"/>
      <c r="AD33" s="31" t="s">
        <v>918</v>
      </c>
      <c r="AE33" s="64"/>
      <c r="AF33" s="36" t="s">
        <v>866</v>
      </c>
      <c r="AG33" s="36" t="s">
        <v>866</v>
      </c>
      <c r="AH33" s="5364"/>
      <c r="AI33" s="224"/>
      <c r="AJ33" s="223"/>
      <c r="AK33" s="31" t="s">
        <v>919</v>
      </c>
      <c r="AL33" s="1613"/>
      <c r="AM33" s="31" t="s">
        <v>920</v>
      </c>
      <c r="AN33" s="472"/>
      <c r="AO33" s="39"/>
      <c r="AQ33" s="36" t="str">
        <f>AK33</f>
        <v>LF 2019</v>
      </c>
      <c r="AR33" s="36" t="s">
        <v>921</v>
      </c>
      <c r="AS33" s="7750" t="s">
        <v>922</v>
      </c>
      <c r="AT33" s="224"/>
      <c r="AU33" s="223"/>
      <c r="AV33" s="31" t="s">
        <v>923</v>
      </c>
      <c r="AW33" s="1613"/>
      <c r="AX33" s="31" t="s">
        <v>924</v>
      </c>
      <c r="AY33" s="472"/>
    </row>
    <row r="34" spans="1:51" x14ac:dyDescent="0.35">
      <c r="A34" s="9168"/>
      <c r="B34" s="141" t="s">
        <v>925</v>
      </c>
      <c r="C34"/>
      <c r="D34" s="140"/>
      <c r="E34" s="143"/>
      <c r="F34" s="227"/>
      <c r="G34" s="143"/>
      <c r="H34" s="102"/>
      <c r="I34" s="103"/>
      <c r="J34" s="228"/>
      <c r="K34" s="143"/>
      <c r="L34" s="102"/>
      <c r="M34" s="229"/>
      <c r="N34" s="143"/>
      <c r="O34" s="102"/>
      <c r="P34" s="106"/>
      <c r="R34" s="228"/>
      <c r="S34" s="143"/>
      <c r="T34" s="102"/>
      <c r="U34" s="348"/>
      <c r="V34" s="105"/>
      <c r="W34" s="143"/>
      <c r="X34" s="102"/>
      <c r="Y34" s="348"/>
      <c r="Z34" s="105"/>
      <c r="AA34" s="143"/>
      <c r="AB34" s="102"/>
      <c r="AC34" s="348"/>
      <c r="AD34" s="105"/>
      <c r="AE34" s="64"/>
      <c r="AF34" s="102"/>
      <c r="AG34" s="106"/>
      <c r="AI34" s="228"/>
      <c r="AJ34" s="143"/>
      <c r="AK34" s="102"/>
      <c r="AL34" s="348"/>
      <c r="AM34" s="481"/>
      <c r="AN34" s="105"/>
      <c r="AO34" s="18" t="s">
        <v>926</v>
      </c>
      <c r="AQ34" s="102"/>
      <c r="AR34" s="106"/>
      <c r="AT34" s="228"/>
      <c r="AU34" s="143"/>
      <c r="AV34" s="102"/>
      <c r="AW34" s="348"/>
      <c r="AX34" s="481"/>
      <c r="AY34" s="105"/>
    </row>
    <row r="35" spans="1:51" x14ac:dyDescent="0.35">
      <c r="A35" s="9168"/>
      <c r="B35" s="232"/>
      <c r="C35" s="232" t="s">
        <v>927</v>
      </c>
      <c r="D35" s="60"/>
      <c r="F35" s="111"/>
      <c r="H35" s="112">
        <v>111017506</v>
      </c>
      <c r="I35" s="113"/>
      <c r="J35" s="64">
        <f>IF(H35=0,0,I35/H35)</f>
        <v>0</v>
      </c>
      <c r="L35" s="112">
        <v>104364022</v>
      </c>
      <c r="M35" s="157">
        <f t="shared" ref="M35:M41" si="25">L35*J35</f>
        <v>0</v>
      </c>
      <c r="O35" s="112">
        <f>104364022-O36</f>
        <v>91318453</v>
      </c>
      <c r="P35" s="113">
        <f>100326854-P36</f>
        <v>89422621</v>
      </c>
      <c r="Q35" s="2990" t="s">
        <v>928</v>
      </c>
      <c r="R35" s="64">
        <f>IF(O35=0,0,P35/O35)</f>
        <v>0.97923933293088095</v>
      </c>
      <c r="T35" s="112">
        <f>106546599-T36</f>
        <v>100917811</v>
      </c>
      <c r="U35" s="312" t="s">
        <v>928</v>
      </c>
      <c r="V35" s="66">
        <f>T35*R35</f>
        <v>98822689.924484715</v>
      </c>
      <c r="X35" s="3164">
        <v>94670031</v>
      </c>
      <c r="Y35" s="312" t="s">
        <v>929</v>
      </c>
      <c r="Z35" s="5321">
        <f>X35*AE35</f>
        <v>98699431.13315843</v>
      </c>
      <c r="AB35" s="3164">
        <v>106144804</v>
      </c>
      <c r="AC35" s="312" t="s">
        <v>929</v>
      </c>
      <c r="AD35" s="5321">
        <f>55331.3*1000*2</f>
        <v>110662600</v>
      </c>
      <c r="AE35" s="64">
        <f t="shared" si="1"/>
        <v>1.0425625732937431</v>
      </c>
      <c r="AF35" s="256">
        <f>106144800-AF36</f>
        <v>100926353</v>
      </c>
      <c r="AG35" s="7875">
        <f>104468800-AG36</f>
        <v>100099000</v>
      </c>
      <c r="AH35" s="2990" t="s">
        <v>930</v>
      </c>
      <c r="AI35" s="64">
        <f>IF(AF35=0,0,AG35/AF35)</f>
        <v>0.99180240863355085</v>
      </c>
      <c r="AK35" s="7876">
        <f>114051648-AK36</f>
        <v>103619081</v>
      </c>
      <c r="AL35" s="312" t="s">
        <v>931</v>
      </c>
      <c r="AM35" s="1033">
        <f>AN35*AK35</f>
        <v>102769654.11619501</v>
      </c>
      <c r="AN35" s="7752">
        <f>AI35</f>
        <v>0.99180240863355085</v>
      </c>
      <c r="AO35" s="26"/>
      <c r="AQ35" s="112">
        <f>AK35/1000</f>
        <v>103619.08100000001</v>
      </c>
      <c r="AR35" s="5699">
        <v>98326</v>
      </c>
      <c r="AS35" s="2990"/>
      <c r="AT35" s="64">
        <f>IF(AQ35=0,0,AR35/AQ35)</f>
        <v>0.94891789283481476</v>
      </c>
      <c r="AV35" s="4988">
        <f>118931-AV36</f>
        <v>108581</v>
      </c>
      <c r="AW35" s="2946" t="s">
        <v>932</v>
      </c>
      <c r="AX35" s="7751">
        <f>AV35*AT35</f>
        <v>103034.45372189702</v>
      </c>
      <c r="AY35" s="7752">
        <f>AT35</f>
        <v>0.94891789283481476</v>
      </c>
    </row>
    <row r="36" spans="1:51" x14ac:dyDescent="0.35">
      <c r="A36" s="9168"/>
      <c r="B36" s="232"/>
      <c r="C36" s="6178" t="s">
        <v>933</v>
      </c>
      <c r="D36" s="60"/>
      <c r="F36" s="111"/>
      <c r="H36" s="112"/>
      <c r="I36" s="113"/>
      <c r="J36" s="64"/>
      <c r="L36" s="112"/>
      <c r="M36" s="157"/>
      <c r="O36" s="112">
        <v>13045569</v>
      </c>
      <c r="P36" s="113">
        <v>10904233</v>
      </c>
      <c r="Q36" s="312"/>
      <c r="R36" s="64">
        <f t="shared" ref="R36:R38" si="26">IF(O36=0,0,P36/O36)</f>
        <v>0.8358572171133356</v>
      </c>
      <c r="T36" s="112">
        <v>5628788</v>
      </c>
      <c r="U36" s="312"/>
      <c r="V36" s="66">
        <f>T36*R36</f>
        <v>4704863.073400938</v>
      </c>
      <c r="X36" s="3164">
        <v>13121240</v>
      </c>
      <c r="Y36" s="312"/>
      <c r="Z36" s="5321">
        <f>X36</f>
        <v>13121240</v>
      </c>
      <c r="AB36" s="3164"/>
      <c r="AC36" s="312"/>
      <c r="AD36" s="5321"/>
      <c r="AE36" s="64">
        <f t="shared" si="1"/>
        <v>0</v>
      </c>
      <c r="AF36" s="112">
        <v>5218447</v>
      </c>
      <c r="AG36" s="5699">
        <v>4369800</v>
      </c>
      <c r="AH36" s="2990" t="s">
        <v>930</v>
      </c>
      <c r="AI36" s="64">
        <f t="shared" ref="AI36:AI41" si="27">IF(AF36=0,0,AG36/AF36)</f>
        <v>0.83737556403274771</v>
      </c>
      <c r="AK36" s="248">
        <f>7000000+3432567</f>
        <v>10432567</v>
      </c>
      <c r="AL36" s="312" t="s">
        <v>931</v>
      </c>
      <c r="AM36" s="1033">
        <f t="shared" ref="AM36:AM40" si="28">AN36*AK36</f>
        <v>8735976.6759344302</v>
      </c>
      <c r="AN36" s="7752">
        <f t="shared" ref="AN36:AN40" si="29">AI36</f>
        <v>0.83737556403274771</v>
      </c>
      <c r="AO36" s="26"/>
      <c r="AQ36" s="112">
        <f>AK36/1000</f>
        <v>10432.566999999999</v>
      </c>
      <c r="AR36" s="5699">
        <v>13263</v>
      </c>
      <c r="AS36" s="2990"/>
      <c r="AT36" s="64">
        <f t="shared" ref="AT36:AT41" si="30">IF(AQ36=0,0,AR36/AQ36)</f>
        <v>1.2713074356483884</v>
      </c>
      <c r="AV36" s="4988">
        <f>8600+1750</f>
        <v>10350</v>
      </c>
      <c r="AW36" s="2946" t="s">
        <v>932</v>
      </c>
      <c r="AX36" s="7751">
        <f t="shared" ref="AX36:AX40" si="31">AV36*AT36</f>
        <v>13158.031958960821</v>
      </c>
      <c r="AY36" s="7752">
        <f t="shared" ref="AY36:AY40" si="32">AT36</f>
        <v>1.2713074356483884</v>
      </c>
    </row>
    <row r="37" spans="1:51" x14ac:dyDescent="0.35">
      <c r="A37" s="9168"/>
      <c r="B37" s="232"/>
      <c r="C37" s="232" t="s">
        <v>934</v>
      </c>
      <c r="D37" s="60"/>
      <c r="F37" s="155"/>
      <c r="H37" s="117">
        <v>54715535</v>
      </c>
      <c r="I37" s="115"/>
      <c r="J37" s="64">
        <f>IF(H37=0,0,I37/H37)</f>
        <v>0</v>
      </c>
      <c r="L37" s="117">
        <v>58491738</v>
      </c>
      <c r="M37" s="157">
        <f t="shared" si="25"/>
        <v>0</v>
      </c>
      <c r="O37" s="117">
        <f>58491736-O38</f>
        <v>53110363</v>
      </c>
      <c r="P37" s="115">
        <f>51090541-P38</f>
        <v>45783798</v>
      </c>
      <c r="Q37" s="490" t="s">
        <v>935</v>
      </c>
      <c r="R37" s="64">
        <f t="shared" si="26"/>
        <v>0.86205018030097069</v>
      </c>
      <c r="T37" s="117">
        <f>61603803-T38</f>
        <v>56297060</v>
      </c>
      <c r="U37" s="312" t="s">
        <v>935</v>
      </c>
      <c r="V37" s="66">
        <f>T37*R37</f>
        <v>48530890.723414563</v>
      </c>
      <c r="X37" s="5365">
        <v>62184455</v>
      </c>
      <c r="Y37" s="312" t="s">
        <v>936</v>
      </c>
      <c r="Z37" s="5321">
        <f t="shared" ref="Z37:Z40" si="33">X37*AE37</f>
        <v>58127801.491727211</v>
      </c>
      <c r="AB37" s="5365">
        <v>77104580</v>
      </c>
      <c r="AC37" s="312" t="s">
        <v>936</v>
      </c>
      <c r="AD37" s="5325">
        <f>36037.3*1000*2</f>
        <v>72074600</v>
      </c>
      <c r="AE37" s="64">
        <f t="shared" si="1"/>
        <v>0.93476418651135895</v>
      </c>
      <c r="AF37" s="809">
        <f>77104600-AF38</f>
        <v>67817573</v>
      </c>
      <c r="AG37" s="7877">
        <f>68278000-AG38</f>
        <v>64018900</v>
      </c>
      <c r="AH37" s="2990" t="s">
        <v>930</v>
      </c>
      <c r="AI37" s="64">
        <f t="shared" si="27"/>
        <v>0.9439868926008308</v>
      </c>
      <c r="AK37" s="3255">
        <f>75006732-AK38</f>
        <v>69176996</v>
      </c>
      <c r="AL37" s="312" t="s">
        <v>931</v>
      </c>
      <c r="AM37" s="1033">
        <f t="shared" si="28"/>
        <v>65302177.493500099</v>
      </c>
      <c r="AN37" s="7752">
        <f t="shared" si="29"/>
        <v>0.9439868926008308</v>
      </c>
      <c r="AO37" s="26"/>
      <c r="AQ37" s="112">
        <f t="shared" ref="AQ37:AQ40" si="34">AK37/1000</f>
        <v>69176.995999999999</v>
      </c>
      <c r="AR37" s="6161">
        <v>67620.970577</v>
      </c>
      <c r="AS37" s="2990"/>
      <c r="AT37" s="64">
        <f t="shared" si="30"/>
        <v>0.9775066060544173</v>
      </c>
      <c r="AV37" s="4987">
        <f>87893-AV38</f>
        <v>79778</v>
      </c>
      <c r="AW37" s="2946" t="s">
        <v>932</v>
      </c>
      <c r="AX37" s="7751">
        <f t="shared" si="31"/>
        <v>77983.5220178093</v>
      </c>
      <c r="AY37" s="7752">
        <f t="shared" si="32"/>
        <v>0.9775066060544173</v>
      </c>
    </row>
    <row r="38" spans="1:51" x14ac:dyDescent="0.35">
      <c r="A38" s="9168"/>
      <c r="B38" s="232"/>
      <c r="C38" s="6178" t="s">
        <v>933</v>
      </c>
      <c r="D38" s="60"/>
      <c r="F38" s="163"/>
      <c r="H38" s="242"/>
      <c r="I38" s="243"/>
      <c r="J38" s="64"/>
      <c r="L38" s="242"/>
      <c r="M38" s="157"/>
      <c r="O38" s="242">
        <v>5381373</v>
      </c>
      <c r="P38" s="243">
        <v>5306743</v>
      </c>
      <c r="Q38" s="312"/>
      <c r="R38" s="64">
        <f t="shared" si="26"/>
        <v>0.98613179201664702</v>
      </c>
      <c r="T38" s="242">
        <v>5306743</v>
      </c>
      <c r="U38" s="312"/>
      <c r="V38" s="66">
        <f>T38*R38</f>
        <v>5233147.9843617976</v>
      </c>
      <c r="X38" s="3166">
        <v>16569988</v>
      </c>
      <c r="Y38" s="312"/>
      <c r="Z38" s="5321">
        <f>X38</f>
        <v>16569988</v>
      </c>
      <c r="AB38" s="3166"/>
      <c r="AC38" s="312"/>
      <c r="AD38" s="5325"/>
      <c r="AE38" s="64">
        <f t="shared" si="1"/>
        <v>0</v>
      </c>
      <c r="AF38" s="242">
        <v>9287027</v>
      </c>
      <c r="AG38" s="2907">
        <v>4259100</v>
      </c>
      <c r="AH38" s="2990" t="s">
        <v>930</v>
      </c>
      <c r="AI38" s="64">
        <f t="shared" si="27"/>
        <v>0.45860747470638341</v>
      </c>
      <c r="AK38" s="164">
        <f>1854736+3975000</f>
        <v>5829736</v>
      </c>
      <c r="AL38" s="312" t="s">
        <v>931</v>
      </c>
      <c r="AM38" s="1033">
        <f t="shared" si="28"/>
        <v>2673560.5051648929</v>
      </c>
      <c r="AN38" s="7752">
        <f t="shared" si="29"/>
        <v>0.45860747470638341</v>
      </c>
      <c r="AO38" s="26"/>
      <c r="AQ38" s="112">
        <f t="shared" si="34"/>
        <v>5829.7359999999999</v>
      </c>
      <c r="AR38" s="2907">
        <v>4245.5129999999999</v>
      </c>
      <c r="AS38" s="2990"/>
      <c r="AT38" s="64">
        <f t="shared" si="30"/>
        <v>0.72825133076352</v>
      </c>
      <c r="AV38" s="3754">
        <f>3000+5115</f>
        <v>8115</v>
      </c>
      <c r="AW38" s="2946" t="s">
        <v>932</v>
      </c>
      <c r="AX38" s="7751">
        <f t="shared" si="31"/>
        <v>5909.7595491459651</v>
      </c>
      <c r="AY38" s="7752">
        <f t="shared" si="32"/>
        <v>0.72825133076352</v>
      </c>
    </row>
    <row r="39" spans="1:51" x14ac:dyDescent="0.35">
      <c r="A39" s="9168"/>
      <c r="B39" s="232"/>
      <c r="C39" s="232" t="s">
        <v>937</v>
      </c>
      <c r="D39" s="60"/>
      <c r="F39" s="163"/>
      <c r="H39" s="242">
        <v>54715535</v>
      </c>
      <c r="I39" s="243"/>
      <c r="J39" s="64">
        <f>IF(H39=0,0,I39/H39)</f>
        <v>0</v>
      </c>
      <c r="L39" s="242">
        <v>53289556</v>
      </c>
      <c r="M39" s="157">
        <f t="shared" si="25"/>
        <v>0</v>
      </c>
      <c r="O39" s="242">
        <f>53289566-O41</f>
        <v>42876902</v>
      </c>
      <c r="P39" s="3985">
        <f>O39*R39</f>
        <v>40139028.60793332</v>
      </c>
      <c r="Q39" s="312"/>
      <c r="R39" s="1171">
        <f>(P35+P37)/(O35+O37)</f>
        <v>0.9361457273180166</v>
      </c>
      <c r="T39" s="242">
        <v>43412048</v>
      </c>
      <c r="U39" s="312" t="s">
        <v>938</v>
      </c>
      <c r="V39" s="66">
        <f>T39*R39</f>
        <v>40640003.24932465</v>
      </c>
      <c r="X39" s="3166">
        <v>39932421</v>
      </c>
      <c r="Y39" s="312" t="s">
        <v>939</v>
      </c>
      <c r="Z39" s="5321">
        <f t="shared" si="33"/>
        <v>22991749.347869389</v>
      </c>
      <c r="AB39" s="3166">
        <v>85982776</v>
      </c>
      <c r="AC39" s="312" t="s">
        <v>939</v>
      </c>
      <c r="AD39" s="5325">
        <f>24753*1000*2</f>
        <v>49506000</v>
      </c>
      <c r="AE39" s="64">
        <f t="shared" si="1"/>
        <v>0.57576647676506743</v>
      </c>
      <c r="AF39" s="7878">
        <f>85982800-AF40</f>
        <v>50482800</v>
      </c>
      <c r="AG39" s="7879">
        <f>53715800-AG40</f>
        <v>42241400</v>
      </c>
      <c r="AH39" s="2990" t="s">
        <v>930</v>
      </c>
      <c r="AI39" s="64">
        <f t="shared" si="27"/>
        <v>0.83674835785653723</v>
      </c>
      <c r="AK39" s="7055">
        <f>60974754-AK40</f>
        <v>52725010</v>
      </c>
      <c r="AL39" s="312" t="s">
        <v>931</v>
      </c>
      <c r="AM39" s="1033">
        <f t="shared" si="28"/>
        <v>44117565.535469502</v>
      </c>
      <c r="AN39" s="7752">
        <f t="shared" si="29"/>
        <v>0.83674835785653723</v>
      </c>
      <c r="AO39" s="26"/>
      <c r="AQ39" s="112">
        <f t="shared" si="34"/>
        <v>52725.01</v>
      </c>
      <c r="AR39" s="2907">
        <v>41980.071935</v>
      </c>
      <c r="AS39" s="2990"/>
      <c r="AT39" s="64">
        <f t="shared" si="30"/>
        <v>0.7962079463806645</v>
      </c>
      <c r="AV39" s="3754">
        <f>63770-AV40</f>
        <v>49770</v>
      </c>
      <c r="AW39" s="2946" t="s">
        <v>932</v>
      </c>
      <c r="AX39" s="7751">
        <f t="shared" si="31"/>
        <v>39627.269491365674</v>
      </c>
      <c r="AY39" s="7752">
        <f t="shared" si="32"/>
        <v>0.7962079463806645</v>
      </c>
    </row>
    <row r="40" spans="1:51" x14ac:dyDescent="0.35">
      <c r="A40" s="9168"/>
      <c r="B40" s="232"/>
      <c r="C40" s="6178" t="s">
        <v>933</v>
      </c>
      <c r="D40" s="60"/>
      <c r="F40" s="163"/>
      <c r="H40" s="242"/>
      <c r="I40" s="243"/>
      <c r="J40" s="64"/>
      <c r="L40" s="242"/>
      <c r="M40" s="157"/>
      <c r="O40" s="242"/>
      <c r="P40" s="3985"/>
      <c r="Q40" s="312"/>
      <c r="R40" s="1171"/>
      <c r="T40" s="242"/>
      <c r="U40" s="312"/>
      <c r="V40" s="66"/>
      <c r="X40" s="3166"/>
      <c r="Y40" s="312"/>
      <c r="Z40" s="5321">
        <f t="shared" si="33"/>
        <v>0</v>
      </c>
      <c r="AB40" s="3166"/>
      <c r="AC40" s="312"/>
      <c r="AD40" s="5325"/>
      <c r="AE40" s="64">
        <f t="shared" si="1"/>
        <v>0</v>
      </c>
      <c r="AF40" s="242">
        <v>35500000</v>
      </c>
      <c r="AG40" s="2907">
        <v>11474400</v>
      </c>
      <c r="AH40" s="2990" t="s">
        <v>930</v>
      </c>
      <c r="AI40" s="64">
        <f t="shared" si="27"/>
        <v>0.32322253521126759</v>
      </c>
      <c r="AK40" s="7055">
        <f>4000000+4249744</f>
        <v>8249744</v>
      </c>
      <c r="AL40" s="312" t="s">
        <v>931</v>
      </c>
      <c r="AM40" s="1033">
        <f t="shared" si="28"/>
        <v>2666503.1705239434</v>
      </c>
      <c r="AN40" s="7752">
        <f t="shared" si="29"/>
        <v>0.32322253521126759</v>
      </c>
      <c r="AO40" s="26"/>
      <c r="AQ40" s="112">
        <f t="shared" si="34"/>
        <v>8249.7440000000006</v>
      </c>
      <c r="AR40" s="2907">
        <v>3867.8969999999999</v>
      </c>
      <c r="AS40" s="2990"/>
      <c r="AT40" s="64">
        <f t="shared" si="30"/>
        <v>0.46885054857459812</v>
      </c>
      <c r="AV40" s="3754">
        <f>11500+2500</f>
        <v>14000</v>
      </c>
      <c r="AW40" s="2946" t="s">
        <v>932</v>
      </c>
      <c r="AX40" s="7751">
        <f t="shared" si="31"/>
        <v>6563.9076800443736</v>
      </c>
      <c r="AY40" s="7752">
        <f t="shared" si="32"/>
        <v>0.46885054857459812</v>
      </c>
    </row>
    <row r="41" spans="1:51" x14ac:dyDescent="0.35">
      <c r="A41" s="9168"/>
      <c r="B41" s="232"/>
      <c r="C41" s="232"/>
      <c r="D41" s="60"/>
      <c r="F41" s="163"/>
      <c r="H41" s="242"/>
      <c r="I41" s="243"/>
      <c r="J41" s="64">
        <f>IF(H41=0,0,I41/H41)</f>
        <v>0</v>
      </c>
      <c r="L41" s="242"/>
      <c r="M41" s="157">
        <f t="shared" si="25"/>
        <v>0</v>
      </c>
      <c r="O41" s="242">
        <v>10412664</v>
      </c>
      <c r="P41" s="3985">
        <f>O41*R41</f>
        <v>9160469.8272813801</v>
      </c>
      <c r="Q41" s="312"/>
      <c r="R41" s="1171">
        <f>(P36+P38)/(O36+O38)</f>
        <v>0.87974315000285996</v>
      </c>
      <c r="T41" s="242">
        <v>5861709</v>
      </c>
      <c r="U41" s="312"/>
      <c r="V41" s="66">
        <f t="shared" ref="V41" si="35">T41*R41</f>
        <v>5156798.3400601139</v>
      </c>
      <c r="X41" s="3166">
        <v>34282200</v>
      </c>
      <c r="Y41" s="312"/>
      <c r="Z41" s="5321">
        <f>X41</f>
        <v>34282200</v>
      </c>
      <c r="AB41" s="3166"/>
      <c r="AC41" s="312"/>
      <c r="AD41" s="5325"/>
      <c r="AE41" s="64">
        <f t="shared" si="1"/>
        <v>0</v>
      </c>
      <c r="AF41" s="242"/>
      <c r="AG41" s="2907"/>
      <c r="AH41" s="312"/>
      <c r="AI41" s="64">
        <f t="shared" si="27"/>
        <v>0</v>
      </c>
      <c r="AK41" s="245"/>
      <c r="AL41" s="254"/>
      <c r="AM41" s="106"/>
      <c r="AN41" s="7752"/>
      <c r="AO41" s="26"/>
      <c r="AQ41" s="242"/>
      <c r="AR41" s="2907"/>
      <c r="AS41" s="312"/>
      <c r="AT41" s="64">
        <f t="shared" si="30"/>
        <v>0</v>
      </c>
      <c r="AV41" s="245"/>
      <c r="AW41" s="254"/>
      <c r="AX41" s="106"/>
      <c r="AY41" s="7752"/>
    </row>
    <row r="42" spans="1:51" x14ac:dyDescent="0.35">
      <c r="A42" s="9168"/>
      <c r="B42" s="141" t="s">
        <v>940</v>
      </c>
      <c r="C42"/>
      <c r="D42" s="60"/>
      <c r="E42" s="143"/>
      <c r="F42" s="168"/>
      <c r="G42" s="143"/>
      <c r="H42" s="245"/>
      <c r="I42" s="106"/>
      <c r="J42" s="246"/>
      <c r="K42" s="143"/>
      <c r="L42" s="245"/>
      <c r="M42" s="247"/>
      <c r="N42" s="143"/>
      <c r="O42" s="245"/>
      <c r="P42" s="106"/>
      <c r="Q42" s="254"/>
      <c r="R42" s="246"/>
      <c r="S42" s="143"/>
      <c r="T42" s="245"/>
      <c r="U42" s="254"/>
      <c r="V42" s="66"/>
      <c r="W42" s="143"/>
      <c r="X42" s="245"/>
      <c r="Y42" s="254"/>
      <c r="Z42" s="66"/>
      <c r="AA42" s="143"/>
      <c r="AB42" s="245"/>
      <c r="AC42" s="254"/>
      <c r="AD42" s="66"/>
      <c r="AE42" s="64"/>
      <c r="AF42" s="245"/>
      <c r="AG42" s="106"/>
      <c r="AH42" s="254"/>
      <c r="AI42" s="246"/>
      <c r="AJ42" s="143"/>
      <c r="AK42" s="245"/>
      <c r="AL42" s="254"/>
      <c r="AM42" s="106"/>
      <c r="AN42" s="3353"/>
      <c r="AO42" s="26"/>
      <c r="AP42" s="515"/>
      <c r="AQ42" s="245"/>
      <c r="AR42" s="106"/>
      <c r="AS42" s="254"/>
      <c r="AT42" s="246"/>
      <c r="AU42" s="143"/>
      <c r="AV42" s="245"/>
      <c r="AW42" s="254"/>
      <c r="AX42" s="106"/>
      <c r="AY42" s="3353"/>
    </row>
    <row r="43" spans="1:51" x14ac:dyDescent="0.35">
      <c r="A43" s="9168"/>
      <c r="B43" s="232"/>
      <c r="C43" s="232" t="s">
        <v>941</v>
      </c>
      <c r="D43" s="60"/>
      <c r="F43" s="111"/>
      <c r="H43" s="112"/>
      <c r="I43" s="113"/>
      <c r="J43" s="64">
        <f>IF(H43=0,0,I43/H43)</f>
        <v>0</v>
      </c>
      <c r="L43" s="112"/>
      <c r="M43" s="157">
        <f t="shared" ref="M43:M45" si="36">L43*J43</f>
        <v>0</v>
      </c>
      <c r="O43" s="112"/>
      <c r="P43" s="113"/>
      <c r="Q43" s="312"/>
      <c r="R43" s="64">
        <f>IF(O43=0,0,P43/O43)</f>
        <v>0</v>
      </c>
      <c r="T43" s="112"/>
      <c r="U43" s="312"/>
      <c r="V43" s="3254"/>
      <c r="X43" s="112"/>
      <c r="Y43" s="312"/>
      <c r="Z43" s="3254"/>
      <c r="AB43" s="112"/>
      <c r="AC43" s="312"/>
      <c r="AD43" s="3254"/>
      <c r="AE43" s="64">
        <f t="shared" si="1"/>
        <v>0</v>
      </c>
      <c r="AF43" s="112"/>
      <c r="AG43" s="113"/>
      <c r="AH43" s="312"/>
      <c r="AI43" s="64">
        <f>IF(AF43=0,0,AG43/AF43)</f>
        <v>0</v>
      </c>
      <c r="AK43" s="248"/>
      <c r="AL43" s="312"/>
      <c r="AM43" s="1033"/>
      <c r="AN43" s="3353"/>
      <c r="AO43" s="26"/>
      <c r="AP43" s="515"/>
      <c r="AQ43" s="112"/>
      <c r="AR43" s="113"/>
      <c r="AS43" s="312"/>
      <c r="AT43" s="64">
        <f>IF(AQ43=0,0,AR43/AQ43)</f>
        <v>0</v>
      </c>
      <c r="AV43" s="248"/>
      <c r="AW43" s="312"/>
      <c r="AX43" s="1033"/>
      <c r="AY43" s="3353"/>
    </row>
    <row r="44" spans="1:51" ht="24.75" customHeight="1" x14ac:dyDescent="0.35">
      <c r="A44" s="9168"/>
      <c r="B44" s="232"/>
      <c r="C44" s="232" t="s">
        <v>942</v>
      </c>
      <c r="D44" s="60"/>
      <c r="F44" s="155"/>
      <c r="H44" s="117"/>
      <c r="I44" s="115"/>
      <c r="J44" s="64">
        <f>IF(H44=0,0,I44/H44)</f>
        <v>0</v>
      </c>
      <c r="L44" s="117"/>
      <c r="M44" s="157">
        <f t="shared" si="36"/>
        <v>0</v>
      </c>
      <c r="O44" s="117"/>
      <c r="P44" s="115"/>
      <c r="Q44" s="312"/>
      <c r="R44" s="64">
        <f>IF(O44=0,0,P44/O44)</f>
        <v>0</v>
      </c>
      <c r="T44" s="117"/>
      <c r="U44" s="312"/>
      <c r="V44" s="3265"/>
      <c r="X44" s="117"/>
      <c r="Y44" s="312"/>
      <c r="Z44" s="3265"/>
      <c r="AB44" s="117"/>
      <c r="AC44" s="312"/>
      <c r="AD44" s="3265"/>
      <c r="AE44" s="64">
        <f t="shared" si="1"/>
        <v>0</v>
      </c>
      <c r="AF44" s="117"/>
      <c r="AG44" s="115"/>
      <c r="AH44" s="312"/>
      <c r="AI44" s="64">
        <f>IF(AF44=0,0,AG44/AF44)</f>
        <v>0</v>
      </c>
      <c r="AK44" s="200"/>
      <c r="AL44" s="312"/>
      <c r="AM44" s="204"/>
      <c r="AN44" s="3353"/>
      <c r="AO44" s="26"/>
      <c r="AP44" s="515"/>
      <c r="AQ44" s="117"/>
      <c r="AR44" s="115"/>
      <c r="AS44" s="312"/>
      <c r="AT44" s="64">
        <f>IF(AQ44=0,0,AR44/AQ44)</f>
        <v>0</v>
      </c>
      <c r="AV44" s="200"/>
      <c r="AW44" s="312"/>
      <c r="AX44" s="204"/>
      <c r="AY44" s="3353"/>
    </row>
    <row r="45" spans="1:51" x14ac:dyDescent="0.35">
      <c r="A45" s="9168"/>
      <c r="B45" s="1662"/>
      <c r="C45" s="1662" t="s">
        <v>943</v>
      </c>
      <c r="D45" s="87"/>
      <c r="F45" s="130"/>
      <c r="H45" s="242"/>
      <c r="I45" s="243"/>
      <c r="J45" s="64">
        <f>IF(H45=0,0,I45/H45)</f>
        <v>0</v>
      </c>
      <c r="L45" s="242"/>
      <c r="M45" s="213">
        <f t="shared" si="36"/>
        <v>0</v>
      </c>
      <c r="O45" s="242"/>
      <c r="P45" s="243"/>
      <c r="Q45" s="312"/>
      <c r="R45" s="64">
        <f>IF(O45=0,0,P45/O45)</f>
        <v>0</v>
      </c>
      <c r="T45" s="131"/>
      <c r="U45" s="3054"/>
      <c r="V45" s="3264"/>
      <c r="X45" s="131"/>
      <c r="Y45" s="3054"/>
      <c r="Z45" s="3264"/>
      <c r="AB45" s="131"/>
      <c r="AC45" s="3054"/>
      <c r="AD45" s="3264"/>
      <c r="AE45" s="64">
        <f t="shared" si="1"/>
        <v>0</v>
      </c>
      <c r="AF45" s="242"/>
      <c r="AG45" s="243"/>
      <c r="AH45" s="312"/>
      <c r="AI45" s="64">
        <f>IF(AF45=0,0,AG45/AF45)</f>
        <v>0</v>
      </c>
      <c r="AK45" s="214"/>
      <c r="AL45" s="3054"/>
      <c r="AM45" s="135"/>
      <c r="AN45" s="6165"/>
      <c r="AO45" s="24"/>
      <c r="AP45" s="515"/>
      <c r="AQ45" s="242"/>
      <c r="AR45" s="243"/>
      <c r="AS45" s="312"/>
      <c r="AT45" s="64">
        <f>IF(AQ45=0,0,AR45/AQ45)</f>
        <v>0</v>
      </c>
      <c r="AV45" s="214"/>
      <c r="AW45" s="3054"/>
      <c r="AX45" s="135"/>
      <c r="AY45" s="6165"/>
    </row>
    <row r="46" spans="1:51" x14ac:dyDescent="0.35">
      <c r="A46" s="9168"/>
      <c r="B46" s="141" t="s">
        <v>944</v>
      </c>
      <c r="C46" s="141"/>
      <c r="D46" s="60"/>
      <c r="E46" s="143"/>
      <c r="F46" s="227"/>
      <c r="G46" s="143"/>
      <c r="H46" s="102"/>
      <c r="I46" s="103"/>
      <c r="J46" s="252"/>
      <c r="K46" s="143"/>
      <c r="L46" s="102"/>
      <c r="M46" s="247"/>
      <c r="N46" s="143"/>
      <c r="O46" s="102"/>
      <c r="P46" s="103"/>
      <c r="Q46" s="2909"/>
      <c r="R46" s="252"/>
      <c r="S46" s="143"/>
      <c r="T46" s="245"/>
      <c r="U46" s="254"/>
      <c r="V46" s="106"/>
      <c r="W46" s="143"/>
      <c r="X46" s="245"/>
      <c r="Y46" s="254"/>
      <c r="Z46" s="105"/>
      <c r="AA46" s="143"/>
      <c r="AB46" s="245"/>
      <c r="AC46" s="254"/>
      <c r="AD46" s="105"/>
      <c r="AE46" s="64"/>
      <c r="AF46" s="517" t="s">
        <v>945</v>
      </c>
      <c r="AG46" s="481" t="s">
        <v>946</v>
      </c>
      <c r="AH46" s="2909"/>
      <c r="AI46" s="252"/>
      <c r="AJ46" s="143"/>
      <c r="AK46" s="6111" t="s">
        <v>947</v>
      </c>
      <c r="AL46" s="254"/>
      <c r="AM46" s="481" t="s">
        <v>946</v>
      </c>
      <c r="AN46" s="2819"/>
      <c r="AO46" s="26"/>
      <c r="AQ46" s="517" t="s">
        <v>948</v>
      </c>
      <c r="AR46" s="481" t="s">
        <v>946</v>
      </c>
      <c r="AS46" s="2909"/>
      <c r="AT46" s="252"/>
      <c r="AU46" s="143"/>
      <c r="AV46" s="6111" t="s">
        <v>949</v>
      </c>
      <c r="AW46" s="254"/>
      <c r="AX46" s="481" t="s">
        <v>946</v>
      </c>
      <c r="AY46" s="2819"/>
    </row>
    <row r="47" spans="1:51" x14ac:dyDescent="0.35">
      <c r="A47" s="9168"/>
      <c r="B47" s="232"/>
      <c r="C47" s="232" t="s">
        <v>950</v>
      </c>
      <c r="D47" s="60"/>
      <c r="F47" s="111"/>
      <c r="H47" s="112"/>
      <c r="I47" s="113"/>
      <c r="J47" s="64">
        <f>IF(H47=0,0,I47/H47)</f>
        <v>0</v>
      </c>
      <c r="L47" s="112"/>
      <c r="M47" s="157">
        <f t="shared" ref="M47:M53" si="37">L47*J47</f>
        <v>0</v>
      </c>
      <c r="O47" s="112"/>
      <c r="P47" s="113"/>
      <c r="Q47" s="312"/>
      <c r="R47" s="64">
        <f t="shared" ref="R47:R53" si="38">IF(O47=0,0,P47/O47)</f>
        <v>0</v>
      </c>
      <c r="T47" s="112"/>
      <c r="U47" s="312"/>
      <c r="V47" s="113"/>
      <c r="X47" s="112"/>
      <c r="Y47" s="312"/>
      <c r="Z47" s="3254"/>
      <c r="AB47" s="112"/>
      <c r="AC47" s="312"/>
      <c r="AD47" s="3254"/>
      <c r="AE47" s="64">
        <f t="shared" si="1"/>
        <v>0</v>
      </c>
      <c r="AF47" s="112">
        <f>10444*2+8846*3</f>
        <v>47426</v>
      </c>
      <c r="AG47" s="113">
        <f>AF47</f>
        <v>47426</v>
      </c>
      <c r="AH47" s="312"/>
      <c r="AI47" s="64">
        <f t="shared" ref="AI47:AI53" si="39">IF(AF47=0,0,AG47/AF47)</f>
        <v>1</v>
      </c>
      <c r="AK47" s="112">
        <f>495113*2+11846*2+1636</f>
        <v>1015554</v>
      </c>
      <c r="AL47" s="312" t="s">
        <v>951</v>
      </c>
      <c r="AM47" s="113">
        <f>AK47</f>
        <v>1015554</v>
      </c>
      <c r="AN47" s="7753">
        <f>IF(AK47=0,0,AM47/AK47)</f>
        <v>1</v>
      </c>
      <c r="AO47" s="26" t="s">
        <v>952</v>
      </c>
      <c r="AP47" s="515"/>
      <c r="AQ47" s="112">
        <f t="shared" ref="AQ47" si="40">AK47/1000</f>
        <v>1015.554</v>
      </c>
      <c r="AR47" s="113">
        <f>AQ47</f>
        <v>1015.554</v>
      </c>
      <c r="AS47" s="312"/>
      <c r="AT47" s="64">
        <f t="shared" ref="AT47:AT53" si="41">IF(AQ47=0,0,AR47/AQ47)</f>
        <v>1</v>
      </c>
      <c r="AV47" s="2755">
        <f>539.613*2+6.412*2+10.412</f>
        <v>1102.4620000000002</v>
      </c>
      <c r="AW47" s="312" t="s">
        <v>953</v>
      </c>
      <c r="AX47" s="3727">
        <f>AV47</f>
        <v>1102.4620000000002</v>
      </c>
      <c r="AY47" s="7753">
        <f>IF(AV47=0,0,AX47/AV47)</f>
        <v>1</v>
      </c>
    </row>
    <row r="48" spans="1:51" x14ac:dyDescent="0.35">
      <c r="A48" s="9168"/>
      <c r="B48" s="232"/>
      <c r="C48" s="232" t="s">
        <v>954</v>
      </c>
      <c r="D48" s="60"/>
      <c r="F48" s="155"/>
      <c r="H48" s="117"/>
      <c r="I48" s="115"/>
      <c r="J48" s="64">
        <f>IF(H48=0,0,I48/H48)</f>
        <v>0</v>
      </c>
      <c r="L48" s="117"/>
      <c r="M48" s="157">
        <f t="shared" si="37"/>
        <v>0</v>
      </c>
      <c r="O48" s="117"/>
      <c r="P48" s="115"/>
      <c r="Q48" s="312"/>
      <c r="R48" s="64">
        <f t="shared" si="38"/>
        <v>0</v>
      </c>
      <c r="T48" s="117"/>
      <c r="U48" s="312"/>
      <c r="V48" s="115"/>
      <c r="X48" s="117"/>
      <c r="Y48" s="312"/>
      <c r="Z48" s="3265"/>
      <c r="AB48" s="117"/>
      <c r="AC48" s="312"/>
      <c r="AD48" s="3265"/>
      <c r="AE48" s="64">
        <f t="shared" si="1"/>
        <v>0</v>
      </c>
      <c r="AF48" s="117">
        <v>40000</v>
      </c>
      <c r="AG48" s="113">
        <f t="shared" ref="AG48:AG49" si="42">AF48</f>
        <v>40000</v>
      </c>
      <c r="AH48" s="312"/>
      <c r="AI48" s="64">
        <f t="shared" si="39"/>
        <v>1</v>
      </c>
      <c r="AK48" s="117">
        <f>40000</f>
        <v>40000</v>
      </c>
      <c r="AL48" s="312" t="s">
        <v>955</v>
      </c>
      <c r="AM48" s="113">
        <f t="shared" ref="AM48:AM49" si="43">AK48</f>
        <v>40000</v>
      </c>
      <c r="AN48" s="7753">
        <f t="shared" ref="AN48:AN49" si="44">IF(AK48=0,0,AM48/AK48)</f>
        <v>1</v>
      </c>
      <c r="AO48" s="26" t="s">
        <v>956</v>
      </c>
      <c r="AQ48" s="117">
        <f>AK48/1000</f>
        <v>40</v>
      </c>
      <c r="AR48" s="113">
        <f t="shared" ref="AR48:AR49" si="45">AQ48</f>
        <v>40</v>
      </c>
      <c r="AS48" s="312"/>
      <c r="AT48" s="64">
        <f t="shared" si="41"/>
        <v>1</v>
      </c>
      <c r="AV48" s="2747">
        <f>40+40</f>
        <v>80</v>
      </c>
      <c r="AW48" s="490" t="s">
        <v>889</v>
      </c>
      <c r="AX48" s="3727">
        <f>AV48</f>
        <v>80</v>
      </c>
      <c r="AY48" s="7753">
        <f t="shared" ref="AY48:AY50" si="46">IF(AV48=0,0,AX48/AV48)</f>
        <v>1</v>
      </c>
    </row>
    <row r="49" spans="1:52" x14ac:dyDescent="0.35">
      <c r="A49" s="9168"/>
      <c r="B49" s="232"/>
      <c r="C49" s="232" t="s">
        <v>957</v>
      </c>
      <c r="D49" s="60"/>
      <c r="F49" s="155"/>
      <c r="H49" s="117"/>
      <c r="I49" s="115"/>
      <c r="J49" s="64">
        <f>IF(H49=0,0,I49/H49)</f>
        <v>0</v>
      </c>
      <c r="L49" s="117"/>
      <c r="M49" s="157">
        <f t="shared" si="37"/>
        <v>0</v>
      </c>
      <c r="O49" s="117"/>
      <c r="P49" s="115"/>
      <c r="Q49" s="312"/>
      <c r="R49" s="64">
        <f t="shared" si="38"/>
        <v>0</v>
      </c>
      <c r="T49" s="117"/>
      <c r="U49" s="312"/>
      <c r="V49" s="115"/>
      <c r="X49" s="117"/>
      <c r="Y49" s="312"/>
      <c r="Z49" s="3265"/>
      <c r="AB49" s="117"/>
      <c r="AC49" s="312"/>
      <c r="AD49" s="3265"/>
      <c r="AE49" s="64">
        <f t="shared" si="1"/>
        <v>0</v>
      </c>
      <c r="AF49" s="117">
        <v>100000</v>
      </c>
      <c r="AG49" s="113">
        <f t="shared" si="42"/>
        <v>100000</v>
      </c>
      <c r="AH49" s="312"/>
      <c r="AI49" s="64">
        <f t="shared" si="39"/>
        <v>1</v>
      </c>
      <c r="AK49" s="117">
        <v>100000</v>
      </c>
      <c r="AL49" s="312" t="s">
        <v>958</v>
      </c>
      <c r="AM49" s="113">
        <f t="shared" si="43"/>
        <v>100000</v>
      </c>
      <c r="AN49" s="7753">
        <f t="shared" si="44"/>
        <v>1</v>
      </c>
      <c r="AO49" s="26" t="s">
        <v>959</v>
      </c>
      <c r="AQ49" s="117">
        <f t="shared" ref="AQ49" si="47">AK49/1000</f>
        <v>100</v>
      </c>
      <c r="AR49" s="113">
        <f t="shared" si="45"/>
        <v>100</v>
      </c>
      <c r="AS49" s="312"/>
      <c r="AT49" s="64">
        <f t="shared" si="41"/>
        <v>1</v>
      </c>
      <c r="AV49" s="2747">
        <v>64</v>
      </c>
      <c r="AW49" s="312" t="s">
        <v>889</v>
      </c>
      <c r="AX49" s="3727">
        <f>AV49</f>
        <v>64</v>
      </c>
      <c r="AY49" s="7753">
        <f t="shared" si="46"/>
        <v>1</v>
      </c>
    </row>
    <row r="50" spans="1:52" ht="29" customHeight="1" x14ac:dyDescent="0.35">
      <c r="A50" s="9168"/>
      <c r="B50" s="232"/>
      <c r="C50" s="238" t="s">
        <v>960</v>
      </c>
      <c r="D50" s="60"/>
      <c r="F50" s="155"/>
      <c r="H50" s="117"/>
      <c r="I50" s="115"/>
      <c r="J50" s="64">
        <f>IF(H50=0,0,I50/H50)</f>
        <v>0</v>
      </c>
      <c r="L50" s="117"/>
      <c r="M50" s="157">
        <f t="shared" si="37"/>
        <v>0</v>
      </c>
      <c r="O50" s="117"/>
      <c r="P50" s="115"/>
      <c r="Q50" s="312"/>
      <c r="R50" s="64">
        <f t="shared" si="38"/>
        <v>0</v>
      </c>
      <c r="T50" s="117"/>
      <c r="U50" s="312"/>
      <c r="V50" s="115"/>
      <c r="X50" s="117"/>
      <c r="Y50" s="312"/>
      <c r="Z50" s="3265"/>
      <c r="AB50" s="117"/>
      <c r="AC50" s="312"/>
      <c r="AD50" s="3265"/>
      <c r="AE50" s="64">
        <f t="shared" si="1"/>
        <v>0</v>
      </c>
      <c r="AF50" s="117"/>
      <c r="AG50" s="115"/>
      <c r="AH50" s="312"/>
      <c r="AI50" s="64">
        <f t="shared" si="39"/>
        <v>0</v>
      </c>
      <c r="AK50" s="117"/>
      <c r="AL50" s="312"/>
      <c r="AM50" s="115"/>
      <c r="AN50" s="2819"/>
      <c r="AO50" s="26"/>
      <c r="AQ50" s="117">
        <v>0</v>
      </c>
      <c r="AR50" s="115">
        <v>1068.96</v>
      </c>
      <c r="AS50" s="312" t="s">
        <v>961</v>
      </c>
      <c r="AT50" s="64">
        <f t="shared" si="41"/>
        <v>0</v>
      </c>
      <c r="AV50" s="2747">
        <v>3000</v>
      </c>
      <c r="AW50" s="312"/>
      <c r="AX50" s="3748">
        <v>962.01</v>
      </c>
      <c r="AY50" s="7753">
        <f t="shared" si="46"/>
        <v>0.32067000000000001</v>
      </c>
    </row>
    <row r="51" spans="1:52" x14ac:dyDescent="0.35">
      <c r="A51" s="9168"/>
      <c r="B51" s="232"/>
      <c r="C51" s="232" t="s">
        <v>962</v>
      </c>
      <c r="D51" s="60"/>
      <c r="F51" s="155"/>
      <c r="H51" s="117"/>
      <c r="I51" s="115"/>
      <c r="J51" s="64">
        <f>IF(H51=0,0,I51/H51)</f>
        <v>0</v>
      </c>
      <c r="L51" s="117"/>
      <c r="M51" s="157">
        <f t="shared" si="37"/>
        <v>0</v>
      </c>
      <c r="O51" s="117"/>
      <c r="P51" s="115"/>
      <c r="Q51" s="312"/>
      <c r="R51" s="64">
        <f t="shared" si="38"/>
        <v>0</v>
      </c>
      <c r="T51" s="117"/>
      <c r="U51" s="312"/>
      <c r="V51" s="115"/>
      <c r="X51" s="117"/>
      <c r="Y51" s="312"/>
      <c r="Z51" s="3265"/>
      <c r="AB51" s="117"/>
      <c r="AC51" s="312"/>
      <c r="AD51" s="3265"/>
      <c r="AE51" s="64">
        <f t="shared" si="1"/>
        <v>0</v>
      </c>
      <c r="AF51" s="117"/>
      <c r="AG51" s="115"/>
      <c r="AH51" s="312"/>
      <c r="AI51" s="64">
        <f t="shared" si="39"/>
        <v>0</v>
      </c>
      <c r="AK51" s="117"/>
      <c r="AL51" s="312"/>
      <c r="AM51" s="115"/>
      <c r="AN51" s="2819"/>
      <c r="AO51" s="26"/>
      <c r="AQ51" s="117"/>
      <c r="AR51" s="115"/>
      <c r="AS51" s="312"/>
      <c r="AT51" s="64">
        <f t="shared" si="41"/>
        <v>0</v>
      </c>
      <c r="AV51" s="117"/>
      <c r="AW51" s="312"/>
      <c r="AX51" s="115"/>
      <c r="AY51" s="2819"/>
    </row>
    <row r="52" spans="1:52" x14ac:dyDescent="0.35">
      <c r="A52" s="9168"/>
      <c r="B52" s="232"/>
      <c r="C52" s="232" t="s">
        <v>963</v>
      </c>
      <c r="D52" s="60"/>
      <c r="F52" s="155"/>
      <c r="H52" s="117"/>
      <c r="I52" s="115"/>
      <c r="J52" s="64">
        <f t="shared" ref="J52:J53" si="48">IF(H52=0,0,I52/H52)</f>
        <v>0</v>
      </c>
      <c r="L52" s="117"/>
      <c r="M52" s="157">
        <f t="shared" si="37"/>
        <v>0</v>
      </c>
      <c r="O52" s="117"/>
      <c r="P52" s="115"/>
      <c r="Q52" s="312"/>
      <c r="R52" s="64">
        <f t="shared" si="38"/>
        <v>0</v>
      </c>
      <c r="T52" s="117"/>
      <c r="U52" s="312"/>
      <c r="V52" s="115"/>
      <c r="X52" s="117"/>
      <c r="Y52" s="312"/>
      <c r="Z52" s="3265"/>
      <c r="AB52" s="117"/>
      <c r="AC52" s="312"/>
      <c r="AD52" s="3265"/>
      <c r="AE52" s="64">
        <f t="shared" si="1"/>
        <v>0</v>
      </c>
      <c r="AF52" s="117"/>
      <c r="AG52" s="115"/>
      <c r="AH52" s="312"/>
      <c r="AI52" s="64">
        <f t="shared" si="39"/>
        <v>0</v>
      </c>
      <c r="AK52" s="117"/>
      <c r="AL52" s="312"/>
      <c r="AM52" s="115"/>
      <c r="AN52" s="2819"/>
      <c r="AO52" s="26"/>
      <c r="AQ52" s="117"/>
      <c r="AR52" s="115"/>
      <c r="AS52" s="312"/>
      <c r="AT52" s="64">
        <f t="shared" si="41"/>
        <v>0</v>
      </c>
      <c r="AV52" s="117"/>
      <c r="AW52" s="312"/>
      <c r="AX52" s="115"/>
      <c r="AY52" s="2819"/>
    </row>
    <row r="53" spans="1:52" x14ac:dyDescent="0.35">
      <c r="A53" s="9168"/>
      <c r="B53" s="1654"/>
      <c r="C53" s="1654" t="s">
        <v>964</v>
      </c>
      <c r="D53" s="87"/>
      <c r="F53" s="130"/>
      <c r="H53" s="131"/>
      <c r="I53" s="132"/>
      <c r="J53" s="133">
        <f t="shared" si="48"/>
        <v>0</v>
      </c>
      <c r="L53" s="131"/>
      <c r="M53" s="157">
        <f t="shared" si="37"/>
        <v>0</v>
      </c>
      <c r="O53" s="131"/>
      <c r="P53" s="132"/>
      <c r="Q53" s="3054"/>
      <c r="R53" s="133">
        <f t="shared" si="38"/>
        <v>0</v>
      </c>
      <c r="T53" s="242"/>
      <c r="U53" s="312"/>
      <c r="V53" s="243"/>
      <c r="X53" s="242"/>
      <c r="Y53" s="312"/>
      <c r="Z53" s="3264"/>
      <c r="AB53" s="242"/>
      <c r="AC53" s="312"/>
      <c r="AD53" s="3264"/>
      <c r="AE53" s="64">
        <f t="shared" si="1"/>
        <v>0</v>
      </c>
      <c r="AF53" s="131"/>
      <c r="AG53" s="132"/>
      <c r="AH53" s="3054"/>
      <c r="AI53" s="133">
        <f t="shared" si="39"/>
        <v>0</v>
      </c>
      <c r="AK53" s="242"/>
      <c r="AL53" s="312"/>
      <c r="AM53" s="243"/>
      <c r="AN53" s="2819"/>
      <c r="AO53" s="26"/>
      <c r="AQ53" s="131"/>
      <c r="AR53" s="132"/>
      <c r="AS53" s="3054"/>
      <c r="AT53" s="133">
        <f t="shared" si="41"/>
        <v>0</v>
      </c>
      <c r="AV53" s="242"/>
      <c r="AW53" s="312"/>
      <c r="AX53" s="243"/>
      <c r="AY53" s="2819"/>
    </row>
    <row r="54" spans="1:52" x14ac:dyDescent="0.35">
      <c r="A54" s="9168"/>
      <c r="B54" s="271" t="s">
        <v>965</v>
      </c>
      <c r="C54" s="271"/>
      <c r="D54" s="140"/>
      <c r="E54" s="141"/>
      <c r="F54" s="227"/>
      <c r="G54" s="141"/>
      <c r="H54" s="245"/>
      <c r="I54" s="106"/>
      <c r="J54" s="267"/>
      <c r="K54" s="141"/>
      <c r="L54" s="245"/>
      <c r="M54" s="268"/>
      <c r="N54" s="141"/>
      <c r="O54" s="245"/>
      <c r="P54" s="106"/>
      <c r="Q54" s="254"/>
      <c r="R54" s="267"/>
      <c r="S54" s="141"/>
      <c r="T54" s="102"/>
      <c r="U54" s="2909"/>
      <c r="V54" s="105"/>
      <c r="W54" s="141"/>
      <c r="X54" s="102"/>
      <c r="Y54" s="2909"/>
      <c r="Z54" s="105"/>
      <c r="AA54" s="141"/>
      <c r="AB54" s="102"/>
      <c r="AC54" s="2909"/>
      <c r="AD54" s="105"/>
      <c r="AE54" s="64"/>
      <c r="AF54" s="245" t="s">
        <v>966</v>
      </c>
      <c r="AG54" s="313" t="s">
        <v>967</v>
      </c>
      <c r="AH54" s="254"/>
      <c r="AI54" s="267"/>
      <c r="AJ54" s="141"/>
      <c r="AK54" s="517" t="s">
        <v>968</v>
      </c>
      <c r="AL54" s="2909"/>
      <c r="AM54" s="481" t="s">
        <v>920</v>
      </c>
      <c r="AN54" s="6166"/>
      <c r="AO54" s="18"/>
      <c r="AP54" s="254"/>
      <c r="AQ54" s="6111" t="s">
        <v>968</v>
      </c>
      <c r="AR54" s="313" t="s">
        <v>921</v>
      </c>
      <c r="AS54" s="254"/>
      <c r="AT54" s="267"/>
      <c r="AU54" s="141"/>
      <c r="AV54" s="517" t="s">
        <v>923</v>
      </c>
      <c r="AW54" s="2909"/>
      <c r="AX54" s="481" t="s">
        <v>969</v>
      </c>
      <c r="AY54" s="6166"/>
      <c r="AZ54" s="254"/>
    </row>
    <row r="55" spans="1:52" x14ac:dyDescent="0.35">
      <c r="A55" s="9168"/>
      <c r="B55" s="232"/>
      <c r="C55" s="232" t="s">
        <v>970</v>
      </c>
      <c r="D55" s="60"/>
      <c r="F55" s="111"/>
      <c r="H55" s="112">
        <v>71630007</v>
      </c>
      <c r="I55" s="113"/>
      <c r="J55" s="64">
        <f t="shared" ref="J55:J62" si="49">IF(H55=0,0,I55/H55)</f>
        <v>0</v>
      </c>
      <c r="L55" s="112">
        <v>67035331</v>
      </c>
      <c r="M55" s="157">
        <f t="shared" ref="M55:M62" si="50">L55*J55</f>
        <v>0</v>
      </c>
      <c r="O55" s="7880">
        <v>67035331</v>
      </c>
      <c r="P55" s="6168"/>
      <c r="Q55" s="152" t="s">
        <v>928</v>
      </c>
      <c r="R55" s="188">
        <f t="shared" ref="R55:R62" si="51">IF(O55=0,0,P55/O55)</f>
        <v>0</v>
      </c>
      <c r="T55" s="112">
        <v>83300711</v>
      </c>
      <c r="U55" s="312" t="s">
        <v>928</v>
      </c>
      <c r="V55" s="3254"/>
      <c r="X55" s="3164">
        <v>78324676</v>
      </c>
      <c r="Y55" s="312" t="s">
        <v>971</v>
      </c>
      <c r="Z55" s="3254">
        <f>X55*AE55</f>
        <v>72209398.994367197</v>
      </c>
      <c r="AB55" s="3164">
        <v>79848230</v>
      </c>
      <c r="AC55" s="312" t="s">
        <v>971</v>
      </c>
      <c r="AD55" s="3254">
        <f>36807000*2</f>
        <v>73614000</v>
      </c>
      <c r="AE55" s="64">
        <f t="shared" si="1"/>
        <v>0.92192400507813388</v>
      </c>
      <c r="AF55" s="6167">
        <v>79848230</v>
      </c>
      <c r="AG55" s="6168">
        <v>76348800</v>
      </c>
      <c r="AH55" s="152"/>
      <c r="AI55" s="188">
        <f t="shared" ref="AI55:AI62" si="52">IF(AF55=0,0,AG55/AF55)</f>
        <v>0.95617398156477607</v>
      </c>
      <c r="AK55" s="248">
        <f>73095699+9445295+29713</f>
        <v>82570707</v>
      </c>
      <c r="AL55" s="312" t="s">
        <v>972</v>
      </c>
      <c r="AM55" s="1033">
        <f>AK55*AN55</f>
        <v>78951961.672808528</v>
      </c>
      <c r="AN55" s="7754">
        <f>AI55</f>
        <v>0.95617398156477607</v>
      </c>
      <c r="AO55" s="26"/>
      <c r="AQ55" s="6167">
        <f>AK55/1000</f>
        <v>82570.706999999995</v>
      </c>
      <c r="AR55" s="6168">
        <v>80568.360478999995</v>
      </c>
      <c r="AS55" s="152"/>
      <c r="AT55" s="188">
        <f t="shared" ref="AT55:AT62" si="53">IF(AQ55=0,0,AR55/AQ55)</f>
        <v>0.97574991672288813</v>
      </c>
      <c r="AV55" s="4988">
        <v>85572</v>
      </c>
      <c r="AW55" s="312" t="s">
        <v>932</v>
      </c>
      <c r="AX55" s="7751">
        <f>AV55*AY55</f>
        <v>83496.871873810989</v>
      </c>
      <c r="AY55" s="7754">
        <f>AT55</f>
        <v>0.97574991672288813</v>
      </c>
    </row>
    <row r="56" spans="1:52" ht="29" x14ac:dyDescent="0.35">
      <c r="A56" s="9168"/>
      <c r="B56" s="232"/>
      <c r="C56" s="232" t="s">
        <v>973</v>
      </c>
      <c r="D56" s="60"/>
      <c r="F56" s="155"/>
      <c r="H56" s="117">
        <v>38050428</v>
      </c>
      <c r="I56" s="115"/>
      <c r="J56" s="64">
        <f t="shared" si="49"/>
        <v>0</v>
      </c>
      <c r="L56" s="117">
        <v>38202554</v>
      </c>
      <c r="M56" s="157">
        <f t="shared" si="50"/>
        <v>0</v>
      </c>
      <c r="O56" s="117">
        <v>33368630</v>
      </c>
      <c r="P56" s="115"/>
      <c r="Q56" s="312" t="s">
        <v>935</v>
      </c>
      <c r="R56" s="64">
        <f t="shared" si="51"/>
        <v>0</v>
      </c>
      <c r="T56" s="117">
        <v>45227270</v>
      </c>
      <c r="U56" s="312" t="s">
        <v>935</v>
      </c>
      <c r="V56" s="3265"/>
      <c r="X56" s="5365">
        <v>50804455</v>
      </c>
      <c r="Y56" s="312" t="s">
        <v>936</v>
      </c>
      <c r="Z56" s="3254">
        <f t="shared" ref="Z56:Z61" si="54">X56*AE56</f>
        <v>48577927.123122923</v>
      </c>
      <c r="AB56" s="5365">
        <v>57376553</v>
      </c>
      <c r="AC56" s="312" t="s">
        <v>936</v>
      </c>
      <c r="AD56" s="3254">
        <f>27431000*2</f>
        <v>54862000</v>
      </c>
      <c r="AE56" s="64">
        <f t="shared" si="1"/>
        <v>0.95617455443863975</v>
      </c>
      <c r="AF56" s="5832">
        <v>57376553</v>
      </c>
      <c r="AG56" s="115">
        <v>54893500</v>
      </c>
      <c r="AH56" s="312"/>
      <c r="AI56" s="64">
        <f t="shared" si="52"/>
        <v>0.95672355918627594</v>
      </c>
      <c r="AK56" s="200">
        <f>50807088+8283644+134440</f>
        <v>59225172</v>
      </c>
      <c r="AL56" s="312" t="s">
        <v>974</v>
      </c>
      <c r="AM56" s="1033">
        <f t="shared" ref="AM56:AM57" si="55">AK56*AN56</f>
        <v>56662117.349259369</v>
      </c>
      <c r="AN56" s="7754">
        <f>AI56</f>
        <v>0.95672355918627594</v>
      </c>
      <c r="AO56" s="26"/>
      <c r="AQ56" s="5832">
        <f t="shared" ref="AQ56:AQ57" si="56">AK56/1000</f>
        <v>59225.171999999999</v>
      </c>
      <c r="AR56" s="115">
        <v>59238.225792999998</v>
      </c>
      <c r="AS56" s="312"/>
      <c r="AT56" s="64">
        <f t="shared" si="53"/>
        <v>1.0002204095414025</v>
      </c>
      <c r="AV56" s="4987">
        <v>66984</v>
      </c>
      <c r="AW56" s="312" t="s">
        <v>932</v>
      </c>
      <c r="AX56" s="7751">
        <f>AV56*AY56</f>
        <v>66998.763912721304</v>
      </c>
      <c r="AY56" s="7754">
        <f>AT56</f>
        <v>1.0002204095414025</v>
      </c>
    </row>
    <row r="57" spans="1:52" x14ac:dyDescent="0.35">
      <c r="A57" s="9168"/>
      <c r="B57" s="232"/>
      <c r="C57" s="232" t="s">
        <v>937</v>
      </c>
      <c r="D57" s="60"/>
      <c r="F57" s="163"/>
      <c r="H57" s="242">
        <v>27390213</v>
      </c>
      <c r="I57" s="243"/>
      <c r="J57" s="64">
        <f t="shared" si="49"/>
        <v>0</v>
      </c>
      <c r="L57" s="242">
        <v>19564248</v>
      </c>
      <c r="M57" s="157">
        <f t="shared" si="50"/>
        <v>0</v>
      </c>
      <c r="O57" s="242"/>
      <c r="P57" s="243"/>
      <c r="Q57" s="312"/>
      <c r="R57" s="64">
        <f t="shared" si="51"/>
        <v>0</v>
      </c>
      <c r="T57" s="242">
        <v>22593568</v>
      </c>
      <c r="U57" s="312" t="s">
        <v>938</v>
      </c>
      <c r="V57" s="3272"/>
      <c r="X57" s="3166">
        <v>18432421</v>
      </c>
      <c r="Y57" s="312" t="s">
        <v>975</v>
      </c>
      <c r="Z57" s="3254">
        <f t="shared" si="54"/>
        <v>19049667.258944452</v>
      </c>
      <c r="AB57" s="3166">
        <v>24284776</v>
      </c>
      <c r="AC57" s="312" t="s">
        <v>975</v>
      </c>
      <c r="AD57" s="3272">
        <f>12549000*2</f>
        <v>25098000</v>
      </c>
      <c r="AE57" s="64">
        <f t="shared" si="1"/>
        <v>1.0334869878972737</v>
      </c>
      <c r="AF57" s="5704">
        <v>24284776</v>
      </c>
      <c r="AG57" s="243">
        <v>22901400</v>
      </c>
      <c r="AH57" s="312"/>
      <c r="AI57" s="64">
        <f t="shared" si="52"/>
        <v>0.94303525797396692</v>
      </c>
      <c r="AK57" s="164">
        <f>23202693+3324317</f>
        <v>26527010</v>
      </c>
      <c r="AL57" s="312" t="s">
        <v>976</v>
      </c>
      <c r="AM57" s="1033">
        <f t="shared" si="55"/>
        <v>25015905.718628</v>
      </c>
      <c r="AN57" s="7754">
        <f>AI57</f>
        <v>0.94303525797396692</v>
      </c>
      <c r="AO57" s="26"/>
      <c r="AQ57" s="5704">
        <f t="shared" si="56"/>
        <v>26527.01</v>
      </c>
      <c r="AR57" s="243">
        <v>23057.055684999999</v>
      </c>
      <c r="AS57" s="312"/>
      <c r="AT57" s="64">
        <f t="shared" si="53"/>
        <v>0.86919165352597227</v>
      </c>
      <c r="AV57" s="3754">
        <v>24882</v>
      </c>
      <c r="AW57" s="312" t="s">
        <v>932</v>
      </c>
      <c r="AX57" s="7751">
        <f>AV57*AY57</f>
        <v>21627.226723033244</v>
      </c>
      <c r="AY57" s="7754">
        <f>AT57</f>
        <v>0.86919165352597227</v>
      </c>
    </row>
    <row r="58" spans="1:52" x14ac:dyDescent="0.35">
      <c r="A58" s="9168"/>
      <c r="B58" s="232"/>
      <c r="C58" s="232" t="s">
        <v>977</v>
      </c>
      <c r="D58" s="60"/>
      <c r="F58" s="163"/>
      <c r="H58" s="242"/>
      <c r="I58" s="243"/>
      <c r="J58" s="64">
        <f t="shared" si="49"/>
        <v>0</v>
      </c>
      <c r="L58" s="242"/>
      <c r="M58" s="157">
        <f t="shared" si="50"/>
        <v>0</v>
      </c>
      <c r="O58" s="242"/>
      <c r="P58" s="243"/>
      <c r="Q58" s="312"/>
      <c r="R58" s="64">
        <f t="shared" si="51"/>
        <v>0</v>
      </c>
      <c r="T58" s="242"/>
      <c r="U58" s="312"/>
      <c r="V58" s="3272"/>
      <c r="X58" s="242"/>
      <c r="Y58" s="312"/>
      <c r="Z58" s="3254">
        <f t="shared" si="54"/>
        <v>0</v>
      </c>
      <c r="AB58" s="242"/>
      <c r="AC58" s="312"/>
      <c r="AD58" s="3272"/>
      <c r="AE58" s="64">
        <f t="shared" si="1"/>
        <v>0</v>
      </c>
      <c r="AF58" s="242"/>
      <c r="AG58" s="243"/>
      <c r="AH58" s="312"/>
      <c r="AI58" s="64">
        <f t="shared" si="52"/>
        <v>0</v>
      </c>
      <c r="AK58" s="164"/>
      <c r="AL58" s="312"/>
      <c r="AM58" s="165"/>
      <c r="AN58" s="7755"/>
      <c r="AO58" s="26"/>
      <c r="AQ58" s="242"/>
      <c r="AR58" s="243"/>
      <c r="AS58" s="312"/>
      <c r="AT58" s="64">
        <f t="shared" si="53"/>
        <v>0</v>
      </c>
      <c r="AV58" s="164"/>
      <c r="AW58" s="312"/>
      <c r="AX58" s="165"/>
      <c r="AY58" s="7755"/>
    </row>
    <row r="59" spans="1:52" x14ac:dyDescent="0.35">
      <c r="A59" s="9168"/>
      <c r="B59" s="232"/>
      <c r="C59" s="232" t="s">
        <v>962</v>
      </c>
      <c r="D59" s="60"/>
      <c r="F59" s="163"/>
      <c r="H59" s="242"/>
      <c r="I59" s="243"/>
      <c r="J59" s="64">
        <f t="shared" si="49"/>
        <v>0</v>
      </c>
      <c r="L59" s="242"/>
      <c r="M59" s="157">
        <f t="shared" si="50"/>
        <v>0</v>
      </c>
      <c r="O59" s="242"/>
      <c r="P59" s="243"/>
      <c r="Q59" s="312"/>
      <c r="R59" s="64">
        <f t="shared" si="51"/>
        <v>0</v>
      </c>
      <c r="T59" s="242"/>
      <c r="U59" s="312"/>
      <c r="V59" s="3272"/>
      <c r="X59" s="242"/>
      <c r="Y59" s="312"/>
      <c r="Z59" s="3254">
        <f t="shared" si="54"/>
        <v>0</v>
      </c>
      <c r="AB59" s="242"/>
      <c r="AC59" s="312"/>
      <c r="AD59" s="3272"/>
      <c r="AE59" s="64">
        <f t="shared" si="1"/>
        <v>0</v>
      </c>
      <c r="AF59" s="242"/>
      <c r="AG59" s="243"/>
      <c r="AH59" s="312"/>
      <c r="AI59" s="64">
        <f t="shared" si="52"/>
        <v>0</v>
      </c>
      <c r="AK59" s="164"/>
      <c r="AL59" s="312"/>
      <c r="AM59" s="165"/>
      <c r="AN59" s="66"/>
      <c r="AO59" s="26"/>
      <c r="AQ59" s="242"/>
      <c r="AR59" s="243"/>
      <c r="AS59" s="312"/>
      <c r="AT59" s="64">
        <f t="shared" si="53"/>
        <v>0</v>
      </c>
      <c r="AV59" s="164"/>
      <c r="AW59" s="312"/>
      <c r="AX59" s="165"/>
      <c r="AY59" s="66"/>
    </row>
    <row r="60" spans="1:52" x14ac:dyDescent="0.35">
      <c r="A60" s="9168"/>
      <c r="B60" s="232"/>
      <c r="C60" s="232" t="s">
        <v>963</v>
      </c>
      <c r="D60" s="60"/>
      <c r="F60" s="163"/>
      <c r="H60" s="242"/>
      <c r="I60" s="243"/>
      <c r="J60" s="64"/>
      <c r="L60" s="242"/>
      <c r="M60" s="157"/>
      <c r="O60" s="242"/>
      <c r="P60" s="243"/>
      <c r="Q60" s="312"/>
      <c r="R60" s="64">
        <f t="shared" si="51"/>
        <v>0</v>
      </c>
      <c r="T60" s="242"/>
      <c r="U60" s="312"/>
      <c r="V60" s="3272"/>
      <c r="X60" s="242"/>
      <c r="Y60" s="312"/>
      <c r="Z60" s="3254">
        <f t="shared" si="54"/>
        <v>0</v>
      </c>
      <c r="AB60" s="242"/>
      <c r="AC60" s="312"/>
      <c r="AD60" s="3272"/>
      <c r="AE60" s="64">
        <f t="shared" si="1"/>
        <v>0</v>
      </c>
      <c r="AF60" s="242"/>
      <c r="AG60" s="243"/>
      <c r="AH60" s="312"/>
      <c r="AI60" s="64">
        <f t="shared" si="52"/>
        <v>0</v>
      </c>
      <c r="AK60" s="164"/>
      <c r="AL60" s="312"/>
      <c r="AM60" s="165"/>
      <c r="AN60" s="66"/>
      <c r="AO60" s="26"/>
      <c r="AQ60" s="242"/>
      <c r="AR60" s="243"/>
      <c r="AS60" s="312"/>
      <c r="AT60" s="64">
        <f t="shared" si="53"/>
        <v>0</v>
      </c>
      <c r="AV60" s="164"/>
      <c r="AW60" s="312"/>
      <c r="AX60" s="165"/>
      <c r="AY60" s="66"/>
    </row>
    <row r="61" spans="1:52" x14ac:dyDescent="0.35">
      <c r="A61" s="9168"/>
      <c r="B61" s="232"/>
      <c r="C61" s="232" t="s">
        <v>964</v>
      </c>
      <c r="D61" s="60"/>
      <c r="F61" s="163"/>
      <c r="H61" s="242"/>
      <c r="I61" s="243"/>
      <c r="J61" s="64">
        <f t="shared" si="49"/>
        <v>0</v>
      </c>
      <c r="L61" s="242"/>
      <c r="M61" s="157">
        <f t="shared" si="50"/>
        <v>0</v>
      </c>
      <c r="O61" s="242"/>
      <c r="P61" s="243"/>
      <c r="Q61" s="312"/>
      <c r="R61" s="64">
        <f t="shared" si="51"/>
        <v>0</v>
      </c>
      <c r="T61" s="242"/>
      <c r="U61" s="312"/>
      <c r="V61" s="3272"/>
      <c r="X61" s="242"/>
      <c r="Y61" s="312"/>
      <c r="Z61" s="3254">
        <f t="shared" si="54"/>
        <v>0</v>
      </c>
      <c r="AB61" s="242"/>
      <c r="AC61" s="312"/>
      <c r="AD61" s="3272"/>
      <c r="AE61" s="64">
        <f t="shared" si="1"/>
        <v>0</v>
      </c>
      <c r="AF61" s="242"/>
      <c r="AG61" s="243"/>
      <c r="AH61" s="312"/>
      <c r="AI61" s="64">
        <f t="shared" si="52"/>
        <v>0</v>
      </c>
      <c r="AK61" s="164"/>
      <c r="AL61" s="312"/>
      <c r="AM61" s="165"/>
      <c r="AN61" s="66"/>
      <c r="AO61" s="26"/>
      <c r="AQ61" s="242"/>
      <c r="AR61" s="243"/>
      <c r="AS61" s="312"/>
      <c r="AT61" s="64">
        <f t="shared" si="53"/>
        <v>0</v>
      </c>
      <c r="AV61" s="164"/>
      <c r="AW61" s="312"/>
      <c r="AX61" s="165"/>
      <c r="AY61" s="66"/>
    </row>
    <row r="62" spans="1:52" x14ac:dyDescent="0.35">
      <c r="A62" s="9168"/>
      <c r="B62" s="1662"/>
      <c r="C62" s="1662" t="s">
        <v>978</v>
      </c>
      <c r="D62" s="87"/>
      <c r="F62" s="130"/>
      <c r="H62" s="242"/>
      <c r="I62" s="243"/>
      <c r="J62" s="64">
        <f t="shared" si="49"/>
        <v>0</v>
      </c>
      <c r="L62" s="242"/>
      <c r="M62" s="157">
        <f t="shared" si="50"/>
        <v>0</v>
      </c>
      <c r="O62" s="131"/>
      <c r="P62" s="132"/>
      <c r="Q62" s="3054"/>
      <c r="R62" s="133">
        <f t="shared" si="51"/>
        <v>0</v>
      </c>
      <c r="T62" s="131"/>
      <c r="U62" s="3054"/>
      <c r="V62" s="3264"/>
      <c r="X62" s="131"/>
      <c r="Y62" s="3054"/>
      <c r="Z62" s="3264"/>
      <c r="AB62" s="131"/>
      <c r="AC62" s="3054"/>
      <c r="AD62" s="3264"/>
      <c r="AE62" s="64">
        <f t="shared" si="1"/>
        <v>0</v>
      </c>
      <c r="AF62" s="131"/>
      <c r="AG62" s="132"/>
      <c r="AH62" s="3054"/>
      <c r="AI62" s="133">
        <f t="shared" si="52"/>
        <v>0</v>
      </c>
      <c r="AK62" s="214"/>
      <c r="AL62" s="3054"/>
      <c r="AM62" s="135"/>
      <c r="AN62" s="92"/>
      <c r="AO62" s="24"/>
      <c r="AQ62" s="131"/>
      <c r="AR62" s="132"/>
      <c r="AS62" s="3054"/>
      <c r="AT62" s="133">
        <f t="shared" si="53"/>
        <v>0</v>
      </c>
      <c r="AV62" s="214"/>
      <c r="AW62" s="3054"/>
      <c r="AX62" s="135"/>
      <c r="AY62" s="92"/>
    </row>
    <row r="63" spans="1:52" ht="15.25" customHeight="1" x14ac:dyDescent="0.35">
      <c r="A63" s="9168"/>
      <c r="B63" s="271" t="s">
        <v>979</v>
      </c>
      <c r="C63" s="271"/>
      <c r="D63" s="140"/>
      <c r="E63" s="143"/>
      <c r="F63" s="227"/>
      <c r="G63" s="143"/>
      <c r="H63" s="102"/>
      <c r="I63" s="103"/>
      <c r="J63" s="228"/>
      <c r="K63" s="143"/>
      <c r="L63" s="102"/>
      <c r="M63" s="268"/>
      <c r="N63" s="143"/>
      <c r="O63" s="245"/>
      <c r="P63" s="106"/>
      <c r="Q63" s="254"/>
      <c r="R63" s="246"/>
      <c r="S63" s="143"/>
      <c r="T63" s="245"/>
      <c r="U63" s="254"/>
      <c r="V63" s="106"/>
      <c r="W63" s="143"/>
      <c r="X63" s="245"/>
      <c r="Y63" s="254"/>
      <c r="Z63" s="105"/>
      <c r="AA63" s="143"/>
      <c r="AB63" s="245"/>
      <c r="AC63" s="254"/>
      <c r="AD63" s="105"/>
      <c r="AE63" s="64"/>
      <c r="AF63" s="245"/>
      <c r="AG63" s="106"/>
      <c r="AH63" s="254"/>
      <c r="AI63" s="246"/>
      <c r="AJ63" s="143"/>
      <c r="AK63" s="245"/>
      <c r="AL63" s="254"/>
      <c r="AM63" s="106"/>
      <c r="AN63" s="106"/>
      <c r="AO63" s="18"/>
      <c r="AQ63" s="245"/>
      <c r="AR63" s="106"/>
      <c r="AS63" s="254"/>
      <c r="AT63" s="246"/>
      <c r="AU63" s="143"/>
      <c r="AV63" s="245"/>
      <c r="AW63" s="254"/>
      <c r="AX63" s="106"/>
      <c r="AY63" s="106"/>
    </row>
    <row r="64" spans="1:52" x14ac:dyDescent="0.35">
      <c r="A64" s="9168"/>
      <c r="B64" s="272"/>
      <c r="C64" s="272" t="s">
        <v>980</v>
      </c>
      <c r="D64" s="60"/>
      <c r="F64" s="155"/>
      <c r="H64" s="117"/>
      <c r="I64" s="115"/>
      <c r="J64" s="64">
        <f t="shared" ref="J64" si="57">IF(H64=0,0,I64/H64)</f>
        <v>0</v>
      </c>
      <c r="L64" s="117"/>
      <c r="M64" s="157">
        <f>M31*M65</f>
        <v>0</v>
      </c>
      <c r="O64" s="117"/>
      <c r="P64" s="115"/>
      <c r="Q64" s="312"/>
      <c r="R64" s="64">
        <f>IF(O64=0,0,P64/O64)</f>
        <v>0</v>
      </c>
      <c r="T64" s="117"/>
      <c r="U64" s="312"/>
      <c r="V64" s="115"/>
      <c r="X64" s="117"/>
      <c r="Y64" s="312"/>
      <c r="Z64" s="3265"/>
      <c r="AB64" s="117"/>
      <c r="AC64" s="312"/>
      <c r="AD64" s="3265"/>
      <c r="AE64" s="64">
        <f t="shared" si="1"/>
        <v>0</v>
      </c>
      <c r="AF64" s="117"/>
      <c r="AG64" s="115"/>
      <c r="AH64" s="312"/>
      <c r="AI64" s="64">
        <f>IF(AF64=0,0,AG64/AF64)</f>
        <v>0</v>
      </c>
      <c r="AK64" s="117"/>
      <c r="AL64" s="312"/>
      <c r="AM64" s="115"/>
      <c r="AN64" s="106"/>
      <c r="AO64" s="26"/>
      <c r="AQ64" s="117"/>
      <c r="AR64" s="115"/>
      <c r="AS64" s="312"/>
      <c r="AT64" s="64">
        <f>IF(AQ64=0,0,AR64/AQ64)</f>
        <v>0</v>
      </c>
      <c r="AV64" s="117"/>
      <c r="AW64" s="312"/>
      <c r="AX64" s="115"/>
      <c r="AY64" s="106"/>
    </row>
    <row r="65" spans="1:52" x14ac:dyDescent="0.35">
      <c r="A65" s="9168"/>
      <c r="B65" s="277"/>
      <c r="C65" s="277" t="s">
        <v>981</v>
      </c>
      <c r="D65" s="87"/>
      <c r="F65" s="278"/>
      <c r="G65" s="279"/>
      <c r="H65" s="280"/>
      <c r="I65" s="281"/>
      <c r="J65" s="133"/>
      <c r="L65" s="280"/>
      <c r="M65" s="282"/>
      <c r="O65" s="5346"/>
      <c r="P65" s="5347"/>
      <c r="Q65" s="2926"/>
      <c r="R65" s="64"/>
      <c r="T65" s="5346"/>
      <c r="U65" s="2926"/>
      <c r="V65" s="5347"/>
      <c r="X65" s="5346"/>
      <c r="Y65" s="2926"/>
      <c r="Z65" s="5225"/>
      <c r="AB65" s="5346"/>
      <c r="AC65" s="2926"/>
      <c r="AD65" s="5225"/>
      <c r="AE65" s="64">
        <f t="shared" si="1"/>
        <v>0</v>
      </c>
      <c r="AF65" s="5346"/>
      <c r="AG65" s="5347"/>
      <c r="AH65" s="2926"/>
      <c r="AI65" s="64"/>
      <c r="AK65" s="5346"/>
      <c r="AL65" s="2926"/>
      <c r="AM65" s="5347"/>
      <c r="AN65" s="2919"/>
      <c r="AO65" s="24"/>
      <c r="AQ65" s="5346"/>
      <c r="AR65" s="5347"/>
      <c r="AS65" s="2926"/>
      <c r="AT65" s="64"/>
      <c r="AV65" s="5346"/>
      <c r="AW65" s="2926"/>
      <c r="AX65" s="5347"/>
      <c r="AY65" s="2919"/>
    </row>
    <row r="66" spans="1:52" x14ac:dyDescent="0.35">
      <c r="A66" s="9168"/>
      <c r="B66" s="287" t="s">
        <v>982</v>
      </c>
      <c r="C66" s="288"/>
      <c r="D66" s="140"/>
      <c r="E66" s="143"/>
      <c r="F66" s="289"/>
      <c r="G66" s="290"/>
      <c r="H66" s="291"/>
      <c r="I66" s="292"/>
      <c r="J66" s="293"/>
      <c r="L66" s="291"/>
      <c r="M66" s="268"/>
      <c r="O66" s="291"/>
      <c r="P66" s="292"/>
      <c r="Q66" s="2909"/>
      <c r="R66" s="293">
        <f>IF(O66=0,0,P66/O66)</f>
        <v>0</v>
      </c>
      <c r="T66" s="291"/>
      <c r="U66" s="2909"/>
      <c r="V66" s="294"/>
      <c r="W66" s="143"/>
      <c r="X66" s="291"/>
      <c r="Y66" s="2909"/>
      <c r="Z66" s="294"/>
      <c r="AA66" s="143"/>
      <c r="AB66" s="291"/>
      <c r="AC66" s="2909"/>
      <c r="AD66" s="294"/>
      <c r="AE66" s="64">
        <f t="shared" si="1"/>
        <v>0</v>
      </c>
      <c r="AF66" s="291" t="s">
        <v>983</v>
      </c>
      <c r="AG66" s="6169" t="s">
        <v>984</v>
      </c>
      <c r="AH66" s="2909"/>
      <c r="AI66" s="293"/>
      <c r="AK66" s="291" t="s">
        <v>983</v>
      </c>
      <c r="AL66" s="2909"/>
      <c r="AM66" s="6169" t="s">
        <v>984</v>
      </c>
      <c r="AN66" s="105"/>
      <c r="AO66" s="18"/>
      <c r="AQ66" s="291"/>
      <c r="AR66" s="6169"/>
      <c r="AS66" s="2909"/>
      <c r="AT66" s="293"/>
      <c r="AV66" s="291"/>
      <c r="AW66" s="2909"/>
      <c r="AX66" s="6169"/>
      <c r="AY66" s="105"/>
    </row>
    <row r="67" spans="1:52" x14ac:dyDescent="0.35">
      <c r="A67" s="9168"/>
      <c r="B67" s="295"/>
      <c r="C67" s="1053" t="s">
        <v>970</v>
      </c>
      <c r="D67" s="60"/>
      <c r="F67" s="521"/>
      <c r="G67" s="272"/>
      <c r="H67" s="5366">
        <v>3778400</v>
      </c>
      <c r="I67" s="522"/>
      <c r="J67" s="297">
        <f t="shared" ref="J67:J70" si="58">IF(H67=0,0,I67/H67)</f>
        <v>0</v>
      </c>
      <c r="L67" s="304">
        <v>2454000</v>
      </c>
      <c r="M67" s="157">
        <f t="shared" ref="M67:M70" si="59">L67*J67</f>
        <v>0</v>
      </c>
      <c r="O67" s="5366"/>
      <c r="P67" s="522"/>
      <c r="Q67" s="312"/>
      <c r="R67" s="297">
        <f>IF(O67=0,0,P67/O67)</f>
        <v>0</v>
      </c>
      <c r="T67" s="304">
        <v>0</v>
      </c>
      <c r="U67" s="312"/>
      <c r="V67" s="3286"/>
      <c r="X67" s="304">
        <v>0</v>
      </c>
      <c r="Y67" s="312"/>
      <c r="Z67" s="3286"/>
      <c r="AB67" s="304">
        <v>0</v>
      </c>
      <c r="AC67" s="312"/>
      <c r="AD67" s="3286"/>
      <c r="AE67" s="64">
        <f t="shared" si="1"/>
        <v>0</v>
      </c>
      <c r="AF67" s="3240">
        <v>2177922</v>
      </c>
      <c r="AG67" s="6170">
        <f>AF67*AI67</f>
        <v>2160068.2854160005</v>
      </c>
      <c r="AH67" s="312"/>
      <c r="AI67" s="297">
        <f>AI35</f>
        <v>0.99180240863355085</v>
      </c>
      <c r="AK67" s="71">
        <v>3432567</v>
      </c>
      <c r="AL67" s="312" t="s">
        <v>972</v>
      </c>
      <c r="AM67" s="72">
        <v>3432567</v>
      </c>
      <c r="AN67" s="7756">
        <f>AI67</f>
        <v>0.99180240863355085</v>
      </c>
      <c r="AO67" s="26" t="s">
        <v>985</v>
      </c>
      <c r="AQ67" s="3240"/>
      <c r="AR67" s="6170"/>
      <c r="AS67" s="312"/>
      <c r="AT67" s="297"/>
      <c r="AV67" s="71"/>
      <c r="AW67" s="312"/>
      <c r="AX67" s="72"/>
      <c r="AY67" s="7756"/>
    </row>
    <row r="68" spans="1:52" x14ac:dyDescent="0.35">
      <c r="A68" s="9168"/>
      <c r="B68" s="295"/>
      <c r="C68" s="1053" t="s">
        <v>973</v>
      </c>
      <c r="D68" s="60"/>
      <c r="F68" s="61"/>
      <c r="G68" s="272"/>
      <c r="H68" s="62"/>
      <c r="I68" s="63"/>
      <c r="J68" s="297">
        <f t="shared" si="58"/>
        <v>0</v>
      </c>
      <c r="L68" s="62"/>
      <c r="M68" s="157">
        <f t="shared" si="59"/>
        <v>0</v>
      </c>
      <c r="O68" s="62"/>
      <c r="P68" s="63"/>
      <c r="Q68" s="312"/>
      <c r="R68" s="297">
        <f>IF(O68=0,0,P68/O68)</f>
        <v>0</v>
      </c>
      <c r="T68" s="62">
        <v>3278534</v>
      </c>
      <c r="U68" s="312"/>
      <c r="V68" s="301"/>
      <c r="X68" s="62">
        <v>3278534</v>
      </c>
      <c r="Y68" s="312"/>
      <c r="Z68" s="3286"/>
      <c r="AB68" s="62"/>
      <c r="AC68" s="312"/>
      <c r="AD68" s="301"/>
      <c r="AE68" s="64">
        <f t="shared" si="1"/>
        <v>0</v>
      </c>
      <c r="AF68" s="3240">
        <v>6287027</v>
      </c>
      <c r="AG68" s="6170">
        <f t="shared" ref="AG68:AG69" si="60">AF68*AI68</f>
        <v>5934871.0814275239</v>
      </c>
      <c r="AH68" s="312"/>
      <c r="AI68" s="297">
        <f>AI37</f>
        <v>0.9439868926008308</v>
      </c>
      <c r="AK68" s="71">
        <f>2310000+1665000</f>
        <v>3975000</v>
      </c>
      <c r="AL68" s="312" t="s">
        <v>974</v>
      </c>
      <c r="AM68" s="72">
        <f>2310000+1665000</f>
        <v>3975000</v>
      </c>
      <c r="AN68" s="7756">
        <f t="shared" ref="AN68:AN69" si="61">AI68</f>
        <v>0.9439868926008308</v>
      </c>
      <c r="AO68" s="26" t="s">
        <v>985</v>
      </c>
      <c r="AQ68" s="3240"/>
      <c r="AR68" s="6170"/>
      <c r="AS68" s="312"/>
      <c r="AT68" s="297"/>
      <c r="AV68" s="71"/>
      <c r="AW68" s="312"/>
      <c r="AX68" s="72"/>
      <c r="AY68" s="7756"/>
    </row>
    <row r="69" spans="1:52" ht="14.5" customHeight="1" x14ac:dyDescent="0.35">
      <c r="A69" s="9168"/>
      <c r="B69" s="2948"/>
      <c r="C69" s="1053" t="s">
        <v>937</v>
      </c>
      <c r="D69" s="60"/>
      <c r="F69" s="61"/>
      <c r="G69" s="272"/>
      <c r="H69" s="62">
        <v>3000000</v>
      </c>
      <c r="I69" s="63"/>
      <c r="J69" s="297">
        <f t="shared" si="58"/>
        <v>0</v>
      </c>
      <c r="L69" s="62">
        <v>3000000</v>
      </c>
      <c r="M69" s="157">
        <f t="shared" si="59"/>
        <v>0</v>
      </c>
      <c r="O69" s="62"/>
      <c r="P69" s="63"/>
      <c r="Q69" s="312"/>
      <c r="R69" s="297">
        <f>IF(O69=0,0,P69/O69)</f>
        <v>0</v>
      </c>
      <c r="T69" s="62">
        <v>3027231</v>
      </c>
      <c r="U69" s="312"/>
      <c r="V69" s="301"/>
      <c r="X69" s="62">
        <v>3027231</v>
      </c>
      <c r="Y69" s="312"/>
      <c r="Z69" s="3286"/>
      <c r="AB69" s="62"/>
      <c r="AC69" s="312"/>
      <c r="AD69" s="301"/>
      <c r="AE69" s="64">
        <f t="shared" si="1"/>
        <v>0</v>
      </c>
      <c r="AF69" s="3240">
        <v>3500000</v>
      </c>
      <c r="AG69" s="6170">
        <f t="shared" si="60"/>
        <v>2928619.2524978803</v>
      </c>
      <c r="AH69" s="312"/>
      <c r="AI69" s="297">
        <f>AI39</f>
        <v>0.83674835785653723</v>
      </c>
      <c r="AK69" s="71">
        <v>4249744</v>
      </c>
      <c r="AL69" s="312" t="s">
        <v>976</v>
      </c>
      <c r="AM69" s="72">
        <v>4249744</v>
      </c>
      <c r="AN69" s="7756">
        <f t="shared" si="61"/>
        <v>0.83674835785653723</v>
      </c>
      <c r="AO69" s="26" t="s">
        <v>985</v>
      </c>
      <c r="AQ69" s="3240"/>
      <c r="AR69" s="6170"/>
      <c r="AS69" s="312"/>
      <c r="AT69" s="297"/>
      <c r="AV69" s="71"/>
      <c r="AW69" s="312"/>
      <c r="AX69" s="72"/>
      <c r="AY69" s="7756"/>
    </row>
    <row r="70" spans="1:52" x14ac:dyDescent="0.35">
      <c r="A70" s="9169"/>
      <c r="B70" s="2950"/>
      <c r="C70" s="2951" t="s">
        <v>986</v>
      </c>
      <c r="D70" s="87"/>
      <c r="F70" s="88"/>
      <c r="G70" s="274"/>
      <c r="H70" s="89"/>
      <c r="I70" s="90"/>
      <c r="J70" s="307">
        <f t="shared" si="58"/>
        <v>0</v>
      </c>
      <c r="L70" s="89"/>
      <c r="M70" s="213">
        <f t="shared" si="59"/>
        <v>0</v>
      </c>
      <c r="O70" s="89"/>
      <c r="P70" s="90"/>
      <c r="Q70" s="3054"/>
      <c r="R70" s="307">
        <f>IF(O70=0,0,P70/O70)</f>
        <v>0</v>
      </c>
      <c r="T70" s="89"/>
      <c r="U70" s="3054"/>
      <c r="V70" s="309"/>
      <c r="X70" s="89"/>
      <c r="Y70" s="3054"/>
      <c r="Z70" s="3286"/>
      <c r="AB70" s="89"/>
      <c r="AC70" s="3054"/>
      <c r="AD70" s="309"/>
      <c r="AE70" s="64">
        <f t="shared" si="1"/>
        <v>0</v>
      </c>
      <c r="AF70" s="89"/>
      <c r="AG70" s="90"/>
      <c r="AH70" s="3054"/>
      <c r="AI70" s="307">
        <f>IF(AF70=0,0,AG70/AF70)</f>
        <v>0</v>
      </c>
      <c r="AK70" s="768">
        <v>0</v>
      </c>
      <c r="AL70" s="3054"/>
      <c r="AM70" s="308">
        <f>AM22</f>
        <v>1068960</v>
      </c>
      <c r="AN70" s="92"/>
      <c r="AO70" s="24" t="s">
        <v>987</v>
      </c>
      <c r="AQ70" s="89"/>
      <c r="AR70" s="90"/>
      <c r="AS70" s="3054"/>
      <c r="AT70" s="307"/>
      <c r="AV70" s="768"/>
      <c r="AW70" s="3054"/>
      <c r="AX70" s="308"/>
      <c r="AY70" s="92"/>
    </row>
    <row r="71" spans="1:52" x14ac:dyDescent="0.35">
      <c r="A71" s="310"/>
      <c r="B71" s="310"/>
      <c r="F71" s="106"/>
      <c r="H71" s="106"/>
      <c r="I71" s="106"/>
      <c r="J71" s="311"/>
      <c r="L71" s="106"/>
      <c r="M71" s="312"/>
      <c r="O71" s="106"/>
      <c r="P71" s="106"/>
      <c r="Q71" s="312"/>
      <c r="R71" s="311"/>
      <c r="T71" s="106"/>
      <c r="U71" s="312"/>
      <c r="V71" s="106"/>
      <c r="X71" s="106"/>
      <c r="Y71" s="312"/>
      <c r="Z71" s="106"/>
      <c r="AB71" s="106"/>
      <c r="AC71" s="312"/>
      <c r="AD71" s="106"/>
      <c r="AE71" s="64"/>
      <c r="AF71" s="106"/>
      <c r="AG71" s="106"/>
      <c r="AH71" s="312"/>
      <c r="AI71" s="311"/>
      <c r="AK71" s="106"/>
      <c r="AL71" s="312"/>
      <c r="AM71" s="106"/>
      <c r="AN71" s="106"/>
      <c r="AQ71" s="106"/>
      <c r="AR71" s="106"/>
      <c r="AS71" s="312"/>
      <c r="AT71" s="311"/>
      <c r="AV71" s="106"/>
      <c r="AW71" s="312"/>
      <c r="AX71" s="106"/>
      <c r="AY71" s="106"/>
    </row>
    <row r="72" spans="1:52" x14ac:dyDescent="0.35">
      <c r="A72" s="9167" t="s">
        <v>988</v>
      </c>
      <c r="B72" s="139" t="s">
        <v>989</v>
      </c>
      <c r="C72" s="348"/>
      <c r="D72" s="49"/>
      <c r="E72" s="141"/>
      <c r="F72" s="227"/>
      <c r="G72" s="141"/>
      <c r="H72" s="102"/>
      <c r="I72" s="103"/>
      <c r="J72" s="228"/>
      <c r="K72" s="141"/>
      <c r="L72" s="102"/>
      <c r="M72" s="268"/>
      <c r="N72" s="141"/>
      <c r="O72" s="102"/>
      <c r="P72" s="103"/>
      <c r="Q72" s="2909"/>
      <c r="R72" s="228"/>
      <c r="S72" s="141"/>
      <c r="T72" s="102"/>
      <c r="U72" s="2909"/>
      <c r="V72" s="105"/>
      <c r="W72" s="141"/>
      <c r="X72" s="102"/>
      <c r="Y72" s="2909"/>
      <c r="Z72" s="105"/>
      <c r="AA72" s="141"/>
      <c r="AB72" s="102"/>
      <c r="AC72" s="2909"/>
      <c r="AD72" s="105"/>
      <c r="AE72" s="64">
        <f t="shared" si="1"/>
        <v>0</v>
      </c>
      <c r="AF72" s="102"/>
      <c r="AG72" s="103"/>
      <c r="AH72" s="2909"/>
      <c r="AI72" s="228"/>
      <c r="AJ72" s="141"/>
      <c r="AK72" s="102"/>
      <c r="AL72" s="2909"/>
      <c r="AM72" s="103"/>
      <c r="AN72" s="105"/>
      <c r="AQ72" s="102"/>
      <c r="AR72" s="103"/>
      <c r="AS72" s="2909"/>
      <c r="AT72" s="228"/>
      <c r="AU72" s="141"/>
      <c r="AV72" s="102"/>
      <c r="AW72" s="2909"/>
      <c r="AX72" s="103"/>
      <c r="AY72" s="105"/>
    </row>
    <row r="73" spans="1:52" x14ac:dyDescent="0.35">
      <c r="A73" s="9168"/>
      <c r="B73" s="6082"/>
      <c r="C73"/>
      <c r="D73" s="110" t="s">
        <v>990</v>
      </c>
      <c r="F73" s="349">
        <f>SUM(F35:F39)-SUM(F43:F45)</f>
        <v>0</v>
      </c>
      <c r="G73" s="350"/>
      <c r="H73" s="351">
        <f>SUM(H35:H39)-SUM(H43:H45)</f>
        <v>220448576</v>
      </c>
      <c r="I73" s="352">
        <f>SUM(I35:I39)-SUM(I43:I45)</f>
        <v>0</v>
      </c>
      <c r="J73" s="246"/>
      <c r="K73" s="350"/>
      <c r="L73" s="351">
        <f>SUM(L35:L39)-SUM(L43:L45)</f>
        <v>216145316</v>
      </c>
      <c r="M73" s="353">
        <f>SUM(M35:M39)-SUM(M43:M45)</f>
        <v>0</v>
      </c>
      <c r="N73" s="350"/>
      <c r="O73" s="351">
        <f>SUM(O35:O41)-SUM(O43:O45)</f>
        <v>216145324</v>
      </c>
      <c r="P73" s="352">
        <f>SUM(P35:P41)-SUM(P43:P45)</f>
        <v>200716893.4352147</v>
      </c>
      <c r="Q73" s="352"/>
      <c r="R73" s="246"/>
      <c r="S73" s="350"/>
      <c r="T73" s="351">
        <f>SUM(T35:T41)-SUM(T43:T45)</f>
        <v>217424159</v>
      </c>
      <c r="U73" s="352"/>
      <c r="V73" s="353">
        <f>SUM(V35:V41)-SUM(V43:V45)</f>
        <v>203088393.29504678</v>
      </c>
      <c r="X73" s="351">
        <f>SUM(X35:X41)-SUM(X43:X45)</f>
        <v>260760335</v>
      </c>
      <c r="Y73" s="352"/>
      <c r="Z73" s="353">
        <f>SUM(Z35:Z41)-SUM(Z43:Z45)</f>
        <v>243792409.97275504</v>
      </c>
      <c r="AB73" s="351">
        <f>SUM(AB35:AB41)-SUM(AB43:AB45)</f>
        <v>269232160</v>
      </c>
      <c r="AC73" s="352"/>
      <c r="AD73" s="353">
        <f>SUM(AD35:AD41)-SUM(AD43:AD45)</f>
        <v>232243200</v>
      </c>
      <c r="AE73" s="64">
        <f t="shared" si="1"/>
        <v>0.8626131439869591</v>
      </c>
      <c r="AF73" s="351">
        <f>SUM(AF35:AF41)-SUM(AF43:AF45)+AF22</f>
        <v>270532200</v>
      </c>
      <c r="AG73" s="352">
        <f>SUM(AG35:AG41)-SUM(AG43:AG45)+AG22</f>
        <v>229009400</v>
      </c>
      <c r="AH73" s="352"/>
      <c r="AI73" s="246"/>
      <c r="AJ73" s="350"/>
      <c r="AK73" s="351">
        <f>SUM(AK35:AK41)-SUM(AK43:AK45)+AK22</f>
        <v>250033134</v>
      </c>
      <c r="AL73" s="352"/>
      <c r="AM73" s="352">
        <f>SUM(AM35:AM41)-SUM(AM43:AM45)+AM22</f>
        <v>227334397.49678788</v>
      </c>
      <c r="AN73" s="7757">
        <f>IF(AK73=0,"**",AM73/AK73)</f>
        <v>0.90921708599144258</v>
      </c>
      <c r="AQ73" s="351">
        <f>SUM(AQ35:AQ41)-SUM(AQ43:AQ45)</f>
        <v>250033.13400000002</v>
      </c>
      <c r="AR73" s="352">
        <f>SUM(AR35:AR41)-SUM(AR43:AR45)+AR21</f>
        <v>236392.85251199998</v>
      </c>
      <c r="AS73" s="352"/>
      <c r="AT73" s="246"/>
      <c r="AU73" s="350"/>
      <c r="AV73" s="351">
        <f>SUM(AV35:AV41)-SUM(AV43:AV45)</f>
        <v>270594</v>
      </c>
      <c r="AW73" s="352"/>
      <c r="AX73" s="352">
        <f>SUM(AX35:AX41)-SUM(AX43:AX45)</f>
        <v>246276.94441922317</v>
      </c>
      <c r="AY73" s="7757">
        <f>IF(AV73=0,"**",AX73/AV73)</f>
        <v>0.91013453520485732</v>
      </c>
    </row>
    <row r="74" spans="1:52" x14ac:dyDescent="0.35">
      <c r="A74" s="9168"/>
      <c r="B74" s="6082"/>
      <c r="C74"/>
      <c r="D74" s="110" t="s">
        <v>944</v>
      </c>
      <c r="F74" s="349">
        <f>SUM(F47:F53)</f>
        <v>0</v>
      </c>
      <c r="G74" s="350"/>
      <c r="H74" s="351">
        <f>SUM(H47:H53)</f>
        <v>0</v>
      </c>
      <c r="I74" s="352">
        <f>SUM(I47:I53)</f>
        <v>0</v>
      </c>
      <c r="J74" s="246"/>
      <c r="K74" s="350"/>
      <c r="L74" s="351">
        <f>SUM(L47:L53)</f>
        <v>0</v>
      </c>
      <c r="M74" s="353">
        <f>SUM(M47:M53)</f>
        <v>0</v>
      </c>
      <c r="N74" s="350"/>
      <c r="O74" s="351">
        <f t="shared" ref="O74:P74" si="62">SUM(O47:O53)</f>
        <v>0</v>
      </c>
      <c r="P74" s="352">
        <f t="shared" si="62"/>
        <v>0</v>
      </c>
      <c r="Q74" s="352"/>
      <c r="R74" s="246"/>
      <c r="S74" s="350"/>
      <c r="T74" s="351">
        <f t="shared" ref="T74" si="63">SUM(T47:T53)</f>
        <v>0</v>
      </c>
      <c r="U74" s="352"/>
      <c r="V74" s="353">
        <f t="shared" ref="V74" si="64">SUM(V47:V53)</f>
        <v>0</v>
      </c>
      <c r="X74" s="351">
        <f t="shared" ref="X74" si="65">SUM(X47:X53)</f>
        <v>0</v>
      </c>
      <c r="Y74" s="352"/>
      <c r="Z74" s="353">
        <f t="shared" ref="Z74" si="66">SUM(Z47:Z53)</f>
        <v>0</v>
      </c>
      <c r="AB74" s="351">
        <f t="shared" ref="AB74" si="67">SUM(AB47:AB53)</f>
        <v>0</v>
      </c>
      <c r="AC74" s="352"/>
      <c r="AD74" s="353">
        <f t="shared" ref="AD74" si="68">SUM(AD47:AD53)</f>
        <v>0</v>
      </c>
      <c r="AE74" s="64">
        <f t="shared" si="1"/>
        <v>0</v>
      </c>
      <c r="AF74" s="351">
        <f t="shared" ref="AF74:AG74" si="69">SUM(AF47:AF53)</f>
        <v>187426</v>
      </c>
      <c r="AG74" s="352">
        <f t="shared" si="69"/>
        <v>187426</v>
      </c>
      <c r="AH74" s="352"/>
      <c r="AI74" s="246"/>
      <c r="AJ74" s="350"/>
      <c r="AK74" s="351">
        <f t="shared" ref="AK74" si="70">SUM(AK47:AK53)</f>
        <v>1155554</v>
      </c>
      <c r="AL74" s="352"/>
      <c r="AM74" s="352">
        <f t="shared" ref="AM74" si="71">SUM(AM47:AM53)</f>
        <v>1155554</v>
      </c>
      <c r="AN74" s="7757">
        <f t="shared" ref="AN74:AN77" si="72">IF(AK74=0,"**",AM74/AK74)</f>
        <v>1</v>
      </c>
      <c r="AQ74" s="351">
        <f t="shared" ref="AQ74:AR74" si="73">SUM(AQ47:AQ53)</f>
        <v>1155.5540000000001</v>
      </c>
      <c r="AR74" s="352">
        <f t="shared" si="73"/>
        <v>2224.5140000000001</v>
      </c>
      <c r="AS74" s="352"/>
      <c r="AT74" s="246"/>
      <c r="AU74" s="350"/>
      <c r="AV74" s="351">
        <f>SUM(AV47:AV53)</f>
        <v>4246.4620000000004</v>
      </c>
      <c r="AW74" s="352"/>
      <c r="AX74" s="352">
        <f>SUM(AX47:AX53)</f>
        <v>2208.4720000000002</v>
      </c>
      <c r="AY74" s="7757">
        <f t="shared" ref="AY74:AY77" si="74">IF(AV74=0,"**",AX74/AV74)</f>
        <v>0.52007341641112059</v>
      </c>
    </row>
    <row r="75" spans="1:52" x14ac:dyDescent="0.35">
      <c r="A75" s="9168"/>
      <c r="B75" s="6082"/>
      <c r="C75"/>
      <c r="D75" s="110" t="s">
        <v>991</v>
      </c>
      <c r="F75" s="349">
        <f>SUM(F55:F62)*F30</f>
        <v>0</v>
      </c>
      <c r="G75" s="350"/>
      <c r="H75" s="351">
        <f>SUM(H55:H62)*H30</f>
        <v>0</v>
      </c>
      <c r="I75" s="352">
        <f>SUM(I55:I62)*I30</f>
        <v>0</v>
      </c>
      <c r="J75" s="246"/>
      <c r="K75" s="350"/>
      <c r="L75" s="351">
        <f>SUM(L55:L62)*L30</f>
        <v>0</v>
      </c>
      <c r="M75" s="353">
        <f>SUM(M55:M62)*M30</f>
        <v>0</v>
      </c>
      <c r="N75" s="350"/>
      <c r="O75" s="351">
        <f t="shared" ref="O75:P75" si="75">SUM(O55:O62)*O30</f>
        <v>0</v>
      </c>
      <c r="P75" s="352">
        <f t="shared" si="75"/>
        <v>0</v>
      </c>
      <c r="Q75" s="352"/>
      <c r="R75" s="246"/>
      <c r="S75" s="350"/>
      <c r="T75" s="351">
        <f t="shared" ref="T75" si="76">SUM(T55:T62)*T30</f>
        <v>0</v>
      </c>
      <c r="U75" s="352"/>
      <c r="V75" s="353">
        <f t="shared" ref="V75" si="77">SUM(V55:V62)*V30</f>
        <v>0</v>
      </c>
      <c r="X75" s="351">
        <f t="shared" ref="X75" si="78">SUM(X55:X62)*X30</f>
        <v>0</v>
      </c>
      <c r="Y75" s="352"/>
      <c r="Z75" s="353">
        <f t="shared" ref="Z75" si="79">SUM(Z55:Z62)*Z30</f>
        <v>0</v>
      </c>
      <c r="AB75" s="351">
        <f t="shared" ref="AB75" si="80">SUM(AB55:AB62)*AB30</f>
        <v>0</v>
      </c>
      <c r="AC75" s="352"/>
      <c r="AD75" s="353">
        <f t="shared" ref="AD75" si="81">SUM(AD55:AD62)*AD30</f>
        <v>0</v>
      </c>
      <c r="AE75" s="64">
        <f t="shared" si="1"/>
        <v>0</v>
      </c>
      <c r="AF75" s="351">
        <f t="shared" ref="AF75:AG75" si="82">SUM(AF55:AF62)*AF30</f>
        <v>15163702.10347583</v>
      </c>
      <c r="AG75" s="352">
        <f t="shared" si="82"/>
        <v>19322078.949877717</v>
      </c>
      <c r="AH75" s="352"/>
      <c r="AI75" s="246"/>
      <c r="AJ75" s="350"/>
      <c r="AK75" s="351">
        <f t="shared" ref="AK75" si="83">SUM(AK55:AK62)*AK30</f>
        <v>15473578.455103401</v>
      </c>
      <c r="AL75" s="352"/>
      <c r="AM75" s="352">
        <f t="shared" ref="AM75" si="84">SUM(AM55:AM62)*AM30</f>
        <v>19798537.98961674</v>
      </c>
      <c r="AN75" s="7757">
        <f t="shared" si="72"/>
        <v>1.2795060978985704</v>
      </c>
      <c r="AQ75" s="351">
        <f>SUM(AQ55:AQ62)*AQ30</f>
        <v>15473.578455103401</v>
      </c>
      <c r="AR75" s="352">
        <f t="shared" ref="AR75" si="85">SUM(AR55:AR62)*AR30</f>
        <v>20073.848650476026</v>
      </c>
      <c r="AS75" s="352"/>
      <c r="AT75" s="246"/>
      <c r="AU75" s="350"/>
      <c r="AV75" s="351">
        <f>SUM(AV55:AV62)*AV30</f>
        <v>15592.539884289661</v>
      </c>
      <c r="AW75" s="352"/>
      <c r="AX75" s="352">
        <f>SUM(AX55:AX62)*AX30</f>
        <v>18453.658487333112</v>
      </c>
      <c r="AY75" s="7757">
        <f t="shared" si="74"/>
        <v>1.1834927872094902</v>
      </c>
    </row>
    <row r="76" spans="1:52" s="254" customFormat="1" x14ac:dyDescent="0.35">
      <c r="A76" s="9168"/>
      <c r="B76" s="6082"/>
      <c r="C76"/>
      <c r="D76" s="110" t="s">
        <v>979</v>
      </c>
      <c r="E76" s="1"/>
      <c r="F76" s="349">
        <f>F64</f>
        <v>0</v>
      </c>
      <c r="G76" s="350"/>
      <c r="H76" s="351">
        <f>H64</f>
        <v>0</v>
      </c>
      <c r="I76" s="352">
        <f>I64</f>
        <v>0</v>
      </c>
      <c r="J76" s="246"/>
      <c r="K76" s="350"/>
      <c r="L76" s="351">
        <f>L64</f>
        <v>0</v>
      </c>
      <c r="M76" s="353">
        <f>M64</f>
        <v>0</v>
      </c>
      <c r="N76" s="350"/>
      <c r="O76" s="351">
        <f t="shared" ref="O76:P76" si="86">O64</f>
        <v>0</v>
      </c>
      <c r="P76" s="352">
        <f t="shared" si="86"/>
        <v>0</v>
      </c>
      <c r="Q76" s="352"/>
      <c r="R76" s="246"/>
      <c r="S76" s="350"/>
      <c r="T76" s="351">
        <f t="shared" ref="T76" si="87">T64</f>
        <v>0</v>
      </c>
      <c r="U76" s="352"/>
      <c r="V76" s="353">
        <f t="shared" ref="V76" si="88">V64</f>
        <v>0</v>
      </c>
      <c r="W76" s="1"/>
      <c r="X76" s="351">
        <f t="shared" ref="X76" si="89">X64</f>
        <v>0</v>
      </c>
      <c r="Y76" s="352"/>
      <c r="Z76" s="353">
        <f t="shared" ref="Z76" si="90">Z64</f>
        <v>0</v>
      </c>
      <c r="AA76" s="1"/>
      <c r="AB76" s="351">
        <f t="shared" ref="AB76" si="91">AB64</f>
        <v>0</v>
      </c>
      <c r="AC76" s="352"/>
      <c r="AD76" s="353">
        <f t="shared" ref="AD76" si="92">AD64</f>
        <v>0</v>
      </c>
      <c r="AE76" s="64">
        <f t="shared" si="1"/>
        <v>0</v>
      </c>
      <c r="AF76" s="351">
        <f t="shared" ref="AF76:AG76" si="93">AF64</f>
        <v>0</v>
      </c>
      <c r="AG76" s="352">
        <f t="shared" si="93"/>
        <v>0</v>
      </c>
      <c r="AH76" s="352"/>
      <c r="AI76" s="246"/>
      <c r="AJ76" s="350"/>
      <c r="AK76" s="351">
        <f t="shared" ref="AK76" si="94">AK64</f>
        <v>0</v>
      </c>
      <c r="AL76" s="352"/>
      <c r="AM76" s="352">
        <f t="shared" ref="AM76" si="95">AM64</f>
        <v>0</v>
      </c>
      <c r="AN76" s="7757" t="str">
        <f t="shared" si="72"/>
        <v>**</v>
      </c>
      <c r="AO76"/>
      <c r="AP76"/>
      <c r="AQ76" s="351">
        <f t="shared" ref="AQ76:AR76" si="96">AQ64</f>
        <v>0</v>
      </c>
      <c r="AR76" s="352">
        <f t="shared" si="96"/>
        <v>0</v>
      </c>
      <c r="AS76" s="352"/>
      <c r="AT76" s="246"/>
      <c r="AU76" s="350"/>
      <c r="AV76" s="351">
        <f>AV64</f>
        <v>0</v>
      </c>
      <c r="AW76" s="352"/>
      <c r="AX76" s="352">
        <f>AX64</f>
        <v>0</v>
      </c>
      <c r="AY76" s="7757" t="str">
        <f t="shared" si="74"/>
        <v>**</v>
      </c>
      <c r="AZ76"/>
    </row>
    <row r="77" spans="1:52" s="3201" customFormat="1" x14ac:dyDescent="0.35">
      <c r="A77" s="9168"/>
      <c r="B77" s="6082"/>
      <c r="C77"/>
      <c r="D77" s="356" t="s">
        <v>992</v>
      </c>
      <c r="E77" s="143"/>
      <c r="F77" s="357">
        <f>SUM(F73:F76)</f>
        <v>0</v>
      </c>
      <c r="G77" s="358"/>
      <c r="H77" s="359">
        <f t="shared" ref="H77:I77" si="97">SUM(H73:H76)</f>
        <v>220448576</v>
      </c>
      <c r="I77" s="360">
        <f t="shared" si="97"/>
        <v>0</v>
      </c>
      <c r="J77" s="361"/>
      <c r="K77" s="358"/>
      <c r="L77" s="359">
        <f t="shared" ref="L77:M77" si="98">SUM(L73:L76)</f>
        <v>216145316</v>
      </c>
      <c r="M77" s="362">
        <f t="shared" si="98"/>
        <v>0</v>
      </c>
      <c r="N77" s="358"/>
      <c r="O77" s="359">
        <f t="shared" ref="O77:P77" si="99">SUM(O73:O76)</f>
        <v>216145324</v>
      </c>
      <c r="P77" s="360">
        <f t="shared" si="99"/>
        <v>200716893.4352147</v>
      </c>
      <c r="Q77" s="360"/>
      <c r="R77" s="361"/>
      <c r="S77" s="358"/>
      <c r="T77" s="359">
        <f t="shared" ref="T77" si="100">SUM(T73:T76)</f>
        <v>217424159</v>
      </c>
      <c r="U77" s="360"/>
      <c r="V77" s="362">
        <f t="shared" ref="V77" si="101">SUM(V73:V76)</f>
        <v>203088393.29504678</v>
      </c>
      <c r="W77" s="143"/>
      <c r="X77" s="359">
        <f t="shared" ref="X77" si="102">SUM(X73:X76)</f>
        <v>260760335</v>
      </c>
      <c r="Y77" s="360"/>
      <c r="Z77" s="362">
        <f t="shared" ref="Z77" si="103">SUM(Z73:Z76)</f>
        <v>243792409.97275504</v>
      </c>
      <c r="AA77" s="143"/>
      <c r="AB77" s="359">
        <f t="shared" ref="AB77" si="104">SUM(AB73:AB76)</f>
        <v>269232160</v>
      </c>
      <c r="AC77" s="360"/>
      <c r="AD77" s="362">
        <f t="shared" ref="AD77" si="105">SUM(AD73:AD76)</f>
        <v>232243200</v>
      </c>
      <c r="AE77" s="64">
        <f t="shared" ref="AE77:AE88" si="106">IF(AB77=0,0,AD77/AB77)</f>
        <v>0.8626131439869591</v>
      </c>
      <c r="AF77" s="359">
        <f t="shared" ref="AF77:AG77" si="107">SUM(AF73:AF76)</f>
        <v>285883328.10347581</v>
      </c>
      <c r="AG77" s="360">
        <f t="shared" si="107"/>
        <v>248518904.94987771</v>
      </c>
      <c r="AH77" s="360"/>
      <c r="AI77" s="361"/>
      <c r="AJ77" s="358"/>
      <c r="AK77" s="359">
        <f t="shared" ref="AK77" si="108">SUM(AK73:AK76)</f>
        <v>266662266.4551034</v>
      </c>
      <c r="AL77" s="360"/>
      <c r="AM77" s="360">
        <f t="shared" ref="AM77" si="109">SUM(AM73:AM76)</f>
        <v>248288489.48640463</v>
      </c>
      <c r="AN77" s="7757">
        <f t="shared" si="72"/>
        <v>0.93109719941650515</v>
      </c>
      <c r="AO77"/>
      <c r="AP77"/>
      <c r="AQ77" s="359">
        <f t="shared" ref="AQ77" si="110">SUM(AQ73:AQ76)</f>
        <v>266662.26645510341</v>
      </c>
      <c r="AR77" s="360">
        <f>SUM(AR73:AR76)</f>
        <v>258691.215162476</v>
      </c>
      <c r="AS77" s="360"/>
      <c r="AT77" s="361"/>
      <c r="AU77" s="358"/>
      <c r="AV77" s="359">
        <f>SUM(AV73:AV76)</f>
        <v>290433.00188428967</v>
      </c>
      <c r="AW77" s="360"/>
      <c r="AX77" s="360">
        <f>SUM(AX73:AX76)</f>
        <v>266939.07490655628</v>
      </c>
      <c r="AY77" s="7757">
        <f t="shared" si="74"/>
        <v>0.91910724048125392</v>
      </c>
      <c r="AZ77"/>
    </row>
    <row r="78" spans="1:52" s="3201" customFormat="1" ht="15.5" x14ac:dyDescent="0.35">
      <c r="A78" s="9168"/>
      <c r="B78" s="6082"/>
      <c r="C78"/>
      <c r="D78" s="365" t="s">
        <v>993</v>
      </c>
      <c r="E78" s="1"/>
      <c r="F78" s="366">
        <f>F77/(F17+F18)</f>
        <v>0</v>
      </c>
      <c r="G78" s="367"/>
      <c r="H78" s="368">
        <f>H77/(H17+H18)</f>
        <v>0.24625072719554969</v>
      </c>
      <c r="I78" s="369">
        <f>I77/(I17+I18)</f>
        <v>0</v>
      </c>
      <c r="J78" s="370"/>
      <c r="K78" s="367"/>
      <c r="L78" s="368">
        <f>L77/(L17+L18)</f>
        <v>0.20400132134184151</v>
      </c>
      <c r="M78" s="370">
        <f>M77/(M17+M18)</f>
        <v>0</v>
      </c>
      <c r="N78" s="367"/>
      <c r="O78" s="368">
        <f>O77/(O17+O18+O21)</f>
        <v>0.20461932219980708</v>
      </c>
      <c r="P78" s="369">
        <f>P77/(P17+P18+P21)</f>
        <v>0.16925279824202269</v>
      </c>
      <c r="Q78" s="369"/>
      <c r="R78" s="370"/>
      <c r="S78" s="367"/>
      <c r="T78" s="368">
        <f>T77/(T17+T18+T21)</f>
        <v>0.20843278549913818</v>
      </c>
      <c r="U78" s="369"/>
      <c r="V78" s="370">
        <f>V77/(V17+V18+V21)</f>
        <v>0.19931565949752114</v>
      </c>
      <c r="W78" s="1"/>
      <c r="X78" s="368">
        <f>X77/(X17+X18+X21)</f>
        <v>0.1651337134266278</v>
      </c>
      <c r="Y78" s="369"/>
      <c r="Z78" s="370">
        <f>Z77/(Z17+Z18+Z21)</f>
        <v>0.177593336918794</v>
      </c>
      <c r="AA78" s="1"/>
      <c r="AB78" s="368">
        <f>AB77/(AB17+AB18+AB21)</f>
        <v>0.21142481102041907</v>
      </c>
      <c r="AC78" s="369"/>
      <c r="AD78" s="370">
        <f>AD77/(AD17+AD18+AD21)</f>
        <v>0.21243581232070488</v>
      </c>
      <c r="AE78" s="64">
        <f t="shared" si="106"/>
        <v>1.0047818479553385</v>
      </c>
      <c r="AF78" s="368">
        <f>AF77/(AF17+AF18+AF21)</f>
        <v>0.23956007543647542</v>
      </c>
      <c r="AG78" s="369">
        <f>AG77/(AG17+AG18+AG21)</f>
        <v>0.22548584188182766</v>
      </c>
      <c r="AH78" s="369"/>
      <c r="AI78" s="370"/>
      <c r="AJ78" s="367"/>
      <c r="AK78" s="368">
        <f>AK77/(AK17+AK18+AK21)</f>
        <v>0.23521600370392232</v>
      </c>
      <c r="AL78" s="369"/>
      <c r="AM78" s="369">
        <f>AM77/(AM17+AM18+AM21)</f>
        <v>0.24998020301246918</v>
      </c>
      <c r="AN78" s="370"/>
      <c r="AO78"/>
      <c r="AP78"/>
      <c r="AQ78" s="368">
        <f>AQ77/(AQ17+AQ19+AQ20+AQ21)</f>
        <v>0.23521600370392234</v>
      </c>
      <c r="AR78" s="369">
        <f>AR77/(AR17+AR19+AR20+AR21)</f>
        <v>0.2604537840553135</v>
      </c>
      <c r="AS78" s="369"/>
      <c r="AT78" s="370"/>
      <c r="AU78" s="367"/>
      <c r="AV78" s="368">
        <f>AV77/(AV17+AV19+AV20+AV21)</f>
        <v>0.20450306394732651</v>
      </c>
      <c r="AW78" s="369"/>
      <c r="AX78" s="369">
        <f>AX77/(AX17+AX19+AX20+AX21)</f>
        <v>0.19147298489052153</v>
      </c>
      <c r="AY78" s="370"/>
      <c r="AZ78"/>
    </row>
    <row r="79" spans="1:52" s="3201" customFormat="1" x14ac:dyDescent="0.35">
      <c r="A79" s="9168"/>
      <c r="B79" s="3186"/>
      <c r="C79" s="3187"/>
      <c r="D79" s="1741" t="s">
        <v>994</v>
      </c>
      <c r="E79" s="3188"/>
      <c r="F79" s="1713"/>
      <c r="G79" s="3189"/>
      <c r="H79" s="566"/>
      <c r="I79" s="567"/>
      <c r="J79" s="2964"/>
      <c r="K79" s="3189"/>
      <c r="L79" s="566"/>
      <c r="M79" s="2964"/>
      <c r="N79" s="3189"/>
      <c r="O79" s="571">
        <f t="shared" ref="O79:P79" si="111">O35+O37+O39</f>
        <v>187305718</v>
      </c>
      <c r="P79" s="3192">
        <f t="shared" si="111"/>
        <v>175345447.60793331</v>
      </c>
      <c r="Q79" s="2963"/>
      <c r="R79" s="2964"/>
      <c r="S79" s="3189"/>
      <c r="T79" s="571">
        <f>T35+T37+T39</f>
        <v>200626919</v>
      </c>
      <c r="U79" s="2963"/>
      <c r="V79" s="3190">
        <f>V35+V37+V39</f>
        <v>187993583.89722392</v>
      </c>
      <c r="W79" s="235"/>
      <c r="X79" s="571">
        <f>X35+X37+X39</f>
        <v>196786907</v>
      </c>
      <c r="Y79" s="2963"/>
      <c r="Z79" s="3190">
        <f>Z35+Z37+Z39</f>
        <v>179818981.97275504</v>
      </c>
      <c r="AA79" s="235"/>
      <c r="AB79" s="571">
        <f>AB35+AB37+AB39</f>
        <v>269232160</v>
      </c>
      <c r="AC79" s="2963"/>
      <c r="AD79" s="3190">
        <f>AD35+AD37+AD39</f>
        <v>232243200</v>
      </c>
      <c r="AE79" s="64">
        <f t="shared" si="106"/>
        <v>0.8626131439869591</v>
      </c>
      <c r="AF79" s="6171">
        <f>AF35+AF37+AF39-AF36-AF38-AF40</f>
        <v>169221252</v>
      </c>
      <c r="AG79" s="3192">
        <f>AG35+AG37+AG39-AG36-AG38-AG40</f>
        <v>186256000</v>
      </c>
      <c r="AH79" s="2963"/>
      <c r="AI79" s="2964"/>
      <c r="AJ79" s="3189"/>
      <c r="AK79" s="571">
        <f>AK35+AK37+AK39-AK36-AK38-AK40</f>
        <v>201009040</v>
      </c>
      <c r="AL79" s="2963"/>
      <c r="AM79" s="3192">
        <f>AM35+AM37+AM39-AM36-AM38-AM40</f>
        <v>198113356.79354134</v>
      </c>
      <c r="AN79" s="2964"/>
      <c r="AO79" s="254"/>
      <c r="AP79" s="254"/>
      <c r="AQ79" s="6171">
        <f>AQ35+AQ37+AQ39+AQ47+AQ48+AQ49</f>
        <v>226676.641</v>
      </c>
      <c r="AR79" s="3192">
        <f>AR35+AR37+AR39+AR47+AR48+AR49</f>
        <v>209082.59651200002</v>
      </c>
      <c r="AS79" s="2963"/>
      <c r="AT79" s="2964"/>
      <c r="AU79" s="3189"/>
      <c r="AV79" s="571">
        <f>AV35+AV37+AV39+AV47+AV48+AV49</f>
        <v>239375.462</v>
      </c>
      <c r="AW79" s="2963"/>
      <c r="AX79" s="3192">
        <f>AX35+AX37+AX39+AX47+AX48+AX49</f>
        <v>221891.70723107198</v>
      </c>
      <c r="AY79" s="2964"/>
      <c r="AZ79" s="254"/>
    </row>
    <row r="80" spans="1:52" s="3201" customFormat="1" x14ac:dyDescent="0.35">
      <c r="A80" s="9168"/>
      <c r="B80" s="3193"/>
      <c r="C80" s="3194"/>
      <c r="D80" s="3195" t="s">
        <v>995</v>
      </c>
      <c r="E80" s="3196"/>
      <c r="F80" s="3197"/>
      <c r="G80" s="3196"/>
      <c r="H80" s="3198"/>
      <c r="I80" s="3199"/>
      <c r="J80" s="3200"/>
      <c r="K80" s="3196"/>
      <c r="L80" s="3198"/>
      <c r="M80" s="3200"/>
      <c r="N80" s="3196"/>
      <c r="O80" s="5351">
        <f>(O77-O79)/(O17+O18+O21)</f>
        <v>2.7301727018760255E-2</v>
      </c>
      <c r="P80" s="3194">
        <f>(P77-P79)/(P17+P18+P21)</f>
        <v>2.1394254007320503E-2</v>
      </c>
      <c r="R80" s="3200"/>
      <c r="S80" s="3196"/>
      <c r="T80" s="5354">
        <f>(T77-T79)/(T17+T18+T21)</f>
        <v>1.6102605791371804E-2</v>
      </c>
      <c r="V80" s="5352">
        <f>(V77-V79)/(V17+V18+V21)</f>
        <v>1.4814396043527229E-2</v>
      </c>
      <c r="W80" s="3603"/>
      <c r="X80" s="5354">
        <f>(X77-X79)/(X17+X18+X21)</f>
        <v>4.0512947363221509E-2</v>
      </c>
      <c r="Z80" s="5352">
        <f>(Z77-Z79)/(Z17+Z18+Z21)</f>
        <v>4.6602166793969856E-2</v>
      </c>
      <c r="AA80" s="3603"/>
      <c r="AB80" s="5354">
        <f>(AB77-AB79)/(AB17+AB18+AB21)</f>
        <v>0</v>
      </c>
      <c r="AD80" s="5352">
        <f>(AD77-AD79)/(AD17+AD18+AD21)</f>
        <v>0</v>
      </c>
      <c r="AE80" s="64">
        <f t="shared" si="106"/>
        <v>0</v>
      </c>
      <c r="AF80" s="6172">
        <f>(AF77-AF79)/(AF18+AF21)</f>
        <v>0.22169281687669873</v>
      </c>
      <c r="AG80" s="3194">
        <f>(AG77-AG79)/(AG18+AG21)</f>
        <v>0.13000182476354011</v>
      </c>
      <c r="AI80" s="3200"/>
      <c r="AJ80" s="3196"/>
      <c r="AK80" s="5354">
        <f>(AK77-AK79)/(AK18+AK21)</f>
        <v>0.14176839325915974</v>
      </c>
      <c r="AM80" s="6173">
        <f>(AM77-AM79)/(AM18+AM21)</f>
        <v>0.14053206065687518</v>
      </c>
      <c r="AN80" s="6174"/>
      <c r="AQ80" s="6172">
        <f>(AQ77-AQ79)/(AQ19+AQ20)</f>
        <v>9.0917747737843127E-2</v>
      </c>
      <c r="AR80" s="3194">
        <f>(AR77-AR79)/(AR19+AR20)</f>
        <v>0.14176017445609979</v>
      </c>
      <c r="AT80" s="3200"/>
      <c r="AU80" s="3196"/>
      <c r="AV80" s="5354">
        <f>(AV77-AV79)/(AV19+AV20)</f>
        <v>9.1703932331036742E-2</v>
      </c>
      <c r="AX80" s="6173">
        <f>(AX77-AX79)/(AX19+AX20)</f>
        <v>7.1396651904395952E-2</v>
      </c>
      <c r="AY80" s="6174"/>
    </row>
    <row r="81" spans="1:52" s="254" customFormat="1" x14ac:dyDescent="0.35">
      <c r="A81" s="9168"/>
      <c r="B81" s="3193"/>
      <c r="C81" s="3194"/>
      <c r="D81" s="3195" t="s">
        <v>996</v>
      </c>
      <c r="E81" s="3196"/>
      <c r="F81" s="3197"/>
      <c r="G81" s="3196"/>
      <c r="H81" s="3198"/>
      <c r="I81" s="3199"/>
      <c r="J81" s="3200"/>
      <c r="K81" s="3196"/>
      <c r="L81" s="3198"/>
      <c r="M81" s="3200"/>
      <c r="N81" s="3196"/>
      <c r="O81" s="5351">
        <f>O79/O17</f>
        <v>0.28784822424736056</v>
      </c>
      <c r="P81" s="3194">
        <f>P79/P17</f>
        <v>0.2167434457452822</v>
      </c>
      <c r="Q81" s="3201"/>
      <c r="R81" s="3200"/>
      <c r="S81" s="3196"/>
      <c r="T81" s="5354">
        <f>T79/T17</f>
        <v>0.28611572156090409</v>
      </c>
      <c r="U81" s="3201"/>
      <c r="V81" s="5352">
        <f>V79/V17</f>
        <v>0.26809921706256468</v>
      </c>
      <c r="W81" s="3603"/>
      <c r="X81" s="5354">
        <f>X79/X17</f>
        <v>0.24917020926372141</v>
      </c>
      <c r="Y81" s="3201"/>
      <c r="Z81" s="5352">
        <f>Z79/Z17</f>
        <v>0.27806721297640957</v>
      </c>
      <c r="AA81" s="3603"/>
      <c r="AB81" s="5354">
        <f>AB79/AB17</f>
        <v>0.34815193749531242</v>
      </c>
      <c r="AC81" s="3201"/>
      <c r="AD81" s="5352">
        <f>AD79/AD17</f>
        <v>0.36677457287870169</v>
      </c>
      <c r="AE81" s="64">
        <f t="shared" si="106"/>
        <v>1.0534899662410755</v>
      </c>
      <c r="AF81" s="6172">
        <f>AF79/AF17</f>
        <v>0.25365368628538454</v>
      </c>
      <c r="AG81" s="3194">
        <f>AG79/AG17</f>
        <v>0.29886559889372744</v>
      </c>
      <c r="AH81" s="3201"/>
      <c r="AI81" s="3200"/>
      <c r="AJ81" s="3196"/>
      <c r="AK81" s="5354">
        <f>AK79/AK17</f>
        <v>0.29974998098686378</v>
      </c>
      <c r="AL81" s="3201"/>
      <c r="AM81" s="6173">
        <f>AM79/AM17</f>
        <v>0.31140316854317207</v>
      </c>
      <c r="AN81" s="6174"/>
      <c r="AO81" s="3201"/>
      <c r="AP81" s="3201"/>
      <c r="AQ81" s="6172">
        <f>AQ79/AQ17</f>
        <v>0.33802618444382476</v>
      </c>
      <c r="AR81" s="3194">
        <f>AR79/AR17</f>
        <v>0.32864504373024783</v>
      </c>
      <c r="AS81" s="3201"/>
      <c r="AT81" s="3200"/>
      <c r="AU81" s="3196"/>
      <c r="AV81" s="5354">
        <f>AV79/AV17</f>
        <v>0.2826410185565647</v>
      </c>
      <c r="AW81" s="3201"/>
      <c r="AX81" s="6173">
        <f>AX79/AX17</f>
        <v>0.29278472726996735</v>
      </c>
      <c r="AY81" s="6174"/>
      <c r="AZ81" s="3201"/>
    </row>
    <row r="82" spans="1:52" s="3201" customFormat="1" x14ac:dyDescent="0.35">
      <c r="A82" s="9168"/>
      <c r="B82" s="3193"/>
      <c r="C82" s="3194"/>
      <c r="D82" s="3202"/>
      <c r="E82" s="3196"/>
      <c r="F82" s="3197"/>
      <c r="G82" s="3196"/>
      <c r="H82" s="3198"/>
      <c r="I82" s="3199"/>
      <c r="J82" s="3200"/>
      <c r="K82" s="3196"/>
      <c r="L82" s="3198"/>
      <c r="M82" s="3200"/>
      <c r="N82" s="3196"/>
      <c r="O82" s="5351"/>
      <c r="P82" s="3194"/>
      <c r="R82" s="3200"/>
      <c r="S82" s="3196"/>
      <c r="T82" s="5354"/>
      <c r="V82" s="5352"/>
      <c r="W82" s="3603"/>
      <c r="X82" s="5354"/>
      <c r="Z82" s="5352"/>
      <c r="AA82" s="3603"/>
      <c r="AB82" s="5354"/>
      <c r="AD82" s="5352"/>
      <c r="AE82" s="64">
        <f t="shared" si="106"/>
        <v>0</v>
      </c>
      <c r="AF82" s="6172"/>
      <c r="AG82" s="3194"/>
      <c r="AI82" s="3200"/>
      <c r="AJ82" s="3196"/>
      <c r="AK82" s="5354"/>
      <c r="AM82" s="6173"/>
      <c r="AN82" s="6174"/>
      <c r="AQ82" s="6172"/>
      <c r="AR82" s="3194"/>
      <c r="AT82" s="3200"/>
      <c r="AU82" s="3196"/>
      <c r="AV82" s="5354"/>
      <c r="AX82" s="6173"/>
      <c r="AY82" s="6174"/>
    </row>
    <row r="83" spans="1:52" s="3201" customFormat="1" x14ac:dyDescent="0.35">
      <c r="A83" s="9168"/>
      <c r="B83" s="3193"/>
      <c r="C83" s="3194"/>
      <c r="D83" s="5353" t="s">
        <v>997</v>
      </c>
      <c r="E83" s="3196"/>
      <c r="F83" s="3197"/>
      <c r="G83" s="3196"/>
      <c r="H83" s="3198"/>
      <c r="I83" s="3199"/>
      <c r="J83" s="3200"/>
      <c r="K83" s="3196"/>
      <c r="L83" s="3198"/>
      <c r="M83" s="3200"/>
      <c r="N83" s="3196"/>
      <c r="O83" s="5351">
        <f>O77/O12</f>
        <v>0.23697157047082879</v>
      </c>
      <c r="P83" s="3194">
        <f>P77/P12</f>
        <v>0.23513281300983879</v>
      </c>
      <c r="R83" s="3200"/>
      <c r="S83" s="3196"/>
      <c r="T83" s="5354">
        <f>T77/T12</f>
        <v>0.22872380093772651</v>
      </c>
      <c r="V83" s="5352">
        <f>V77/V12</f>
        <v>0.22827984826347233</v>
      </c>
      <c r="W83" s="3603"/>
      <c r="X83" s="5354" t="e">
        <f>X77/X12</f>
        <v>#DIV/0!</v>
      </c>
      <c r="Z83" s="5352" t="e">
        <f>Z77/Z12</f>
        <v>#DIV/0!</v>
      </c>
      <c r="AA83" s="3603"/>
      <c r="AB83" s="5354">
        <f>AB77/AB12</f>
        <v>0.25967382613383949</v>
      </c>
      <c r="AD83" s="5352">
        <f>AD77/AD12</f>
        <v>0.15806362476876776</v>
      </c>
      <c r="AE83" s="64">
        <f t="shared" si="106"/>
        <v>0.60870064234852672</v>
      </c>
      <c r="AF83" s="6172">
        <f>AF77/AF12</f>
        <v>0.27573384114477767</v>
      </c>
      <c r="AG83" s="3194">
        <f>AG77/AG12</f>
        <v>0.22468846845444601</v>
      </c>
      <c r="AI83" s="3200"/>
      <c r="AJ83" s="3196"/>
      <c r="AK83" s="5354">
        <f>AK77/AK12</f>
        <v>0.23922764062789625</v>
      </c>
      <c r="AM83" s="6173">
        <f>AM77/AM12</f>
        <v>0.22244992918668932</v>
      </c>
      <c r="AN83" s="6174"/>
      <c r="AQ83" s="6172">
        <f>AQ77/AQ12</f>
        <v>0.2358423837470402</v>
      </c>
      <c r="AR83" s="3194">
        <f>AR77/AR12</f>
        <v>0.2301593502030142</v>
      </c>
      <c r="AT83" s="3200"/>
      <c r="AU83" s="3196"/>
      <c r="AV83" s="5354">
        <f>AV77/AV12</f>
        <v>0.28646008693853908</v>
      </c>
      <c r="AX83" s="6173">
        <f>AX77/AX12</f>
        <v>0.22920973193046396</v>
      </c>
      <c r="AY83" s="6174"/>
    </row>
    <row r="84" spans="1:52" s="3201" customFormat="1" x14ac:dyDescent="0.35">
      <c r="A84" s="9168"/>
      <c r="B84" s="1739"/>
      <c r="C84" s="1740"/>
      <c r="D84" s="1741" t="s">
        <v>998</v>
      </c>
      <c r="E84" s="1742"/>
      <c r="F84" s="2966"/>
      <c r="G84" s="1742"/>
      <c r="H84" s="572"/>
      <c r="I84" s="1993"/>
      <c r="J84" s="247"/>
      <c r="K84" s="1742"/>
      <c r="L84" s="572"/>
      <c r="M84" s="247"/>
      <c r="N84" s="1742"/>
      <c r="O84" s="1994"/>
      <c r="P84" s="1740"/>
      <c r="Q84" s="254"/>
      <c r="R84" s="247"/>
      <c r="S84" s="1742"/>
      <c r="T84" s="71">
        <f>T77-SUM(T67:T69)</f>
        <v>211118394</v>
      </c>
      <c r="U84" s="254"/>
      <c r="V84" s="3203"/>
      <c r="W84" s="235"/>
      <c r="X84" s="71">
        <f>X77-SUM(X67:X69)</f>
        <v>254454570</v>
      </c>
      <c r="Y84" s="254"/>
      <c r="Z84" s="3203"/>
      <c r="AA84" s="235"/>
      <c r="AB84" s="71">
        <f>AB77-SUM(AB67:AB69)</f>
        <v>269232160</v>
      </c>
      <c r="AC84" s="254"/>
      <c r="AD84" s="3203"/>
      <c r="AE84" s="64">
        <f t="shared" si="106"/>
        <v>0</v>
      </c>
      <c r="AF84" s="6175">
        <f>AF77-SUM(AF67:AF69)</f>
        <v>273918379.10347581</v>
      </c>
      <c r="AG84" s="72">
        <f>AG77-SUM(AG67:AG69)</f>
        <v>237495346.33053631</v>
      </c>
      <c r="AH84" s="254"/>
      <c r="AI84" s="247"/>
      <c r="AJ84" s="1742"/>
      <c r="AK84" s="71">
        <f>AK77-SUM(AK67:AK69)</f>
        <v>255004955.4551034</v>
      </c>
      <c r="AL84" s="254"/>
      <c r="AM84" s="72"/>
      <c r="AN84" s="247"/>
      <c r="AO84" s="254"/>
      <c r="AP84" s="254"/>
      <c r="AQ84" s="6175"/>
      <c r="AR84" s="72"/>
      <c r="AS84" s="254"/>
      <c r="AT84" s="247"/>
      <c r="AU84" s="1742"/>
      <c r="AV84" s="71"/>
      <c r="AW84" s="254"/>
      <c r="AX84" s="72"/>
      <c r="AY84" s="247"/>
      <c r="AZ84" s="254"/>
    </row>
    <row r="85" spans="1:52" s="3201" customFormat="1" x14ac:dyDescent="0.35">
      <c r="A85" s="9168"/>
      <c r="B85" s="3193"/>
      <c r="C85" s="3194"/>
      <c r="D85" s="5353" t="s">
        <v>999</v>
      </c>
      <c r="E85" s="3196"/>
      <c r="F85" s="3197"/>
      <c r="G85" s="3196"/>
      <c r="H85" s="3198"/>
      <c r="I85" s="3199"/>
      <c r="J85" s="3200"/>
      <c r="K85" s="3196"/>
      <c r="L85" s="3198"/>
      <c r="M85" s="3200"/>
      <c r="N85" s="3196"/>
      <c r="O85" s="5351"/>
      <c r="P85" s="3194"/>
      <c r="R85" s="3200"/>
      <c r="S85" s="3196"/>
      <c r="T85" s="5354">
        <f>T84/T12</f>
        <v>0.22209032218700459</v>
      </c>
      <c r="V85" s="3202"/>
      <c r="W85" s="3603"/>
      <c r="X85" s="5354" t="e">
        <f>X84/X12</f>
        <v>#DIV/0!</v>
      </c>
      <c r="Z85" s="3202"/>
      <c r="AA85" s="3603"/>
      <c r="AB85" s="5354">
        <f>AB84/AB12</f>
        <v>0.25967382613383949</v>
      </c>
      <c r="AD85" s="3202"/>
      <c r="AE85" s="64">
        <f t="shared" si="106"/>
        <v>0</v>
      </c>
      <c r="AF85" s="6172">
        <f>AF84/AF12</f>
        <v>0.26419367415162853</v>
      </c>
      <c r="AG85" s="3194">
        <f>AG84/AG12</f>
        <v>0.21472195703915883</v>
      </c>
      <c r="AI85" s="3200"/>
      <c r="AJ85" s="3196"/>
      <c r="AK85" s="5354">
        <f>AK84/AK12</f>
        <v>0.22876965178804984</v>
      </c>
      <c r="AM85" s="6173">
        <f>AM84/AM12</f>
        <v>0</v>
      </c>
      <c r="AN85" s="3200"/>
      <c r="AQ85" s="6172"/>
      <c r="AR85" s="3194"/>
      <c r="AS85" s="254"/>
      <c r="AT85" s="3200"/>
      <c r="AU85" s="3196"/>
      <c r="AV85" s="5354"/>
      <c r="AX85" s="6173"/>
      <c r="AY85" s="3200"/>
    </row>
    <row r="86" spans="1:52" s="462" customFormat="1" x14ac:dyDescent="0.35">
      <c r="A86" s="9168"/>
      <c r="B86" s="3193"/>
      <c r="C86" s="3194"/>
      <c r="D86" s="3202"/>
      <c r="E86" s="3196"/>
      <c r="F86" s="3197"/>
      <c r="G86" s="3196"/>
      <c r="H86" s="3198"/>
      <c r="I86" s="3199"/>
      <c r="J86" s="3200"/>
      <c r="K86" s="3196"/>
      <c r="L86" s="3198"/>
      <c r="M86" s="3200"/>
      <c r="N86" s="3196"/>
      <c r="O86" s="5351"/>
      <c r="P86" s="3194"/>
      <c r="Q86" s="3201"/>
      <c r="R86" s="3200"/>
      <c r="S86" s="3196"/>
      <c r="T86" s="5354"/>
      <c r="U86" s="3201"/>
      <c r="V86" s="3202"/>
      <c r="W86" s="3603"/>
      <c r="X86" s="5354"/>
      <c r="Y86" s="3201"/>
      <c r="Z86" s="3202"/>
      <c r="AA86" s="3603"/>
      <c r="AB86" s="5354"/>
      <c r="AC86" s="3201"/>
      <c r="AD86" s="3202"/>
      <c r="AE86" s="64">
        <f t="shared" si="106"/>
        <v>0</v>
      </c>
      <c r="AF86" s="6172"/>
      <c r="AG86" s="3194"/>
      <c r="AH86" s="3201"/>
      <c r="AI86" s="3200"/>
      <c r="AJ86" s="3196"/>
      <c r="AK86" s="5354"/>
      <c r="AL86" s="3201"/>
      <c r="AM86" s="6173"/>
      <c r="AN86" s="3200"/>
      <c r="AO86" s="3201"/>
      <c r="AP86" s="3201"/>
      <c r="AQ86" s="6172"/>
      <c r="AR86" s="3194"/>
      <c r="AS86" s="3201"/>
      <c r="AT86" s="3200"/>
      <c r="AU86" s="3196"/>
      <c r="AV86" s="5354"/>
      <c r="AW86" s="3201"/>
      <c r="AX86" s="6173"/>
      <c r="AY86" s="3200"/>
      <c r="AZ86" s="3201"/>
    </row>
    <row r="87" spans="1:52" s="462" customFormat="1" x14ac:dyDescent="0.35">
      <c r="A87" s="9168"/>
      <c r="B87" s="3193"/>
      <c r="C87" s="3194"/>
      <c r="D87" s="3204" t="s">
        <v>1000</v>
      </c>
      <c r="E87" s="3205"/>
      <c r="F87" s="3206"/>
      <c r="G87" s="5355"/>
      <c r="H87" s="3207"/>
      <c r="I87" s="3208"/>
      <c r="J87" s="429"/>
      <c r="K87" s="5355"/>
      <c r="L87" s="3207"/>
      <c r="M87" s="429"/>
      <c r="N87" s="5355"/>
      <c r="O87" s="5367"/>
      <c r="P87" s="3211"/>
      <c r="Q87" s="5356"/>
      <c r="R87" s="429"/>
      <c r="S87" s="5355"/>
      <c r="T87" s="3209"/>
      <c r="U87" s="5356"/>
      <c r="V87" s="3210"/>
      <c r="W87" s="3603"/>
      <c r="X87" s="3209"/>
      <c r="Y87" s="5356"/>
      <c r="Z87" s="3210"/>
      <c r="AA87" s="3603"/>
      <c r="AB87" s="3209"/>
      <c r="AC87" s="5356"/>
      <c r="AD87" s="3210"/>
      <c r="AE87" s="64">
        <f t="shared" si="106"/>
        <v>0</v>
      </c>
      <c r="AF87" s="6176"/>
      <c r="AG87" s="3211"/>
      <c r="AH87" s="5356"/>
      <c r="AI87" s="429"/>
      <c r="AJ87" s="5355"/>
      <c r="AK87" s="3209"/>
      <c r="AL87" s="5356"/>
      <c r="AM87" s="5844"/>
      <c r="AN87" s="429"/>
      <c r="AO87" s="3201"/>
      <c r="AP87" s="3201"/>
      <c r="AQ87" s="6176">
        <f>(AQ35+AQ50)/AQ79</f>
        <v>0.45712288898793063</v>
      </c>
      <c r="AR87" s="3211">
        <f>(AR35+AR50)/AR79</f>
        <v>0.47538609936047627</v>
      </c>
      <c r="AS87" s="5356"/>
      <c r="AT87" s="429"/>
      <c r="AU87" s="5355"/>
      <c r="AV87" s="3209">
        <f>(AV35+AV50)/AV79</f>
        <v>0.46613382619810884</v>
      </c>
      <c r="AW87" s="5356"/>
      <c r="AX87" s="5844">
        <f>(AX35+AX50)/AX79</f>
        <v>0.46868116442764546</v>
      </c>
      <c r="AY87" s="429"/>
      <c r="AZ87" s="3201"/>
    </row>
    <row r="88" spans="1:52" s="462" customFormat="1" ht="12" customHeight="1" x14ac:dyDescent="0.35">
      <c r="A88" s="9169"/>
      <c r="B88" s="3212"/>
      <c r="C88" s="3213"/>
      <c r="D88" s="3204" t="s">
        <v>1001</v>
      </c>
      <c r="E88" s="3214"/>
      <c r="F88" s="434"/>
      <c r="G88" s="5357"/>
      <c r="H88" s="436"/>
      <c r="I88" s="437"/>
      <c r="J88" s="438"/>
      <c r="K88" s="5357"/>
      <c r="L88" s="436"/>
      <c r="M88" s="440"/>
      <c r="N88" s="5357"/>
      <c r="O88" s="3215">
        <f>O35/O77</f>
        <v>0.42248636847679388</v>
      </c>
      <c r="P88" s="3215">
        <f>P35/P77</f>
        <v>0.44551616692325352</v>
      </c>
      <c r="Q88" s="2973"/>
      <c r="R88" s="438"/>
      <c r="S88" s="5357"/>
      <c r="T88" s="3215">
        <f>T35/T77</f>
        <v>0.46415178269126939</v>
      </c>
      <c r="U88" s="2973"/>
      <c r="V88" s="3215">
        <f>V35/V77</f>
        <v>0.48659939803115743</v>
      </c>
      <c r="W88" s="3603"/>
      <c r="X88" s="3215">
        <f>X35/X77</f>
        <v>0.36305380187519704</v>
      </c>
      <c r="Y88" s="2973"/>
      <c r="Z88" s="3215">
        <f>Z35/Z77</f>
        <v>0.40485030335517236</v>
      </c>
      <c r="AA88" s="3603"/>
      <c r="AB88" s="3215">
        <f>AB35/AB77</f>
        <v>0.39425009255952187</v>
      </c>
      <c r="AC88" s="2973"/>
      <c r="AD88" s="3215">
        <f>AD35/AD77</f>
        <v>0.47649446786816579</v>
      </c>
      <c r="AE88" s="64">
        <f t="shared" si="106"/>
        <v>1.2086096537725659</v>
      </c>
      <c r="AF88" s="6177">
        <f>AF35/AF77</f>
        <v>0.35303336388846568</v>
      </c>
      <c r="AG88" s="5846">
        <f>AG35/AG77</f>
        <v>0.40278223509872768</v>
      </c>
      <c r="AH88" s="2973"/>
      <c r="AI88" s="438"/>
      <c r="AJ88" s="5357"/>
      <c r="AK88" s="3215">
        <f>AK35/AK77</f>
        <v>0.38857796559471541</v>
      </c>
      <c r="AL88" s="2973"/>
      <c r="AM88" s="5846">
        <f>AM35/AM77</f>
        <v>0.4139122773221523</v>
      </c>
      <c r="AN88" s="1526"/>
      <c r="AO88" s="3201"/>
      <c r="AP88" s="3201"/>
      <c r="AQ88" s="6177">
        <f>(AQ35+AQ50)/AQ77</f>
        <v>0.38857796559471541</v>
      </c>
      <c r="AR88" s="5846">
        <f>(AR35+AR50)/AR77</f>
        <v>0.38422240174477162</v>
      </c>
      <c r="AS88" s="2973"/>
      <c r="AT88" s="438"/>
      <c r="AU88" s="5357"/>
      <c r="AV88" s="3215">
        <f>(AV35+AV50)/AV77</f>
        <v>0.38418843339454439</v>
      </c>
      <c r="AW88" s="2973"/>
      <c r="AX88" s="5846">
        <f>(AX35+AX50)/AX77</f>
        <v>0.38958876199860076</v>
      </c>
      <c r="AY88" s="1526"/>
      <c r="AZ88" s="3201"/>
    </row>
    <row r="89" spans="1:52" s="462" customFormat="1" ht="12" x14ac:dyDescent="0.3">
      <c r="C89" s="456"/>
      <c r="D89" s="5"/>
      <c r="E89" s="456"/>
      <c r="F89" s="456"/>
      <c r="G89" s="456"/>
      <c r="H89" s="459"/>
      <c r="I89" s="459"/>
      <c r="J89" s="7"/>
      <c r="K89" s="456"/>
      <c r="N89" s="456"/>
      <c r="S89" s="456"/>
      <c r="W89" s="456"/>
      <c r="AA89" s="456"/>
      <c r="AE89" s="456"/>
      <c r="AJ89" s="456"/>
      <c r="AU89" s="456"/>
    </row>
    <row r="90" spans="1:52" s="462" customFormat="1" ht="12" x14ac:dyDescent="0.3">
      <c r="A90" s="576" t="s">
        <v>582</v>
      </c>
      <c r="B90" s="576"/>
      <c r="C90" s="456"/>
      <c r="D90" s="5"/>
      <c r="E90" s="456"/>
      <c r="F90" s="456"/>
      <c r="G90" s="456"/>
      <c r="H90" s="459"/>
      <c r="I90" s="459"/>
      <c r="J90" s="7"/>
      <c r="K90" s="456"/>
      <c r="N90" s="456"/>
      <c r="S90" s="456"/>
      <c r="W90" s="456"/>
      <c r="AA90" s="456"/>
      <c r="AE90" s="456"/>
      <c r="AJ90" s="456"/>
      <c r="AU90" s="456"/>
    </row>
    <row r="91" spans="1:52" s="462" customFormat="1" ht="12" x14ac:dyDescent="0.3">
      <c r="A91" s="463">
        <v>1</v>
      </c>
      <c r="B91" s="464"/>
      <c r="D91" s="465"/>
      <c r="E91" s="466"/>
      <c r="F91" s="466"/>
      <c r="G91" s="466"/>
      <c r="H91" s="466"/>
      <c r="I91" s="466"/>
      <c r="J91" s="467"/>
      <c r="K91" s="466"/>
      <c r="L91" s="466"/>
      <c r="M91" s="466"/>
      <c r="N91" s="466"/>
      <c r="O91" s="466"/>
      <c r="P91" s="466"/>
      <c r="Q91" s="466"/>
      <c r="R91" s="466"/>
      <c r="S91" s="466"/>
      <c r="T91" s="466"/>
      <c r="U91" s="466"/>
      <c r="V91" s="466"/>
      <c r="W91" s="456"/>
      <c r="X91" s="466"/>
      <c r="Y91" s="466"/>
      <c r="Z91" s="466"/>
      <c r="AA91" s="456"/>
      <c r="AB91" s="466"/>
      <c r="AC91" s="466"/>
      <c r="AD91" s="466"/>
      <c r="AE91" s="456"/>
      <c r="AF91" s="466"/>
      <c r="AG91" s="466"/>
      <c r="AH91" s="466"/>
      <c r="AI91" s="466"/>
      <c r="AJ91" s="466"/>
      <c r="AK91" s="466"/>
      <c r="AL91" s="466"/>
      <c r="AM91" s="466"/>
      <c r="AN91" s="466"/>
      <c r="AO91" s="577"/>
      <c r="AP91" s="577"/>
      <c r="AQ91" s="466"/>
      <c r="AR91" s="466"/>
      <c r="AS91" s="466"/>
      <c r="AT91" s="466"/>
      <c r="AU91" s="466"/>
      <c r="AV91" s="466"/>
      <c r="AW91" s="466"/>
      <c r="AX91" s="466"/>
      <c r="AY91" s="466"/>
    </row>
    <row r="92" spans="1:52" s="462" customFormat="1" ht="12" x14ac:dyDescent="0.3">
      <c r="A92" s="468">
        <v>2</v>
      </c>
      <c r="B92" s="469"/>
      <c r="D92" s="5"/>
      <c r="E92" s="456"/>
      <c r="F92" s="456"/>
      <c r="G92" s="456"/>
      <c r="H92" s="459"/>
      <c r="I92" s="459"/>
      <c r="J92" s="7"/>
      <c r="K92" s="456"/>
      <c r="N92" s="456"/>
      <c r="S92" s="456"/>
      <c r="W92" s="456"/>
      <c r="AA92" s="456"/>
      <c r="AE92" s="456"/>
      <c r="AJ92" s="456"/>
      <c r="AO92" s="577"/>
      <c r="AP92" s="577"/>
      <c r="AU92" s="456"/>
    </row>
    <row r="93" spans="1:52" s="462" customFormat="1" ht="12" x14ac:dyDescent="0.3">
      <c r="A93" s="468"/>
      <c r="B93" s="469"/>
      <c r="D93" s="5"/>
      <c r="E93" s="456"/>
      <c r="F93" s="456"/>
      <c r="G93" s="456"/>
      <c r="H93" s="459"/>
      <c r="I93" s="459"/>
      <c r="J93" s="7"/>
      <c r="K93" s="456"/>
      <c r="N93" s="456"/>
      <c r="S93" s="456"/>
      <c r="W93" s="456"/>
      <c r="AA93" s="456"/>
      <c r="AE93" s="456"/>
      <c r="AJ93" s="456"/>
      <c r="AO93" s="577"/>
      <c r="AP93" s="577"/>
      <c r="AU93" s="456"/>
    </row>
    <row r="94" spans="1:52" s="462" customFormat="1" ht="12" x14ac:dyDescent="0.3">
      <c r="A94" s="468"/>
      <c r="B94" s="469"/>
      <c r="D94" s="5"/>
      <c r="E94" s="456"/>
      <c r="F94" s="456"/>
      <c r="G94" s="456"/>
      <c r="H94" s="459"/>
      <c r="I94" s="459"/>
      <c r="J94" s="7"/>
      <c r="K94" s="456"/>
      <c r="N94" s="456"/>
      <c r="S94" s="456"/>
      <c r="W94" s="456"/>
      <c r="AA94" s="456"/>
      <c r="AE94" s="456"/>
      <c r="AJ94" s="456"/>
      <c r="AO94" s="577"/>
      <c r="AP94" s="577"/>
      <c r="AU94" s="456"/>
    </row>
    <row r="95" spans="1:52" s="462" customFormat="1" ht="12" x14ac:dyDescent="0.3">
      <c r="A95" s="468"/>
      <c r="B95" s="469"/>
      <c r="D95" s="5"/>
      <c r="E95" s="456"/>
      <c r="F95" s="456"/>
      <c r="G95" s="456"/>
      <c r="H95" s="459"/>
      <c r="I95" s="459"/>
      <c r="J95" s="7"/>
      <c r="K95" s="456"/>
      <c r="N95" s="456"/>
      <c r="S95" s="456"/>
      <c r="W95" s="456"/>
      <c r="AA95" s="456"/>
      <c r="AE95" s="456"/>
      <c r="AJ95" s="456"/>
      <c r="AO95" s="577"/>
      <c r="AP95" s="577"/>
      <c r="AU95" s="456"/>
    </row>
    <row r="96" spans="1:52" s="462" customFormat="1" ht="12" x14ac:dyDescent="0.3">
      <c r="A96" s="468"/>
      <c r="B96" s="469"/>
      <c r="D96" s="5"/>
      <c r="E96" s="456"/>
      <c r="F96" s="456"/>
      <c r="G96" s="456"/>
      <c r="H96" s="459"/>
      <c r="I96" s="459"/>
      <c r="J96" s="7"/>
      <c r="K96" s="456"/>
      <c r="N96" s="456"/>
      <c r="S96" s="456"/>
      <c r="W96" s="456"/>
      <c r="AA96" s="456"/>
      <c r="AE96" s="456"/>
      <c r="AJ96" s="456"/>
      <c r="AO96" s="577"/>
      <c r="AP96" s="577"/>
      <c r="AU96" s="456"/>
    </row>
    <row r="97" spans="1:52" s="462" customFormat="1" ht="12" x14ac:dyDescent="0.3">
      <c r="A97" s="468"/>
      <c r="B97" s="469"/>
      <c r="D97" s="5"/>
      <c r="E97" s="456"/>
      <c r="F97" s="456"/>
      <c r="G97" s="456"/>
      <c r="H97" s="459"/>
      <c r="I97" s="459"/>
      <c r="J97" s="7"/>
      <c r="K97" s="456"/>
      <c r="N97" s="456"/>
      <c r="S97" s="456"/>
      <c r="W97" s="456"/>
      <c r="AA97" s="456"/>
      <c r="AE97" s="456"/>
      <c r="AJ97" s="456"/>
      <c r="AO97" s="577"/>
      <c r="AP97" s="577"/>
      <c r="AU97" s="456"/>
    </row>
    <row r="98" spans="1:52" s="462" customFormat="1" ht="12" x14ac:dyDescent="0.3">
      <c r="A98" s="468"/>
      <c r="B98" s="469"/>
      <c r="D98" s="5"/>
      <c r="E98" s="456"/>
      <c r="F98" s="456"/>
      <c r="G98" s="456"/>
      <c r="H98" s="459"/>
      <c r="I98" s="459"/>
      <c r="J98" s="7"/>
      <c r="K98" s="456"/>
      <c r="N98" s="456"/>
      <c r="S98" s="456"/>
      <c r="W98" s="456"/>
      <c r="AA98" s="456"/>
      <c r="AE98" s="456"/>
      <c r="AJ98" s="456"/>
      <c r="AO98" s="577"/>
      <c r="AP98" s="577"/>
      <c r="AU98" s="456"/>
    </row>
    <row r="99" spans="1:52" s="462" customFormat="1" ht="12" x14ac:dyDescent="0.3">
      <c r="A99" s="468"/>
      <c r="B99" s="469"/>
      <c r="D99" s="5"/>
      <c r="E99" s="456"/>
      <c r="F99" s="456"/>
      <c r="G99" s="456"/>
      <c r="H99" s="459"/>
      <c r="I99" s="459"/>
      <c r="J99" s="7"/>
      <c r="K99" s="456"/>
      <c r="N99" s="456"/>
      <c r="S99" s="456"/>
      <c r="W99" s="456"/>
      <c r="AA99" s="456"/>
      <c r="AE99" s="456"/>
      <c r="AJ99" s="456"/>
      <c r="AO99" s="577"/>
      <c r="AP99" s="577"/>
      <c r="AU99" s="456"/>
    </row>
    <row r="100" spans="1:52" s="462" customFormat="1" ht="12" x14ac:dyDescent="0.3">
      <c r="A100" s="468"/>
      <c r="B100" s="469"/>
      <c r="D100" s="5"/>
      <c r="E100" s="456"/>
      <c r="F100" s="456"/>
      <c r="G100" s="456"/>
      <c r="H100" s="459"/>
      <c r="I100" s="459"/>
      <c r="J100" s="7"/>
      <c r="K100" s="456"/>
      <c r="N100" s="456"/>
      <c r="S100" s="456"/>
      <c r="W100" s="456"/>
      <c r="AA100" s="456"/>
      <c r="AE100" s="456"/>
      <c r="AJ100" s="456"/>
      <c r="AO100" s="577"/>
      <c r="AP100" s="577"/>
      <c r="AU100" s="456"/>
    </row>
    <row r="101" spans="1:52" s="462" customFormat="1" ht="12" x14ac:dyDescent="0.3">
      <c r="A101" s="468"/>
      <c r="B101" s="469"/>
      <c r="D101" s="5"/>
      <c r="E101" s="456"/>
      <c r="F101" s="456"/>
      <c r="G101" s="456"/>
      <c r="H101" s="459"/>
      <c r="I101" s="459"/>
      <c r="J101" s="7"/>
      <c r="K101" s="456"/>
      <c r="N101" s="456"/>
      <c r="S101" s="456"/>
      <c r="W101" s="456"/>
      <c r="AA101" s="456"/>
      <c r="AE101" s="456"/>
      <c r="AJ101" s="456"/>
      <c r="AO101" s="577"/>
      <c r="AP101" s="577"/>
      <c r="AU101" s="456"/>
    </row>
    <row r="102" spans="1:52" s="462" customFormat="1" ht="12" x14ac:dyDescent="0.3">
      <c r="A102" s="468"/>
      <c r="B102" s="469"/>
      <c r="D102" s="5"/>
      <c r="E102" s="456"/>
      <c r="F102" s="456"/>
      <c r="G102" s="456"/>
      <c r="H102" s="459"/>
      <c r="I102" s="459"/>
      <c r="J102" s="7"/>
      <c r="K102" s="456"/>
      <c r="N102" s="456"/>
      <c r="S102" s="456"/>
      <c r="W102" s="456"/>
      <c r="AA102" s="456"/>
      <c r="AE102" s="456"/>
      <c r="AJ102" s="456"/>
      <c r="AO102" s="577"/>
      <c r="AP102" s="577"/>
      <c r="AU102" s="456"/>
    </row>
    <row r="103" spans="1:52" s="462" customFormat="1" ht="93" customHeight="1" x14ac:dyDescent="0.3">
      <c r="A103" s="468"/>
      <c r="B103" s="469"/>
      <c r="D103" s="5"/>
      <c r="E103" s="456"/>
      <c r="F103" s="456"/>
      <c r="G103" s="456"/>
      <c r="H103" s="459"/>
      <c r="I103" s="459"/>
      <c r="J103" s="7"/>
      <c r="K103" s="456"/>
      <c r="N103" s="456"/>
      <c r="S103" s="456"/>
      <c r="W103" s="456"/>
      <c r="AA103" s="456"/>
      <c r="AE103" s="456"/>
      <c r="AJ103" s="456"/>
      <c r="AO103" s="577"/>
      <c r="AP103" s="577"/>
      <c r="AU103" s="456"/>
    </row>
    <row r="104" spans="1:52" x14ac:dyDescent="0.35">
      <c r="A104" s="468"/>
      <c r="B104" s="469"/>
      <c r="C104" s="462"/>
      <c r="E104" s="456"/>
      <c r="F104" s="456"/>
      <c r="G104" s="456"/>
      <c r="H104" s="459"/>
      <c r="I104" s="459"/>
      <c r="K104" s="456"/>
      <c r="L104" s="462"/>
      <c r="M104" s="462"/>
      <c r="N104" s="456"/>
      <c r="O104" s="462"/>
      <c r="P104" s="462"/>
      <c r="Q104" s="462"/>
      <c r="R104" s="462"/>
      <c r="S104" s="456"/>
      <c r="T104" s="462"/>
      <c r="U104" s="462"/>
      <c r="V104" s="462"/>
      <c r="W104" s="456"/>
      <c r="X104" s="462"/>
      <c r="Y104" s="462"/>
      <c r="Z104" s="462"/>
      <c r="AA104" s="456"/>
      <c r="AB104" s="462"/>
      <c r="AC104" s="462"/>
      <c r="AD104" s="462"/>
      <c r="AE104" s="456"/>
      <c r="AF104" s="462"/>
      <c r="AG104" s="462"/>
      <c r="AH104" s="462"/>
      <c r="AI104" s="462"/>
      <c r="AJ104" s="456"/>
      <c r="AK104" s="462"/>
      <c r="AL104" s="462"/>
      <c r="AM104" s="462"/>
      <c r="AN104" s="462"/>
      <c r="AO104" s="577"/>
      <c r="AP104" s="577"/>
      <c r="AQ104" s="462"/>
      <c r="AR104" s="462"/>
      <c r="AS104" s="462"/>
      <c r="AT104" s="462"/>
      <c r="AU104" s="456"/>
      <c r="AV104" s="462"/>
      <c r="AW104" s="462"/>
      <c r="AX104" s="462"/>
      <c r="AY104" s="462"/>
      <c r="AZ104" s="462"/>
    </row>
    <row r="105" spans="1:52" x14ac:dyDescent="0.35">
      <c r="A105" s="455" t="s">
        <v>1002</v>
      </c>
      <c r="B105" s="455"/>
      <c r="C105" s="456"/>
      <c r="E105" s="456"/>
      <c r="F105" s="456"/>
      <c r="G105" s="456"/>
      <c r="H105" s="459"/>
      <c r="I105" s="459"/>
      <c r="K105" s="456"/>
      <c r="L105" s="462"/>
      <c r="M105" s="462"/>
      <c r="N105" s="456"/>
      <c r="O105" s="462"/>
      <c r="P105" s="462"/>
      <c r="Q105" s="462"/>
      <c r="R105" s="462"/>
      <c r="S105" s="456"/>
      <c r="T105" s="462"/>
      <c r="U105" s="462"/>
      <c r="V105" s="462"/>
      <c r="W105" s="456"/>
      <c r="X105" s="462"/>
      <c r="Y105" s="462"/>
      <c r="Z105" s="462"/>
      <c r="AA105" s="456"/>
      <c r="AB105" s="462"/>
      <c r="AC105" s="462"/>
      <c r="AD105" s="462"/>
      <c r="AE105" s="456"/>
      <c r="AF105" s="462"/>
      <c r="AG105" s="462"/>
      <c r="AH105" s="462"/>
      <c r="AI105" s="462"/>
      <c r="AJ105" s="456"/>
      <c r="AK105" s="462"/>
      <c r="AL105" s="462"/>
      <c r="AM105" s="462"/>
      <c r="AN105" s="462"/>
      <c r="AO105" s="577"/>
      <c r="AP105" s="577"/>
      <c r="AQ105" s="462"/>
      <c r="AR105" s="462"/>
      <c r="AS105" s="462"/>
      <c r="AT105" s="462"/>
      <c r="AU105" s="456"/>
      <c r="AV105" s="462"/>
      <c r="AW105" s="462"/>
      <c r="AX105" s="462"/>
      <c r="AY105" s="462"/>
      <c r="AZ105" s="462"/>
    </row>
    <row r="106" spans="1:52" x14ac:dyDescent="0.35">
      <c r="A106" s="9170" t="s">
        <v>1003</v>
      </c>
      <c r="B106" s="9171"/>
      <c r="C106" s="9171"/>
      <c r="D106" s="9171"/>
      <c r="E106" s="9171"/>
      <c r="F106" s="9171"/>
      <c r="G106" s="9171"/>
      <c r="H106" s="9171"/>
      <c r="I106" s="9171"/>
      <c r="J106" s="9171"/>
      <c r="K106" s="9171"/>
      <c r="L106" s="9171"/>
      <c r="M106" s="9172"/>
      <c r="N106" s="2978"/>
      <c r="O106" s="2978"/>
      <c r="P106" s="2978"/>
      <c r="Q106" s="2978"/>
      <c r="R106" s="2978"/>
      <c r="S106" s="2978"/>
      <c r="T106" s="2978"/>
      <c r="U106" s="2978"/>
      <c r="V106" s="2978"/>
      <c r="W106" s="456"/>
      <c r="X106" s="2978"/>
      <c r="Y106" s="2978"/>
      <c r="Z106" s="2978"/>
      <c r="AA106" s="456"/>
      <c r="AB106" s="2978"/>
      <c r="AC106" s="2978"/>
      <c r="AD106" s="2978"/>
      <c r="AE106" s="456"/>
      <c r="AF106" s="2978"/>
      <c r="AG106" s="2978"/>
      <c r="AH106" s="2978"/>
      <c r="AI106" s="2978"/>
      <c r="AJ106" s="2978"/>
      <c r="AK106" s="2978"/>
      <c r="AL106" s="2978"/>
      <c r="AM106" s="2978"/>
      <c r="AN106" s="2978"/>
      <c r="AO106" s="577"/>
      <c r="AP106" s="577"/>
      <c r="AQ106" s="2978"/>
      <c r="AR106" s="2978"/>
      <c r="AS106" s="2978"/>
      <c r="AT106" s="2978"/>
      <c r="AU106" s="2978"/>
      <c r="AV106" s="2978"/>
      <c r="AW106" s="2978"/>
      <c r="AX106" s="2978"/>
      <c r="AY106" s="2978"/>
      <c r="AZ106" s="462"/>
    </row>
  </sheetData>
  <mergeCells count="42">
    <mergeCell ref="A106:M106"/>
    <mergeCell ref="AQ7:AT7"/>
    <mergeCell ref="AV7:AX7"/>
    <mergeCell ref="A10:A31"/>
    <mergeCell ref="A33:A70"/>
    <mergeCell ref="A72:A88"/>
    <mergeCell ref="H7:I7"/>
    <mergeCell ref="J7:J8"/>
    <mergeCell ref="L7:M7"/>
    <mergeCell ref="AQ1:AX1"/>
    <mergeCell ref="AQ4:AT4"/>
    <mergeCell ref="AV4:AX4"/>
    <mergeCell ref="AQ5:AT5"/>
    <mergeCell ref="AV5:AX5"/>
    <mergeCell ref="O1:V1"/>
    <mergeCell ref="X1:Z1"/>
    <mergeCell ref="AB1:AD1"/>
    <mergeCell ref="H4:J4"/>
    <mergeCell ref="L4:M4"/>
    <mergeCell ref="O4:R4"/>
    <mergeCell ref="T4:V4"/>
    <mergeCell ref="X4:Z4"/>
    <mergeCell ref="AB4:AD4"/>
    <mergeCell ref="F1:M1"/>
    <mergeCell ref="AB5:AD5"/>
    <mergeCell ref="AF7:AI7"/>
    <mergeCell ref="AK7:AM7"/>
    <mergeCell ref="H5:J5"/>
    <mergeCell ref="L5:M5"/>
    <mergeCell ref="O5:R5"/>
    <mergeCell ref="T5:V5"/>
    <mergeCell ref="X5:Z5"/>
    <mergeCell ref="AB7:AD7"/>
    <mergeCell ref="O7:R7"/>
    <mergeCell ref="T7:V7"/>
    <mergeCell ref="X7:Z7"/>
    <mergeCell ref="AF1:AM1"/>
    <mergeCell ref="AF4:AI4"/>
    <mergeCell ref="AK4:AM4"/>
    <mergeCell ref="AO4:AO5"/>
    <mergeCell ref="AF5:AI5"/>
    <mergeCell ref="AK5:AM5"/>
  </mergeCells>
  <hyperlinks>
    <hyperlink ref="O33" r:id="rId1" xr:uid="{82E103FC-5425-4758-801F-F6BBEAB4ADB8}"/>
    <hyperlink ref="AB33" r:id="rId2" xr:uid="{33B33DD6-A3CF-43D6-B351-2F1F857070BD}"/>
    <hyperlink ref="X33" r:id="rId3" xr:uid="{6082006F-4D91-42BC-832B-FE60B4A5037F}"/>
    <hyperlink ref="AD10" r:id="rId4" xr:uid="{BEDB855E-1B7E-4925-A308-A0F5FEA13463}"/>
    <hyperlink ref="AG9" r:id="rId5" xr:uid="{F8B723E9-8BBD-4553-90AA-3CD9D10B07A7}"/>
    <hyperlink ref="AF9" r:id="rId6" xr:uid="{93D0C7D6-8A2D-40F7-A50E-5AD0D9D012CB}"/>
    <hyperlink ref="AM9" r:id="rId7" xr:uid="{80AEB71C-9BCA-427D-9120-62E26D179375}"/>
    <hyperlink ref="AK9" r:id="rId8" xr:uid="{D2610290-9EE7-41CB-9714-9141E7797F77}"/>
    <hyperlink ref="AR9" r:id="rId9" xr:uid="{9D73CDF9-CEE5-4359-BE24-2F3C38A3364F}"/>
    <hyperlink ref="AQ9" r:id="rId10" xr:uid="{F7431ADC-456B-444F-9194-E7B54CAB14DD}"/>
    <hyperlink ref="AX9" r:id="rId11" xr:uid="{61668271-BDEF-4F86-80F1-8617E1C6E8A1}"/>
    <hyperlink ref="AV9" r:id="rId12" xr:uid="{C8011497-20A7-435F-9B92-4B8EBEB4165A}"/>
  </hyperlinks>
  <pageMargins left="0.23622047244094491" right="0.23622047244094491" top="0.35433070866141736" bottom="0.35433070866141736" header="0.31496062992125984" footer="0.31496062992125984"/>
  <pageSetup paperSize="9" scale="47" orientation="portrait" horizontalDpi="4294967293" r:id="rId13"/>
  <headerFooter>
    <oddFooter>&amp;R&amp;1#&amp;"Calibri"&amp;12&amp;K000000Official Use</oddFooter>
  </headerFooter>
  <legacyDrawing r:id="rId1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F132"/>
  <sheetViews>
    <sheetView zoomScale="71" zoomScaleNormal="71" workbookViewId="0">
      <pane xSplit="4" topLeftCell="AP1" activePane="topRight" state="frozen"/>
      <selection pane="topRight" activeCell="AP1" sqref="AP1:AW1"/>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5" width="21.453125" style="1" customWidth="1"/>
    <col min="16" max="16" width="17.453125" style="1" customWidth="1"/>
    <col min="17" max="17" width="18.36328125" style="1" customWidth="1"/>
    <col min="18" max="18" width="9" style="1" customWidth="1"/>
    <col min="19" max="19" width="2.81640625" style="1" customWidth="1"/>
    <col min="20" max="20" width="18.81640625" style="1" customWidth="1"/>
    <col min="21" max="21" width="16.453125" style="1" customWidth="1"/>
    <col min="22" max="22" width="17.453125" style="1" customWidth="1"/>
    <col min="23" max="23" width="3" style="1" customWidth="1"/>
    <col min="24" max="24" width="15.453125" customWidth="1"/>
    <col min="25" max="25" width="16.453125" customWidth="1"/>
    <col min="26" max="27" width="11.6328125" customWidth="1"/>
    <col min="28" max="28" width="2.453125" customWidth="1"/>
    <col min="29" max="29" width="18.6328125" customWidth="1"/>
    <col min="30" max="30" width="11.6328125" customWidth="1"/>
    <col min="31" max="31" width="22.36328125" bestFit="1" customWidth="1"/>
    <col min="32" max="32" width="2.453125" customWidth="1"/>
    <col min="33" max="34" width="18.1796875" customWidth="1"/>
    <col min="35" max="36" width="18.6328125" customWidth="1"/>
    <col min="37" max="37" width="3.453125" customWidth="1"/>
    <col min="38" max="38" width="17.36328125" customWidth="1"/>
    <col min="40" max="40" width="15.1796875" customWidth="1"/>
    <col min="42" max="44" width="20" customWidth="1"/>
    <col min="45" max="45" width="8.81640625" customWidth="1"/>
    <col min="46" max="46" width="3.453125" customWidth="1"/>
    <col min="47" max="49" width="21.1796875" customWidth="1"/>
    <col min="51" max="53" width="20" customWidth="1"/>
    <col min="54" max="54" width="8.81640625" customWidth="1"/>
    <col min="55" max="55" width="3.453125" customWidth="1"/>
    <col min="56" max="58" width="21.1796875" customWidth="1"/>
  </cols>
  <sheetData>
    <row r="1" spans="1:58" ht="39" customHeight="1" x14ac:dyDescent="0.7">
      <c r="F1" s="9118" t="s">
        <v>1004</v>
      </c>
      <c r="G1" s="9119"/>
      <c r="H1" s="9119"/>
      <c r="I1" s="9119"/>
      <c r="J1" s="9119"/>
      <c r="K1" s="9119"/>
      <c r="L1" s="9119"/>
      <c r="M1" s="9120"/>
      <c r="O1" s="9121" t="s">
        <v>1005</v>
      </c>
      <c r="P1" s="9122"/>
      <c r="Q1" s="9122"/>
      <c r="R1" s="9122"/>
      <c r="S1" s="9122"/>
      <c r="T1" s="9122"/>
      <c r="U1" s="9122"/>
      <c r="V1" s="9123"/>
      <c r="X1" s="9124" t="s">
        <v>391</v>
      </c>
      <c r="Y1" s="9125"/>
      <c r="Z1" s="9125"/>
      <c r="AA1" s="9125"/>
      <c r="AB1" s="9125"/>
      <c r="AC1" s="9125"/>
      <c r="AD1" s="9125"/>
      <c r="AE1" s="9126"/>
      <c r="AF1" s="1"/>
      <c r="AG1" s="9124" t="s">
        <v>392</v>
      </c>
      <c r="AH1" s="9125"/>
      <c r="AI1" s="9125"/>
      <c r="AJ1" s="9125"/>
      <c r="AK1" s="9125"/>
      <c r="AL1" s="9125"/>
      <c r="AM1" s="9125"/>
      <c r="AN1" s="9126"/>
      <c r="AP1" s="9213" t="s">
        <v>393</v>
      </c>
      <c r="AQ1" s="9214"/>
      <c r="AR1" s="9214"/>
      <c r="AS1" s="9214"/>
      <c r="AT1" s="9214"/>
      <c r="AU1" s="9214"/>
      <c r="AV1" s="9214"/>
      <c r="AW1" s="9215"/>
      <c r="AY1" s="9222" t="s">
        <v>1006</v>
      </c>
      <c r="AZ1" s="9223"/>
      <c r="BA1" s="9223"/>
      <c r="BB1" s="9223"/>
      <c r="BC1" s="9223"/>
      <c r="BD1" s="9223"/>
      <c r="BE1" s="9223"/>
      <c r="BF1" s="9224"/>
    </row>
    <row r="2" spans="1:58" x14ac:dyDescent="0.35">
      <c r="H2"/>
      <c r="X2" s="1"/>
      <c r="Y2" s="1"/>
      <c r="Z2" s="1"/>
      <c r="AA2" s="1"/>
      <c r="AB2" s="1"/>
      <c r="AC2" s="1"/>
      <c r="AD2" s="1"/>
      <c r="AE2" s="1"/>
      <c r="AF2" s="1"/>
      <c r="AI2" s="1"/>
      <c r="AJ2" s="1"/>
      <c r="AK2" s="1"/>
      <c r="AL2" s="1"/>
      <c r="AR2" s="1"/>
      <c r="AS2" s="1"/>
      <c r="AT2" s="1"/>
      <c r="AU2" s="1"/>
      <c r="BA2" s="1"/>
      <c r="BB2" s="1"/>
      <c r="BC2" s="1"/>
      <c r="BD2" s="1"/>
    </row>
    <row r="3" spans="1:58" ht="21" x14ac:dyDescent="0.5">
      <c r="B3" s="1" t="s">
        <v>9</v>
      </c>
      <c r="C3" s="4" t="s">
        <v>26</v>
      </c>
      <c r="H3"/>
      <c r="X3" s="1"/>
      <c r="Y3" s="1"/>
      <c r="Z3" s="1"/>
      <c r="AA3" s="1"/>
      <c r="AB3" s="1"/>
      <c r="AC3" s="1"/>
      <c r="AD3" s="1"/>
      <c r="AE3" s="1"/>
      <c r="AF3" s="1"/>
      <c r="AI3" s="1"/>
      <c r="AJ3" s="1"/>
      <c r="AK3" s="1"/>
      <c r="AL3" s="1"/>
      <c r="AR3" s="1"/>
      <c r="AS3" s="1"/>
      <c r="AT3" s="1"/>
      <c r="AU3" s="1"/>
      <c r="BA3" s="1"/>
      <c r="BB3" s="1"/>
      <c r="BC3" s="1"/>
      <c r="BD3" s="1"/>
    </row>
    <row r="4" spans="1:58" x14ac:dyDescent="0.35">
      <c r="X4" s="1"/>
      <c r="Y4" s="1"/>
      <c r="Z4" s="1"/>
      <c r="AA4" s="1"/>
      <c r="AB4" s="1"/>
      <c r="AC4" s="1"/>
      <c r="AD4" s="1"/>
      <c r="AE4" s="1"/>
      <c r="AF4" s="1"/>
      <c r="AG4" s="1"/>
      <c r="AH4" s="1"/>
      <c r="AI4" s="1"/>
      <c r="AJ4" s="1"/>
      <c r="AK4" s="1"/>
      <c r="AL4" s="1"/>
      <c r="AP4" s="1"/>
      <c r="AQ4" s="1"/>
      <c r="AR4" s="1"/>
      <c r="AS4" s="1"/>
      <c r="AT4" s="1"/>
      <c r="AU4" s="1"/>
      <c r="AY4" s="1"/>
      <c r="AZ4" s="1"/>
      <c r="BA4" s="1"/>
      <c r="BB4" s="1"/>
      <c r="BC4" s="1"/>
      <c r="BD4" s="1"/>
    </row>
    <row r="5" spans="1:58" s="8" customFormat="1" ht="15.25" customHeight="1" x14ac:dyDescent="0.35">
      <c r="D5" s="579"/>
      <c r="F5" s="8326" t="s">
        <v>400</v>
      </c>
      <c r="H5" s="9130" t="s">
        <v>401</v>
      </c>
      <c r="I5" s="9131"/>
      <c r="J5" s="9132"/>
      <c r="L5" s="9130" t="s">
        <v>402</v>
      </c>
      <c r="M5" s="9132"/>
      <c r="O5" s="9130" t="s">
        <v>403</v>
      </c>
      <c r="P5" s="9131"/>
      <c r="Q5" s="9131"/>
      <c r="R5" s="9132"/>
      <c r="T5" s="9130" t="s">
        <v>402</v>
      </c>
      <c r="U5" s="9131"/>
      <c r="V5" s="9132"/>
      <c r="X5" s="9130" t="s">
        <v>403</v>
      </c>
      <c r="Y5" s="9131"/>
      <c r="Z5" s="9131"/>
      <c r="AA5" s="9132"/>
      <c r="AC5" s="9130" t="s">
        <v>402</v>
      </c>
      <c r="AD5" s="9131"/>
      <c r="AE5" s="9132"/>
      <c r="AG5" s="9130" t="s">
        <v>403</v>
      </c>
      <c r="AH5" s="9131"/>
      <c r="AI5" s="9131"/>
      <c r="AJ5" s="9132"/>
      <c r="AL5" s="9130" t="s">
        <v>402</v>
      </c>
      <c r="AM5" s="9131"/>
      <c r="AN5" s="9132"/>
      <c r="AP5" s="9130" t="s">
        <v>403</v>
      </c>
      <c r="AQ5" s="9131"/>
      <c r="AR5" s="9131"/>
      <c r="AS5" s="9132"/>
      <c r="AU5" s="9130" t="s">
        <v>402</v>
      </c>
      <c r="AV5" s="9131"/>
      <c r="AW5" s="9132"/>
      <c r="AY5" s="9130" t="s">
        <v>403</v>
      </c>
      <c r="AZ5" s="9131"/>
      <c r="BA5" s="9131"/>
      <c r="BB5" s="9132"/>
      <c r="BD5" s="3218"/>
      <c r="BE5" s="9130" t="s">
        <v>403</v>
      </c>
      <c r="BF5" s="9131"/>
    </row>
    <row r="6" spans="1:58" x14ac:dyDescent="0.35">
      <c r="B6" s="1" t="s">
        <v>406</v>
      </c>
      <c r="C6" s="11">
        <v>2009</v>
      </c>
      <c r="F6" s="8324" t="s">
        <v>1007</v>
      </c>
      <c r="G6" s="12"/>
      <c r="H6" s="9138" t="s">
        <v>736</v>
      </c>
      <c r="I6" s="9139"/>
      <c r="J6" s="9140"/>
      <c r="K6" s="12"/>
      <c r="L6" s="9138" t="s">
        <v>737</v>
      </c>
      <c r="M6" s="9140"/>
      <c r="O6" s="9138" t="s">
        <v>738</v>
      </c>
      <c r="P6" s="9139"/>
      <c r="Q6" s="9139"/>
      <c r="R6" s="9140"/>
      <c r="S6" s="12"/>
      <c r="T6" s="9138" t="s">
        <v>739</v>
      </c>
      <c r="U6" s="9139"/>
      <c r="V6" s="9140"/>
      <c r="X6" s="9138" t="s">
        <v>739</v>
      </c>
      <c r="Y6" s="9139"/>
      <c r="Z6" s="9139"/>
      <c r="AA6" s="9140"/>
      <c r="AB6" s="12"/>
      <c r="AC6" s="9138" t="s">
        <v>740</v>
      </c>
      <c r="AD6" s="9139"/>
      <c r="AE6" s="9140"/>
      <c r="AF6" s="1"/>
      <c r="AG6" s="9138" t="s">
        <v>740</v>
      </c>
      <c r="AH6" s="9139"/>
      <c r="AI6" s="9139"/>
      <c r="AJ6" s="9140"/>
      <c r="AL6" s="9138" t="s">
        <v>741</v>
      </c>
      <c r="AM6" s="9139"/>
      <c r="AN6" s="9140"/>
      <c r="AP6" s="9138" t="s">
        <v>741</v>
      </c>
      <c r="AQ6" s="9139"/>
      <c r="AR6" s="9139"/>
      <c r="AS6" s="9140"/>
      <c r="AU6" s="9138" t="s">
        <v>742</v>
      </c>
      <c r="AV6" s="9139"/>
      <c r="AW6" s="9140"/>
      <c r="AY6" s="9138" t="s">
        <v>742</v>
      </c>
      <c r="AZ6" s="9139"/>
      <c r="BA6" s="9139"/>
      <c r="BB6" s="9140"/>
      <c r="BD6" s="3218"/>
      <c r="BE6" s="9138" t="s">
        <v>742</v>
      </c>
      <c r="BF6" s="9139"/>
    </row>
    <row r="7" spans="1:58" x14ac:dyDescent="0.35">
      <c r="C7"/>
      <c r="F7" s="6"/>
      <c r="L7" s="14"/>
      <c r="O7" s="6"/>
      <c r="P7" s="6"/>
      <c r="Q7" s="6"/>
      <c r="R7" s="7"/>
      <c r="T7" s="14"/>
      <c r="U7" s="14"/>
      <c r="V7"/>
      <c r="X7" s="6"/>
      <c r="Y7" s="6"/>
      <c r="Z7" s="6"/>
      <c r="AA7" s="7"/>
      <c r="AB7" s="1"/>
      <c r="AC7" s="14"/>
      <c r="AD7" s="14"/>
      <c r="AF7" s="1"/>
      <c r="AG7" s="6"/>
      <c r="AH7" s="6"/>
      <c r="AI7" s="6"/>
      <c r="AJ7" s="7"/>
      <c r="AL7" s="14"/>
      <c r="AM7" s="14"/>
      <c r="AP7" s="6"/>
      <c r="AQ7" s="6"/>
      <c r="AR7" s="6"/>
      <c r="AS7" s="7"/>
      <c r="AU7" s="14"/>
      <c r="AV7" s="14"/>
      <c r="AY7" s="6"/>
      <c r="AZ7" s="6"/>
      <c r="BA7" s="6"/>
      <c r="BB7" s="7"/>
      <c r="BD7" s="14"/>
      <c r="BE7" s="14"/>
    </row>
    <row r="8" spans="1:58" ht="12.75" customHeight="1" x14ac:dyDescent="0.35">
      <c r="B8" s="1" t="s">
        <v>101</v>
      </c>
      <c r="C8" s="15" t="s">
        <v>1008</v>
      </c>
      <c r="D8" s="2" t="s">
        <v>417</v>
      </c>
      <c r="F8" s="8322" t="s">
        <v>1009</v>
      </c>
      <c r="H8" s="9173" t="s">
        <v>1009</v>
      </c>
      <c r="I8" s="9173"/>
      <c r="J8" s="9147" t="s">
        <v>419</v>
      </c>
      <c r="L8" s="9149" t="s">
        <v>1009</v>
      </c>
      <c r="M8" s="9151"/>
      <c r="O8" s="9173" t="str">
        <f>L8</f>
        <v>million NU</v>
      </c>
      <c r="P8" s="9173"/>
      <c r="Q8" s="16"/>
      <c r="R8" s="9147" t="s">
        <v>419</v>
      </c>
      <c r="T8" s="9149" t="str">
        <f>L8</f>
        <v>million NU</v>
      </c>
      <c r="U8" s="9150"/>
      <c r="V8" s="9151"/>
      <c r="X8" s="9173" t="s">
        <v>1009</v>
      </c>
      <c r="Y8" s="9173"/>
      <c r="Z8" s="16"/>
      <c r="AA8" s="9147" t="s">
        <v>419</v>
      </c>
      <c r="AB8" s="1"/>
      <c r="AC8" s="9149" t="s">
        <v>1009</v>
      </c>
      <c r="AD8" s="9150"/>
      <c r="AE8" s="9151"/>
      <c r="AF8" s="1"/>
      <c r="AG8" s="9173" t="s">
        <v>1009</v>
      </c>
      <c r="AH8" s="9173"/>
      <c r="AI8" s="16"/>
      <c r="AJ8" s="9147" t="s">
        <v>419</v>
      </c>
      <c r="AL8" s="9149" t="s">
        <v>1009</v>
      </c>
      <c r="AM8" s="9150"/>
      <c r="AN8" s="9151"/>
      <c r="AP8" s="9173" t="s">
        <v>1009</v>
      </c>
      <c r="AQ8" s="9173"/>
      <c r="AR8" s="16"/>
      <c r="AS8" s="9147" t="s">
        <v>419</v>
      </c>
      <c r="AU8" s="9149" t="s">
        <v>1009</v>
      </c>
      <c r="AV8" s="9150"/>
      <c r="AW8" s="9151"/>
      <c r="AY8" s="9173" t="s">
        <v>1009</v>
      </c>
      <c r="AZ8" s="9173"/>
      <c r="BA8" s="16"/>
      <c r="BB8" s="9147" t="s">
        <v>419</v>
      </c>
      <c r="BD8" s="9149" t="s">
        <v>1009</v>
      </c>
      <c r="BE8" s="9150"/>
      <c r="BF8" s="9151"/>
    </row>
    <row r="9" spans="1:58" x14ac:dyDescent="0.35">
      <c r="B9" s="1" t="s">
        <v>420</v>
      </c>
      <c r="C9" s="19" t="s">
        <v>747</v>
      </c>
      <c r="F9" s="20" t="s">
        <v>96</v>
      </c>
      <c r="H9" s="20" t="s">
        <v>423</v>
      </c>
      <c r="I9" s="20" t="s">
        <v>96</v>
      </c>
      <c r="J9" s="9148"/>
      <c r="L9" s="21" t="s">
        <v>423</v>
      </c>
      <c r="M9" s="20" t="s">
        <v>96</v>
      </c>
      <c r="O9" s="20" t="s">
        <v>424</v>
      </c>
      <c r="P9" s="20" t="s">
        <v>96</v>
      </c>
      <c r="Q9" s="22" t="s">
        <v>425</v>
      </c>
      <c r="R9" s="9148"/>
      <c r="T9" s="21" t="s">
        <v>748</v>
      </c>
      <c r="U9" s="22" t="s">
        <v>425</v>
      </c>
      <c r="V9" s="20" t="s">
        <v>96</v>
      </c>
      <c r="X9" s="20" t="s">
        <v>424</v>
      </c>
      <c r="Y9" s="20" t="s">
        <v>96</v>
      </c>
      <c r="Z9" s="22" t="s">
        <v>425</v>
      </c>
      <c r="AA9" s="9148"/>
      <c r="AB9" s="1"/>
      <c r="AC9" s="21" t="s">
        <v>748</v>
      </c>
      <c r="AD9" s="22" t="s">
        <v>425</v>
      </c>
      <c r="AE9" s="20" t="s">
        <v>96</v>
      </c>
      <c r="AF9" s="1"/>
      <c r="AG9" s="20" t="s">
        <v>424</v>
      </c>
      <c r="AH9" s="20" t="s">
        <v>96</v>
      </c>
      <c r="AI9" s="22" t="s">
        <v>425</v>
      </c>
      <c r="AJ9" s="9148"/>
      <c r="AL9" s="21" t="s">
        <v>96</v>
      </c>
      <c r="AM9" s="22" t="s">
        <v>425</v>
      </c>
      <c r="AN9" s="20" t="s">
        <v>96</v>
      </c>
      <c r="AP9" s="20" t="s">
        <v>424</v>
      </c>
      <c r="AQ9" s="20" t="s">
        <v>96</v>
      </c>
      <c r="AR9" s="22" t="s">
        <v>425</v>
      </c>
      <c r="AS9" s="9148"/>
      <c r="AU9" s="20" t="s">
        <v>424</v>
      </c>
      <c r="AV9" s="22" t="s">
        <v>425</v>
      </c>
      <c r="AW9" s="20" t="s">
        <v>96</v>
      </c>
      <c r="AY9" s="20" t="s">
        <v>424</v>
      </c>
      <c r="AZ9" s="20" t="s">
        <v>96</v>
      </c>
      <c r="BA9" s="22" t="s">
        <v>425</v>
      </c>
      <c r="BB9" s="9148"/>
      <c r="BD9" s="20" t="s">
        <v>424</v>
      </c>
      <c r="BE9" s="22" t="s">
        <v>425</v>
      </c>
      <c r="BF9" s="20" t="s">
        <v>96</v>
      </c>
    </row>
    <row r="10" spans="1:58" x14ac:dyDescent="0.35">
      <c r="C10"/>
      <c r="E10"/>
      <c r="F10"/>
      <c r="G10"/>
      <c r="H10"/>
      <c r="I10"/>
      <c r="J10" s="25"/>
      <c r="K10"/>
      <c r="N10"/>
      <c r="O10"/>
      <c r="P10"/>
      <c r="Q10"/>
      <c r="R10" s="25"/>
      <c r="S10"/>
      <c r="T10"/>
      <c r="U10"/>
      <c r="V10"/>
      <c r="W10"/>
      <c r="AA10" s="25"/>
      <c r="AJ10" s="25"/>
      <c r="AS10" s="25"/>
      <c r="BB10" s="25"/>
    </row>
    <row r="11" spans="1:58" ht="33.25" customHeight="1" x14ac:dyDescent="0.35">
      <c r="A11" s="9216" t="s">
        <v>426</v>
      </c>
      <c r="B11" s="27"/>
      <c r="C11" s="28" t="s">
        <v>427</v>
      </c>
      <c r="D11" s="580" t="s">
        <v>428</v>
      </c>
      <c r="E11" s="30"/>
      <c r="F11" s="36" t="s">
        <v>1010</v>
      </c>
      <c r="G11"/>
      <c r="H11" s="31" t="s">
        <v>1011</v>
      </c>
      <c r="I11" s="31" t="s">
        <v>1012</v>
      </c>
      <c r="J11" s="32"/>
      <c r="K11" s="33"/>
      <c r="L11" s="31" t="s">
        <v>1011</v>
      </c>
      <c r="M11" s="34" t="s">
        <v>593</v>
      </c>
      <c r="N11" s="33"/>
      <c r="O11" s="31" t="str">
        <f>L11</f>
        <v>Revised budget, in National  Budget for FY 2015-16</v>
      </c>
      <c r="P11" s="31" t="s">
        <v>1013</v>
      </c>
      <c r="Q11" s="3440" t="s">
        <v>1014</v>
      </c>
      <c r="R11" s="32"/>
      <c r="S11" s="33"/>
      <c r="T11" s="31" t="str">
        <f>P11</f>
        <v>Revised budget, in National  Budget for FY 2016-17</v>
      </c>
      <c r="U11" s="3441" t="s">
        <v>1014</v>
      </c>
      <c r="V11" s="34" t="s">
        <v>593</v>
      </c>
      <c r="W11" s="33"/>
      <c r="X11" s="36" t="s">
        <v>1015</v>
      </c>
      <c r="Y11" s="31" t="s">
        <v>1016</v>
      </c>
      <c r="Z11" s="473" t="s">
        <v>1014</v>
      </c>
      <c r="AA11" s="32"/>
      <c r="AB11" s="30"/>
      <c r="AC11" s="31" t="s">
        <v>1017</v>
      </c>
      <c r="AD11" s="3441" t="s">
        <v>1014</v>
      </c>
      <c r="AE11" s="34" t="s">
        <v>593</v>
      </c>
      <c r="AF11" s="33"/>
      <c r="AG11" s="36" t="str">
        <f>AC11</f>
        <v>Revised budget, in National  Budget for FY 2017</v>
      </c>
      <c r="AH11" s="31" t="s">
        <v>1018</v>
      </c>
      <c r="AI11" s="473" t="s">
        <v>1014</v>
      </c>
      <c r="AJ11" s="32"/>
      <c r="AL11" s="31" t="s">
        <v>96</v>
      </c>
      <c r="AM11" s="727" t="s">
        <v>1014</v>
      </c>
      <c r="AN11" s="34" t="s">
        <v>1019</v>
      </c>
      <c r="AO11" t="s">
        <v>1020</v>
      </c>
      <c r="AP11" s="9155" t="s">
        <v>1021</v>
      </c>
      <c r="AQ11" s="9156"/>
      <c r="AR11" s="3375" t="s">
        <v>1022</v>
      </c>
      <c r="AS11" s="5158"/>
      <c r="AU11" s="31" t="s">
        <v>1023</v>
      </c>
      <c r="AV11" s="3375" t="s">
        <v>1022</v>
      </c>
      <c r="AW11" s="31" t="s">
        <v>1023</v>
      </c>
      <c r="AY11" s="850" t="s">
        <v>1024</v>
      </c>
      <c r="AZ11" s="850" t="s">
        <v>1025</v>
      </c>
      <c r="BA11" s="3375" t="s">
        <v>1022</v>
      </c>
      <c r="BB11" s="5158"/>
      <c r="BD11" s="31" t="s">
        <v>1026</v>
      </c>
      <c r="BE11" s="3375" t="s">
        <v>1022</v>
      </c>
      <c r="BF11" s="472" t="s">
        <v>1027</v>
      </c>
    </row>
    <row r="12" spans="1:58" ht="12.75" customHeight="1" x14ac:dyDescent="0.35">
      <c r="A12" s="9217"/>
      <c r="B12" s="40" t="s">
        <v>451</v>
      </c>
      <c r="C12" s="41"/>
      <c r="D12" s="585"/>
      <c r="E12" s="43"/>
      <c r="F12" s="44"/>
      <c r="G12"/>
      <c r="H12" s="45"/>
      <c r="I12" s="46"/>
      <c r="J12" s="47"/>
      <c r="K12" s="48"/>
      <c r="L12" s="45"/>
      <c r="M12" s="49"/>
      <c r="N12" s="50"/>
      <c r="O12" s="3442"/>
      <c r="P12" s="3442"/>
      <c r="Q12" s="474"/>
      <c r="R12" s="47"/>
      <c r="S12" s="48"/>
      <c r="T12" s="46"/>
      <c r="U12" s="474"/>
      <c r="V12" s="46"/>
      <c r="W12" s="50"/>
      <c r="X12" s="154" t="s">
        <v>1028</v>
      </c>
      <c r="Y12" s="1850"/>
      <c r="Z12" s="3443"/>
      <c r="AA12" s="47"/>
      <c r="AB12" s="48"/>
      <c r="AC12" s="1850"/>
      <c r="AD12" s="3443"/>
      <c r="AE12" s="586"/>
      <c r="AF12" s="50"/>
      <c r="AG12" s="154"/>
      <c r="AH12" s="1850"/>
      <c r="AI12" s="3443"/>
      <c r="AJ12" s="47"/>
      <c r="AL12" s="1850"/>
      <c r="AM12" s="3443"/>
      <c r="AN12" s="586"/>
      <c r="AP12" s="154"/>
      <c r="AQ12" s="474"/>
      <c r="AR12" s="474"/>
      <c r="AS12" s="47"/>
      <c r="AU12" s="3443" t="s">
        <v>1029</v>
      </c>
      <c r="AV12" s="474"/>
      <c r="AW12" s="6096" t="s">
        <v>1030</v>
      </c>
      <c r="AY12" s="154"/>
      <c r="AZ12" s="474" t="s">
        <v>1031</v>
      </c>
      <c r="BA12" s="474"/>
      <c r="BB12" s="47"/>
      <c r="BD12" s="3443" t="s">
        <v>1032</v>
      </c>
      <c r="BE12" s="474"/>
      <c r="BF12" s="6096"/>
    </row>
    <row r="13" spans="1:58" x14ac:dyDescent="0.35">
      <c r="A13" s="9217"/>
      <c r="B13" s="58"/>
      <c r="C13" s="59" t="s">
        <v>456</v>
      </c>
      <c r="D13" s="197"/>
      <c r="F13" s="61">
        <f>17458797+215235</f>
        <v>17674032</v>
      </c>
      <c r="G13"/>
      <c r="H13" s="62">
        <f>21860885+131042</f>
        <v>21991927</v>
      </c>
      <c r="I13" s="63">
        <f>23244610+338160</f>
        <v>23582770</v>
      </c>
      <c r="J13" s="476">
        <f>IF(H13=0,0,I13/H13)</f>
        <v>1.072337590062026</v>
      </c>
      <c r="K13" s="65"/>
      <c r="L13" s="62">
        <f>24900117+346751</f>
        <v>25246868</v>
      </c>
      <c r="M13" s="66">
        <f>L13*J13</f>
        <v>27073165.587734081</v>
      </c>
      <c r="N13" s="67"/>
      <c r="O13" s="7881">
        <f>L13</f>
        <v>25246868</v>
      </c>
      <c r="P13" s="7882">
        <f>25141030+1135001</f>
        <v>26276031</v>
      </c>
      <c r="Q13" s="9219" t="s">
        <v>1033</v>
      </c>
      <c r="R13" s="476">
        <f>IF(O13=0,0,P13/O13)</f>
        <v>1.0407639870418779</v>
      </c>
      <c r="S13" s="65"/>
      <c r="T13" s="63">
        <f>26293685+453268</f>
        <v>26746953</v>
      </c>
      <c r="U13" s="9229" t="s">
        <v>1034</v>
      </c>
      <c r="V13" s="63">
        <f>T13*R13</f>
        <v>27837265.445501719</v>
      </c>
      <c r="W13" s="67"/>
      <c r="X13" s="62">
        <f>26293685+651189</f>
        <v>26944874</v>
      </c>
      <c r="Y13" s="63">
        <f>28033.812*1000</f>
        <v>28033812</v>
      </c>
      <c r="Z13" s="3444" t="s">
        <v>1035</v>
      </c>
      <c r="AA13" s="476">
        <f>IF(X13=0,0,Y13/X13)</f>
        <v>1.0404135495307938</v>
      </c>
      <c r="AB13" s="65"/>
      <c r="AC13" s="62">
        <f>29167933+195469+629629</f>
        <v>29993031</v>
      </c>
      <c r="AD13" s="3444" t="s">
        <v>1035</v>
      </c>
      <c r="AE13" s="3445">
        <f>AC13</f>
        <v>29993031</v>
      </c>
      <c r="AF13" s="67"/>
      <c r="AG13" s="62">
        <f>AC13</f>
        <v>29993031</v>
      </c>
      <c r="AH13" s="63"/>
      <c r="AI13" s="3444" t="s">
        <v>1035</v>
      </c>
      <c r="AJ13" s="476">
        <f>IF(AG13=0,0,AH13/AG13)</f>
        <v>0</v>
      </c>
      <c r="AL13" s="62">
        <v>36871.32</v>
      </c>
      <c r="AM13" s="3444" t="s">
        <v>1036</v>
      </c>
      <c r="AN13" s="62">
        <f>36817.36+394.726</f>
        <v>37212.086000000003</v>
      </c>
      <c r="AP13" s="62">
        <f>36178.474+1055.272</f>
        <v>37233.745999999999</v>
      </c>
      <c r="AQ13" s="671">
        <f>36871.372+394.726</f>
        <v>37266.098000000005</v>
      </c>
      <c r="AR13" s="1828" t="s">
        <v>1037</v>
      </c>
      <c r="AS13" s="476">
        <f>IF(AP13=0,0,AQ13/AP13)</f>
        <v>1.0008688892060447</v>
      </c>
      <c r="AU13" s="71">
        <f>33943.967+20</f>
        <v>33963.966999999997</v>
      </c>
      <c r="AV13" s="1828" t="s">
        <v>1038</v>
      </c>
      <c r="AW13" s="74">
        <f>34321.818+40.99</f>
        <v>34362.807999999997</v>
      </c>
      <c r="AX13" s="476">
        <f>IF(AU13=0,0,AW13/AU13)</f>
        <v>1.011743062876018</v>
      </c>
      <c r="AY13" s="62">
        <f>33943.97+20</f>
        <v>33963.97</v>
      </c>
      <c r="AZ13" s="671">
        <f>34707.67-3190.855</f>
        <v>31516.814999999999</v>
      </c>
      <c r="BA13" s="1828" t="s">
        <v>1039</v>
      </c>
      <c r="BB13" s="476">
        <f>IF(AY13=0,0,AZ13/AY13)</f>
        <v>0.92794849954230907</v>
      </c>
      <c r="BD13" s="71">
        <f>38495.8479999999+507.8</f>
        <v>39003.647999999906</v>
      </c>
      <c r="BE13" s="1828" t="s">
        <v>1040</v>
      </c>
      <c r="BF13" s="74">
        <f>BD13*BB13</f>
        <v>36193.376638276299</v>
      </c>
    </row>
    <row r="14" spans="1:58" x14ac:dyDescent="0.35">
      <c r="A14" s="9217"/>
      <c r="B14" s="58"/>
      <c r="C14" s="59" t="s">
        <v>1041</v>
      </c>
      <c r="D14" s="197"/>
      <c r="F14" s="61">
        <v>10497727</v>
      </c>
      <c r="G14"/>
      <c r="H14" s="62">
        <v>11179825</v>
      </c>
      <c r="I14" s="63">
        <v>14236353</v>
      </c>
      <c r="J14" s="73">
        <f>IF(H14=0,0,I14/H14)</f>
        <v>1.273396766049558</v>
      </c>
      <c r="K14" s="65"/>
      <c r="L14" s="62">
        <v>11153268</v>
      </c>
      <c r="M14" s="66">
        <f>L14*J14</f>
        <v>14202535.402084021</v>
      </c>
      <c r="N14" s="67"/>
      <c r="O14" s="7881">
        <f>L14</f>
        <v>11153268</v>
      </c>
      <c r="P14" s="7883">
        <v>9955020</v>
      </c>
      <c r="Q14" s="9220"/>
      <c r="R14" s="73">
        <f>IF(O14=0,0,P14/O14)</f>
        <v>0.89256530014341984</v>
      </c>
      <c r="S14" s="65"/>
      <c r="T14" s="63">
        <v>16988017</v>
      </c>
      <c r="U14" s="9229"/>
      <c r="V14" s="63">
        <f>T14*R14</f>
        <v>15162914.492446519</v>
      </c>
      <c r="W14" s="67"/>
      <c r="X14" s="62">
        <v>16988017</v>
      </c>
      <c r="Y14" s="63">
        <f>14889.61*1000</f>
        <v>14889610</v>
      </c>
      <c r="Z14" s="3444" t="s">
        <v>1035</v>
      </c>
      <c r="AA14" s="73">
        <f>IF(X14=0,0,Y14/X14)</f>
        <v>0.87647722509342907</v>
      </c>
      <c r="AB14" s="65"/>
      <c r="AC14" s="62">
        <v>17897049</v>
      </c>
      <c r="AD14" s="3444" t="s">
        <v>1035</v>
      </c>
      <c r="AE14" s="2991">
        <f>AC14*AA14</f>
        <v>15686355.84488113</v>
      </c>
      <c r="AF14" s="67"/>
      <c r="AG14" s="62">
        <f t="shared" ref="AG14:AG22" si="0">AC14</f>
        <v>17897049</v>
      </c>
      <c r="AH14" s="63"/>
      <c r="AI14" s="3444" t="s">
        <v>1035</v>
      </c>
      <c r="AJ14" s="73">
        <f>IF(AG14=0,0,AH14/AG14)</f>
        <v>0</v>
      </c>
      <c r="AL14" s="62">
        <v>17433.080000000002</v>
      </c>
      <c r="AM14" s="3444" t="s">
        <v>1042</v>
      </c>
      <c r="AN14" s="62">
        <v>17433.080000000002</v>
      </c>
      <c r="AP14" s="62">
        <f>19539.139+1055.272</f>
        <v>20594.411</v>
      </c>
      <c r="AQ14" s="671">
        <f>14847.07</f>
        <v>14847.07</v>
      </c>
      <c r="AR14" s="1828"/>
      <c r="AS14" s="73">
        <f>IF(AP14=0,0,AQ14/AP14)</f>
        <v>0.72092714863270424</v>
      </c>
      <c r="AU14" s="71">
        <f>5929.886</f>
        <v>5929.8860000000004</v>
      </c>
      <c r="AV14" s="1828"/>
      <c r="AW14" s="74">
        <f>8586.305</f>
        <v>8586.3050000000003</v>
      </c>
      <c r="AX14" s="476">
        <f>IF(AU14=0,0,AW14/AU14)</f>
        <v>1.4479713437998638</v>
      </c>
      <c r="AY14" s="62">
        <v>5929.89</v>
      </c>
      <c r="AZ14" s="671">
        <v>10516.481</v>
      </c>
      <c r="BA14" s="1828"/>
      <c r="BB14" s="476">
        <f>IF(AY14=0,0,AZ14/AY14)</f>
        <v>1.7734698282767469</v>
      </c>
      <c r="BD14" s="71">
        <v>13722.97</v>
      </c>
      <c r="BE14" s="1828"/>
      <c r="BF14" s="7758">
        <f>BD14</f>
        <v>13722.97</v>
      </c>
    </row>
    <row r="15" spans="1:58" x14ac:dyDescent="0.35">
      <c r="A15" s="9217"/>
      <c r="B15" s="85"/>
      <c r="C15" s="86" t="s">
        <v>466</v>
      </c>
      <c r="D15" s="209"/>
      <c r="F15" s="88">
        <f>SUM(F13:F14)</f>
        <v>28171759</v>
      </c>
      <c r="G15"/>
      <c r="H15" s="89">
        <f>SUM(H13:H14)</f>
        <v>33171752</v>
      </c>
      <c r="I15" s="90">
        <f>SUM(I13:I14)</f>
        <v>37819123</v>
      </c>
      <c r="J15" s="91">
        <f>IF(H15=0,0,I15/H15)</f>
        <v>1.1401002575926651</v>
      </c>
      <c r="K15" s="80"/>
      <c r="L15" s="89">
        <f>SUM(L13:L14)</f>
        <v>36400136</v>
      </c>
      <c r="M15" s="92">
        <f>L15*J15</f>
        <v>41499804.430008039</v>
      </c>
      <c r="N15" s="67"/>
      <c r="O15" s="7884">
        <f>L15</f>
        <v>36400136</v>
      </c>
      <c r="P15" s="7885">
        <f>SUM(P13:P14)</f>
        <v>36231051</v>
      </c>
      <c r="Q15" s="9221"/>
      <c r="R15" s="73">
        <f>IF(O15=0,0,P15/O15)</f>
        <v>0.9953548250479064</v>
      </c>
      <c r="S15" s="80"/>
      <c r="T15" s="79">
        <f>SUM(T13:T14)</f>
        <v>43734970</v>
      </c>
      <c r="U15" s="9229"/>
      <c r="V15" s="79">
        <f>SUM(V13:V14)</f>
        <v>43000179.937948242</v>
      </c>
      <c r="W15" s="67"/>
      <c r="X15" s="78">
        <f>SUM(X13:X14)</f>
        <v>43932891</v>
      </c>
      <c r="Y15" s="79">
        <f>SUM(Y13:Y14)</f>
        <v>42923422</v>
      </c>
      <c r="Z15" s="3444" t="s">
        <v>1043</v>
      </c>
      <c r="AA15" s="73">
        <f>IF(X15=0,0,Y15/X15)</f>
        <v>0.97702247730521541</v>
      </c>
      <c r="AB15" s="80"/>
      <c r="AC15" s="78">
        <f>SUM(AC13:AC14)</f>
        <v>47890080</v>
      </c>
      <c r="AD15" s="3444" t="s">
        <v>1043</v>
      </c>
      <c r="AE15" s="3031">
        <f>SUM(AE13:AE14)</f>
        <v>45679386.844881132</v>
      </c>
      <c r="AF15" s="67"/>
      <c r="AG15" s="78">
        <f t="shared" si="0"/>
        <v>47890080</v>
      </c>
      <c r="AH15" s="79"/>
      <c r="AI15" s="3444" t="s">
        <v>1043</v>
      </c>
      <c r="AJ15" s="73">
        <f>IF(AG15=0,0,AH15/AG15)</f>
        <v>0</v>
      </c>
      <c r="AL15" s="78">
        <v>55359.37</v>
      </c>
      <c r="AM15" s="3444" t="s">
        <v>1044</v>
      </c>
      <c r="AN15" s="78">
        <v>55359.37</v>
      </c>
      <c r="AO15" s="1112"/>
      <c r="AP15" s="78">
        <f>SUM(AP13:AP14)</f>
        <v>57828.156999999999</v>
      </c>
      <c r="AQ15" s="4874">
        <f>SUM(AQ13:AQ14)</f>
        <v>52113.168000000005</v>
      </c>
      <c r="AR15" s="1828"/>
      <c r="AS15" s="73">
        <f>IF(AP15=0,0,AQ15/AP15)</f>
        <v>0.9011729009451227</v>
      </c>
      <c r="AU15" s="760">
        <f>SUM(AU13:AU14)</f>
        <v>39893.852999999996</v>
      </c>
      <c r="AV15" s="1828"/>
      <c r="AW15" s="84">
        <f>SUM(AW13:AW14)</f>
        <v>42949.112999999998</v>
      </c>
      <c r="AX15" s="476">
        <f>IF(AU15=0,0,AW15/AU15)</f>
        <v>1.0765847309859993</v>
      </c>
      <c r="AY15" s="78">
        <f>SUM(AY13:AY14)</f>
        <v>39893.86</v>
      </c>
      <c r="AZ15" s="4874">
        <f>SUM(AZ13:AZ14)</f>
        <v>42033.296000000002</v>
      </c>
      <c r="BA15" s="1828"/>
      <c r="BB15" s="476">
        <f>IF(AY15=0,0,AZ15/AY15)</f>
        <v>1.0536282024351618</v>
      </c>
      <c r="BD15" s="760">
        <f>SUM(BD13:BD14)</f>
        <v>52726.617999999908</v>
      </c>
      <c r="BE15" s="1828"/>
      <c r="BF15" s="84">
        <f>SUM(BF13:BF14)</f>
        <v>49916.3466382763</v>
      </c>
    </row>
    <row r="16" spans="1:58" ht="40.75" customHeight="1" x14ac:dyDescent="0.35">
      <c r="A16" s="9217"/>
      <c r="B16" s="27"/>
      <c r="C16" s="28" t="s">
        <v>427</v>
      </c>
      <c r="D16" s="580" t="s">
        <v>428</v>
      </c>
      <c r="E16" s="30"/>
      <c r="F16" s="36" t="s">
        <v>1010</v>
      </c>
      <c r="G16" s="223"/>
      <c r="H16" s="36" t="s">
        <v>1045</v>
      </c>
      <c r="I16" s="36" t="s">
        <v>1045</v>
      </c>
      <c r="J16" s="224"/>
      <c r="K16" s="223"/>
      <c r="L16" s="222" t="s">
        <v>1046</v>
      </c>
      <c r="M16" s="3446"/>
      <c r="N16" s="30"/>
      <c r="O16" s="3447" t="s">
        <v>1047</v>
      </c>
      <c r="P16" s="3447" t="s">
        <v>1047</v>
      </c>
      <c r="Q16" s="3448"/>
      <c r="R16" s="91"/>
      <c r="S16" s="80"/>
      <c r="T16" s="36" t="s">
        <v>1015</v>
      </c>
      <c r="U16" s="227"/>
      <c r="V16" s="66"/>
      <c r="W16" s="30"/>
      <c r="X16" s="36" t="s">
        <v>1016</v>
      </c>
      <c r="Y16" s="36" t="s">
        <v>1016</v>
      </c>
      <c r="Z16" s="3449"/>
      <c r="AA16" s="91"/>
      <c r="AB16" s="80"/>
      <c r="AC16" s="36" t="s">
        <v>1048</v>
      </c>
      <c r="AD16" s="3450"/>
      <c r="AE16" s="92"/>
      <c r="AF16" s="30"/>
      <c r="AG16" s="36" t="str">
        <f t="shared" si="0"/>
        <v>budget report 2016-2017</v>
      </c>
      <c r="AH16" s="36"/>
      <c r="AI16" s="3449"/>
      <c r="AJ16" s="91"/>
      <c r="AL16" s="36"/>
      <c r="AM16" s="3450"/>
      <c r="AN16" s="92"/>
      <c r="AP16" s="6179"/>
      <c r="AQ16" s="6180"/>
      <c r="AR16" s="3473"/>
      <c r="AS16" s="91"/>
      <c r="AU16" s="6179"/>
      <c r="AV16" s="216"/>
      <c r="AW16" s="92"/>
      <c r="AY16" s="6179"/>
      <c r="AZ16" s="6180"/>
      <c r="BA16" s="3473"/>
      <c r="BB16" s="91"/>
      <c r="BD16" s="6179"/>
      <c r="BE16" s="216"/>
      <c r="BF16" s="92"/>
    </row>
    <row r="17" spans="1:58" x14ac:dyDescent="0.35">
      <c r="A17" s="9217"/>
      <c r="B17" s="100" t="s">
        <v>468</v>
      </c>
      <c r="C17" s="49"/>
      <c r="D17" s="585">
        <v>1</v>
      </c>
      <c r="E17" s="43"/>
      <c r="F17" s="101"/>
      <c r="G17"/>
      <c r="H17" s="102"/>
      <c r="I17" s="103"/>
      <c r="J17" s="104"/>
      <c r="K17" s="43"/>
      <c r="L17" s="102"/>
      <c r="M17" s="105"/>
      <c r="N17" s="43"/>
      <c r="O17" s="102"/>
      <c r="P17" s="227"/>
      <c r="Q17" s="3451"/>
      <c r="R17" s="104"/>
      <c r="S17" s="43"/>
      <c r="T17" s="102"/>
      <c r="U17" s="103"/>
      <c r="V17" s="105"/>
      <c r="W17" s="43"/>
      <c r="X17" s="1388"/>
      <c r="Y17" s="520"/>
      <c r="Z17" s="3452"/>
      <c r="AA17" s="104"/>
      <c r="AB17" s="43"/>
      <c r="AC17" s="230" t="s">
        <v>1049</v>
      </c>
      <c r="AD17" s="103"/>
      <c r="AE17" s="105"/>
      <c r="AF17" s="43"/>
      <c r="AG17" s="659" t="str">
        <f t="shared" si="0"/>
        <v>Annexure 4 Economic classification</v>
      </c>
      <c r="AH17" s="520"/>
      <c r="AI17" s="3452"/>
      <c r="AJ17" s="104"/>
      <c r="AL17" s="230"/>
      <c r="AM17" s="103"/>
      <c r="AN17" s="105"/>
      <c r="AP17" s="659">
        <f>AM17</f>
        <v>0</v>
      </c>
      <c r="AQ17" s="520"/>
      <c r="AR17" s="3452"/>
      <c r="AS17" s="104"/>
      <c r="AU17" s="230"/>
      <c r="AV17" s="103"/>
      <c r="AW17" s="105"/>
      <c r="AY17" s="659"/>
      <c r="AZ17" s="1828"/>
      <c r="BA17" t="s">
        <v>1050</v>
      </c>
      <c r="BB17" s="104"/>
      <c r="BD17" s="230"/>
      <c r="BE17" s="103"/>
      <c r="BF17" s="105"/>
    </row>
    <row r="18" spans="1:58" x14ac:dyDescent="0.35">
      <c r="A18" s="9217"/>
      <c r="B18" s="6082"/>
      <c r="C18" s="110" t="s">
        <v>470</v>
      </c>
      <c r="D18" s="197"/>
      <c r="F18" s="111">
        <v>14735058</v>
      </c>
      <c r="G18"/>
      <c r="H18" s="112">
        <v>18726091</v>
      </c>
      <c r="I18" s="113">
        <f>17941151-3255837</f>
        <v>14685314</v>
      </c>
      <c r="J18" s="3453">
        <f>IF(H18=0,0,I18/H18)</f>
        <v>0.78421673802610481</v>
      </c>
      <c r="L18" s="112">
        <f>21895682-2151163</f>
        <v>19744519</v>
      </c>
      <c r="M18" s="66">
        <f>L18*J18</f>
        <v>15483982.284074448</v>
      </c>
      <c r="O18" s="7886">
        <f>L18</f>
        <v>19744519</v>
      </c>
      <c r="P18" s="7887">
        <f>21032044-3339594</f>
        <v>17692450</v>
      </c>
      <c r="Q18" s="3454"/>
      <c r="R18" s="869">
        <f t="shared" ref="R18:R23" si="1">IF(O18=0,0,P18/O18)</f>
        <v>0.89606892930640647</v>
      </c>
      <c r="T18" s="3455">
        <f>23909463-2109051</f>
        <v>21800412</v>
      </c>
      <c r="U18" s="103"/>
      <c r="V18" s="105">
        <f>T18*R18</f>
        <v>19534671.839278534</v>
      </c>
      <c r="X18" s="117">
        <f>23865097-X20</f>
        <v>21250121</v>
      </c>
      <c r="Y18" s="3456">
        <f>22880.591*1000-Y20</f>
        <v>20771508</v>
      </c>
      <c r="Z18" s="1828" t="s">
        <v>1051</v>
      </c>
      <c r="AA18" s="476">
        <f t="shared" ref="AA18:AA23" si="2">IF(X18=0,0,Y18/X18)</f>
        <v>0.97747716354179814</v>
      </c>
      <c r="AB18" s="1"/>
      <c r="AC18" s="198">
        <f>25387034-AC20</f>
        <v>23394716</v>
      </c>
      <c r="AD18" s="1828" t="s">
        <v>1052</v>
      </c>
      <c r="AE18" s="66">
        <f>AC18*AA18</f>
        <v>22867800.637545921</v>
      </c>
      <c r="AF18" s="1"/>
      <c r="AG18" s="117">
        <f t="shared" si="0"/>
        <v>23394716</v>
      </c>
      <c r="AH18" s="3456"/>
      <c r="AI18" s="1828" t="s">
        <v>1051</v>
      </c>
      <c r="AJ18" s="476">
        <f t="shared" ref="AJ18:AJ23" si="3">IF(AG18=0,0,AH18/AG18)</f>
        <v>0</v>
      </c>
      <c r="AL18" s="198">
        <v>28616.639999999999</v>
      </c>
      <c r="AM18" s="3444" t="s">
        <v>1036</v>
      </c>
      <c r="AN18" s="198">
        <f>AO18</f>
        <v>26527.83</v>
      </c>
      <c r="AO18" s="1112">
        <v>26527.83</v>
      </c>
      <c r="AP18" s="117">
        <v>25387.034</v>
      </c>
      <c r="AQ18" s="649">
        <f>27494.71-AQ20</f>
        <v>25605.673999999999</v>
      </c>
      <c r="AR18" s="1828" t="s">
        <v>1053</v>
      </c>
      <c r="AS18" s="476">
        <f t="shared" ref="AS18:AS23" si="4">IF(AP18=0,0,AQ18/AP18)</f>
        <v>1.0086122703424119</v>
      </c>
      <c r="AU18" s="248">
        <f>29075.167-AU20</f>
        <v>29064.567000000003</v>
      </c>
      <c r="AV18" s="1828"/>
      <c r="AW18" s="1033">
        <f>29105.462-AW20</f>
        <v>29094.862000000001</v>
      </c>
      <c r="AY18" s="117">
        <f>29075.17-AY20</f>
        <v>27507.17</v>
      </c>
      <c r="AZ18" s="649">
        <f>27768.663-AZ20</f>
        <v>26159.397000000001</v>
      </c>
      <c r="BB18" s="476">
        <f t="shared" ref="BB18:BB22" si="5">IF(AY18=0,0,AZ18/AY18)</f>
        <v>0.95100284762118392</v>
      </c>
      <c r="BD18" s="248">
        <f>35819.345-BD20</f>
        <v>33917.235000000001</v>
      </c>
      <c r="BE18" s="1828" t="s">
        <v>1054</v>
      </c>
      <c r="BF18" s="1033">
        <f>BD18*BB18</f>
        <v>32255.387068436885</v>
      </c>
    </row>
    <row r="19" spans="1:58" x14ac:dyDescent="0.35">
      <c r="A19" s="9217"/>
      <c r="B19" s="6082"/>
      <c r="C19" s="110" t="s">
        <v>474</v>
      </c>
      <c r="D19" s="197"/>
      <c r="F19" s="122">
        <v>14786847</v>
      </c>
      <c r="G19"/>
      <c r="H19" s="114">
        <v>19488953</v>
      </c>
      <c r="I19" s="123">
        <f>16668752-3540449</f>
        <v>13128303</v>
      </c>
      <c r="J19" s="3453">
        <f>IF(H19=0,0,I19/H19)</f>
        <v>0.67362792654895309</v>
      </c>
      <c r="L19" s="114">
        <f>18460155-3257828</f>
        <v>15202327</v>
      </c>
      <c r="M19" s="66">
        <f>L19*J19</f>
        <v>10240712.015729167</v>
      </c>
      <c r="O19" s="7888">
        <f>L19</f>
        <v>15202327</v>
      </c>
      <c r="P19" s="7889">
        <f>15443805-1588916</f>
        <v>13854889</v>
      </c>
      <c r="Q19" s="3457"/>
      <c r="R19" s="476">
        <f t="shared" si="1"/>
        <v>0.91136633227268427</v>
      </c>
      <c r="T19" s="198">
        <f>25803320-336541</f>
        <v>25466779</v>
      </c>
      <c r="U19" s="106"/>
      <c r="V19" s="66">
        <f>T19*R19</f>
        <v>23209564.972029019</v>
      </c>
      <c r="X19" s="117">
        <v>26578232</v>
      </c>
      <c r="Y19" s="3456">
        <f>21807.856*1000</f>
        <v>21807856</v>
      </c>
      <c r="Z19" s="1828" t="s">
        <v>1055</v>
      </c>
      <c r="AA19" s="476">
        <f t="shared" si="2"/>
        <v>0.82051567613677234</v>
      </c>
      <c r="AB19" s="1"/>
      <c r="AC19" s="198">
        <v>26497330</v>
      </c>
      <c r="AD19" s="1828"/>
      <c r="AE19" s="66">
        <f>AC19*AA19</f>
        <v>21741474.640769184</v>
      </c>
      <c r="AF19" s="1"/>
      <c r="AG19" s="117">
        <f t="shared" si="0"/>
        <v>26497330</v>
      </c>
      <c r="AH19" s="3456"/>
      <c r="AI19" s="1828" t="s">
        <v>1055</v>
      </c>
      <c r="AJ19" s="476">
        <f t="shared" si="3"/>
        <v>0</v>
      </c>
      <c r="AL19" s="198">
        <v>29990.639999999999</v>
      </c>
      <c r="AM19" s="3444" t="s">
        <v>1042</v>
      </c>
      <c r="AN19" s="198">
        <f>AL19</f>
        <v>29990.639999999999</v>
      </c>
      <c r="AP19" s="117">
        <v>26497.33</v>
      </c>
      <c r="AQ19" s="649">
        <v>28836.647000000001</v>
      </c>
      <c r="AR19" s="1828"/>
      <c r="AS19" s="476">
        <f t="shared" si="4"/>
        <v>1.088285008338576</v>
      </c>
      <c r="AU19" s="200">
        <v>16053.01</v>
      </c>
      <c r="AV19" s="1828"/>
      <c r="AW19" s="204">
        <v>17619.123</v>
      </c>
      <c r="AY19" s="117">
        <v>16053.01</v>
      </c>
      <c r="AZ19" s="649">
        <v>16285.47</v>
      </c>
      <c r="BA19" s="1828"/>
      <c r="BB19" s="476">
        <f t="shared" si="5"/>
        <v>1.01448077338767</v>
      </c>
      <c r="BD19" s="200">
        <v>28796.120999999999</v>
      </c>
      <c r="BE19" s="1828"/>
      <c r="BF19" s="204">
        <f>BD19*BB19</f>
        <v>29213.111102644922</v>
      </c>
    </row>
    <row r="20" spans="1:58" x14ac:dyDescent="0.35">
      <c r="A20" s="9217"/>
      <c r="B20" s="6082"/>
      <c r="C20" s="121" t="s">
        <v>634</v>
      </c>
      <c r="D20" s="197"/>
      <c r="F20" s="122"/>
      <c r="G20"/>
      <c r="H20" s="114"/>
      <c r="I20" s="123"/>
      <c r="J20" s="3453"/>
      <c r="L20" s="114"/>
      <c r="M20" s="66"/>
      <c r="O20" s="7888"/>
      <c r="P20" s="7889"/>
      <c r="Q20" s="3457"/>
      <c r="R20" s="476">
        <f t="shared" si="1"/>
        <v>0</v>
      </c>
      <c r="T20" s="198"/>
      <c r="U20" s="106"/>
      <c r="V20" s="66"/>
      <c r="X20" s="117">
        <v>2614976</v>
      </c>
      <c r="Y20" s="7890">
        <v>2109083</v>
      </c>
      <c r="Z20" s="1828" t="s">
        <v>1056</v>
      </c>
      <c r="AA20" s="476">
        <f t="shared" si="2"/>
        <v>0.80654009826476414</v>
      </c>
      <c r="AB20" s="1"/>
      <c r="AC20" s="198">
        <f>104980+1887338</f>
        <v>1992318</v>
      </c>
      <c r="AD20" s="1828"/>
      <c r="AE20" s="66">
        <f>AC20*AA20</f>
        <v>1606884.3554946585</v>
      </c>
      <c r="AF20" s="1"/>
      <c r="AG20" s="117">
        <f t="shared" si="0"/>
        <v>1992318</v>
      </c>
      <c r="AH20" s="7890"/>
      <c r="AI20" s="1828" t="s">
        <v>1056</v>
      </c>
      <c r="AJ20" s="476">
        <f t="shared" si="3"/>
        <v>0</v>
      </c>
      <c r="AL20" s="198">
        <v>2088.81</v>
      </c>
      <c r="AM20" s="3444" t="s">
        <v>1057</v>
      </c>
      <c r="AN20" s="198">
        <f>AL20</f>
        <v>2088.81</v>
      </c>
      <c r="AP20" s="117">
        <f>253.56+1314.437</f>
        <v>1567.9969999999998</v>
      </c>
      <c r="AQ20" s="649">
        <v>1889.0360000000001</v>
      </c>
      <c r="AR20" s="1828" t="s">
        <v>1058</v>
      </c>
      <c r="AS20" s="476">
        <f t="shared" si="4"/>
        <v>1.204744651934921</v>
      </c>
      <c r="AU20" s="200">
        <v>10.6</v>
      </c>
      <c r="AV20" s="1828"/>
      <c r="AW20" s="204">
        <f>AU20</f>
        <v>10.6</v>
      </c>
      <c r="AY20" s="117">
        <v>1568</v>
      </c>
      <c r="AZ20" s="649">
        <f>282.794+1326.472</f>
        <v>1609.2660000000001</v>
      </c>
      <c r="BA20" s="1828" t="s">
        <v>1059</v>
      </c>
      <c r="BB20" s="476">
        <f t="shared" si="5"/>
        <v>1.0263176020408165</v>
      </c>
      <c r="BD20" s="200">
        <v>1902.11</v>
      </c>
      <c r="BE20" s="1828"/>
      <c r="BF20" s="204">
        <f>BD20*BB20</f>
        <v>1952.1689740178572</v>
      </c>
    </row>
    <row r="21" spans="1:58" x14ac:dyDescent="0.35">
      <c r="A21" s="9217"/>
      <c r="B21" s="6082"/>
      <c r="C21" s="121" t="s">
        <v>478</v>
      </c>
      <c r="D21" s="197"/>
      <c r="F21" s="122">
        <f>2816042+986679</f>
        <v>3802721</v>
      </c>
      <c r="H21" s="114">
        <v>12284346</v>
      </c>
      <c r="I21" s="123">
        <v>9943803</v>
      </c>
      <c r="J21" s="3453">
        <f>IF(H21=0,0,I21/H21)</f>
        <v>0.80946946626218441</v>
      </c>
      <c r="L21" s="114">
        <v>5408991</v>
      </c>
      <c r="M21" s="66">
        <f>L21*J21</f>
        <v>4378413.0577869592</v>
      </c>
      <c r="O21" s="7888">
        <f>L21</f>
        <v>5408991</v>
      </c>
      <c r="P21" s="7889">
        <v>7877990</v>
      </c>
      <c r="Q21" s="3457"/>
      <c r="R21" s="476">
        <f t="shared" si="1"/>
        <v>1.4564620277608153</v>
      </c>
      <c r="T21" s="198">
        <v>4936182</v>
      </c>
      <c r="U21" s="106"/>
      <c r="V21" s="66">
        <f>T21*R21</f>
        <v>7189361.6451164372</v>
      </c>
      <c r="X21" s="117">
        <v>3467193</v>
      </c>
      <c r="Y21" s="3456">
        <v>3249052</v>
      </c>
      <c r="Z21" s="1828" t="s">
        <v>1060</v>
      </c>
      <c r="AA21" s="476">
        <f t="shared" si="2"/>
        <v>0.93708426384109567</v>
      </c>
      <c r="AB21" s="1"/>
      <c r="AC21" s="198">
        <f>2823098+120766</f>
        <v>2943864</v>
      </c>
      <c r="AD21" s="1828"/>
      <c r="AE21" s="66">
        <f>AC21*AA21</f>
        <v>2758648.6292883032</v>
      </c>
      <c r="AF21" s="1"/>
      <c r="AG21" s="117">
        <f t="shared" si="0"/>
        <v>2943864</v>
      </c>
      <c r="AH21" s="3456"/>
      <c r="AI21" s="1828" t="s">
        <v>1060</v>
      </c>
      <c r="AJ21" s="476">
        <f t="shared" si="3"/>
        <v>0</v>
      </c>
      <c r="AL21" s="198">
        <v>2820.32</v>
      </c>
      <c r="AM21" s="3444" t="s">
        <v>1061</v>
      </c>
      <c r="AN21" s="198">
        <f>AO21</f>
        <v>2088.81</v>
      </c>
      <c r="AO21" s="1112">
        <v>2088.81</v>
      </c>
      <c r="AP21" s="117">
        <v>2974.5509999999999</v>
      </c>
      <c r="AQ21" s="649">
        <f>2820.356+49.379</f>
        <v>2869.7350000000001</v>
      </c>
      <c r="AR21" s="1828" t="s">
        <v>1053</v>
      </c>
      <c r="AS21" s="476">
        <f t="shared" si="4"/>
        <v>0.96476241288180975</v>
      </c>
      <c r="AU21" s="200">
        <v>2464</v>
      </c>
      <c r="AV21" s="1828"/>
      <c r="AW21" s="204">
        <v>2464</v>
      </c>
      <c r="AY21" s="117"/>
      <c r="AZ21" s="649">
        <f>2342.084+197.593</f>
        <v>2539.6769999999997</v>
      </c>
      <c r="BA21" s="1828" t="s">
        <v>1062</v>
      </c>
      <c r="BB21" s="476">
        <f t="shared" si="5"/>
        <v>0</v>
      </c>
      <c r="BD21" s="200"/>
      <c r="BE21" s="1828"/>
      <c r="BF21" s="204"/>
    </row>
    <row r="22" spans="1:58" x14ac:dyDescent="0.35">
      <c r="A22" s="9217"/>
      <c r="B22" s="128"/>
      <c r="C22" s="129" t="s">
        <v>479</v>
      </c>
      <c r="D22" s="209"/>
      <c r="F22" s="130">
        <f>SUM(F18:F21)</f>
        <v>33324626</v>
      </c>
      <c r="H22" s="131">
        <f>SUM(H18:H21)</f>
        <v>50499390</v>
      </c>
      <c r="I22" s="132">
        <f>SUM(I18:I21)</f>
        <v>37757420</v>
      </c>
      <c r="J22" s="3458">
        <f>IF(H22=0,0,I22/H22)</f>
        <v>0.74768071455912632</v>
      </c>
      <c r="L22" s="131">
        <f>SUM(L18:L21)</f>
        <v>40355837</v>
      </c>
      <c r="M22" s="92">
        <f>SUM(M18:M21)</f>
        <v>30103107.357590575</v>
      </c>
      <c r="O22" s="7891">
        <f>L22</f>
        <v>40355837</v>
      </c>
      <c r="P22" s="7892">
        <f>SUM(P18:P21)</f>
        <v>39425329</v>
      </c>
      <c r="Q22" s="3448"/>
      <c r="R22" s="484">
        <f t="shared" si="1"/>
        <v>0.97694241851556696</v>
      </c>
      <c r="T22" s="211">
        <f>SUM(T18:T21)</f>
        <v>52203373</v>
      </c>
      <c r="U22" s="216"/>
      <c r="V22" s="92">
        <f>T22*R22</f>
        <v>50999689.47329025</v>
      </c>
      <c r="X22" s="131">
        <f>SUM(X18:X21)</f>
        <v>53910522</v>
      </c>
      <c r="Y22" s="7893">
        <f>SUM(Y18:Y21)</f>
        <v>47937499</v>
      </c>
      <c r="Z22" s="3459" t="s">
        <v>1035</v>
      </c>
      <c r="AA22" s="484">
        <f t="shared" si="2"/>
        <v>0.88920487544156968</v>
      </c>
      <c r="AB22" s="1"/>
      <c r="AC22" s="211">
        <f>SUM(AC18:AC21)</f>
        <v>54828228</v>
      </c>
      <c r="AD22" s="3459"/>
      <c r="AE22" s="92">
        <f>SUM(AE18:AE21)</f>
        <v>48974808.263098061</v>
      </c>
      <c r="AF22" s="1"/>
      <c r="AG22" s="131">
        <f t="shared" si="0"/>
        <v>54828228</v>
      </c>
      <c r="AH22" s="7893"/>
      <c r="AI22" s="3459" t="s">
        <v>1035</v>
      </c>
      <c r="AJ22" s="484">
        <f t="shared" si="3"/>
        <v>0</v>
      </c>
      <c r="AL22" s="211">
        <v>56513.5</v>
      </c>
      <c r="AM22" s="3459"/>
      <c r="AN22" s="211">
        <f>AL22*AS22</f>
        <v>59291.937023631559</v>
      </c>
      <c r="AP22" s="131">
        <f>SUM(AP18:AP21)</f>
        <v>56426.912000000004</v>
      </c>
      <c r="AQ22" s="3029">
        <f>SUM(AQ18:AQ21)</f>
        <v>59201.091999999997</v>
      </c>
      <c r="AR22" s="3459" t="s">
        <v>1035</v>
      </c>
      <c r="AS22" s="484">
        <f t="shared" si="4"/>
        <v>1.0491641293431049</v>
      </c>
      <c r="AU22" s="214">
        <f>SUM(AU18:AU21)</f>
        <v>47592.177000000003</v>
      </c>
      <c r="AV22" s="3459"/>
      <c r="AW22" s="135">
        <f>SUM(AW18:AW21)</f>
        <v>49188.584999999999</v>
      </c>
      <c r="AY22" s="131">
        <f>SUM(AY18:AY21)</f>
        <v>45128.18</v>
      </c>
      <c r="AZ22" s="3029">
        <f>SUM(AZ18:AZ21)</f>
        <v>46593.81</v>
      </c>
      <c r="BA22" s="3459"/>
      <c r="BB22" s="484">
        <f t="shared" si="5"/>
        <v>1.0324770464929007</v>
      </c>
      <c r="BD22" s="214">
        <f>SUM(BD18:BD21)</f>
        <v>64615.466</v>
      </c>
      <c r="BE22" s="3459"/>
      <c r="BF22" s="135">
        <f>SUM(BF18:BF21)</f>
        <v>63420.667145099666</v>
      </c>
    </row>
    <row r="23" spans="1:58" x14ac:dyDescent="0.35">
      <c r="A23" s="9217"/>
      <c r="B23" s="139" t="s">
        <v>480</v>
      </c>
      <c r="C23" s="49"/>
      <c r="D23" s="184"/>
      <c r="E23" s="141"/>
      <c r="F23" s="142"/>
      <c r="G23" s="143"/>
      <c r="H23" s="144"/>
      <c r="I23" s="145"/>
      <c r="J23" s="486"/>
      <c r="K23" s="141"/>
      <c r="L23" s="147"/>
      <c r="M23" s="148"/>
      <c r="N23" s="141"/>
      <c r="O23" s="147"/>
      <c r="P23" s="3460"/>
      <c r="Q23" s="3461"/>
      <c r="R23" s="869">
        <f t="shared" si="1"/>
        <v>0</v>
      </c>
      <c r="T23" s="3455"/>
      <c r="U23" s="103"/>
      <c r="V23" s="105">
        <f>T23*R23</f>
        <v>0</v>
      </c>
      <c r="W23" s="141"/>
      <c r="X23" s="1388"/>
      <c r="Y23" s="520"/>
      <c r="Z23" s="3452"/>
      <c r="AA23" s="869">
        <f t="shared" si="2"/>
        <v>0</v>
      </c>
      <c r="AB23" s="1"/>
      <c r="AC23" s="230" t="s">
        <v>1049</v>
      </c>
      <c r="AD23" s="103"/>
      <c r="AE23" s="105"/>
      <c r="AF23" s="141"/>
      <c r="AG23" s="1388"/>
      <c r="AH23" s="520"/>
      <c r="AI23" s="3452"/>
      <c r="AJ23" s="869">
        <f t="shared" si="3"/>
        <v>0</v>
      </c>
      <c r="AL23" s="230" t="s">
        <v>1049</v>
      </c>
      <c r="AM23" s="103"/>
      <c r="AN23" s="105"/>
      <c r="AP23" s="1388"/>
      <c r="AQ23" s="520"/>
      <c r="AR23" s="6181" t="s">
        <v>1063</v>
      </c>
      <c r="AS23" s="869">
        <f t="shared" si="4"/>
        <v>0</v>
      </c>
      <c r="AU23" s="230"/>
      <c r="AV23" s="103"/>
      <c r="AW23" s="105"/>
      <c r="AY23" s="1388" t="s">
        <v>1064</v>
      </c>
      <c r="AZ23" s="520"/>
      <c r="BA23" s="6181" t="s">
        <v>1065</v>
      </c>
      <c r="BB23" s="869"/>
      <c r="BD23" s="230"/>
      <c r="BE23" s="103"/>
      <c r="BF23" s="105"/>
    </row>
    <row r="24" spans="1:58" ht="14.5" customHeight="1" x14ac:dyDescent="0.35">
      <c r="A24" s="9217"/>
      <c r="B24" s="6082"/>
      <c r="C24" s="110" t="s">
        <v>483</v>
      </c>
      <c r="D24" s="197">
        <v>2</v>
      </c>
      <c r="F24" s="155">
        <v>5931990</v>
      </c>
      <c r="H24" s="117"/>
      <c r="I24" s="115">
        <v>7020917</v>
      </c>
      <c r="J24" s="476">
        <f>IF(H24=0,0,I24/H24)</f>
        <v>0</v>
      </c>
      <c r="L24" s="156"/>
      <c r="M24" s="157">
        <f>L24*J24</f>
        <v>0</v>
      </c>
      <c r="O24" s="159"/>
      <c r="P24" s="3462">
        <v>8511805</v>
      </c>
      <c r="Q24" s="9230" t="s">
        <v>1066</v>
      </c>
      <c r="R24" s="476">
        <f>IF(O24=0,0,O24/P24)</f>
        <v>0</v>
      </c>
      <c r="S24" s="141"/>
      <c r="T24" s="198"/>
      <c r="U24" s="3463"/>
      <c r="V24" s="157"/>
      <c r="X24" s="117"/>
      <c r="Y24" s="3456">
        <f>8605646+767308</f>
        <v>9372954</v>
      </c>
      <c r="Z24" s="9231" t="s">
        <v>1067</v>
      </c>
      <c r="AA24" s="476">
        <f>IF(X24=0,0,X24/Y24)</f>
        <v>0</v>
      </c>
      <c r="AB24" s="141"/>
      <c r="AC24" s="200">
        <f>8788643+788444</f>
        <v>9577087</v>
      </c>
      <c r="AD24" s="1110" t="s">
        <v>1068</v>
      </c>
      <c r="AE24" s="157"/>
      <c r="AF24" s="1"/>
      <c r="AG24" s="117"/>
      <c r="AH24" s="3456"/>
      <c r="AI24" s="9231" t="s">
        <v>1067</v>
      </c>
      <c r="AJ24" s="476">
        <f>IF(AG24=0,0,AG24/AH24)</f>
        <v>0</v>
      </c>
      <c r="AL24" s="200">
        <f>AL18*37/100</f>
        <v>10588.156799999999</v>
      </c>
      <c r="AM24" s="1110"/>
      <c r="AN24" s="157"/>
      <c r="AP24" s="117"/>
      <c r="AQ24" s="3456">
        <v>8759.56</v>
      </c>
      <c r="AS24" s="476">
        <f>IF(AP24=0,0,AP24/AQ24)</f>
        <v>0</v>
      </c>
      <c r="AU24" s="200"/>
      <c r="AV24" s="1110"/>
      <c r="AW24" s="1033"/>
      <c r="AY24" s="117">
        <v>9086.73</v>
      </c>
      <c r="AZ24" s="3456">
        <v>10533.14</v>
      </c>
      <c r="BA24" t="s">
        <v>1069</v>
      </c>
      <c r="BB24" s="476">
        <f>IF(AY24=0,0,AY24/AZ24)</f>
        <v>0.86268007450769668</v>
      </c>
      <c r="BD24" s="200">
        <v>17007.48</v>
      </c>
      <c r="BE24" s="1828" t="s">
        <v>1054</v>
      </c>
      <c r="BF24" s="1033"/>
    </row>
    <row r="25" spans="1:58" x14ac:dyDescent="0.35">
      <c r="A25" s="9217"/>
      <c r="B25" s="6082"/>
      <c r="C25" s="110" t="s">
        <v>489</v>
      </c>
      <c r="D25" s="197"/>
      <c r="F25" s="155"/>
      <c r="H25" s="117"/>
      <c r="I25" s="115"/>
      <c r="J25" s="476">
        <f>IF(H25=0,0,I25/H25)</f>
        <v>0</v>
      </c>
      <c r="L25" s="156"/>
      <c r="M25" s="157">
        <f>L25*J25</f>
        <v>0</v>
      </c>
      <c r="O25" s="159"/>
      <c r="P25" s="3462"/>
      <c r="Q25" s="9230"/>
      <c r="R25" s="476">
        <f t="shared" ref="R25:R31" si="6">IF(O25=0,0,P25/O25)</f>
        <v>0</v>
      </c>
      <c r="T25" s="198"/>
      <c r="U25" s="106"/>
      <c r="V25" s="157">
        <f>T25*R25</f>
        <v>0</v>
      </c>
      <c r="X25" s="117"/>
      <c r="Y25" s="7890"/>
      <c r="Z25" s="9231"/>
      <c r="AA25" s="476">
        <f t="shared" ref="AA25:AA31" si="7">IF(X25=0,0,Y25/X25)</f>
        <v>0</v>
      </c>
      <c r="AB25" s="1"/>
      <c r="AC25" s="200"/>
      <c r="AD25" s="106"/>
      <c r="AE25" s="157">
        <f>AC25*AA25</f>
        <v>0</v>
      </c>
      <c r="AF25" s="1"/>
      <c r="AG25" s="117"/>
      <c r="AH25" s="7890"/>
      <c r="AI25" s="9231"/>
      <c r="AJ25" s="476">
        <f>IF(AG25=0,0,AH25/AG25)</f>
        <v>0</v>
      </c>
      <c r="AL25" s="200"/>
      <c r="AM25" s="106"/>
      <c r="AN25" s="157">
        <f>AL25*AS25</f>
        <v>0</v>
      </c>
      <c r="AP25" s="117"/>
      <c r="AQ25" s="3456">
        <v>8759.56</v>
      </c>
      <c r="AR25" s="6181"/>
      <c r="AS25" s="476">
        <f>IF(AP25=0,0,AQ25/AP25)</f>
        <v>0</v>
      </c>
      <c r="AU25" s="200"/>
      <c r="AV25" s="106"/>
      <c r="AW25" s="1033">
        <f>AU25*BC25</f>
        <v>0</v>
      </c>
      <c r="AY25" s="117"/>
      <c r="AZ25" s="3456"/>
      <c r="BA25" s="6181"/>
      <c r="BB25" s="476"/>
      <c r="BD25" s="200"/>
      <c r="BE25" s="106"/>
      <c r="BF25" s="1033">
        <f>BD25*BL25</f>
        <v>0</v>
      </c>
    </row>
    <row r="26" spans="1:58" x14ac:dyDescent="0.35">
      <c r="A26" s="9217"/>
      <c r="B26" s="6082"/>
      <c r="C26" s="110" t="s">
        <v>490</v>
      </c>
      <c r="D26" s="197">
        <v>3</v>
      </c>
      <c r="F26" s="155">
        <f>480276+190924</f>
        <v>671200</v>
      </c>
      <c r="H26" s="117"/>
      <c r="I26" s="165">
        <f>290356+I27</f>
        <v>839572</v>
      </c>
      <c r="J26" s="476">
        <f>IF(H26=0,0,I26/H26)</f>
        <v>0</v>
      </c>
      <c r="L26" s="156"/>
      <c r="M26" s="157">
        <f>L26*J26</f>
        <v>0</v>
      </c>
      <c r="O26" s="159"/>
      <c r="P26" s="3462">
        <f>376444+P27</f>
        <v>1048082</v>
      </c>
      <c r="Q26" s="9230"/>
      <c r="R26" s="476">
        <f t="shared" si="6"/>
        <v>0</v>
      </c>
      <c r="T26" s="198"/>
      <c r="U26" s="106"/>
      <c r="V26" s="157">
        <f>T26*R26</f>
        <v>0</v>
      </c>
      <c r="X26" s="117"/>
      <c r="Y26" s="3456">
        <f>457158+882968</f>
        <v>1340126</v>
      </c>
      <c r="Z26" s="9231"/>
      <c r="AA26" s="476">
        <f t="shared" si="7"/>
        <v>0</v>
      </c>
      <c r="AB26" s="1"/>
      <c r="AC26" s="200">
        <f>134712+690161</f>
        <v>824873</v>
      </c>
      <c r="AD26" s="106" t="s">
        <v>1070</v>
      </c>
      <c r="AE26" s="157">
        <f>AC26*AA26</f>
        <v>0</v>
      </c>
      <c r="AF26" s="1"/>
      <c r="AG26" s="117"/>
      <c r="AH26" s="3456"/>
      <c r="AI26" s="9231"/>
      <c r="AJ26" s="476">
        <f>IF(AG26=0,0,AH26/AG26)</f>
        <v>0</v>
      </c>
      <c r="AL26" s="200"/>
      <c r="AM26" s="106"/>
      <c r="AN26" s="157">
        <f>AL26*AS26</f>
        <v>0</v>
      </c>
      <c r="AP26" s="117"/>
      <c r="AQ26" s="3456">
        <v>536.86400000000003</v>
      </c>
      <c r="AR26" s="6181"/>
      <c r="AS26" s="476">
        <f>IF(AP26=0,0,AQ26/AP26)</f>
        <v>0</v>
      </c>
      <c r="AU26" s="200"/>
      <c r="AV26" s="106"/>
      <c r="AW26" s="1033">
        <f>AU26*BC26</f>
        <v>0</v>
      </c>
      <c r="AY26" s="117">
        <v>260.798</v>
      </c>
      <c r="AZ26" s="3456">
        <v>581.93299999999999</v>
      </c>
      <c r="BA26" s="6181" t="s">
        <v>1071</v>
      </c>
      <c r="BB26" s="476">
        <f>IF(AY26=0,0,AZ26/AY26)</f>
        <v>2.2313553018044616</v>
      </c>
      <c r="BD26" s="200"/>
      <c r="BE26" s="106"/>
      <c r="BF26" s="1033">
        <f>BD26*BL26</f>
        <v>0</v>
      </c>
    </row>
    <row r="27" spans="1:58" x14ac:dyDescent="0.35">
      <c r="A27" s="9217"/>
      <c r="B27" s="6082"/>
      <c r="C27" s="161" t="s">
        <v>497</v>
      </c>
      <c r="D27" s="610">
        <v>4</v>
      </c>
      <c r="F27" s="155">
        <f>480276</f>
        <v>480276</v>
      </c>
      <c r="H27" s="164"/>
      <c r="I27" s="165">
        <v>549216</v>
      </c>
      <c r="J27" s="476">
        <f>IF(H27=0,0,I27/H27)</f>
        <v>0</v>
      </c>
      <c r="L27" s="166"/>
      <c r="M27" s="157">
        <f>L27*J27</f>
        <v>0</v>
      </c>
      <c r="O27" s="166"/>
      <c r="P27" s="3462">
        <v>671638</v>
      </c>
      <c r="Q27" s="9230"/>
      <c r="R27" s="476">
        <f t="shared" si="6"/>
        <v>0</v>
      </c>
      <c r="T27" s="198"/>
      <c r="U27" s="106"/>
      <c r="V27" s="157">
        <f>T27*R27</f>
        <v>0</v>
      </c>
      <c r="X27" s="242"/>
      <c r="Y27" s="7759">
        <v>662968</v>
      </c>
      <c r="Z27" s="9231"/>
      <c r="AA27" s="476">
        <f t="shared" si="7"/>
        <v>0</v>
      </c>
      <c r="AB27" s="1"/>
      <c r="AC27" s="164">
        <v>690161</v>
      </c>
      <c r="AD27" s="106"/>
      <c r="AE27" s="157">
        <f>AC27*AA27</f>
        <v>0</v>
      </c>
      <c r="AF27" s="1"/>
      <c r="AG27" s="242"/>
      <c r="AH27" s="7759"/>
      <c r="AI27" s="9231"/>
      <c r="AJ27" s="476">
        <f>IF(AG27=0,0,AH27/AG27)</f>
        <v>0</v>
      </c>
      <c r="AL27" s="164"/>
      <c r="AM27" s="106"/>
      <c r="AN27" s="157">
        <f>AL27*AS27</f>
        <v>0</v>
      </c>
      <c r="AP27" s="242"/>
      <c r="AQ27" s="7759"/>
      <c r="AR27" s="6181"/>
      <c r="AS27" s="476">
        <f>IF(AP27=0,0,AQ27/AP27)</f>
        <v>0</v>
      </c>
      <c r="AU27" s="164"/>
      <c r="AV27" s="106"/>
      <c r="AW27" s="1033">
        <f>AU27*BC27</f>
        <v>0</v>
      </c>
      <c r="AY27" s="242"/>
      <c r="AZ27" s="7759"/>
      <c r="BA27" s="6181"/>
      <c r="BB27" s="476"/>
      <c r="BD27" s="164"/>
      <c r="BE27" s="106"/>
      <c r="BF27" s="1033">
        <f>BD27*BL27</f>
        <v>0</v>
      </c>
    </row>
    <row r="28" spans="1:58" x14ac:dyDescent="0.35">
      <c r="A28" s="9217"/>
      <c r="B28" s="6082"/>
      <c r="C28" s="110" t="s">
        <v>499</v>
      </c>
      <c r="D28" s="197"/>
      <c r="F28" s="3464">
        <f>IF(F24=0,0,(F26-F27)/F24)</f>
        <v>3.2185489186596743E-2</v>
      </c>
      <c r="G28" s="170"/>
      <c r="H28" s="3465">
        <f>IF(H25=0,0,(H26-H27)/H25)</f>
        <v>0</v>
      </c>
      <c r="I28" s="3466">
        <f>IF(I24=0,0,(I26-I27)/I24)</f>
        <v>4.1355851379527776E-2</v>
      </c>
      <c r="J28" s="835"/>
      <c r="K28" s="170"/>
      <c r="L28" s="3467">
        <f>IF(L25=0,0,L26/L25)</f>
        <v>0</v>
      </c>
      <c r="M28" s="837">
        <f>IF(M25=0,0,M26/M25)</f>
        <v>0</v>
      </c>
      <c r="N28" s="176"/>
      <c r="O28" s="3467">
        <f>IF(O25=0,0,O26/O25)</f>
        <v>0</v>
      </c>
      <c r="P28" s="3468">
        <f>IF(P24=0,0,(P26-P27)/P24)</f>
        <v>4.4226107153535588E-2</v>
      </c>
      <c r="Q28" s="3469"/>
      <c r="R28" s="476">
        <f t="shared" si="6"/>
        <v>0</v>
      </c>
      <c r="T28" s="3470">
        <f>IF(T25=0,0,T26/T25)</f>
        <v>0</v>
      </c>
      <c r="U28" s="495"/>
      <c r="V28" s="3471">
        <f>IF(V25=0,0,V26/V25)</f>
        <v>0</v>
      </c>
      <c r="W28" s="176"/>
      <c r="X28" s="3472">
        <f>Y28</f>
        <v>7.2245953623585477E-2</v>
      </c>
      <c r="Y28" s="498">
        <f>IF(Y24=0,0,(Y26-Y27)/Y24)</f>
        <v>7.2245953623585477E-2</v>
      </c>
      <c r="Z28" s="3473"/>
      <c r="AA28" s="484">
        <f t="shared" si="7"/>
        <v>1</v>
      </c>
      <c r="AB28" s="1"/>
      <c r="AC28" s="3467">
        <f>IF(AC24=0,0,(AC26-AC27)/AC24)</f>
        <v>1.4066072491562413E-2</v>
      </c>
      <c r="AD28" s="498"/>
      <c r="AE28" s="496">
        <f>IF(AE25=0,0,AE26/AE25)</f>
        <v>0</v>
      </c>
      <c r="AF28" s="176"/>
      <c r="AG28" s="3472">
        <f>AH28</f>
        <v>0</v>
      </c>
      <c r="AH28" s="498">
        <f>IF(AH24=0,0,(AH26-AH27)/AH24)</f>
        <v>0</v>
      </c>
      <c r="AI28" s="3473"/>
      <c r="AJ28" s="484">
        <f>IF(AG28=0,0,AH28/AG28)</f>
        <v>0</v>
      </c>
      <c r="AL28" s="3467">
        <f>IF(AL24=0,0,(AL26-AL27)/AL24)</f>
        <v>0</v>
      </c>
      <c r="AM28" s="498"/>
      <c r="AN28" s="496">
        <f>IF(AN25=0,0,AN26/AN25)</f>
        <v>0</v>
      </c>
      <c r="AP28" s="3472">
        <f>AQ28</f>
        <v>6.1288923187922686E-2</v>
      </c>
      <c r="AQ28" s="498">
        <f>IF(AQ24=0,0,(AQ26-AQ27)/AQ24)</f>
        <v>6.1288923187922686E-2</v>
      </c>
      <c r="AR28" s="3473"/>
      <c r="AS28" s="484">
        <f>IF(AP28=0,0,AQ28/AP28)</f>
        <v>1</v>
      </c>
      <c r="AU28" s="3467">
        <f>AP28</f>
        <v>6.1288923187922686E-2</v>
      </c>
      <c r="AV28" s="498"/>
      <c r="AW28" s="496">
        <f>AQ28</f>
        <v>6.1288923187922686E-2</v>
      </c>
      <c r="AY28" s="6126">
        <f>IF(AY24=0,0,(AY26-AY27)/AY24)</f>
        <v>2.8700973837673179E-2</v>
      </c>
      <c r="AZ28" s="498">
        <f>IF(AZ24=0,0,(AZ26-AZ27)/AZ24)</f>
        <v>5.5247817839694527E-2</v>
      </c>
      <c r="BA28" s="3473"/>
      <c r="BB28" s="484">
        <f>IF(AY28=0,0,AZ28/AY28)</f>
        <v>1.924945758013817</v>
      </c>
      <c r="BD28" s="7760">
        <f>AZ28</f>
        <v>5.5247817839694527E-2</v>
      </c>
      <c r="BE28" s="7761" t="s">
        <v>1072</v>
      </c>
      <c r="BF28" s="7762">
        <f>BD28</f>
        <v>5.5247817839694527E-2</v>
      </c>
    </row>
    <row r="29" spans="1:58" x14ac:dyDescent="0.35">
      <c r="A29" s="9218"/>
      <c r="B29" s="139" t="s">
        <v>501</v>
      </c>
      <c r="C29" s="49"/>
      <c r="D29" s="3474">
        <v>5</v>
      </c>
      <c r="E29" s="1149"/>
      <c r="F29" s="185">
        <f>7543340+1676063</f>
        <v>9219403</v>
      </c>
      <c r="G29" s="1149"/>
      <c r="H29" s="185">
        <f>8102333+1461841</f>
        <v>9564174</v>
      </c>
      <c r="I29" s="185">
        <f>7648345+1415833</f>
        <v>9064178</v>
      </c>
      <c r="J29" s="3332">
        <f>IF(H29=0,0,I29/H29)</f>
        <v>0.94772198832852683</v>
      </c>
      <c r="K29" s="1149"/>
      <c r="L29" s="185"/>
      <c r="M29" s="3460">
        <f>L29*J29</f>
        <v>0</v>
      </c>
      <c r="N29" s="1149"/>
      <c r="O29" s="3475">
        <f>9041748+1342873</f>
        <v>10384621</v>
      </c>
      <c r="P29" s="3476">
        <f>8733298+1278460</f>
        <v>10011758</v>
      </c>
      <c r="Q29" s="3461" t="s">
        <v>1073</v>
      </c>
      <c r="R29" s="869">
        <f t="shared" si="6"/>
        <v>0.96409469348953614</v>
      </c>
      <c r="S29" s="170" t="b">
        <f>O29=O30+O31</f>
        <v>1</v>
      </c>
      <c r="T29" s="185">
        <f>IF(T26=0,0,T27/T26)</f>
        <v>0</v>
      </c>
      <c r="U29" s="3477"/>
      <c r="V29" s="3478">
        <f>IF(V26=0,0,V27/V26)</f>
        <v>0</v>
      </c>
      <c r="X29" s="3479"/>
      <c r="Y29" s="3480"/>
      <c r="Z29" s="3452"/>
      <c r="AA29" s="869"/>
      <c r="AB29" s="1"/>
      <c r="AC29" s="3481"/>
      <c r="AD29" s="839"/>
      <c r="AE29" s="3482"/>
      <c r="AF29" s="1"/>
      <c r="AG29" s="3479"/>
      <c r="AH29" s="3480"/>
      <c r="AI29" s="3452"/>
      <c r="AJ29" s="869"/>
      <c r="AL29" s="3481"/>
      <c r="AM29" s="839"/>
      <c r="AN29" s="3482"/>
      <c r="AP29" s="6182"/>
      <c r="AQ29" s="6183"/>
      <c r="AR29" s="3452"/>
      <c r="AS29" s="7763"/>
      <c r="AU29" s="6184"/>
      <c r="AV29" s="839"/>
      <c r="AW29" s="3482"/>
      <c r="AY29" s="6182"/>
      <c r="AZ29" s="6183"/>
      <c r="BA29" s="3452"/>
      <c r="BB29" s="7763"/>
      <c r="BD29" s="6184"/>
      <c r="BE29" s="839"/>
      <c r="BF29" s="3482"/>
    </row>
    <row r="30" spans="1:58" ht="18" customHeight="1" x14ac:dyDescent="0.35">
      <c r="A30" s="9218"/>
      <c r="B30" s="196"/>
      <c r="C30" s="3483" t="s">
        <v>1074</v>
      </c>
      <c r="F30" s="122"/>
      <c r="H30" s="122"/>
      <c r="I30" s="122"/>
      <c r="J30" s="3333"/>
      <c r="L30" s="122"/>
      <c r="M30" s="3484"/>
      <c r="O30" s="3485">
        <f>6431223+256651</f>
        <v>6687874</v>
      </c>
      <c r="P30" s="3486">
        <f>6342087+252424</f>
        <v>6594511</v>
      </c>
      <c r="Q30" s="3469" t="s">
        <v>1075</v>
      </c>
      <c r="R30" s="476">
        <f t="shared" si="6"/>
        <v>0.98603995828868785</v>
      </c>
      <c r="S30" s="170" t="b">
        <f>P29=P30+P31</f>
        <v>1</v>
      </c>
      <c r="T30" s="122"/>
      <c r="U30" s="832"/>
      <c r="V30" s="3487"/>
      <c r="X30" s="117">
        <f>6407899</f>
        <v>6407899</v>
      </c>
      <c r="Y30" s="3488">
        <f>6147512+263188</f>
        <v>6410700</v>
      </c>
      <c r="Z30" s="3489" t="s">
        <v>1075</v>
      </c>
      <c r="AA30" s="476">
        <f t="shared" si="7"/>
        <v>1.0004371167523083</v>
      </c>
      <c r="AB30" s="1"/>
      <c r="AC30" s="200"/>
      <c r="AD30" s="834"/>
      <c r="AE30" s="837"/>
      <c r="AF30" s="1"/>
      <c r="AG30" s="117"/>
      <c r="AH30" s="3488"/>
      <c r="AI30" s="3489"/>
      <c r="AJ30" s="476">
        <f>IF(AG30=0,0,AH30/AG30)</f>
        <v>0</v>
      </c>
      <c r="AL30" s="200"/>
      <c r="AM30" s="834"/>
      <c r="AN30" s="837"/>
      <c r="AP30" s="117"/>
      <c r="AQ30" s="3488"/>
      <c r="AR30" s="3489"/>
      <c r="AS30" s="476">
        <f>IF(AP30=0,0,AQ30/AP30)</f>
        <v>0</v>
      </c>
      <c r="AU30" s="200"/>
      <c r="AV30" s="834"/>
      <c r="AW30" s="1033"/>
      <c r="AY30" s="117"/>
      <c r="AZ30" s="3488"/>
      <c r="BA30" s="3489"/>
      <c r="BB30" s="476">
        <f>IF(AY30=0,0,AZ30/AY30)</f>
        <v>0</v>
      </c>
      <c r="BD30" s="200"/>
      <c r="BE30" s="834"/>
      <c r="BF30" s="1033"/>
    </row>
    <row r="31" spans="1:58" x14ac:dyDescent="0.35">
      <c r="A31" s="9218"/>
      <c r="B31" s="207"/>
      <c r="C31" s="3490" t="s">
        <v>933</v>
      </c>
      <c r="D31" s="3491"/>
      <c r="E31" s="3492"/>
      <c r="F31" s="210"/>
      <c r="G31" s="3492"/>
      <c r="H31" s="210"/>
      <c r="I31" s="210"/>
      <c r="J31" s="3334"/>
      <c r="K31" s="3492"/>
      <c r="L31" s="210"/>
      <c r="M31" s="3493"/>
      <c r="N31" s="3492"/>
      <c r="O31" s="3494">
        <f>2610525+1086222</f>
        <v>3696747</v>
      </c>
      <c r="P31" s="3495">
        <f>2391211+1026036</f>
        <v>3417247</v>
      </c>
      <c r="Q31" s="3449" t="s">
        <v>1076</v>
      </c>
      <c r="R31" s="484">
        <f t="shared" si="6"/>
        <v>0.92439298659064306</v>
      </c>
      <c r="S31" s="170"/>
      <c r="T31" s="210"/>
      <c r="U31" s="830"/>
      <c r="V31" s="3496"/>
      <c r="X31" s="131">
        <v>5155718</v>
      </c>
      <c r="Y31" s="3497">
        <f>3479466+1982691</f>
        <v>5462157</v>
      </c>
      <c r="Z31" s="1159" t="s">
        <v>1076</v>
      </c>
      <c r="AA31" s="484">
        <f t="shared" si="7"/>
        <v>1.0594367263686648</v>
      </c>
      <c r="AB31" s="1"/>
      <c r="AC31" s="214"/>
      <c r="AD31" s="497"/>
      <c r="AE31" s="496"/>
      <c r="AF31" s="1"/>
      <c r="AG31" s="131"/>
      <c r="AH31" s="3497"/>
      <c r="AI31" s="1159"/>
      <c r="AJ31" s="484">
        <f>IF(AG31=0,0,AH31/AG31)</f>
        <v>0</v>
      </c>
      <c r="AL31" s="214"/>
      <c r="AM31" s="497"/>
      <c r="AN31" s="496"/>
      <c r="AP31" s="131"/>
      <c r="AQ31" s="3497"/>
      <c r="AR31" s="1159"/>
      <c r="AS31" s="484">
        <f>IF(AP31=0,0,AQ31/AP31)</f>
        <v>0</v>
      </c>
      <c r="AU31" s="214"/>
      <c r="AV31" s="497"/>
      <c r="AW31" s="6185"/>
      <c r="AY31" s="131"/>
      <c r="AZ31" s="3497"/>
      <c r="BA31" s="1159"/>
      <c r="BB31" s="484">
        <f>IF(AY31=0,0,AZ31/AY31)</f>
        <v>0</v>
      </c>
      <c r="BD31" s="214"/>
      <c r="BE31" s="497"/>
      <c r="BF31" s="6185"/>
    </row>
    <row r="32" spans="1:58" x14ac:dyDescent="0.35">
      <c r="A32" s="220"/>
      <c r="B32" s="220"/>
      <c r="F32" s="106"/>
      <c r="H32" s="106"/>
      <c r="I32" s="106"/>
      <c r="J32" s="221"/>
      <c r="L32" s="106"/>
      <c r="O32" s="833"/>
      <c r="P32" s="834"/>
      <c r="Q32" s="106"/>
      <c r="R32" s="835"/>
      <c r="S32" s="170"/>
      <c r="T32" s="245"/>
      <c r="U32" s="834"/>
      <c r="V32" s="837"/>
      <c r="X32" s="245"/>
      <c r="Y32" s="834"/>
      <c r="Z32" s="106"/>
      <c r="AA32" s="835"/>
      <c r="AB32" s="1"/>
      <c r="AC32" s="245"/>
      <c r="AD32" s="834"/>
      <c r="AE32" s="837"/>
      <c r="AF32" s="1"/>
      <c r="AG32" s="245"/>
      <c r="AH32" s="834"/>
      <c r="AI32" s="106"/>
      <c r="AJ32" s="835"/>
      <c r="AL32" s="245"/>
      <c r="AM32" s="834"/>
      <c r="AN32" s="837"/>
      <c r="AP32" s="245"/>
      <c r="AQ32" s="834"/>
      <c r="AR32" s="106"/>
      <c r="AS32" s="835"/>
      <c r="AU32" s="245"/>
      <c r="AV32" s="834"/>
      <c r="AW32" s="837"/>
      <c r="AY32" s="245"/>
      <c r="AZ32" s="834"/>
      <c r="BA32" s="106"/>
      <c r="BB32" s="835"/>
      <c r="BD32" s="245"/>
      <c r="BE32" s="834"/>
      <c r="BF32" s="837"/>
    </row>
    <row r="33" spans="1:58" ht="40.75" customHeight="1" x14ac:dyDescent="0.35">
      <c r="A33" s="9167" t="s">
        <v>503</v>
      </c>
      <c r="B33" s="27"/>
      <c r="C33" s="28" t="s">
        <v>427</v>
      </c>
      <c r="D33" s="580" t="s">
        <v>428</v>
      </c>
      <c r="E33" s="30"/>
      <c r="F33" s="36" t="s">
        <v>1010</v>
      </c>
      <c r="G33" s="223"/>
      <c r="H33" s="36" t="s">
        <v>1045</v>
      </c>
      <c r="I33" s="36" t="s">
        <v>1045</v>
      </c>
      <c r="J33" s="224" t="b">
        <f>I35=I36+I37</f>
        <v>1</v>
      </c>
      <c r="K33" s="223"/>
      <c r="L33" s="222" t="str">
        <f>L16</f>
        <v>Budget Report 2014-15 Table on sector allocation</v>
      </c>
      <c r="M33" s="511"/>
      <c r="N33" s="30"/>
      <c r="O33" s="36" t="s">
        <v>1077</v>
      </c>
      <c r="P33" s="3498" t="s">
        <v>1078</v>
      </c>
      <c r="Q33" s="3499"/>
      <c r="R33" s="3499"/>
      <c r="S33" s="170"/>
      <c r="T33" s="185"/>
      <c r="U33" s="3477"/>
      <c r="V33" s="3478"/>
      <c r="W33" s="30"/>
      <c r="X33" s="185"/>
      <c r="Y33" s="3498" t="s">
        <v>1078</v>
      </c>
      <c r="Z33" s="3499"/>
      <c r="AA33" s="3499"/>
      <c r="AB33" s="170"/>
      <c r="AC33" s="185"/>
      <c r="AD33" s="3477"/>
      <c r="AE33" s="3478"/>
      <c r="AF33" s="30"/>
      <c r="AG33" s="185"/>
      <c r="AH33" s="3498"/>
      <c r="AI33" s="3499"/>
      <c r="AJ33" s="3499"/>
      <c r="AL33" s="185"/>
      <c r="AM33" s="3477"/>
      <c r="AN33" s="3478"/>
      <c r="AP33" s="185"/>
      <c r="AQ33" s="3498"/>
      <c r="AR33" s="3499"/>
      <c r="AS33" s="3499"/>
      <c r="AU33" s="185"/>
      <c r="AV33" s="3477"/>
      <c r="AW33" s="3478" t="s">
        <v>1027</v>
      </c>
      <c r="AY33" s="7764" t="s">
        <v>1079</v>
      </c>
      <c r="AZ33" s="8314" t="s">
        <v>1080</v>
      </c>
      <c r="BA33" s="3499"/>
      <c r="BB33" s="3499"/>
      <c r="BD33" s="185"/>
      <c r="BE33" s="3477"/>
      <c r="BF33" s="3478" t="s">
        <v>1027</v>
      </c>
    </row>
    <row r="34" spans="1:58" x14ac:dyDescent="0.35">
      <c r="A34" s="9168"/>
      <c r="B34" s="141" t="s">
        <v>514</v>
      </c>
      <c r="C34"/>
      <c r="D34" s="184"/>
      <c r="E34" s="143"/>
      <c r="F34" s="227"/>
      <c r="G34" s="143"/>
      <c r="H34" s="102"/>
      <c r="I34" s="103"/>
      <c r="J34" s="228"/>
      <c r="K34" s="143"/>
      <c r="L34" s="102"/>
      <c r="M34" s="229"/>
      <c r="N34" s="143"/>
      <c r="O34" s="102"/>
      <c r="P34" s="348"/>
      <c r="Q34" s="103"/>
      <c r="R34" s="869">
        <f>IF(O34=0,0,P34/O34)</f>
        <v>0</v>
      </c>
      <c r="T34" s="102"/>
      <c r="U34" s="103"/>
      <c r="V34" s="148">
        <f>T34*R34</f>
        <v>0</v>
      </c>
      <c r="W34" s="143"/>
      <c r="X34" s="102"/>
      <c r="Y34" s="348"/>
      <c r="Z34" s="103"/>
      <c r="AA34" s="869">
        <f>IF(X34=0,0,Y34/X34)</f>
        <v>0</v>
      </c>
      <c r="AB34" s="1"/>
      <c r="AC34" s="102"/>
      <c r="AD34" s="103"/>
      <c r="AE34" s="148"/>
      <c r="AF34" s="143"/>
      <c r="AG34" s="102"/>
      <c r="AH34" s="348"/>
      <c r="AI34" s="103"/>
      <c r="AJ34" s="869">
        <f>IF(AG34=0,0,AH34/AG34)</f>
        <v>0</v>
      </c>
      <c r="AL34" s="102"/>
      <c r="AM34" s="103"/>
      <c r="AN34" s="148"/>
      <c r="AP34" s="102" t="s">
        <v>1081</v>
      </c>
      <c r="AQ34" s="348"/>
      <c r="AR34" s="103"/>
      <c r="AS34" s="869"/>
      <c r="AU34" s="230" t="s">
        <v>1082</v>
      </c>
      <c r="AV34" s="103"/>
      <c r="AW34" s="148"/>
      <c r="AY34" s="102" t="s">
        <v>1081</v>
      </c>
      <c r="AZ34" s="348"/>
      <c r="BA34" s="103"/>
      <c r="BB34" s="869"/>
      <c r="BD34" s="230" t="s">
        <v>1082</v>
      </c>
      <c r="BE34" s="103"/>
      <c r="BF34" s="148"/>
    </row>
    <row r="35" spans="1:58" x14ac:dyDescent="0.35">
      <c r="A35" s="9168"/>
      <c r="B35" s="240"/>
      <c r="C35" s="240" t="s">
        <v>1083</v>
      </c>
      <c r="D35" s="197">
        <v>6</v>
      </c>
      <c r="F35" s="111">
        <v>729083</v>
      </c>
      <c r="H35" s="112">
        <v>955434</v>
      </c>
      <c r="I35" s="113">
        <v>866774</v>
      </c>
      <c r="J35" s="476">
        <f>IF(H35=0,0,I35/H35)</f>
        <v>0.9072044746157244</v>
      </c>
      <c r="L35" s="112"/>
      <c r="M35" s="157">
        <f>L35*J35</f>
        <v>0</v>
      </c>
      <c r="O35" s="248"/>
      <c r="P35" s="3500"/>
      <c r="Q35" s="9225" t="s">
        <v>1084</v>
      </c>
      <c r="R35" s="476">
        <f>IF(O35=0,0,P35/O35)</f>
        <v>0</v>
      </c>
      <c r="T35" s="245"/>
      <c r="U35" s="106"/>
      <c r="V35" s="229"/>
      <c r="X35" s="248"/>
      <c r="Y35" s="3500"/>
      <c r="Z35" s="9225" t="s">
        <v>1085</v>
      </c>
      <c r="AA35" s="476">
        <f>IF(X35=0,0,Y35/X35)</f>
        <v>0</v>
      </c>
      <c r="AB35" s="1"/>
      <c r="AC35" s="3501"/>
      <c r="AD35" s="1039"/>
      <c r="AE35" s="867"/>
      <c r="AF35" s="1"/>
      <c r="AG35" s="248"/>
      <c r="AH35" s="3500"/>
      <c r="AI35" s="9225"/>
      <c r="AJ35" s="476">
        <f>IF(AG35=0,0,AH35/AG35)</f>
        <v>0</v>
      </c>
      <c r="AL35" s="3501"/>
      <c r="AM35" s="1039"/>
      <c r="AN35" s="867"/>
      <c r="AP35" s="248"/>
      <c r="AQ35" s="3500"/>
      <c r="AR35" s="1941"/>
      <c r="AS35" s="476"/>
      <c r="AU35" s="3501"/>
      <c r="AV35" s="1039"/>
      <c r="AW35" s="867"/>
      <c r="AY35" s="248"/>
      <c r="AZ35" s="3500"/>
      <c r="BA35" s="1941" t="s">
        <v>1086</v>
      </c>
      <c r="BB35" s="476"/>
      <c r="BD35" s="3501"/>
      <c r="BE35" s="1039"/>
      <c r="BF35" s="867"/>
    </row>
    <row r="36" spans="1:58" x14ac:dyDescent="0.35">
      <c r="A36" s="9168"/>
      <c r="B36" s="240"/>
      <c r="C36" s="3502" t="s">
        <v>1074</v>
      </c>
      <c r="D36" s="197"/>
      <c r="F36" s="155"/>
      <c r="H36" s="3503">
        <v>174569</v>
      </c>
      <c r="I36" s="3503">
        <v>152531</v>
      </c>
      <c r="J36" s="476">
        <f>IF(H36=0,0,I36/H36)</f>
        <v>0.87375765456638921</v>
      </c>
      <c r="L36" s="117"/>
      <c r="M36" s="157">
        <f>L36*J36</f>
        <v>0</v>
      </c>
      <c r="O36" s="3504">
        <v>825578</v>
      </c>
      <c r="P36" s="3505">
        <v>783946</v>
      </c>
      <c r="Q36" s="9225"/>
      <c r="R36" s="476">
        <f>IF(O36=0,0,P36/O36)</f>
        <v>0.94957229964945766</v>
      </c>
      <c r="S36" s="223"/>
      <c r="T36" s="3501"/>
      <c r="U36" s="1039"/>
      <c r="V36" s="867"/>
      <c r="X36" s="3506">
        <v>1669470</v>
      </c>
      <c r="Y36" s="3507">
        <v>1625620</v>
      </c>
      <c r="Z36" s="9225"/>
      <c r="AA36" s="476">
        <f>IF(X36=0,0,Y36/X36)</f>
        <v>0.97373417911073579</v>
      </c>
      <c r="AB36" s="223"/>
      <c r="AC36" s="3501"/>
      <c r="AD36" s="1039"/>
      <c r="AE36" s="867"/>
      <c r="AF36" s="1"/>
      <c r="AG36" s="3506"/>
      <c r="AH36" s="3507"/>
      <c r="AI36" s="9225"/>
      <c r="AJ36" s="476">
        <f>IF(AG36=0,0,AH36/AG36)</f>
        <v>0</v>
      </c>
      <c r="AL36" s="3507">
        <v>7227.8329999999996</v>
      </c>
      <c r="AM36" s="7894" t="s">
        <v>1087</v>
      </c>
      <c r="AN36" s="229" t="s">
        <v>1088</v>
      </c>
      <c r="AP36" s="3506">
        <v>7228</v>
      </c>
      <c r="AQ36" s="3507">
        <v>6730.87</v>
      </c>
      <c r="AR36" s="1941" t="s">
        <v>1089</v>
      </c>
      <c r="AS36" s="476">
        <f>IF(AP36=0,0,AQ36/AP36)</f>
        <v>0.93122163807415603</v>
      </c>
      <c r="AU36" s="6186">
        <v>7478.1009999999997</v>
      </c>
      <c r="AV36" s="3508" t="s">
        <v>1090</v>
      </c>
      <c r="AW36" s="247">
        <f>AU36*AS36</f>
        <v>6963.7694629039843</v>
      </c>
      <c r="AY36" s="3506">
        <v>7478.1009999999997</v>
      </c>
      <c r="AZ36" s="3507">
        <v>7632.24</v>
      </c>
      <c r="BA36" s="1941" t="s">
        <v>1091</v>
      </c>
      <c r="BB36" s="476">
        <f>IF(AY36=0,0,AZ36/AY36)</f>
        <v>1.0206120511076275</v>
      </c>
      <c r="BD36" s="6186">
        <v>7948.0720000000001</v>
      </c>
      <c r="BE36" s="3508" t="s">
        <v>1092</v>
      </c>
      <c r="BF36" s="204">
        <f>BD36*BB36</f>
        <v>8111.8980662711037</v>
      </c>
    </row>
    <row r="37" spans="1:58" x14ac:dyDescent="0.35">
      <c r="A37" s="9168"/>
      <c r="B37" s="241"/>
      <c r="C37" s="3509" t="s">
        <v>933</v>
      </c>
      <c r="D37" s="197"/>
      <c r="F37" s="163"/>
      <c r="H37" s="3510">
        <v>780865</v>
      </c>
      <c r="I37" s="3510">
        <v>714243</v>
      </c>
      <c r="J37" s="476">
        <f>IF(H37=0,0,I37/H37)</f>
        <v>0.91468179518866899</v>
      </c>
      <c r="L37" s="242"/>
      <c r="M37" s="157">
        <f>L37*J37</f>
        <v>0</v>
      </c>
      <c r="O37" s="3504">
        <v>1045646</v>
      </c>
      <c r="P37" s="3505">
        <v>1014719</v>
      </c>
      <c r="Q37" s="9225"/>
      <c r="R37" s="476">
        <f>IF(O37=0,0,P37/O37)</f>
        <v>0.97042306861021799</v>
      </c>
      <c r="S37" s="143"/>
      <c r="T37" s="3501"/>
      <c r="U37" s="106"/>
      <c r="V37" s="229"/>
      <c r="X37" s="3506">
        <v>1399156</v>
      </c>
      <c r="Y37" s="3507">
        <v>1137330</v>
      </c>
      <c r="Z37" s="9225"/>
      <c r="AA37" s="476">
        <f>IF(X37=0,0,Y37/X37)</f>
        <v>0.81286861507937647</v>
      </c>
      <c r="AB37" s="143"/>
      <c r="AC37" s="3501"/>
      <c r="AD37" s="106"/>
      <c r="AE37" s="229"/>
      <c r="AF37" s="1"/>
      <c r="AG37" s="3506"/>
      <c r="AH37" s="3507"/>
      <c r="AI37" s="9225"/>
      <c r="AJ37" s="476">
        <f>IF(AG37=0,0,AH37/AG37)</f>
        <v>0</v>
      </c>
      <c r="AL37" s="3507">
        <v>3703.8539999999998</v>
      </c>
      <c r="AM37" s="3511" t="s">
        <v>1087</v>
      </c>
      <c r="AN37" s="229" t="s">
        <v>1088</v>
      </c>
      <c r="AP37" s="3506">
        <v>3704</v>
      </c>
      <c r="AQ37" s="3507">
        <v>4121.6540000000005</v>
      </c>
      <c r="AR37" s="1941"/>
      <c r="AS37" s="476">
        <f>IF(AP37=0,0,AQ37/AP37)</f>
        <v>1.1127575593952486</v>
      </c>
      <c r="AU37" s="6186">
        <v>1176.972</v>
      </c>
      <c r="AV37" s="3511"/>
      <c r="AW37" s="247">
        <f>AU37*AS37</f>
        <v>1309.6844901965444</v>
      </c>
      <c r="AY37" s="3506">
        <v>1176.972</v>
      </c>
      <c r="AZ37" s="3507">
        <v>1865.049</v>
      </c>
      <c r="BA37" s="1941"/>
      <c r="BB37" s="476">
        <f>IF(AY37=0,0,AZ37/AY37)</f>
        <v>1.5846162865386773</v>
      </c>
      <c r="BD37" s="6186">
        <v>2589.6019999999999</v>
      </c>
      <c r="BE37" s="3511"/>
      <c r="BF37" s="204">
        <f>BD37*BB37</f>
        <v>4103.5255048531317</v>
      </c>
    </row>
    <row r="38" spans="1:58" x14ac:dyDescent="0.35">
      <c r="A38" s="9168"/>
      <c r="B38" s="141" t="s">
        <v>531</v>
      </c>
      <c r="C38"/>
      <c r="D38" s="197"/>
      <c r="E38" s="143"/>
      <c r="F38" s="168"/>
      <c r="G38" s="143"/>
      <c r="H38" s="245"/>
      <c r="I38" s="106"/>
      <c r="J38" s="246"/>
      <c r="K38" s="143"/>
      <c r="L38" s="245"/>
      <c r="M38" s="247"/>
      <c r="N38" s="143"/>
      <c r="O38" s="3512"/>
      <c r="P38" s="1742"/>
      <c r="Q38" s="106"/>
      <c r="R38" s="476"/>
      <c r="T38" s="3501"/>
      <c r="U38" s="106"/>
      <c r="V38" s="157"/>
      <c r="W38" s="143"/>
      <c r="X38" s="3512"/>
      <c r="Y38" s="1742"/>
      <c r="Z38" s="106"/>
      <c r="AA38" s="476"/>
      <c r="AB38" s="1"/>
      <c r="AC38" s="3501"/>
      <c r="AD38" s="106"/>
      <c r="AE38" s="157"/>
      <c r="AF38" s="143"/>
      <c r="AG38" s="3512"/>
      <c r="AH38" s="1742"/>
      <c r="AI38" s="106"/>
      <c r="AJ38" s="476"/>
      <c r="AL38" s="3501"/>
      <c r="AM38" s="106"/>
      <c r="AN38" s="157"/>
      <c r="AP38" s="3512"/>
      <c r="AQ38" s="1742"/>
      <c r="AR38" s="106"/>
      <c r="AS38" s="476"/>
      <c r="AU38" s="3501"/>
      <c r="AV38" s="106"/>
      <c r="AW38" s="157"/>
      <c r="AY38" s="3512"/>
      <c r="AZ38" s="1742"/>
      <c r="BA38" s="106"/>
      <c r="BB38" s="476"/>
      <c r="BD38" s="3501"/>
      <c r="BE38" s="106"/>
      <c r="BF38" s="157"/>
    </row>
    <row r="39" spans="1:58" x14ac:dyDescent="0.35">
      <c r="A39" s="9168"/>
      <c r="B39" s="240"/>
      <c r="C39" s="240" t="s">
        <v>532</v>
      </c>
      <c r="D39" s="197"/>
      <c r="F39" s="111"/>
      <c r="H39" s="112"/>
      <c r="I39" s="113"/>
      <c r="J39" s="476">
        <f>IF(H39=0,0,I39/H39)</f>
        <v>0</v>
      </c>
      <c r="L39" s="112"/>
      <c r="M39" s="157">
        <f>L39*J39</f>
        <v>0</v>
      </c>
      <c r="O39" s="200"/>
      <c r="P39" s="160">
        <f>O39*M39</f>
        <v>0</v>
      </c>
      <c r="Q39" s="106"/>
      <c r="R39" s="476">
        <f>IF(O39=0,0,P39/O39)</f>
        <v>0</v>
      </c>
      <c r="T39" s="3501"/>
      <c r="U39" s="106"/>
      <c r="V39" s="157">
        <f>T39*R39</f>
        <v>0</v>
      </c>
      <c r="X39" s="200"/>
      <c r="Y39" s="160"/>
      <c r="Z39" s="106"/>
      <c r="AA39" s="476"/>
      <c r="AB39" s="1"/>
      <c r="AC39" s="3501"/>
      <c r="AD39" s="106"/>
      <c r="AE39" s="157">
        <f>AC39*AA39</f>
        <v>0</v>
      </c>
      <c r="AF39" s="1"/>
      <c r="AG39" s="200"/>
      <c r="AH39" s="160"/>
      <c r="AI39" s="106"/>
      <c r="AJ39" s="476"/>
      <c r="AL39" s="3501"/>
      <c r="AM39" s="106"/>
      <c r="AN39" s="157">
        <f>AL39*AS39</f>
        <v>0</v>
      </c>
      <c r="AP39" s="200"/>
      <c r="AQ39" s="160"/>
      <c r="AR39" s="106"/>
      <c r="AS39" s="476"/>
      <c r="AU39" s="3501"/>
      <c r="AV39" s="106"/>
      <c r="AW39" s="157"/>
      <c r="AY39" s="200"/>
      <c r="AZ39" s="160"/>
      <c r="BA39" s="106"/>
      <c r="BB39" s="476"/>
      <c r="BD39" s="3501"/>
      <c r="BE39" s="106"/>
      <c r="BF39" s="157"/>
    </row>
    <row r="40" spans="1:58" x14ac:dyDescent="0.35">
      <c r="A40" s="9168"/>
      <c r="B40" s="240"/>
      <c r="C40" s="240" t="s">
        <v>533</v>
      </c>
      <c r="D40" s="197"/>
      <c r="F40" s="155"/>
      <c r="H40" s="117"/>
      <c r="I40" s="115"/>
      <c r="J40" s="476">
        <f>IF(H40=0,0,I40/H40)</f>
        <v>0</v>
      </c>
      <c r="L40" s="117"/>
      <c r="M40" s="157">
        <f>L40*J40</f>
        <v>0</v>
      </c>
      <c r="O40" s="200"/>
      <c r="P40" s="160">
        <f>O40*M40</f>
        <v>0</v>
      </c>
      <c r="Q40" s="106"/>
      <c r="R40" s="476">
        <f>IF(O40=0,0,P40/O40)</f>
        <v>0</v>
      </c>
      <c r="T40" s="3501"/>
      <c r="U40" s="106"/>
      <c r="V40" s="157">
        <f>T40*R40</f>
        <v>0</v>
      </c>
      <c r="X40" s="200"/>
      <c r="Y40" s="160"/>
      <c r="Z40" s="106"/>
      <c r="AA40" s="476"/>
      <c r="AB40" s="1"/>
      <c r="AC40" s="3501"/>
      <c r="AD40" s="106"/>
      <c r="AE40" s="157">
        <f>AC40*AA40</f>
        <v>0</v>
      </c>
      <c r="AF40" s="1"/>
      <c r="AG40" s="200"/>
      <c r="AH40" s="160"/>
      <c r="AI40" s="106"/>
      <c r="AJ40" s="476"/>
      <c r="AL40" s="3501"/>
      <c r="AM40" s="106"/>
      <c r="AN40" s="157">
        <f>AL40*AS40</f>
        <v>0</v>
      </c>
      <c r="AP40" s="200"/>
      <c r="AQ40" s="160"/>
      <c r="AR40" s="106"/>
      <c r="AS40" s="476"/>
      <c r="AU40" s="3501"/>
      <c r="AV40" s="106"/>
      <c r="AW40" s="157"/>
      <c r="AY40" s="200"/>
      <c r="AZ40" s="160"/>
      <c r="BA40" s="106"/>
      <c r="BB40" s="476"/>
      <c r="BD40" s="3501"/>
      <c r="BE40" s="106"/>
      <c r="BF40" s="157"/>
    </row>
    <row r="41" spans="1:58" x14ac:dyDescent="0.35">
      <c r="A41" s="9168"/>
      <c r="B41" s="250"/>
      <c r="C41" s="250" t="s">
        <v>534</v>
      </c>
      <c r="D41" s="209"/>
      <c r="F41" s="130"/>
      <c r="H41" s="242"/>
      <c r="I41" s="243"/>
      <c r="J41" s="476">
        <f>IF(H41=0,0,I41/H41)</f>
        <v>0</v>
      </c>
      <c r="L41" s="131"/>
      <c r="M41" s="213">
        <f>L41*J41</f>
        <v>0</v>
      </c>
      <c r="O41" s="214"/>
      <c r="P41" s="3513">
        <f>O41*M41</f>
        <v>0</v>
      </c>
      <c r="Q41" s="216"/>
      <c r="R41" s="3514"/>
      <c r="S41" s="143"/>
      <c r="T41" s="3501"/>
      <c r="U41" s="106"/>
      <c r="V41" s="247"/>
      <c r="X41" s="214"/>
      <c r="Y41" s="3513"/>
      <c r="Z41" s="216"/>
      <c r="AA41" s="3514"/>
      <c r="AB41" s="143"/>
      <c r="AC41" s="3501"/>
      <c r="AD41" s="106"/>
      <c r="AE41" s="247"/>
      <c r="AF41" s="1"/>
      <c r="AG41" s="214"/>
      <c r="AH41" s="3513"/>
      <c r="AI41" s="216"/>
      <c r="AJ41" s="3514"/>
      <c r="AL41" s="3501"/>
      <c r="AM41" s="106"/>
      <c r="AN41" s="247"/>
      <c r="AP41" s="214"/>
      <c r="AQ41" s="3513"/>
      <c r="AR41" s="216"/>
      <c r="AS41" s="3514"/>
      <c r="AU41" s="6179"/>
      <c r="AV41" s="216"/>
      <c r="AW41" s="3717"/>
      <c r="AY41" s="214"/>
      <c r="AZ41" s="3513"/>
      <c r="BA41" s="216"/>
      <c r="BB41" s="3514"/>
      <c r="BD41" s="6179"/>
      <c r="BE41" s="216"/>
      <c r="BF41" s="3717"/>
    </row>
    <row r="42" spans="1:58" x14ac:dyDescent="0.35">
      <c r="A42" s="9168"/>
      <c r="B42" s="141" t="s">
        <v>535</v>
      </c>
      <c r="C42" s="141"/>
      <c r="D42" s="197">
        <v>7</v>
      </c>
      <c r="E42" s="143"/>
      <c r="F42" s="227"/>
      <c r="G42" s="143"/>
      <c r="H42" s="102"/>
      <c r="I42" s="103"/>
      <c r="J42" s="516"/>
      <c r="K42" s="143"/>
      <c r="L42" s="245"/>
      <c r="M42" s="247"/>
      <c r="N42" s="143"/>
      <c r="O42" s="3515"/>
      <c r="P42" s="2669"/>
      <c r="Q42" s="106"/>
      <c r="R42" s="476"/>
      <c r="T42" s="3516"/>
      <c r="U42" s="103"/>
      <c r="V42" s="148">
        <f>T42*R42</f>
        <v>0</v>
      </c>
      <c r="W42" s="143"/>
      <c r="X42" s="3516"/>
      <c r="Y42" s="2669"/>
      <c r="Z42" s="2669" t="s">
        <v>1093</v>
      </c>
      <c r="AA42" s="476"/>
      <c r="AB42" s="1"/>
      <c r="AC42" s="3516"/>
      <c r="AD42" s="103"/>
      <c r="AE42" s="148">
        <f>AC42*AA42</f>
        <v>0</v>
      </c>
      <c r="AF42" s="143"/>
      <c r="AG42" s="3516"/>
      <c r="AH42" s="2669"/>
      <c r="AI42" s="2669" t="s">
        <v>1093</v>
      </c>
      <c r="AJ42" s="476"/>
      <c r="AL42" s="3516"/>
      <c r="AM42" s="103"/>
      <c r="AN42" s="148"/>
      <c r="AP42" s="3516"/>
      <c r="AQ42" s="2669"/>
      <c r="AR42" s="2669"/>
      <c r="AS42" s="476"/>
      <c r="AU42" s="3516"/>
      <c r="AV42" s="103"/>
      <c r="AW42" s="148"/>
      <c r="AY42" s="3516"/>
      <c r="AZ42" s="2669"/>
      <c r="BA42" s="2669"/>
      <c r="BB42" s="476"/>
      <c r="BD42" s="3516"/>
      <c r="BE42" s="103"/>
      <c r="BF42" s="148"/>
    </row>
    <row r="43" spans="1:58" ht="14.75" customHeight="1" x14ac:dyDescent="0.35">
      <c r="A43" s="9168"/>
      <c r="B43" s="240"/>
      <c r="C43" s="240" t="s">
        <v>1094</v>
      </c>
      <c r="D43" s="197"/>
      <c r="F43" s="185"/>
      <c r="H43" s="185"/>
      <c r="I43" s="185"/>
      <c r="J43" s="476">
        <f t="shared" ref="J43:J59" si="8">IF(H43=0,0,I43/H43)</f>
        <v>0</v>
      </c>
      <c r="L43" s="112"/>
      <c r="M43" s="157">
        <f>L43*J43</f>
        <v>0</v>
      </c>
      <c r="O43" s="3517"/>
      <c r="P43" s="3518">
        <f>O43*M43</f>
        <v>0</v>
      </c>
      <c r="Q43" s="106"/>
      <c r="R43" s="476">
        <f t="shared" ref="R43:R62" si="9">IF(O43=0,0,P43/O43)</f>
        <v>0</v>
      </c>
      <c r="T43" s="3519"/>
      <c r="U43" s="106"/>
      <c r="V43" s="157">
        <f>T43*R43</f>
        <v>0</v>
      </c>
      <c r="X43" s="3520"/>
      <c r="Y43" s="3521"/>
      <c r="Z43" s="106"/>
      <c r="AA43" s="476">
        <f t="shared" ref="AA43:AA62" si="10">IF(X43=0,0,Y43/X43)</f>
        <v>0</v>
      </c>
      <c r="AB43" s="1"/>
      <c r="AC43" s="3520"/>
      <c r="AD43" s="106"/>
      <c r="AE43" s="157">
        <f>AC43*AA43</f>
        <v>0</v>
      </c>
      <c r="AF43" s="1"/>
      <c r="AG43" s="3520"/>
      <c r="AH43" s="3521"/>
      <c r="AI43" s="106"/>
      <c r="AJ43" s="476">
        <f>IF(AG43=0,0,AH43/AG43)</f>
        <v>0</v>
      </c>
      <c r="AL43" s="3520"/>
      <c r="AM43" s="106"/>
      <c r="AN43" s="157">
        <f>AL43*AS43</f>
        <v>0</v>
      </c>
      <c r="AP43" s="3520"/>
      <c r="AQ43" s="3521"/>
      <c r="AR43" s="106"/>
      <c r="AS43" s="476">
        <f>IF(AP43=0,0,AQ43/AP43)</f>
        <v>0</v>
      </c>
      <c r="AU43" s="3520"/>
      <c r="AV43" s="106"/>
      <c r="AW43" s="6187"/>
      <c r="AY43" s="3520"/>
      <c r="AZ43" s="3521"/>
      <c r="BA43" s="106"/>
      <c r="BB43" s="476">
        <f>IF(AY43=0,0,AZ43/AY43)</f>
        <v>0</v>
      </c>
      <c r="BD43" s="3520"/>
      <c r="BE43" s="106"/>
      <c r="BF43" s="6187"/>
    </row>
    <row r="44" spans="1:58" x14ac:dyDescent="0.35">
      <c r="A44" s="9168"/>
      <c r="B44" s="240"/>
      <c r="C44" s="240" t="s">
        <v>1095</v>
      </c>
      <c r="D44" s="197"/>
      <c r="F44" s="3522">
        <v>969099</v>
      </c>
      <c r="G44" s="143"/>
      <c r="H44" s="3522">
        <v>128431</v>
      </c>
      <c r="I44" s="3522">
        <v>104764</v>
      </c>
      <c r="J44" s="476">
        <f t="shared" si="8"/>
        <v>0.81572206087315369</v>
      </c>
      <c r="L44" s="117"/>
      <c r="M44" s="157">
        <f>L44*J44</f>
        <v>0</v>
      </c>
      <c r="O44" s="3523"/>
      <c r="P44" s="3524"/>
      <c r="Q44" s="106" t="s">
        <v>1096</v>
      </c>
      <c r="R44" s="476">
        <f t="shared" si="9"/>
        <v>0</v>
      </c>
      <c r="T44" s="3519"/>
      <c r="U44" s="106"/>
      <c r="V44" s="157">
        <f>T44*R44</f>
        <v>0</v>
      </c>
      <c r="X44" s="3525"/>
      <c r="Y44" s="3526"/>
      <c r="Z44" s="106"/>
      <c r="AA44" s="476">
        <f t="shared" si="10"/>
        <v>0</v>
      </c>
      <c r="AB44" s="1"/>
      <c r="AC44" s="3525"/>
      <c r="AD44" s="106"/>
      <c r="AE44" s="157">
        <f>AC44*AA44</f>
        <v>0</v>
      </c>
      <c r="AF44" s="1"/>
      <c r="AG44" s="3525"/>
      <c r="AH44" s="3526"/>
      <c r="AI44" s="106"/>
      <c r="AJ44" s="476">
        <f>IF(AG44=0,0,AH44/AG44)</f>
        <v>0</v>
      </c>
      <c r="AL44" s="3525"/>
      <c r="AM44" s="106"/>
      <c r="AN44" s="157">
        <f>AL44*AS44</f>
        <v>0</v>
      </c>
      <c r="AP44" s="3525"/>
      <c r="AQ44" s="3526"/>
      <c r="AR44" s="106"/>
      <c r="AS44" s="476">
        <f>IF(AP44=0,0,AQ44/AP44)</f>
        <v>0</v>
      </c>
      <c r="AU44" s="3525"/>
      <c r="AV44" s="106"/>
      <c r="AW44" s="6188"/>
      <c r="AY44" s="3525"/>
      <c r="AZ44" s="3526"/>
      <c r="BA44" s="106"/>
      <c r="BB44" s="476">
        <f>IF(AY44=0,0,AZ44/AY44)</f>
        <v>0</v>
      </c>
      <c r="BD44" s="3525"/>
      <c r="BE44" s="106"/>
      <c r="BF44" s="6188"/>
    </row>
    <row r="45" spans="1:58" x14ac:dyDescent="0.35">
      <c r="A45" s="9168"/>
      <c r="B45" s="240"/>
      <c r="C45" s="3502" t="s">
        <v>1074</v>
      </c>
      <c r="D45" s="197"/>
      <c r="F45" s="122"/>
      <c r="H45" s="122"/>
      <c r="I45" s="122"/>
      <c r="J45" s="476">
        <f t="shared" si="8"/>
        <v>0</v>
      </c>
      <c r="L45" s="117"/>
      <c r="M45" s="157"/>
      <c r="O45" s="3527">
        <v>581</v>
      </c>
      <c r="P45" s="3528">
        <v>575</v>
      </c>
      <c r="Q45" s="106"/>
      <c r="R45" s="476">
        <f t="shared" si="9"/>
        <v>0.9896729776247849</v>
      </c>
      <c r="T45" s="198"/>
      <c r="U45" s="106"/>
      <c r="V45" s="157">
        <f t="shared" ref="V45:V58" si="11">T45*R45</f>
        <v>0</v>
      </c>
      <c r="X45" s="117">
        <v>0</v>
      </c>
      <c r="Y45" s="3529">
        <v>0</v>
      </c>
      <c r="Z45" s="106" t="s">
        <v>1097</v>
      </c>
      <c r="AA45" s="476">
        <f t="shared" si="10"/>
        <v>0</v>
      </c>
      <c r="AB45" s="1"/>
      <c r="AC45" s="117"/>
      <c r="AD45" s="106"/>
      <c r="AE45" s="157">
        <f t="shared" ref="AE45:AE58" si="12">AC45*AA45</f>
        <v>0</v>
      </c>
      <c r="AF45" s="1"/>
      <c r="AG45" s="117"/>
      <c r="AH45" s="3529"/>
      <c r="AI45" s="106" t="s">
        <v>1097</v>
      </c>
      <c r="AJ45" s="476">
        <f>IF(AG45=0,0,AH45/AG45)</f>
        <v>0</v>
      </c>
      <c r="AL45" s="117"/>
      <c r="AM45" s="106"/>
      <c r="AN45" s="157"/>
      <c r="AP45" s="117"/>
      <c r="AQ45" s="3529"/>
      <c r="AR45" s="106"/>
      <c r="AS45" s="476">
        <f>IF(AP45=0,0,AQ45/AP45)</f>
        <v>0</v>
      </c>
      <c r="AU45" s="117"/>
      <c r="AV45" s="106"/>
      <c r="AW45" s="6189"/>
      <c r="AY45" s="117"/>
      <c r="AZ45" s="3529"/>
      <c r="BA45" s="106"/>
      <c r="BB45" s="476">
        <f>IF(AY45=0,0,AZ45/AY45)</f>
        <v>0</v>
      </c>
      <c r="BD45" s="117"/>
      <c r="BE45" s="106"/>
      <c r="BF45" s="6189"/>
    </row>
    <row r="46" spans="1:58" x14ac:dyDescent="0.35">
      <c r="A46" s="9168"/>
      <c r="B46" s="240"/>
      <c r="C46" s="3509" t="s">
        <v>933</v>
      </c>
      <c r="D46" s="197"/>
      <c r="F46" s="122"/>
      <c r="H46" s="122"/>
      <c r="I46" s="122"/>
      <c r="J46" s="476">
        <f t="shared" si="8"/>
        <v>0</v>
      </c>
      <c r="L46" s="117"/>
      <c r="M46" s="157"/>
      <c r="O46" s="3527">
        <v>271443</v>
      </c>
      <c r="P46" s="3528">
        <v>112525</v>
      </c>
      <c r="Q46" s="106"/>
      <c r="R46" s="476">
        <f t="shared" si="9"/>
        <v>0.41454375320048775</v>
      </c>
      <c r="T46" s="198"/>
      <c r="U46" s="106"/>
      <c r="V46" s="157">
        <f t="shared" si="11"/>
        <v>0</v>
      </c>
      <c r="X46" s="117">
        <v>453108</v>
      </c>
      <c r="Y46" s="3529">
        <v>229494</v>
      </c>
      <c r="Z46" s="106"/>
      <c r="AA46" s="476">
        <f t="shared" si="10"/>
        <v>0.50648851929341354</v>
      </c>
      <c r="AB46" s="1"/>
      <c r="AC46" s="117"/>
      <c r="AD46" s="106"/>
      <c r="AE46" s="157">
        <f t="shared" si="12"/>
        <v>0</v>
      </c>
      <c r="AF46" s="1"/>
      <c r="AG46" s="117"/>
      <c r="AH46" s="3529"/>
      <c r="AI46" s="106"/>
      <c r="AJ46" s="476">
        <f>IF(AG46=0,0,AH46/AG46)</f>
        <v>0</v>
      </c>
      <c r="AL46" s="117"/>
      <c r="AM46" s="106"/>
      <c r="AN46" s="157"/>
      <c r="AP46" s="117"/>
      <c r="AQ46" s="3529"/>
      <c r="AR46" s="106"/>
      <c r="AS46" s="476">
        <f>IF(AP46=0,0,AQ46/AP46)</f>
        <v>0</v>
      </c>
      <c r="AU46" s="117"/>
      <c r="AV46" s="106"/>
      <c r="AW46" s="6189"/>
      <c r="AY46" s="117"/>
      <c r="AZ46" s="3529"/>
      <c r="BA46" s="106"/>
      <c r="BB46" s="476">
        <f>IF(AY46=0,0,AZ46/AY46)</f>
        <v>0</v>
      </c>
      <c r="BD46" s="117"/>
      <c r="BE46" s="106"/>
      <c r="BF46" s="6189"/>
    </row>
    <row r="47" spans="1:58" x14ac:dyDescent="0.35">
      <c r="A47" s="9168"/>
      <c r="B47" s="240"/>
      <c r="C47" s="240" t="s">
        <v>1098</v>
      </c>
      <c r="D47" s="197"/>
      <c r="F47" s="122"/>
      <c r="H47" s="122">
        <v>779231</v>
      </c>
      <c r="I47" s="122">
        <v>633915</v>
      </c>
      <c r="J47" s="476">
        <f t="shared" si="8"/>
        <v>0.81351357941355007</v>
      </c>
      <c r="L47" s="117"/>
      <c r="M47" s="157">
        <f>L47*J47</f>
        <v>0</v>
      </c>
      <c r="O47" s="3523"/>
      <c r="P47" s="3524"/>
      <c r="Q47" s="106"/>
      <c r="R47" s="476">
        <f t="shared" si="9"/>
        <v>0</v>
      </c>
      <c r="S47" s="143"/>
      <c r="T47" s="198"/>
      <c r="U47" s="106"/>
      <c r="V47" s="157">
        <f t="shared" si="11"/>
        <v>0</v>
      </c>
      <c r="X47" s="117"/>
      <c r="Y47" s="3529"/>
      <c r="Z47" s="106"/>
      <c r="AA47" s="476">
        <f>IF(X47=0,0,Y48/X47)</f>
        <v>0</v>
      </c>
      <c r="AB47" s="143"/>
      <c r="AC47" s="117"/>
      <c r="AD47" s="106"/>
      <c r="AE47" s="157">
        <f t="shared" si="12"/>
        <v>0</v>
      </c>
      <c r="AF47" s="1"/>
      <c r="AG47" s="117"/>
      <c r="AH47" s="3529"/>
      <c r="AI47" s="106"/>
      <c r="AJ47" s="476">
        <f>IF(AG47=0,0,AH48/AG47)</f>
        <v>0</v>
      </c>
      <c r="AL47" s="117"/>
      <c r="AM47" s="106"/>
      <c r="AN47" s="247"/>
      <c r="AP47" s="117"/>
      <c r="AQ47" s="3529"/>
      <c r="AR47" s="106"/>
      <c r="AS47" s="476">
        <f>IF(AP47=0,0,AQ48/AP47)</f>
        <v>0</v>
      </c>
      <c r="AU47" s="117"/>
      <c r="AV47" s="106"/>
      <c r="AW47" s="6189"/>
      <c r="AY47" s="117"/>
      <c r="AZ47" s="3529"/>
      <c r="BA47" s="106"/>
      <c r="BB47" s="476">
        <f>IF(AY47=0,0,AZ48/AY47)</f>
        <v>0</v>
      </c>
      <c r="BD47" s="117"/>
      <c r="BE47" s="106"/>
      <c r="BF47" s="6189"/>
    </row>
    <row r="48" spans="1:58" x14ac:dyDescent="0.35">
      <c r="A48" s="9168"/>
      <c r="B48" s="240"/>
      <c r="C48" s="3502" t="s">
        <v>1074</v>
      </c>
      <c r="D48" s="197"/>
      <c r="F48" s="122"/>
      <c r="H48" s="122"/>
      <c r="I48" s="122"/>
      <c r="J48" s="476">
        <f t="shared" si="8"/>
        <v>0</v>
      </c>
      <c r="L48" s="117"/>
      <c r="M48" s="157" t="s">
        <v>1099</v>
      </c>
      <c r="O48" s="3530">
        <v>26217</v>
      </c>
      <c r="P48" s="3531">
        <v>20973</v>
      </c>
      <c r="Q48" s="106"/>
      <c r="R48" s="476">
        <f t="shared" si="9"/>
        <v>0.79997711408627992</v>
      </c>
      <c r="S48" s="143"/>
      <c r="T48" s="198"/>
      <c r="U48" s="106"/>
      <c r="V48" s="157">
        <f t="shared" si="11"/>
        <v>0</v>
      </c>
      <c r="X48" s="117">
        <v>28742</v>
      </c>
      <c r="Y48" s="3532">
        <v>25620</v>
      </c>
      <c r="Z48" s="106" t="s">
        <v>1097</v>
      </c>
      <c r="AA48" s="476">
        <f>IF(X48=0,0,Y49/X48)</f>
        <v>2.0370189965903558</v>
      </c>
      <c r="AB48" s="143"/>
      <c r="AC48" s="117"/>
      <c r="AD48" s="106"/>
      <c r="AE48" s="157">
        <f t="shared" si="12"/>
        <v>0</v>
      </c>
      <c r="AF48" s="1"/>
      <c r="AG48" s="117"/>
      <c r="AH48" s="3532"/>
      <c r="AI48" s="106" t="s">
        <v>1097</v>
      </c>
      <c r="AJ48" s="476">
        <f>IF(AG48=0,0,#REF!/AG48)</f>
        <v>0</v>
      </c>
      <c r="AL48" s="117"/>
      <c r="AM48" s="106"/>
      <c r="AN48" s="247"/>
      <c r="AP48" s="117"/>
      <c r="AQ48" s="3532"/>
      <c r="AR48" s="106"/>
      <c r="AS48" s="476">
        <f>IF(AP48=0,0,#REF!/AP48)</f>
        <v>0</v>
      </c>
      <c r="AU48" s="117"/>
      <c r="AV48" s="106"/>
      <c r="AW48" s="6190"/>
      <c r="AY48" s="117"/>
      <c r="AZ48" s="3532"/>
      <c r="BA48" s="106"/>
      <c r="BB48" s="476">
        <f>IF(AY48=0,0,#REF!/AY48)</f>
        <v>0</v>
      </c>
      <c r="BD48" s="117"/>
      <c r="BE48" s="106"/>
      <c r="BF48" s="6190"/>
    </row>
    <row r="49" spans="1:58" x14ac:dyDescent="0.35">
      <c r="A49" s="9168"/>
      <c r="B49" s="240"/>
      <c r="C49" s="3509" t="s">
        <v>933</v>
      </c>
      <c r="D49" s="197"/>
      <c r="F49" s="122"/>
      <c r="H49" s="122"/>
      <c r="I49" s="122"/>
      <c r="J49" s="476">
        <f t="shared" si="8"/>
        <v>0</v>
      </c>
      <c r="L49" s="117"/>
      <c r="M49" s="157"/>
      <c r="O49" s="3530">
        <v>59447</v>
      </c>
      <c r="P49" s="3531">
        <v>16310</v>
      </c>
      <c r="Q49" s="106"/>
      <c r="R49" s="476">
        <f t="shared" si="9"/>
        <v>0.27436203677225091</v>
      </c>
      <c r="S49" s="143"/>
      <c r="T49" s="198"/>
      <c r="U49" s="106"/>
      <c r="V49" s="157">
        <f t="shared" si="11"/>
        <v>0</v>
      </c>
      <c r="X49" s="117">
        <v>65178</v>
      </c>
      <c r="Y49" s="3532">
        <v>58548</v>
      </c>
      <c r="Z49" s="106"/>
      <c r="AA49" s="476">
        <f>IF(X49=0,0,Y50/X49)</f>
        <v>0</v>
      </c>
      <c r="AB49" s="143"/>
      <c r="AC49" s="117"/>
      <c r="AD49" s="106"/>
      <c r="AE49" s="157">
        <f t="shared" si="12"/>
        <v>0</v>
      </c>
      <c r="AF49" s="1"/>
      <c r="AG49" s="117"/>
      <c r="AH49" s="3532"/>
      <c r="AI49" s="106"/>
      <c r="AJ49" s="476">
        <f t="shared" ref="AJ49:AJ62" si="13">IF(AG49=0,0,AH49/AG49)</f>
        <v>0</v>
      </c>
      <c r="AL49" s="117"/>
      <c r="AM49" s="106"/>
      <c r="AN49" s="247"/>
      <c r="AP49" s="117"/>
      <c r="AQ49" s="3532"/>
      <c r="AR49" s="106"/>
      <c r="AS49" s="476">
        <f t="shared" ref="AS49:AS73" si="14">IF(AP49=0,0,AQ49/AP49)</f>
        <v>0</v>
      </c>
      <c r="AU49" s="117"/>
      <c r="AV49" s="106"/>
      <c r="AW49" s="6190"/>
      <c r="AY49" s="117"/>
      <c r="AZ49" s="3532"/>
      <c r="BA49" s="106"/>
      <c r="BB49" s="476">
        <f t="shared" ref="BB49:BB59" si="15">IF(AY49=0,0,AZ49/AY49)</f>
        <v>0</v>
      </c>
      <c r="BD49" s="117"/>
      <c r="BE49" s="106"/>
      <c r="BF49" s="6190"/>
    </row>
    <row r="50" spans="1:58" x14ac:dyDescent="0.35">
      <c r="A50" s="9168"/>
      <c r="B50" s="240"/>
      <c r="C50" s="240" t="s">
        <v>1100</v>
      </c>
      <c r="D50" s="197"/>
      <c r="F50" s="122"/>
      <c r="H50" s="122"/>
      <c r="I50" s="122"/>
      <c r="J50" s="476">
        <f t="shared" si="8"/>
        <v>0</v>
      </c>
      <c r="L50" s="117"/>
      <c r="M50" s="157">
        <f>L50*J50</f>
        <v>0</v>
      </c>
      <c r="O50" s="3530"/>
      <c r="P50" s="3531">
        <f>O50*M50</f>
        <v>0</v>
      </c>
      <c r="Q50" s="106"/>
      <c r="R50" s="476">
        <f t="shared" si="9"/>
        <v>0</v>
      </c>
      <c r="T50" s="198"/>
      <c r="U50" s="106"/>
      <c r="V50" s="157">
        <f t="shared" si="11"/>
        <v>0</v>
      </c>
      <c r="X50" s="117"/>
      <c r="Y50" s="3532"/>
      <c r="Z50" s="106"/>
      <c r="AA50" s="476">
        <f t="shared" si="10"/>
        <v>0</v>
      </c>
      <c r="AB50" s="1"/>
      <c r="AC50" s="117"/>
      <c r="AD50" s="106"/>
      <c r="AE50" s="157">
        <f t="shared" si="12"/>
        <v>0</v>
      </c>
      <c r="AF50" s="1"/>
      <c r="AG50" s="117"/>
      <c r="AH50" s="3532"/>
      <c r="AI50" s="106"/>
      <c r="AJ50" s="476">
        <f t="shared" si="13"/>
        <v>0</v>
      </c>
      <c r="AL50" s="117"/>
      <c r="AM50" s="106"/>
      <c r="AN50" s="157">
        <f>AL50*AS50</f>
        <v>0</v>
      </c>
      <c r="AP50" s="117"/>
      <c r="AQ50" s="3532"/>
      <c r="AR50" s="106"/>
      <c r="AS50" s="476">
        <f t="shared" si="14"/>
        <v>0</v>
      </c>
      <c r="AU50" s="117"/>
      <c r="AV50" s="106"/>
      <c r="AW50" s="6190"/>
      <c r="AY50" s="117"/>
      <c r="AZ50" s="3532"/>
      <c r="BA50" s="106"/>
      <c r="BB50" s="476">
        <f t="shared" si="15"/>
        <v>0</v>
      </c>
      <c r="BD50" s="117"/>
      <c r="BE50" s="106"/>
      <c r="BF50" s="6190"/>
    </row>
    <row r="51" spans="1:58" x14ac:dyDescent="0.35">
      <c r="A51" s="9168"/>
      <c r="B51" s="240"/>
      <c r="C51" s="240" t="s">
        <v>1101</v>
      </c>
      <c r="D51" s="197"/>
      <c r="F51" s="122">
        <v>74061</v>
      </c>
      <c r="H51" s="122">
        <v>143940</v>
      </c>
      <c r="I51" s="122">
        <v>117127</v>
      </c>
      <c r="J51" s="476">
        <f t="shared" si="8"/>
        <v>0.81372099485896898</v>
      </c>
      <c r="L51" s="117"/>
      <c r="M51" s="157">
        <f>L51*J51</f>
        <v>0</v>
      </c>
      <c r="O51" s="3523"/>
      <c r="P51" s="3533"/>
      <c r="Q51" s="106" t="s">
        <v>1096</v>
      </c>
      <c r="R51" s="476">
        <f t="shared" si="9"/>
        <v>0</v>
      </c>
      <c r="T51" s="198"/>
      <c r="U51" s="106"/>
      <c r="V51" s="157">
        <f t="shared" si="11"/>
        <v>0</v>
      </c>
      <c r="X51" s="117"/>
      <c r="Y51" s="3534"/>
      <c r="Z51" s="106"/>
      <c r="AA51" s="476">
        <f t="shared" si="10"/>
        <v>0</v>
      </c>
      <c r="AB51" s="1"/>
      <c r="AC51" s="117"/>
      <c r="AD51" s="106"/>
      <c r="AE51" s="157">
        <f t="shared" si="12"/>
        <v>0</v>
      </c>
      <c r="AF51" s="1"/>
      <c r="AG51" s="117"/>
      <c r="AH51" s="3534"/>
      <c r="AI51" s="106"/>
      <c r="AJ51" s="476">
        <f t="shared" si="13"/>
        <v>0</v>
      </c>
      <c r="AL51" s="117"/>
      <c r="AM51" s="106"/>
      <c r="AN51" s="157"/>
      <c r="AP51" s="117"/>
      <c r="AQ51" s="3534"/>
      <c r="AR51" s="106"/>
      <c r="AS51" s="476">
        <f t="shared" si="14"/>
        <v>0</v>
      </c>
      <c r="AU51" s="117"/>
      <c r="AV51" s="106"/>
      <c r="AW51" s="6191"/>
      <c r="AY51" s="117"/>
      <c r="AZ51" s="3534"/>
      <c r="BA51" s="106"/>
      <c r="BB51" s="476">
        <f t="shared" si="15"/>
        <v>0</v>
      </c>
      <c r="BD51" s="117"/>
      <c r="BE51" s="106"/>
      <c r="BF51" s="6191"/>
    </row>
    <row r="52" spans="1:58" x14ac:dyDescent="0.35">
      <c r="A52" s="9168"/>
      <c r="B52" s="240"/>
      <c r="C52" s="3502" t="s">
        <v>1074</v>
      </c>
      <c r="D52" s="197"/>
      <c r="F52" s="122"/>
      <c r="H52" s="122"/>
      <c r="I52" s="122"/>
      <c r="J52" s="476">
        <f t="shared" si="8"/>
        <v>0</v>
      </c>
      <c r="L52" s="117"/>
      <c r="M52" s="157"/>
      <c r="O52" s="3527">
        <v>54.015999999999998</v>
      </c>
      <c r="P52" s="3535">
        <v>48.311</v>
      </c>
      <c r="Q52" s="106"/>
      <c r="R52" s="476">
        <f t="shared" si="9"/>
        <v>0.89438314573459721</v>
      </c>
      <c r="T52" s="198"/>
      <c r="U52" s="106"/>
      <c r="V52" s="157">
        <f t="shared" si="11"/>
        <v>0</v>
      </c>
      <c r="X52" s="117">
        <v>58538</v>
      </c>
      <c r="Y52" s="3536">
        <v>49906</v>
      </c>
      <c r="Z52" s="106" t="s">
        <v>1097</v>
      </c>
      <c r="AA52" s="476">
        <f t="shared" si="10"/>
        <v>0.85254023027776826</v>
      </c>
      <c r="AB52" s="1"/>
      <c r="AC52" s="117"/>
      <c r="AD52" s="106"/>
      <c r="AE52" s="157">
        <f t="shared" si="12"/>
        <v>0</v>
      </c>
      <c r="AF52" s="1"/>
      <c r="AG52" s="117"/>
      <c r="AH52" s="3536"/>
      <c r="AI52" s="106" t="s">
        <v>1097</v>
      </c>
      <c r="AJ52" s="476">
        <f t="shared" si="13"/>
        <v>0</v>
      </c>
      <c r="AL52" s="117"/>
      <c r="AM52" s="106"/>
      <c r="AN52" s="157"/>
      <c r="AP52" s="117"/>
      <c r="AQ52" s="3536"/>
      <c r="AR52" s="106"/>
      <c r="AS52" s="476">
        <f t="shared" si="14"/>
        <v>0</v>
      </c>
      <c r="AU52" s="117"/>
      <c r="AV52" s="106"/>
      <c r="AW52" s="6192"/>
      <c r="AY52" s="117"/>
      <c r="AZ52" s="3536"/>
      <c r="BA52" s="106"/>
      <c r="BB52" s="476">
        <f t="shared" si="15"/>
        <v>0</v>
      </c>
      <c r="BD52" s="117"/>
      <c r="BE52" s="106"/>
      <c r="BF52" s="6192"/>
    </row>
    <row r="53" spans="1:58" x14ac:dyDescent="0.35">
      <c r="A53" s="9168"/>
      <c r="B53" s="240"/>
      <c r="C53" s="3509" t="s">
        <v>933</v>
      </c>
      <c r="D53" s="197"/>
      <c r="F53" s="122"/>
      <c r="H53" s="122"/>
      <c r="I53" s="122"/>
      <c r="J53" s="476">
        <f t="shared" si="8"/>
        <v>0</v>
      </c>
      <c r="L53" s="117"/>
      <c r="M53" s="157"/>
      <c r="O53" s="3527">
        <v>71.78</v>
      </c>
      <c r="P53" s="3535">
        <v>51.170999999999999</v>
      </c>
      <c r="Q53" s="106"/>
      <c r="R53" s="476">
        <f t="shared" si="9"/>
        <v>0.71288659793814435</v>
      </c>
      <c r="T53" s="198"/>
      <c r="U53" s="106"/>
      <c r="V53" s="157">
        <f t="shared" si="11"/>
        <v>0</v>
      </c>
      <c r="X53" s="117">
        <v>56955</v>
      </c>
      <c r="Y53" s="3536">
        <v>40187</v>
      </c>
      <c r="Z53" s="106"/>
      <c r="AA53" s="476">
        <f t="shared" si="10"/>
        <v>0.70559213414098854</v>
      </c>
      <c r="AB53" s="1"/>
      <c r="AC53" s="117"/>
      <c r="AD53" s="106"/>
      <c r="AE53" s="157">
        <f t="shared" si="12"/>
        <v>0</v>
      </c>
      <c r="AF53" s="1"/>
      <c r="AG53" s="117"/>
      <c r="AH53" s="3536"/>
      <c r="AI53" s="106"/>
      <c r="AJ53" s="476">
        <f t="shared" si="13"/>
        <v>0</v>
      </c>
      <c r="AL53" s="117"/>
      <c r="AM53" s="106"/>
      <c r="AN53" s="157"/>
      <c r="AP53" s="117"/>
      <c r="AQ53" s="3536"/>
      <c r="AR53" s="106"/>
      <c r="AS53" s="476">
        <f t="shared" si="14"/>
        <v>0</v>
      </c>
      <c r="AU53" s="117"/>
      <c r="AV53" s="106"/>
      <c r="AW53" s="6192"/>
      <c r="AY53" s="117"/>
      <c r="AZ53" s="3536"/>
      <c r="BA53" s="106"/>
      <c r="BB53" s="476">
        <f t="shared" si="15"/>
        <v>0</v>
      </c>
      <c r="BD53" s="117"/>
      <c r="BE53" s="106"/>
      <c r="BF53" s="6192"/>
    </row>
    <row r="54" spans="1:58" x14ac:dyDescent="0.35">
      <c r="A54" s="9168"/>
      <c r="B54" s="240"/>
      <c r="C54" s="240" t="s">
        <v>1102</v>
      </c>
      <c r="D54" s="197"/>
      <c r="F54" s="122">
        <v>85321</v>
      </c>
      <c r="H54" s="122">
        <v>46091</v>
      </c>
      <c r="I54" s="122">
        <v>41330</v>
      </c>
      <c r="J54" s="476">
        <f t="shared" si="8"/>
        <v>0.89670434575079738</v>
      </c>
      <c r="L54" s="117"/>
      <c r="M54" s="157">
        <f>L54*J54</f>
        <v>0</v>
      </c>
      <c r="O54" s="3523"/>
      <c r="P54" s="3524"/>
      <c r="Q54" s="106"/>
      <c r="R54" s="476">
        <f t="shared" si="9"/>
        <v>0</v>
      </c>
      <c r="T54" s="198"/>
      <c r="U54" s="106"/>
      <c r="V54" s="157">
        <f t="shared" si="11"/>
        <v>0</v>
      </c>
      <c r="X54" s="117"/>
      <c r="Y54" s="3526"/>
      <c r="Z54" s="106"/>
      <c r="AA54" s="476">
        <f t="shared" si="10"/>
        <v>0</v>
      </c>
      <c r="AB54" s="1"/>
      <c r="AC54" s="117"/>
      <c r="AD54" s="106"/>
      <c r="AE54" s="157">
        <f t="shared" si="12"/>
        <v>0</v>
      </c>
      <c r="AF54" s="1"/>
      <c r="AG54" s="117"/>
      <c r="AH54" s="3526"/>
      <c r="AI54" s="106"/>
      <c r="AJ54" s="476">
        <f t="shared" si="13"/>
        <v>0</v>
      </c>
      <c r="AL54" s="117"/>
      <c r="AM54" s="106"/>
      <c r="AN54" s="157">
        <f>AL54*AS54</f>
        <v>0</v>
      </c>
      <c r="AP54" s="117"/>
      <c r="AQ54" s="3526"/>
      <c r="AR54" s="106"/>
      <c r="AS54" s="476">
        <f t="shared" si="14"/>
        <v>0</v>
      </c>
      <c r="AU54" s="117"/>
      <c r="AV54" s="106"/>
      <c r="AW54" s="6188"/>
      <c r="AY54" s="117"/>
      <c r="AZ54" s="3526"/>
      <c r="BA54" s="106"/>
      <c r="BB54" s="476">
        <f t="shared" si="15"/>
        <v>0</v>
      </c>
      <c r="BD54" s="117"/>
      <c r="BE54" s="106"/>
      <c r="BF54" s="6188"/>
    </row>
    <row r="55" spans="1:58" x14ac:dyDescent="0.35">
      <c r="A55" s="9168"/>
      <c r="B55" s="241"/>
      <c r="C55" s="3502" t="s">
        <v>1074</v>
      </c>
      <c r="D55" s="197"/>
      <c r="F55" s="122"/>
      <c r="H55" s="122"/>
      <c r="I55" s="122"/>
      <c r="J55" s="476">
        <f t="shared" si="8"/>
        <v>0</v>
      </c>
      <c r="L55" s="242"/>
      <c r="M55" s="157"/>
      <c r="O55" s="3527">
        <v>29733</v>
      </c>
      <c r="P55" s="3528">
        <v>17905</v>
      </c>
      <c r="Q55" s="106"/>
      <c r="R55" s="476">
        <f t="shared" si="9"/>
        <v>0.60219284969562437</v>
      </c>
      <c r="T55" s="198"/>
      <c r="U55" s="106"/>
      <c r="V55" s="157">
        <f t="shared" si="11"/>
        <v>0</v>
      </c>
      <c r="X55" s="117">
        <v>46539</v>
      </c>
      <c r="Y55" s="3529">
        <v>43367</v>
      </c>
      <c r="Z55" s="106" t="s">
        <v>1097</v>
      </c>
      <c r="AA55" s="476">
        <f t="shared" si="10"/>
        <v>0.93184211091772495</v>
      </c>
      <c r="AB55" s="1"/>
      <c r="AC55" s="117"/>
      <c r="AD55" s="106"/>
      <c r="AE55" s="157">
        <f t="shared" si="12"/>
        <v>0</v>
      </c>
      <c r="AF55" s="1"/>
      <c r="AG55" s="117"/>
      <c r="AH55" s="3529"/>
      <c r="AI55" s="106" t="s">
        <v>1097</v>
      </c>
      <c r="AJ55" s="476">
        <f t="shared" si="13"/>
        <v>0</v>
      </c>
      <c r="AL55" s="117"/>
      <c r="AM55" s="106"/>
      <c r="AN55" s="157"/>
      <c r="AP55" s="117"/>
      <c r="AQ55" s="3529"/>
      <c r="AR55" s="106"/>
      <c r="AS55" s="476">
        <f t="shared" si="14"/>
        <v>0</v>
      </c>
      <c r="AU55" s="117"/>
      <c r="AV55" s="106"/>
      <c r="AW55" s="6189"/>
      <c r="AY55" s="117"/>
      <c r="AZ55" s="3529"/>
      <c r="BA55" s="106"/>
      <c r="BB55" s="476">
        <f t="shared" si="15"/>
        <v>0</v>
      </c>
      <c r="BD55" s="117"/>
      <c r="BE55" s="106"/>
      <c r="BF55" s="6189"/>
    </row>
    <row r="56" spans="1:58" x14ac:dyDescent="0.35">
      <c r="A56" s="9168"/>
      <c r="B56" s="241"/>
      <c r="C56" s="3509" t="s">
        <v>933</v>
      </c>
      <c r="D56" s="197"/>
      <c r="F56" s="122"/>
      <c r="H56" s="122"/>
      <c r="I56" s="122"/>
      <c r="J56" s="476">
        <f t="shared" si="8"/>
        <v>0</v>
      </c>
      <c r="L56" s="242"/>
      <c r="M56" s="157"/>
      <c r="O56" s="3527">
        <v>7245</v>
      </c>
      <c r="P56" s="3528">
        <v>1849</v>
      </c>
      <c r="Q56" s="106"/>
      <c r="R56" s="476">
        <f t="shared" si="9"/>
        <v>0.2552104899930987</v>
      </c>
      <c r="T56" s="198"/>
      <c r="U56" s="106"/>
      <c r="V56" s="157">
        <f t="shared" si="11"/>
        <v>0</v>
      </c>
      <c r="X56" s="117">
        <v>52296</v>
      </c>
      <c r="Y56" s="3529">
        <v>39434</v>
      </c>
      <c r="Z56" s="106"/>
      <c r="AA56" s="476">
        <f t="shared" si="10"/>
        <v>0.75405384733057979</v>
      </c>
      <c r="AB56" s="1"/>
      <c r="AC56" s="117"/>
      <c r="AD56" s="106"/>
      <c r="AE56" s="157">
        <f t="shared" si="12"/>
        <v>0</v>
      </c>
      <c r="AF56" s="1"/>
      <c r="AG56" s="117"/>
      <c r="AH56" s="3529"/>
      <c r="AI56" s="106"/>
      <c r="AJ56" s="476">
        <f t="shared" si="13"/>
        <v>0</v>
      </c>
      <c r="AL56" s="117"/>
      <c r="AM56" s="106"/>
      <c r="AN56" s="157"/>
      <c r="AP56" s="117"/>
      <c r="AQ56" s="3529"/>
      <c r="AR56" s="106"/>
      <c r="AS56" s="476">
        <f t="shared" si="14"/>
        <v>0</v>
      </c>
      <c r="AU56" s="117"/>
      <c r="AV56" s="106"/>
      <c r="AW56" s="6189"/>
      <c r="AY56" s="117"/>
      <c r="AZ56" s="3529"/>
      <c r="BA56" s="106"/>
      <c r="BB56" s="476">
        <f t="shared" si="15"/>
        <v>0</v>
      </c>
      <c r="BD56" s="117"/>
      <c r="BE56" s="106"/>
      <c r="BF56" s="6189"/>
    </row>
    <row r="57" spans="1:58" x14ac:dyDescent="0.35">
      <c r="A57" s="9168"/>
      <c r="B57" s="241"/>
      <c r="C57" s="241" t="s">
        <v>1103</v>
      </c>
      <c r="D57" s="209"/>
      <c r="F57" s="3522"/>
      <c r="G57" s="143"/>
      <c r="H57" s="3522">
        <v>78114</v>
      </c>
      <c r="I57" s="3522">
        <v>77510</v>
      </c>
      <c r="J57" s="476">
        <f t="shared" si="8"/>
        <v>0.99226771129375013</v>
      </c>
      <c r="L57" s="3166"/>
      <c r="M57" s="3537">
        <f>L57*J57</f>
        <v>0</v>
      </c>
      <c r="N57" s="143"/>
      <c r="O57" s="3523"/>
      <c r="P57" s="3524"/>
      <c r="Q57" s="106"/>
      <c r="R57" s="476">
        <f t="shared" si="9"/>
        <v>0</v>
      </c>
      <c r="T57" s="198"/>
      <c r="U57" s="106"/>
      <c r="V57" s="157">
        <f t="shared" si="11"/>
        <v>0</v>
      </c>
      <c r="X57" s="117"/>
      <c r="Y57" s="3526"/>
      <c r="Z57" s="106"/>
      <c r="AA57" s="476">
        <f t="shared" si="10"/>
        <v>0</v>
      </c>
      <c r="AB57" s="1"/>
      <c r="AC57" s="117"/>
      <c r="AD57" s="106"/>
      <c r="AE57" s="157">
        <f t="shared" si="12"/>
        <v>0</v>
      </c>
      <c r="AF57" s="1"/>
      <c r="AG57" s="117"/>
      <c r="AH57" s="3526"/>
      <c r="AI57" s="106"/>
      <c r="AJ57" s="476">
        <f t="shared" si="13"/>
        <v>0</v>
      </c>
      <c r="AL57" s="117"/>
      <c r="AM57" s="106"/>
      <c r="AN57" s="157">
        <f>AL57*AS57</f>
        <v>0</v>
      </c>
      <c r="AP57" s="117"/>
      <c r="AQ57" s="3526"/>
      <c r="AR57" s="106"/>
      <c r="AS57" s="476">
        <f t="shared" si="14"/>
        <v>0</v>
      </c>
      <c r="AU57" s="117"/>
      <c r="AV57" s="106"/>
      <c r="AW57" s="6188"/>
      <c r="AY57" s="117"/>
      <c r="AZ57" s="3526"/>
      <c r="BA57" s="106"/>
      <c r="BB57" s="476">
        <f t="shared" si="15"/>
        <v>0</v>
      </c>
      <c r="BD57" s="117"/>
      <c r="BE57" s="106"/>
      <c r="BF57" s="6188"/>
    </row>
    <row r="58" spans="1:58" x14ac:dyDescent="0.35">
      <c r="A58" s="9168"/>
      <c r="B58" s="1654"/>
      <c r="C58" s="3502" t="s">
        <v>1074</v>
      </c>
      <c r="D58" s="197"/>
      <c r="F58" s="122"/>
      <c r="H58" s="122"/>
      <c r="I58" s="122"/>
      <c r="J58" s="476">
        <f t="shared" si="8"/>
        <v>0</v>
      </c>
      <c r="L58" s="198"/>
      <c r="M58" s="157"/>
      <c r="O58" s="3527">
        <v>91059</v>
      </c>
      <c r="P58" s="3528">
        <v>90504</v>
      </c>
      <c r="Q58" s="106"/>
      <c r="R58" s="476">
        <f t="shared" si="9"/>
        <v>0.99390505057160738</v>
      </c>
      <c r="T58" s="198"/>
      <c r="U58" s="106"/>
      <c r="V58" s="157">
        <f t="shared" si="11"/>
        <v>0</v>
      </c>
      <c r="X58" s="117">
        <v>115160</v>
      </c>
      <c r="Y58" s="3529">
        <v>98471</v>
      </c>
      <c r="Z58" s="106" t="s">
        <v>1097</v>
      </c>
      <c r="AA58" s="476">
        <f t="shared" si="10"/>
        <v>0.85507988885029529</v>
      </c>
      <c r="AB58" s="1"/>
      <c r="AC58" s="117"/>
      <c r="AD58" s="106"/>
      <c r="AE58" s="157">
        <f t="shared" si="12"/>
        <v>0</v>
      </c>
      <c r="AF58" s="1"/>
      <c r="AG58" s="117"/>
      <c r="AH58" s="3529"/>
      <c r="AI58" s="106" t="s">
        <v>1097</v>
      </c>
      <c r="AJ58" s="476">
        <f t="shared" si="13"/>
        <v>0</v>
      </c>
      <c r="AL58" s="117"/>
      <c r="AM58" s="106"/>
      <c r="AN58" s="157"/>
      <c r="AP58" s="117"/>
      <c r="AQ58" s="3529"/>
      <c r="AR58" s="106"/>
      <c r="AS58" s="476">
        <f t="shared" si="14"/>
        <v>0</v>
      </c>
      <c r="AU58" s="117"/>
      <c r="AV58" s="106"/>
      <c r="AW58" s="6189"/>
      <c r="AY58" s="117"/>
      <c r="AZ58" s="3529"/>
      <c r="BA58" s="106"/>
      <c r="BB58" s="476">
        <f t="shared" si="15"/>
        <v>0</v>
      </c>
      <c r="BD58" s="117"/>
      <c r="BE58" s="106"/>
      <c r="BF58" s="6189"/>
    </row>
    <row r="59" spans="1:58" x14ac:dyDescent="0.35">
      <c r="A59" s="9168"/>
      <c r="B59" s="1654"/>
      <c r="C59" s="3509" t="s">
        <v>933</v>
      </c>
      <c r="D59" s="197"/>
      <c r="F59" s="210"/>
      <c r="H59" s="210"/>
      <c r="I59" s="210"/>
      <c r="J59" s="476">
        <f t="shared" si="8"/>
        <v>0</v>
      </c>
      <c r="L59" s="198"/>
      <c r="M59" s="157"/>
      <c r="O59" s="3538">
        <v>10643</v>
      </c>
      <c r="P59" s="3539">
        <v>10632</v>
      </c>
      <c r="Q59" s="216"/>
      <c r="R59" s="484">
        <f t="shared" si="9"/>
        <v>0.99896645682608287</v>
      </c>
      <c r="T59" s="198"/>
      <c r="U59" s="106"/>
      <c r="V59" s="157"/>
      <c r="X59" s="131">
        <v>14736</v>
      </c>
      <c r="Y59" s="3540">
        <v>12865</v>
      </c>
      <c r="Z59" s="216"/>
      <c r="AA59" s="484">
        <f t="shared" si="10"/>
        <v>0.87303203040173727</v>
      </c>
      <c r="AB59" s="1"/>
      <c r="AC59" s="131"/>
      <c r="AD59" s="106"/>
      <c r="AE59" s="157"/>
      <c r="AF59" s="1"/>
      <c r="AG59" s="131"/>
      <c r="AH59" s="3540"/>
      <c r="AI59" s="216"/>
      <c r="AJ59" s="484">
        <f t="shared" si="13"/>
        <v>0</v>
      </c>
      <c r="AL59" s="131"/>
      <c r="AM59" s="106"/>
      <c r="AN59" s="157"/>
      <c r="AP59" s="131"/>
      <c r="AQ59" s="3540"/>
      <c r="AR59" s="216"/>
      <c r="AS59" s="484">
        <f t="shared" si="14"/>
        <v>0</v>
      </c>
      <c r="AU59" s="131"/>
      <c r="AV59" s="106"/>
      <c r="AW59" s="6193"/>
      <c r="AY59" s="131"/>
      <c r="AZ59" s="3540"/>
      <c r="BA59" s="216"/>
      <c r="BB59" s="484">
        <f t="shared" si="15"/>
        <v>0</v>
      </c>
      <c r="BD59" s="131"/>
      <c r="BE59" s="106"/>
      <c r="BF59" s="6193"/>
    </row>
    <row r="60" spans="1:58" x14ac:dyDescent="0.35">
      <c r="A60" s="9168"/>
      <c r="B60" s="271" t="s">
        <v>540</v>
      </c>
      <c r="C60" s="271"/>
      <c r="D60" s="184"/>
      <c r="E60" s="141"/>
      <c r="F60" s="168"/>
      <c r="G60" s="141"/>
      <c r="H60" s="106"/>
      <c r="I60" s="106"/>
      <c r="J60" s="518"/>
      <c r="K60" s="141"/>
      <c r="L60" s="102"/>
      <c r="M60" s="268"/>
      <c r="N60" s="141"/>
      <c r="O60" s="102"/>
      <c r="P60" s="268"/>
      <c r="Q60" s="102"/>
      <c r="R60" s="869">
        <f t="shared" si="9"/>
        <v>0</v>
      </c>
      <c r="T60" s="3541"/>
      <c r="U60" s="103"/>
      <c r="V60" s="148">
        <f>T60*R60</f>
        <v>0</v>
      </c>
      <c r="W60" s="141"/>
      <c r="X60" s="3542"/>
      <c r="Y60" s="3543"/>
      <c r="Z60" s="103"/>
      <c r="AA60" s="869">
        <f t="shared" si="10"/>
        <v>0</v>
      </c>
      <c r="AB60" s="1"/>
      <c r="AC60" s="3542"/>
      <c r="AD60" s="103"/>
      <c r="AE60" s="148">
        <f>AC60*AA60</f>
        <v>0</v>
      </c>
      <c r="AF60" s="141"/>
      <c r="AG60" s="3542"/>
      <c r="AH60" s="3543"/>
      <c r="AI60" s="103"/>
      <c r="AJ60" s="869">
        <f t="shared" si="13"/>
        <v>0</v>
      </c>
      <c r="AL60" s="3542"/>
      <c r="AM60" s="103"/>
      <c r="AN60" s="148">
        <f>AL60*AS60</f>
        <v>0</v>
      </c>
      <c r="AP60" s="3542"/>
      <c r="AQ60" s="3543"/>
      <c r="AR60" s="103"/>
      <c r="AS60" s="869"/>
      <c r="AU60" s="3542"/>
      <c r="AV60" s="103"/>
      <c r="AW60" s="6194"/>
      <c r="AY60" s="3542"/>
      <c r="AZ60" s="3543"/>
      <c r="BA60" s="103"/>
      <c r="BB60" s="869"/>
      <c r="BD60" s="3542"/>
      <c r="BE60" s="103"/>
      <c r="BF60" s="6194"/>
    </row>
    <row r="61" spans="1:58" x14ac:dyDescent="0.35">
      <c r="A61" s="9168"/>
      <c r="B61" s="240"/>
      <c r="C61" s="240" t="s">
        <v>532</v>
      </c>
      <c r="D61" s="197"/>
      <c r="F61" s="111"/>
      <c r="H61" s="112"/>
      <c r="I61" s="113"/>
      <c r="J61" s="476">
        <f t="shared" ref="J61:J68" si="16">IF(H61=0,0,I61/H61)</f>
        <v>0</v>
      </c>
      <c r="L61" s="112"/>
      <c r="M61" s="157">
        <f t="shared" ref="M61:M68" si="17">L61*J61</f>
        <v>0</v>
      </c>
      <c r="O61" s="198"/>
      <c r="P61" s="611">
        <f t="shared" ref="P61:P68" si="18">O61*M61</f>
        <v>0</v>
      </c>
      <c r="Q61" s="245"/>
      <c r="R61" s="476">
        <f t="shared" si="9"/>
        <v>0</v>
      </c>
      <c r="T61" s="198"/>
      <c r="U61" s="106"/>
      <c r="V61" s="157">
        <f>T61*R61</f>
        <v>0</v>
      </c>
      <c r="X61" s="117"/>
      <c r="Y61" s="3544"/>
      <c r="Z61" s="106"/>
      <c r="AA61" s="476">
        <f t="shared" si="10"/>
        <v>0</v>
      </c>
      <c r="AB61" s="1"/>
      <c r="AC61" s="117"/>
      <c r="AD61" s="106"/>
      <c r="AE61" s="157">
        <f>AC61*AA61</f>
        <v>0</v>
      </c>
      <c r="AF61" s="1"/>
      <c r="AG61" s="117"/>
      <c r="AH61" s="3544"/>
      <c r="AI61" s="106"/>
      <c r="AJ61" s="476">
        <f t="shared" si="13"/>
        <v>0</v>
      </c>
      <c r="AL61" s="117"/>
      <c r="AM61" s="106"/>
      <c r="AN61" s="157">
        <f>AL61*AS61</f>
        <v>0</v>
      </c>
      <c r="AP61" s="117"/>
      <c r="AQ61" s="3544"/>
      <c r="AR61" s="106"/>
      <c r="AS61" s="476">
        <f t="shared" si="14"/>
        <v>0</v>
      </c>
      <c r="AU61" s="117"/>
      <c r="AV61" s="106"/>
      <c r="AW61" s="6195"/>
      <c r="AY61" s="117"/>
      <c r="AZ61" s="3544"/>
      <c r="BA61" s="106"/>
      <c r="BB61" s="476">
        <f t="shared" ref="BB61:BB68" si="19">IF(AY61=0,0,AZ61/AY61)</f>
        <v>0</v>
      </c>
      <c r="BD61" s="117"/>
      <c r="BE61" s="106"/>
      <c r="BF61" s="6195"/>
    </row>
    <row r="62" spans="1:58" x14ac:dyDescent="0.35">
      <c r="A62" s="9168"/>
      <c r="B62" s="240"/>
      <c r="C62" s="240" t="s">
        <v>533</v>
      </c>
      <c r="D62" s="197"/>
      <c r="F62" s="155"/>
      <c r="H62" s="117"/>
      <c r="I62" s="115"/>
      <c r="J62" s="476">
        <f t="shared" si="16"/>
        <v>0</v>
      </c>
      <c r="L62" s="117"/>
      <c r="M62" s="157">
        <f t="shared" si="17"/>
        <v>0</v>
      </c>
      <c r="O62" s="198"/>
      <c r="P62" s="611">
        <f t="shared" si="18"/>
        <v>0</v>
      </c>
      <c r="Q62" s="245"/>
      <c r="R62" s="476">
        <f t="shared" si="9"/>
        <v>0</v>
      </c>
      <c r="T62" s="198"/>
      <c r="U62" s="106"/>
      <c r="V62" s="157">
        <f>T62*R62</f>
        <v>0</v>
      </c>
      <c r="X62" s="117"/>
      <c r="Y62" s="3544"/>
      <c r="Z62" s="106"/>
      <c r="AA62" s="476">
        <f t="shared" si="10"/>
        <v>0</v>
      </c>
      <c r="AB62" s="1"/>
      <c r="AC62" s="117"/>
      <c r="AD62" s="106"/>
      <c r="AE62" s="157">
        <f>AC62*AA62</f>
        <v>0</v>
      </c>
      <c r="AF62" s="1"/>
      <c r="AG62" s="117"/>
      <c r="AH62" s="3544"/>
      <c r="AI62" s="106"/>
      <c r="AJ62" s="476">
        <f t="shared" si="13"/>
        <v>0</v>
      </c>
      <c r="AL62" s="117"/>
      <c r="AM62" s="106"/>
      <c r="AN62" s="157">
        <f>AL62*AS62</f>
        <v>0</v>
      </c>
      <c r="AP62" s="117"/>
      <c r="AQ62" s="3544"/>
      <c r="AR62" s="106"/>
      <c r="AS62" s="476">
        <f t="shared" si="14"/>
        <v>0</v>
      </c>
      <c r="AU62" s="117"/>
      <c r="AV62" s="106"/>
      <c r="AW62" s="6195"/>
      <c r="AY62" s="117"/>
      <c r="AZ62" s="3544"/>
      <c r="BA62" s="106"/>
      <c r="BB62" s="476">
        <f t="shared" si="19"/>
        <v>0</v>
      </c>
      <c r="BD62" s="117"/>
      <c r="BE62" s="106"/>
      <c r="BF62" s="6195"/>
    </row>
    <row r="63" spans="1:58" x14ac:dyDescent="0.35">
      <c r="A63" s="9168"/>
      <c r="B63" s="240"/>
      <c r="C63" s="240" t="s">
        <v>534</v>
      </c>
      <c r="D63" s="197"/>
      <c r="F63" s="163"/>
      <c r="H63" s="242"/>
      <c r="I63" s="243"/>
      <c r="J63" s="476">
        <f t="shared" si="16"/>
        <v>0</v>
      </c>
      <c r="L63" s="242"/>
      <c r="M63" s="157">
        <f t="shared" si="17"/>
        <v>0</v>
      </c>
      <c r="O63" s="198"/>
      <c r="P63" s="611">
        <f t="shared" si="18"/>
        <v>0</v>
      </c>
      <c r="Q63" s="245"/>
      <c r="R63" s="518"/>
      <c r="S63" s="141"/>
      <c r="T63" s="198"/>
      <c r="U63" s="106"/>
      <c r="V63" s="247"/>
      <c r="X63" s="117"/>
      <c r="Y63" s="3544"/>
      <c r="Z63" s="106"/>
      <c r="AA63" s="518"/>
      <c r="AB63" s="141"/>
      <c r="AC63" s="117"/>
      <c r="AD63" s="106"/>
      <c r="AE63" s="247"/>
      <c r="AF63" s="1"/>
      <c r="AG63" s="117"/>
      <c r="AH63" s="3544"/>
      <c r="AI63" s="106"/>
      <c r="AJ63" s="518"/>
      <c r="AL63" s="117"/>
      <c r="AM63" s="106"/>
      <c r="AN63" s="247"/>
      <c r="AP63" s="117"/>
      <c r="AQ63" s="3544"/>
      <c r="AR63" s="106"/>
      <c r="AS63" s="476">
        <f t="shared" si="14"/>
        <v>0</v>
      </c>
      <c r="AU63" s="117"/>
      <c r="AV63" s="106"/>
      <c r="AW63" s="6195"/>
      <c r="AY63" s="117"/>
      <c r="AZ63" s="3544"/>
      <c r="BA63" s="106"/>
      <c r="BB63" s="476">
        <f t="shared" si="19"/>
        <v>0</v>
      </c>
      <c r="BD63" s="117"/>
      <c r="BE63" s="106"/>
      <c r="BF63" s="6195"/>
    </row>
    <row r="64" spans="1:58" x14ac:dyDescent="0.35">
      <c r="A64" s="9168"/>
      <c r="B64" s="240"/>
      <c r="C64" s="240" t="s">
        <v>536</v>
      </c>
      <c r="D64" s="197"/>
      <c r="F64" s="163"/>
      <c r="H64" s="242"/>
      <c r="I64" s="243"/>
      <c r="J64" s="476">
        <f t="shared" si="16"/>
        <v>0</v>
      </c>
      <c r="L64" s="242"/>
      <c r="M64" s="157">
        <f t="shared" si="17"/>
        <v>0</v>
      </c>
      <c r="O64" s="198"/>
      <c r="P64" s="611">
        <f t="shared" si="18"/>
        <v>0</v>
      </c>
      <c r="Q64" s="245"/>
      <c r="R64" s="476">
        <f t="shared" ref="R64:R73" si="20">IF(O64=0,0,P64/O64)</f>
        <v>0</v>
      </c>
      <c r="T64" s="198"/>
      <c r="U64" s="106"/>
      <c r="V64" s="157">
        <f t="shared" ref="V64:V70" si="21">T64*R64</f>
        <v>0</v>
      </c>
      <c r="X64" s="117"/>
      <c r="Y64" s="3544"/>
      <c r="Z64" s="106"/>
      <c r="AA64" s="476">
        <f t="shared" ref="AA64:AA73" si="22">IF(X64=0,0,Y64/X64)</f>
        <v>0</v>
      </c>
      <c r="AB64" s="1"/>
      <c r="AC64" s="117"/>
      <c r="AD64" s="106"/>
      <c r="AE64" s="157">
        <f t="shared" ref="AE64:AE70" si="23">AC64*AA64</f>
        <v>0</v>
      </c>
      <c r="AF64" s="1"/>
      <c r="AG64" s="117"/>
      <c r="AH64" s="3544"/>
      <c r="AI64" s="106"/>
      <c r="AJ64" s="476">
        <f t="shared" ref="AJ64:AJ73" si="24">IF(AG64=0,0,AH64/AG64)</f>
        <v>0</v>
      </c>
      <c r="AL64" s="117"/>
      <c r="AM64" s="106"/>
      <c r="AN64" s="157">
        <f t="shared" ref="AN64:AN70" si="25">AL64*AS64</f>
        <v>0</v>
      </c>
      <c r="AP64" s="117"/>
      <c r="AQ64" s="3544"/>
      <c r="AR64" s="106"/>
      <c r="AS64" s="476">
        <f t="shared" si="14"/>
        <v>0</v>
      </c>
      <c r="AU64" s="117"/>
      <c r="AV64" s="106"/>
      <c r="AW64" s="6195"/>
      <c r="AY64" s="117"/>
      <c r="AZ64" s="3544"/>
      <c r="BA64" s="106"/>
      <c r="BB64" s="476">
        <f t="shared" si="19"/>
        <v>0</v>
      </c>
      <c r="BD64" s="117"/>
      <c r="BE64" s="106"/>
      <c r="BF64" s="6195"/>
    </row>
    <row r="65" spans="1:58" x14ac:dyDescent="0.35">
      <c r="A65" s="9168"/>
      <c r="B65" s="240"/>
      <c r="C65" s="240" t="s">
        <v>537</v>
      </c>
      <c r="D65" s="197"/>
      <c r="F65" s="163"/>
      <c r="H65" s="242"/>
      <c r="I65" s="243"/>
      <c r="J65" s="476">
        <f t="shared" si="16"/>
        <v>0</v>
      </c>
      <c r="L65" s="242"/>
      <c r="M65" s="157">
        <f t="shared" si="17"/>
        <v>0</v>
      </c>
      <c r="O65" s="198"/>
      <c r="P65" s="611">
        <f t="shared" si="18"/>
        <v>0</v>
      </c>
      <c r="Q65" s="245"/>
      <c r="R65" s="476">
        <f t="shared" si="20"/>
        <v>0</v>
      </c>
      <c r="T65" s="198"/>
      <c r="U65" s="106"/>
      <c r="V65" s="157">
        <f t="shared" si="21"/>
        <v>0</v>
      </c>
      <c r="X65" s="117"/>
      <c r="Y65" s="3544"/>
      <c r="Z65" s="106"/>
      <c r="AA65" s="476">
        <f t="shared" si="22"/>
        <v>0</v>
      </c>
      <c r="AB65" s="1"/>
      <c r="AC65" s="117"/>
      <c r="AD65" s="106"/>
      <c r="AE65" s="157">
        <f t="shared" si="23"/>
        <v>0</v>
      </c>
      <c r="AF65" s="1"/>
      <c r="AG65" s="117"/>
      <c r="AH65" s="3544"/>
      <c r="AI65" s="106"/>
      <c r="AJ65" s="476">
        <f t="shared" si="24"/>
        <v>0</v>
      </c>
      <c r="AL65" s="117"/>
      <c r="AM65" s="106"/>
      <c r="AN65" s="157">
        <f t="shared" si="25"/>
        <v>0</v>
      </c>
      <c r="AP65" s="117"/>
      <c r="AQ65" s="3544"/>
      <c r="AR65" s="106"/>
      <c r="AS65" s="476">
        <f t="shared" si="14"/>
        <v>0</v>
      </c>
      <c r="AU65" s="117"/>
      <c r="AV65" s="106"/>
      <c r="AW65" s="6195"/>
      <c r="AY65" s="117"/>
      <c r="AZ65" s="3544"/>
      <c r="BA65" s="106"/>
      <c r="BB65" s="476">
        <f t="shared" si="19"/>
        <v>0</v>
      </c>
      <c r="BD65" s="117"/>
      <c r="BE65" s="106"/>
      <c r="BF65" s="6195"/>
    </row>
    <row r="66" spans="1:58" x14ac:dyDescent="0.35">
      <c r="A66" s="9168"/>
      <c r="B66" s="240"/>
      <c r="C66" s="240" t="s">
        <v>538</v>
      </c>
      <c r="D66" s="197"/>
      <c r="F66" s="163"/>
      <c r="H66" s="242"/>
      <c r="I66" s="243"/>
      <c r="J66" s="476">
        <f t="shared" si="16"/>
        <v>0</v>
      </c>
      <c r="L66" s="242"/>
      <c r="M66" s="157">
        <f t="shared" si="17"/>
        <v>0</v>
      </c>
      <c r="O66" s="198"/>
      <c r="P66" s="611">
        <f t="shared" si="18"/>
        <v>0</v>
      </c>
      <c r="Q66" s="245"/>
      <c r="R66" s="476">
        <f t="shared" si="20"/>
        <v>0</v>
      </c>
      <c r="T66" s="198"/>
      <c r="U66" s="106"/>
      <c r="V66" s="157">
        <f t="shared" si="21"/>
        <v>0</v>
      </c>
      <c r="X66" s="117"/>
      <c r="Y66" s="3544"/>
      <c r="Z66" s="106"/>
      <c r="AA66" s="476">
        <f t="shared" si="22"/>
        <v>0</v>
      </c>
      <c r="AB66" s="1"/>
      <c r="AC66" s="117"/>
      <c r="AD66" s="106"/>
      <c r="AE66" s="157">
        <f t="shared" si="23"/>
        <v>0</v>
      </c>
      <c r="AF66" s="1"/>
      <c r="AG66" s="117"/>
      <c r="AH66" s="3544"/>
      <c r="AI66" s="106"/>
      <c r="AJ66" s="476">
        <f t="shared" si="24"/>
        <v>0</v>
      </c>
      <c r="AL66" s="117"/>
      <c r="AM66" s="106"/>
      <c r="AN66" s="157">
        <f t="shared" si="25"/>
        <v>0</v>
      </c>
      <c r="AP66" s="117"/>
      <c r="AQ66" s="3544"/>
      <c r="AR66" s="106"/>
      <c r="AS66" s="476">
        <f t="shared" si="14"/>
        <v>0</v>
      </c>
      <c r="AU66" s="117"/>
      <c r="AV66" s="106"/>
      <c r="AW66" s="6195"/>
      <c r="AY66" s="117"/>
      <c r="AZ66" s="3544"/>
      <c r="BA66" s="106"/>
      <c r="BB66" s="476">
        <f t="shared" si="19"/>
        <v>0</v>
      </c>
      <c r="BD66" s="117"/>
      <c r="BE66" s="106"/>
      <c r="BF66" s="6195"/>
    </row>
    <row r="67" spans="1:58" x14ac:dyDescent="0.35">
      <c r="A67" s="9168"/>
      <c r="B67" s="240"/>
      <c r="C67" s="240" t="s">
        <v>539</v>
      </c>
      <c r="D67" s="197"/>
      <c r="F67" s="163"/>
      <c r="H67" s="242"/>
      <c r="I67" s="243"/>
      <c r="J67" s="476">
        <f t="shared" si="16"/>
        <v>0</v>
      </c>
      <c r="L67" s="242"/>
      <c r="M67" s="157">
        <f t="shared" si="17"/>
        <v>0</v>
      </c>
      <c r="O67" s="198"/>
      <c r="P67" s="611">
        <f t="shared" si="18"/>
        <v>0</v>
      </c>
      <c r="Q67" s="245"/>
      <c r="R67" s="476">
        <f t="shared" si="20"/>
        <v>0</v>
      </c>
      <c r="T67" s="198"/>
      <c r="U67" s="106"/>
      <c r="V67" s="157">
        <f t="shared" si="21"/>
        <v>0</v>
      </c>
      <c r="X67" s="117"/>
      <c r="Y67" s="3544"/>
      <c r="Z67" s="106"/>
      <c r="AA67" s="476">
        <f t="shared" si="22"/>
        <v>0</v>
      </c>
      <c r="AB67" s="1"/>
      <c r="AC67" s="117"/>
      <c r="AD67" s="106"/>
      <c r="AE67" s="157">
        <f t="shared" si="23"/>
        <v>0</v>
      </c>
      <c r="AF67" s="1"/>
      <c r="AG67" s="117"/>
      <c r="AH67" s="3544"/>
      <c r="AI67" s="106"/>
      <c r="AJ67" s="476">
        <f t="shared" si="24"/>
        <v>0</v>
      </c>
      <c r="AL67" s="117"/>
      <c r="AM67" s="106"/>
      <c r="AN67" s="157">
        <f t="shared" si="25"/>
        <v>0</v>
      </c>
      <c r="AP67" s="117"/>
      <c r="AQ67" s="3544"/>
      <c r="AR67" s="106"/>
      <c r="AS67" s="476">
        <f t="shared" si="14"/>
        <v>0</v>
      </c>
      <c r="AU67" s="117"/>
      <c r="AV67" s="106"/>
      <c r="AW67" s="6195"/>
      <c r="AY67" s="117"/>
      <c r="AZ67" s="3544"/>
      <c r="BA67" s="106"/>
      <c r="BB67" s="476">
        <f t="shared" si="19"/>
        <v>0</v>
      </c>
      <c r="BD67" s="117"/>
      <c r="BE67" s="106"/>
      <c r="BF67" s="6195"/>
    </row>
    <row r="68" spans="1:58" x14ac:dyDescent="0.35">
      <c r="A68" s="9168"/>
      <c r="B68" s="250"/>
      <c r="C68" s="250" t="s">
        <v>704</v>
      </c>
      <c r="D68" s="209"/>
      <c r="F68" s="130"/>
      <c r="H68" s="242"/>
      <c r="I68" s="243"/>
      <c r="J68" s="476">
        <f t="shared" si="16"/>
        <v>0</v>
      </c>
      <c r="L68" s="242"/>
      <c r="M68" s="157">
        <f t="shared" si="17"/>
        <v>0</v>
      </c>
      <c r="O68" s="211"/>
      <c r="P68" s="1345">
        <f t="shared" si="18"/>
        <v>0</v>
      </c>
      <c r="Q68" s="3450"/>
      <c r="R68" s="484">
        <f t="shared" si="20"/>
        <v>0</v>
      </c>
      <c r="T68" s="211"/>
      <c r="U68" s="216"/>
      <c r="V68" s="213">
        <f t="shared" si="21"/>
        <v>0</v>
      </c>
      <c r="X68" s="131"/>
      <c r="Y68" s="3545"/>
      <c r="Z68" s="216"/>
      <c r="AA68" s="484">
        <f t="shared" si="22"/>
        <v>0</v>
      </c>
      <c r="AB68" s="1"/>
      <c r="AC68" s="131"/>
      <c r="AD68" s="216"/>
      <c r="AE68" s="213">
        <f t="shared" si="23"/>
        <v>0</v>
      </c>
      <c r="AF68" s="1"/>
      <c r="AG68" s="131"/>
      <c r="AH68" s="3545"/>
      <c r="AI68" s="216"/>
      <c r="AJ68" s="484">
        <f t="shared" si="24"/>
        <v>0</v>
      </c>
      <c r="AL68" s="131"/>
      <c r="AM68" s="216"/>
      <c r="AN68" s="213">
        <f t="shared" si="25"/>
        <v>0</v>
      </c>
      <c r="AP68" s="131"/>
      <c r="AQ68" s="3545"/>
      <c r="AR68" s="216"/>
      <c r="AS68" s="484">
        <f t="shared" si="14"/>
        <v>0</v>
      </c>
      <c r="AU68" s="131"/>
      <c r="AV68" s="216"/>
      <c r="AW68" s="846"/>
      <c r="AY68" s="131"/>
      <c r="AZ68" s="3545"/>
      <c r="BA68" s="216"/>
      <c r="BB68" s="484">
        <f t="shared" si="19"/>
        <v>0</v>
      </c>
      <c r="BD68" s="131"/>
      <c r="BE68" s="216"/>
      <c r="BF68" s="846"/>
    </row>
    <row r="69" spans="1:58" x14ac:dyDescent="0.35">
      <c r="A69" s="9168"/>
      <c r="B69" s="271" t="s">
        <v>552</v>
      </c>
      <c r="C69" s="271"/>
      <c r="D69" s="184"/>
      <c r="E69" s="143"/>
      <c r="F69" s="227"/>
      <c r="G69" s="143"/>
      <c r="H69" s="102"/>
      <c r="I69" s="103"/>
      <c r="J69" s="228"/>
      <c r="K69" s="143"/>
      <c r="L69" s="102"/>
      <c r="M69" s="268"/>
      <c r="N69" s="143"/>
      <c r="O69" s="114"/>
      <c r="P69" s="233"/>
      <c r="Q69" s="106"/>
      <c r="R69" s="476">
        <f t="shared" si="20"/>
        <v>0</v>
      </c>
      <c r="T69" s="186"/>
      <c r="U69" s="103"/>
      <c r="V69" s="148">
        <f t="shared" si="21"/>
        <v>0</v>
      </c>
      <c r="W69" s="143"/>
      <c r="X69" s="186"/>
      <c r="Y69" s="233"/>
      <c r="Z69" s="106"/>
      <c r="AA69" s="476">
        <f t="shared" si="22"/>
        <v>0</v>
      </c>
      <c r="AB69" s="1"/>
      <c r="AC69" s="186"/>
      <c r="AD69" s="103"/>
      <c r="AE69" s="148">
        <f t="shared" si="23"/>
        <v>0</v>
      </c>
      <c r="AF69" s="143"/>
      <c r="AG69" s="186"/>
      <c r="AH69" s="233"/>
      <c r="AI69" s="106"/>
      <c r="AJ69" s="476">
        <f t="shared" si="24"/>
        <v>0</v>
      </c>
      <c r="AL69" s="186"/>
      <c r="AM69" s="103"/>
      <c r="AN69" s="148">
        <f t="shared" si="25"/>
        <v>0</v>
      </c>
      <c r="AP69" s="777"/>
      <c r="AQ69" s="920"/>
      <c r="AR69" s="106"/>
      <c r="AS69" s="7765"/>
      <c r="AU69" s="777"/>
      <c r="AV69" s="103"/>
      <c r="AW69" s="3012"/>
      <c r="AY69" s="777"/>
      <c r="AZ69" s="920"/>
      <c r="BA69" s="106"/>
      <c r="BB69" s="7765"/>
      <c r="BD69" s="777"/>
      <c r="BE69" s="103"/>
      <c r="BF69" s="3012"/>
    </row>
    <row r="70" spans="1:58" x14ac:dyDescent="0.35">
      <c r="A70" s="9168"/>
      <c r="B70" s="272"/>
      <c r="C70" s="272" t="s">
        <v>980</v>
      </c>
      <c r="D70" s="197">
        <v>8</v>
      </c>
      <c r="F70" s="155">
        <f>F77-F35-F44-F47-F51-F54-F57</f>
        <v>4107120</v>
      </c>
      <c r="H70" s="117">
        <f>H29*H73</f>
        <v>4120223.0697283302</v>
      </c>
      <c r="I70" s="115">
        <f>5746246-I35-I44-I47-I51-I54-I57</f>
        <v>3904826</v>
      </c>
      <c r="J70" s="476">
        <f>IF(H70=0,0,I70/H70)</f>
        <v>0.94772198832852694</v>
      </c>
      <c r="L70" s="117"/>
      <c r="M70" s="157">
        <f>M29*M73</f>
        <v>0</v>
      </c>
      <c r="O70" s="3166"/>
      <c r="P70" s="3546"/>
      <c r="Q70" s="106"/>
      <c r="R70" s="476">
        <f t="shared" si="20"/>
        <v>0</v>
      </c>
      <c r="T70" s="242"/>
      <c r="U70" s="106"/>
      <c r="V70" s="157">
        <f t="shared" si="21"/>
        <v>0</v>
      </c>
      <c r="X70" s="242"/>
      <c r="Y70" s="3546"/>
      <c r="Z70" s="106"/>
      <c r="AA70" s="476">
        <f t="shared" si="22"/>
        <v>0</v>
      </c>
      <c r="AB70" s="1"/>
      <c r="AC70" s="242"/>
      <c r="AD70" s="106"/>
      <c r="AE70" s="157">
        <f t="shared" si="23"/>
        <v>0</v>
      </c>
      <c r="AF70" s="1"/>
      <c r="AG70" s="242"/>
      <c r="AH70" s="3546"/>
      <c r="AI70" s="106"/>
      <c r="AJ70" s="476">
        <f t="shared" si="24"/>
        <v>0</v>
      </c>
      <c r="AL70" s="242"/>
      <c r="AM70" s="106"/>
      <c r="AN70" s="157">
        <f t="shared" si="25"/>
        <v>0</v>
      </c>
      <c r="AP70" s="242"/>
      <c r="AQ70" s="3546"/>
      <c r="AR70" s="106"/>
      <c r="AS70" s="476">
        <f t="shared" si="14"/>
        <v>0</v>
      </c>
      <c r="AU70" s="242"/>
      <c r="AV70" s="106"/>
      <c r="AW70" s="6196"/>
      <c r="AY70" s="242"/>
      <c r="AZ70" s="3546"/>
      <c r="BA70" s="106"/>
      <c r="BB70" s="476">
        <f t="shared" ref="BB70:BB73" si="26">IF(AY70=0,0,AZ70/AY70)</f>
        <v>0</v>
      </c>
      <c r="BD70" s="242"/>
      <c r="BE70" s="106"/>
      <c r="BF70" s="6196"/>
    </row>
    <row r="71" spans="1:58" x14ac:dyDescent="0.35">
      <c r="A71" s="9168"/>
      <c r="B71" s="274"/>
      <c r="C71" s="3547" t="s">
        <v>1074</v>
      </c>
      <c r="D71" s="197"/>
      <c r="F71" s="163"/>
      <c r="H71" s="242"/>
      <c r="I71" s="243"/>
      <c r="J71" s="476"/>
      <c r="L71" s="242"/>
      <c r="M71" s="157"/>
      <c r="O71" s="3548">
        <f>O75-O36-O45-O48-O52-O55-O58</f>
        <v>3976099.9840000002</v>
      </c>
      <c r="P71" s="3549">
        <f>P75-P36-P45-P52-P55-P58</f>
        <v>4363054.6890000002</v>
      </c>
      <c r="Q71" s="106"/>
      <c r="R71" s="476">
        <f t="shared" si="20"/>
        <v>1.0973201646229025</v>
      </c>
      <c r="T71" s="242"/>
      <c r="U71" s="106"/>
      <c r="V71" s="157"/>
      <c r="X71" s="3327">
        <f>X75-X36-X45-X48-X52-X55-X58</f>
        <v>4577640</v>
      </c>
      <c r="Y71" s="3550">
        <f>Y75-Y36-Y45-Y48-Y52-Y55-Y58</f>
        <v>4663156</v>
      </c>
      <c r="Z71" s="57" t="s">
        <v>1104</v>
      </c>
      <c r="AA71" s="476">
        <f t="shared" si="22"/>
        <v>1.0186812418626192</v>
      </c>
      <c r="AB71" s="1"/>
      <c r="AC71" s="242"/>
      <c r="AD71" s="106"/>
      <c r="AE71" s="157"/>
      <c r="AF71" s="1"/>
      <c r="AG71" s="3327">
        <f>AG75-AG36-AG45-AG48-AG52-AG55-AG58</f>
        <v>7102154</v>
      </c>
      <c r="AH71" s="3550"/>
      <c r="AI71" s="57" t="s">
        <v>1104</v>
      </c>
      <c r="AJ71" s="476">
        <f t="shared" si="24"/>
        <v>0</v>
      </c>
      <c r="AL71" s="242"/>
      <c r="AM71" s="106"/>
      <c r="AN71" s="157"/>
      <c r="AP71" s="4657"/>
      <c r="AQ71" s="3550"/>
      <c r="AR71" s="57"/>
      <c r="AS71" s="476">
        <f t="shared" si="14"/>
        <v>0</v>
      </c>
      <c r="AU71" s="242"/>
      <c r="AV71" s="106"/>
      <c r="AW71" s="6197"/>
      <c r="AY71" s="4657"/>
      <c r="AZ71" s="3550"/>
      <c r="BA71" s="57"/>
      <c r="BB71" s="476">
        <f t="shared" si="26"/>
        <v>0</v>
      </c>
      <c r="BD71" s="242"/>
      <c r="BE71" s="106"/>
      <c r="BF71" s="6197"/>
    </row>
    <row r="72" spans="1:58" x14ac:dyDescent="0.35">
      <c r="A72" s="9168"/>
      <c r="B72" s="274"/>
      <c r="C72" s="3551" t="s">
        <v>933</v>
      </c>
      <c r="D72" s="197"/>
      <c r="F72" s="163"/>
      <c r="H72" s="242"/>
      <c r="I72" s="243"/>
      <c r="J72" s="476"/>
      <c r="L72" s="242"/>
      <c r="M72" s="157"/>
      <c r="O72" s="3548">
        <f>O76-O37-O46-O53-O56-O59-O49</f>
        <v>345230.22</v>
      </c>
      <c r="P72" s="3549">
        <f>P76-P37-P46-P53-P56-P59-P49</f>
        <v>889170.82900000003</v>
      </c>
      <c r="Q72" s="106"/>
      <c r="R72" s="476">
        <f t="shared" si="20"/>
        <v>2.5755880496209169</v>
      </c>
      <c r="T72" s="242"/>
      <c r="U72" s="106"/>
      <c r="V72" s="157"/>
      <c r="X72" s="3327">
        <f>X76-X37-X46-X49-X53-X56-X59</f>
        <v>774836</v>
      </c>
      <c r="Y72" s="3550">
        <f>Y76-Y37-Y46-Y49-Y53-Y56-Y59</f>
        <v>964856</v>
      </c>
      <c r="Z72" s="106"/>
      <c r="AA72" s="476">
        <f t="shared" si="22"/>
        <v>1.2452389925093825</v>
      </c>
      <c r="AB72" s="1"/>
      <c r="AC72" s="242"/>
      <c r="AD72" s="106"/>
      <c r="AE72" s="157"/>
      <c r="AF72" s="1"/>
      <c r="AG72" s="3327">
        <f>AG76-AG37-AG46-AG49-AG53-AG56-AG59</f>
        <v>3822128</v>
      </c>
      <c r="AH72" s="3550"/>
      <c r="AI72" s="106"/>
      <c r="AJ72" s="476">
        <f t="shared" si="24"/>
        <v>0</v>
      </c>
      <c r="AL72" s="242"/>
      <c r="AM72" s="106"/>
      <c r="AN72" s="157"/>
      <c r="AP72" s="4657"/>
      <c r="AQ72" s="3550"/>
      <c r="AR72" s="106"/>
      <c r="AS72" s="476">
        <f t="shared" si="14"/>
        <v>0</v>
      </c>
      <c r="AU72" s="242"/>
      <c r="AV72" s="106"/>
      <c r="AW72" s="6197"/>
      <c r="AY72" s="4657"/>
      <c r="AZ72" s="3550"/>
      <c r="BA72" s="106"/>
      <c r="BB72" s="476">
        <f t="shared" si="26"/>
        <v>0</v>
      </c>
      <c r="BD72" s="242"/>
      <c r="BE72" s="106"/>
      <c r="BF72" s="6197"/>
    </row>
    <row r="73" spans="1:58" x14ac:dyDescent="0.35">
      <c r="A73" s="9168"/>
      <c r="B73" s="277"/>
      <c r="C73" s="277" t="s">
        <v>555</v>
      </c>
      <c r="D73" s="209"/>
      <c r="F73" s="665">
        <f>F70/F29</f>
        <v>0.44548654614620925</v>
      </c>
      <c r="G73" s="666"/>
      <c r="H73" s="3552">
        <f>I73</f>
        <v>0.43079758583734784</v>
      </c>
      <c r="I73" s="667">
        <f>I70/I29</f>
        <v>0.43079758583734784</v>
      </c>
      <c r="J73" s="484"/>
      <c r="L73" s="3553">
        <f>I73</f>
        <v>0.43079758583734784</v>
      </c>
      <c r="M73" s="3553">
        <f>J73</f>
        <v>0</v>
      </c>
      <c r="N73" s="3554"/>
      <c r="O73" s="7895">
        <f>(O71+O72)/O29</f>
        <v>0.41612786870122653</v>
      </c>
      <c r="P73" s="667">
        <f>(P71+P72)/P29</f>
        <v>0.52460572039396081</v>
      </c>
      <c r="Q73" s="216"/>
      <c r="R73" s="476">
        <f t="shared" si="20"/>
        <v>1.2606839384040864</v>
      </c>
      <c r="T73" s="7766">
        <f>P73</f>
        <v>0.52460572039396081</v>
      </c>
      <c r="U73" s="216"/>
      <c r="V73" s="213"/>
      <c r="X73" s="7766">
        <f>(X71+X72)/(X30+X31)</f>
        <v>0.46287212729373517</v>
      </c>
      <c r="Y73" s="667">
        <f>(Y71+Y72)/(Y30+Y31)</f>
        <v>0.47402339639060759</v>
      </c>
      <c r="Z73" s="216"/>
      <c r="AA73" s="476">
        <f t="shared" si="22"/>
        <v>1.0240914681168432</v>
      </c>
      <c r="AB73" s="1"/>
      <c r="AC73" s="7766"/>
      <c r="AD73" s="216"/>
      <c r="AE73" s="213"/>
      <c r="AF73" s="1"/>
      <c r="AG73" s="7766" t="e">
        <f>(AG71+AG72)/(AG30+AG31)</f>
        <v>#DIV/0!</v>
      </c>
      <c r="AH73" s="667" t="e">
        <f>(AH71+AH72)/(AH30+AH31)</f>
        <v>#DIV/0!</v>
      </c>
      <c r="AI73" s="216"/>
      <c r="AJ73" s="476" t="e">
        <f t="shared" si="24"/>
        <v>#DIV/0!</v>
      </c>
      <c r="AL73" s="7766"/>
      <c r="AM73" s="216"/>
      <c r="AN73" s="213"/>
      <c r="AP73" s="7766" t="e">
        <f>(AP71+AP72)/(AP30+AP31)</f>
        <v>#DIV/0!</v>
      </c>
      <c r="AQ73" s="667" t="e">
        <f>(AQ71+AQ72)/(AQ30+AQ31)</f>
        <v>#DIV/0!</v>
      </c>
      <c r="AR73" s="216"/>
      <c r="AS73" s="476" t="e">
        <f t="shared" si="14"/>
        <v>#DIV/0!</v>
      </c>
      <c r="AU73" s="7766"/>
      <c r="AV73" s="216"/>
      <c r="AW73" s="3283"/>
      <c r="AY73" s="7766" t="e">
        <f>(AY71+AY72)/(AY30+AY31)</f>
        <v>#DIV/0!</v>
      </c>
      <c r="AZ73" s="667" t="e">
        <f>(AZ71+AZ72)/(AZ30+AZ31)</f>
        <v>#DIV/0!</v>
      </c>
      <c r="BA73" s="216"/>
      <c r="BB73" s="476" t="e">
        <f t="shared" si="26"/>
        <v>#DIV/0!</v>
      </c>
      <c r="BD73" s="7766"/>
      <c r="BE73" s="216"/>
      <c r="BF73" s="3283"/>
    </row>
    <row r="74" spans="1:58" ht="15.5" customHeight="1" x14ac:dyDescent="0.35">
      <c r="A74" s="9168"/>
      <c r="B74" s="141" t="s">
        <v>1105</v>
      </c>
      <c r="D74" s="197"/>
      <c r="F74" s="3555"/>
      <c r="G74" s="666"/>
      <c r="H74" s="3556"/>
      <c r="I74" s="3557"/>
      <c r="J74" s="476"/>
      <c r="L74" s="3556"/>
      <c r="M74" s="3558"/>
      <c r="O74" s="102"/>
      <c r="P74" s="103"/>
      <c r="Q74" s="3559" t="s">
        <v>1106</v>
      </c>
      <c r="R74" s="228"/>
      <c r="S74" s="143"/>
      <c r="T74" s="3560" t="s">
        <v>1107</v>
      </c>
      <c r="U74" s="106"/>
      <c r="V74" s="247"/>
      <c r="X74" s="3561" t="s">
        <v>1107</v>
      </c>
      <c r="Y74" s="231" t="s">
        <v>1108</v>
      </c>
      <c r="Z74" s="3559"/>
      <c r="AA74" s="228"/>
      <c r="AB74" s="143"/>
      <c r="AC74" s="3560" t="s">
        <v>1109</v>
      </c>
      <c r="AD74" s="106"/>
      <c r="AE74" s="247"/>
      <c r="AF74" s="1"/>
      <c r="AG74" s="3561" t="str">
        <f>AC74</f>
        <v>Budget report 16-17</v>
      </c>
      <c r="AH74" s="231" t="s">
        <v>1108</v>
      </c>
      <c r="AI74" s="3559"/>
      <c r="AJ74" s="228"/>
      <c r="AL74" s="3560"/>
      <c r="AM74" s="106"/>
      <c r="AN74" s="247"/>
      <c r="AP74" s="149"/>
      <c r="AQ74" s="231"/>
      <c r="AR74" s="6198" t="s">
        <v>1110</v>
      </c>
      <c r="AS74" s="228"/>
      <c r="AU74" s="6199"/>
      <c r="AV74" s="103"/>
      <c r="AW74" s="268"/>
      <c r="AY74" s="149"/>
      <c r="AZ74" s="231"/>
      <c r="BA74" s="6198" t="s">
        <v>1110</v>
      </c>
      <c r="BB74" s="228"/>
      <c r="BD74" s="6199"/>
      <c r="BE74" s="103"/>
      <c r="BF74" s="268"/>
    </row>
    <row r="75" spans="1:58" x14ac:dyDescent="0.35">
      <c r="A75" s="9168"/>
      <c r="B75" s="1"/>
      <c r="C75" s="3547" t="s">
        <v>1074</v>
      </c>
      <c r="D75" s="197"/>
      <c r="F75" s="3562">
        <v>3656901</v>
      </c>
      <c r="G75" s="666"/>
      <c r="H75" s="3563"/>
      <c r="I75" s="3564">
        <v>4035758</v>
      </c>
      <c r="J75" s="476">
        <f>IF(H75=0,0,I75/H75)</f>
        <v>0</v>
      </c>
      <c r="L75" s="3565">
        <v>4949322</v>
      </c>
      <c r="M75" s="157">
        <f>L75*J75</f>
        <v>0</v>
      </c>
      <c r="O75" s="117">
        <f>L75</f>
        <v>4949322</v>
      </c>
      <c r="P75" s="199">
        <v>5256033</v>
      </c>
      <c r="Q75" s="106" t="s">
        <v>1111</v>
      </c>
      <c r="R75" s="476">
        <f>IF(O75=0,0,P75/O75)</f>
        <v>1.0619703062358845</v>
      </c>
      <c r="T75" s="7896">
        <v>6496089</v>
      </c>
      <c r="U75" s="106" t="s">
        <v>780</v>
      </c>
      <c r="V75" s="157">
        <f>T75*R75</f>
        <v>6898653.6246655611</v>
      </c>
      <c r="X75" s="7896">
        <v>6496089</v>
      </c>
      <c r="Y75" s="3566">
        <v>6506140</v>
      </c>
      <c r="Z75" s="106"/>
      <c r="AA75" s="476">
        <f>IF(X75=0,0,Y75/X75)</f>
        <v>1.0015472386539039</v>
      </c>
      <c r="AB75" s="1"/>
      <c r="AC75" s="7896">
        <v>7102154</v>
      </c>
      <c r="AD75" s="106" t="s">
        <v>1112</v>
      </c>
      <c r="AE75" s="157">
        <f>AC75*AA75</f>
        <v>7113142.7271947786</v>
      </c>
      <c r="AF75" s="1"/>
      <c r="AG75" s="7896">
        <f>AC75</f>
        <v>7102154</v>
      </c>
      <c r="AH75" s="3566"/>
      <c r="AI75" s="106"/>
      <c r="AJ75" s="476">
        <f>IF(AG75=0,0,AH75/AG75)</f>
        <v>0</v>
      </c>
      <c r="AL75" s="7896">
        <f>AL36</f>
        <v>7227.8329999999996</v>
      </c>
      <c r="AM75" s="106"/>
      <c r="AN75" s="157">
        <f>AL75</f>
        <v>7227.8329999999996</v>
      </c>
      <c r="AP75" s="3506">
        <v>7228</v>
      </c>
      <c r="AQ75" s="3507">
        <v>6730.87</v>
      </c>
      <c r="AR75" s="1941" t="s">
        <v>1089</v>
      </c>
      <c r="AS75" s="476">
        <f>IF(AP75=0,0,AQ75/AP75)</f>
        <v>0.93122163807415603</v>
      </c>
      <c r="AU75" s="6186">
        <v>7478.1009999999997</v>
      </c>
      <c r="AV75" s="3508" t="s">
        <v>1090</v>
      </c>
      <c r="AW75" s="157">
        <f>AU75</f>
        <v>7478.1009999999997</v>
      </c>
      <c r="AY75" s="3506">
        <v>7478.1009999999997</v>
      </c>
      <c r="AZ75" s="3507">
        <v>7632.24</v>
      </c>
      <c r="BA75" s="1941" t="s">
        <v>1089</v>
      </c>
      <c r="BB75" s="476">
        <f>IF(AY75=0,0,AZ75/AY75)</f>
        <v>1.0206120511076275</v>
      </c>
      <c r="BD75" s="6186">
        <v>7948.0720000000001</v>
      </c>
      <c r="BE75" s="3508" t="s">
        <v>1090</v>
      </c>
      <c r="BF75" s="204">
        <f>BD75*BB75</f>
        <v>8111.8980662711037</v>
      </c>
    </row>
    <row r="76" spans="1:58" x14ac:dyDescent="0.35">
      <c r="A76" s="9168"/>
      <c r="B76" s="1" t="s">
        <v>1099</v>
      </c>
      <c r="C76" s="3551" t="s">
        <v>933</v>
      </c>
      <c r="D76" s="197"/>
      <c r="F76" s="3562">
        <v>2307783</v>
      </c>
      <c r="G76" s="666"/>
      <c r="H76" s="3563"/>
      <c r="I76" s="3564">
        <v>1710488</v>
      </c>
      <c r="J76" s="476">
        <f>IF(H76=0,0,I76/H76)</f>
        <v>0</v>
      </c>
      <c r="L76" s="3565">
        <v>1739726</v>
      </c>
      <c r="M76" s="157">
        <f>L76*J76</f>
        <v>0</v>
      </c>
      <c r="O76" s="242">
        <f>L76</f>
        <v>1739726</v>
      </c>
      <c r="P76" s="199">
        <v>2045257</v>
      </c>
      <c r="Q76" s="106" t="s">
        <v>1111</v>
      </c>
      <c r="R76" s="476">
        <f>IF(O76=0,0,P76/O76)</f>
        <v>1.1756201838680345</v>
      </c>
      <c r="T76" s="7897">
        <v>2816265</v>
      </c>
      <c r="U76" s="106" t="s">
        <v>780</v>
      </c>
      <c r="V76" s="157">
        <f>T76*R76</f>
        <v>3310857.9771211101</v>
      </c>
      <c r="X76" s="7897">
        <v>2816265</v>
      </c>
      <c r="Y76" s="3566">
        <v>2482714</v>
      </c>
      <c r="Z76" s="106"/>
      <c r="AA76" s="476">
        <f>IF(X76=0,0,Y76/X76)</f>
        <v>0.88156263703877302</v>
      </c>
      <c r="AB76" s="1"/>
      <c r="AC76" s="7897">
        <v>3822128</v>
      </c>
      <c r="AD76" s="106" t="s">
        <v>1112</v>
      </c>
      <c r="AE76" s="157">
        <f>AC76*AA76</f>
        <v>3369445.2387797316</v>
      </c>
      <c r="AF76" s="1"/>
      <c r="AG76" s="7897">
        <f>AC76</f>
        <v>3822128</v>
      </c>
      <c r="AH76" s="3566"/>
      <c r="AI76" s="106"/>
      <c r="AJ76" s="476">
        <f>IF(AG76=0,0,AH76/AG76)</f>
        <v>0</v>
      </c>
      <c r="AL76" s="7896">
        <f>AL37</f>
        <v>3703.8539999999998</v>
      </c>
      <c r="AM76" s="106"/>
      <c r="AN76" s="157">
        <f>AL76</f>
        <v>3703.8539999999998</v>
      </c>
      <c r="AP76" s="3506">
        <v>3704</v>
      </c>
      <c r="AQ76" s="3507">
        <v>4121.6540000000005</v>
      </c>
      <c r="AR76" s="106"/>
      <c r="AS76" s="476">
        <f>IF(AP76=0,0,AQ76/AP76)</f>
        <v>1.1127575593952486</v>
      </c>
      <c r="AU76" s="6186">
        <v>1176.972</v>
      </c>
      <c r="AV76" s="3511"/>
      <c r="AW76" s="157">
        <f>AU76</f>
        <v>1176.972</v>
      </c>
      <c r="AY76" s="3506">
        <v>1176.972</v>
      </c>
      <c r="AZ76" s="3507">
        <v>1865.049</v>
      </c>
      <c r="BA76" s="106"/>
      <c r="BB76" s="476">
        <f>IF(AY76=0,0,AZ76/AY76)</f>
        <v>1.5846162865386773</v>
      </c>
      <c r="BD76" s="6186">
        <v>2589.6019999999999</v>
      </c>
      <c r="BE76" s="3511"/>
      <c r="BF76" s="204">
        <f>BD76*BB76</f>
        <v>4103.5255048531317</v>
      </c>
    </row>
    <row r="77" spans="1:58" x14ac:dyDescent="0.35">
      <c r="A77" s="9168"/>
      <c r="B77" s="1"/>
      <c r="C77" s="1" t="s">
        <v>1113</v>
      </c>
      <c r="D77" s="197"/>
      <c r="F77" s="3562">
        <f>SUM(F75:F76)</f>
        <v>5964684</v>
      </c>
      <c r="G77" s="666"/>
      <c r="H77" s="3565">
        <f>SUM(H35:H37)-SUM(H39:H41)+SUM(H43:H57)+H70</f>
        <v>7206898.0697283298</v>
      </c>
      <c r="I77" s="3564">
        <f>SUM(I35:I37)-SUM(I39:I41)+SUM(I43:I57)+I70</f>
        <v>6613020</v>
      </c>
      <c r="J77" s="3453">
        <f>I77/H77</f>
        <v>0.91759588327982045</v>
      </c>
      <c r="L77" s="3565">
        <f>SUM(L75:L76)</f>
        <v>6689048</v>
      </c>
      <c r="M77" s="157">
        <f>L77*J77</f>
        <v>6137842.9078611163</v>
      </c>
      <c r="O77" s="3567">
        <f>L77</f>
        <v>6689048</v>
      </c>
      <c r="P77" s="3568">
        <f>SUM(P75:P76)</f>
        <v>7301290</v>
      </c>
      <c r="Q77" s="3557"/>
      <c r="R77" s="476">
        <f>IF(O77=0,0,P77/O77)</f>
        <v>1.0915290187781579</v>
      </c>
      <c r="T77" s="3569">
        <f>SUM(T75:T76)</f>
        <v>9312354</v>
      </c>
      <c r="U77" s="3557"/>
      <c r="V77" s="157">
        <f>SUM(V75:V76)</f>
        <v>10209511.601786671</v>
      </c>
      <c r="X77" s="3570">
        <f>SUM(X75:X76)</f>
        <v>9312354</v>
      </c>
      <c r="Y77" s="3571">
        <f>SUM(Y75:Y76)</f>
        <v>8988854</v>
      </c>
      <c r="Z77" s="3557"/>
      <c r="AA77" s="476">
        <f>IF(X77=0,0,Y77/X77)</f>
        <v>0.96526120033667107</v>
      </c>
      <c r="AB77" s="1"/>
      <c r="AC77" s="3569">
        <f>SUM(AC75:AC76)</f>
        <v>10924282</v>
      </c>
      <c r="AD77" s="3557"/>
      <c r="AE77" s="157">
        <f>SUM(AE75:AE76)</f>
        <v>10482587.96597451</v>
      </c>
      <c r="AF77" s="1"/>
      <c r="AG77" s="3570">
        <f>SUM(AG75:AG76)</f>
        <v>10924282</v>
      </c>
      <c r="AH77" s="3571">
        <f>SUM(AH75:AH76)</f>
        <v>0</v>
      </c>
      <c r="AI77" s="3557"/>
      <c r="AJ77" s="476">
        <f>IF(AG77=0,0,AH77/AG77)</f>
        <v>0</v>
      </c>
      <c r="AL77" s="3569">
        <f>SUM(AL75:AL76)</f>
        <v>10931.687</v>
      </c>
      <c r="AM77" s="3557"/>
      <c r="AN77" s="157">
        <f>SUM(AN75:AN76)</f>
        <v>10931.687</v>
      </c>
      <c r="AP77" s="6200">
        <f>SUM(AP75:AP76)</f>
        <v>10932</v>
      </c>
      <c r="AQ77" s="6201">
        <f>SUM(AQ75:AQ76)</f>
        <v>10852.524000000001</v>
      </c>
      <c r="AR77" s="3329"/>
      <c r="AS77" s="484">
        <f>IF(AP77=0,0,AQ77/AP77)</f>
        <v>0.99272996706915484</v>
      </c>
      <c r="AU77" s="6200">
        <f>SUM(AU75:AU76)</f>
        <v>8655.0730000000003</v>
      </c>
      <c r="AV77" s="3329"/>
      <c r="AW77" s="213">
        <f>SUM(AW75:AW76)</f>
        <v>8655.0730000000003</v>
      </c>
      <c r="AY77" s="6200">
        <f>SUM(AY75:AY76)</f>
        <v>8655.0730000000003</v>
      </c>
      <c r="AZ77" s="6201">
        <f>SUM(AZ75:AZ76)</f>
        <v>9497.2890000000007</v>
      </c>
      <c r="BA77" s="3329"/>
      <c r="BB77" s="484">
        <f>IF(AY77=0,0,AZ77/AY77)</f>
        <v>1.0973089423971352</v>
      </c>
      <c r="BD77" s="6200">
        <f>SUM(BD75:BD76)</f>
        <v>10537.673999999999</v>
      </c>
      <c r="BE77" s="3329"/>
      <c r="BF77" s="213">
        <f>SUM(BF75:BF76)</f>
        <v>12215.423571124236</v>
      </c>
    </row>
    <row r="78" spans="1:58" ht="15.25" customHeight="1" x14ac:dyDescent="0.35">
      <c r="A78" s="9168"/>
      <c r="B78" s="287" t="s">
        <v>556</v>
      </c>
      <c r="C78" s="288"/>
      <c r="D78" s="184"/>
      <c r="E78" s="143"/>
      <c r="F78" s="289"/>
      <c r="G78" s="290"/>
      <c r="H78" s="291"/>
      <c r="I78" s="292"/>
      <c r="J78" s="293"/>
      <c r="L78" s="291"/>
      <c r="M78" s="268"/>
      <c r="N78" s="143"/>
      <c r="O78" s="291"/>
      <c r="P78" s="292"/>
      <c r="Q78" s="103"/>
      <c r="R78" s="228"/>
      <c r="T78" s="291"/>
      <c r="U78" s="103"/>
      <c r="V78" s="268"/>
      <c r="W78" s="143"/>
      <c r="X78" s="291"/>
      <c r="Y78" s="292"/>
      <c r="Z78" s="103"/>
      <c r="AA78" s="228"/>
      <c r="AB78" s="1"/>
      <c r="AC78" s="291"/>
      <c r="AD78" s="103"/>
      <c r="AE78" s="268"/>
      <c r="AF78" s="143"/>
      <c r="AG78" s="291"/>
      <c r="AH78" s="292"/>
      <c r="AI78" s="103"/>
      <c r="AJ78" s="228"/>
      <c r="AL78" s="291"/>
      <c r="AM78" s="103"/>
      <c r="AN78" s="268"/>
      <c r="AP78" s="291"/>
      <c r="AQ78" s="292"/>
      <c r="AR78" s="103"/>
      <c r="AS78" s="228"/>
      <c r="AU78" s="291"/>
      <c r="AV78" s="103"/>
      <c r="AW78" s="268"/>
      <c r="AY78" s="291"/>
      <c r="AZ78" s="292"/>
      <c r="BA78" s="103"/>
      <c r="BB78" s="228"/>
      <c r="BD78" s="291"/>
      <c r="BE78" s="103"/>
      <c r="BF78" s="268"/>
    </row>
    <row r="79" spans="1:58" x14ac:dyDescent="0.35">
      <c r="A79" s="9168"/>
      <c r="B79" s="302"/>
      <c r="C79" s="59"/>
      <c r="D79" s="197">
        <v>9</v>
      </c>
      <c r="F79" s="521"/>
      <c r="G79" s="272"/>
      <c r="H79" s="304"/>
      <c r="I79" s="522"/>
      <c r="J79" s="523">
        <f>IF(H79=0,0,I79/H79)</f>
        <v>0</v>
      </c>
      <c r="L79" s="304"/>
      <c r="M79" s="157">
        <f>L79*J79</f>
        <v>0</v>
      </c>
      <c r="O79" s="304"/>
      <c r="P79" s="522"/>
      <c r="Q79" s="332"/>
      <c r="R79" s="476">
        <f>IF(O79=0,0,P79/O79)</f>
        <v>0</v>
      </c>
      <c r="T79" s="304"/>
      <c r="U79" s="332"/>
      <c r="V79" s="157">
        <f t="shared" ref="V79:V84" si="27">T79*R79</f>
        <v>0</v>
      </c>
      <c r="X79" s="304"/>
      <c r="Y79" s="522"/>
      <c r="Z79" s="332"/>
      <c r="AA79" s="476">
        <f>IF(X79=0,0,Y79/X79)</f>
        <v>0</v>
      </c>
      <c r="AB79" s="1"/>
      <c r="AC79" s="304"/>
      <c r="AD79" s="332"/>
      <c r="AE79" s="157">
        <f t="shared" ref="AE79:AE84" si="28">AC79*AA79</f>
        <v>0</v>
      </c>
      <c r="AF79" s="1"/>
      <c r="AG79" s="304"/>
      <c r="AH79" s="522"/>
      <c r="AI79" s="332"/>
      <c r="AJ79" s="476">
        <f>IF(AG79=0,0,AH79/AG79)</f>
        <v>0</v>
      </c>
      <c r="AL79" s="304"/>
      <c r="AM79" s="332"/>
      <c r="AN79" s="157">
        <f t="shared" ref="AN79:AN84" si="29">AL79*AS79</f>
        <v>0</v>
      </c>
      <c r="AP79" s="304"/>
      <c r="AQ79" s="522"/>
      <c r="AR79" s="332"/>
      <c r="AS79" s="476">
        <f>IF(AP79=0,0,AQ79/AP79)</f>
        <v>0</v>
      </c>
      <c r="AU79" s="304"/>
      <c r="AV79" s="332"/>
      <c r="AW79" s="157">
        <f t="shared" ref="AW79:AW84" si="30">AU79*BC79</f>
        <v>0</v>
      </c>
      <c r="AY79" s="304"/>
      <c r="AZ79" s="522"/>
      <c r="BA79" s="332"/>
      <c r="BB79" s="476">
        <f>IF(AY79=0,0,AZ79/AY79)</f>
        <v>0</v>
      </c>
      <c r="BD79" s="304"/>
      <c r="BE79" s="332"/>
      <c r="BF79" s="157">
        <f>BD79*BL79</f>
        <v>0</v>
      </c>
    </row>
    <row r="80" spans="1:58" x14ac:dyDescent="0.35">
      <c r="A80" s="9168"/>
      <c r="B80" s="302"/>
      <c r="C80" s="59"/>
      <c r="D80" s="197"/>
      <c r="F80" s="61"/>
      <c r="G80" s="272"/>
      <c r="H80" s="62"/>
      <c r="I80" s="63"/>
      <c r="J80" s="523">
        <f>IF(H80=0,0,I80/H80)</f>
        <v>0</v>
      </c>
      <c r="L80" s="62"/>
      <c r="M80" s="157">
        <f>L80*J80</f>
        <v>0</v>
      </c>
      <c r="O80" s="62"/>
      <c r="P80" s="63"/>
      <c r="Q80" s="106"/>
      <c r="R80" s="476">
        <f>IF(O80=0,0,P80/O80)</f>
        <v>0</v>
      </c>
      <c r="T80" s="62"/>
      <c r="U80" s="106"/>
      <c r="V80" s="157">
        <f t="shared" si="27"/>
        <v>0</v>
      </c>
      <c r="X80" s="62"/>
      <c r="Y80" s="63"/>
      <c r="Z80" s="106"/>
      <c r="AA80" s="476">
        <f>IF(X80=0,0,Y80/X80)</f>
        <v>0</v>
      </c>
      <c r="AB80" s="1"/>
      <c r="AC80" s="62"/>
      <c r="AD80" s="106"/>
      <c r="AE80" s="157">
        <f t="shared" si="28"/>
        <v>0</v>
      </c>
      <c r="AF80" s="1"/>
      <c r="AG80" s="62"/>
      <c r="AH80" s="63"/>
      <c r="AI80" s="106"/>
      <c r="AJ80" s="476">
        <f>IF(AG80=0,0,AH80/AG80)</f>
        <v>0</v>
      </c>
      <c r="AL80" s="62"/>
      <c r="AM80" s="106"/>
      <c r="AN80" s="157">
        <f t="shared" si="29"/>
        <v>0</v>
      </c>
      <c r="AP80" s="62"/>
      <c r="AQ80" s="63"/>
      <c r="AR80" s="106"/>
      <c r="AS80" s="476">
        <f>IF(AP80=0,0,AQ80/AP80)</f>
        <v>0</v>
      </c>
      <c r="AU80" s="62"/>
      <c r="AV80" s="106"/>
      <c r="AW80" s="157">
        <f t="shared" si="30"/>
        <v>0</v>
      </c>
      <c r="AY80" s="62"/>
      <c r="AZ80" s="63"/>
      <c r="BA80" s="106"/>
      <c r="BB80" s="476">
        <f>IF(AY80=0,0,AZ80/AY80)</f>
        <v>0</v>
      </c>
      <c r="BD80" s="62"/>
      <c r="BE80" s="106"/>
      <c r="BF80" s="157">
        <f>BD80*BL80</f>
        <v>0</v>
      </c>
    </row>
    <row r="81" spans="1:58" x14ac:dyDescent="0.35">
      <c r="A81" s="9168"/>
      <c r="B81" s="305"/>
      <c r="C81" s="59"/>
      <c r="D81" s="197"/>
      <c r="F81" s="61"/>
      <c r="G81" s="272"/>
      <c r="H81" s="62"/>
      <c r="I81" s="63"/>
      <c r="J81" s="523">
        <f>IF(H81=0,0,I81/H81)</f>
        <v>0</v>
      </c>
      <c r="L81" s="62"/>
      <c r="M81" s="157">
        <f>L81*J81</f>
        <v>0</v>
      </c>
      <c r="O81" s="62"/>
      <c r="P81" s="63"/>
      <c r="Q81" s="106"/>
      <c r="R81" s="476">
        <f>IF(O81=0,0,P81/O81)</f>
        <v>0</v>
      </c>
      <c r="T81" s="62"/>
      <c r="U81" s="106"/>
      <c r="V81" s="157">
        <f t="shared" si="27"/>
        <v>0</v>
      </c>
      <c r="X81" s="62"/>
      <c r="Y81" s="63"/>
      <c r="Z81" s="106"/>
      <c r="AA81" s="476">
        <f>IF(X81=0,0,Y81/X81)</f>
        <v>0</v>
      </c>
      <c r="AB81" s="1"/>
      <c r="AC81" s="62"/>
      <c r="AD81" s="106"/>
      <c r="AE81" s="157">
        <f t="shared" si="28"/>
        <v>0</v>
      </c>
      <c r="AF81" s="1"/>
      <c r="AG81" s="62"/>
      <c r="AH81" s="63"/>
      <c r="AI81" s="106"/>
      <c r="AJ81" s="476">
        <f>IF(AG81=0,0,AH81/AG81)</f>
        <v>0</v>
      </c>
      <c r="AL81" s="62"/>
      <c r="AM81" s="106"/>
      <c r="AN81" s="157">
        <f t="shared" si="29"/>
        <v>0</v>
      </c>
      <c r="AP81" s="62"/>
      <c r="AQ81" s="63"/>
      <c r="AR81" s="106"/>
      <c r="AS81" s="476">
        <f>IF(AP81=0,0,AQ81/AP81)</f>
        <v>0</v>
      </c>
      <c r="AU81" s="62"/>
      <c r="AV81" s="106"/>
      <c r="AW81" s="157">
        <f t="shared" si="30"/>
        <v>0</v>
      </c>
      <c r="AY81" s="62"/>
      <c r="AZ81" s="63"/>
      <c r="BA81" s="106"/>
      <c r="BB81" s="476">
        <f>IF(AY81=0,0,AZ81/AY81)</f>
        <v>0</v>
      </c>
      <c r="BD81" s="62"/>
      <c r="BE81" s="106"/>
      <c r="BF81" s="157">
        <f>BD81*BL81</f>
        <v>0</v>
      </c>
    </row>
    <row r="82" spans="1:58" x14ac:dyDescent="0.35">
      <c r="A82" s="9168"/>
      <c r="B82" s="305"/>
      <c r="C82" s="526"/>
      <c r="D82" s="197"/>
      <c r="F82" s="77"/>
      <c r="G82" s="274"/>
      <c r="H82" s="78"/>
      <c r="I82" s="79"/>
      <c r="J82" s="1570"/>
      <c r="L82" s="78"/>
      <c r="M82" s="157"/>
      <c r="O82" s="78"/>
      <c r="P82" s="79"/>
      <c r="Q82" s="106"/>
      <c r="R82" s="476">
        <f>IF(O82=0,0,P82/O82)</f>
        <v>0</v>
      </c>
      <c r="T82" s="78"/>
      <c r="U82" s="106"/>
      <c r="V82" s="157">
        <f t="shared" si="27"/>
        <v>0</v>
      </c>
      <c r="X82" s="78"/>
      <c r="Y82" s="79"/>
      <c r="Z82" s="106"/>
      <c r="AA82" s="476">
        <f>IF(X82=0,0,Y82/X82)</f>
        <v>0</v>
      </c>
      <c r="AB82" s="1"/>
      <c r="AC82" s="78"/>
      <c r="AD82" s="106"/>
      <c r="AE82" s="157">
        <f t="shared" si="28"/>
        <v>0</v>
      </c>
      <c r="AF82" s="1"/>
      <c r="AG82" s="78"/>
      <c r="AH82" s="79"/>
      <c r="AI82" s="106"/>
      <c r="AJ82" s="476">
        <f>IF(AG82=0,0,AH82/AG82)</f>
        <v>0</v>
      </c>
      <c r="AL82" s="78"/>
      <c r="AM82" s="106"/>
      <c r="AN82" s="157">
        <f t="shared" si="29"/>
        <v>0</v>
      </c>
      <c r="AP82" s="78"/>
      <c r="AQ82" s="79"/>
      <c r="AR82" s="106"/>
      <c r="AS82" s="476">
        <f>IF(AP82=0,0,AQ82/AP82)</f>
        <v>0</v>
      </c>
      <c r="AU82" s="78"/>
      <c r="AV82" s="106"/>
      <c r="AW82" s="157">
        <f t="shared" si="30"/>
        <v>0</v>
      </c>
      <c r="AY82" s="78"/>
      <c r="AZ82" s="79"/>
      <c r="BA82" s="106"/>
      <c r="BB82" s="476">
        <f>IF(AY82=0,0,AZ82/AY82)</f>
        <v>0</v>
      </c>
      <c r="BD82" s="78"/>
      <c r="BE82" s="106"/>
      <c r="BF82" s="157">
        <f>BD82*BL82</f>
        <v>0</v>
      </c>
    </row>
    <row r="83" spans="1:58" x14ac:dyDescent="0.35">
      <c r="A83" s="9168"/>
      <c r="B83" s="305"/>
      <c r="C83" s="526"/>
      <c r="D83" s="197"/>
      <c r="F83" s="77"/>
      <c r="G83" s="274"/>
      <c r="H83" s="78"/>
      <c r="I83" s="79"/>
      <c r="J83" s="1570"/>
      <c r="L83" s="78"/>
      <c r="M83" s="157"/>
      <c r="O83" s="78"/>
      <c r="P83" s="79"/>
      <c r="Q83" s="106"/>
      <c r="R83" s="476"/>
      <c r="T83" s="78"/>
      <c r="U83" s="106"/>
      <c r="V83" s="157">
        <f t="shared" si="27"/>
        <v>0</v>
      </c>
      <c r="X83" s="78"/>
      <c r="Y83" s="79"/>
      <c r="Z83" s="106"/>
      <c r="AA83" s="476"/>
      <c r="AB83" s="1"/>
      <c r="AC83" s="78"/>
      <c r="AD83" s="106"/>
      <c r="AE83" s="157">
        <f t="shared" si="28"/>
        <v>0</v>
      </c>
      <c r="AF83" s="1"/>
      <c r="AG83" s="78"/>
      <c r="AH83" s="79"/>
      <c r="AI83" s="106"/>
      <c r="AJ83" s="476"/>
      <c r="AL83" s="78"/>
      <c r="AM83" s="106"/>
      <c r="AN83" s="157">
        <f t="shared" si="29"/>
        <v>0</v>
      </c>
      <c r="AP83" s="78"/>
      <c r="AQ83" s="79"/>
      <c r="AR83" s="106"/>
      <c r="AS83" s="476"/>
      <c r="AU83" s="78"/>
      <c r="AV83" s="106"/>
      <c r="AW83" s="157">
        <f t="shared" si="30"/>
        <v>0</v>
      </c>
      <c r="AY83" s="78"/>
      <c r="AZ83" s="79"/>
      <c r="BA83" s="106"/>
      <c r="BB83" s="476"/>
      <c r="BD83" s="78"/>
      <c r="BE83" s="106"/>
      <c r="BF83" s="157">
        <f>BD83*BL83</f>
        <v>0</v>
      </c>
    </row>
    <row r="84" spans="1:58" x14ac:dyDescent="0.35">
      <c r="A84" s="9169"/>
      <c r="B84" s="306"/>
      <c r="C84" s="86"/>
      <c r="D84" s="209"/>
      <c r="F84" s="88"/>
      <c r="G84" s="274"/>
      <c r="H84" s="89"/>
      <c r="I84" s="90"/>
      <c r="J84" s="527">
        <f>IF(H84=0,0,I84/H84)</f>
        <v>0</v>
      </c>
      <c r="L84" s="89"/>
      <c r="M84" s="213">
        <f>L84*J84</f>
        <v>0</v>
      </c>
      <c r="O84" s="89"/>
      <c r="P84" s="90"/>
      <c r="Q84" s="216"/>
      <c r="R84" s="3514"/>
      <c r="T84" s="89"/>
      <c r="U84" s="216"/>
      <c r="V84" s="213">
        <f t="shared" si="27"/>
        <v>0</v>
      </c>
      <c r="X84" s="89"/>
      <c r="Y84" s="90"/>
      <c r="Z84" s="216"/>
      <c r="AA84" s="3514"/>
      <c r="AB84" s="1"/>
      <c r="AC84" s="89"/>
      <c r="AD84" s="216"/>
      <c r="AE84" s="213">
        <f t="shared" si="28"/>
        <v>0</v>
      </c>
      <c r="AF84" s="1"/>
      <c r="AG84" s="89"/>
      <c r="AH84" s="90"/>
      <c r="AI84" s="216"/>
      <c r="AJ84" s="3514"/>
      <c r="AL84" s="89"/>
      <c r="AM84" s="216"/>
      <c r="AN84" s="213">
        <f t="shared" si="29"/>
        <v>0</v>
      </c>
      <c r="AP84" s="89"/>
      <c r="AQ84" s="90"/>
      <c r="AR84" s="216"/>
      <c r="AS84" s="3514"/>
      <c r="AU84" s="89"/>
      <c r="AV84" s="216"/>
      <c r="AW84" s="213">
        <f t="shared" si="30"/>
        <v>0</v>
      </c>
      <c r="AY84" s="89"/>
      <c r="AZ84" s="90"/>
      <c r="BA84" s="216"/>
      <c r="BB84" s="3514"/>
      <c r="BD84" s="89"/>
      <c r="BE84" s="216"/>
      <c r="BF84" s="213">
        <f>BD84*BL85</f>
        <v>0</v>
      </c>
    </row>
    <row r="85" spans="1:58" x14ac:dyDescent="0.35">
      <c r="A85" s="310"/>
      <c r="B85" s="310"/>
      <c r="F85" s="106"/>
      <c r="H85" s="106"/>
      <c r="I85" s="106"/>
      <c r="J85" s="558"/>
      <c r="L85" s="106"/>
      <c r="M85" s="106"/>
      <c r="N85" s="106"/>
      <c r="O85" s="106"/>
      <c r="P85" s="106"/>
      <c r="Q85"/>
      <c r="R85"/>
      <c r="S85"/>
      <c r="T85"/>
      <c r="U85"/>
      <c r="V85"/>
      <c r="W85"/>
      <c r="Y85" s="106"/>
      <c r="AH85" s="106"/>
      <c r="AQ85" s="106"/>
      <c r="AZ85" s="106"/>
    </row>
    <row r="86" spans="1:58" ht="14.5" customHeight="1" x14ac:dyDescent="0.35">
      <c r="A86" s="9226" t="s">
        <v>1114</v>
      </c>
      <c r="B86" s="317"/>
      <c r="C86" s="315"/>
      <c r="D86" s="184"/>
      <c r="F86" s="316"/>
      <c r="H86" s="317"/>
      <c r="I86" s="318"/>
      <c r="J86" s="3332"/>
      <c r="L86" s="317"/>
      <c r="M86" s="318"/>
      <c r="O86" s="320"/>
      <c r="P86" s="321"/>
      <c r="Q86" s="481" t="s">
        <v>1115</v>
      </c>
      <c r="R86" s="293"/>
      <c r="T86" s="317"/>
      <c r="U86" s="481" t="s">
        <v>1115</v>
      </c>
      <c r="V86" s="323"/>
      <c r="W86"/>
      <c r="X86" s="317"/>
      <c r="Y86" s="321"/>
      <c r="Z86" s="481" t="s">
        <v>1115</v>
      </c>
      <c r="AA86" s="293"/>
      <c r="AB86" s="1"/>
      <c r="AC86" s="317"/>
      <c r="AD86" s="481" t="s">
        <v>1115</v>
      </c>
      <c r="AE86" s="323"/>
      <c r="AG86" s="317"/>
      <c r="AH86" s="321"/>
      <c r="AI86" s="481" t="s">
        <v>1115</v>
      </c>
      <c r="AJ86" s="293"/>
      <c r="AL86" s="317"/>
      <c r="AM86" s="481" t="s">
        <v>1115</v>
      </c>
      <c r="AN86" s="323"/>
      <c r="AP86" s="317"/>
      <c r="AQ86" s="321"/>
      <c r="AR86" s="481" t="s">
        <v>1115</v>
      </c>
      <c r="AS86" s="293"/>
      <c r="AU86" s="317"/>
      <c r="AV86" s="481" t="s">
        <v>1115</v>
      </c>
      <c r="AW86" s="323"/>
      <c r="AY86" s="317"/>
      <c r="AZ86" s="321"/>
      <c r="BA86" s="481" t="s">
        <v>1115</v>
      </c>
      <c r="BB86" s="293"/>
      <c r="BD86" s="317"/>
      <c r="BE86" s="481" t="s">
        <v>1115</v>
      </c>
      <c r="BF86" s="323"/>
    </row>
    <row r="87" spans="1:58" x14ac:dyDescent="0.35">
      <c r="A87" s="9227"/>
      <c r="B87" s="325"/>
      <c r="C87" s="326" t="s">
        <v>11</v>
      </c>
      <c r="D87" s="197"/>
      <c r="F87" s="327"/>
      <c r="H87" s="325"/>
      <c r="I87" s="328"/>
      <c r="J87" s="3333"/>
      <c r="L87" s="325"/>
      <c r="M87" s="328"/>
      <c r="O87" s="339"/>
      <c r="P87" s="340"/>
      <c r="Q87" s="57"/>
      <c r="R87" s="3406"/>
      <c r="T87" s="339"/>
      <c r="U87" s="57"/>
      <c r="V87" s="1199"/>
      <c r="W87"/>
      <c r="X87" s="339"/>
      <c r="Y87" s="340"/>
      <c r="Z87" s="57"/>
      <c r="AA87" s="3406"/>
      <c r="AB87" s="1"/>
      <c r="AC87" s="339"/>
      <c r="AD87" s="57"/>
      <c r="AE87" s="1199"/>
      <c r="AG87" s="339"/>
      <c r="AH87" s="340"/>
      <c r="AI87" s="57"/>
      <c r="AJ87" s="3406"/>
      <c r="AL87" s="339"/>
      <c r="AM87" s="57"/>
      <c r="AN87" s="1199"/>
      <c r="AP87" s="339"/>
      <c r="AQ87" s="340"/>
      <c r="AR87" s="57"/>
      <c r="AS87" s="3406"/>
      <c r="AU87" s="339"/>
      <c r="AV87" s="57"/>
      <c r="AW87" s="1199"/>
      <c r="AY87" s="339"/>
      <c r="AZ87" s="340"/>
      <c r="BA87" s="57"/>
      <c r="BB87" s="3406"/>
      <c r="BD87" s="339"/>
      <c r="BE87" s="57"/>
      <c r="BF87" s="1199"/>
    </row>
    <row r="88" spans="1:58" x14ac:dyDescent="0.35">
      <c r="A88" s="9227"/>
      <c r="B88" s="330"/>
      <c r="C88" s="326" t="s">
        <v>1116</v>
      </c>
      <c r="D88" s="197"/>
      <c r="F88" s="336"/>
      <c r="H88" s="330"/>
      <c r="I88" s="337"/>
      <c r="J88" s="3333"/>
      <c r="L88" s="330"/>
      <c r="M88" s="337"/>
      <c r="O88" s="339"/>
      <c r="P88" s="340"/>
      <c r="Q88" s="106"/>
      <c r="R88" s="523"/>
      <c r="T88" s="330"/>
      <c r="U88" s="106"/>
      <c r="V88" s="1199"/>
      <c r="W88"/>
      <c r="X88" s="330"/>
      <c r="Y88" s="340"/>
      <c r="Z88" s="106"/>
      <c r="AA88" s="523"/>
      <c r="AB88" s="1"/>
      <c r="AC88" s="330"/>
      <c r="AD88" s="106"/>
      <c r="AE88" s="1199"/>
      <c r="AG88" s="330"/>
      <c r="AH88" s="340"/>
      <c r="AI88" s="106"/>
      <c r="AJ88" s="523"/>
      <c r="AL88" s="330"/>
      <c r="AM88" s="106"/>
      <c r="AN88" s="1199"/>
      <c r="AP88" s="330"/>
      <c r="AQ88" s="340"/>
      <c r="AR88" s="106"/>
      <c r="AS88" s="523"/>
      <c r="AU88" s="330"/>
      <c r="AV88" s="106"/>
      <c r="AW88" s="1199"/>
      <c r="AY88" s="330"/>
      <c r="AZ88" s="340"/>
      <c r="BA88" s="106"/>
      <c r="BB88" s="523"/>
      <c r="BD88" s="330"/>
      <c r="BE88" s="106"/>
      <c r="BF88" s="1199"/>
    </row>
    <row r="89" spans="1:58" x14ac:dyDescent="0.35">
      <c r="A89" s="9227"/>
      <c r="B89" s="330"/>
      <c r="C89" s="326"/>
      <c r="D89" s="197"/>
      <c r="F89" s="336"/>
      <c r="H89" s="330"/>
      <c r="I89" s="337"/>
      <c r="J89" s="3333"/>
      <c r="L89" s="330"/>
      <c r="M89" s="337"/>
      <c r="O89" s="339"/>
      <c r="P89" s="340"/>
      <c r="Q89" s="106"/>
      <c r="R89" s="523"/>
      <c r="T89" s="330"/>
      <c r="U89" s="106"/>
      <c r="V89" s="333"/>
      <c r="W89"/>
      <c r="X89" s="330"/>
      <c r="Y89" s="340"/>
      <c r="Z89" s="106"/>
      <c r="AA89" s="523"/>
      <c r="AB89" s="1"/>
      <c r="AC89" s="330"/>
      <c r="AD89" s="106"/>
      <c r="AE89" s="333"/>
      <c r="AG89" s="330"/>
      <c r="AH89" s="340"/>
      <c r="AI89" s="106"/>
      <c r="AJ89" s="523"/>
      <c r="AL89" s="330"/>
      <c r="AM89" s="106"/>
      <c r="AN89" s="333"/>
      <c r="AP89" s="330"/>
      <c r="AQ89" s="340"/>
      <c r="AR89" s="106"/>
      <c r="AS89" s="523"/>
      <c r="AU89" s="330"/>
      <c r="AV89" s="106"/>
      <c r="AW89" s="333"/>
      <c r="AY89" s="330"/>
      <c r="AZ89" s="340"/>
      <c r="BA89" s="106"/>
      <c r="BB89" s="523"/>
      <c r="BD89" s="330"/>
      <c r="BE89" s="106"/>
      <c r="BF89" s="333"/>
    </row>
    <row r="90" spans="1:58" x14ac:dyDescent="0.35">
      <c r="A90" s="9227"/>
      <c r="B90" s="330"/>
      <c r="C90" s="326"/>
      <c r="D90" s="197"/>
      <c r="F90" s="336"/>
      <c r="H90" s="330"/>
      <c r="I90" s="337"/>
      <c r="J90" s="3333"/>
      <c r="L90" s="330"/>
      <c r="M90" s="337"/>
      <c r="O90" s="339"/>
      <c r="P90" s="340"/>
      <c r="Q90" s="106"/>
      <c r="R90" s="523"/>
      <c r="T90" s="330"/>
      <c r="U90" s="106"/>
      <c r="V90" s="333"/>
      <c r="W90"/>
      <c r="X90" s="330"/>
      <c r="Y90" s="340"/>
      <c r="Z90" s="106"/>
      <c r="AA90" s="523"/>
      <c r="AB90" s="1"/>
      <c r="AC90" s="330"/>
      <c r="AD90" s="106"/>
      <c r="AE90" s="333"/>
      <c r="AG90" s="330"/>
      <c r="AH90" s="340"/>
      <c r="AI90" s="106"/>
      <c r="AJ90" s="523"/>
      <c r="AL90" s="330"/>
      <c r="AM90" s="106"/>
      <c r="AN90" s="333"/>
      <c r="AP90" s="330"/>
      <c r="AQ90" s="340"/>
      <c r="AR90" s="106"/>
      <c r="AS90" s="523"/>
      <c r="AU90" s="330"/>
      <c r="AV90" s="106"/>
      <c r="AW90" s="333"/>
      <c r="AY90" s="330"/>
      <c r="AZ90" s="340"/>
      <c r="BA90" s="106"/>
      <c r="BB90" s="523"/>
      <c r="BD90" s="330"/>
      <c r="BE90" s="106"/>
      <c r="BF90" s="333"/>
    </row>
    <row r="91" spans="1:58" x14ac:dyDescent="0.35">
      <c r="A91" s="9227"/>
      <c r="B91" s="330"/>
      <c r="C91" s="326"/>
      <c r="D91" s="197"/>
      <c r="F91" s="336"/>
      <c r="H91" s="330"/>
      <c r="I91" s="337"/>
      <c r="J91" s="3333"/>
      <c r="L91" s="330"/>
      <c r="M91" s="337"/>
      <c r="O91" s="339"/>
      <c r="P91" s="340"/>
      <c r="Q91" s="106"/>
      <c r="R91" s="523"/>
      <c r="T91" s="330"/>
      <c r="U91" s="106"/>
      <c r="V91" s="333"/>
      <c r="W91"/>
      <c r="X91" s="330"/>
      <c r="Y91" s="340"/>
      <c r="Z91" s="106"/>
      <c r="AA91" s="523"/>
      <c r="AB91" s="1"/>
      <c r="AC91" s="330"/>
      <c r="AD91" s="106"/>
      <c r="AE91" s="333"/>
      <c r="AG91" s="330"/>
      <c r="AH91" s="340"/>
      <c r="AI91" s="106"/>
      <c r="AJ91" s="523"/>
      <c r="AL91" s="330"/>
      <c r="AM91" s="106"/>
      <c r="AN91" s="333"/>
      <c r="AP91" s="330"/>
      <c r="AQ91" s="340"/>
      <c r="AR91" s="106"/>
      <c r="AS91" s="523"/>
      <c r="AU91" s="330"/>
      <c r="AV91" s="106"/>
      <c r="AW91" s="333"/>
      <c r="AY91" s="330"/>
      <c r="AZ91" s="340"/>
      <c r="BA91" s="106"/>
      <c r="BB91" s="523"/>
      <c r="BD91" s="330"/>
      <c r="BE91" s="106"/>
      <c r="BF91" s="333"/>
    </row>
    <row r="92" spans="1:58" x14ac:dyDescent="0.35">
      <c r="A92" s="9227"/>
      <c r="B92" s="330"/>
      <c r="C92" s="326"/>
      <c r="D92" s="197"/>
      <c r="F92" s="336"/>
      <c r="H92" s="330"/>
      <c r="I92" s="337"/>
      <c r="J92" s="3333"/>
      <c r="L92" s="330"/>
      <c r="M92" s="337"/>
      <c r="O92" s="339"/>
      <c r="P92" s="340"/>
      <c r="Q92" s="106"/>
      <c r="R92" s="523"/>
      <c r="T92" s="330"/>
      <c r="U92" s="106"/>
      <c r="V92" s="333"/>
      <c r="W92"/>
      <c r="X92" s="330"/>
      <c r="Y92" s="340"/>
      <c r="Z92" s="106"/>
      <c r="AA92" s="523"/>
      <c r="AB92" s="1"/>
      <c r="AC92" s="330"/>
      <c r="AD92" s="106"/>
      <c r="AE92" s="333"/>
      <c r="AG92" s="330"/>
      <c r="AH92" s="340"/>
      <c r="AI92" s="106"/>
      <c r="AJ92" s="523"/>
      <c r="AL92" s="330"/>
      <c r="AM92" s="106"/>
      <c r="AN92" s="333"/>
      <c r="AP92" s="330"/>
      <c r="AQ92" s="340"/>
      <c r="AR92" s="106"/>
      <c r="AS92" s="523"/>
      <c r="AU92" s="330"/>
      <c r="AV92" s="106"/>
      <c r="AW92" s="333"/>
      <c r="AY92" s="330"/>
      <c r="AZ92" s="340"/>
      <c r="BA92" s="106"/>
      <c r="BB92" s="523"/>
      <c r="BD92" s="330"/>
      <c r="BE92" s="106"/>
      <c r="BF92" s="333"/>
    </row>
    <row r="93" spans="1:58" x14ac:dyDescent="0.35">
      <c r="A93" s="9227"/>
      <c r="B93" s="330"/>
      <c r="C93" s="326"/>
      <c r="D93" s="197"/>
      <c r="F93" s="336"/>
      <c r="H93" s="330"/>
      <c r="I93" s="337"/>
      <c r="J93" s="3333"/>
      <c r="L93" s="330"/>
      <c r="M93" s="337"/>
      <c r="O93" s="339"/>
      <c r="P93" s="340"/>
      <c r="Q93" s="106"/>
      <c r="R93" s="523"/>
      <c r="T93" s="330"/>
      <c r="U93" s="106"/>
      <c r="V93" s="333"/>
      <c r="W93"/>
      <c r="X93" s="330"/>
      <c r="Y93" s="340"/>
      <c r="Z93" s="106"/>
      <c r="AA93" s="523"/>
      <c r="AB93" s="1"/>
      <c r="AC93" s="330"/>
      <c r="AD93" s="106"/>
      <c r="AE93" s="333"/>
      <c r="AG93" s="330"/>
      <c r="AH93" s="340"/>
      <c r="AI93" s="106"/>
      <c r="AJ93" s="523"/>
      <c r="AL93" s="330"/>
      <c r="AM93" s="106"/>
      <c r="AN93" s="333"/>
      <c r="AP93" s="330"/>
      <c r="AQ93" s="340"/>
      <c r="AR93" s="106"/>
      <c r="AS93" s="523"/>
      <c r="AU93" s="330"/>
      <c r="AV93" s="106"/>
      <c r="AW93" s="333"/>
      <c r="AY93" s="330"/>
      <c r="AZ93" s="340"/>
      <c r="BA93" s="106"/>
      <c r="BB93" s="523"/>
      <c r="BD93" s="330"/>
      <c r="BE93" s="106"/>
      <c r="BF93" s="333"/>
    </row>
    <row r="94" spans="1:58" x14ac:dyDescent="0.35">
      <c r="A94" s="9227"/>
      <c r="B94" s="330"/>
      <c r="C94" s="337"/>
      <c r="D94" s="197"/>
      <c r="F94" s="336"/>
      <c r="H94" s="330"/>
      <c r="I94" s="337"/>
      <c r="J94" s="3333"/>
      <c r="L94" s="330"/>
      <c r="M94" s="337"/>
      <c r="O94" s="339"/>
      <c r="P94" s="340"/>
      <c r="Q94" s="106"/>
      <c r="R94" s="523"/>
      <c r="T94" s="330"/>
      <c r="U94" s="106"/>
      <c r="V94" s="333"/>
      <c r="W94"/>
      <c r="X94" s="330"/>
      <c r="Y94" s="340"/>
      <c r="Z94" s="106"/>
      <c r="AA94" s="523"/>
      <c r="AB94" s="1"/>
      <c r="AC94" s="330"/>
      <c r="AD94" s="106"/>
      <c r="AE94" s="333"/>
      <c r="AG94" s="330"/>
      <c r="AH94" s="340"/>
      <c r="AI94" s="106"/>
      <c r="AJ94" s="523"/>
      <c r="AL94" s="330"/>
      <c r="AM94" s="106"/>
      <c r="AN94" s="333"/>
      <c r="AP94" s="330"/>
      <c r="AQ94" s="340"/>
      <c r="AR94" s="106"/>
      <c r="AS94" s="523"/>
      <c r="AU94" s="330"/>
      <c r="AV94" s="106"/>
      <c r="AW94" s="333"/>
      <c r="AY94" s="330"/>
      <c r="AZ94" s="340"/>
      <c r="BA94" s="106"/>
      <c r="BB94" s="523"/>
      <c r="BD94" s="330"/>
      <c r="BE94" s="106"/>
      <c r="BF94" s="333"/>
    </row>
    <row r="95" spans="1:58" x14ac:dyDescent="0.35">
      <c r="A95" s="9228"/>
      <c r="B95" s="341"/>
      <c r="C95" s="342"/>
      <c r="D95" s="209"/>
      <c r="F95" s="343"/>
      <c r="H95" s="341"/>
      <c r="I95" s="342"/>
      <c r="J95" s="3334"/>
      <c r="L95" s="341"/>
      <c r="M95" s="342"/>
      <c r="O95" s="345"/>
      <c r="P95" s="346"/>
      <c r="Q95" s="216"/>
      <c r="R95" s="527"/>
      <c r="T95" s="341"/>
      <c r="U95" s="216"/>
      <c r="V95" s="347"/>
      <c r="W95"/>
      <c r="X95" s="341"/>
      <c r="Y95" s="346"/>
      <c r="Z95" s="216"/>
      <c r="AA95" s="527"/>
      <c r="AB95" s="1"/>
      <c r="AC95" s="341"/>
      <c r="AD95" s="216"/>
      <c r="AE95" s="347"/>
      <c r="AG95" s="341"/>
      <c r="AH95" s="346"/>
      <c r="AI95" s="216"/>
      <c r="AJ95" s="527"/>
      <c r="AL95" s="341"/>
      <c r="AM95" s="216"/>
      <c r="AN95" s="347"/>
      <c r="AP95" s="341"/>
      <c r="AQ95" s="346"/>
      <c r="AR95" s="216"/>
      <c r="AS95" s="527"/>
      <c r="AU95" s="341"/>
      <c r="AV95" s="216"/>
      <c r="AW95" s="347"/>
      <c r="AY95" s="341"/>
      <c r="AZ95" s="346"/>
      <c r="BA95" s="216"/>
      <c r="BB95" s="527"/>
      <c r="BD95" s="341"/>
      <c r="BE95" s="216"/>
      <c r="BF95" s="347"/>
    </row>
    <row r="96" spans="1:58" x14ac:dyDescent="0.35">
      <c r="A96" s="310"/>
      <c r="B96" s="310"/>
      <c r="F96" s="106"/>
      <c r="H96" s="106"/>
      <c r="I96" s="106"/>
      <c r="J96" s="558"/>
      <c r="L96" s="106"/>
      <c r="M96" s="106"/>
      <c r="N96" s="106"/>
      <c r="O96" s="106"/>
      <c r="P96" s="106"/>
      <c r="Q96"/>
      <c r="R96"/>
      <c r="S96"/>
      <c r="T96"/>
      <c r="U96"/>
      <c r="V96"/>
      <c r="W96"/>
      <c r="Y96" s="106"/>
      <c r="AH96" s="106"/>
      <c r="AQ96" s="106"/>
      <c r="AZ96" s="106"/>
    </row>
    <row r="97" spans="1:58" ht="14.5" customHeight="1" x14ac:dyDescent="0.35">
      <c r="A97" s="9167" t="s">
        <v>566</v>
      </c>
      <c r="B97" s="139" t="s">
        <v>567</v>
      </c>
      <c r="C97" s="348"/>
      <c r="D97" s="49"/>
      <c r="E97" s="141"/>
      <c r="F97" s="227"/>
      <c r="G97" s="141"/>
      <c r="H97" s="102"/>
      <c r="I97" s="103"/>
      <c r="J97" s="228"/>
      <c r="K97" s="141"/>
      <c r="L97" s="102"/>
      <c r="M97" s="268"/>
      <c r="N97" s="141"/>
      <c r="O97" s="102"/>
      <c r="P97" s="2909"/>
      <c r="Q97" s="103"/>
      <c r="R97" s="869"/>
      <c r="T97" s="102"/>
      <c r="U97" s="103"/>
      <c r="V97" s="268"/>
      <c r="W97" s="141"/>
      <c r="X97" s="102"/>
      <c r="Y97" s="2909"/>
      <c r="Z97" s="103"/>
      <c r="AA97" s="869"/>
      <c r="AB97" s="1"/>
      <c r="AC97" s="102"/>
      <c r="AD97" s="103"/>
      <c r="AE97" s="268"/>
      <c r="AF97" s="141"/>
      <c r="AG97" s="102"/>
      <c r="AH97" s="2909"/>
      <c r="AI97" s="103"/>
      <c r="AJ97" s="869"/>
      <c r="AL97" s="102"/>
      <c r="AM97" s="103"/>
      <c r="AN97" s="268"/>
      <c r="AP97" s="102"/>
      <c r="AQ97" s="2909"/>
      <c r="AR97" s="103"/>
      <c r="AS97" s="869"/>
      <c r="AU97" s="102"/>
      <c r="AV97" s="103"/>
      <c r="AW97" s="268"/>
      <c r="AY97" s="102"/>
      <c r="AZ97" s="2909"/>
      <c r="BA97" s="103"/>
      <c r="BB97" s="869"/>
      <c r="BD97" s="102"/>
      <c r="BE97" s="103"/>
      <c r="BF97" s="268"/>
    </row>
    <row r="98" spans="1:58" x14ac:dyDescent="0.35">
      <c r="A98" s="9168"/>
      <c r="B98" s="6082"/>
      <c r="C98"/>
      <c r="D98" s="110" t="s">
        <v>568</v>
      </c>
      <c r="F98" s="349">
        <f>SUM(F35:F37)-SUM(F39:F41)</f>
        <v>729083</v>
      </c>
      <c r="G98" s="350"/>
      <c r="H98" s="351">
        <f>SUM(H35:H37)-SUM(H39:H41)</f>
        <v>1910868</v>
      </c>
      <c r="I98" s="352">
        <f>SUM(I35:I37)-SUM(I39:I41)</f>
        <v>1733548</v>
      </c>
      <c r="J98" s="246"/>
      <c r="K98" s="350"/>
      <c r="L98" s="351">
        <f>SUM(L35:L37)-SUM(L39:L41)</f>
        <v>0</v>
      </c>
      <c r="M98" s="353">
        <f>SUM(M35:M37)-SUM(M39:M41)</f>
        <v>0</v>
      </c>
      <c r="O98" s="351">
        <f>SUM(O35:O37)-SUM(O39:O41)</f>
        <v>1871224</v>
      </c>
      <c r="P98" s="352">
        <f>SUM(P35:P37)-SUM(P39:P41)</f>
        <v>1798665</v>
      </c>
      <c r="Q98" s="106"/>
      <c r="R98" s="476"/>
      <c r="T98" s="351">
        <f>SUM(T35:T37)-SUM(T39:T41)</f>
        <v>0</v>
      </c>
      <c r="U98" s="352"/>
      <c r="V98" s="353">
        <f>SUM(V35:V37)-SUM(V39:V41)</f>
        <v>0</v>
      </c>
      <c r="X98" s="351">
        <f>SUM(X35:X37)-SUM(X39:X41)</f>
        <v>3068626</v>
      </c>
      <c r="Y98" s="352">
        <f>SUM(Y35:Y37)-SUM(Y39:Y41)</f>
        <v>2762950</v>
      </c>
      <c r="Z98" s="106"/>
      <c r="AA98" s="476"/>
      <c r="AB98" s="1"/>
      <c r="AC98" s="351">
        <f>SUM(AC35:AC37)-SUM(AC39:AC41)</f>
        <v>0</v>
      </c>
      <c r="AD98" s="352"/>
      <c r="AE98" s="353">
        <f>SUM(AE35:AE37)-SUM(AE39:AE41)</f>
        <v>0</v>
      </c>
      <c r="AF98" s="1"/>
      <c r="AG98" s="351">
        <f>SUM(AG35:AG37)-SUM(AG39:AG41)</f>
        <v>0</v>
      </c>
      <c r="AH98" s="352">
        <f>SUM(AH35:AH37)-SUM(AH39:AH41)</f>
        <v>0</v>
      </c>
      <c r="AI98" s="106"/>
      <c r="AJ98" s="476"/>
      <c r="AL98" s="351">
        <f>SUM(AL35:AL37)-SUM(AL39:AL41)</f>
        <v>10931.687</v>
      </c>
      <c r="AM98" s="352"/>
      <c r="AN98" s="353">
        <f>SUM(AN35:AN37)-SUM(AN39:AN41)</f>
        <v>0</v>
      </c>
      <c r="AP98" s="351">
        <f>SUM(AP35:AP37)-SUM(AP39:AP41)</f>
        <v>10932</v>
      </c>
      <c r="AQ98" s="352">
        <f>SUM(AQ35:AQ37)-SUM(AQ39:AQ41)</f>
        <v>10852.524000000001</v>
      </c>
      <c r="AR98" s="106"/>
      <c r="AS98" s="476"/>
      <c r="AU98" s="351">
        <f>SUM(AU35:AU37)-SUM(AU39:AU41)</f>
        <v>8655.0730000000003</v>
      </c>
      <c r="AV98" s="352"/>
      <c r="AW98" s="353">
        <f>SUM(AW35:AW37)-SUM(AW39:AW41)</f>
        <v>8273.4539531005285</v>
      </c>
      <c r="AY98" s="351">
        <f>SUM(AY35:AY37)-SUM(AY39:AY41)</f>
        <v>8655.0730000000003</v>
      </c>
      <c r="AZ98" s="352">
        <f>SUM(AZ35:AZ37)-SUM(AZ39:AZ41)</f>
        <v>9497.2890000000007</v>
      </c>
      <c r="BA98" s="106"/>
      <c r="BB98" s="476"/>
      <c r="BD98" s="351">
        <f>SUM(BD35:BD37)-SUM(BD39:BD41)</f>
        <v>10537.673999999999</v>
      </c>
      <c r="BE98" s="352"/>
      <c r="BF98" s="353">
        <f>SUM(BF35:BF37)-SUM(BF39:BF41)</f>
        <v>12215.423571124236</v>
      </c>
    </row>
    <row r="99" spans="1:58" x14ac:dyDescent="0.35">
      <c r="A99" s="9168"/>
      <c r="B99" s="6082"/>
      <c r="C99"/>
      <c r="D99" s="110" t="s">
        <v>569</v>
      </c>
      <c r="F99" s="349">
        <f>SUM(F43:F57)</f>
        <v>1128481</v>
      </c>
      <c r="G99" s="350"/>
      <c r="H99" s="351">
        <f>SUM(H43:H57)</f>
        <v>1175807</v>
      </c>
      <c r="I99" s="352">
        <f>SUM(I43:I57)</f>
        <v>974646</v>
      </c>
      <c r="J99" s="246"/>
      <c r="K99" s="350"/>
      <c r="L99" s="351">
        <f>SUM(L43:L57)</f>
        <v>0</v>
      </c>
      <c r="M99" s="353">
        <f>SUM(M43:M57)</f>
        <v>0</v>
      </c>
      <c r="O99" s="351">
        <f>SUM(O43:O59)</f>
        <v>496493.79600000003</v>
      </c>
      <c r="P99" s="352">
        <f>SUM(P43:P59)</f>
        <v>271372.48199999996</v>
      </c>
      <c r="Q99" s="106"/>
      <c r="R99" s="476"/>
      <c r="T99" s="351">
        <f>SUM(T43:T59)</f>
        <v>0</v>
      </c>
      <c r="U99" s="352"/>
      <c r="V99" s="353">
        <f>SUM(V43:V59)</f>
        <v>0</v>
      </c>
      <c r="X99" s="351">
        <f>SUM(X43:X59)</f>
        <v>891252</v>
      </c>
      <c r="Y99" s="352">
        <f>SUM(Y43:Y59)</f>
        <v>597892</v>
      </c>
      <c r="Z99" s="106"/>
      <c r="AA99" s="476"/>
      <c r="AB99" s="1"/>
      <c r="AC99" s="351">
        <f>SUM(AC43:AC59)</f>
        <v>0</v>
      </c>
      <c r="AD99" s="352"/>
      <c r="AE99" s="353">
        <f>SUM(AE43:AE59)</f>
        <v>0</v>
      </c>
      <c r="AF99" s="1"/>
      <c r="AG99" s="351">
        <f>SUM(AG43:AG59)</f>
        <v>0</v>
      </c>
      <c r="AH99" s="352">
        <f>SUM(AH43:AH59)</f>
        <v>0</v>
      </c>
      <c r="AI99" s="106"/>
      <c r="AJ99" s="476"/>
      <c r="AL99" s="351">
        <f>SUM(AL43:AL59)</f>
        <v>0</v>
      </c>
      <c r="AM99" s="352"/>
      <c r="AN99" s="353">
        <f>SUM(AN43:AN59)</f>
        <v>0</v>
      </c>
      <c r="AP99" s="351">
        <f>SUM(AP43:AP59)</f>
        <v>0</v>
      </c>
      <c r="AQ99" s="352">
        <f>SUM(AQ43:AQ59)</f>
        <v>0</v>
      </c>
      <c r="AR99" s="106"/>
      <c r="AS99" s="476"/>
      <c r="AU99" s="351">
        <f>SUM(AU43:AU59)</f>
        <v>0</v>
      </c>
      <c r="AV99" s="352"/>
      <c r="AW99" s="353">
        <f>SUM(AW43:AW59)</f>
        <v>0</v>
      </c>
      <c r="AY99" s="351">
        <f>SUM(AY43:AY59)</f>
        <v>0</v>
      </c>
      <c r="AZ99" s="352">
        <f>SUM(AZ43:AZ59)</f>
        <v>0</v>
      </c>
      <c r="BA99" s="106"/>
      <c r="BB99" s="476"/>
      <c r="BD99" s="351">
        <f>SUM(BD43:BD59)</f>
        <v>0</v>
      </c>
      <c r="BE99" s="352"/>
      <c r="BF99" s="353">
        <f>SUM(BF43:BF59)</f>
        <v>0</v>
      </c>
    </row>
    <row r="100" spans="1:58" x14ac:dyDescent="0.35">
      <c r="A100" s="9168"/>
      <c r="B100" s="6082"/>
      <c r="C100"/>
      <c r="D100" s="110" t="s">
        <v>570</v>
      </c>
      <c r="F100" s="349">
        <f>SUM(F61:F68)*F28</f>
        <v>0</v>
      </c>
      <c r="G100" s="350"/>
      <c r="H100" s="351">
        <f>SUM(H61:H68)*H28</f>
        <v>0</v>
      </c>
      <c r="I100" s="352">
        <f>SUM(I61:I68)*I28</f>
        <v>0</v>
      </c>
      <c r="J100" s="246"/>
      <c r="K100" s="350"/>
      <c r="L100" s="351">
        <f>SUM(L61:L68)*L28</f>
        <v>0</v>
      </c>
      <c r="M100" s="353">
        <f>SUM(M61:M68)*M28</f>
        <v>0</v>
      </c>
      <c r="O100" s="351">
        <f>SUM(O61:O68)*O28</f>
        <v>0</v>
      </c>
      <c r="P100" s="352">
        <f>SUM(P61:P68)*P28</f>
        <v>0</v>
      </c>
      <c r="Q100" s="106"/>
      <c r="R100" s="476"/>
      <c r="T100" s="351">
        <f>SUM(T61:T68)*T28</f>
        <v>0</v>
      </c>
      <c r="U100" s="352"/>
      <c r="V100" s="353">
        <f>SUM(V61:V68)*V28</f>
        <v>0</v>
      </c>
      <c r="X100" s="351">
        <f>SUM(X61:X68)*X28</f>
        <v>0</v>
      </c>
      <c r="Y100" s="352">
        <f>SUM(Y61:Y68)*Y28</f>
        <v>0</v>
      </c>
      <c r="Z100" s="106"/>
      <c r="AA100" s="476"/>
      <c r="AB100" s="1"/>
      <c r="AC100" s="351">
        <f>SUM(AC61:AC68)*AC28</f>
        <v>0</v>
      </c>
      <c r="AD100" s="352"/>
      <c r="AE100" s="353">
        <f>SUM(AE61:AE68)*AE28</f>
        <v>0</v>
      </c>
      <c r="AF100" s="1"/>
      <c r="AG100" s="351">
        <f>SUM(AG61:AG68)*AG28</f>
        <v>0</v>
      </c>
      <c r="AH100" s="352">
        <f>SUM(AH61:AH68)*AH28</f>
        <v>0</v>
      </c>
      <c r="AI100" s="106"/>
      <c r="AJ100" s="476"/>
      <c r="AL100" s="351">
        <f>SUM(AL61:AL68)*AL28</f>
        <v>0</v>
      </c>
      <c r="AM100" s="352"/>
      <c r="AN100" s="353">
        <f>SUM(AN61:AN68)*AN28</f>
        <v>0</v>
      </c>
      <c r="AP100" s="351">
        <f>SUM(AP61:AP68)*AP28</f>
        <v>0</v>
      </c>
      <c r="AQ100" s="352">
        <f>SUM(AQ61:AQ68)*AQ28</f>
        <v>0</v>
      </c>
      <c r="AR100" s="106"/>
      <c r="AS100" s="476"/>
      <c r="AU100" s="351">
        <f>SUM(AU61:AU68)*AU28</f>
        <v>0</v>
      </c>
      <c r="AV100" s="352"/>
      <c r="AW100" s="353">
        <f>SUM(AW61:AW68)*AW28</f>
        <v>0</v>
      </c>
      <c r="AY100" s="351">
        <f>SUM(AY61:AY68)*AY28</f>
        <v>0</v>
      </c>
      <c r="AZ100" s="352">
        <f>SUM(AZ61:AZ68)*AZ28</f>
        <v>0</v>
      </c>
      <c r="BA100" s="106"/>
      <c r="BB100" s="476"/>
      <c r="BD100" s="351">
        <f>SUM(BD61:BD68)*BD28</f>
        <v>0</v>
      </c>
      <c r="BE100" s="352"/>
      <c r="BF100" s="353">
        <f>SUM(BF61:BF68)*BF28</f>
        <v>0</v>
      </c>
    </row>
    <row r="101" spans="1:58" x14ac:dyDescent="0.35">
      <c r="A101" s="9168"/>
      <c r="B101" s="6082"/>
      <c r="C101"/>
      <c r="D101" s="110" t="s">
        <v>552</v>
      </c>
      <c r="F101" s="349">
        <f>F70</f>
        <v>4107120</v>
      </c>
      <c r="G101" s="350"/>
      <c r="H101" s="351">
        <f>H70</f>
        <v>4120223.0697283302</v>
      </c>
      <c r="I101" s="352">
        <f>I70</f>
        <v>3904826</v>
      </c>
      <c r="J101" s="246"/>
      <c r="K101" s="350"/>
      <c r="L101" s="351">
        <f>L70</f>
        <v>0</v>
      </c>
      <c r="M101" s="353">
        <f>M70</f>
        <v>0</v>
      </c>
      <c r="O101" s="351">
        <f>O71+O72</f>
        <v>4321330.2039999999</v>
      </c>
      <c r="P101" s="352">
        <f>P71+P72</f>
        <v>5252225.5180000002</v>
      </c>
      <c r="Q101" s="106"/>
      <c r="R101" s="476"/>
      <c r="T101" s="351">
        <f>T71+T72</f>
        <v>0</v>
      </c>
      <c r="U101" s="352"/>
      <c r="V101" s="353">
        <f>V71+V72</f>
        <v>0</v>
      </c>
      <c r="X101" s="351">
        <f>X71+X72</f>
        <v>5352476</v>
      </c>
      <c r="Y101" s="352">
        <f>Y71+Y72</f>
        <v>5628012</v>
      </c>
      <c r="Z101" s="106"/>
      <c r="AA101" s="476"/>
      <c r="AB101" s="1"/>
      <c r="AC101" s="351">
        <f>AC71+AC72</f>
        <v>0</v>
      </c>
      <c r="AD101" s="352"/>
      <c r="AE101" s="353">
        <f>AE71+AE72</f>
        <v>0</v>
      </c>
      <c r="AF101" s="1"/>
      <c r="AG101" s="351">
        <f>AG71+AG72</f>
        <v>10924282</v>
      </c>
      <c r="AH101" s="352">
        <f>AH71+AH72</f>
        <v>0</v>
      </c>
      <c r="AI101" s="106"/>
      <c r="AJ101" s="476"/>
      <c r="AL101" s="351">
        <f>AL71+AL72</f>
        <v>0</v>
      </c>
      <c r="AM101" s="352"/>
      <c r="AN101" s="353">
        <f>AN71+AN72</f>
        <v>0</v>
      </c>
      <c r="AP101" s="351">
        <f>AP71+AP72</f>
        <v>0</v>
      </c>
      <c r="AQ101" s="352">
        <f>AQ71+AQ72</f>
        <v>0</v>
      </c>
      <c r="AR101" s="106"/>
      <c r="AS101" s="476"/>
      <c r="AU101" s="351">
        <f>AU71+AU72</f>
        <v>0</v>
      </c>
      <c r="AV101" s="352"/>
      <c r="AW101" s="353">
        <f>AW71+AW72</f>
        <v>0</v>
      </c>
      <c r="AY101" s="351">
        <f>AY71+AY72</f>
        <v>0</v>
      </c>
      <c r="AZ101" s="352">
        <f>AZ71+AZ72</f>
        <v>0</v>
      </c>
      <c r="BA101" s="106"/>
      <c r="BB101" s="476"/>
      <c r="BD101" s="351">
        <f>BD71+BD72</f>
        <v>0</v>
      </c>
      <c r="BE101" s="352"/>
      <c r="BF101" s="353">
        <f>BF71+BF72</f>
        <v>0</v>
      </c>
    </row>
    <row r="102" spans="1:58" ht="15" thickBot="1" x14ac:dyDescent="0.4">
      <c r="A102" s="9168"/>
      <c r="B102" s="6082"/>
      <c r="C102"/>
      <c r="D102" s="356" t="s">
        <v>571</v>
      </c>
      <c r="E102" s="143"/>
      <c r="F102" s="357">
        <f>SUM(F98:F101)</f>
        <v>5964684</v>
      </c>
      <c r="G102" s="358"/>
      <c r="H102" s="359">
        <f>SUM(H98:H101)</f>
        <v>7206898.0697283298</v>
      </c>
      <c r="I102" s="360">
        <f>SUM(I98:I101)</f>
        <v>6613020</v>
      </c>
      <c r="J102" s="361"/>
      <c r="K102" s="358"/>
      <c r="L102" s="359">
        <f>L77</f>
        <v>6689048</v>
      </c>
      <c r="M102" s="362">
        <f>M77</f>
        <v>6137842.9078611163</v>
      </c>
      <c r="N102" s="143"/>
      <c r="O102" s="359">
        <f>O77</f>
        <v>6689048</v>
      </c>
      <c r="P102" s="3572">
        <f>P77</f>
        <v>7301290</v>
      </c>
      <c r="Q102" s="106"/>
      <c r="R102" s="476"/>
      <c r="T102" s="359">
        <f>T77</f>
        <v>9312354</v>
      </c>
      <c r="U102" s="360"/>
      <c r="V102" s="362">
        <f>V77</f>
        <v>10209511.601786671</v>
      </c>
      <c r="W102" s="143"/>
      <c r="X102" s="359">
        <f>X77</f>
        <v>9312354</v>
      </c>
      <c r="Y102" s="3572">
        <f>Y77</f>
        <v>8988854</v>
      </c>
      <c r="Z102" s="106"/>
      <c r="AA102" s="476"/>
      <c r="AB102" s="1"/>
      <c r="AC102" s="359">
        <f>AC77</f>
        <v>10924282</v>
      </c>
      <c r="AD102" s="360"/>
      <c r="AE102" s="362">
        <f>AE77</f>
        <v>10482587.96597451</v>
      </c>
      <c r="AF102" s="143"/>
      <c r="AG102" s="359">
        <f>AG77</f>
        <v>10924282</v>
      </c>
      <c r="AH102" s="3572">
        <f>AH77</f>
        <v>0</v>
      </c>
      <c r="AI102" s="106"/>
      <c r="AJ102" s="476"/>
      <c r="AL102" s="359">
        <f>AL77</f>
        <v>10931.687</v>
      </c>
      <c r="AM102" s="360"/>
      <c r="AN102" s="362">
        <f>AN77</f>
        <v>10931.687</v>
      </c>
      <c r="AP102" s="359">
        <f>SUM(AP98:AP101)</f>
        <v>10932</v>
      </c>
      <c r="AQ102" s="360">
        <f>SUM(AQ98:AQ101)</f>
        <v>10852.524000000001</v>
      </c>
      <c r="AR102" s="106"/>
      <c r="AS102" s="476"/>
      <c r="AU102" s="359">
        <f>SUM(AU98:AU101)</f>
        <v>8655.0730000000003</v>
      </c>
      <c r="AV102" s="360"/>
      <c r="AW102" s="362">
        <f>SUM(AW98:AW101)</f>
        <v>8273.4539531005285</v>
      </c>
      <c r="AY102" s="359">
        <f>SUM(AY98:AY101)</f>
        <v>8655.0730000000003</v>
      </c>
      <c r="AZ102" s="360">
        <f>SUM(AZ98:AZ101)</f>
        <v>9497.2890000000007</v>
      </c>
      <c r="BA102" s="106"/>
      <c r="BB102" s="476"/>
      <c r="BD102" s="359">
        <f>SUM(BD98:BD101)</f>
        <v>10537.673999999999</v>
      </c>
      <c r="BE102" s="360"/>
      <c r="BF102" s="362">
        <f>SUM(BF98:BF101)</f>
        <v>12215.423571124236</v>
      </c>
    </row>
    <row r="103" spans="1:58" ht="19" thickBot="1" x14ac:dyDescent="0.5">
      <c r="A103" s="9168"/>
      <c r="B103" s="6082"/>
      <c r="C103"/>
      <c r="D103" s="356" t="s">
        <v>572</v>
      </c>
      <c r="F103" s="3573">
        <f>F102/(F18+F19)</f>
        <v>0.20204265273531638</v>
      </c>
      <c r="G103" s="3574"/>
      <c r="H103" s="3575">
        <f>H102/(H18+H19)</f>
        <v>0.18858798303956761</v>
      </c>
      <c r="I103" s="3576">
        <f>I102/(I18+I19)</f>
        <v>0.23776195667036043</v>
      </c>
      <c r="J103" s="3577"/>
      <c r="K103" s="3574"/>
      <c r="L103" s="3575">
        <f>L102/(L18+L19)</f>
        <v>0.19140634322193195</v>
      </c>
      <c r="M103" s="3578">
        <f>M102/(M18+M19)</f>
        <v>0.23859731184086311</v>
      </c>
      <c r="N103" s="3579"/>
      <c r="O103" s="3575">
        <f>O102/(O18+O19)</f>
        <v>0.19140634322193195</v>
      </c>
      <c r="P103" s="3576">
        <f>P102/(P18+P19)</f>
        <v>0.23143917146229037</v>
      </c>
      <c r="Q103" s="3580"/>
      <c r="R103" s="3581"/>
      <c r="S103" s="3579"/>
      <c r="T103" s="3575">
        <f>T102/(T18+T19)</f>
        <v>0.19701517697550505</v>
      </c>
      <c r="U103" s="3582"/>
      <c r="V103" s="3576">
        <f>V102/(V18+V19)</f>
        <v>0.23885118470721764</v>
      </c>
      <c r="X103" s="3575">
        <f>X102/(X18+X19)</f>
        <v>0.19470363112859018</v>
      </c>
      <c r="Y103" s="3576">
        <f>Y102/(Y18+Y19)</f>
        <v>0.21110822604114049</v>
      </c>
      <c r="Z103" s="3580"/>
      <c r="AA103" s="3581"/>
      <c r="AB103" s="3579"/>
      <c r="AC103" s="3575">
        <f>AC102/(AC18+AC19)</f>
        <v>0.21895838867782652</v>
      </c>
      <c r="AD103" s="3582"/>
      <c r="AE103" s="3576">
        <f>AE102/(AE18+AE19)</f>
        <v>0.23498673539469431</v>
      </c>
      <c r="AF103" s="1"/>
      <c r="AG103" s="3575">
        <f>AG102/(AG18+AG19)</f>
        <v>0.21895838867782652</v>
      </c>
      <c r="AH103" s="3576"/>
      <c r="AI103" s="3580"/>
      <c r="AJ103" s="3581"/>
      <c r="AL103" s="3575">
        <f>AL102/(AL18+AL19)</f>
        <v>0.1865243874139868</v>
      </c>
      <c r="AM103" s="3582"/>
      <c r="AN103" s="7898"/>
      <c r="AP103" s="7767">
        <f>AP102/(AP18+AP19)</f>
        <v>0.21069931588638149</v>
      </c>
      <c r="AQ103" s="7768">
        <f>AQ102/(AQ18+AQ19)</f>
        <v>0.19933984813028088</v>
      </c>
      <c r="AR103" s="6202"/>
      <c r="AS103" s="7769"/>
      <c r="AT103" s="3201"/>
      <c r="AU103" s="7767">
        <f>AU102/(AU18+AU19)</f>
        <v>0.19183372812773167</v>
      </c>
      <c r="AV103" s="7770"/>
      <c r="AW103" s="7771">
        <f>AW102/(AW18+AW19)</f>
        <v>0.17710871708120229</v>
      </c>
      <c r="AY103" s="7767">
        <f>AY102/(AY18+AY19)</f>
        <v>0.19869231486187616</v>
      </c>
      <c r="AZ103" s="7768">
        <f>AZ102/(AZ18+AZ19)</f>
        <v>0.223755890199868</v>
      </c>
      <c r="BA103" s="6202"/>
      <c r="BB103" s="7769"/>
      <c r="BC103" s="3201"/>
      <c r="BD103" s="7767">
        <f>BD102/(BD18+BD19)</f>
        <v>0.16802918344857831</v>
      </c>
      <c r="BE103" s="7770"/>
      <c r="BF103" s="7771">
        <f>BF102/(BF18+BF19)</f>
        <v>0.19872656620185733</v>
      </c>
    </row>
    <row r="104" spans="1:58" s="254" customFormat="1" x14ac:dyDescent="0.35">
      <c r="A104" s="9168"/>
      <c r="B104" s="3186"/>
      <c r="C104" s="3187"/>
      <c r="D104" s="1741" t="s">
        <v>573</v>
      </c>
      <c r="E104" s="3188"/>
      <c r="F104" s="3583"/>
      <c r="G104" s="3423"/>
      <c r="H104" s="3419"/>
      <c r="I104" s="3420"/>
      <c r="J104" s="3422"/>
      <c r="K104" s="3423"/>
      <c r="L104" s="3419">
        <f>L75</f>
        <v>4949322</v>
      </c>
      <c r="M104" s="3425"/>
      <c r="N104" s="235"/>
      <c r="O104" s="3419">
        <f>O75</f>
        <v>4949322</v>
      </c>
      <c r="P104" s="3420">
        <f>P75</f>
        <v>5256033</v>
      </c>
      <c r="Q104" s="106"/>
      <c r="R104" s="3584"/>
      <c r="S104" s="235"/>
      <c r="T104" s="3419">
        <f>T75</f>
        <v>6496089</v>
      </c>
      <c r="U104" s="3421"/>
      <c r="V104" s="3585">
        <f>V75</f>
        <v>6898653.6246655611</v>
      </c>
      <c r="W104" s="235"/>
      <c r="X104" s="3419">
        <f>X75</f>
        <v>6496089</v>
      </c>
      <c r="Y104" s="3420">
        <f>Y75</f>
        <v>6506140</v>
      </c>
      <c r="Z104" s="106"/>
      <c r="AA104" s="3584"/>
      <c r="AB104" s="235"/>
      <c r="AC104" s="3419">
        <f>AC75</f>
        <v>7102154</v>
      </c>
      <c r="AD104" s="3421"/>
      <c r="AE104" s="3585">
        <f>AE75</f>
        <v>7113142.7271947786</v>
      </c>
      <c r="AF104" s="235"/>
      <c r="AG104" s="3419">
        <f>AG75</f>
        <v>7102154</v>
      </c>
      <c r="AH104" s="3420">
        <f>AH75</f>
        <v>0</v>
      </c>
      <c r="AI104" s="106"/>
      <c r="AJ104" s="3584"/>
      <c r="AL104" s="3419">
        <f>AL75</f>
        <v>7227.8329999999996</v>
      </c>
      <c r="AM104" s="3421"/>
      <c r="AN104" s="6203">
        <f>AN75</f>
        <v>7227.8329999999996</v>
      </c>
      <c r="AP104" s="3419">
        <f>AP75</f>
        <v>7228</v>
      </c>
      <c r="AQ104" s="3420">
        <f>AQ75</f>
        <v>6730.87</v>
      </c>
      <c r="AR104" s="106"/>
      <c r="AS104" s="3584"/>
      <c r="AU104" s="3419">
        <f>AU75</f>
        <v>7478.1009999999997</v>
      </c>
      <c r="AV104" s="3421"/>
      <c r="AW104" s="6203">
        <f>AW75</f>
        <v>7478.1009999999997</v>
      </c>
      <c r="AY104" s="3419">
        <f>AY75</f>
        <v>7478.1009999999997</v>
      </c>
      <c r="AZ104" s="3420">
        <f>AZ75</f>
        <v>7632.24</v>
      </c>
      <c r="BA104" s="106"/>
      <c r="BB104" s="3584"/>
      <c r="BD104" s="3419">
        <f>BD75</f>
        <v>7948.0720000000001</v>
      </c>
      <c r="BE104" s="3421"/>
      <c r="BF104" s="6203">
        <f>BF75</f>
        <v>8111.8980662711037</v>
      </c>
    </row>
    <row r="105" spans="1:58" s="972" customFormat="1" x14ac:dyDescent="0.35">
      <c r="A105" s="9168"/>
      <c r="B105" s="959"/>
      <c r="C105" s="3586"/>
      <c r="D105" s="389" t="s">
        <v>574</v>
      </c>
      <c r="E105" s="961"/>
      <c r="F105" s="3587"/>
      <c r="G105" s="3588"/>
      <c r="H105" s="3589"/>
      <c r="I105" s="3590"/>
      <c r="J105" s="3591"/>
      <c r="K105" s="3588"/>
      <c r="L105" s="3589">
        <f>L76</f>
        <v>1739726</v>
      </c>
      <c r="M105" s="3592"/>
      <c r="N105" s="3588"/>
      <c r="O105" s="3589">
        <f>O76</f>
        <v>1739726</v>
      </c>
      <c r="P105" s="3590">
        <f>P76</f>
        <v>2045257</v>
      </c>
      <c r="Q105" s="3593"/>
      <c r="R105" s="3591"/>
      <c r="S105" s="3588"/>
      <c r="T105" s="3594">
        <f>T76</f>
        <v>2816265</v>
      </c>
      <c r="U105" s="3595"/>
      <c r="V105" s="3592">
        <f>V76</f>
        <v>3310857.9771211101</v>
      </c>
      <c r="W105" s="3596"/>
      <c r="X105" s="3594">
        <f>X76</f>
        <v>2816265</v>
      </c>
      <c r="Y105" s="3590">
        <f>Y76</f>
        <v>2482714</v>
      </c>
      <c r="Z105" s="3593"/>
      <c r="AA105" s="3591"/>
      <c r="AB105" s="3588"/>
      <c r="AC105" s="3594">
        <f>AC76</f>
        <v>3822128</v>
      </c>
      <c r="AD105" s="3595"/>
      <c r="AE105" s="3592">
        <f>AE76</f>
        <v>3369445.2387797316</v>
      </c>
      <c r="AF105" s="3596"/>
      <c r="AG105" s="3594">
        <f>AG76</f>
        <v>3822128</v>
      </c>
      <c r="AH105" s="3590">
        <f>AH76</f>
        <v>0</v>
      </c>
      <c r="AI105" s="3593"/>
      <c r="AJ105" s="3591"/>
      <c r="AL105" s="3594">
        <f>AL76</f>
        <v>3703.8539999999998</v>
      </c>
      <c r="AM105" s="3595"/>
      <c r="AN105" s="3592">
        <f>AN76</f>
        <v>3703.8539999999998</v>
      </c>
      <c r="AP105" s="6204">
        <f>AP76</f>
        <v>3704</v>
      </c>
      <c r="AQ105" s="6205">
        <f>AQ76</f>
        <v>4121.6540000000005</v>
      </c>
      <c r="AR105" s="6206"/>
      <c r="AS105" s="6207"/>
      <c r="AT105"/>
      <c r="AU105" s="6204">
        <f>AU76</f>
        <v>1176.972</v>
      </c>
      <c r="AV105" s="6208"/>
      <c r="AW105" s="6209">
        <f>AW76</f>
        <v>1176.972</v>
      </c>
      <c r="AY105" s="6204">
        <f>AY76</f>
        <v>1176.972</v>
      </c>
      <c r="AZ105" s="6205">
        <f>AZ76</f>
        <v>1865.049</v>
      </c>
      <c r="BA105" s="6206"/>
      <c r="BB105" s="6207"/>
      <c r="BC105"/>
      <c r="BD105" s="6204">
        <f>BD76</f>
        <v>2589.6019999999999</v>
      </c>
      <c r="BE105" s="6208"/>
      <c r="BF105" s="6209">
        <f>BF76</f>
        <v>4103.5255048531317</v>
      </c>
    </row>
    <row r="106" spans="1:58" s="3201" customFormat="1" x14ac:dyDescent="0.35">
      <c r="A106" s="9168"/>
      <c r="B106" s="3193"/>
      <c r="C106" s="3194"/>
      <c r="D106" s="3195" t="s">
        <v>575</v>
      </c>
      <c r="E106" s="3196"/>
      <c r="F106" s="3597"/>
      <c r="G106" s="3598"/>
      <c r="H106" s="3599"/>
      <c r="I106" s="3600"/>
      <c r="J106" s="3601"/>
      <c r="K106" s="3598"/>
      <c r="L106" s="3599">
        <f>(L102-L104)/L19</f>
        <v>0.11443813831921916</v>
      </c>
      <c r="M106" s="3602"/>
      <c r="N106" s="3603"/>
      <c r="O106" s="3599">
        <f>(O102-O104)/O19</f>
        <v>0.11443813831921916</v>
      </c>
      <c r="P106" s="3600">
        <f>(P102-P104)/P19</f>
        <v>0.14761987627616505</v>
      </c>
      <c r="Q106" s="3604"/>
      <c r="R106" s="476"/>
      <c r="S106" s="3603"/>
      <c r="T106" s="3599">
        <f>(T102-T104)/T19</f>
        <v>0.11058583419599315</v>
      </c>
      <c r="V106" s="3605">
        <f>(V102-V104)/V19</f>
        <v>0.14265058311567611</v>
      </c>
      <c r="W106" s="3603"/>
      <c r="X106" s="3599">
        <f>X105/X19</f>
        <v>0.10596133708216558</v>
      </c>
      <c r="Y106" s="3600">
        <f>Y105/Y19</f>
        <v>0.11384493734734859</v>
      </c>
      <c r="Z106" s="3604"/>
      <c r="AA106" s="476"/>
      <c r="AB106" s="3603"/>
      <c r="AC106" s="3599">
        <f>(AC102-AC104)/AC19</f>
        <v>0.1442457787256301</v>
      </c>
      <c r="AE106" s="3605">
        <f>(AE102-AE104)/AE19</f>
        <v>0.1549777691924086</v>
      </c>
      <c r="AF106" s="3603"/>
      <c r="AG106" s="3599">
        <f>AG105/AG19</f>
        <v>0.1442457787256301</v>
      </c>
      <c r="AH106" s="3600" t="e">
        <f>AH105/AH19</f>
        <v>#DIV/0!</v>
      </c>
      <c r="AI106" s="3604"/>
      <c r="AJ106" s="476"/>
      <c r="AL106" s="3599">
        <f>(AL102-AL104)/AL19</f>
        <v>0.12350033210361634</v>
      </c>
      <c r="AN106" s="3605">
        <f>(AN102-AN104)/AN19</f>
        <v>0.12350033210361634</v>
      </c>
      <c r="AP106" s="3599">
        <f>AP105/AP19</f>
        <v>0.13978766917270533</v>
      </c>
      <c r="AQ106" s="3600">
        <f>AQ105/AQ19</f>
        <v>0.14293111123495045</v>
      </c>
      <c r="AR106" s="3604"/>
      <c r="AS106" s="476"/>
      <c r="AU106" s="3599">
        <f>AU105/AU19</f>
        <v>7.3317838835209093E-2</v>
      </c>
      <c r="AW106" s="3605">
        <f>AW105/AW19</f>
        <v>6.680082771429656E-2</v>
      </c>
      <c r="AY106" s="3599">
        <f>AY105/AY19</f>
        <v>7.3317838835209093E-2</v>
      </c>
      <c r="AZ106" s="3600">
        <f>AZ105/AZ19</f>
        <v>0.11452227046563594</v>
      </c>
      <c r="BA106" s="3604"/>
      <c r="BB106" s="476"/>
      <c r="BD106" s="3599">
        <f>BD105/BD19</f>
        <v>8.9928848402880374E-2</v>
      </c>
      <c r="BF106" s="3605">
        <f>BF105/BF19</f>
        <v>0.14046862350383499</v>
      </c>
    </row>
    <row r="107" spans="1:58" s="3201" customFormat="1" x14ac:dyDescent="0.35">
      <c r="A107" s="9168"/>
      <c r="B107" s="3193"/>
      <c r="C107" s="3194"/>
      <c r="D107" s="3195" t="s">
        <v>576</v>
      </c>
      <c r="E107" s="3196"/>
      <c r="F107" s="3597"/>
      <c r="G107" s="3598"/>
      <c r="H107" s="3599"/>
      <c r="I107" s="3600"/>
      <c r="J107" s="3601"/>
      <c r="K107" s="3598"/>
      <c r="L107" s="3599">
        <f>L104/L18</f>
        <v>0.25066814744891985</v>
      </c>
      <c r="M107" s="3602"/>
      <c r="N107" s="3603"/>
      <c r="O107" s="3599">
        <f>O104/O18</f>
        <v>0.25066814744891985</v>
      </c>
      <c r="P107" s="3600">
        <f>P104/P18</f>
        <v>0.29707773654864078</v>
      </c>
      <c r="Q107" s="3604"/>
      <c r="R107" s="476"/>
      <c r="S107" s="3603"/>
      <c r="T107" s="3599">
        <f>T104/T18</f>
        <v>0.2979801023943951</v>
      </c>
      <c r="V107" s="3605">
        <f>V104/V18</f>
        <v>0.35314919448989046</v>
      </c>
      <c r="W107" s="3603"/>
      <c r="X107" s="3599">
        <f>X104/X18</f>
        <v>0.30569656521014632</v>
      </c>
      <c r="Y107" s="3600">
        <f>Y104/Y18</f>
        <v>0.31322424929379222</v>
      </c>
      <c r="Z107" s="3604"/>
      <c r="AA107" s="476"/>
      <c r="AB107" s="3603"/>
      <c r="AC107" s="3599">
        <f>AC104/AC18</f>
        <v>0.3035794065634308</v>
      </c>
      <c r="AE107" s="3605">
        <f>AE104/AE18</f>
        <v>0.3110549562652708</v>
      </c>
      <c r="AF107" s="3603"/>
      <c r="AG107" s="3599">
        <f>AG104/AG18</f>
        <v>0.3035794065634308</v>
      </c>
      <c r="AH107" s="3600" t="e">
        <f>AH104/AH18</f>
        <v>#DIV/0!</v>
      </c>
      <c r="AI107" s="3604"/>
      <c r="AJ107" s="476"/>
      <c r="AL107" s="3599">
        <f>AL104/AL18</f>
        <v>0.25257448114104242</v>
      </c>
      <c r="AN107" s="3605">
        <f>AN104/AN18</f>
        <v>0.2724622782941537</v>
      </c>
      <c r="AP107" s="3599">
        <f>AP104/AP18</f>
        <v>0.28471226689970952</v>
      </c>
      <c r="AQ107" s="3600">
        <f>AQ104/AQ18</f>
        <v>0.26286634751344568</v>
      </c>
      <c r="AR107" s="3604"/>
      <c r="AS107" s="476"/>
      <c r="AU107" s="3599">
        <f>AU104/AU18</f>
        <v>0.25729270282953121</v>
      </c>
      <c r="AW107" s="3605">
        <f>AW104/AW18</f>
        <v>0.25702479702429931</v>
      </c>
      <c r="AY107" s="3599">
        <f>AY104/AY18</f>
        <v>0.27186006412146363</v>
      </c>
      <c r="AZ107" s="3600">
        <f>AZ104/AZ18</f>
        <v>0.2917590187571984</v>
      </c>
      <c r="BA107" s="3604"/>
      <c r="BB107" s="476"/>
      <c r="BD107" s="3599">
        <f>BD104/BD18</f>
        <v>0.23433726245668315</v>
      </c>
      <c r="BF107" s="3605">
        <f>BF104/BF18</f>
        <v>0.25148971392158248</v>
      </c>
    </row>
    <row r="108" spans="1:58" x14ac:dyDescent="0.35">
      <c r="A108" s="9168"/>
      <c r="B108" s="58"/>
      <c r="C108" s="390"/>
      <c r="D108" s="59"/>
      <c r="E108" s="392"/>
      <c r="F108" s="393"/>
      <c r="G108" s="392"/>
      <c r="H108" s="394"/>
      <c r="I108" s="395"/>
      <c r="J108" s="229"/>
      <c r="K108" s="392"/>
      <c r="L108" s="394"/>
      <c r="M108" s="977"/>
      <c r="O108" s="394"/>
      <c r="P108" s="395"/>
      <c r="Q108" s="106"/>
      <c r="R108" s="476"/>
      <c r="T108" s="394"/>
      <c r="U108"/>
      <c r="V108" s="1736"/>
      <c r="X108" s="394"/>
      <c r="Y108" s="395"/>
      <c r="Z108" s="106"/>
      <c r="AA108" s="476"/>
      <c r="AB108" s="1"/>
      <c r="AC108" s="394"/>
      <c r="AE108" s="1736"/>
      <c r="AF108" s="1"/>
      <c r="AG108" s="394"/>
      <c r="AH108" s="395"/>
      <c r="AI108" s="106"/>
      <c r="AJ108" s="476"/>
      <c r="AL108" s="394"/>
      <c r="AN108" s="1736"/>
      <c r="AP108" s="394"/>
      <c r="AQ108" s="395"/>
      <c r="AR108" s="106"/>
      <c r="AS108" s="476"/>
      <c r="AU108" s="394"/>
      <c r="AW108" s="1736"/>
      <c r="AY108" s="394"/>
      <c r="AZ108" s="395"/>
      <c r="BA108" s="106"/>
      <c r="BB108" s="476"/>
      <c r="BD108" s="394"/>
      <c r="BF108" s="1736"/>
    </row>
    <row r="109" spans="1:58" s="3201" customFormat="1" x14ac:dyDescent="0.35">
      <c r="A109" s="9168"/>
      <c r="B109" s="3193"/>
      <c r="C109" s="3194"/>
      <c r="D109" s="3195" t="s">
        <v>577</v>
      </c>
      <c r="E109" s="3196"/>
      <c r="F109" s="3197"/>
      <c r="G109" s="3196"/>
      <c r="H109" s="3198"/>
      <c r="I109" s="3199"/>
      <c r="J109" s="3200"/>
      <c r="K109" s="3196"/>
      <c r="L109" s="3198"/>
      <c r="M109" s="3607"/>
      <c r="N109" s="3603"/>
      <c r="O109" s="3198"/>
      <c r="P109" s="3199"/>
      <c r="Q109" s="3604"/>
      <c r="R109" s="476"/>
      <c r="S109" s="3603"/>
      <c r="T109" s="3198"/>
      <c r="V109" s="3202"/>
      <c r="W109" s="3603"/>
      <c r="X109" s="3198"/>
      <c r="Y109" s="3199"/>
      <c r="Z109" s="3604"/>
      <c r="AA109" s="476"/>
      <c r="AB109" s="3603"/>
      <c r="AC109" s="3198"/>
      <c r="AE109" s="3202"/>
      <c r="AF109" s="3603"/>
      <c r="AG109" s="3198"/>
      <c r="AH109" s="3199"/>
      <c r="AI109" s="3604"/>
      <c r="AJ109" s="476"/>
      <c r="AL109" s="3198"/>
      <c r="AN109" s="3202"/>
      <c r="AP109" s="3198"/>
      <c r="AQ109" s="3199"/>
      <c r="AR109" s="3604"/>
      <c r="AS109" s="476"/>
      <c r="AU109" s="3198"/>
      <c r="AW109" s="3202"/>
      <c r="AY109" s="3198"/>
      <c r="AZ109" s="3199"/>
      <c r="BA109" s="3604"/>
      <c r="BB109" s="476"/>
      <c r="BD109" s="3198"/>
      <c r="BF109" s="3202"/>
    </row>
    <row r="110" spans="1:58" s="254" customFormat="1" x14ac:dyDescent="0.35">
      <c r="A110" s="9168"/>
      <c r="B110" s="1739"/>
      <c r="C110" s="1740"/>
      <c r="D110" s="3608" t="s">
        <v>578</v>
      </c>
      <c r="E110" s="1742"/>
      <c r="F110" s="2966"/>
      <c r="G110" s="1742"/>
      <c r="H110" s="572"/>
      <c r="I110" s="1993"/>
      <c r="J110" s="247"/>
      <c r="K110" s="1742"/>
      <c r="L110" s="572"/>
      <c r="M110" s="3434"/>
      <c r="N110" s="235"/>
      <c r="O110" s="572"/>
      <c r="P110" s="1993"/>
      <c r="Q110" s="106"/>
      <c r="R110" s="543"/>
      <c r="S110" s="235"/>
      <c r="T110" s="572"/>
      <c r="V110" s="3203"/>
      <c r="W110" s="235"/>
      <c r="X110" s="572"/>
      <c r="Y110" s="1993"/>
      <c r="Z110" s="106"/>
      <c r="AA110" s="543"/>
      <c r="AB110" s="235"/>
      <c r="AC110" s="572"/>
      <c r="AE110" s="3203"/>
      <c r="AF110" s="235"/>
      <c r="AG110" s="572"/>
      <c r="AH110" s="1993"/>
      <c r="AI110" s="106"/>
      <c r="AJ110" s="543"/>
      <c r="AL110" s="572"/>
      <c r="AN110" s="3203"/>
      <c r="AP110" s="572"/>
      <c r="AQ110" s="1993"/>
      <c r="AR110" s="106"/>
      <c r="AS110" s="543"/>
      <c r="AU110" s="572"/>
      <c r="AW110" s="3203"/>
      <c r="AY110" s="572"/>
      <c r="AZ110" s="1993"/>
      <c r="BA110" s="106"/>
      <c r="BB110" s="543"/>
      <c r="BD110" s="572"/>
      <c r="BF110" s="3203"/>
    </row>
    <row r="111" spans="1:58" s="3201" customFormat="1" x14ac:dyDescent="0.35">
      <c r="A111" s="9168"/>
      <c r="B111" s="3193"/>
      <c r="C111" s="3194"/>
      <c r="D111" s="3195" t="s">
        <v>579</v>
      </c>
      <c r="E111" s="3196"/>
      <c r="F111" s="3197"/>
      <c r="G111" s="3196"/>
      <c r="H111" s="3198"/>
      <c r="I111" s="3199"/>
      <c r="J111" s="3200"/>
      <c r="K111" s="3196"/>
      <c r="L111" s="3198"/>
      <c r="M111" s="3607"/>
      <c r="N111" s="3603"/>
      <c r="O111" s="3198"/>
      <c r="P111" s="3199"/>
      <c r="Q111" s="3604"/>
      <c r="R111" s="476"/>
      <c r="S111" s="3603"/>
      <c r="T111" s="3198"/>
      <c r="V111" s="3202"/>
      <c r="W111" s="3603"/>
      <c r="X111" s="3198"/>
      <c r="Y111" s="3199"/>
      <c r="Z111" s="3604"/>
      <c r="AA111" s="476"/>
      <c r="AB111" s="3603"/>
      <c r="AC111" s="3198"/>
      <c r="AE111" s="3202"/>
      <c r="AF111" s="3603"/>
      <c r="AG111" s="3198"/>
      <c r="AH111" s="3199"/>
      <c r="AI111" s="3604"/>
      <c r="AJ111" s="476"/>
      <c r="AL111" s="3198"/>
      <c r="AN111" s="3202"/>
      <c r="AP111" s="3198"/>
      <c r="AQ111" s="3199"/>
      <c r="AR111" s="3604"/>
      <c r="AS111" s="476"/>
      <c r="AU111" s="3198"/>
      <c r="AW111" s="3202"/>
      <c r="AY111" s="3198"/>
      <c r="AZ111" s="3199"/>
      <c r="BA111" s="3604"/>
      <c r="BB111" s="476"/>
      <c r="BD111" s="3198"/>
      <c r="BF111" s="3202"/>
    </row>
    <row r="112" spans="1:58" x14ac:dyDescent="0.35">
      <c r="A112" s="9168"/>
      <c r="B112" s="58"/>
      <c r="C112" s="390"/>
      <c r="D112" s="59"/>
      <c r="E112" s="392"/>
      <c r="F112" s="393"/>
      <c r="G112" s="392"/>
      <c r="H112" s="394"/>
      <c r="I112" s="395"/>
      <c r="J112" s="229"/>
      <c r="K112" s="392"/>
      <c r="L112" s="394"/>
      <c r="M112" s="977"/>
      <c r="O112" s="394"/>
      <c r="P112" s="395"/>
      <c r="Q112" s="106"/>
      <c r="R112" s="476"/>
      <c r="T112" s="394"/>
      <c r="U112"/>
      <c r="V112" s="1736"/>
      <c r="X112" s="394"/>
      <c r="Y112" s="395"/>
      <c r="Z112" s="106"/>
      <c r="AA112" s="476"/>
      <c r="AB112" s="1"/>
      <c r="AC112" s="394"/>
      <c r="AE112" s="1736"/>
      <c r="AF112" s="1"/>
      <c r="AG112" s="394"/>
      <c r="AH112" s="395"/>
      <c r="AI112" s="106"/>
      <c r="AJ112" s="476"/>
      <c r="AL112" s="394"/>
      <c r="AN112" s="1736"/>
      <c r="AP112" s="394"/>
      <c r="AQ112" s="395"/>
      <c r="AR112" s="106"/>
      <c r="AS112" s="476"/>
      <c r="AU112" s="394"/>
      <c r="AW112" s="1736"/>
      <c r="AY112" s="394"/>
      <c r="AZ112" s="395"/>
      <c r="BA112" s="106"/>
      <c r="BB112" s="476"/>
      <c r="BD112" s="394"/>
      <c r="BF112" s="1736"/>
    </row>
    <row r="113" spans="1:58" s="3201" customFormat="1" x14ac:dyDescent="0.35">
      <c r="A113" s="9168"/>
      <c r="B113" s="3193"/>
      <c r="C113" s="3194"/>
      <c r="D113" s="3195" t="s">
        <v>580</v>
      </c>
      <c r="E113" s="3205"/>
      <c r="F113" s="3609"/>
      <c r="G113" s="3610"/>
      <c r="H113" s="3611"/>
      <c r="I113" s="3612"/>
      <c r="J113" s="246"/>
      <c r="K113" s="3610"/>
      <c r="L113" s="3611"/>
      <c r="M113" s="3613"/>
      <c r="N113" s="3603"/>
      <c r="O113" s="3611"/>
      <c r="P113" s="3612"/>
      <c r="Q113" s="3604"/>
      <c r="R113" s="246"/>
      <c r="S113" s="3614"/>
      <c r="T113" s="3611"/>
      <c r="U113" s="221"/>
      <c r="V113" s="3615"/>
      <c r="W113" s="3603"/>
      <c r="X113" s="3611"/>
      <c r="Y113" s="3612"/>
      <c r="Z113" s="3604"/>
      <c r="AA113" s="246"/>
      <c r="AB113" s="3614"/>
      <c r="AC113" s="3611"/>
      <c r="AD113" s="221"/>
      <c r="AE113" s="3615"/>
      <c r="AF113" s="3603"/>
      <c r="AG113" s="3611"/>
      <c r="AH113" s="3612"/>
      <c r="AI113" s="3604"/>
      <c r="AJ113" s="246"/>
      <c r="AL113" s="3611"/>
      <c r="AM113" s="221"/>
      <c r="AN113" s="3615"/>
      <c r="AP113" s="3611"/>
      <c r="AQ113" s="3612"/>
      <c r="AR113" s="3604"/>
      <c r="AS113" s="246"/>
      <c r="AU113" s="3611"/>
      <c r="AV113" s="221"/>
      <c r="AW113" s="3615"/>
      <c r="AY113" s="3611"/>
      <c r="AZ113" s="3612"/>
      <c r="BA113" s="3604"/>
      <c r="BB113" s="246"/>
      <c r="BD113" s="3611"/>
      <c r="BE113" s="221"/>
      <c r="BF113" s="3615"/>
    </row>
    <row r="114" spans="1:58" s="3201" customFormat="1" x14ac:dyDescent="0.35">
      <c r="A114" s="9169"/>
      <c r="B114" s="3212"/>
      <c r="C114" s="3213"/>
      <c r="D114" s="1977" t="s">
        <v>581</v>
      </c>
      <c r="E114" s="3214"/>
      <c r="F114" s="702"/>
      <c r="G114" s="3616"/>
      <c r="H114" s="704"/>
      <c r="I114" s="705"/>
      <c r="J114" s="988"/>
      <c r="K114" s="3616"/>
      <c r="L114" s="704"/>
      <c r="M114" s="708"/>
      <c r="N114" s="3603"/>
      <c r="O114" s="704"/>
      <c r="P114" s="705"/>
      <c r="Q114" s="3617"/>
      <c r="R114" s="3514"/>
      <c r="S114" s="3618"/>
      <c r="T114" s="704"/>
      <c r="U114" s="989"/>
      <c r="V114" s="3619"/>
      <c r="W114" s="3603"/>
      <c r="X114" s="704"/>
      <c r="Y114" s="705"/>
      <c r="Z114" s="3617"/>
      <c r="AA114" s="3514"/>
      <c r="AB114" s="3618"/>
      <c r="AC114" s="704"/>
      <c r="AD114" s="989"/>
      <c r="AE114" s="3619"/>
      <c r="AF114" s="3603"/>
      <c r="AG114" s="704"/>
      <c r="AH114" s="705"/>
      <c r="AI114" s="3617"/>
      <c r="AJ114" s="3514"/>
      <c r="AL114" s="704"/>
      <c r="AM114" s="989"/>
      <c r="AN114" s="3619"/>
      <c r="AP114" s="704"/>
      <c r="AQ114" s="705"/>
      <c r="AR114" s="3617"/>
      <c r="AS114" s="3514"/>
      <c r="AU114" s="704"/>
      <c r="AV114" s="989"/>
      <c r="AW114" s="3619"/>
      <c r="AY114" s="704"/>
      <c r="AZ114" s="705"/>
      <c r="BA114" s="3617"/>
      <c r="BB114" s="3514"/>
      <c r="BD114" s="704"/>
      <c r="BE114" s="989"/>
      <c r="BF114" s="3619"/>
    </row>
    <row r="115" spans="1:58" s="449" customFormat="1" ht="15.5" x14ac:dyDescent="0.35">
      <c r="C115" s="450"/>
      <c r="D115" s="450"/>
      <c r="E115" s="450"/>
      <c r="F115" s="451"/>
      <c r="G115" s="450"/>
      <c r="H115" s="451"/>
      <c r="I115" s="451"/>
      <c r="J115" s="452"/>
      <c r="K115" s="450"/>
      <c r="L115" s="451">
        <f>((L102-L104)/L102)</f>
        <v>0.26008574015315783</v>
      </c>
      <c r="M115" s="451"/>
      <c r="N115" s="453"/>
      <c r="O115" s="451">
        <f>((O102-O104)/O102)</f>
        <v>0.26008574015315783</v>
      </c>
      <c r="P115" s="451">
        <f>((P102-P104)/P102)</f>
        <v>0.28012269064781703</v>
      </c>
      <c r="Q115" s="454"/>
      <c r="R115" s="454"/>
      <c r="S115" s="454"/>
      <c r="T115" s="451">
        <f>((T102-T104)/T102)</f>
        <v>0.30242245945547175</v>
      </c>
      <c r="U115" s="454"/>
      <c r="V115" s="451">
        <f>((V102-V104)/V102)</f>
        <v>0.32429151425242592</v>
      </c>
      <c r="W115" s="454"/>
      <c r="X115" s="451">
        <f>((X102-X104)/X102)</f>
        <v>0.30242245945547175</v>
      </c>
      <c r="Y115" s="451">
        <f>((Y102-Y104)/Y102)</f>
        <v>0.27619916843682185</v>
      </c>
      <c r="Z115" s="454"/>
      <c r="AA115" s="454"/>
      <c r="AB115" s="454"/>
      <c r="AC115" s="451">
        <f>((AC102-AC104)/AC102)</f>
        <v>0.34987452722293327</v>
      </c>
      <c r="AD115" s="454"/>
      <c r="AE115" s="451">
        <f>((AE102-AE104)/AE102)</f>
        <v>0.32143257463868963</v>
      </c>
      <c r="AF115" s="454"/>
      <c r="AG115" s="451">
        <f>((AG102-AG104)/AG102)</f>
        <v>0.34987452722293327</v>
      </c>
      <c r="AH115" s="451" t="e">
        <f>((AH102-AH104)/AH102)</f>
        <v>#DIV/0!</v>
      </c>
      <c r="AI115" s="454"/>
      <c r="AJ115" s="454"/>
      <c r="AL115" s="451">
        <f>((AL102-AL104)/AL102)</f>
        <v>0.338818153135925</v>
      </c>
      <c r="AM115" s="454"/>
      <c r="AN115" s="451">
        <f>((AN102-AN104)/AN102)</f>
        <v>0.338818153135925</v>
      </c>
      <c r="AP115" s="451">
        <f>((AP102-AP104)/AP102)</f>
        <v>0.33882180753750457</v>
      </c>
      <c r="AQ115" s="451">
        <f>((AQ102-AQ104)/AQ102)</f>
        <v>0.37978759595463701</v>
      </c>
      <c r="AR115" s="454"/>
      <c r="AS115" s="454"/>
      <c r="AU115" s="451">
        <f>((AU102-AU104)/AU102)</f>
        <v>0.13598637469608871</v>
      </c>
      <c r="AV115" s="454"/>
      <c r="AW115" s="451">
        <f>((AW102-AW104)/AW102)</f>
        <v>9.6133121379428879E-2</v>
      </c>
      <c r="AY115" s="451">
        <f>((AY102-AY104)/AY102)</f>
        <v>0.13598637469608871</v>
      </c>
      <c r="AZ115" s="451">
        <f>((AZ102-AZ104)/AZ102)</f>
        <v>0.19637698715917781</v>
      </c>
      <c r="BA115" s="454"/>
      <c r="BB115" s="454"/>
      <c r="BD115" s="451">
        <f>((BD102-BD104)/BD102)</f>
        <v>0.24574702159129228</v>
      </c>
      <c r="BE115" s="454"/>
      <c r="BF115" s="451">
        <f>((BF102-BF104)/BF102)</f>
        <v>0.33592985793414187</v>
      </c>
    </row>
    <row r="116" spans="1:58" s="462" customFormat="1" ht="15.25" customHeight="1" x14ac:dyDescent="0.35">
      <c r="A116" s="455" t="s">
        <v>582</v>
      </c>
      <c r="B116" s="455"/>
      <c r="C116" s="456"/>
      <c r="D116" s="456"/>
      <c r="E116" s="457"/>
      <c r="F116" s="458"/>
      <c r="G116" s="456"/>
      <c r="H116" s="458"/>
      <c r="I116" s="458"/>
      <c r="J116" s="459"/>
      <c r="K116" s="456"/>
      <c r="L116" s="458" t="str">
        <f>IF(L104+L105=L102,"ok","erreur total")</f>
        <v>ok</v>
      </c>
      <c r="M116" s="458"/>
      <c r="N116" s="460"/>
      <c r="O116" s="458" t="str">
        <f>IF(O104+O105=O102,"ok","erreur total")</f>
        <v>ok</v>
      </c>
      <c r="P116" s="458" t="str">
        <f>IF(P104+P105=P102,"ok","erreur total")</f>
        <v>ok</v>
      </c>
      <c r="Q116" s="461"/>
      <c r="R116" s="461"/>
      <c r="S116" s="461"/>
      <c r="T116" s="458" t="str">
        <f>IF(T104+T105=T102,"ok","erreur total")</f>
        <v>ok</v>
      </c>
      <c r="U116" s="458"/>
      <c r="V116" s="458" t="str">
        <f>IF(V104+V105=V102,"ok","erreur total")</f>
        <v>ok</v>
      </c>
      <c r="W116" s="461"/>
      <c r="X116" s="458" t="str">
        <f>IF(X104+X105=X102,"ok","erreur total")</f>
        <v>ok</v>
      </c>
      <c r="Y116" s="458" t="str">
        <f>IF(Y104+Y105=Y102,"ok","erreur total")</f>
        <v>ok</v>
      </c>
      <c r="Z116" s="461"/>
      <c r="AA116" s="461"/>
      <c r="AB116" s="461"/>
      <c r="AC116" s="458" t="str">
        <f>IF(AC104+AC105=AC102,"ok","erreur total")</f>
        <v>ok</v>
      </c>
      <c r="AD116" s="458"/>
      <c r="AE116" s="458" t="str">
        <f>IF(AE104+AE105=AE102,"ok","erreur total")</f>
        <v>ok</v>
      </c>
      <c r="AF116" s="461"/>
      <c r="AG116" s="458" t="str">
        <f>IF(AG104+AG105=AG102,"ok","erreur total")</f>
        <v>ok</v>
      </c>
      <c r="AH116" s="458" t="str">
        <f>IF(AH104+AH105=AH102,"ok","erreur total")</f>
        <v>ok</v>
      </c>
      <c r="AI116" s="461"/>
      <c r="AJ116" s="461"/>
      <c r="AL116" s="458" t="str">
        <f>IF(AL104+AL105=AL102,"ok","erreur total")</f>
        <v>ok</v>
      </c>
      <c r="AM116" s="458"/>
      <c r="AN116" s="458" t="str">
        <f>IF(AN104+AN105=AN102,"ok","erreur total")</f>
        <v>ok</v>
      </c>
      <c r="AP116" s="458" t="str">
        <f>IF(AP104+AP105=AP102,"ok","erreur total")</f>
        <v>ok</v>
      </c>
      <c r="AQ116" s="458" t="str">
        <f>IF(AQ104+AQ105=AQ102,"ok","erreur total")</f>
        <v>ok</v>
      </c>
      <c r="AR116" s="461"/>
      <c r="AS116" s="461"/>
      <c r="AU116" s="458" t="str">
        <f>IF(AU104+AU105=AU102,"ok","erreur total")</f>
        <v>ok</v>
      </c>
      <c r="AV116" s="458"/>
      <c r="AW116" s="458" t="str">
        <f>IF(AW104+AW105=AW102,"ok","erreur total")</f>
        <v>erreur total</v>
      </c>
      <c r="AY116" s="458" t="str">
        <f>IF(AY104+AY105=AY102,"ok","erreur total")</f>
        <v>ok</v>
      </c>
      <c r="AZ116" s="458" t="str">
        <f>IF(AZ104+AZ105=AZ102,"ok","erreur total")</f>
        <v>ok</v>
      </c>
      <c r="BA116" s="461"/>
      <c r="BB116" s="461"/>
      <c r="BD116" s="458" t="str">
        <f>IF(BD104+BD105=BD102,"ok","erreur total")</f>
        <v>ok</v>
      </c>
      <c r="BE116" s="458"/>
      <c r="BF116" s="458" t="str">
        <f>IF(BF104+BF105=BF102,"ok","erreur total")</f>
        <v>ok</v>
      </c>
    </row>
    <row r="117" spans="1:58" s="462" customFormat="1" ht="12" customHeight="1" x14ac:dyDescent="0.35">
      <c r="A117" s="463">
        <v>1</v>
      </c>
      <c r="B117" s="464"/>
      <c r="D117" s="709"/>
      <c r="E117" s="466"/>
      <c r="F117" s="466"/>
      <c r="G117" s="466"/>
      <c r="H117" s="466"/>
      <c r="I117" s="466"/>
      <c r="J117" s="467"/>
      <c r="K117" s="466"/>
      <c r="L117" s="466"/>
      <c r="M117" s="466"/>
      <c r="N117" s="456"/>
      <c r="O117" s="352"/>
      <c r="P117" s="352"/>
      <c r="Q117" s="352"/>
      <c r="R117" s="221"/>
      <c r="S117" s="350"/>
      <c r="W117" s="456"/>
    </row>
    <row r="118" spans="1:58" s="462" customFormat="1" x14ac:dyDescent="0.35">
      <c r="A118" s="468">
        <v>2</v>
      </c>
      <c r="B118" s="469"/>
      <c r="D118" s="2"/>
      <c r="E118" s="456"/>
      <c r="F118" s="456"/>
      <c r="G118" s="456"/>
      <c r="H118" s="459"/>
      <c r="I118" s="459"/>
      <c r="J118" s="7"/>
      <c r="K118" s="456"/>
      <c r="L118" s="462" t="s">
        <v>1099</v>
      </c>
      <c r="N118" s="456"/>
      <c r="O118" s="360"/>
      <c r="P118" s="360"/>
      <c r="Q118" s="360"/>
      <c r="R118" s="3621"/>
      <c r="S118" s="358"/>
      <c r="W118" s="456"/>
    </row>
    <row r="119" spans="1:58" s="462" customFormat="1" ht="15.5" x14ac:dyDescent="0.35">
      <c r="A119" s="463">
        <v>3</v>
      </c>
      <c r="B119" s="469"/>
      <c r="D119" s="2"/>
      <c r="E119" s="456"/>
      <c r="F119" s="456"/>
      <c r="G119" s="456"/>
      <c r="H119" s="459"/>
      <c r="I119" s="459"/>
      <c r="J119" s="7"/>
      <c r="K119" s="456"/>
      <c r="N119" s="456"/>
      <c r="O119" s="562"/>
      <c r="P119" s="562"/>
      <c r="Q119" s="562"/>
      <c r="R119" s="562"/>
      <c r="S119" s="560"/>
      <c r="W119" s="456"/>
    </row>
    <row r="120" spans="1:58" s="462" customFormat="1" x14ac:dyDescent="0.35">
      <c r="A120" s="468">
        <v>4</v>
      </c>
      <c r="B120" s="469"/>
      <c r="D120" s="2"/>
      <c r="E120" s="456"/>
      <c r="F120" s="456"/>
      <c r="G120" s="456"/>
      <c r="H120" s="459"/>
      <c r="I120" s="459"/>
      <c r="J120" s="7"/>
      <c r="K120" s="456"/>
      <c r="N120" s="456"/>
      <c r="O120" s="3622"/>
      <c r="P120" s="3622"/>
      <c r="Q120" s="352"/>
      <c r="R120" s="3622"/>
      <c r="S120" s="958"/>
      <c r="W120" s="456"/>
    </row>
    <row r="121" spans="1:58" s="462" customFormat="1" x14ac:dyDescent="0.35">
      <c r="A121" s="463">
        <v>5</v>
      </c>
      <c r="B121" s="469"/>
      <c r="D121" s="2"/>
      <c r="E121" s="456"/>
      <c r="F121" s="456"/>
      <c r="G121" s="456"/>
      <c r="H121" s="459"/>
      <c r="I121" s="459"/>
      <c r="J121" s="7"/>
      <c r="K121" s="456"/>
      <c r="N121" s="456"/>
      <c r="O121"/>
      <c r="P121"/>
      <c r="Q121"/>
      <c r="R121"/>
      <c r="S121" s="392"/>
      <c r="W121" s="456"/>
    </row>
    <row r="122" spans="1:58" s="462" customFormat="1" ht="12" x14ac:dyDescent="0.3">
      <c r="A122" s="468">
        <v>6</v>
      </c>
      <c r="B122" s="469"/>
      <c r="D122" s="2"/>
      <c r="E122" s="456"/>
      <c r="F122" s="456"/>
      <c r="G122" s="456"/>
      <c r="H122" s="459"/>
      <c r="I122" s="459"/>
      <c r="J122" s="7"/>
      <c r="K122" s="456"/>
      <c r="N122" s="456"/>
      <c r="O122" s="985"/>
      <c r="P122" s="985"/>
      <c r="Q122" s="985"/>
      <c r="R122" s="221"/>
      <c r="S122" s="982"/>
      <c r="W122" s="456"/>
    </row>
    <row r="123" spans="1:58" s="462" customFormat="1" ht="12" x14ac:dyDescent="0.3">
      <c r="A123" s="463">
        <v>7</v>
      </c>
      <c r="B123" s="469"/>
      <c r="D123" s="2"/>
      <c r="E123" s="456"/>
      <c r="F123" s="456"/>
      <c r="G123" s="456"/>
      <c r="H123" s="459"/>
      <c r="I123" s="459"/>
      <c r="J123" s="7"/>
      <c r="K123" s="456"/>
      <c r="N123" s="456"/>
      <c r="O123" s="3622"/>
      <c r="P123" s="3622"/>
      <c r="Q123" s="3622"/>
      <c r="R123" s="3623"/>
      <c r="S123" s="460"/>
      <c r="W123" s="456"/>
    </row>
    <row r="124" spans="1:58" s="462" customFormat="1" ht="12" x14ac:dyDescent="0.3">
      <c r="A124" s="468">
        <v>8</v>
      </c>
      <c r="B124" s="469"/>
      <c r="D124" s="2"/>
      <c r="E124" s="456"/>
      <c r="F124" s="456"/>
      <c r="G124" s="456"/>
      <c r="H124" s="459"/>
      <c r="I124" s="459"/>
      <c r="J124" s="7"/>
      <c r="K124" s="456"/>
      <c r="N124" s="456"/>
      <c r="O124" s="456"/>
      <c r="P124" s="456"/>
      <c r="Q124" s="456"/>
      <c r="R124" s="456"/>
      <c r="S124" s="456"/>
      <c r="T124" s="456"/>
      <c r="U124" s="456"/>
      <c r="V124" s="456"/>
      <c r="W124" s="456"/>
    </row>
    <row r="125" spans="1:58" s="462" customFormat="1" ht="12" x14ac:dyDescent="0.3">
      <c r="A125" s="463">
        <v>9</v>
      </c>
      <c r="B125" s="469"/>
      <c r="D125" s="2"/>
      <c r="E125" s="456"/>
      <c r="F125" s="456"/>
      <c r="G125" s="456"/>
      <c r="H125" s="459"/>
      <c r="I125" s="459"/>
      <c r="J125" s="7"/>
      <c r="K125" s="456"/>
      <c r="N125" s="456"/>
      <c r="O125" s="456"/>
      <c r="P125" s="456"/>
      <c r="Q125" s="456"/>
      <c r="R125" s="456"/>
      <c r="S125" s="456"/>
      <c r="T125" s="456"/>
      <c r="U125" s="456"/>
      <c r="V125" s="456"/>
      <c r="W125" s="456"/>
    </row>
    <row r="126" spans="1:58" s="462" customFormat="1" ht="12" x14ac:dyDescent="0.3">
      <c r="A126" s="468"/>
      <c r="B126" s="469"/>
      <c r="D126" s="2"/>
      <c r="E126" s="456"/>
      <c r="F126" s="456"/>
      <c r="G126" s="456"/>
      <c r="H126" s="459"/>
      <c r="I126" s="459"/>
      <c r="J126" s="7"/>
      <c r="K126" s="456"/>
      <c r="N126" s="456"/>
      <c r="O126" s="456"/>
      <c r="P126" s="456"/>
      <c r="Q126" s="456"/>
      <c r="R126" s="456"/>
      <c r="S126" s="456"/>
      <c r="T126" s="456"/>
      <c r="U126" s="456"/>
      <c r="V126" s="456"/>
      <c r="W126" s="456"/>
    </row>
    <row r="127" spans="1:58" s="462" customFormat="1" ht="12" x14ac:dyDescent="0.3">
      <c r="A127" s="468"/>
      <c r="B127" s="469"/>
      <c r="D127" s="2"/>
      <c r="E127" s="456"/>
      <c r="F127" s="456"/>
      <c r="G127" s="456"/>
      <c r="H127" s="459"/>
      <c r="I127" s="459"/>
      <c r="J127" s="7"/>
      <c r="K127" s="456"/>
      <c r="N127" s="456"/>
      <c r="O127" s="456"/>
      <c r="P127" s="456"/>
      <c r="Q127" s="456"/>
      <c r="R127" s="456"/>
      <c r="S127" s="456"/>
      <c r="T127" s="456"/>
      <c r="U127" s="456"/>
      <c r="V127" s="456"/>
      <c r="W127" s="456"/>
    </row>
    <row r="128" spans="1:58" s="462" customFormat="1" ht="12" x14ac:dyDescent="0.3">
      <c r="A128" s="468"/>
      <c r="B128" s="469"/>
      <c r="D128" s="2"/>
      <c r="E128" s="456"/>
      <c r="F128" s="456"/>
      <c r="G128" s="456"/>
      <c r="H128" s="459"/>
      <c r="I128" s="459"/>
      <c r="J128" s="7"/>
      <c r="K128" s="456"/>
      <c r="N128" s="456"/>
      <c r="O128" s="456"/>
      <c r="P128" s="456"/>
      <c r="Q128" s="456"/>
      <c r="R128" s="456"/>
      <c r="S128" s="456"/>
      <c r="T128" s="456"/>
      <c r="U128" s="456"/>
      <c r="V128" s="456"/>
      <c r="W128" s="456"/>
    </row>
    <row r="129" spans="1:23" s="462" customFormat="1" ht="12" x14ac:dyDescent="0.3">
      <c r="A129" s="468"/>
      <c r="B129" s="469"/>
      <c r="D129" s="2"/>
      <c r="E129" s="456"/>
      <c r="F129" s="456"/>
      <c r="G129" s="456"/>
      <c r="H129" s="459"/>
      <c r="I129" s="459"/>
      <c r="J129" s="7"/>
      <c r="K129" s="456"/>
      <c r="N129" s="456"/>
      <c r="O129" s="456"/>
      <c r="P129" s="456"/>
      <c r="Q129" s="456"/>
      <c r="R129" s="456"/>
      <c r="S129" s="456"/>
      <c r="T129" s="456"/>
      <c r="U129" s="456"/>
      <c r="V129" s="456"/>
      <c r="W129" s="456"/>
    </row>
    <row r="130" spans="1:23" s="462" customFormat="1" ht="12" x14ac:dyDescent="0.3">
      <c r="A130" s="468"/>
      <c r="B130" s="469"/>
      <c r="D130" s="2"/>
      <c r="E130" s="456"/>
      <c r="F130" s="456"/>
      <c r="G130" s="456"/>
      <c r="H130" s="459"/>
      <c r="I130" s="459"/>
      <c r="J130" s="7"/>
      <c r="K130" s="456"/>
      <c r="N130" s="456"/>
      <c r="O130" s="456"/>
      <c r="P130" s="456"/>
      <c r="Q130" s="456"/>
      <c r="R130" s="456"/>
      <c r="S130" s="456"/>
      <c r="T130" s="456"/>
      <c r="U130" s="456"/>
      <c r="V130" s="456"/>
      <c r="W130" s="456"/>
    </row>
    <row r="131" spans="1:23" s="462" customFormat="1" ht="12" x14ac:dyDescent="0.3">
      <c r="A131" s="455" t="s">
        <v>583</v>
      </c>
      <c r="B131" s="455"/>
      <c r="C131" s="456"/>
      <c r="D131" s="2"/>
      <c r="E131" s="456"/>
      <c r="F131" s="456"/>
      <c r="G131" s="456"/>
      <c r="H131" s="459"/>
      <c r="I131" s="459"/>
      <c r="J131" s="7"/>
      <c r="K131" s="456"/>
      <c r="N131" s="456"/>
      <c r="O131" s="456"/>
      <c r="P131" s="456"/>
      <c r="Q131" s="456"/>
      <c r="R131" s="456"/>
      <c r="S131" s="456"/>
      <c r="T131" s="456"/>
      <c r="U131" s="456"/>
      <c r="V131" s="456"/>
      <c r="W131" s="456"/>
    </row>
    <row r="132" spans="1:23" s="462" customFormat="1" ht="93" customHeight="1" x14ac:dyDescent="0.3">
      <c r="A132" s="9170" t="s">
        <v>1117</v>
      </c>
      <c r="B132" s="9171"/>
      <c r="C132" s="9171"/>
      <c r="D132" s="9171"/>
      <c r="E132" s="9171"/>
      <c r="F132" s="9171"/>
      <c r="G132" s="9171"/>
      <c r="H132" s="9171"/>
      <c r="I132" s="9171"/>
      <c r="J132" s="9171"/>
      <c r="K132" s="9171"/>
      <c r="L132" s="9171"/>
      <c r="M132" s="9172"/>
      <c r="N132" s="456"/>
      <c r="O132" s="456"/>
      <c r="P132" s="456"/>
      <c r="Q132" s="456"/>
      <c r="R132" s="456"/>
      <c r="S132" s="456"/>
      <c r="T132" s="456"/>
      <c r="U132" s="456"/>
      <c r="V132" s="456"/>
      <c r="W132" s="456"/>
    </row>
  </sheetData>
  <mergeCells count="62">
    <mergeCell ref="AY5:BB5"/>
    <mergeCell ref="AY6:BB6"/>
    <mergeCell ref="AY8:AZ8"/>
    <mergeCell ref="BB8:BB9"/>
    <mergeCell ref="BD8:BF8"/>
    <mergeCell ref="BE5:BF5"/>
    <mergeCell ref="BE6:BF6"/>
    <mergeCell ref="AY1:BF1"/>
    <mergeCell ref="A132:M132"/>
    <mergeCell ref="A33:A84"/>
    <mergeCell ref="Q35:Q37"/>
    <mergeCell ref="Z35:Z37"/>
    <mergeCell ref="AI35:AI37"/>
    <mergeCell ref="A86:A95"/>
    <mergeCell ref="A97:A114"/>
    <mergeCell ref="U13:U15"/>
    <mergeCell ref="Q24:Q27"/>
    <mergeCell ref="Z24:Z27"/>
    <mergeCell ref="AI24:AI27"/>
    <mergeCell ref="T8:V8"/>
    <mergeCell ref="X8:Y8"/>
    <mergeCell ref="AA8:AA9"/>
    <mergeCell ref="AC8:AE8"/>
    <mergeCell ref="A11:A31"/>
    <mergeCell ref="Q13:Q15"/>
    <mergeCell ref="T6:V6"/>
    <mergeCell ref="X6:AA6"/>
    <mergeCell ref="AC6:AE6"/>
    <mergeCell ref="AL6:AN6"/>
    <mergeCell ref="AJ8:AJ9"/>
    <mergeCell ref="AL8:AN8"/>
    <mergeCell ref="H8:I8"/>
    <mergeCell ref="J8:J9"/>
    <mergeCell ref="L8:M8"/>
    <mergeCell ref="O8:P8"/>
    <mergeCell ref="R8:R9"/>
    <mergeCell ref="AG8:AH8"/>
    <mergeCell ref="H6:J6"/>
    <mergeCell ref="L6:M6"/>
    <mergeCell ref="O6:R6"/>
    <mergeCell ref="AG6:AJ6"/>
    <mergeCell ref="F1:M1"/>
    <mergeCell ref="O1:V1"/>
    <mergeCell ref="X1:AE1"/>
    <mergeCell ref="AG1:AN1"/>
    <mergeCell ref="H5:J5"/>
    <mergeCell ref="L5:M5"/>
    <mergeCell ref="O5:R5"/>
    <mergeCell ref="T5:V5"/>
    <mergeCell ref="X5:AA5"/>
    <mergeCell ref="AC5:AE5"/>
    <mergeCell ref="AG5:AJ5"/>
    <mergeCell ref="AL5:AN5"/>
    <mergeCell ref="AP8:AQ8"/>
    <mergeCell ref="AS8:AS9"/>
    <mergeCell ref="AU8:AW8"/>
    <mergeCell ref="AP11:AQ11"/>
    <mergeCell ref="AP1:AW1"/>
    <mergeCell ref="AP5:AS5"/>
    <mergeCell ref="AU5:AW5"/>
    <mergeCell ref="AP6:AS6"/>
    <mergeCell ref="AU6:AW6"/>
  </mergeCells>
  <hyperlinks>
    <hyperlink ref="Q11" r:id="rId1" xr:uid="{E997C0F6-508E-4E7B-B07C-C63C85D009F8}"/>
    <hyperlink ref="Q74" r:id="rId2" xr:uid="{758B1353-D9C5-4B87-A33F-792428DDC4FB}"/>
    <hyperlink ref="U11" r:id="rId3" xr:uid="{BE9576F1-F623-4C3D-8A83-4830082FB302}"/>
    <hyperlink ref="Z11" r:id="rId4" xr:uid="{C1F38338-0E65-45B5-89EB-DBD4CC579040}"/>
    <hyperlink ref="AD11" r:id="rId5" xr:uid="{431A9DE2-FB8B-4CE3-B7D1-57D5F2264711}"/>
    <hyperlink ref="AM11" r:id="rId6" xr:uid="{E8B6DBAD-3424-4FB0-8144-D0F0355E8CF1}"/>
    <hyperlink ref="AI11" r:id="rId7" xr:uid="{F8081213-9952-4EAF-9E87-15FAC056ACDA}"/>
    <hyperlink ref="AR11" r:id="rId8" xr:uid="{835B4ADE-2789-4DEB-8E40-4F68349A7DB4}"/>
    <hyperlink ref="AM36" r:id="rId9" xr:uid="{DE16CE74-C25E-49C7-A890-061F63432A96}"/>
    <hyperlink ref="AV11" r:id="rId10" xr:uid="{0E054F8B-8F6B-4374-8EFE-CA926C20B104}"/>
    <hyperlink ref="BA11" r:id="rId11" xr:uid="{851300F7-66BA-4DCA-9EA2-134F1EB60304}"/>
    <hyperlink ref="BE11" r:id="rId12" xr:uid="{9548345C-2B39-42AB-9965-1FB0A6BCAE60}"/>
  </hyperlinks>
  <pageMargins left="0.23622047244094491" right="0.23622047244094491" top="0.35433070866141736" bottom="0.35433070866141736" header="0.31496062992125984" footer="0.31496062992125984"/>
  <pageSetup paperSize="9" scale="37" orientation="portrait" horizontalDpi="4294967293" r:id="rId13"/>
  <headerFooter>
    <oddFooter>&amp;R&amp;1#&amp;"Calibri"&amp;12&amp;K000000Official Use</oddFooter>
  </headerFooter>
  <legacyDrawing r:id="rId1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E6B61-6673-4683-B588-5B0C41B2E731}">
  <sheetPr>
    <pageSetUpPr fitToPage="1"/>
  </sheetPr>
  <dimension ref="A1:BD124"/>
  <sheetViews>
    <sheetView topLeftCell="A42" zoomScale="81" zoomScaleNormal="100" workbookViewId="0">
      <pane xSplit="4" topLeftCell="AM1" activePane="topRight" state="frozen"/>
      <selection activeCell="A68" sqref="A68"/>
      <selection pane="topRight" activeCell="BB90" sqref="BB90"/>
    </sheetView>
  </sheetViews>
  <sheetFormatPr defaultColWidth="9" defaultRowHeight="14.5" x14ac:dyDescent="0.35"/>
  <cols>
    <col min="1" max="1" width="6.6328125" customWidth="1"/>
    <col min="2" max="2" width="32.36328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6" width="21.6328125" customWidth="1"/>
    <col min="17" max="17" width="1.6328125" style="1" customWidth="1"/>
    <col min="18" max="20" width="21.6328125" customWidth="1"/>
    <col min="21" max="21" width="10" customWidth="1"/>
    <col min="22" max="22" width="1.6328125" style="1" customWidth="1"/>
    <col min="23" max="25" width="21.6328125" customWidth="1"/>
    <col min="26" max="26" width="1.6328125" style="1" customWidth="1"/>
    <col min="27" max="29" width="21.6328125" customWidth="1"/>
    <col min="30" max="30" width="10" customWidth="1"/>
    <col min="31" max="31" width="1.6328125" style="1" customWidth="1"/>
    <col min="32" max="34" width="21.6328125" customWidth="1"/>
    <col min="35" max="35" width="1.6328125" style="1" customWidth="1"/>
    <col min="36" max="37" width="21.6328125" customWidth="1"/>
    <col min="38" max="38" width="33.1796875" customWidth="1"/>
    <col min="39" max="39" width="1.6328125" style="1" customWidth="1"/>
    <col min="40" max="42" width="21.6328125" customWidth="1"/>
    <col min="43" max="43" width="10" customWidth="1"/>
    <col min="44" max="44" width="1.6328125" style="1" customWidth="1"/>
    <col min="45" max="47" width="21.6328125" customWidth="1"/>
    <col min="48" max="48" width="11.6328125" style="3341" bestFit="1" customWidth="1"/>
    <col min="49" max="50" width="1.6328125" style="1" customWidth="1"/>
    <col min="51" max="52" width="21.6328125" customWidth="1"/>
    <col min="53" max="53" width="21.6328125" style="711" customWidth="1"/>
    <col min="54" max="54" width="1.6328125" style="1" customWidth="1"/>
    <col min="55" max="56" width="55" customWidth="1"/>
  </cols>
  <sheetData>
    <row r="1" spans="1:56" s="470" customFormat="1" ht="31" x14ac:dyDescent="0.7">
      <c r="B1" s="1"/>
      <c r="C1" s="1"/>
      <c r="F1" s="9236" t="s">
        <v>823</v>
      </c>
      <c r="G1" s="9235"/>
      <c r="H1" s="9235"/>
      <c r="I1" s="9235"/>
      <c r="J1" s="9235"/>
      <c r="K1" s="9235"/>
      <c r="L1" s="9235"/>
      <c r="M1" s="9235"/>
      <c r="N1" s="9235"/>
      <c r="O1" s="9235"/>
      <c r="P1" s="9235"/>
      <c r="R1" s="9121" t="s">
        <v>824</v>
      </c>
      <c r="S1" s="9122"/>
      <c r="T1" s="9122"/>
      <c r="U1" s="9122"/>
      <c r="V1" s="9122"/>
      <c r="W1" s="9122"/>
      <c r="X1" s="9122"/>
      <c r="Y1" s="9123"/>
      <c r="AA1" s="9207" t="s">
        <v>825</v>
      </c>
      <c r="AB1" s="9208"/>
      <c r="AC1" s="9208"/>
      <c r="AD1" s="9208"/>
      <c r="AE1" s="9208"/>
      <c r="AF1" s="9208"/>
      <c r="AG1" s="9208"/>
      <c r="AH1" s="9209"/>
      <c r="AJ1" s="9235" t="s">
        <v>1118</v>
      </c>
      <c r="AK1" s="9235"/>
      <c r="AL1" s="9235"/>
      <c r="AN1" s="9195" t="s">
        <v>827</v>
      </c>
      <c r="AO1" s="9196"/>
      <c r="AP1" s="9196"/>
      <c r="AQ1" s="9196"/>
      <c r="AR1" s="9196"/>
      <c r="AS1" s="9196"/>
      <c r="AT1" s="9196"/>
      <c r="AU1" s="9196"/>
      <c r="AV1" s="9197"/>
      <c r="AW1" s="7774"/>
      <c r="AX1" s="7774"/>
      <c r="AY1" s="9237" t="s">
        <v>828</v>
      </c>
      <c r="AZ1" s="9238"/>
      <c r="BA1" s="9238"/>
      <c r="BB1" s="7774"/>
    </row>
    <row r="2" spans="1:56" ht="21" x14ac:dyDescent="0.5">
      <c r="B2" s="1" t="s">
        <v>829</v>
      </c>
      <c r="C2" s="4" t="s">
        <v>27</v>
      </c>
      <c r="H2"/>
    </row>
    <row r="4" spans="1:56" s="8" customFormat="1" ht="15.25" customHeight="1" x14ac:dyDescent="0.35">
      <c r="D4" s="471"/>
      <c r="F4" s="8326" t="s">
        <v>830</v>
      </c>
      <c r="H4" s="9130" t="s">
        <v>831</v>
      </c>
      <c r="I4" s="9131"/>
      <c r="J4" s="9132"/>
      <c r="L4" s="9130" t="s">
        <v>1119</v>
      </c>
      <c r="M4" s="9132"/>
      <c r="O4" s="9130" t="s">
        <v>832</v>
      </c>
      <c r="P4" s="9132"/>
      <c r="R4" s="9233" t="s">
        <v>833</v>
      </c>
      <c r="S4" s="9233"/>
      <c r="T4" s="9233"/>
      <c r="U4" s="9233"/>
      <c r="W4" s="9233" t="s">
        <v>832</v>
      </c>
      <c r="X4" s="9233"/>
      <c r="Y4" s="9233"/>
      <c r="AA4" s="9233" t="s">
        <v>833</v>
      </c>
      <c r="AB4" s="9233"/>
      <c r="AC4" s="9233"/>
      <c r="AD4" s="9233"/>
      <c r="AF4" s="9233" t="s">
        <v>832</v>
      </c>
      <c r="AG4" s="9233"/>
      <c r="AH4" s="9233"/>
      <c r="AJ4" s="9233" t="s">
        <v>832</v>
      </c>
      <c r="AK4" s="9233"/>
      <c r="AL4" s="9233"/>
      <c r="AN4" s="9133" t="s">
        <v>833</v>
      </c>
      <c r="AO4" s="9134"/>
      <c r="AP4" s="9134"/>
      <c r="AQ4" s="9135"/>
      <c r="AS4" s="9233" t="s">
        <v>832</v>
      </c>
      <c r="AT4" s="9233"/>
      <c r="AU4" s="9233"/>
      <c r="AV4" s="6210"/>
      <c r="AY4" s="9233" t="s">
        <v>832</v>
      </c>
      <c r="AZ4" s="9233"/>
      <c r="BA4" s="9233"/>
      <c r="BC4" s="9180" t="s">
        <v>404</v>
      </c>
      <c r="BD4" s="9180" t="s">
        <v>404</v>
      </c>
    </row>
    <row r="5" spans="1:56" x14ac:dyDescent="0.35">
      <c r="B5" s="1" t="s">
        <v>835</v>
      </c>
      <c r="C5" s="11">
        <v>2002</v>
      </c>
      <c r="F5" s="8324"/>
      <c r="G5" s="12"/>
      <c r="H5" s="9138" t="s">
        <v>1120</v>
      </c>
      <c r="I5" s="9139"/>
      <c r="J5" s="9140"/>
      <c r="K5" s="12"/>
      <c r="L5" s="9138" t="s">
        <v>1120</v>
      </c>
      <c r="M5" s="9140"/>
      <c r="O5" s="9138" t="s">
        <v>1120</v>
      </c>
      <c r="P5" s="9140"/>
      <c r="R5" s="9234" t="s">
        <v>1120</v>
      </c>
      <c r="S5" s="9234"/>
      <c r="T5" s="9234"/>
      <c r="U5" s="9234"/>
      <c r="W5" s="9234" t="s">
        <v>1120</v>
      </c>
      <c r="X5" s="9234"/>
      <c r="Y5" s="9234"/>
      <c r="AA5" s="9234" t="s">
        <v>1120</v>
      </c>
      <c r="AB5" s="9234"/>
      <c r="AC5" s="9234"/>
      <c r="AD5" s="9234"/>
      <c r="AF5" s="9234" t="s">
        <v>1120</v>
      </c>
      <c r="AG5" s="9234"/>
      <c r="AH5" s="9234"/>
      <c r="AJ5" s="9234" t="s">
        <v>1120</v>
      </c>
      <c r="AK5" s="9234"/>
      <c r="AL5" s="9234"/>
      <c r="AN5" s="9138" t="s">
        <v>1120</v>
      </c>
      <c r="AO5" s="9139"/>
      <c r="AP5" s="9139"/>
      <c r="AQ5" s="9140"/>
      <c r="AS5" s="9234" t="s">
        <v>1120</v>
      </c>
      <c r="AT5" s="9234"/>
      <c r="AU5" s="9234"/>
      <c r="AV5" s="6211"/>
      <c r="AY5" s="9234" t="s">
        <v>1120</v>
      </c>
      <c r="AZ5" s="9234"/>
      <c r="BA5" s="9234"/>
      <c r="BC5" s="9181"/>
      <c r="BD5" s="9181"/>
    </row>
    <row r="6" spans="1:56" x14ac:dyDescent="0.35">
      <c r="C6"/>
      <c r="F6" s="6"/>
      <c r="L6" s="14"/>
      <c r="O6" s="14"/>
      <c r="BC6" s="6"/>
      <c r="BD6" s="6"/>
    </row>
    <row r="7" spans="1:56" ht="12.75" customHeight="1" x14ac:dyDescent="0.35">
      <c r="B7" s="1" t="s">
        <v>836</v>
      </c>
      <c r="C7" s="15" t="s">
        <v>837</v>
      </c>
      <c r="D7" s="5" t="s">
        <v>417</v>
      </c>
      <c r="F7" s="8322"/>
      <c r="H7" s="9173">
        <v>2013</v>
      </c>
      <c r="I7" s="9173"/>
      <c r="J7" s="9147" t="s">
        <v>839</v>
      </c>
      <c r="L7" s="9149">
        <v>2014</v>
      </c>
      <c r="M7" s="9151"/>
      <c r="O7" s="9149">
        <v>2015</v>
      </c>
      <c r="P7" s="9151"/>
      <c r="R7" s="9232">
        <v>2015</v>
      </c>
      <c r="S7" s="9232"/>
      <c r="T7" s="9232"/>
      <c r="U7" s="9232"/>
      <c r="W7" s="9232">
        <v>2016</v>
      </c>
      <c r="X7" s="9232"/>
      <c r="Y7" s="9232"/>
      <c r="AA7" s="9232">
        <v>2016</v>
      </c>
      <c r="AB7" s="9232"/>
      <c r="AC7" s="9232"/>
      <c r="AD7" s="9232"/>
      <c r="AF7" s="9232">
        <v>2017</v>
      </c>
      <c r="AG7" s="9232"/>
      <c r="AH7" s="9232"/>
      <c r="AJ7" s="9232">
        <v>2018</v>
      </c>
      <c r="AK7" s="9232"/>
      <c r="AL7" s="9232"/>
      <c r="AN7" s="9149">
        <v>2018</v>
      </c>
      <c r="AO7" s="9150"/>
      <c r="AP7" s="9150"/>
      <c r="AQ7" s="9151"/>
      <c r="AS7" s="9232">
        <v>2019</v>
      </c>
      <c r="AT7" s="9232"/>
      <c r="AU7" s="9232"/>
      <c r="AV7" s="6212"/>
      <c r="AY7" s="9232">
        <v>2020</v>
      </c>
      <c r="AZ7" s="9232"/>
      <c r="BA7" s="9232"/>
      <c r="BC7" s="18"/>
      <c r="BD7" s="18"/>
    </row>
    <row r="8" spans="1:56" ht="32.5" x14ac:dyDescent="0.35">
      <c r="B8" s="1" t="s">
        <v>841</v>
      </c>
      <c r="C8" s="19" t="s">
        <v>1121</v>
      </c>
      <c r="F8" s="20" t="s">
        <v>843</v>
      </c>
      <c r="H8" s="21" t="s">
        <v>844</v>
      </c>
      <c r="I8" s="20" t="s">
        <v>843</v>
      </c>
      <c r="J8" s="9148"/>
      <c r="L8" s="21" t="s">
        <v>844</v>
      </c>
      <c r="M8" s="20" t="s">
        <v>843</v>
      </c>
      <c r="O8" s="21" t="s">
        <v>844</v>
      </c>
      <c r="P8" s="20" t="s">
        <v>843</v>
      </c>
      <c r="R8" s="720" t="s">
        <v>424</v>
      </c>
      <c r="S8" s="720" t="s">
        <v>845</v>
      </c>
      <c r="T8" s="720" t="s">
        <v>846</v>
      </c>
      <c r="U8" s="720"/>
      <c r="W8" s="720" t="s">
        <v>424</v>
      </c>
      <c r="X8" s="720" t="s">
        <v>846</v>
      </c>
      <c r="Y8" s="5997" t="s">
        <v>1122</v>
      </c>
      <c r="AA8" s="720" t="s">
        <v>424</v>
      </c>
      <c r="AB8" s="720" t="s">
        <v>845</v>
      </c>
      <c r="AC8" s="720" t="s">
        <v>846</v>
      </c>
      <c r="AD8" s="720"/>
      <c r="AF8" s="720" t="s">
        <v>424</v>
      </c>
      <c r="AG8" s="5998" t="s">
        <v>1123</v>
      </c>
      <c r="AH8" s="5997" t="s">
        <v>1124</v>
      </c>
      <c r="AJ8" s="720" t="s">
        <v>424</v>
      </c>
      <c r="AK8" s="5998" t="s">
        <v>1125</v>
      </c>
      <c r="AL8" s="5997" t="s">
        <v>1122</v>
      </c>
      <c r="AN8" s="720" t="s">
        <v>424</v>
      </c>
      <c r="AO8" s="720" t="s">
        <v>845</v>
      </c>
      <c r="AP8" s="720" t="s">
        <v>846</v>
      </c>
      <c r="AQ8" s="720"/>
      <c r="AS8" s="720" t="s">
        <v>424</v>
      </c>
      <c r="AT8" s="5998"/>
      <c r="AU8" s="5997" t="s">
        <v>1124</v>
      </c>
      <c r="AV8" s="6213"/>
      <c r="AY8" s="720" t="s">
        <v>424</v>
      </c>
      <c r="AZ8" s="5998"/>
      <c r="BA8" s="7775" t="s">
        <v>1124</v>
      </c>
      <c r="BC8" s="24"/>
      <c r="BD8" s="24"/>
    </row>
    <row r="9" spans="1:56" x14ac:dyDescent="0.35">
      <c r="C9"/>
      <c r="E9"/>
      <c r="F9"/>
      <c r="G9"/>
      <c r="H9"/>
      <c r="I9"/>
      <c r="J9" s="25"/>
      <c r="K9"/>
      <c r="N9"/>
      <c r="Q9"/>
      <c r="V9"/>
      <c r="Z9"/>
      <c r="AE9"/>
      <c r="AI9"/>
      <c r="AM9"/>
      <c r="AR9"/>
      <c r="AW9"/>
      <c r="AX9"/>
      <c r="BB9"/>
    </row>
    <row r="10" spans="1:56" ht="33.25" customHeight="1" x14ac:dyDescent="0.35">
      <c r="A10" s="9167" t="s">
        <v>854</v>
      </c>
      <c r="B10" s="27"/>
      <c r="C10" s="28" t="s">
        <v>427</v>
      </c>
      <c r="D10" s="29" t="s">
        <v>428</v>
      </c>
      <c r="E10" s="30"/>
      <c r="F10" s="31"/>
      <c r="G10"/>
      <c r="H10" s="31" t="s">
        <v>1126</v>
      </c>
      <c r="I10" s="31" t="s">
        <v>1126</v>
      </c>
      <c r="J10" s="32"/>
      <c r="K10" s="33"/>
      <c r="L10" s="31" t="s">
        <v>1127</v>
      </c>
      <c r="M10" s="34" t="s">
        <v>857</v>
      </c>
      <c r="N10" s="33"/>
      <c r="O10" s="31" t="s">
        <v>1127</v>
      </c>
      <c r="P10" s="34" t="s">
        <v>857</v>
      </c>
      <c r="Q10" s="30"/>
      <c r="R10" s="31" t="s">
        <v>1127</v>
      </c>
      <c r="S10" s="31" t="s">
        <v>1128</v>
      </c>
      <c r="T10" s="2984"/>
      <c r="U10" s="2984" t="s">
        <v>865</v>
      </c>
      <c r="V10" s="30"/>
      <c r="W10" s="31" t="s">
        <v>1129</v>
      </c>
      <c r="X10" s="2984"/>
      <c r="Y10" s="31" t="s">
        <v>1130</v>
      </c>
      <c r="Z10" s="33"/>
      <c r="AA10" s="9155" t="s">
        <v>1131</v>
      </c>
      <c r="AB10" s="9156"/>
      <c r="AC10" s="5999" t="s">
        <v>1132</v>
      </c>
      <c r="AD10" s="2984" t="s">
        <v>865</v>
      </c>
      <c r="AE10" s="30"/>
      <c r="AF10" s="31" t="s">
        <v>1133</v>
      </c>
      <c r="AG10" s="5999" t="s">
        <v>1132</v>
      </c>
      <c r="AH10" s="31" t="s">
        <v>1133</v>
      </c>
      <c r="AI10" s="33"/>
      <c r="AJ10" s="31" t="s">
        <v>1134</v>
      </c>
      <c r="AK10" s="5999" t="s">
        <v>1132</v>
      </c>
      <c r="AL10" s="31" t="s">
        <v>1134</v>
      </c>
      <c r="AM10" s="33"/>
      <c r="AN10" s="9155" t="s">
        <v>1135</v>
      </c>
      <c r="AO10" s="9156"/>
      <c r="AP10" s="5999" t="s">
        <v>1132</v>
      </c>
      <c r="AQ10" s="2984" t="s">
        <v>865</v>
      </c>
      <c r="AR10" s="30"/>
      <c r="AS10" s="31" t="s">
        <v>1135</v>
      </c>
      <c r="AT10" s="652" t="s">
        <v>1136</v>
      </c>
      <c r="AU10" s="31" t="s">
        <v>1135</v>
      </c>
      <c r="AV10" s="6214" t="s">
        <v>865</v>
      </c>
      <c r="AW10" s="30"/>
      <c r="AX10" s="30"/>
      <c r="AY10" s="31" t="s">
        <v>1137</v>
      </c>
      <c r="AZ10" s="3160" t="s">
        <v>1138</v>
      </c>
      <c r="BA10" s="6370" t="s">
        <v>1139</v>
      </c>
      <c r="BB10" s="30"/>
      <c r="BC10" s="39"/>
      <c r="BD10" s="39"/>
    </row>
    <row r="11" spans="1:56" ht="12.75" customHeight="1" x14ac:dyDescent="0.35">
      <c r="A11" s="9168"/>
      <c r="B11" s="5160" t="s">
        <v>870</v>
      </c>
      <c r="C11" s="5161"/>
      <c r="D11" s="42"/>
      <c r="E11" s="43"/>
      <c r="F11" s="5162"/>
      <c r="G11"/>
      <c r="H11" s="5165"/>
      <c r="I11" s="5164"/>
      <c r="J11" s="47"/>
      <c r="K11" s="48"/>
      <c r="L11" s="5165"/>
      <c r="M11" s="49"/>
      <c r="N11" s="50"/>
      <c r="O11" s="5165"/>
      <c r="P11" s="49"/>
      <c r="Q11" s="50"/>
      <c r="R11" s="5165"/>
      <c r="S11" s="5164"/>
      <c r="T11" s="348"/>
      <c r="U11" s="47"/>
      <c r="V11" s="50"/>
      <c r="W11" s="5165"/>
      <c r="X11" s="348"/>
      <c r="Y11" s="6000"/>
      <c r="Z11" s="43"/>
      <c r="AA11" s="3237" t="s">
        <v>1140</v>
      </c>
      <c r="AB11" s="3238" t="s">
        <v>1141</v>
      </c>
      <c r="AC11" s="5171" t="s">
        <v>1142</v>
      </c>
      <c r="AD11" s="47"/>
      <c r="AE11" s="50"/>
      <c r="AF11" s="3237" t="s">
        <v>1143</v>
      </c>
      <c r="AG11" s="6001" t="s">
        <v>1144</v>
      </c>
      <c r="AH11" s="6002" t="s">
        <v>1145</v>
      </c>
      <c r="AI11" s="43"/>
      <c r="AJ11" s="3237" t="s">
        <v>1146</v>
      </c>
      <c r="AK11" s="6001" t="s">
        <v>1147</v>
      </c>
      <c r="AL11" s="6002" t="s">
        <v>1148</v>
      </c>
      <c r="AM11" s="43"/>
      <c r="AN11" s="3237" t="s">
        <v>1149</v>
      </c>
      <c r="AO11" s="6002" t="s">
        <v>1150</v>
      </c>
      <c r="AP11" s="6001" t="s">
        <v>1151</v>
      </c>
      <c r="AQ11" s="47"/>
      <c r="AR11" s="50"/>
      <c r="AS11" s="3237" t="s">
        <v>1152</v>
      </c>
      <c r="AT11" s="6001" t="s">
        <v>1151</v>
      </c>
      <c r="AU11" s="6002" t="s">
        <v>1153</v>
      </c>
      <c r="AV11" s="6215"/>
      <c r="AW11" s="50"/>
      <c r="AX11" s="50"/>
      <c r="AY11" s="3237"/>
      <c r="AZ11" s="6001" t="s">
        <v>1154</v>
      </c>
      <c r="BA11" s="7776"/>
      <c r="BB11" s="50"/>
      <c r="BC11" s="18"/>
      <c r="BD11" s="18"/>
    </row>
    <row r="12" spans="1:56" x14ac:dyDescent="0.35">
      <c r="A12" s="9168"/>
      <c r="B12" s="4771"/>
      <c r="C12" s="4772" t="s">
        <v>872</v>
      </c>
      <c r="D12" s="60"/>
      <c r="F12" s="4819">
        <v>718036.11100000003</v>
      </c>
      <c r="G12"/>
      <c r="H12" s="4820">
        <v>1241865.64925</v>
      </c>
      <c r="I12" s="4821">
        <v>1238654.4552209999</v>
      </c>
      <c r="J12" s="476">
        <f>IF(H12=0,0,I12/H12)</f>
        <v>0.99741421784962048</v>
      </c>
      <c r="K12" s="65"/>
      <c r="L12" s="4820">
        <v>1295822.2760000001</v>
      </c>
      <c r="M12" s="66">
        <f>L12*J12</f>
        <v>1292471.5618886552</v>
      </c>
      <c r="N12" s="67"/>
      <c r="O12" s="4820">
        <f>(1035210376000+109900930000+2931514000)/1000000</f>
        <v>1148042.82</v>
      </c>
      <c r="P12" s="66">
        <f>O12*J12</f>
        <v>1145074.2313681727</v>
      </c>
      <c r="Q12" s="67"/>
      <c r="R12" s="4820">
        <f>(1035210376000+109900930000+2931514000)/1000000</f>
        <v>1148042.82</v>
      </c>
      <c r="S12" s="4821">
        <f>522540*2</f>
        <v>1045080</v>
      </c>
      <c r="T12" s="106"/>
      <c r="U12" s="476">
        <f>S12/R12</f>
        <v>0.91031447764291573</v>
      </c>
      <c r="V12" s="67"/>
      <c r="W12" s="4820">
        <v>1182900</v>
      </c>
      <c r="X12" s="106" t="s">
        <v>900</v>
      </c>
      <c r="Y12" s="5177">
        <f>900580*1.33333333333333</f>
        <v>1200773.3333333302</v>
      </c>
      <c r="AA12" s="4820">
        <v>1286830</v>
      </c>
      <c r="AB12" s="4821">
        <v>1232000</v>
      </c>
      <c r="AC12" s="57" t="s">
        <v>1155</v>
      </c>
      <c r="AD12" s="476">
        <f>AB12/AA12</f>
        <v>0.95739141922398452</v>
      </c>
      <c r="AE12" s="67"/>
      <c r="AF12" s="4820">
        <v>1444765</v>
      </c>
      <c r="AG12" s="57" t="s">
        <v>1155</v>
      </c>
      <c r="AH12" s="5177">
        <v>1444765</v>
      </c>
      <c r="AJ12" s="4820">
        <v>1503650</v>
      </c>
      <c r="AK12" s="57" t="s">
        <v>1155</v>
      </c>
      <c r="AL12" s="5177">
        <v>1545060</v>
      </c>
      <c r="AN12" s="4820">
        <f>AJ12</f>
        <v>1503650</v>
      </c>
      <c r="AO12" s="4821">
        <f>AL12</f>
        <v>1545060</v>
      </c>
      <c r="AP12" s="254" t="s">
        <v>1156</v>
      </c>
      <c r="AQ12" s="476">
        <f>AO12/AN12</f>
        <v>1.0275396535097929</v>
      </c>
      <c r="AR12" s="67"/>
      <c r="AS12" s="4820">
        <v>1837500</v>
      </c>
      <c r="AT12" s="254" t="s">
        <v>1156</v>
      </c>
      <c r="AU12" s="5177">
        <v>1805990</v>
      </c>
      <c r="AV12" s="476">
        <f>IF(AS12=0,"**",AU12/AS12)</f>
        <v>0.98285170068027206</v>
      </c>
      <c r="AW12" s="67"/>
      <c r="AX12" s="67"/>
      <c r="AY12" s="4820">
        <v>1887780</v>
      </c>
      <c r="AZ12" s="254" t="s">
        <v>1156</v>
      </c>
      <c r="BA12" s="3356">
        <f>AY12*AV12</f>
        <v>1855407.7835102039</v>
      </c>
      <c r="BB12" s="67"/>
      <c r="BC12" s="26"/>
      <c r="BD12" s="26"/>
    </row>
    <row r="13" spans="1:56" x14ac:dyDescent="0.35">
      <c r="A13" s="9168"/>
      <c r="B13" s="4771"/>
      <c r="C13" s="4772" t="s">
        <v>878</v>
      </c>
      <c r="D13" s="60"/>
      <c r="F13" s="4819">
        <v>541021.05599999998</v>
      </c>
      <c r="G13"/>
      <c r="H13" s="4820">
        <f>369044332000/1000000</f>
        <v>369044.33199999999</v>
      </c>
      <c r="I13" s="4821">
        <v>378964</v>
      </c>
      <c r="J13" s="73">
        <f t="shared" ref="J13:J14" si="0">IF(H13=0,0,I13/H13)</f>
        <v>1.026879339797041</v>
      </c>
      <c r="K13" s="65"/>
      <c r="L13" s="4820">
        <v>369044.33199999999</v>
      </c>
      <c r="M13" s="66">
        <f>L13*J13</f>
        <v>378964</v>
      </c>
      <c r="N13" s="67"/>
      <c r="O13" s="4820">
        <f>(224254527000+144203778000)/1000000</f>
        <v>368458.30499999999</v>
      </c>
      <c r="P13" s="66">
        <f t="shared" ref="P13:P14" si="1">O13*J13</f>
        <v>378362.22098113678</v>
      </c>
      <c r="Q13" s="67"/>
      <c r="R13" s="4820">
        <f>(224254527000+144203778000)/1000000</f>
        <v>368458.30499999999</v>
      </c>
      <c r="S13" s="4821">
        <f>147900*2</f>
        <v>295800</v>
      </c>
      <c r="T13" s="106"/>
      <c r="U13" s="476">
        <f t="shared" ref="U13:U14" si="2">S13/R13</f>
        <v>0.80280453985153089</v>
      </c>
      <c r="V13" s="67"/>
      <c r="W13" s="4820">
        <v>400676.01799999998</v>
      </c>
      <c r="X13" s="106" t="s">
        <v>900</v>
      </c>
      <c r="Y13" s="5177">
        <f>326900*1.33333333333333</f>
        <v>435866.66666666558</v>
      </c>
      <c r="AA13" s="4820">
        <f>658380-165000</f>
        <v>493380</v>
      </c>
      <c r="AB13" s="4821">
        <f>537770-165000</f>
        <v>372770</v>
      </c>
      <c r="AC13" s="106" t="s">
        <v>1157</v>
      </c>
      <c r="AD13" s="476">
        <f t="shared" ref="AD13:AD14" si="3">AB13/AA13</f>
        <v>0.75554339454375941</v>
      </c>
      <c r="AE13" s="67"/>
      <c r="AF13" s="4820">
        <v>354362.96799999999</v>
      </c>
      <c r="AG13" s="106" t="s">
        <v>1157</v>
      </c>
      <c r="AH13" s="5177">
        <v>354362.96799999999</v>
      </c>
      <c r="AJ13" s="4820">
        <v>292270</v>
      </c>
      <c r="AK13" s="106" t="s">
        <v>1157</v>
      </c>
      <c r="AL13" s="5177">
        <v>215090</v>
      </c>
      <c r="AN13" s="4820">
        <f>AJ13</f>
        <v>292270</v>
      </c>
      <c r="AO13" s="4821">
        <f>AL13</f>
        <v>215090</v>
      </c>
      <c r="AP13" s="254" t="s">
        <v>1158</v>
      </c>
      <c r="AQ13" s="476">
        <f t="shared" ref="AQ13:AQ14" si="4">AO13/AN13</f>
        <v>0.73592910664796252</v>
      </c>
      <c r="AR13" s="67"/>
      <c r="AS13" s="4820">
        <v>270440</v>
      </c>
      <c r="AT13" s="254" t="s">
        <v>1158</v>
      </c>
      <c r="AU13" s="5177">
        <v>134270</v>
      </c>
      <c r="AV13" s="476">
        <f t="shared" ref="AV13:AV14" si="5">IF(AS13=0,"**",AU13/AS13)</f>
        <v>0.49648720603461027</v>
      </c>
      <c r="AW13" s="67"/>
      <c r="AX13" s="67"/>
      <c r="AY13" s="4820">
        <v>329499.495</v>
      </c>
      <c r="AZ13" s="254" t="s">
        <v>1158</v>
      </c>
      <c r="BA13" s="3356">
        <f>AY13*AV13</f>
        <v>163592.28366236502</v>
      </c>
      <c r="BB13" s="67"/>
      <c r="BC13" s="26"/>
      <c r="BD13" s="26"/>
    </row>
    <row r="14" spans="1:56" x14ac:dyDescent="0.35">
      <c r="A14" s="9168"/>
      <c r="B14" s="4785"/>
      <c r="C14" s="4786" t="s">
        <v>882</v>
      </c>
      <c r="D14" s="87"/>
      <c r="F14" s="4824">
        <f>SUM(F12:F13)</f>
        <v>1259057.1669999999</v>
      </c>
      <c r="G14"/>
      <c r="H14" s="4825">
        <f>SUM(H12:H13)</f>
        <v>1610909.98125</v>
      </c>
      <c r="I14" s="4826">
        <f>SUM(I12:I13)</f>
        <v>1617618.4552209999</v>
      </c>
      <c r="J14" s="91">
        <f t="shared" si="0"/>
        <v>1.0041644002762926</v>
      </c>
      <c r="K14" s="80"/>
      <c r="L14" s="4825">
        <f>SUM(L12:L13)</f>
        <v>1664866.608</v>
      </c>
      <c r="M14" s="92">
        <f>SUM(M12:M13)</f>
        <v>1671435.5618886552</v>
      </c>
      <c r="N14" s="67"/>
      <c r="O14" s="4825">
        <f>SUM(O12:O13)</f>
        <v>1516501.125</v>
      </c>
      <c r="P14" s="92">
        <f t="shared" si="1"/>
        <v>1522816.4427039481</v>
      </c>
      <c r="Q14" s="67"/>
      <c r="R14" s="4825">
        <f>SUM(R12:R13)</f>
        <v>1516501.125</v>
      </c>
      <c r="S14" s="4825">
        <f>SUM(S12:S13)</f>
        <v>1340880</v>
      </c>
      <c r="T14" s="216"/>
      <c r="U14" s="484">
        <f t="shared" si="2"/>
        <v>0.88419321152828023</v>
      </c>
      <c r="V14" s="67"/>
      <c r="W14" s="5184">
        <f>SUM(W12:W13)</f>
        <v>1583576.0179999999</v>
      </c>
      <c r="X14" s="106"/>
      <c r="Y14" s="5188">
        <f>SUM(Y12:Y13)</f>
        <v>1636639.9999999958</v>
      </c>
      <c r="AA14" s="4825">
        <f>SUM(AA12:AA13)</f>
        <v>1780210</v>
      </c>
      <c r="AB14" s="4825">
        <f>SUM(AB12:AB13)</f>
        <v>1604770</v>
      </c>
      <c r="AC14" s="216" t="s">
        <v>1159</v>
      </c>
      <c r="AD14" s="484">
        <f t="shared" si="3"/>
        <v>0.90144982895276404</v>
      </c>
      <c r="AE14" s="67"/>
      <c r="AF14" s="5184">
        <f>SUM(AF12:AF13)</f>
        <v>1799127.9679999999</v>
      </c>
      <c r="AG14" s="106"/>
      <c r="AH14" s="5188">
        <f>SUM(AH12:AH13)</f>
        <v>1799127.9679999999</v>
      </c>
      <c r="AJ14" s="5184">
        <f>SUM(AJ12:AJ13)</f>
        <v>1795920</v>
      </c>
      <c r="AK14" s="106"/>
      <c r="AL14" s="5188">
        <f>SUM(AL12:AL13)</f>
        <v>1760150</v>
      </c>
      <c r="AN14" s="4825">
        <f>AJ14</f>
        <v>1795920</v>
      </c>
      <c r="AO14" s="4825">
        <f>AL14</f>
        <v>1760150</v>
      </c>
      <c r="AP14" s="106"/>
      <c r="AQ14" s="484">
        <f t="shared" si="4"/>
        <v>0.98008263174306209</v>
      </c>
      <c r="AR14" s="67"/>
      <c r="AS14" s="5184">
        <f>AS12+AS13</f>
        <v>2107940</v>
      </c>
      <c r="AT14" s="106"/>
      <c r="AU14" s="5188">
        <f>AU12+AU13</f>
        <v>1940260</v>
      </c>
      <c r="AV14" s="484">
        <f t="shared" si="5"/>
        <v>0.92045314382762322</v>
      </c>
      <c r="AW14" s="67"/>
      <c r="AX14" s="67"/>
      <c r="AY14" s="5184">
        <f>AY12+AY13</f>
        <v>2217279.4950000001</v>
      </c>
      <c r="AZ14" s="106"/>
      <c r="BA14" s="5360">
        <f>BA12+BA13</f>
        <v>2019000.067172569</v>
      </c>
      <c r="BB14" s="67"/>
      <c r="BC14" s="24"/>
      <c r="BD14" s="24"/>
    </row>
    <row r="15" spans="1:56" x14ac:dyDescent="0.35">
      <c r="A15" s="9168"/>
      <c r="B15" s="100" t="s">
        <v>883</v>
      </c>
      <c r="C15" s="49"/>
      <c r="D15" s="42"/>
      <c r="E15" s="43"/>
      <c r="F15" s="101"/>
      <c r="G15"/>
      <c r="H15" s="102"/>
      <c r="I15" s="103"/>
      <c r="J15" s="104"/>
      <c r="K15" s="43"/>
      <c r="L15" s="102"/>
      <c r="M15" s="105"/>
      <c r="N15" s="43"/>
      <c r="O15" s="102"/>
      <c r="P15" s="105"/>
      <c r="Q15" s="43"/>
      <c r="R15" s="245"/>
      <c r="S15" s="106"/>
      <c r="T15" s="106"/>
      <c r="U15" s="73"/>
      <c r="V15" s="43"/>
      <c r="W15" s="102"/>
      <c r="X15" s="103"/>
      <c r="Y15" s="105"/>
      <c r="Z15" s="43"/>
      <c r="AA15" s="3269" t="s">
        <v>1160</v>
      </c>
      <c r="AB15" s="3251" t="s">
        <v>1161</v>
      </c>
      <c r="AC15" s="5171" t="s">
        <v>1162</v>
      </c>
      <c r="AD15" s="73"/>
      <c r="AE15" s="43"/>
      <c r="AF15" s="3237" t="s">
        <v>1163</v>
      </c>
      <c r="AG15" s="6001" t="s">
        <v>1164</v>
      </c>
      <c r="AH15" s="6002" t="s">
        <v>1161</v>
      </c>
      <c r="AI15" s="43"/>
      <c r="AJ15" s="3237" t="s">
        <v>1163</v>
      </c>
      <c r="AK15" s="6001" t="s">
        <v>1164</v>
      </c>
      <c r="AL15" s="6002" t="s">
        <v>1161</v>
      </c>
      <c r="AM15" s="43"/>
      <c r="AN15" s="3269" t="s">
        <v>1160</v>
      </c>
      <c r="AO15" s="3251" t="s">
        <v>1161</v>
      </c>
      <c r="AP15" s="6001" t="s">
        <v>1165</v>
      </c>
      <c r="AQ15" s="73"/>
      <c r="AR15" s="43"/>
      <c r="AS15" s="3237" t="s">
        <v>1163</v>
      </c>
      <c r="AT15" s="6001" t="s">
        <v>1165</v>
      </c>
      <c r="AU15" s="6002" t="s">
        <v>1161</v>
      </c>
      <c r="AV15" s="476"/>
      <c r="AW15" s="43"/>
      <c r="AX15" s="43"/>
      <c r="AY15" s="3237"/>
      <c r="AZ15" s="6001" t="s">
        <v>1166</v>
      </c>
      <c r="BA15" s="7776"/>
      <c r="BB15" s="43"/>
      <c r="BC15" s="18" t="s">
        <v>1167</v>
      </c>
      <c r="BD15" s="18" t="s">
        <v>1167</v>
      </c>
    </row>
    <row r="16" spans="1:56" x14ac:dyDescent="0.35">
      <c r="A16" s="9168"/>
      <c r="B16" s="6082"/>
      <c r="C16" s="110" t="s">
        <v>885</v>
      </c>
      <c r="D16" s="60">
        <v>1</v>
      </c>
      <c r="F16" s="111">
        <v>637014.69390800002</v>
      </c>
      <c r="G16"/>
      <c r="H16" s="112">
        <v>743984.84299999999</v>
      </c>
      <c r="I16" s="113">
        <v>801916.88497400004</v>
      </c>
      <c r="J16" s="476">
        <f t="shared" ref="J16:J19" si="6">IF(H16=0,0,I16/H16)</f>
        <v>1.0778672341500914</v>
      </c>
      <c r="L16" s="112">
        <f>963697.693-L18</f>
        <v>850757.69299999997</v>
      </c>
      <c r="M16" s="66">
        <f t="shared" ref="M16:M18" si="7">L16*J16</f>
        <v>917003.84148582257</v>
      </c>
      <c r="O16" s="112">
        <f>(1120296030000-164338249000)/1000000</f>
        <v>955957.78099999996</v>
      </c>
      <c r="P16" s="66">
        <f t="shared" ref="P16:P19" si="8">O16*J16</f>
        <v>1030395.5693707288</v>
      </c>
      <c r="R16" s="112">
        <f>(1120296030000-164338249000)/1000000</f>
        <v>955957.78099999996</v>
      </c>
      <c r="S16" s="113">
        <f>470110*2</f>
        <v>940220</v>
      </c>
      <c r="T16" s="106"/>
      <c r="U16" s="476">
        <f t="shared" ref="U16:U19" si="9">S16/R16</f>
        <v>0.9835371589490729</v>
      </c>
      <c r="W16" s="112">
        <f>1120618.429-195161.296</f>
        <v>925457.13300000003</v>
      </c>
      <c r="X16" s="106"/>
      <c r="Y16" s="3254">
        <f>823180*12/9</f>
        <v>1097573.3333333333</v>
      </c>
      <c r="AA16" s="112">
        <f>1252770-AA18</f>
        <v>1057610</v>
      </c>
      <c r="AB16" s="113">
        <f>1280150-AB18</f>
        <v>1051050</v>
      </c>
      <c r="AC16" s="106"/>
      <c r="AD16" s="476">
        <f t="shared" ref="AD16:AD19" si="10">AB16/AA16</f>
        <v>0.99379733550174454</v>
      </c>
      <c r="AF16" s="112">
        <f>1331877.405-AF18</f>
        <v>1264185.7139999999</v>
      </c>
      <c r="AG16" s="106"/>
      <c r="AH16" s="3254">
        <f>1300809.584-AH18</f>
        <v>1225809.584</v>
      </c>
      <c r="AJ16" s="112">
        <v>1313760</v>
      </c>
      <c r="AK16" s="106"/>
      <c r="AL16" s="3254">
        <v>1296240</v>
      </c>
      <c r="AN16" s="112">
        <f>AJ16</f>
        <v>1313760</v>
      </c>
      <c r="AO16" s="113">
        <f>1393560-AO18</f>
        <v>1296240</v>
      </c>
      <c r="AP16" s="106"/>
      <c r="AQ16" s="476">
        <f t="shared" ref="AQ16:AQ19" si="11">AO16/AN16</f>
        <v>0.98666423090975519</v>
      </c>
      <c r="AS16" s="112">
        <f>1650350-AS18</f>
        <v>1550350</v>
      </c>
      <c r="AT16" s="106"/>
      <c r="AU16" s="3254">
        <f>1609790-AU18</f>
        <v>1492720</v>
      </c>
      <c r="AV16" s="476">
        <f t="shared" ref="AV16:AV19" si="12">IF(AS16=0,"**",AU16/AS16)</f>
        <v>0.96282774857290288</v>
      </c>
      <c r="AY16" s="112">
        <f>1639253-AY18</f>
        <v>1515973</v>
      </c>
      <c r="AZ16" s="106"/>
      <c r="BA16" s="3356">
        <f t="shared" ref="BA16:BA18" si="13">AY16*AV16</f>
        <v>1459620.8704873093</v>
      </c>
      <c r="BC16" s="26"/>
      <c r="BD16" s="26"/>
    </row>
    <row r="17" spans="1:56" x14ac:dyDescent="0.35">
      <c r="A17" s="9168"/>
      <c r="B17" s="6082"/>
      <c r="C17" s="110" t="s">
        <v>1168</v>
      </c>
      <c r="D17" s="60"/>
      <c r="F17" s="111">
        <v>453010.49969700002</v>
      </c>
      <c r="G17"/>
      <c r="H17" s="112">
        <v>837069.45125000004</v>
      </c>
      <c r="I17" s="113">
        <v>777893.92701500002</v>
      </c>
      <c r="J17" s="1562">
        <f t="shared" si="6"/>
        <v>0.92930631485041904</v>
      </c>
      <c r="K17" s="374"/>
      <c r="L17" s="112">
        <v>869783.32700000005</v>
      </c>
      <c r="M17" s="66">
        <f t="shared" si="7"/>
        <v>808295.13833270699</v>
      </c>
      <c r="O17" s="112">
        <f>683818305000/1000000</f>
        <v>683818.30500000005</v>
      </c>
      <c r="P17" s="66">
        <f t="shared" si="8"/>
        <v>635476.6690468099</v>
      </c>
      <c r="R17" s="112">
        <f>683818305000/1000000</f>
        <v>683818.30500000005</v>
      </c>
      <c r="S17" s="113">
        <f>221350*2</f>
        <v>442700</v>
      </c>
      <c r="T17" s="106"/>
      <c r="U17" s="476">
        <f t="shared" si="9"/>
        <v>0.64739419340346549</v>
      </c>
      <c r="W17" s="112">
        <v>702515.04799999995</v>
      </c>
      <c r="X17" s="106"/>
      <c r="Y17" s="3254">
        <f>327160*12/9</f>
        <v>436213.33333333331</v>
      </c>
      <c r="AA17" s="112">
        <v>692450</v>
      </c>
      <c r="AB17" s="113">
        <v>535870</v>
      </c>
      <c r="AC17" s="106"/>
      <c r="AD17" s="476">
        <f t="shared" si="10"/>
        <v>0.77387537006282037</v>
      </c>
      <c r="AF17" s="112">
        <v>985905.87699999998</v>
      </c>
      <c r="AG17" s="106"/>
      <c r="AH17" s="3254">
        <v>815607.00899999996</v>
      </c>
      <c r="AJ17" s="112">
        <v>778470</v>
      </c>
      <c r="AK17" s="106"/>
      <c r="AL17" s="3254">
        <v>778470</v>
      </c>
      <c r="AN17" s="112">
        <f t="shared" ref="AN17:AN19" si="14">AJ17</f>
        <v>778470</v>
      </c>
      <c r="AO17" s="113">
        <v>680700</v>
      </c>
      <c r="AP17" s="106"/>
      <c r="AQ17" s="476">
        <f t="shared" si="11"/>
        <v>0.8744074916181741</v>
      </c>
      <c r="AS17" s="112">
        <v>716320</v>
      </c>
      <c r="AT17" s="106"/>
      <c r="AU17" s="3254">
        <v>531790</v>
      </c>
      <c r="AV17" s="476">
        <f t="shared" si="12"/>
        <v>0.74239166852803218</v>
      </c>
      <c r="AY17" s="112">
        <v>863166.495</v>
      </c>
      <c r="AZ17" s="106"/>
      <c r="BA17" s="3356">
        <f t="shared" si="13"/>
        <v>640807.61444054334</v>
      </c>
      <c r="BC17" s="26"/>
      <c r="BD17" s="26"/>
    </row>
    <row r="18" spans="1:56" x14ac:dyDescent="0.35">
      <c r="A18" s="9168"/>
      <c r="B18" s="6082"/>
      <c r="C18" s="110" t="s">
        <v>1169</v>
      </c>
      <c r="D18" s="60">
        <v>2</v>
      </c>
      <c r="F18" s="163">
        <v>68340.137256000002</v>
      </c>
      <c r="G18" s="1569"/>
      <c r="H18" s="242">
        <v>94004</v>
      </c>
      <c r="I18" s="243">
        <v>105097.20138</v>
      </c>
      <c r="J18" s="1570">
        <f t="shared" si="6"/>
        <v>1.1180077590315305</v>
      </c>
      <c r="K18" s="274"/>
      <c r="L18" s="242">
        <v>112940</v>
      </c>
      <c r="M18" s="66">
        <f t="shared" si="7"/>
        <v>126267.79630502105</v>
      </c>
      <c r="O18" s="242">
        <f>164338249000/1000000</f>
        <v>164338.24900000001</v>
      </c>
      <c r="P18" s="66">
        <f t="shared" si="8"/>
        <v>183731.43748765567</v>
      </c>
      <c r="R18" s="242">
        <f>164338249000/1000000</f>
        <v>164338.24900000001</v>
      </c>
      <c r="S18" s="243">
        <v>164338</v>
      </c>
      <c r="T18" s="106"/>
      <c r="U18" s="476">
        <f t="shared" si="9"/>
        <v>0.99999848483234111</v>
      </c>
      <c r="W18" s="242">
        <v>195161.296</v>
      </c>
      <c r="X18" s="106"/>
      <c r="Y18" s="3272">
        <v>195161</v>
      </c>
      <c r="AA18" s="242">
        <v>195160</v>
      </c>
      <c r="AB18" s="243">
        <v>229100</v>
      </c>
      <c r="AC18" s="106"/>
      <c r="AD18" s="476">
        <f t="shared" si="10"/>
        <v>1.1739085878253741</v>
      </c>
      <c r="AF18" s="112">
        <v>67691.691000000006</v>
      </c>
      <c r="AG18" s="106"/>
      <c r="AH18" s="3254">
        <v>75000</v>
      </c>
      <c r="AJ18" s="112">
        <v>99710</v>
      </c>
      <c r="AK18" s="106"/>
      <c r="AL18" s="3254">
        <v>97320</v>
      </c>
      <c r="AN18" s="112">
        <f t="shared" si="14"/>
        <v>99710</v>
      </c>
      <c r="AO18" s="243">
        <v>97320</v>
      </c>
      <c r="AP18" s="106"/>
      <c r="AQ18" s="476">
        <f t="shared" si="11"/>
        <v>0.9760304884164076</v>
      </c>
      <c r="AS18" s="112">
        <v>100000</v>
      </c>
      <c r="AT18" s="106"/>
      <c r="AU18" s="3254">
        <v>117070</v>
      </c>
      <c r="AV18" s="476">
        <f t="shared" si="12"/>
        <v>1.1707000000000001</v>
      </c>
      <c r="AY18" s="112">
        <v>123280</v>
      </c>
      <c r="AZ18" s="106"/>
      <c r="BA18" s="3356">
        <f t="shared" si="13"/>
        <v>144323.89600000001</v>
      </c>
      <c r="BC18" s="26"/>
      <c r="BD18" s="26"/>
    </row>
    <row r="19" spans="1:56" x14ac:dyDescent="0.35">
      <c r="A19" s="9168"/>
      <c r="B19" s="128"/>
      <c r="C19" s="129" t="s">
        <v>903</v>
      </c>
      <c r="D19" s="87"/>
      <c r="F19" s="130">
        <f>SUM(F16:F18)</f>
        <v>1158365.3308610001</v>
      </c>
      <c r="G19" s="235"/>
      <c r="H19" s="131">
        <f>SUM(H16:H18)</f>
        <v>1675058.29425</v>
      </c>
      <c r="I19" s="131">
        <f>SUM(I16:I18)</f>
        <v>1684908.0133690001</v>
      </c>
      <c r="J19" s="484">
        <f t="shared" si="6"/>
        <v>1.0058802246780374</v>
      </c>
      <c r="L19" s="131">
        <f>SUM(L16:L18)</f>
        <v>1833481.02</v>
      </c>
      <c r="M19" s="92">
        <f>SUM(M16:M18)</f>
        <v>1851566.7761235505</v>
      </c>
      <c r="O19" s="131">
        <f>SUM(O16:O18)</f>
        <v>1804114.3350000002</v>
      </c>
      <c r="P19" s="92">
        <f t="shared" si="8"/>
        <v>1814722.9326346682</v>
      </c>
      <c r="R19" s="242">
        <f>SUM(R16:R18)</f>
        <v>1804114.3350000002</v>
      </c>
      <c r="S19" s="242">
        <f>SUM(S16:S18)</f>
        <v>1547258</v>
      </c>
      <c r="T19" s="106"/>
      <c r="U19" s="476">
        <f t="shared" si="9"/>
        <v>0.85762746295123238</v>
      </c>
      <c r="W19" s="131">
        <f>+SUM(W16:W18)</f>
        <v>1823133.477</v>
      </c>
      <c r="X19" s="216"/>
      <c r="Y19" s="130">
        <f>SUM(Y16:Y18)</f>
        <v>1728947.6666666665</v>
      </c>
      <c r="AA19" s="242">
        <f>+SUM(AA16:AA18)</f>
        <v>1945220</v>
      </c>
      <c r="AB19" s="242">
        <f>SUM(AB16:AB18)</f>
        <v>1816020</v>
      </c>
      <c r="AC19" s="106"/>
      <c r="AD19" s="476">
        <f t="shared" si="10"/>
        <v>0.93358077749560464</v>
      </c>
      <c r="AF19" s="131">
        <f>+SUM(AF16:AF18)</f>
        <v>2317783.2820000001</v>
      </c>
      <c r="AG19" s="216"/>
      <c r="AH19" s="130">
        <f>SUM(AH16:AH18)</f>
        <v>2116416.5929999999</v>
      </c>
      <c r="AJ19" s="131">
        <f>+SUM(AJ16:AJ18)</f>
        <v>2191940</v>
      </c>
      <c r="AK19" s="216"/>
      <c r="AL19" s="130">
        <f>SUM(AL16:AL18)</f>
        <v>2172030</v>
      </c>
      <c r="AN19" s="112">
        <f t="shared" si="14"/>
        <v>2191940</v>
      </c>
      <c r="AO19" s="242">
        <f>SUM(AO16:AO18)</f>
        <v>2074260</v>
      </c>
      <c r="AP19" s="106"/>
      <c r="AQ19" s="476">
        <f t="shared" si="11"/>
        <v>0.94631239906201814</v>
      </c>
      <c r="AS19" s="131">
        <f>SUM(AS16:AS18)</f>
        <v>2366670</v>
      </c>
      <c r="AT19" s="216"/>
      <c r="AU19" s="131">
        <f>SUM(AU16:AU18)</f>
        <v>2141580</v>
      </c>
      <c r="AV19" s="476">
        <f t="shared" si="12"/>
        <v>0.90489168325115032</v>
      </c>
      <c r="AY19" s="131">
        <f>SUM(AY16:AY18)</f>
        <v>2502419.4950000001</v>
      </c>
      <c r="AZ19" s="216"/>
      <c r="BA19" s="3356">
        <f>SUM(BA16:BA18)</f>
        <v>2244752.3809278528</v>
      </c>
      <c r="BC19" s="24"/>
      <c r="BD19" s="24"/>
    </row>
    <row r="20" spans="1:56" x14ac:dyDescent="0.35">
      <c r="A20" s="9168"/>
      <c r="B20" s="139" t="s">
        <v>904</v>
      </c>
      <c r="C20" s="49"/>
      <c r="D20" s="140"/>
      <c r="E20" s="141"/>
      <c r="F20" s="1578"/>
      <c r="G20" s="1579"/>
      <c r="H20" s="1580"/>
      <c r="I20" s="150"/>
      <c r="J20" s="486"/>
      <c r="K20" s="141"/>
      <c r="L20" s="147"/>
      <c r="M20" s="148"/>
      <c r="N20" s="141"/>
      <c r="O20" s="147"/>
      <c r="P20" s="148"/>
      <c r="Q20" s="141"/>
      <c r="R20" s="147"/>
      <c r="S20" s="150"/>
      <c r="T20" s="152"/>
      <c r="U20" s="486"/>
      <c r="V20" s="141"/>
      <c r="W20" s="5003"/>
      <c r="X20" s="312"/>
      <c r="Y20" s="6003"/>
      <c r="Z20" s="141"/>
      <c r="AA20" s="147"/>
      <c r="AB20" s="150"/>
      <c r="AC20" s="5171" t="s">
        <v>1162</v>
      </c>
      <c r="AD20" s="486"/>
      <c r="AE20" s="141"/>
      <c r="AF20" s="3237" t="s">
        <v>1163</v>
      </c>
      <c r="AG20" s="6001" t="s">
        <v>1164</v>
      </c>
      <c r="AH20" s="6002" t="s">
        <v>1161</v>
      </c>
      <c r="AI20" s="141"/>
      <c r="AJ20" s="3237" t="s">
        <v>1163</v>
      </c>
      <c r="AK20" s="6001" t="s">
        <v>1164</v>
      </c>
      <c r="AL20" s="6002" t="s">
        <v>1161</v>
      </c>
      <c r="AM20" s="141"/>
      <c r="AN20" s="147"/>
      <c r="AO20" s="150"/>
      <c r="AP20" s="5171" t="s">
        <v>1162</v>
      </c>
      <c r="AQ20" s="486"/>
      <c r="AR20" s="141"/>
      <c r="AS20" s="3237" t="s">
        <v>1163</v>
      </c>
      <c r="AT20" s="6001" t="s">
        <v>1164</v>
      </c>
      <c r="AU20" s="6002" t="s">
        <v>1161</v>
      </c>
      <c r="AV20" s="486"/>
      <c r="AW20" s="141"/>
      <c r="AX20" s="141"/>
      <c r="AY20" s="3237"/>
      <c r="AZ20" s="6001" t="s">
        <v>1170</v>
      </c>
      <c r="BA20" s="7776"/>
      <c r="BB20" s="141"/>
      <c r="BC20" s="18" t="s">
        <v>1167</v>
      </c>
      <c r="BD20" s="18" t="s">
        <v>1167</v>
      </c>
    </row>
    <row r="21" spans="1:56" x14ac:dyDescent="0.35">
      <c r="A21" s="9168"/>
      <c r="B21" s="6082"/>
      <c r="C21" s="110" t="s">
        <v>905</v>
      </c>
      <c r="D21" s="60">
        <v>3</v>
      </c>
      <c r="F21" s="163">
        <v>281367.72543599998</v>
      </c>
      <c r="G21" s="235"/>
      <c r="H21" s="164">
        <v>366265.39810799999</v>
      </c>
      <c r="I21" s="165">
        <v>353663.75520700001</v>
      </c>
      <c r="J21" s="476">
        <f>IF(H21=0,0,I21/H21)</f>
        <v>0.96559423039660397</v>
      </c>
      <c r="L21" s="156">
        <v>401045.125</v>
      </c>
      <c r="M21" s="157">
        <f t="shared" ref="M21:M24" si="15">L21*J21</f>
        <v>387246.85882868484</v>
      </c>
      <c r="O21" s="156">
        <f>469214720000/1000000</f>
        <v>469214.71999999997</v>
      </c>
      <c r="P21" s="157">
        <f t="shared" ref="P21:P24" si="16">O21*J21</f>
        <v>453071.02644915797</v>
      </c>
      <c r="R21" s="156">
        <f>469214720000/1000000</f>
        <v>469214.71999999997</v>
      </c>
      <c r="S21" s="165">
        <f>245770*2</f>
        <v>491540</v>
      </c>
      <c r="T21" s="312"/>
      <c r="U21" s="476">
        <f t="shared" ref="U21:U24" si="17">S21/R21</f>
        <v>1.0475800929689505</v>
      </c>
      <c r="W21" s="156">
        <v>487616.77</v>
      </c>
      <c r="X21" s="312" t="s">
        <v>1112</v>
      </c>
      <c r="Y21" s="276">
        <f>399250*1.33333333333333</f>
        <v>532333.33333333198</v>
      </c>
      <c r="AA21" s="156">
        <v>557950</v>
      </c>
      <c r="AB21" s="165">
        <v>557770</v>
      </c>
      <c r="AC21" s="312"/>
      <c r="AD21" s="476">
        <f t="shared" ref="AD21:AD24" si="18">AB21/AA21</f>
        <v>0.99967739044717263</v>
      </c>
      <c r="AF21" s="156">
        <v>620886.31400000001</v>
      </c>
      <c r="AG21" s="312"/>
      <c r="AH21" s="276">
        <v>617950.71900000004</v>
      </c>
      <c r="AJ21" s="156">
        <v>705520</v>
      </c>
      <c r="AK21" s="312"/>
      <c r="AL21" s="276">
        <v>705110</v>
      </c>
      <c r="AN21" s="156">
        <v>705520</v>
      </c>
      <c r="AO21" s="165">
        <v>705110</v>
      </c>
      <c r="AP21" s="312"/>
      <c r="AQ21" s="476">
        <f t="shared" ref="AQ21:AQ24" si="19">AO21/AN21</f>
        <v>0.99941886835242089</v>
      </c>
      <c r="AS21" s="156">
        <v>845900</v>
      </c>
      <c r="AT21" s="312"/>
      <c r="AU21" s="276">
        <v>844430</v>
      </c>
      <c r="AV21" s="476">
        <f>IF(AS21=0,"**",AU21/AS21)</f>
        <v>0.99826220593450765</v>
      </c>
      <c r="AY21" s="156">
        <v>878000</v>
      </c>
      <c r="AZ21" s="312"/>
      <c r="BA21" s="3356">
        <f>AY21*AV21</f>
        <v>876474.21681049769</v>
      </c>
      <c r="BC21" s="26"/>
      <c r="BD21" s="26"/>
    </row>
    <row r="22" spans="1:56" x14ac:dyDescent="0.35">
      <c r="A22" s="9168"/>
      <c r="B22" s="6082"/>
      <c r="C22" s="110" t="s">
        <v>907</v>
      </c>
      <c r="D22" s="60">
        <v>4</v>
      </c>
      <c r="F22" s="155">
        <v>170775.39397800001</v>
      </c>
      <c r="G22" s="235"/>
      <c r="H22" s="117">
        <v>177656.69290699999</v>
      </c>
      <c r="I22" s="115">
        <v>242041.518786</v>
      </c>
      <c r="J22" s="476">
        <f t="shared" ref="J22:J23" si="20">IF(H22=0,0,I22/H22)</f>
        <v>1.3624114849008491</v>
      </c>
      <c r="L22" s="156"/>
      <c r="M22" s="157">
        <f t="shared" si="15"/>
        <v>0</v>
      </c>
      <c r="O22" s="156"/>
      <c r="P22" s="157">
        <f t="shared" si="16"/>
        <v>0</v>
      </c>
      <c r="R22" s="156"/>
      <c r="S22" s="115"/>
      <c r="T22" s="312"/>
      <c r="U22" s="476" t="e">
        <f t="shared" si="17"/>
        <v>#DIV/0!</v>
      </c>
      <c r="W22" s="156"/>
      <c r="X22" s="312"/>
      <c r="Y22" s="3265"/>
      <c r="AA22" s="156"/>
      <c r="AB22" s="115"/>
      <c r="AC22" s="312"/>
      <c r="AD22" s="476" t="e">
        <f t="shared" si="18"/>
        <v>#DIV/0!</v>
      </c>
      <c r="AF22" s="156"/>
      <c r="AG22" s="312"/>
      <c r="AH22" s="3265"/>
      <c r="AJ22" s="156"/>
      <c r="AK22" s="312"/>
      <c r="AL22" s="3265"/>
      <c r="AN22" s="156"/>
      <c r="AO22" s="115"/>
      <c r="AP22" s="312"/>
      <c r="AQ22" s="476" t="e">
        <f t="shared" si="19"/>
        <v>#DIV/0!</v>
      </c>
      <c r="AS22" s="156"/>
      <c r="AT22" s="312"/>
      <c r="AU22" s="3265"/>
      <c r="AV22" s="476" t="str">
        <f t="shared" ref="AV22:AV24" si="21">IF(AS22=0,"**",AU22/AS22)</f>
        <v>**</v>
      </c>
      <c r="AY22" s="156"/>
      <c r="AZ22" s="312"/>
      <c r="BA22" s="3356"/>
      <c r="BC22" s="26"/>
      <c r="BD22" s="26"/>
    </row>
    <row r="23" spans="1:56" x14ac:dyDescent="0.35">
      <c r="A23" s="9168"/>
      <c r="B23" s="6082"/>
      <c r="C23" s="110" t="s">
        <v>908</v>
      </c>
      <c r="D23" s="60">
        <v>5</v>
      </c>
      <c r="F23" s="155">
        <v>17906.862039</v>
      </c>
      <c r="G23" s="235"/>
      <c r="H23" s="117">
        <v>17561.293000000001</v>
      </c>
      <c r="I23" s="115">
        <v>20600.125787000001</v>
      </c>
      <c r="J23" s="476">
        <f t="shared" si="20"/>
        <v>1.1730415173301874</v>
      </c>
      <c r="L23" s="4056">
        <f>L21*L25</f>
        <v>19228.873332637082</v>
      </c>
      <c r="M23" s="157">
        <f t="shared" si="15"/>
        <v>22556.266750666578</v>
      </c>
      <c r="O23" s="4056">
        <f>O21*O25</f>
        <v>22497.394567977295</v>
      </c>
      <c r="P23" s="157">
        <f t="shared" si="16"/>
        <v>26390.377859996002</v>
      </c>
      <c r="R23" s="4056">
        <f>R21*R25</f>
        <v>22497.394567977295</v>
      </c>
      <c r="S23" s="115"/>
      <c r="T23" s="312"/>
      <c r="U23" s="476">
        <f t="shared" si="17"/>
        <v>0</v>
      </c>
      <c r="W23" s="4056"/>
      <c r="X23" s="312"/>
      <c r="Y23" s="3265"/>
      <c r="AA23" s="4056"/>
      <c r="AB23" s="115"/>
      <c r="AC23" s="312"/>
      <c r="AD23" s="476" t="e">
        <f t="shared" si="18"/>
        <v>#DIV/0!</v>
      </c>
      <c r="AF23" s="4056"/>
      <c r="AG23" s="312"/>
      <c r="AH23" s="3265"/>
      <c r="AJ23" s="4056"/>
      <c r="AK23" s="312"/>
      <c r="AL23" s="3265"/>
      <c r="AN23" s="4056"/>
      <c r="AO23" s="115"/>
      <c r="AP23" s="312"/>
      <c r="AQ23" s="476" t="e">
        <f t="shared" si="19"/>
        <v>#DIV/0!</v>
      </c>
      <c r="AS23" s="4056"/>
      <c r="AT23" s="312"/>
      <c r="AU23" s="3265"/>
      <c r="AV23" s="476" t="str">
        <f t="shared" si="21"/>
        <v>**</v>
      </c>
      <c r="AY23" s="4056"/>
      <c r="AZ23" s="312"/>
      <c r="BA23" s="3356"/>
      <c r="BC23" s="26"/>
      <c r="BD23" s="26"/>
    </row>
    <row r="24" spans="1:56" x14ac:dyDescent="0.35">
      <c r="A24" s="9168"/>
      <c r="B24" s="6082"/>
      <c r="C24" s="161" t="s">
        <v>910</v>
      </c>
      <c r="D24" s="162"/>
      <c r="F24" s="163"/>
      <c r="G24" s="235"/>
      <c r="H24" s="164"/>
      <c r="I24" s="165"/>
      <c r="J24" s="476">
        <f>IF(H24=0,0,I24/H24)</f>
        <v>0</v>
      </c>
      <c r="L24" s="166"/>
      <c r="M24" s="157">
        <f t="shared" si="15"/>
        <v>0</v>
      </c>
      <c r="O24" s="166"/>
      <c r="P24" s="157">
        <f t="shared" si="16"/>
        <v>0</v>
      </c>
      <c r="R24" s="166"/>
      <c r="S24" s="165"/>
      <c r="T24" s="312"/>
      <c r="U24" s="476" t="e">
        <f t="shared" si="17"/>
        <v>#DIV/0!</v>
      </c>
      <c r="W24" s="166"/>
      <c r="X24" s="312"/>
      <c r="Y24" s="276"/>
      <c r="AA24" s="166"/>
      <c r="AB24" s="165"/>
      <c r="AC24" s="312"/>
      <c r="AD24" s="476" t="e">
        <f t="shared" si="18"/>
        <v>#DIV/0!</v>
      </c>
      <c r="AF24" s="166"/>
      <c r="AG24" s="312"/>
      <c r="AH24" s="276"/>
      <c r="AJ24" s="166"/>
      <c r="AK24" s="312"/>
      <c r="AL24" s="276"/>
      <c r="AN24" s="166"/>
      <c r="AO24" s="165"/>
      <c r="AP24" s="312"/>
      <c r="AQ24" s="476" t="e">
        <f t="shared" si="19"/>
        <v>#DIV/0!</v>
      </c>
      <c r="AS24" s="166"/>
      <c r="AT24" s="312"/>
      <c r="AU24" s="276"/>
      <c r="AV24" s="476" t="str">
        <f t="shared" si="21"/>
        <v>**</v>
      </c>
      <c r="AY24" s="166"/>
      <c r="AZ24" s="312"/>
      <c r="BA24" s="3356"/>
      <c r="BC24" s="26"/>
      <c r="BD24" s="26"/>
    </row>
    <row r="25" spans="1:56" x14ac:dyDescent="0.35">
      <c r="A25" s="9168"/>
      <c r="B25" s="128"/>
      <c r="C25" s="129" t="s">
        <v>914</v>
      </c>
      <c r="D25" s="87"/>
      <c r="F25" s="6004">
        <f>F23/F21</f>
        <v>6.364220349456215E-2</v>
      </c>
      <c r="G25" s="170"/>
      <c r="H25" s="6005">
        <f>H23/H21</f>
        <v>4.7946907053506967E-2</v>
      </c>
      <c r="I25" s="6006">
        <f>I23/I21</f>
        <v>5.8247772025557754E-2</v>
      </c>
      <c r="J25" s="494"/>
      <c r="K25" s="170"/>
      <c r="L25" s="6007">
        <f>H25</f>
        <v>4.7946907053506967E-2</v>
      </c>
      <c r="M25" s="6008">
        <f>M23/M21</f>
        <v>5.8247772025557747E-2</v>
      </c>
      <c r="N25" s="176"/>
      <c r="O25" s="6007">
        <f>L25</f>
        <v>4.7946907053506967E-2</v>
      </c>
      <c r="P25" s="6008">
        <f>P23/P21</f>
        <v>5.8247772025557754E-2</v>
      </c>
      <c r="Q25" s="176"/>
      <c r="R25" s="6007">
        <f>O25</f>
        <v>4.7946907053506967E-2</v>
      </c>
      <c r="S25" s="6006">
        <f>R25</f>
        <v>4.7946907053506967E-2</v>
      </c>
      <c r="T25" s="6009"/>
      <c r="U25" s="494"/>
      <c r="V25" s="176"/>
      <c r="W25" s="6007">
        <f>R25</f>
        <v>4.7946907053506967E-2</v>
      </c>
      <c r="X25" s="6009"/>
      <c r="Y25" s="6010">
        <f>S25</f>
        <v>4.7946907053506967E-2</v>
      </c>
      <c r="Z25" s="176"/>
      <c r="AA25" s="6007">
        <f>V25</f>
        <v>0</v>
      </c>
      <c r="AB25" s="6006">
        <f>V25</f>
        <v>0</v>
      </c>
      <c r="AC25" s="6009"/>
      <c r="AD25" s="494"/>
      <c r="AE25" s="176"/>
      <c r="AF25" s="6007">
        <f>AA25</f>
        <v>0</v>
      </c>
      <c r="AG25" s="6009"/>
      <c r="AH25" s="6010">
        <f>AB25</f>
        <v>0</v>
      </c>
      <c r="AI25" s="176"/>
      <c r="AJ25" s="6007">
        <f>AE25</f>
        <v>0</v>
      </c>
      <c r="AK25" s="6009"/>
      <c r="AL25" s="6010">
        <f>AF25</f>
        <v>0</v>
      </c>
      <c r="AM25" s="176"/>
      <c r="AN25" s="6007">
        <f>AI25</f>
        <v>0</v>
      </c>
      <c r="AO25" s="6006">
        <f>AI25</f>
        <v>0</v>
      </c>
      <c r="AP25" s="6009"/>
      <c r="AQ25" s="494"/>
      <c r="AR25" s="176"/>
      <c r="AS25" s="6007">
        <f>AN25</f>
        <v>0</v>
      </c>
      <c r="AT25" s="6009"/>
      <c r="AU25" s="6010">
        <f>AO25</f>
        <v>0</v>
      </c>
      <c r="AV25" s="494"/>
      <c r="AW25" s="176"/>
      <c r="AX25" s="176"/>
      <c r="AY25" s="6007">
        <f>AT25</f>
        <v>0</v>
      </c>
      <c r="AZ25" s="6009"/>
      <c r="BA25" s="7777">
        <f>AU25</f>
        <v>0</v>
      </c>
      <c r="BB25" s="176"/>
      <c r="BC25" s="24"/>
      <c r="BD25" s="24"/>
    </row>
    <row r="26" spans="1:56" x14ac:dyDescent="0.35">
      <c r="A26" s="9169"/>
      <c r="B26" s="499" t="s">
        <v>915</v>
      </c>
      <c r="C26" s="500"/>
      <c r="D26" s="501"/>
      <c r="F26" s="502"/>
      <c r="H26" s="503"/>
      <c r="I26" s="504"/>
      <c r="J26" s="505">
        <f>IF(H26=0,0,I26/H26)</f>
        <v>0</v>
      </c>
      <c r="L26" s="503"/>
      <c r="M26" s="506"/>
      <c r="O26" s="503"/>
      <c r="P26" s="506">
        <f t="shared" ref="P26" si="22">O26*J26</f>
        <v>0</v>
      </c>
      <c r="R26" s="217"/>
      <c r="S26" s="845"/>
      <c r="T26" s="3054"/>
      <c r="U26" s="484" t="e">
        <f>S26/R26</f>
        <v>#DIV/0!</v>
      </c>
      <c r="W26" s="217"/>
      <c r="X26" s="3054"/>
      <c r="Y26" s="3964"/>
      <c r="AA26" s="217"/>
      <c r="AB26" s="845"/>
      <c r="AC26" s="3054"/>
      <c r="AD26" s="484" t="e">
        <f>AB26/AA26</f>
        <v>#DIV/0!</v>
      </c>
      <c r="AF26" s="217"/>
      <c r="AG26" s="3054"/>
      <c r="AH26" s="3964"/>
      <c r="AJ26" s="217"/>
      <c r="AK26" s="3054"/>
      <c r="AL26" s="3964"/>
      <c r="AN26" s="217"/>
      <c r="AO26" s="845"/>
      <c r="AP26" s="3054"/>
      <c r="AQ26" s="484" t="e">
        <f>AO26/AN26</f>
        <v>#DIV/0!</v>
      </c>
      <c r="AS26" s="217"/>
      <c r="AT26" s="3054"/>
      <c r="AU26" s="3964"/>
      <c r="AV26" s="484" t="str">
        <f>IF(AS26=0,"**",AU26/AS26)</f>
        <v>**</v>
      </c>
      <c r="AY26" s="217"/>
      <c r="AZ26" s="3054"/>
      <c r="BA26" s="5360"/>
      <c r="BC26" s="509"/>
      <c r="BD26" s="509"/>
    </row>
    <row r="27" spans="1:56" x14ac:dyDescent="0.35">
      <c r="A27" s="220"/>
      <c r="B27" s="220"/>
      <c r="F27" s="106"/>
      <c r="H27" s="106"/>
      <c r="I27" s="106"/>
      <c r="J27" s="221"/>
      <c r="L27" s="106"/>
      <c r="O27" s="106"/>
      <c r="R27" s="106"/>
      <c r="S27" s="106"/>
      <c r="U27" s="221"/>
      <c r="W27" s="106"/>
      <c r="Y27" s="106"/>
      <c r="AA27" s="106"/>
      <c r="AB27" s="106"/>
      <c r="AD27" s="221"/>
      <c r="AF27" s="106"/>
      <c r="AH27" s="106"/>
      <c r="AJ27" s="106"/>
      <c r="AL27" s="106"/>
      <c r="AN27" s="106"/>
      <c r="AO27" s="106"/>
      <c r="AQ27" s="221"/>
      <c r="AS27" s="106"/>
      <c r="AU27" s="106"/>
      <c r="AV27" s="3623"/>
      <c r="AY27" s="106"/>
      <c r="BA27" s="106"/>
    </row>
    <row r="28" spans="1:56" ht="36" customHeight="1" x14ac:dyDescent="0.35">
      <c r="A28" s="9167" t="s">
        <v>916</v>
      </c>
      <c r="B28" s="27"/>
      <c r="C28" s="28" t="s">
        <v>427</v>
      </c>
      <c r="D28" s="42" t="s">
        <v>428</v>
      </c>
      <c r="E28" s="30"/>
      <c r="F28" s="31"/>
      <c r="G28" s="510"/>
      <c r="H28" s="31" t="s">
        <v>1126</v>
      </c>
      <c r="I28" s="31" t="s">
        <v>1126</v>
      </c>
      <c r="J28" s="224"/>
      <c r="K28" s="223"/>
      <c r="L28" s="36" t="s">
        <v>1171</v>
      </c>
      <c r="M28" s="511"/>
      <c r="N28" s="30"/>
      <c r="O28" s="36" t="s">
        <v>1172</v>
      </c>
      <c r="P28" s="511"/>
      <c r="Q28" s="30"/>
      <c r="R28" s="31" t="s">
        <v>1128</v>
      </c>
      <c r="S28" s="31" t="s">
        <v>1128</v>
      </c>
      <c r="T28" s="511"/>
      <c r="U28" s="224"/>
      <c r="V28" s="30"/>
      <c r="W28" s="31" t="s">
        <v>1173</v>
      </c>
      <c r="X28" s="511"/>
      <c r="Y28" s="31" t="s">
        <v>1173</v>
      </c>
      <c r="Z28" s="30"/>
      <c r="AA28" s="9155" t="s">
        <v>1131</v>
      </c>
      <c r="AB28" s="9156"/>
      <c r="AC28" s="5999" t="s">
        <v>1132</v>
      </c>
      <c r="AD28" s="224"/>
      <c r="AE28" s="30"/>
      <c r="AF28" s="31" t="s">
        <v>1174</v>
      </c>
      <c r="AG28" s="1612" t="s">
        <v>1175</v>
      </c>
      <c r="AH28" s="472" t="s">
        <v>1176</v>
      </c>
      <c r="AI28" s="30"/>
      <c r="AJ28" s="31" t="s">
        <v>1177</v>
      </c>
      <c r="AK28" s="4767" t="s">
        <v>1125</v>
      </c>
      <c r="AL28" s="31" t="s">
        <v>1134</v>
      </c>
      <c r="AM28" s="30"/>
      <c r="AN28" s="9155" t="s">
        <v>1178</v>
      </c>
      <c r="AO28" s="9156"/>
      <c r="AP28" s="5999"/>
      <c r="AQ28" s="224"/>
      <c r="AR28" s="30"/>
      <c r="AS28" s="31" t="s">
        <v>1135</v>
      </c>
      <c r="AT28" s="3220" t="s">
        <v>1136</v>
      </c>
      <c r="AU28" s="31" t="s">
        <v>1135</v>
      </c>
      <c r="AV28" s="6216"/>
      <c r="AW28" s="30"/>
      <c r="AX28" s="30"/>
      <c r="AY28" s="31" t="s">
        <v>1179</v>
      </c>
      <c r="AZ28" s="4767"/>
      <c r="BA28" s="7778" t="s">
        <v>1180</v>
      </c>
      <c r="BB28" s="30"/>
      <c r="BC28" s="39"/>
      <c r="BD28" s="39"/>
    </row>
    <row r="29" spans="1:56" x14ac:dyDescent="0.35">
      <c r="A29" s="9168"/>
      <c r="B29" s="141" t="s">
        <v>925</v>
      </c>
      <c r="C29"/>
      <c r="D29" s="140"/>
      <c r="E29" s="143"/>
      <c r="F29" s="227"/>
      <c r="G29" s="143"/>
      <c r="H29" s="102"/>
      <c r="I29" s="103"/>
      <c r="J29" s="228"/>
      <c r="K29" s="143"/>
      <c r="L29" s="102"/>
      <c r="M29" s="229"/>
      <c r="N29" s="143"/>
      <c r="O29" s="102"/>
      <c r="P29" s="229"/>
      <c r="Q29" s="143"/>
      <c r="R29" s="102"/>
      <c r="S29" s="103" t="s">
        <v>1181</v>
      </c>
      <c r="U29" s="228"/>
      <c r="V29" s="143"/>
      <c r="W29" s="102"/>
      <c r="Y29" s="105" t="s">
        <v>1182</v>
      </c>
      <c r="Z29" s="143"/>
      <c r="AA29" s="5848" t="s">
        <v>1183</v>
      </c>
      <c r="AB29" s="5849" t="s">
        <v>1184</v>
      </c>
      <c r="AC29" s="3252" t="s">
        <v>1185</v>
      </c>
      <c r="AD29" s="228"/>
      <c r="AE29" s="143"/>
      <c r="AF29" s="102"/>
      <c r="AG29" s="348"/>
      <c r="AH29" s="105" t="s">
        <v>1182</v>
      </c>
      <c r="AI29" s="143"/>
      <c r="AJ29" s="102"/>
      <c r="AK29" s="348"/>
      <c r="AL29" s="105"/>
      <c r="AM29" s="143"/>
      <c r="AN29" s="5848" t="s">
        <v>1183</v>
      </c>
      <c r="AO29" s="5849" t="s">
        <v>1184</v>
      </c>
      <c r="AP29" s="3252"/>
      <c r="AQ29" s="228"/>
      <c r="AR29" s="143"/>
      <c r="AS29" s="102"/>
      <c r="AT29" s="348"/>
      <c r="AU29" s="105"/>
      <c r="AV29" s="516"/>
      <c r="AW29" s="143"/>
      <c r="AX29" s="143"/>
      <c r="AY29" s="102"/>
      <c r="AZ29" s="5171"/>
      <c r="BA29" s="7776"/>
      <c r="BB29" s="143"/>
      <c r="BC29" s="18"/>
      <c r="BD29" s="18"/>
    </row>
    <row r="30" spans="1:56" x14ac:dyDescent="0.35">
      <c r="A30" s="9168"/>
      <c r="B30" s="232"/>
      <c r="C30" s="232" t="s">
        <v>1186</v>
      </c>
      <c r="D30" s="60"/>
      <c r="F30" s="111">
        <v>79868.050145999994</v>
      </c>
      <c r="H30" s="112">
        <v>168758.96100000001</v>
      </c>
      <c r="I30" s="113">
        <v>158662.218097</v>
      </c>
      <c r="J30" s="476">
        <f>IF(H30=0,0,I30/H30)</f>
        <v>0.94017062653638872</v>
      </c>
      <c r="L30" s="112">
        <f>L62+8473.413+29147.995+33962.002</f>
        <v>188336.049</v>
      </c>
      <c r="M30" s="157">
        <f t="shared" ref="M30:M35" si="23">L30*J30</f>
        <v>177068.021187718</v>
      </c>
      <c r="O30" s="112">
        <f>185510261000/1000000</f>
        <v>185510.261</v>
      </c>
      <c r="P30" s="157">
        <f t="shared" ref="P30:P71" si="24">O30*J30</f>
        <v>174411.29831329899</v>
      </c>
      <c r="R30" s="112">
        <f>199630.123-R31</f>
        <v>184442.666</v>
      </c>
      <c r="S30" s="113">
        <f>88028.851492*12/6-S31</f>
        <v>161953.71660799999</v>
      </c>
      <c r="T30" s="312" t="s">
        <v>1187</v>
      </c>
      <c r="U30" s="476">
        <f t="shared" ref="U30:U35" si="25">S30/R30</f>
        <v>0.87807078546565787</v>
      </c>
      <c r="W30" s="112">
        <f>241890.841-W31</f>
        <v>213763.49</v>
      </c>
      <c r="X30" s="312" t="s">
        <v>1188</v>
      </c>
      <c r="Y30" s="3254">
        <f>190577.728367*12/9-Y31</f>
        <v>233051.16702266666</v>
      </c>
      <c r="AA30" s="112">
        <f>198951.435+18257.799+31674.28</f>
        <v>248883.514</v>
      </c>
      <c r="AB30" s="113">
        <f>198951.438+18213.157+31673.833</f>
        <v>248838.42800000001</v>
      </c>
      <c r="AC30" s="2990" t="s">
        <v>1189</v>
      </c>
      <c r="AD30" s="476">
        <f t="shared" ref="AD30:AD35" si="26">AB30/AA30</f>
        <v>0.99981884698076073</v>
      </c>
      <c r="AF30" s="112">
        <v>262651.054</v>
      </c>
      <c r="AG30" s="312" t="s">
        <v>1190</v>
      </c>
      <c r="AH30" s="66">
        <f>AF30*AD30</f>
        <v>262603.47396856151</v>
      </c>
      <c r="AJ30" s="112">
        <v>317622.33799999999</v>
      </c>
      <c r="AK30" s="312"/>
      <c r="AL30" s="1034">
        <v>367724.26115999999</v>
      </c>
      <c r="AN30" s="112">
        <f>AJ30</f>
        <v>317622.33799999999</v>
      </c>
      <c r="AO30" s="113">
        <f>AL30</f>
        <v>367724.26115999999</v>
      </c>
      <c r="AP30" s="2990" t="s">
        <v>1191</v>
      </c>
      <c r="AQ30" s="476">
        <f t="shared" ref="AQ30:AQ35" si="27">AO30/AN30</f>
        <v>1.1577405527441209</v>
      </c>
      <c r="AS30" s="112">
        <f>385990.284+24819.619868+24807.102775</f>
        <v>435617.00664299994</v>
      </c>
      <c r="AT30" s="312" t="s">
        <v>1192</v>
      </c>
      <c r="AU30" s="276">
        <f>385926.061559+24286.611315+24171.315743</f>
        <v>434383.988617</v>
      </c>
      <c r="AV30" s="476">
        <f t="shared" ref="AV30:AV35" si="28">IF(AS30=0,"**",AU30/AS30)</f>
        <v>0.99716949061400983</v>
      </c>
      <c r="AY30" s="112">
        <f>448944.465</f>
        <v>448944.46500000003</v>
      </c>
      <c r="AZ30" s="4901" t="s">
        <v>1193</v>
      </c>
      <c r="BA30" s="3356">
        <f t="shared" ref="BA30:BA35" si="29">AY30*AV30</f>
        <v>447673.72347802919</v>
      </c>
      <c r="BC30" s="26"/>
      <c r="BD30" s="26"/>
    </row>
    <row r="31" spans="1:56" x14ac:dyDescent="0.35">
      <c r="A31" s="9168"/>
      <c r="B31" s="232"/>
      <c r="C31" s="232" t="s">
        <v>1194</v>
      </c>
      <c r="D31" s="60"/>
      <c r="F31" s="111"/>
      <c r="H31" s="112"/>
      <c r="I31" s="113"/>
      <c r="J31" s="476"/>
      <c r="L31" s="112"/>
      <c r="M31" s="157"/>
      <c r="O31" s="114"/>
      <c r="P31" s="157"/>
      <c r="R31" s="114">
        <v>15187.457</v>
      </c>
      <c r="S31" s="113">
        <f>7051.993188*12/6</f>
        <v>14103.986376000001</v>
      </c>
      <c r="T31" s="312"/>
      <c r="U31" s="476"/>
      <c r="W31" s="114">
        <v>28127.350999999999</v>
      </c>
      <c r="X31" s="312"/>
      <c r="Y31" s="3254">
        <f>15789.3531*12/9</f>
        <v>21052.470799999999</v>
      </c>
      <c r="AA31" s="114">
        <v>18053.675999999999</v>
      </c>
      <c r="AB31" s="113">
        <v>17419.79</v>
      </c>
      <c r="AC31" s="4901" t="s">
        <v>1195</v>
      </c>
      <c r="AD31" s="476">
        <f t="shared" si="26"/>
        <v>0.96488881267172411</v>
      </c>
      <c r="AF31" s="114">
        <v>61566.667000000001</v>
      </c>
      <c r="AG31" s="312"/>
      <c r="AH31" s="66">
        <f t="shared" ref="AH31:AH35" si="30">AF31*AD31</f>
        <v>59404.988221785417</v>
      </c>
      <c r="AJ31" s="114">
        <v>17395.849999999999</v>
      </c>
      <c r="AK31" s="312"/>
      <c r="AL31" s="482">
        <v>12751.318809</v>
      </c>
      <c r="AN31" s="112">
        <f t="shared" ref="AN31:AN35" si="31">AJ31</f>
        <v>17395.849999999999</v>
      </c>
      <c r="AO31" s="113">
        <f t="shared" ref="AO31:AO35" si="32">AL31</f>
        <v>12751.318809</v>
      </c>
      <c r="AP31" s="4901" t="s">
        <v>1059</v>
      </c>
      <c r="AQ31" s="476">
        <f t="shared" si="27"/>
        <v>0.73300924122707434</v>
      </c>
      <c r="AS31" s="114">
        <v>11729.321357000001</v>
      </c>
      <c r="AT31" s="312" t="s">
        <v>1196</v>
      </c>
      <c r="AU31" s="3265">
        <v>11195.565943</v>
      </c>
      <c r="AV31" s="476">
        <f t="shared" si="28"/>
        <v>0.95449392187712045</v>
      </c>
      <c r="AY31" s="114">
        <v>32046.987000000001</v>
      </c>
      <c r="AZ31" s="312"/>
      <c r="BA31" s="3356">
        <f t="shared" si="29"/>
        <v>30588.654305975095</v>
      </c>
      <c r="BC31" s="26"/>
      <c r="BD31" s="26"/>
    </row>
    <row r="32" spans="1:56" x14ac:dyDescent="0.35">
      <c r="A32" s="9168"/>
      <c r="B32" s="232"/>
      <c r="C32" s="232" t="s">
        <v>1197</v>
      </c>
      <c r="D32" s="60"/>
      <c r="F32" s="155"/>
      <c r="H32" s="117"/>
      <c r="I32" s="115"/>
      <c r="J32" s="476">
        <f>IF(H32=0,0,I32/H32)</f>
        <v>0</v>
      </c>
      <c r="L32" s="117"/>
      <c r="M32" s="157">
        <f t="shared" si="23"/>
        <v>0</v>
      </c>
      <c r="O32" s="242"/>
      <c r="P32" s="157">
        <f t="shared" si="24"/>
        <v>0</v>
      </c>
      <c r="R32" s="242">
        <f>14262.723-R33</f>
        <v>6584.4889999999996</v>
      </c>
      <c r="S32" s="115">
        <f>7771.62096*12/6-S33</f>
        <v>4940.8432900000007</v>
      </c>
      <c r="T32" s="312" t="s">
        <v>1198</v>
      </c>
      <c r="U32" s="476">
        <f t="shared" si="25"/>
        <v>0.75037611726589581</v>
      </c>
      <c r="W32" s="242">
        <f>15372.507-W33</f>
        <v>7018.2109999999993</v>
      </c>
      <c r="X32" s="312" t="s">
        <v>1188</v>
      </c>
      <c r="Y32" s="3265">
        <f>7142.92218*12/9-Y33</f>
        <v>5233.6102386666653</v>
      </c>
      <c r="AA32" s="242">
        <f>2609.499+231.851+2981.435</f>
        <v>5822.7849999999999</v>
      </c>
      <c r="AB32" s="115">
        <f>2609.498+219.818+2929.777</f>
        <v>5759.0930000000008</v>
      </c>
      <c r="AC32" s="2990" t="s">
        <v>1189</v>
      </c>
      <c r="AD32" s="476">
        <f t="shared" si="26"/>
        <v>0.98906159166103524</v>
      </c>
      <c r="AF32" s="242">
        <v>1735.943</v>
      </c>
      <c r="AG32" s="5223" t="s">
        <v>1199</v>
      </c>
      <c r="AH32" s="66">
        <f t="shared" si="30"/>
        <v>1716.9545466128325</v>
      </c>
      <c r="AJ32" s="242">
        <v>5954.0910000000003</v>
      </c>
      <c r="AK32" s="5223"/>
      <c r="AL32" s="276">
        <v>74574.787842999998</v>
      </c>
      <c r="AN32" s="112">
        <f t="shared" si="31"/>
        <v>5954.0910000000003</v>
      </c>
      <c r="AO32" s="113">
        <f t="shared" si="32"/>
        <v>74574.787842999998</v>
      </c>
      <c r="AP32" s="2990" t="s">
        <v>1191</v>
      </c>
      <c r="AQ32" s="476">
        <f t="shared" si="27"/>
        <v>12.524966085167323</v>
      </c>
      <c r="AS32" s="242">
        <f>2992.923+500.704+5830.514</f>
        <v>9324.1409999999996</v>
      </c>
      <c r="AT32" s="312" t="s">
        <v>1192</v>
      </c>
      <c r="AU32" s="3265">
        <f>2993.468522+469.059486+5820.292823</f>
        <v>9282.8208310000009</v>
      </c>
      <c r="AV32" s="476">
        <f t="shared" si="28"/>
        <v>0.99556847445786167</v>
      </c>
      <c r="AY32" s="242">
        <v>4538.8729999999996</v>
      </c>
      <c r="AZ32" s="2990" t="s">
        <v>1200</v>
      </c>
      <c r="BA32" s="3356">
        <f t="shared" si="29"/>
        <v>4518.7588683679778</v>
      </c>
      <c r="BC32" s="26"/>
      <c r="BD32" s="26"/>
    </row>
    <row r="33" spans="1:56" x14ac:dyDescent="0.35">
      <c r="A33" s="9168"/>
      <c r="B33" s="232"/>
      <c r="C33" s="232" t="s">
        <v>1201</v>
      </c>
      <c r="D33" s="60"/>
      <c r="F33" s="155"/>
      <c r="H33" s="242"/>
      <c r="I33" s="243"/>
      <c r="J33" s="476"/>
      <c r="L33" s="242"/>
      <c r="M33" s="157"/>
      <c r="O33" s="242"/>
      <c r="P33" s="157"/>
      <c r="R33" s="242">
        <v>7678.2340000000004</v>
      </c>
      <c r="S33" s="243">
        <f>5301.199315*12/6</f>
        <v>10602.39863</v>
      </c>
      <c r="T33" s="312"/>
      <c r="U33" s="476"/>
      <c r="W33" s="242">
        <v>8354.2960000000003</v>
      </c>
      <c r="X33" s="312"/>
      <c r="Y33" s="3272">
        <f>3217.714501*12/9</f>
        <v>4290.2860013333329</v>
      </c>
      <c r="AA33" s="242">
        <v>8765.0419999999995</v>
      </c>
      <c r="AB33" s="243">
        <v>8631.3590000000004</v>
      </c>
      <c r="AC33" s="4901" t="s">
        <v>1195</v>
      </c>
      <c r="AD33" s="476">
        <f t="shared" si="26"/>
        <v>0.98474816207383842</v>
      </c>
      <c r="AF33" s="242">
        <v>18256.12</v>
      </c>
      <c r="AG33" s="312"/>
      <c r="AH33" s="66">
        <f t="shared" si="30"/>
        <v>17977.680616599442</v>
      </c>
      <c r="AJ33" s="242">
        <v>1673.902</v>
      </c>
      <c r="AK33" s="312"/>
      <c r="AL33" s="276">
        <v>8911.4173470000005</v>
      </c>
      <c r="AN33" s="112">
        <f t="shared" si="31"/>
        <v>1673.902</v>
      </c>
      <c r="AO33" s="113">
        <f t="shared" si="32"/>
        <v>8911.4173470000005</v>
      </c>
      <c r="AP33" s="4901" t="s">
        <v>1059</v>
      </c>
      <c r="AQ33" s="476">
        <f t="shared" si="27"/>
        <v>5.3237389924858212</v>
      </c>
      <c r="AS33" s="242">
        <v>2297.4110000000001</v>
      </c>
      <c r="AT33" s="312" t="s">
        <v>1196</v>
      </c>
      <c r="AU33" s="276">
        <v>2109.394425</v>
      </c>
      <c r="AV33" s="476">
        <f t="shared" si="28"/>
        <v>0.91816154140465067</v>
      </c>
      <c r="AY33" s="242">
        <v>1762.3320000000001</v>
      </c>
      <c r="AZ33" s="312"/>
      <c r="BA33" s="3356">
        <f t="shared" si="29"/>
        <v>1618.1054655867408</v>
      </c>
      <c r="BC33" s="26"/>
      <c r="BD33" s="26"/>
    </row>
    <row r="34" spans="1:56" x14ac:dyDescent="0.35">
      <c r="A34" s="9168"/>
      <c r="B34" s="232"/>
      <c r="C34" s="232" t="s">
        <v>1202</v>
      </c>
      <c r="D34" s="60"/>
      <c r="F34" s="155">
        <v>59052.159567000002</v>
      </c>
      <c r="H34" s="242">
        <v>75741.411999999997</v>
      </c>
      <c r="I34" s="243">
        <v>97898.690822000004</v>
      </c>
      <c r="J34" s="476">
        <f>IF(H34=0,0,I34/H34)</f>
        <v>1.2925384969321672</v>
      </c>
      <c r="L34" s="242">
        <f>L64+3323.632+37356.61+27728.467</f>
        <v>106411.022</v>
      </c>
      <c r="M34" s="157">
        <f>MIN(L34*J34,L34)</f>
        <v>106411.022</v>
      </c>
      <c r="O34" s="117">
        <f>96567198000/1000000</f>
        <v>96567.198000000004</v>
      </c>
      <c r="P34" s="157">
        <f t="shared" si="24"/>
        <v>124816.82095587098</v>
      </c>
      <c r="R34" s="117">
        <f>96567198000/1000000-R35</f>
        <v>91169.358000000007</v>
      </c>
      <c r="S34" s="5850">
        <f>(23929.624+1242.132+28147.55)*12/6</f>
        <v>106638.61200000001</v>
      </c>
      <c r="T34" s="490" t="s">
        <v>1203</v>
      </c>
      <c r="U34" s="476">
        <f t="shared" si="25"/>
        <v>1.1696760220687306</v>
      </c>
      <c r="W34" s="117">
        <f>(48476.528+2299.269+52911.615)</f>
        <v>103687.412</v>
      </c>
      <c r="X34" s="490" t="s">
        <v>1204</v>
      </c>
      <c r="Y34" s="3272">
        <f>(43623.766+1347.328+52763.87+5048.004)*12/9-Y35</f>
        <v>130313.2843066667</v>
      </c>
      <c r="AA34" s="117">
        <f>58473.816+2130.047+53706.088</f>
        <v>114309.951</v>
      </c>
      <c r="AB34" s="243">
        <f>58474.978+2112.315+53706.085</f>
        <v>114293.378</v>
      </c>
      <c r="AC34" s="2990" t="s">
        <v>1189</v>
      </c>
      <c r="AD34" s="476">
        <f t="shared" si="26"/>
        <v>0.99985501699672674</v>
      </c>
      <c r="AF34" s="117">
        <v>69471.365000000005</v>
      </c>
      <c r="AG34" s="312" t="s">
        <v>1205</v>
      </c>
      <c r="AH34" s="66">
        <f t="shared" si="30"/>
        <v>69461.29283286081</v>
      </c>
      <c r="AJ34" s="117">
        <v>71596.254319</v>
      </c>
      <c r="AK34" s="312"/>
      <c r="AL34" s="273">
        <v>74574.787842999998</v>
      </c>
      <c r="AN34" s="112">
        <f t="shared" si="31"/>
        <v>71596.254319</v>
      </c>
      <c r="AO34" s="113">
        <f t="shared" si="32"/>
        <v>74574.787842999998</v>
      </c>
      <c r="AP34" s="2990" t="s">
        <v>1191</v>
      </c>
      <c r="AQ34" s="476">
        <f t="shared" si="27"/>
        <v>1.0416018065795596</v>
      </c>
      <c r="AS34" s="117">
        <f>6314.474+2274.301+70748.067</f>
        <v>79336.84199999999</v>
      </c>
      <c r="AT34" s="312" t="s">
        <v>1192</v>
      </c>
      <c r="AU34" s="276">
        <f>6184.908862+2249.017313+70746.216472</f>
        <v>79180.142647000001</v>
      </c>
      <c r="AV34" s="476">
        <f t="shared" si="28"/>
        <v>0.99802488542460521</v>
      </c>
      <c r="AY34" s="117">
        <v>80716.862999999998</v>
      </c>
      <c r="AZ34" s="4901" t="s">
        <v>1206</v>
      </c>
      <c r="BA34" s="3356">
        <f t="shared" si="29"/>
        <v>80557.437947408558</v>
      </c>
      <c r="BC34" s="26"/>
      <c r="BD34" s="26"/>
    </row>
    <row r="35" spans="1:56" x14ac:dyDescent="0.35">
      <c r="A35" s="9168"/>
      <c r="B35" s="232"/>
      <c r="C35" s="232" t="s">
        <v>1207</v>
      </c>
      <c r="D35" s="60"/>
      <c r="F35" s="163"/>
      <c r="H35" s="242"/>
      <c r="I35" s="243"/>
      <c r="J35" s="476">
        <f>IF(H35=0,0,I35/H35)</f>
        <v>0</v>
      </c>
      <c r="L35" s="242"/>
      <c r="M35" s="157">
        <f t="shared" si="23"/>
        <v>0</v>
      </c>
      <c r="O35" s="112"/>
      <c r="P35" s="157"/>
      <c r="R35" s="112">
        <f>5397.84</f>
        <v>5397.84</v>
      </c>
      <c r="S35" s="5850">
        <f>(313.325)*12/6</f>
        <v>626.65</v>
      </c>
      <c r="T35" s="312" t="s">
        <v>1208</v>
      </c>
      <c r="U35" s="476">
        <f t="shared" si="25"/>
        <v>0.11609273338965215</v>
      </c>
      <c r="W35" s="112">
        <f>9968.141</f>
        <v>9968.1409999999996</v>
      </c>
      <c r="X35" s="312" t="s">
        <v>1209</v>
      </c>
      <c r="Y35" s="3272">
        <f>5048.00476999999*12/9</f>
        <v>6730.6730266666527</v>
      </c>
      <c r="AA35" s="112">
        <v>8840.4060000000009</v>
      </c>
      <c r="AB35" s="243">
        <v>8840.2189999999991</v>
      </c>
      <c r="AC35" s="4901" t="s">
        <v>1195</v>
      </c>
      <c r="AD35" s="476">
        <f t="shared" si="26"/>
        <v>0.99997884712534679</v>
      </c>
      <c r="AF35" s="112">
        <v>40217.209000000003</v>
      </c>
      <c r="AG35" s="312"/>
      <c r="AH35" s="66">
        <f t="shared" si="30"/>
        <v>40216.358290419121</v>
      </c>
      <c r="AJ35" s="112">
        <v>27695.802</v>
      </c>
      <c r="AK35" s="312"/>
      <c r="AL35" s="1034">
        <v>8911.4173470000005</v>
      </c>
      <c r="AN35" s="112">
        <f t="shared" si="31"/>
        <v>27695.802</v>
      </c>
      <c r="AO35" s="113">
        <f t="shared" si="32"/>
        <v>8911.4173470000005</v>
      </c>
      <c r="AP35" s="4901" t="s">
        <v>1059</v>
      </c>
      <c r="AQ35" s="476">
        <f t="shared" si="27"/>
        <v>0.32176058115233497</v>
      </c>
      <c r="AS35" s="112">
        <v>13265.993</v>
      </c>
      <c r="AT35" s="312" t="s">
        <v>1196</v>
      </c>
      <c r="AU35" s="276">
        <v>13250.906601000001</v>
      </c>
      <c r="AV35" s="476">
        <f t="shared" si="28"/>
        <v>0.99886277649927901</v>
      </c>
      <c r="AY35" s="112">
        <v>20055.063999999998</v>
      </c>
      <c r="AZ35" s="5329"/>
      <c r="BA35" s="3356">
        <f t="shared" si="29"/>
        <v>20032.256909910735</v>
      </c>
      <c r="BC35" s="26"/>
      <c r="BD35" s="26"/>
    </row>
    <row r="36" spans="1:56" x14ac:dyDescent="0.35">
      <c r="A36" s="9168"/>
      <c r="B36" s="1654"/>
      <c r="C36" s="1654"/>
      <c r="D36" s="60"/>
      <c r="F36" s="122"/>
      <c r="H36" s="198"/>
      <c r="I36" s="199"/>
      <c r="J36" s="476"/>
      <c r="L36" s="198"/>
      <c r="M36" s="157"/>
      <c r="O36" s="112"/>
      <c r="P36" s="157"/>
      <c r="R36" s="112"/>
      <c r="S36" s="6013"/>
      <c r="T36" s="312"/>
      <c r="U36" s="476"/>
      <c r="W36" s="112"/>
      <c r="X36" s="312"/>
      <c r="Y36" s="482"/>
      <c r="AA36" s="112"/>
      <c r="AB36" s="199"/>
      <c r="AC36" s="4901"/>
      <c r="AD36" s="476"/>
      <c r="AF36" s="112"/>
      <c r="AG36" s="312"/>
      <c r="AH36" s="66"/>
      <c r="AJ36" s="112"/>
      <c r="AK36" s="312"/>
      <c r="AL36" s="1034"/>
      <c r="AN36" s="112"/>
      <c r="AO36" s="199"/>
      <c r="AP36" s="4901"/>
      <c r="AQ36" s="476"/>
      <c r="AS36" s="112"/>
      <c r="AT36" s="312"/>
      <c r="AU36" s="482"/>
      <c r="AV36" s="476"/>
      <c r="AY36" s="112">
        <v>16985.967000000001</v>
      </c>
      <c r="AZ36" s="2990" t="s">
        <v>1210</v>
      </c>
      <c r="BA36" s="7779">
        <f>AY36*BA17/AY17</f>
        <v>12610.240382692093</v>
      </c>
      <c r="BC36" s="26"/>
      <c r="BD36" s="26"/>
    </row>
    <row r="37" spans="1:56" x14ac:dyDescent="0.35">
      <c r="A37" s="9168"/>
      <c r="B37" s="141" t="s">
        <v>940</v>
      </c>
      <c r="C37"/>
      <c r="D37" s="60"/>
      <c r="E37" s="143"/>
      <c r="F37" s="168"/>
      <c r="G37" s="143"/>
      <c r="H37" s="245"/>
      <c r="I37" s="106"/>
      <c r="J37" s="246"/>
      <c r="K37" s="143"/>
      <c r="L37" s="245"/>
      <c r="M37" s="247"/>
      <c r="N37" s="143"/>
      <c r="O37" s="1805"/>
      <c r="P37" s="247"/>
      <c r="Q37" s="143"/>
      <c r="R37" s="1805"/>
      <c r="S37" s="106"/>
      <c r="T37" s="254"/>
      <c r="U37" s="246"/>
      <c r="V37" s="143"/>
      <c r="W37" s="1805"/>
      <c r="X37" s="254"/>
      <c r="Y37" s="66"/>
      <c r="Z37" s="143"/>
      <c r="AA37" s="1805"/>
      <c r="AB37" s="106"/>
      <c r="AC37" s="254"/>
      <c r="AD37" s="246"/>
      <c r="AE37" s="143"/>
      <c r="AF37" s="1805"/>
      <c r="AG37" s="254"/>
      <c r="AH37" s="66"/>
      <c r="AI37" s="143"/>
      <c r="AJ37" s="1805"/>
      <c r="AK37" s="254"/>
      <c r="AL37" s="3012"/>
      <c r="AM37" s="143"/>
      <c r="AN37" s="1805"/>
      <c r="AO37" s="106"/>
      <c r="AP37" s="254"/>
      <c r="AQ37" s="246"/>
      <c r="AR37" s="143"/>
      <c r="AS37" s="1805"/>
      <c r="AT37" s="254"/>
      <c r="AU37" s="246"/>
      <c r="AV37" s="518" t="str">
        <f t="shared" ref="AV37:AV40" si="33">IF(AS37=0,"**",AU37/AS37)</f>
        <v>**</v>
      </c>
      <c r="AW37" s="143"/>
      <c r="AX37" s="143"/>
      <c r="AY37" s="1805"/>
      <c r="AZ37" s="7780"/>
      <c r="BA37" s="7781"/>
      <c r="BB37" s="143"/>
      <c r="BC37" s="26"/>
      <c r="BD37" s="26"/>
    </row>
    <row r="38" spans="1:56" x14ac:dyDescent="0.35">
      <c r="A38" s="9168"/>
      <c r="B38" s="232"/>
      <c r="C38" s="232" t="s">
        <v>941</v>
      </c>
      <c r="D38" s="60"/>
      <c r="F38" s="111"/>
      <c r="H38" s="112"/>
      <c r="I38" s="113"/>
      <c r="J38" s="476">
        <f>IF(H38=0,0,I38/H38)</f>
        <v>0</v>
      </c>
      <c r="L38" s="112"/>
      <c r="M38" s="157">
        <f t="shared" ref="M38:M77" si="34">L38*J38</f>
        <v>0</v>
      </c>
      <c r="O38" s="112"/>
      <c r="P38" s="157">
        <f t="shared" si="24"/>
        <v>0</v>
      </c>
      <c r="R38" s="112"/>
      <c r="S38" s="113"/>
      <c r="T38" s="312"/>
      <c r="U38" s="476" t="e">
        <f t="shared" ref="U38:U40" si="35">S38/R38</f>
        <v>#DIV/0!</v>
      </c>
      <c r="W38" s="112"/>
      <c r="X38" s="312"/>
      <c r="Y38" s="3254"/>
      <c r="AA38" s="112"/>
      <c r="AB38" s="113"/>
      <c r="AC38" s="312"/>
      <c r="AD38" s="476" t="e">
        <f t="shared" ref="AD38:AD40" si="36">AB38/AA38</f>
        <v>#DIV/0!</v>
      </c>
      <c r="AF38" s="112"/>
      <c r="AG38" s="312"/>
      <c r="AH38" s="66"/>
      <c r="AJ38" s="112"/>
      <c r="AK38" s="312"/>
      <c r="AL38" s="1034"/>
      <c r="AN38" s="112"/>
      <c r="AO38" s="113"/>
      <c r="AP38" s="312"/>
      <c r="AQ38" s="476" t="e">
        <f t="shared" ref="AQ38:AQ40" si="37">AO38/AN38</f>
        <v>#DIV/0!</v>
      </c>
      <c r="AS38" s="112"/>
      <c r="AT38" s="312"/>
      <c r="AU38" s="276"/>
      <c r="AV38" s="476" t="str">
        <f t="shared" si="33"/>
        <v>**</v>
      </c>
      <c r="AY38" s="112"/>
      <c r="AZ38" s="5329"/>
      <c r="BA38" s="3356"/>
      <c r="BC38" s="26"/>
      <c r="BD38" s="26"/>
    </row>
    <row r="39" spans="1:56" x14ac:dyDescent="0.35">
      <c r="A39" s="9168"/>
      <c r="B39" s="232"/>
      <c r="C39" s="232" t="s">
        <v>942</v>
      </c>
      <c r="D39" s="60"/>
      <c r="F39" s="155"/>
      <c r="H39" s="117"/>
      <c r="I39" s="115"/>
      <c r="J39" s="476">
        <f>IF(H39=0,0,I39/H39)</f>
        <v>0</v>
      </c>
      <c r="L39" s="117"/>
      <c r="M39" s="157">
        <f t="shared" si="34"/>
        <v>0</v>
      </c>
      <c r="O39" s="117"/>
      <c r="P39" s="157">
        <f t="shared" si="24"/>
        <v>0</v>
      </c>
      <c r="R39" s="117"/>
      <c r="S39" s="115"/>
      <c r="T39" s="312"/>
      <c r="U39" s="476" t="e">
        <f t="shared" si="35"/>
        <v>#DIV/0!</v>
      </c>
      <c r="W39" s="117"/>
      <c r="X39" s="312"/>
      <c r="Y39" s="3265"/>
      <c r="AA39" s="117"/>
      <c r="AB39" s="115"/>
      <c r="AC39" s="312"/>
      <c r="AD39" s="476" t="e">
        <f t="shared" si="36"/>
        <v>#DIV/0!</v>
      </c>
      <c r="AF39" s="117"/>
      <c r="AG39" s="312"/>
      <c r="AH39" s="66"/>
      <c r="AJ39" s="117"/>
      <c r="AK39" s="312"/>
      <c r="AL39" s="273"/>
      <c r="AN39" s="117"/>
      <c r="AO39" s="115"/>
      <c r="AP39" s="312"/>
      <c r="AQ39" s="476" t="e">
        <f t="shared" si="37"/>
        <v>#DIV/0!</v>
      </c>
      <c r="AS39" s="117"/>
      <c r="AT39" s="312"/>
      <c r="AU39" s="276"/>
      <c r="AV39" s="476" t="str">
        <f t="shared" si="33"/>
        <v>**</v>
      </c>
      <c r="AY39" s="117"/>
      <c r="AZ39" s="312"/>
      <c r="BA39" s="3356"/>
      <c r="BC39" s="26"/>
      <c r="BD39" s="26"/>
    </row>
    <row r="40" spans="1:56" x14ac:dyDescent="0.35">
      <c r="A40" s="9168"/>
      <c r="B40" s="1662"/>
      <c r="C40" s="1662" t="s">
        <v>943</v>
      </c>
      <c r="D40" s="87"/>
      <c r="F40" s="130"/>
      <c r="H40" s="242"/>
      <c r="I40" s="243"/>
      <c r="J40" s="476">
        <f>IF(H40=0,0,I40/H40)</f>
        <v>0</v>
      </c>
      <c r="L40" s="131"/>
      <c r="M40" s="213">
        <f t="shared" si="34"/>
        <v>0</v>
      </c>
      <c r="O40" s="131"/>
      <c r="P40" s="213">
        <f t="shared" si="24"/>
        <v>0</v>
      </c>
      <c r="R40" s="131"/>
      <c r="S40" s="132"/>
      <c r="T40" s="3054"/>
      <c r="U40" s="484" t="e">
        <f t="shared" si="35"/>
        <v>#DIV/0!</v>
      </c>
      <c r="W40" s="131"/>
      <c r="X40" s="3054"/>
      <c r="Y40" s="3264"/>
      <c r="AA40" s="131"/>
      <c r="AB40" s="132"/>
      <c r="AC40" s="3054"/>
      <c r="AD40" s="484" t="e">
        <f t="shared" si="36"/>
        <v>#DIV/0!</v>
      </c>
      <c r="AF40" s="131"/>
      <c r="AG40" s="3054"/>
      <c r="AH40" s="213"/>
      <c r="AJ40" s="131"/>
      <c r="AK40" s="3054"/>
      <c r="AL40" s="658"/>
      <c r="AN40" s="131"/>
      <c r="AO40" s="132"/>
      <c r="AP40" s="3054"/>
      <c r="AQ40" s="484" t="e">
        <f t="shared" si="37"/>
        <v>#DIV/0!</v>
      </c>
      <c r="AS40" s="131"/>
      <c r="AT40" s="3054"/>
      <c r="AU40" s="3265"/>
      <c r="AV40" s="484" t="str">
        <f t="shared" si="33"/>
        <v>**</v>
      </c>
      <c r="AY40" s="131"/>
      <c r="AZ40" s="3054"/>
      <c r="BA40" s="3356"/>
      <c r="BC40" s="24"/>
      <c r="BD40" s="24"/>
    </row>
    <row r="41" spans="1:56" ht="24.75" customHeight="1" x14ac:dyDescent="0.35">
      <c r="A41" s="9168"/>
      <c r="B41" s="141" t="s">
        <v>944</v>
      </c>
      <c r="C41" s="141"/>
      <c r="D41" s="60"/>
      <c r="E41" s="143"/>
      <c r="F41" s="227"/>
      <c r="G41" s="143"/>
      <c r="H41" s="102"/>
      <c r="I41" s="103"/>
      <c r="J41" s="516"/>
      <c r="K41" s="143"/>
      <c r="L41" s="245"/>
      <c r="M41" s="247"/>
      <c r="N41" s="143"/>
      <c r="O41" s="245"/>
      <c r="P41" s="247"/>
      <c r="Q41" s="143"/>
      <c r="R41" s="245"/>
      <c r="S41" s="106"/>
      <c r="T41" s="254"/>
      <c r="U41" s="518"/>
      <c r="V41" s="143"/>
      <c r="W41" s="245"/>
      <c r="X41" s="254"/>
      <c r="Y41" s="106"/>
      <c r="Z41" s="143"/>
      <c r="AA41" s="5591" t="s">
        <v>1175</v>
      </c>
      <c r="AB41" s="106" t="s">
        <v>1211</v>
      </c>
      <c r="AC41" s="6011" t="s">
        <v>1212</v>
      </c>
      <c r="AD41" s="518"/>
      <c r="AE41" s="143"/>
      <c r="AF41" s="102" t="s">
        <v>1213</v>
      </c>
      <c r="AG41" s="2909"/>
      <c r="AH41" s="105"/>
      <c r="AI41" s="143"/>
      <c r="AJ41" s="102"/>
      <c r="AK41" s="2909"/>
      <c r="AL41" s="105"/>
      <c r="AM41" s="143"/>
      <c r="AN41" s="7899"/>
      <c r="AO41" s="106"/>
      <c r="AP41" s="6217"/>
      <c r="AQ41" s="518"/>
      <c r="AR41" s="143"/>
      <c r="AS41" s="7782" t="s">
        <v>1214</v>
      </c>
      <c r="AT41" t="s">
        <v>1215</v>
      </c>
      <c r="AU41" s="3950" t="s">
        <v>1216</v>
      </c>
      <c r="AV41" s="518"/>
      <c r="AW41" s="143"/>
      <c r="AX41" s="143"/>
      <c r="AY41" s="7782" t="s">
        <v>1214</v>
      </c>
      <c r="AZ41" t="s">
        <v>1215</v>
      </c>
      <c r="BA41" s="3950" t="s">
        <v>1216</v>
      </c>
      <c r="BB41" s="143"/>
      <c r="BC41" s="26"/>
      <c r="BD41" s="26"/>
    </row>
    <row r="42" spans="1:56" x14ac:dyDescent="0.35">
      <c r="A42" s="9168"/>
      <c r="B42" s="232"/>
      <c r="C42" s="232" t="s">
        <v>1217</v>
      </c>
      <c r="D42" s="60">
        <v>6</v>
      </c>
      <c r="F42" s="111">
        <v>1418.8626609999999</v>
      </c>
      <c r="H42" s="112">
        <v>2426.9837729999999</v>
      </c>
      <c r="I42" s="113">
        <v>2426.6981329999999</v>
      </c>
      <c r="J42" s="476">
        <f>IF(H42=0,0,I42/H42)</f>
        <v>0.99988230658845856</v>
      </c>
      <c r="L42" s="262">
        <f>H42</f>
        <v>2426.9837729999999</v>
      </c>
      <c r="M42" s="157">
        <f t="shared" si="34"/>
        <v>2426.6981329999999</v>
      </c>
      <c r="O42" s="262">
        <f>L42</f>
        <v>2426.9837729999999</v>
      </c>
      <c r="P42" s="157">
        <f t="shared" si="24"/>
        <v>2426.6981329999999</v>
      </c>
      <c r="R42" s="262">
        <f>O42</f>
        <v>2426.9837729999999</v>
      </c>
      <c r="S42" s="1183">
        <f>R42</f>
        <v>2426.9837729999999</v>
      </c>
      <c r="T42" s="312"/>
      <c r="U42" s="476">
        <f t="shared" ref="U42:U54" si="38">S42/R42</f>
        <v>1</v>
      </c>
      <c r="W42" s="5851">
        <f>R42</f>
        <v>2426.9837729999999</v>
      </c>
      <c r="X42" s="4080"/>
      <c r="Y42" s="1183">
        <f>S42</f>
        <v>2426.9837729999999</v>
      </c>
      <c r="AA42" s="112">
        <f>300</f>
        <v>300</v>
      </c>
      <c r="AB42" s="1183">
        <f>AA42</f>
        <v>300</v>
      </c>
      <c r="AC42" s="312"/>
      <c r="AD42" s="476">
        <f t="shared" ref="AD42:AD57" si="39">AB42/AA42</f>
        <v>1</v>
      </c>
      <c r="AF42" s="5851">
        <f>AA42</f>
        <v>300</v>
      </c>
      <c r="AG42" s="4080"/>
      <c r="AH42" s="66">
        <f t="shared" ref="AH42:AH57" si="40">AF42*AD42</f>
        <v>300</v>
      </c>
      <c r="AJ42" s="5851">
        <f>AF42</f>
        <v>300</v>
      </c>
      <c r="AK42" s="4080"/>
      <c r="AL42" s="66">
        <f>AH42</f>
        <v>300</v>
      </c>
      <c r="AN42" s="112"/>
      <c r="AO42" s="1183"/>
      <c r="AP42" s="312"/>
      <c r="AQ42" s="476" t="e">
        <f t="shared" ref="AQ42:AQ43" si="41">AO42/AN42</f>
        <v>#DIV/0!</v>
      </c>
      <c r="AS42" s="5698">
        <v>718</v>
      </c>
      <c r="AT42" s="6218" t="s">
        <v>1218</v>
      </c>
      <c r="AU42" s="276">
        <f>AV42*AS42</f>
        <v>649.71222857432588</v>
      </c>
      <c r="AV42" s="476">
        <f>AV$19</f>
        <v>0.90489168325115032</v>
      </c>
      <c r="AY42" s="5698">
        <f>400+400</f>
        <v>800</v>
      </c>
      <c r="AZ42" s="7783" t="s">
        <v>1219</v>
      </c>
      <c r="BA42" s="3356">
        <f t="shared" ref="BA42:BA53" si="42">AY42*AV42</f>
        <v>723.91334660092025</v>
      </c>
      <c r="BC42" s="26" t="s">
        <v>1220</v>
      </c>
      <c r="BD42" s="26" t="s">
        <v>1220</v>
      </c>
    </row>
    <row r="43" spans="1:56" x14ac:dyDescent="0.35">
      <c r="A43" s="9168"/>
      <c r="B43" s="232"/>
      <c r="C43" s="232" t="s">
        <v>1221</v>
      </c>
      <c r="D43" s="60">
        <v>7</v>
      </c>
      <c r="F43" s="155">
        <v>775.4</v>
      </c>
      <c r="H43" s="117">
        <v>1440.7139999999999</v>
      </c>
      <c r="I43" s="115">
        <v>1440.7139999999999</v>
      </c>
      <c r="J43" s="476">
        <f>IF(H43=0,0,I43/H43)</f>
        <v>1</v>
      </c>
      <c r="L43" s="3951">
        <f t="shared" ref="L43:L54" si="43">H43</f>
        <v>1440.7139999999999</v>
      </c>
      <c r="M43" s="157">
        <f t="shared" si="34"/>
        <v>1440.7139999999999</v>
      </c>
      <c r="O43" s="3951">
        <f t="shared" ref="O43:O54" si="44">L43</f>
        <v>1440.7139999999999</v>
      </c>
      <c r="P43" s="157">
        <f t="shared" si="24"/>
        <v>1440.7139999999999</v>
      </c>
      <c r="R43" s="3951">
        <f t="shared" ref="R43:R54" si="45">O43</f>
        <v>1440.7139999999999</v>
      </c>
      <c r="S43" s="1183">
        <f t="shared" ref="S43:S54" si="46">R43</f>
        <v>1440.7139999999999</v>
      </c>
      <c r="T43" s="312"/>
      <c r="U43" s="476">
        <f t="shared" si="38"/>
        <v>1</v>
      </c>
      <c r="W43" s="5851">
        <f t="shared" ref="W43:W53" si="47">R43</f>
        <v>1440.7139999999999</v>
      </c>
      <c r="X43" s="4080"/>
      <c r="Y43" s="1183">
        <f t="shared" ref="Y43:Y53" si="48">S43</f>
        <v>1440.7139999999999</v>
      </c>
      <c r="AA43" s="117">
        <f>5.25+1177+130.446+17.138+15+121.17</f>
        <v>1466.0039999999999</v>
      </c>
      <c r="AB43" s="1183">
        <f t="shared" ref="AB43:AB57" si="49">AA43</f>
        <v>1466.0039999999999</v>
      </c>
      <c r="AC43" s="312"/>
      <c r="AD43" s="476">
        <f t="shared" si="39"/>
        <v>1</v>
      </c>
      <c r="AF43" s="5851">
        <f t="shared" ref="AF43:AF57" si="50">AA43</f>
        <v>1466.0039999999999</v>
      </c>
      <c r="AG43" s="4080"/>
      <c r="AH43" s="66">
        <f t="shared" si="40"/>
        <v>1466.0039999999999</v>
      </c>
      <c r="AJ43" s="5851">
        <f t="shared" ref="AJ43:AJ53" si="51">AF43</f>
        <v>1466.0039999999999</v>
      </c>
      <c r="AK43" s="4080"/>
      <c r="AL43" s="66">
        <f t="shared" ref="AL43:AL53" si="52">AH43</f>
        <v>1466.0039999999999</v>
      </c>
      <c r="AN43" s="117"/>
      <c r="AO43" s="1183"/>
      <c r="AP43" s="312"/>
      <c r="AQ43" s="476" t="e">
        <f t="shared" si="41"/>
        <v>#DIV/0!</v>
      </c>
      <c r="AS43" s="5698">
        <f>365.531+14.043</f>
        <v>379.57400000000001</v>
      </c>
      <c r="AT43" s="6218" t="s">
        <v>1222</v>
      </c>
      <c r="AU43" s="276">
        <f t="shared" ref="AU43:AU53" si="53">AV43*AS43</f>
        <v>343.47335577837214</v>
      </c>
      <c r="AV43" s="476">
        <f t="shared" ref="AV43:AV53" si="54">AV$19</f>
        <v>0.90489168325115032</v>
      </c>
      <c r="AY43" s="5698">
        <f>365.531+14.043</f>
        <v>379.57400000000001</v>
      </c>
      <c r="AZ43" s="7784" t="s">
        <v>1223</v>
      </c>
      <c r="BA43" s="3356">
        <f t="shared" si="42"/>
        <v>343.47335577837214</v>
      </c>
      <c r="BC43" s="26" t="s">
        <v>1224</v>
      </c>
      <c r="BD43" s="26" t="s">
        <v>1224</v>
      </c>
    </row>
    <row r="44" spans="1:56" x14ac:dyDescent="0.35">
      <c r="A44" s="9168"/>
      <c r="B44" s="232"/>
      <c r="C44" s="232" t="s">
        <v>1225</v>
      </c>
      <c r="D44" s="60"/>
      <c r="F44" s="155"/>
      <c r="H44" s="117"/>
      <c r="I44" s="115"/>
      <c r="J44" s="476"/>
      <c r="L44" s="3951"/>
      <c r="M44" s="157"/>
      <c r="O44" s="3951"/>
      <c r="P44" s="157"/>
      <c r="R44" s="3951"/>
      <c r="S44" s="1183"/>
      <c r="T44" s="312"/>
      <c r="U44" s="476"/>
      <c r="W44" s="5851"/>
      <c r="X44" s="4080"/>
      <c r="Y44" s="1183"/>
      <c r="AA44" s="117">
        <f>2066.44+2213.97</f>
        <v>4280.41</v>
      </c>
      <c r="AB44" s="1183">
        <f t="shared" si="49"/>
        <v>4280.41</v>
      </c>
      <c r="AC44" s="312"/>
      <c r="AD44" s="476"/>
      <c r="AF44" s="5851">
        <f t="shared" si="50"/>
        <v>4280.41</v>
      </c>
      <c r="AG44" s="4080"/>
      <c r="AH44" s="66">
        <f t="shared" si="40"/>
        <v>0</v>
      </c>
      <c r="AJ44" s="5851">
        <f t="shared" si="51"/>
        <v>4280.41</v>
      </c>
      <c r="AK44" s="4080"/>
      <c r="AL44" s="66">
        <f t="shared" si="52"/>
        <v>0</v>
      </c>
      <c r="AN44" s="117"/>
      <c r="AO44" s="1183"/>
      <c r="AP44" s="312"/>
      <c r="AQ44" s="476"/>
      <c r="AS44" s="5698">
        <v>21</v>
      </c>
      <c r="AT44" s="6218" t="s">
        <v>1226</v>
      </c>
      <c r="AU44" s="276">
        <f t="shared" si="53"/>
        <v>19.002725348274158</v>
      </c>
      <c r="AV44" s="476">
        <f t="shared" si="54"/>
        <v>0.90489168325115032</v>
      </c>
      <c r="AY44" s="5698">
        <f>2431.845-262</f>
        <v>2169.8449999999998</v>
      </c>
      <c r="AZ44" s="7784" t="s">
        <v>1227</v>
      </c>
      <c r="BA44" s="3356">
        <f t="shared" si="42"/>
        <v>1963.4746944440922</v>
      </c>
      <c r="BC44" s="26" t="s">
        <v>1228</v>
      </c>
      <c r="BD44" s="26" t="s">
        <v>1228</v>
      </c>
    </row>
    <row r="45" spans="1:56" x14ac:dyDescent="0.35">
      <c r="A45" s="9168"/>
      <c r="B45" s="232"/>
      <c r="C45" s="232" t="s">
        <v>1229</v>
      </c>
      <c r="D45" s="60">
        <v>8</v>
      </c>
      <c r="F45" s="155">
        <v>960.62091699999996</v>
      </c>
      <c r="H45" s="117">
        <v>1117.123</v>
      </c>
      <c r="I45" s="115">
        <v>1117.123</v>
      </c>
      <c r="J45" s="476">
        <f>IF(H45=0,0,I45/H45)</f>
        <v>1</v>
      </c>
      <c r="L45" s="3951">
        <f t="shared" si="43"/>
        <v>1117.123</v>
      </c>
      <c r="M45" s="157">
        <f t="shared" si="34"/>
        <v>1117.123</v>
      </c>
      <c r="O45" s="3951">
        <f t="shared" si="44"/>
        <v>1117.123</v>
      </c>
      <c r="P45" s="157">
        <f t="shared" si="24"/>
        <v>1117.123</v>
      </c>
      <c r="R45" s="3951">
        <f t="shared" si="45"/>
        <v>1117.123</v>
      </c>
      <c r="S45" s="1183">
        <f t="shared" si="46"/>
        <v>1117.123</v>
      </c>
      <c r="T45" s="312"/>
      <c r="U45" s="476">
        <f t="shared" si="38"/>
        <v>1</v>
      </c>
      <c r="W45" s="5851">
        <f t="shared" si="47"/>
        <v>1117.123</v>
      </c>
      <c r="X45" s="4080"/>
      <c r="Y45" s="1183">
        <f t="shared" si="48"/>
        <v>1117.123</v>
      </c>
      <c r="AA45" s="117">
        <f>225.449+983.83</f>
        <v>1209.279</v>
      </c>
      <c r="AB45" s="1183">
        <f t="shared" si="49"/>
        <v>1209.279</v>
      </c>
      <c r="AC45" s="312"/>
      <c r="AD45" s="476">
        <f t="shared" si="39"/>
        <v>1</v>
      </c>
      <c r="AF45" s="5851">
        <f t="shared" si="50"/>
        <v>1209.279</v>
      </c>
      <c r="AG45" s="4080"/>
      <c r="AH45" s="66">
        <f t="shared" si="40"/>
        <v>1209.279</v>
      </c>
      <c r="AJ45" s="5851">
        <f t="shared" si="51"/>
        <v>1209.279</v>
      </c>
      <c r="AK45" s="4080"/>
      <c r="AL45" s="66">
        <f t="shared" si="52"/>
        <v>1209.279</v>
      </c>
      <c r="AN45" s="117"/>
      <c r="AO45" s="1183"/>
      <c r="AP45" s="312"/>
      <c r="AQ45" s="476" t="e">
        <f t="shared" ref="AQ45:AQ53" si="55">AO45/AN45</f>
        <v>#DIV/0!</v>
      </c>
      <c r="AS45" s="5698">
        <f>1844.982</f>
        <v>1844.982</v>
      </c>
      <c r="AT45" s="6218" t="s">
        <v>1230</v>
      </c>
      <c r="AU45" s="276">
        <f t="shared" si="53"/>
        <v>1669.5088675480738</v>
      </c>
      <c r="AV45" s="476">
        <f t="shared" si="54"/>
        <v>0.90489168325115032</v>
      </c>
      <c r="AY45" s="5698">
        <f>1022.29+572.692</f>
        <v>1594.982</v>
      </c>
      <c r="AZ45" s="7784" t="s">
        <v>1231</v>
      </c>
      <c r="BA45" s="3356">
        <f t="shared" si="42"/>
        <v>1443.2859467352862</v>
      </c>
      <c r="BC45" s="26" t="s">
        <v>1232</v>
      </c>
      <c r="BD45" s="26" t="s">
        <v>1232</v>
      </c>
    </row>
    <row r="46" spans="1:56" x14ac:dyDescent="0.35">
      <c r="A46" s="9168"/>
      <c r="B46" s="232"/>
      <c r="C46" s="232" t="s">
        <v>1233</v>
      </c>
      <c r="D46" s="60">
        <v>9</v>
      </c>
      <c r="F46" s="155">
        <v>1198.32725</v>
      </c>
      <c r="H46" s="117">
        <v>1260.2619999999999</v>
      </c>
      <c r="I46" s="115">
        <v>1260.2619999999999</v>
      </c>
      <c r="J46" s="476">
        <f t="shared" ref="J46:J54" si="56">IF(H46=0,0,I46/H46)</f>
        <v>1</v>
      </c>
      <c r="L46" s="3951">
        <f t="shared" si="43"/>
        <v>1260.2619999999999</v>
      </c>
      <c r="M46" s="157">
        <f t="shared" si="34"/>
        <v>1260.2619999999999</v>
      </c>
      <c r="O46" s="3951">
        <f t="shared" si="44"/>
        <v>1260.2619999999999</v>
      </c>
      <c r="P46" s="157">
        <f t="shared" si="24"/>
        <v>1260.2619999999999</v>
      </c>
      <c r="R46" s="3951">
        <f t="shared" si="45"/>
        <v>1260.2619999999999</v>
      </c>
      <c r="S46" s="1183">
        <f t="shared" si="46"/>
        <v>1260.2619999999999</v>
      </c>
      <c r="T46" s="312"/>
      <c r="U46" s="476">
        <f t="shared" si="38"/>
        <v>1</v>
      </c>
      <c r="W46" s="5851">
        <f t="shared" si="47"/>
        <v>1260.2619999999999</v>
      </c>
      <c r="X46" s="4080"/>
      <c r="Y46" s="1183">
        <f t="shared" si="48"/>
        <v>1260.2619999999999</v>
      </c>
      <c r="AA46" s="117">
        <f>1737.933+2.9</f>
        <v>1740.8330000000001</v>
      </c>
      <c r="AB46" s="1183">
        <f t="shared" si="49"/>
        <v>1740.8330000000001</v>
      </c>
      <c r="AC46" s="312"/>
      <c r="AD46" s="476">
        <f t="shared" si="39"/>
        <v>1</v>
      </c>
      <c r="AF46" s="5851">
        <f t="shared" si="50"/>
        <v>1740.8330000000001</v>
      </c>
      <c r="AG46" s="4080"/>
      <c r="AH46" s="66">
        <f t="shared" si="40"/>
        <v>1740.8330000000001</v>
      </c>
      <c r="AJ46" s="5851">
        <f t="shared" si="51"/>
        <v>1740.8330000000001</v>
      </c>
      <c r="AK46" s="4080"/>
      <c r="AL46" s="66">
        <f t="shared" si="52"/>
        <v>1740.8330000000001</v>
      </c>
      <c r="AN46" s="117"/>
      <c r="AO46" s="1183"/>
      <c r="AP46" s="312"/>
      <c r="AQ46" s="476" t="e">
        <f t="shared" si="55"/>
        <v>#DIV/0!</v>
      </c>
      <c r="AS46" s="5698">
        <v>2402</v>
      </c>
      <c r="AT46" s="6218" t="s">
        <v>1234</v>
      </c>
      <c r="AU46" s="276">
        <f t="shared" si="53"/>
        <v>2173.5498231692632</v>
      </c>
      <c r="AV46" s="476">
        <f t="shared" si="54"/>
        <v>0.90489168325115032</v>
      </c>
      <c r="AY46" s="5698">
        <v>2378.4140000000002</v>
      </c>
      <c r="AZ46" s="7784" t="s">
        <v>1235</v>
      </c>
      <c r="BA46" s="3356">
        <f t="shared" si="42"/>
        <v>2152.2070479281015</v>
      </c>
      <c r="BC46" s="26" t="s">
        <v>1236</v>
      </c>
      <c r="BD46" s="26" t="s">
        <v>1236</v>
      </c>
    </row>
    <row r="47" spans="1:56" x14ac:dyDescent="0.35">
      <c r="A47" s="9168"/>
      <c r="B47" s="232"/>
      <c r="C47" s="232" t="s">
        <v>1237</v>
      </c>
      <c r="D47" s="60">
        <v>10</v>
      </c>
      <c r="F47" s="155">
        <v>182.36062699999999</v>
      </c>
      <c r="H47" s="117">
        <v>217.35127</v>
      </c>
      <c r="I47" s="115">
        <v>217.32364100000001</v>
      </c>
      <c r="J47" s="476">
        <f t="shared" si="56"/>
        <v>0.99987288319042267</v>
      </c>
      <c r="L47" s="3951">
        <f t="shared" si="43"/>
        <v>217.35127</v>
      </c>
      <c r="M47" s="157">
        <f t="shared" si="34"/>
        <v>217.32364100000001</v>
      </c>
      <c r="O47" s="3951">
        <f t="shared" si="44"/>
        <v>217.35127</v>
      </c>
      <c r="P47" s="157">
        <f t="shared" si="24"/>
        <v>217.32364100000001</v>
      </c>
      <c r="R47" s="3951">
        <f t="shared" si="45"/>
        <v>217.35127</v>
      </c>
      <c r="S47" s="1183">
        <f t="shared" si="46"/>
        <v>217.35127</v>
      </c>
      <c r="T47" s="312"/>
      <c r="U47" s="476">
        <f t="shared" si="38"/>
        <v>1</v>
      </c>
      <c r="W47" s="5851">
        <f t="shared" si="47"/>
        <v>217.35127</v>
      </c>
      <c r="X47" s="4080"/>
      <c r="Y47" s="1183">
        <f t="shared" si="48"/>
        <v>217.35127</v>
      </c>
      <c r="AA47" s="117">
        <v>251.173</v>
      </c>
      <c r="AB47" s="1183">
        <f t="shared" si="49"/>
        <v>251.173</v>
      </c>
      <c r="AC47" s="312"/>
      <c r="AD47" s="476">
        <f t="shared" si="39"/>
        <v>1</v>
      </c>
      <c r="AF47" s="5851">
        <f t="shared" si="50"/>
        <v>251.173</v>
      </c>
      <c r="AG47" s="4080"/>
      <c r="AH47" s="66">
        <f t="shared" si="40"/>
        <v>251.173</v>
      </c>
      <c r="AJ47" s="5851">
        <f t="shared" si="51"/>
        <v>251.173</v>
      </c>
      <c r="AK47" s="4080"/>
      <c r="AL47" s="66">
        <f t="shared" si="52"/>
        <v>251.173</v>
      </c>
      <c r="AN47" s="117"/>
      <c r="AO47" s="1183"/>
      <c r="AP47" s="312"/>
      <c r="AQ47" s="476" t="e">
        <f t="shared" si="55"/>
        <v>#DIV/0!</v>
      </c>
      <c r="AS47" s="5698">
        <v>118</v>
      </c>
      <c r="AT47" s="6218" t="s">
        <v>1238</v>
      </c>
      <c r="AU47" s="276">
        <f t="shared" si="53"/>
        <v>106.77721862363573</v>
      </c>
      <c r="AV47" s="476">
        <f t="shared" si="54"/>
        <v>0.90489168325115032</v>
      </c>
      <c r="AY47" s="5698">
        <v>190.54900000000001</v>
      </c>
      <c r="AZ47" s="7784" t="s">
        <v>1239</v>
      </c>
      <c r="BA47" s="3356">
        <f t="shared" si="42"/>
        <v>172.42620535182346</v>
      </c>
      <c r="BC47" s="26" t="s">
        <v>1240</v>
      </c>
      <c r="BD47" s="26" t="s">
        <v>1240</v>
      </c>
    </row>
    <row r="48" spans="1:56" x14ac:dyDescent="0.35">
      <c r="A48" s="9168"/>
      <c r="B48" s="232"/>
      <c r="C48" s="232" t="s">
        <v>1241</v>
      </c>
      <c r="D48" s="60">
        <v>11</v>
      </c>
      <c r="F48" s="163">
        <v>1338.2370000000001</v>
      </c>
      <c r="H48" s="242">
        <v>1360.2180000000001</v>
      </c>
      <c r="I48" s="243">
        <v>1360.2180000000001</v>
      </c>
      <c r="J48" s="476">
        <f t="shared" si="56"/>
        <v>1</v>
      </c>
      <c r="L48" s="3951">
        <f t="shared" si="43"/>
        <v>1360.2180000000001</v>
      </c>
      <c r="M48" s="157">
        <f t="shared" si="34"/>
        <v>1360.2180000000001</v>
      </c>
      <c r="O48" s="3951">
        <f t="shared" si="44"/>
        <v>1360.2180000000001</v>
      </c>
      <c r="P48" s="157">
        <f t="shared" si="24"/>
        <v>1360.2180000000001</v>
      </c>
      <c r="R48" s="3951">
        <f t="shared" si="45"/>
        <v>1360.2180000000001</v>
      </c>
      <c r="S48" s="1183">
        <f t="shared" si="46"/>
        <v>1360.2180000000001</v>
      </c>
      <c r="T48" s="312"/>
      <c r="U48" s="476">
        <f t="shared" si="38"/>
        <v>1</v>
      </c>
      <c r="W48" s="5851">
        <f t="shared" si="47"/>
        <v>1360.2180000000001</v>
      </c>
      <c r="X48" s="4080"/>
      <c r="Y48" s="1183">
        <f t="shared" si="48"/>
        <v>1360.2180000000001</v>
      </c>
      <c r="AA48" s="117">
        <v>2127.0920000000001</v>
      </c>
      <c r="AB48" s="1183">
        <f t="shared" si="49"/>
        <v>2127.0920000000001</v>
      </c>
      <c r="AC48" s="312"/>
      <c r="AD48" s="476">
        <f t="shared" si="39"/>
        <v>1</v>
      </c>
      <c r="AF48" s="5851">
        <f t="shared" si="50"/>
        <v>2127.0920000000001</v>
      </c>
      <c r="AG48" s="4080"/>
      <c r="AH48" s="66">
        <f t="shared" si="40"/>
        <v>2127.0920000000001</v>
      </c>
      <c r="AJ48" s="5851">
        <f t="shared" si="51"/>
        <v>2127.0920000000001</v>
      </c>
      <c r="AK48" s="4080"/>
      <c r="AL48" s="66">
        <f t="shared" si="52"/>
        <v>2127.0920000000001</v>
      </c>
      <c r="AN48" s="117"/>
      <c r="AO48" s="1183"/>
      <c r="AP48" s="312"/>
      <c r="AQ48" s="476" t="e">
        <f t="shared" si="55"/>
        <v>#DIV/0!</v>
      </c>
      <c r="AS48" s="5698">
        <v>2318</v>
      </c>
      <c r="AT48" s="6218" t="s">
        <v>1242</v>
      </c>
      <c r="AU48" s="276">
        <f t="shared" si="53"/>
        <v>2097.5389217761663</v>
      </c>
      <c r="AV48" s="476">
        <f t="shared" si="54"/>
        <v>0.90489168325115032</v>
      </c>
      <c r="AY48" s="5698">
        <v>2284.88</v>
      </c>
      <c r="AZ48" s="7784" t="s">
        <v>1243</v>
      </c>
      <c r="BA48" s="3356">
        <f t="shared" si="42"/>
        <v>2067.5689092268885</v>
      </c>
      <c r="BC48" s="26" t="s">
        <v>1244</v>
      </c>
      <c r="BD48" s="26" t="s">
        <v>1244</v>
      </c>
    </row>
    <row r="49" spans="1:56" x14ac:dyDescent="0.35">
      <c r="A49" s="9168"/>
      <c r="B49" s="1654"/>
      <c r="C49" s="1654" t="s">
        <v>1245</v>
      </c>
      <c r="D49" s="60">
        <v>12</v>
      </c>
      <c r="E49" s="272"/>
      <c r="F49" s="155">
        <v>352.542486</v>
      </c>
      <c r="G49" s="272"/>
      <c r="H49" s="117">
        <v>397.19419900000003</v>
      </c>
      <c r="I49" s="115">
        <v>397.10149899999999</v>
      </c>
      <c r="J49" s="476">
        <f t="shared" si="56"/>
        <v>0.99976661290564306</v>
      </c>
      <c r="L49" s="3327">
        <f t="shared" si="43"/>
        <v>397.19419900000003</v>
      </c>
      <c r="M49" s="157">
        <f t="shared" si="34"/>
        <v>397.10149899999999</v>
      </c>
      <c r="O49" s="3327">
        <f t="shared" si="44"/>
        <v>397.19419900000003</v>
      </c>
      <c r="P49" s="157">
        <f t="shared" si="24"/>
        <v>397.10149899999999</v>
      </c>
      <c r="R49" s="3327">
        <f t="shared" si="45"/>
        <v>397.19419900000003</v>
      </c>
      <c r="S49" s="1183">
        <f t="shared" si="46"/>
        <v>397.19419900000003</v>
      </c>
      <c r="T49" s="312"/>
      <c r="U49" s="476">
        <f t="shared" si="38"/>
        <v>1</v>
      </c>
      <c r="W49" s="5851">
        <f t="shared" si="47"/>
        <v>397.19419900000003</v>
      </c>
      <c r="X49" s="4080"/>
      <c r="Y49" s="1183">
        <f t="shared" si="48"/>
        <v>397.19419900000003</v>
      </c>
      <c r="AA49" s="242">
        <v>530.69100000000003</v>
      </c>
      <c r="AB49" s="1183">
        <f t="shared" si="49"/>
        <v>530.69100000000003</v>
      </c>
      <c r="AC49" s="312"/>
      <c r="AD49" s="476">
        <f t="shared" si="39"/>
        <v>1</v>
      </c>
      <c r="AF49" s="5851">
        <f t="shared" si="50"/>
        <v>530.69100000000003</v>
      </c>
      <c r="AG49" s="4080"/>
      <c r="AH49" s="66">
        <f t="shared" si="40"/>
        <v>530.69100000000003</v>
      </c>
      <c r="AJ49" s="5851">
        <f t="shared" si="51"/>
        <v>530.69100000000003</v>
      </c>
      <c r="AK49" s="4080"/>
      <c r="AL49" s="66">
        <f t="shared" si="52"/>
        <v>530.69100000000003</v>
      </c>
      <c r="AN49" s="242"/>
      <c r="AO49" s="1183"/>
      <c r="AP49" s="312"/>
      <c r="AQ49" s="476" t="e">
        <f t="shared" si="55"/>
        <v>#DIV/0!</v>
      </c>
      <c r="AS49" s="5698">
        <v>605.89099999999996</v>
      </c>
      <c r="AT49" s="6218" t="s">
        <v>1246</v>
      </c>
      <c r="AU49" s="276">
        <f t="shared" si="53"/>
        <v>548.26572685672272</v>
      </c>
      <c r="AV49" s="476">
        <f t="shared" si="54"/>
        <v>0.90489168325115032</v>
      </c>
      <c r="AY49" s="5698">
        <v>605.59100000000001</v>
      </c>
      <c r="AZ49" s="7784" t="s">
        <v>1247</v>
      </c>
      <c r="BA49" s="3356">
        <f t="shared" si="42"/>
        <v>547.99425935174736</v>
      </c>
      <c r="BC49" s="26" t="s">
        <v>1248</v>
      </c>
      <c r="BD49" s="26" t="s">
        <v>1248</v>
      </c>
    </row>
    <row r="50" spans="1:56" x14ac:dyDescent="0.35">
      <c r="A50" s="9168"/>
      <c r="B50" s="1654"/>
      <c r="C50" s="1654" t="s">
        <v>1249</v>
      </c>
      <c r="D50" s="60">
        <v>13</v>
      </c>
      <c r="F50" s="122">
        <v>297.10750000000002</v>
      </c>
      <c r="H50" s="198">
        <v>746.16300000000001</v>
      </c>
      <c r="I50" s="199">
        <v>746.16300000000001</v>
      </c>
      <c r="J50" s="476">
        <f t="shared" si="56"/>
        <v>1</v>
      </c>
      <c r="L50" s="4075">
        <f t="shared" si="43"/>
        <v>746.16300000000001</v>
      </c>
      <c r="M50" s="157">
        <f t="shared" si="34"/>
        <v>746.16300000000001</v>
      </c>
      <c r="O50" s="4075">
        <f t="shared" si="44"/>
        <v>746.16300000000001</v>
      </c>
      <c r="P50" s="157">
        <f t="shared" si="24"/>
        <v>746.16300000000001</v>
      </c>
      <c r="R50" s="4075">
        <f t="shared" si="45"/>
        <v>746.16300000000001</v>
      </c>
      <c r="S50" s="1183">
        <f t="shared" si="46"/>
        <v>746.16300000000001</v>
      </c>
      <c r="T50" s="312"/>
      <c r="U50" s="476">
        <f t="shared" si="38"/>
        <v>1</v>
      </c>
      <c r="W50" s="5851">
        <f t="shared" si="47"/>
        <v>746.16300000000001</v>
      </c>
      <c r="X50" s="4080"/>
      <c r="Y50" s="1183">
        <f t="shared" si="48"/>
        <v>746.16300000000001</v>
      </c>
      <c r="AA50" s="198">
        <v>507.18</v>
      </c>
      <c r="AB50" s="1183">
        <f t="shared" si="49"/>
        <v>507.18</v>
      </c>
      <c r="AC50" s="312"/>
      <c r="AD50" s="476">
        <f t="shared" si="39"/>
        <v>1</v>
      </c>
      <c r="AF50" s="5851">
        <f t="shared" si="50"/>
        <v>507.18</v>
      </c>
      <c r="AG50" s="4080"/>
      <c r="AH50" s="66">
        <f t="shared" si="40"/>
        <v>507.18</v>
      </c>
      <c r="AJ50" s="5851">
        <f t="shared" si="51"/>
        <v>507.18</v>
      </c>
      <c r="AK50" s="4080"/>
      <c r="AL50" s="66">
        <f t="shared" si="52"/>
        <v>507.18</v>
      </c>
      <c r="AN50" s="198"/>
      <c r="AO50" s="1183"/>
      <c r="AP50" s="312"/>
      <c r="AQ50" s="476" t="e">
        <f t="shared" si="55"/>
        <v>#DIV/0!</v>
      </c>
      <c r="AS50" s="5698">
        <v>1084.3979999999999</v>
      </c>
      <c r="AT50" s="6218" t="s">
        <v>1250</v>
      </c>
      <c r="AU50" s="276">
        <f t="shared" si="53"/>
        <v>981.26273153418083</v>
      </c>
      <c r="AV50" s="476">
        <f t="shared" si="54"/>
        <v>0.90489168325115032</v>
      </c>
      <c r="AY50" s="5698">
        <f>850+849</f>
        <v>1699</v>
      </c>
      <c r="AZ50" s="7784" t="s">
        <v>1251</v>
      </c>
      <c r="BA50" s="3356">
        <f t="shared" si="42"/>
        <v>1537.4109698437044</v>
      </c>
      <c r="BC50" s="26" t="s">
        <v>1252</v>
      </c>
      <c r="BD50" s="26" t="s">
        <v>1252</v>
      </c>
    </row>
    <row r="51" spans="1:56" x14ac:dyDescent="0.35">
      <c r="A51" s="9168"/>
      <c r="B51" s="1654"/>
      <c r="C51" s="1654" t="s">
        <v>1253</v>
      </c>
      <c r="D51" s="60">
        <v>14</v>
      </c>
      <c r="F51" s="122">
        <v>129.25894</v>
      </c>
      <c r="H51" s="198">
        <v>172.72499999999999</v>
      </c>
      <c r="I51" s="199">
        <v>172.451662</v>
      </c>
      <c r="J51" s="476">
        <f t="shared" si="56"/>
        <v>0.99841749601968455</v>
      </c>
      <c r="L51" s="4075">
        <f t="shared" si="43"/>
        <v>172.72499999999999</v>
      </c>
      <c r="M51" s="157">
        <f t="shared" si="34"/>
        <v>172.451662</v>
      </c>
      <c r="O51" s="4075">
        <f t="shared" si="44"/>
        <v>172.72499999999999</v>
      </c>
      <c r="P51" s="157">
        <f t="shared" si="24"/>
        <v>172.451662</v>
      </c>
      <c r="R51" s="4075">
        <f t="shared" si="45"/>
        <v>172.72499999999999</v>
      </c>
      <c r="S51" s="1183">
        <f t="shared" si="46"/>
        <v>172.72499999999999</v>
      </c>
      <c r="T51" s="312"/>
      <c r="U51" s="476">
        <f t="shared" si="38"/>
        <v>1</v>
      </c>
      <c r="W51" s="5851">
        <f t="shared" si="47"/>
        <v>172.72499999999999</v>
      </c>
      <c r="X51" s="4080"/>
      <c r="Y51" s="1183">
        <f t="shared" si="48"/>
        <v>172.72499999999999</v>
      </c>
      <c r="AA51" s="198">
        <f>13.443+256.818</f>
        <v>270.26099999999997</v>
      </c>
      <c r="AB51" s="1183">
        <f t="shared" si="49"/>
        <v>270.26099999999997</v>
      </c>
      <c r="AC51" s="312"/>
      <c r="AD51" s="476">
        <f t="shared" si="39"/>
        <v>1</v>
      </c>
      <c r="AF51" s="5851">
        <f t="shared" si="50"/>
        <v>270.26099999999997</v>
      </c>
      <c r="AG51" s="4080"/>
      <c r="AH51" s="66">
        <f t="shared" si="40"/>
        <v>270.26099999999997</v>
      </c>
      <c r="AJ51" s="5851">
        <f t="shared" si="51"/>
        <v>270.26099999999997</v>
      </c>
      <c r="AK51" s="4080"/>
      <c r="AL51" s="66">
        <f t="shared" si="52"/>
        <v>270.26099999999997</v>
      </c>
      <c r="AN51" s="198"/>
      <c r="AO51" s="1183"/>
      <c r="AP51" s="312"/>
      <c r="AQ51" s="476" t="e">
        <f t="shared" si="55"/>
        <v>#DIV/0!</v>
      </c>
      <c r="AS51" s="5698">
        <v>297.06700000000001</v>
      </c>
      <c r="AT51" s="6218" t="s">
        <v>1254</v>
      </c>
      <c r="AU51" s="276">
        <f t="shared" si="53"/>
        <v>268.81345766836949</v>
      </c>
      <c r="AV51" s="476">
        <f t="shared" si="54"/>
        <v>0.90489168325115032</v>
      </c>
      <c r="AY51" s="5698">
        <f>517.067+15</f>
        <v>532.06700000000001</v>
      </c>
      <c r="AZ51" s="7784" t="s">
        <v>1255</v>
      </c>
      <c r="BA51" s="3356">
        <f t="shared" si="42"/>
        <v>481.46300323238978</v>
      </c>
      <c r="BC51" s="26" t="s">
        <v>1256</v>
      </c>
      <c r="BD51" s="26" t="s">
        <v>1256</v>
      </c>
    </row>
    <row r="52" spans="1:56" x14ac:dyDescent="0.35">
      <c r="A52" s="9168"/>
      <c r="B52" s="1654"/>
      <c r="C52" s="1654" t="s">
        <v>1257</v>
      </c>
      <c r="D52" s="60">
        <v>15</v>
      </c>
      <c r="F52" s="122">
        <v>292.77300000000002</v>
      </c>
      <c r="H52" s="198">
        <v>325.14800000000002</v>
      </c>
      <c r="I52" s="199">
        <v>319.81772599999999</v>
      </c>
      <c r="J52" s="476">
        <f t="shared" si="56"/>
        <v>0.9836066222151143</v>
      </c>
      <c r="L52" s="4075">
        <f t="shared" si="43"/>
        <v>325.14800000000002</v>
      </c>
      <c r="M52" s="157">
        <f t="shared" si="34"/>
        <v>319.81772599999999</v>
      </c>
      <c r="O52" s="4075">
        <f t="shared" si="44"/>
        <v>325.14800000000002</v>
      </c>
      <c r="P52" s="157">
        <f t="shared" si="24"/>
        <v>319.81772599999999</v>
      </c>
      <c r="R52" s="4075">
        <f t="shared" si="45"/>
        <v>325.14800000000002</v>
      </c>
      <c r="S52" s="1183">
        <f t="shared" si="46"/>
        <v>325.14800000000002</v>
      </c>
      <c r="T52" s="312"/>
      <c r="U52" s="476">
        <f t="shared" si="38"/>
        <v>1</v>
      </c>
      <c r="W52" s="5851">
        <f t="shared" si="47"/>
        <v>325.14800000000002</v>
      </c>
      <c r="X52" s="4080"/>
      <c r="Y52" s="1183">
        <f t="shared" si="48"/>
        <v>325.14800000000002</v>
      </c>
      <c r="AA52" s="198">
        <v>373.15800000000002</v>
      </c>
      <c r="AB52" s="1183">
        <f t="shared" si="49"/>
        <v>373.15800000000002</v>
      </c>
      <c r="AC52" s="312"/>
      <c r="AD52" s="476">
        <f t="shared" si="39"/>
        <v>1</v>
      </c>
      <c r="AF52" s="5851">
        <f t="shared" si="50"/>
        <v>373.15800000000002</v>
      </c>
      <c r="AG52" s="4080"/>
      <c r="AH52" s="66">
        <f t="shared" si="40"/>
        <v>373.15800000000002</v>
      </c>
      <c r="AJ52" s="5851">
        <f t="shared" si="51"/>
        <v>373.15800000000002</v>
      </c>
      <c r="AK52" s="4080"/>
      <c r="AL52" s="66">
        <f t="shared" si="52"/>
        <v>373.15800000000002</v>
      </c>
      <c r="AN52" s="198"/>
      <c r="AO52" s="1183"/>
      <c r="AP52" s="312"/>
      <c r="AQ52" s="476" t="e">
        <f t="shared" si="55"/>
        <v>#DIV/0!</v>
      </c>
      <c r="AS52" s="5698">
        <v>133</v>
      </c>
      <c r="AT52" s="6218" t="s">
        <v>1258</v>
      </c>
      <c r="AU52" s="276">
        <f t="shared" si="53"/>
        <v>120.350593872403</v>
      </c>
      <c r="AV52" s="476">
        <f t="shared" si="54"/>
        <v>0.90489168325115032</v>
      </c>
      <c r="AY52" s="5698">
        <v>530</v>
      </c>
      <c r="AZ52" s="7784" t="s">
        <v>1259</v>
      </c>
      <c r="BA52" s="3356">
        <f t="shared" si="42"/>
        <v>479.59259212310968</v>
      </c>
      <c r="BC52" s="26" t="s">
        <v>1260</v>
      </c>
      <c r="BD52" s="26" t="s">
        <v>1260</v>
      </c>
    </row>
    <row r="53" spans="1:56" x14ac:dyDescent="0.35">
      <c r="A53" s="9168"/>
      <c r="B53" s="1654"/>
      <c r="C53" s="1654" t="s">
        <v>1261</v>
      </c>
      <c r="D53" s="60">
        <v>16</v>
      </c>
      <c r="F53" s="122">
        <v>138.924521</v>
      </c>
      <c r="H53" s="198">
        <v>211.483</v>
      </c>
      <c r="I53" s="199">
        <v>211.30395100000001</v>
      </c>
      <c r="J53" s="476">
        <f t="shared" si="56"/>
        <v>0.99915336457303905</v>
      </c>
      <c r="L53" s="4075">
        <f t="shared" si="43"/>
        <v>211.483</v>
      </c>
      <c r="M53" s="157">
        <f t="shared" si="34"/>
        <v>211.30395100000001</v>
      </c>
      <c r="O53" s="4075">
        <f t="shared" si="44"/>
        <v>211.483</v>
      </c>
      <c r="P53" s="157">
        <f t="shared" si="24"/>
        <v>211.30395100000001</v>
      </c>
      <c r="R53" s="4075">
        <f t="shared" si="45"/>
        <v>211.483</v>
      </c>
      <c r="S53" s="1183">
        <f t="shared" si="46"/>
        <v>211.483</v>
      </c>
      <c r="T53" s="312"/>
      <c r="U53" s="476">
        <f t="shared" si="38"/>
        <v>1</v>
      </c>
      <c r="W53" s="5851">
        <f t="shared" si="47"/>
        <v>211.483</v>
      </c>
      <c r="X53" s="4080"/>
      <c r="Y53" s="1183">
        <f t="shared" si="48"/>
        <v>211.483</v>
      </c>
      <c r="AA53" s="198">
        <v>251.16300000000001</v>
      </c>
      <c r="AB53" s="1183">
        <f t="shared" si="49"/>
        <v>251.16300000000001</v>
      </c>
      <c r="AC53" s="312"/>
      <c r="AD53" s="476">
        <f t="shared" si="39"/>
        <v>1</v>
      </c>
      <c r="AF53" s="5851">
        <f t="shared" si="50"/>
        <v>251.16300000000001</v>
      </c>
      <c r="AG53" s="4080"/>
      <c r="AH53" s="66">
        <f t="shared" si="40"/>
        <v>251.16300000000001</v>
      </c>
      <c r="AJ53" s="5851">
        <f t="shared" si="51"/>
        <v>251.16300000000001</v>
      </c>
      <c r="AK53" s="4080"/>
      <c r="AL53" s="66">
        <f t="shared" si="52"/>
        <v>251.16300000000001</v>
      </c>
      <c r="AN53" s="198"/>
      <c r="AO53" s="1183"/>
      <c r="AP53" s="312"/>
      <c r="AQ53" s="476" t="e">
        <f t="shared" si="55"/>
        <v>#DIV/0!</v>
      </c>
      <c r="AS53" s="5698">
        <v>326.16300000000001</v>
      </c>
      <c r="AT53" s="6218" t="s">
        <v>1262</v>
      </c>
      <c r="AU53" s="276">
        <f t="shared" si="53"/>
        <v>295.14218608424494</v>
      </c>
      <c r="AV53" s="476">
        <f t="shared" si="54"/>
        <v>0.90489168325115032</v>
      </c>
      <c r="AY53" s="5698">
        <v>251.16300000000001</v>
      </c>
      <c r="AZ53" s="7784" t="s">
        <v>1263</v>
      </c>
      <c r="BA53" s="3356">
        <f t="shared" si="42"/>
        <v>227.27530984040868</v>
      </c>
      <c r="BC53" s="26" t="s">
        <v>1264</v>
      </c>
      <c r="BD53" s="26" t="s">
        <v>1264</v>
      </c>
    </row>
    <row r="54" spans="1:56" x14ac:dyDescent="0.35">
      <c r="A54" s="9168"/>
      <c r="B54" s="1654"/>
      <c r="C54" s="1654" t="s">
        <v>1265</v>
      </c>
      <c r="D54" s="60">
        <v>17</v>
      </c>
      <c r="F54" s="122">
        <v>448.99650000000003</v>
      </c>
      <c r="H54" s="211">
        <v>1271.906653</v>
      </c>
      <c r="I54" s="212">
        <v>1271.906653</v>
      </c>
      <c r="J54" s="476">
        <f t="shared" si="56"/>
        <v>1</v>
      </c>
      <c r="L54" s="4075">
        <f t="shared" si="43"/>
        <v>1271.906653</v>
      </c>
      <c r="M54" s="157">
        <f t="shared" si="34"/>
        <v>1271.906653</v>
      </c>
      <c r="O54" s="4075">
        <f t="shared" si="44"/>
        <v>1271.906653</v>
      </c>
      <c r="P54" s="157">
        <f t="shared" si="24"/>
        <v>1271.906653</v>
      </c>
      <c r="R54" s="4075">
        <f t="shared" si="45"/>
        <v>1271.906653</v>
      </c>
      <c r="S54" s="5852">
        <f t="shared" si="46"/>
        <v>1271.906653</v>
      </c>
      <c r="T54" s="312"/>
      <c r="U54" s="476">
        <f t="shared" si="38"/>
        <v>1</v>
      </c>
      <c r="W54" s="5853">
        <f>R54</f>
        <v>1271.906653</v>
      </c>
      <c r="X54" s="4080"/>
      <c r="Y54" s="5852">
        <f>S54</f>
        <v>1271.906653</v>
      </c>
      <c r="AA54" s="198"/>
      <c r="AB54" s="1183"/>
      <c r="AC54" s="312"/>
      <c r="AD54" s="476"/>
      <c r="AF54" s="5851"/>
      <c r="AG54" s="4080"/>
      <c r="AH54" s="66"/>
      <c r="AJ54" s="5851"/>
      <c r="AK54" s="4080"/>
      <c r="AL54" s="66"/>
      <c r="AN54" s="198"/>
      <c r="AO54" s="1183"/>
      <c r="AP54" s="312"/>
      <c r="AQ54" s="476"/>
      <c r="AS54" s="5698"/>
      <c r="AT54" s="6218"/>
      <c r="AU54" s="66"/>
      <c r="AV54" s="476"/>
      <c r="AY54" s="5698"/>
      <c r="AZ54" s="6218"/>
      <c r="BA54" s="66"/>
      <c r="BC54" s="4761" t="s">
        <v>1266</v>
      </c>
      <c r="BD54" s="4761" t="s">
        <v>1266</v>
      </c>
    </row>
    <row r="55" spans="1:56" x14ac:dyDescent="0.35">
      <c r="A55" s="9168"/>
      <c r="B55" s="6012" t="s">
        <v>1267</v>
      </c>
      <c r="C55" s="1654"/>
      <c r="D55" s="60"/>
      <c r="F55" s="122"/>
      <c r="H55" s="198"/>
      <c r="I55" s="199"/>
      <c r="J55" s="476"/>
      <c r="L55" s="4075"/>
      <c r="M55" s="157"/>
      <c r="O55" s="4075"/>
      <c r="P55" s="157"/>
      <c r="R55" s="4075"/>
      <c r="S55" s="6013"/>
      <c r="T55" s="312"/>
      <c r="U55" s="476"/>
      <c r="W55" s="4068"/>
      <c r="X55" s="4080"/>
      <c r="Y55" s="6013"/>
      <c r="AA55" s="198"/>
      <c r="AB55" s="1183"/>
      <c r="AC55" s="6014" t="s">
        <v>1268</v>
      </c>
      <c r="AD55" s="476"/>
      <c r="AF55" s="5851"/>
      <c r="AG55" s="4080"/>
      <c r="AH55" s="66"/>
      <c r="AJ55" s="5851"/>
      <c r="AK55" s="4080"/>
      <c r="AL55" s="66"/>
      <c r="AN55" s="198"/>
      <c r="AO55" s="1183"/>
      <c r="AP55" s="6014" t="s">
        <v>1268</v>
      </c>
      <c r="AQ55" s="476"/>
      <c r="AS55" s="5698"/>
      <c r="AT55" s="6218"/>
      <c r="AU55" s="66"/>
      <c r="AV55" s="476"/>
      <c r="AY55" s="5698"/>
      <c r="AZ55" s="6218"/>
      <c r="BA55" s="66"/>
      <c r="BC55" s="26"/>
      <c r="BD55" s="26"/>
    </row>
    <row r="56" spans="1:56" x14ac:dyDescent="0.35">
      <c r="A56" s="9168"/>
      <c r="B56" s="1654"/>
      <c r="C56" s="1654" t="str">
        <f>C43</f>
        <v>11 Ministère Défense Nle et Anc. Comb.</v>
      </c>
      <c r="D56" s="60"/>
      <c r="F56" s="122"/>
      <c r="H56" s="198"/>
      <c r="I56" s="199"/>
      <c r="J56" s="476"/>
      <c r="L56" s="4075"/>
      <c r="M56" s="157"/>
      <c r="O56" s="4075"/>
      <c r="P56" s="157"/>
      <c r="R56" s="4075"/>
      <c r="S56" s="6013"/>
      <c r="T56" s="312"/>
      <c r="U56" s="476"/>
      <c r="W56" s="4068"/>
      <c r="X56" s="4080"/>
      <c r="Y56" s="6013"/>
      <c r="AA56" s="198">
        <f>279.705+7.678</f>
        <v>287.38299999999998</v>
      </c>
      <c r="AB56" s="1183">
        <f t="shared" si="49"/>
        <v>287.38299999999998</v>
      </c>
      <c r="AC56" s="312"/>
      <c r="AD56" s="476">
        <f t="shared" si="39"/>
        <v>1</v>
      </c>
      <c r="AF56" s="5851">
        <f t="shared" si="50"/>
        <v>287.38299999999998</v>
      </c>
      <c r="AG56" s="4080"/>
      <c r="AH56" s="66">
        <f t="shared" si="40"/>
        <v>287.38299999999998</v>
      </c>
      <c r="AJ56" s="5851">
        <f t="shared" ref="AJ56:AJ57" si="57">AF56</f>
        <v>287.38299999999998</v>
      </c>
      <c r="AK56" s="4080"/>
      <c r="AL56" s="66">
        <f t="shared" ref="AL56:AL57" si="58">AH56</f>
        <v>287.38299999999998</v>
      </c>
      <c r="AN56" s="198"/>
      <c r="AO56" s="1183"/>
      <c r="AP56" s="312"/>
      <c r="AQ56" s="476" t="e">
        <f t="shared" ref="AQ56:AQ57" si="59">AO56/AN56</f>
        <v>#DIV/0!</v>
      </c>
      <c r="AS56" s="5698"/>
      <c r="AT56" s="6218"/>
      <c r="AU56" s="66"/>
      <c r="AV56" s="476"/>
      <c r="AY56" s="5698"/>
      <c r="AZ56" s="6218"/>
      <c r="BA56" s="66"/>
      <c r="BC56" s="26"/>
      <c r="BD56" s="26"/>
    </row>
    <row r="57" spans="1:56" x14ac:dyDescent="0.35">
      <c r="A57" s="9168"/>
      <c r="B57" s="1654"/>
      <c r="C57" s="1654" t="str">
        <f>C51</f>
        <v>28 Ministère des Ressources Animales</v>
      </c>
      <c r="D57" s="60"/>
      <c r="F57" s="122"/>
      <c r="H57" s="198"/>
      <c r="I57" s="199"/>
      <c r="J57" s="476"/>
      <c r="L57" s="4075"/>
      <c r="M57" s="157"/>
      <c r="O57" s="4075"/>
      <c r="P57" s="157"/>
      <c r="R57" s="4075"/>
      <c r="S57" s="6013"/>
      <c r="T57" s="312"/>
      <c r="U57" s="476"/>
      <c r="W57" s="4068"/>
      <c r="X57" s="4080"/>
      <c r="Y57" s="6013"/>
      <c r="AA57" s="198">
        <v>350</v>
      </c>
      <c r="AB57" s="1183">
        <f t="shared" si="49"/>
        <v>350</v>
      </c>
      <c r="AC57" s="312"/>
      <c r="AD57" s="476">
        <f t="shared" si="39"/>
        <v>1</v>
      </c>
      <c r="AF57" s="5851">
        <f t="shared" si="50"/>
        <v>350</v>
      </c>
      <c r="AG57" s="4080"/>
      <c r="AH57" s="66">
        <f t="shared" si="40"/>
        <v>350</v>
      </c>
      <c r="AJ57" s="5851">
        <f t="shared" si="57"/>
        <v>350</v>
      </c>
      <c r="AK57" s="4080"/>
      <c r="AL57" s="66">
        <f t="shared" si="58"/>
        <v>350</v>
      </c>
      <c r="AN57" s="198"/>
      <c r="AO57" s="1183"/>
      <c r="AP57" s="312"/>
      <c r="AQ57" s="476" t="e">
        <f t="shared" si="59"/>
        <v>#DIV/0!</v>
      </c>
      <c r="AS57" s="5698"/>
      <c r="AT57" s="6218"/>
      <c r="AU57" s="66"/>
      <c r="AV57" s="476"/>
      <c r="AY57" s="5698"/>
      <c r="AZ57" s="6218"/>
      <c r="BA57" s="7785" t="s">
        <v>1269</v>
      </c>
      <c r="BC57" s="26"/>
      <c r="BD57" s="26"/>
    </row>
    <row r="58" spans="1:56" x14ac:dyDescent="0.35">
      <c r="A58" s="9168"/>
      <c r="B58" s="1654"/>
      <c r="C58" s="1654"/>
      <c r="D58" s="60"/>
      <c r="F58" s="122"/>
      <c r="H58" s="198"/>
      <c r="I58" s="199"/>
      <c r="J58" s="476"/>
      <c r="L58" s="4075"/>
      <c r="M58" s="157"/>
      <c r="O58" s="4075"/>
      <c r="P58" s="157"/>
      <c r="R58" s="4075"/>
      <c r="S58" s="6013"/>
      <c r="T58" s="312"/>
      <c r="U58" s="476"/>
      <c r="W58" s="4068"/>
      <c r="X58" s="4080"/>
      <c r="Y58" s="6013"/>
      <c r="AA58" s="198"/>
      <c r="AB58" s="6013"/>
      <c r="AC58" s="312"/>
      <c r="AD58" s="476"/>
      <c r="AF58" s="4068"/>
      <c r="AG58" s="4080"/>
      <c r="AH58" s="5854"/>
      <c r="AJ58" s="4068"/>
      <c r="AK58" s="4080"/>
      <c r="AL58" s="5854"/>
      <c r="AN58" s="198"/>
      <c r="AO58" s="6013"/>
      <c r="AP58" s="312"/>
      <c r="AQ58" s="476"/>
      <c r="AS58" s="6220"/>
      <c r="AT58" s="6218"/>
      <c r="AU58" s="5854"/>
      <c r="AV58" s="476"/>
      <c r="AY58" s="6220">
        <v>262</v>
      </c>
      <c r="AZ58" s="7784" t="s">
        <v>1227</v>
      </c>
      <c r="BA58" s="5854">
        <f>AY58*BA$31/AY$31</f>
        <v>250.07740753180556</v>
      </c>
      <c r="BC58" s="26"/>
      <c r="BD58" s="26"/>
    </row>
    <row r="59" spans="1:56" x14ac:dyDescent="0.35">
      <c r="A59" s="9168"/>
      <c r="B59" s="1654"/>
      <c r="C59" s="1654"/>
      <c r="D59" s="60"/>
      <c r="F59" s="122"/>
      <c r="H59" s="198"/>
      <c r="I59" s="199"/>
      <c r="J59" s="476"/>
      <c r="L59" s="4075"/>
      <c r="M59" s="157"/>
      <c r="O59" s="4075"/>
      <c r="P59" s="157"/>
      <c r="R59" s="4075"/>
      <c r="S59" s="6013"/>
      <c r="T59" s="312"/>
      <c r="U59" s="476"/>
      <c r="W59" s="4068"/>
      <c r="X59" s="4080"/>
      <c r="Y59" s="6013"/>
      <c r="AA59" s="198"/>
      <c r="AB59" s="6013"/>
      <c r="AC59" s="312"/>
      <c r="AD59" s="476"/>
      <c r="AF59" s="4068"/>
      <c r="AG59" s="4080"/>
      <c r="AH59" s="5854"/>
      <c r="AJ59" s="4068"/>
      <c r="AK59" s="4080"/>
      <c r="AL59" s="5854"/>
      <c r="AN59" s="198"/>
      <c r="AO59" s="6013"/>
      <c r="AP59" s="312"/>
      <c r="AQ59" s="476"/>
      <c r="AS59" s="6220"/>
      <c r="AT59" s="6218"/>
      <c r="AU59" s="5854"/>
      <c r="AV59" s="476"/>
      <c r="AY59" s="6220">
        <v>150</v>
      </c>
      <c r="AZ59" s="7784" t="s">
        <v>1231</v>
      </c>
      <c r="BA59" s="5854">
        <f t="shared" ref="BA59:BA60" si="60">AY59*BA$31/AY$31</f>
        <v>143.17408828156806</v>
      </c>
      <c r="BC59" s="26"/>
      <c r="BD59" s="26"/>
    </row>
    <row r="60" spans="1:56" x14ac:dyDescent="0.35">
      <c r="A60" s="9168"/>
      <c r="B60" s="1654"/>
      <c r="C60" s="1654"/>
      <c r="D60" s="60"/>
      <c r="F60" s="122"/>
      <c r="H60" s="198"/>
      <c r="I60" s="199"/>
      <c r="J60" s="476"/>
      <c r="L60" s="4075"/>
      <c r="M60" s="157"/>
      <c r="O60" s="4075"/>
      <c r="P60" s="157"/>
      <c r="R60" s="4075"/>
      <c r="S60" s="6013"/>
      <c r="T60" s="312"/>
      <c r="U60" s="476"/>
      <c r="W60" s="4068"/>
      <c r="X60" s="4080"/>
      <c r="Y60" s="6013"/>
      <c r="AA60" s="198"/>
      <c r="AB60" s="6013"/>
      <c r="AC60" s="312"/>
      <c r="AD60" s="476"/>
      <c r="AF60" s="5855"/>
      <c r="AG60" s="5856"/>
      <c r="AH60" s="5857"/>
      <c r="AJ60" s="5855"/>
      <c r="AK60" s="5856"/>
      <c r="AL60" s="5857"/>
      <c r="AN60" s="198"/>
      <c r="AO60" s="6013"/>
      <c r="AP60" s="312"/>
      <c r="AQ60" s="476"/>
      <c r="AS60" s="5855"/>
      <c r="AT60" s="5856"/>
      <c r="AU60" s="5857"/>
      <c r="AV60" s="476"/>
      <c r="AY60" s="5855">
        <v>150</v>
      </c>
      <c r="AZ60" s="7784" t="s">
        <v>1263</v>
      </c>
      <c r="BA60" s="5857">
        <f t="shared" si="60"/>
        <v>143.17408828156806</v>
      </c>
      <c r="BC60" s="26"/>
      <c r="BD60" s="26"/>
    </row>
    <row r="61" spans="1:56" x14ac:dyDescent="0.35">
      <c r="A61" s="9168"/>
      <c r="B61" s="271" t="s">
        <v>965</v>
      </c>
      <c r="C61" s="271"/>
      <c r="D61" s="140"/>
      <c r="E61" s="141"/>
      <c r="F61" s="227"/>
      <c r="G61" s="141"/>
      <c r="H61" s="245"/>
      <c r="I61" s="106"/>
      <c r="J61" s="518"/>
      <c r="K61" s="141"/>
      <c r="L61" s="102"/>
      <c r="M61" s="268"/>
      <c r="N61" s="141"/>
      <c r="O61" s="102"/>
      <c r="P61" s="268"/>
      <c r="Q61" s="141"/>
      <c r="R61" s="102"/>
      <c r="S61" s="103"/>
      <c r="T61" s="2909"/>
      <c r="U61" s="516"/>
      <c r="V61" s="141"/>
      <c r="W61" s="102"/>
      <c r="X61" s="2909"/>
      <c r="Y61" s="105"/>
      <c r="Z61" s="141"/>
      <c r="AA61" s="230" t="s">
        <v>1270</v>
      </c>
      <c r="AB61" s="103"/>
      <c r="AC61" s="5858" t="s">
        <v>1271</v>
      </c>
      <c r="AD61" s="516"/>
      <c r="AE61" s="141"/>
      <c r="AF61" s="102"/>
      <c r="AG61" s="2909"/>
      <c r="AH61" s="105"/>
      <c r="AI61" s="141"/>
      <c r="AJ61" s="102"/>
      <c r="AK61" s="2909"/>
      <c r="AL61" s="105"/>
      <c r="AM61" s="141"/>
      <c r="AN61" s="230" t="s">
        <v>1270</v>
      </c>
      <c r="AO61" s="103"/>
      <c r="AP61" s="5858" t="s">
        <v>1271</v>
      </c>
      <c r="AQ61" s="516"/>
      <c r="AR61" s="141"/>
      <c r="AS61" s="102"/>
      <c r="AT61" s="2909"/>
      <c r="AU61" s="3356"/>
      <c r="AV61" s="516"/>
      <c r="AW61" s="141"/>
      <c r="AX61" s="141"/>
      <c r="AY61" s="102"/>
      <c r="AZ61" s="2909"/>
      <c r="BA61" s="3356"/>
      <c r="BB61" s="141"/>
      <c r="BC61" s="18"/>
      <c r="BD61" s="18"/>
    </row>
    <row r="62" spans="1:56" x14ac:dyDescent="0.35">
      <c r="A62" s="9168"/>
      <c r="B62" s="232"/>
      <c r="C62" s="232" t="s">
        <v>1272</v>
      </c>
      <c r="D62" s="60">
        <v>18</v>
      </c>
      <c r="F62" s="111">
        <v>32344.623622999999</v>
      </c>
      <c r="H62" s="112">
        <v>101684.455</v>
      </c>
      <c r="I62" s="113">
        <v>98393.519421000005</v>
      </c>
      <c r="J62" s="476">
        <f t="shared" ref="J62:J69" si="61">IF(H62=0,0,I62/H62)</f>
        <v>0.96763580451898967</v>
      </c>
      <c r="L62" s="112">
        <v>116752.639</v>
      </c>
      <c r="M62" s="157">
        <f t="shared" si="34"/>
        <v>112974.03376848016</v>
      </c>
      <c r="O62" s="112">
        <f>136406643000/1000000</f>
        <v>136406.64300000001</v>
      </c>
      <c r="P62" s="157">
        <f t="shared" si="24"/>
        <v>131991.95174103961</v>
      </c>
      <c r="R62" s="112">
        <v>144649.78200000001</v>
      </c>
      <c r="S62" s="113">
        <f>69398.820704*2</f>
        <v>138797.641408</v>
      </c>
      <c r="T62" s="312"/>
      <c r="U62" s="476">
        <f t="shared" ref="U62:U66" si="62">S62/R62</f>
        <v>0.95954269331702136</v>
      </c>
      <c r="W62" s="112">
        <v>154270.728</v>
      </c>
      <c r="X62" s="312"/>
      <c r="Y62" s="3254">
        <f>145141.271319*1.33333333333333</f>
        <v>193521.69509199949</v>
      </c>
      <c r="AA62" s="112">
        <v>198951.435</v>
      </c>
      <c r="AB62" s="113">
        <v>198951.43799999999</v>
      </c>
      <c r="AC62" s="2990" t="s">
        <v>1273</v>
      </c>
      <c r="AD62" s="476">
        <f t="shared" ref="AD62:AD66" si="63">AB62/AA62</f>
        <v>1.0000000150790569</v>
      </c>
      <c r="AF62" s="112">
        <v>223276.967</v>
      </c>
      <c r="AG62" s="4901" t="s">
        <v>1274</v>
      </c>
      <c r="AH62" s="3356">
        <f>AF62*AD62</f>
        <v>223276.97036680608</v>
      </c>
      <c r="AJ62" s="112">
        <v>272072.54700000002</v>
      </c>
      <c r="AK62" s="4901"/>
      <c r="AL62" s="3356">
        <v>322834.69642599998</v>
      </c>
      <c r="AN62" s="112">
        <v>198951.435</v>
      </c>
      <c r="AO62" s="113">
        <v>198951.43799999999</v>
      </c>
      <c r="AP62" s="2990" t="s">
        <v>1273</v>
      </c>
      <c r="AQ62" s="476">
        <f t="shared" ref="AQ62:AQ66" si="64">AO62/AN62</f>
        <v>1.0000000150790569</v>
      </c>
      <c r="AS62" s="112">
        <v>385990.28399999999</v>
      </c>
      <c r="AT62" s="4901" t="s">
        <v>1274</v>
      </c>
      <c r="AU62" s="276">
        <v>385926.06155899999</v>
      </c>
      <c r="AV62" s="476">
        <f t="shared" ref="AV62:AV64" si="65">IF(AS62=0,"**",AU62/AS62)</f>
        <v>0.99983361643113278</v>
      </c>
      <c r="AY62" s="112">
        <v>364856.21299999999</v>
      </c>
      <c r="AZ62" s="4901" t="s">
        <v>1275</v>
      </c>
      <c r="BA62" s="66">
        <f t="shared" ref="BA62:BA64" si="66">AY62*AV62</f>
        <v>364795.50692115765</v>
      </c>
      <c r="BC62" s="26"/>
      <c r="BD62" s="26"/>
    </row>
    <row r="63" spans="1:56" x14ac:dyDescent="0.35">
      <c r="A63" s="9168"/>
      <c r="B63" s="232"/>
      <c r="C63" s="232" t="s">
        <v>1276</v>
      </c>
      <c r="D63" s="60"/>
      <c r="F63" s="155"/>
      <c r="H63" s="117"/>
      <c r="I63" s="115"/>
      <c r="J63" s="476">
        <f t="shared" si="61"/>
        <v>0</v>
      </c>
      <c r="L63" s="117"/>
      <c r="M63" s="157">
        <f t="shared" si="34"/>
        <v>0</v>
      </c>
      <c r="O63" s="117"/>
      <c r="P63" s="157">
        <f t="shared" si="24"/>
        <v>0</v>
      </c>
      <c r="R63" s="117">
        <v>1114.2349999999999</v>
      </c>
      <c r="S63" s="115">
        <f>237.073787*2</f>
        <v>474.14757400000002</v>
      </c>
      <c r="T63" s="312"/>
      <c r="U63" s="476">
        <f t="shared" si="62"/>
        <v>0.42553642095249211</v>
      </c>
      <c r="W63" s="117">
        <v>2550.2310000000002</v>
      </c>
      <c r="X63" s="312"/>
      <c r="Y63" s="3265">
        <f>1943.940364*1.33333333333333</f>
        <v>2591.9204853333267</v>
      </c>
      <c r="AA63" s="117">
        <v>2609.4989999999998</v>
      </c>
      <c r="AB63" s="115">
        <v>2609.498</v>
      </c>
      <c r="AC63" s="2990" t="s">
        <v>1277</v>
      </c>
      <c r="AD63" s="476">
        <f t="shared" si="63"/>
        <v>0.99999961678467797</v>
      </c>
      <c r="AF63" s="117">
        <v>153.32499999999999</v>
      </c>
      <c r="AG63" s="4901" t="s">
        <v>1278</v>
      </c>
      <c r="AH63" s="3356">
        <f t="shared" ref="AH63:AH64" si="67">AF63*AD63</f>
        <v>153.32494124351075</v>
      </c>
      <c r="AJ63" s="117">
        <v>2169.8220000000001</v>
      </c>
      <c r="AK63" s="4901"/>
      <c r="AL63" s="3356">
        <v>3123.0700080000001</v>
      </c>
      <c r="AN63" s="117">
        <v>2609.4989999999998</v>
      </c>
      <c r="AO63" s="115">
        <v>2609.498</v>
      </c>
      <c r="AP63" s="2990" t="s">
        <v>1277</v>
      </c>
      <c r="AQ63" s="476">
        <f t="shared" si="64"/>
        <v>0.99999961678467797</v>
      </c>
      <c r="AS63" s="117">
        <v>2992.9229999999998</v>
      </c>
      <c r="AT63" s="4901" t="s">
        <v>1278</v>
      </c>
      <c r="AU63" s="276">
        <f>2993.46852</f>
        <v>2993.4685199999999</v>
      </c>
      <c r="AV63" s="476">
        <f t="shared" si="65"/>
        <v>1.0001822699748708</v>
      </c>
      <c r="AY63" s="117">
        <v>234.51900000000001</v>
      </c>
      <c r="AZ63" s="4901" t="s">
        <v>1279</v>
      </c>
      <c r="BA63" s="66">
        <f t="shared" si="66"/>
        <v>234.56174577223672</v>
      </c>
      <c r="BC63" s="26"/>
      <c r="BD63" s="26"/>
    </row>
    <row r="64" spans="1:56" x14ac:dyDescent="0.35">
      <c r="A64" s="9168"/>
      <c r="B64" s="232"/>
      <c r="C64" s="232" t="s">
        <v>1280</v>
      </c>
      <c r="D64" s="60"/>
      <c r="F64" s="163">
        <v>9412.5099470000005</v>
      </c>
      <c r="H64" s="242">
        <v>29738.559000000001</v>
      </c>
      <c r="I64" s="243">
        <v>33754.600857999998</v>
      </c>
      <c r="J64" s="476">
        <f t="shared" si="61"/>
        <v>1.1350449380550012</v>
      </c>
      <c r="L64" s="242">
        <v>38002.313000000002</v>
      </c>
      <c r="M64" s="157">
        <f>MIN(L64*J64,L64)</f>
        <v>38002.313000000002</v>
      </c>
      <c r="O64" s="242">
        <f>1287636000/1000000</f>
        <v>1287.636</v>
      </c>
      <c r="P64" s="157">
        <f t="shared" si="24"/>
        <v>1461.5247238573895</v>
      </c>
      <c r="R64" s="5859">
        <v>44539.192999999999</v>
      </c>
      <c r="S64" s="5850">
        <v>23929.624</v>
      </c>
      <c r="T64" s="312"/>
      <c r="U64" s="476">
        <f t="shared" si="62"/>
        <v>0.53727116250175433</v>
      </c>
      <c r="W64" s="117">
        <v>48476.527999999998</v>
      </c>
      <c r="X64" s="312"/>
      <c r="Y64" s="3272">
        <f>43623.766*12/9</f>
        <v>58165.021333333338</v>
      </c>
      <c r="AA64" s="242">
        <v>58473.815999999999</v>
      </c>
      <c r="AB64" s="243">
        <v>58474.978000000003</v>
      </c>
      <c r="AC64" s="2990" t="s">
        <v>1281</v>
      </c>
      <c r="AD64" s="476">
        <f t="shared" si="63"/>
        <v>1.0000198721424305</v>
      </c>
      <c r="AF64" s="117">
        <v>5130.1610000000001</v>
      </c>
      <c r="AG64" s="4901" t="s">
        <v>1282</v>
      </c>
      <c r="AH64" s="3356">
        <f t="shared" si="67"/>
        <v>5130.2629472900835</v>
      </c>
      <c r="AJ64" s="117">
        <v>5253.0110000000004</v>
      </c>
      <c r="AK64" s="4901"/>
      <c r="AL64" s="3356">
        <v>825.71278419999999</v>
      </c>
      <c r="AN64" s="242">
        <v>58473.815999999999</v>
      </c>
      <c r="AO64" s="243">
        <v>58474.978000000003</v>
      </c>
      <c r="AP64" s="2990" t="s">
        <v>1281</v>
      </c>
      <c r="AQ64" s="476">
        <f t="shared" si="64"/>
        <v>1.0000198721424305</v>
      </c>
      <c r="AS64" s="117">
        <v>6314.4740000000002</v>
      </c>
      <c r="AT64" s="4901" t="s">
        <v>1282</v>
      </c>
      <c r="AU64" s="276">
        <f>6184.908862</f>
        <v>6184.9088620000002</v>
      </c>
      <c r="AV64" s="476">
        <f t="shared" si="65"/>
        <v>0.97948124610220899</v>
      </c>
      <c r="AY64" s="117">
        <v>7917.7460000000001</v>
      </c>
      <c r="AZ64" s="4901" t="s">
        <v>1206</v>
      </c>
      <c r="BA64" s="66">
        <f t="shared" si="66"/>
        <v>7755.2837184007813</v>
      </c>
      <c r="BC64" s="26"/>
      <c r="BD64" s="26"/>
    </row>
    <row r="65" spans="1:56" x14ac:dyDescent="0.35">
      <c r="A65" s="9168"/>
      <c r="B65" s="232"/>
      <c r="C65" s="232" t="s">
        <v>1241</v>
      </c>
      <c r="D65" s="60"/>
      <c r="F65" s="163"/>
      <c r="H65" s="242"/>
      <c r="I65" s="243"/>
      <c r="J65" s="476">
        <f t="shared" si="61"/>
        <v>0</v>
      </c>
      <c r="L65" s="242"/>
      <c r="M65" s="157">
        <f t="shared" si="34"/>
        <v>0</v>
      </c>
      <c r="O65" s="242"/>
      <c r="P65" s="157">
        <f t="shared" si="24"/>
        <v>0</v>
      </c>
      <c r="R65" s="242"/>
      <c r="S65" s="243"/>
      <c r="T65" s="312"/>
      <c r="U65" s="476" t="e">
        <f t="shared" si="62"/>
        <v>#DIV/0!</v>
      </c>
      <c r="W65" s="242"/>
      <c r="X65" s="312"/>
      <c r="Y65" s="3272"/>
      <c r="AA65" s="242"/>
      <c r="AB65" s="243"/>
      <c r="AC65" s="312"/>
      <c r="AD65" s="476" t="e">
        <f t="shared" si="63"/>
        <v>#DIV/0!</v>
      </c>
      <c r="AF65" s="242"/>
      <c r="AG65" s="312"/>
      <c r="AH65" s="3356"/>
      <c r="AJ65" s="242"/>
      <c r="AK65" s="312"/>
      <c r="AL65" s="3356"/>
      <c r="AN65" s="242"/>
      <c r="AO65" s="243"/>
      <c r="AP65" s="312"/>
      <c r="AQ65" s="476" t="e">
        <f t="shared" si="64"/>
        <v>#DIV/0!</v>
      </c>
      <c r="AS65" s="242"/>
      <c r="AT65" s="312"/>
      <c r="AU65" s="276"/>
      <c r="AV65" s="476"/>
      <c r="AY65" s="242"/>
      <c r="AZ65" s="312"/>
      <c r="BA65" s="66"/>
      <c r="BC65" s="26"/>
      <c r="BD65" s="26"/>
    </row>
    <row r="66" spans="1:56" x14ac:dyDescent="0.35">
      <c r="A66" s="9168"/>
      <c r="B66" s="232"/>
      <c r="C66" s="232" t="s">
        <v>962</v>
      </c>
      <c r="D66" s="60"/>
      <c r="F66" s="163"/>
      <c r="H66" s="242"/>
      <c r="I66" s="243"/>
      <c r="J66" s="476">
        <f t="shared" si="61"/>
        <v>0</v>
      </c>
      <c r="L66" s="242"/>
      <c r="M66" s="157">
        <f t="shared" si="34"/>
        <v>0</v>
      </c>
      <c r="O66" s="242"/>
      <c r="P66" s="157">
        <f t="shared" si="24"/>
        <v>0</v>
      </c>
      <c r="R66" s="242"/>
      <c r="S66" s="243"/>
      <c r="T66" s="312"/>
      <c r="U66" s="476" t="e">
        <f t="shared" si="62"/>
        <v>#DIV/0!</v>
      </c>
      <c r="W66" s="242"/>
      <c r="X66" s="312"/>
      <c r="Y66" s="3272"/>
      <c r="AA66" s="242"/>
      <c r="AB66" s="243"/>
      <c r="AC66" s="312"/>
      <c r="AD66" s="476" t="e">
        <f t="shared" si="63"/>
        <v>#DIV/0!</v>
      </c>
      <c r="AF66" s="242"/>
      <c r="AG66" s="312"/>
      <c r="AH66" s="3356"/>
      <c r="AJ66" s="242"/>
      <c r="AK66" s="312"/>
      <c r="AL66" s="3356"/>
      <c r="AN66" s="242"/>
      <c r="AO66" s="243"/>
      <c r="AP66" s="312"/>
      <c r="AQ66" s="476" t="e">
        <f t="shared" si="64"/>
        <v>#DIV/0!</v>
      </c>
      <c r="AS66" s="242"/>
      <c r="AT66" s="312"/>
      <c r="AU66" s="276"/>
      <c r="AV66" s="476"/>
      <c r="AY66" s="242"/>
      <c r="AZ66" s="312"/>
      <c r="BA66" s="66"/>
      <c r="BC66" s="26"/>
      <c r="BD66" s="26"/>
    </row>
    <row r="67" spans="1:56" x14ac:dyDescent="0.35">
      <c r="A67" s="9168"/>
      <c r="B67" s="232"/>
      <c r="C67" s="232" t="s">
        <v>963</v>
      </c>
      <c r="D67" s="60"/>
      <c r="F67" s="163"/>
      <c r="H67" s="242"/>
      <c r="I67" s="243"/>
      <c r="J67" s="476"/>
      <c r="L67" s="242"/>
      <c r="M67" s="157">
        <f t="shared" si="34"/>
        <v>0</v>
      </c>
      <c r="O67" s="242"/>
      <c r="P67" s="157">
        <f t="shared" si="24"/>
        <v>0</v>
      </c>
      <c r="R67" s="242"/>
      <c r="S67" s="243"/>
      <c r="T67" s="312"/>
      <c r="U67" s="476"/>
      <c r="W67" s="242"/>
      <c r="X67" s="312"/>
      <c r="Y67" s="3272"/>
      <c r="AA67" s="242"/>
      <c r="AB67" s="243"/>
      <c r="AC67" s="312"/>
      <c r="AD67" s="476"/>
      <c r="AF67" s="242"/>
      <c r="AG67" s="312"/>
      <c r="AH67" s="3356"/>
      <c r="AJ67" s="242"/>
      <c r="AK67" s="312"/>
      <c r="AL67" s="3356"/>
      <c r="AN67" s="242"/>
      <c r="AO67" s="243"/>
      <c r="AP67" s="312"/>
      <c r="AQ67" s="476"/>
      <c r="AS67" s="242"/>
      <c r="AT67" s="312"/>
      <c r="AU67" s="276"/>
      <c r="AV67" s="476"/>
      <c r="AY67" s="242"/>
      <c r="AZ67" s="312"/>
      <c r="BA67" s="66"/>
      <c r="BC67" s="26"/>
      <c r="BD67" s="26"/>
    </row>
    <row r="68" spans="1:56" x14ac:dyDescent="0.35">
      <c r="A68" s="9168"/>
      <c r="B68" s="232"/>
      <c r="C68" s="232" t="s">
        <v>964</v>
      </c>
      <c r="D68" s="60"/>
      <c r="F68" s="163"/>
      <c r="H68" s="242"/>
      <c r="I68" s="243"/>
      <c r="J68" s="476">
        <f t="shared" si="61"/>
        <v>0</v>
      </c>
      <c r="L68" s="242"/>
      <c r="M68" s="157">
        <f t="shared" si="34"/>
        <v>0</v>
      </c>
      <c r="O68" s="242"/>
      <c r="P68" s="157">
        <f t="shared" si="24"/>
        <v>0</v>
      </c>
      <c r="R68" s="242"/>
      <c r="S68" s="243"/>
      <c r="T68" s="312"/>
      <c r="U68" s="476" t="e">
        <f t="shared" ref="U68:U69" si="68">S68/R68</f>
        <v>#DIV/0!</v>
      </c>
      <c r="W68" s="242"/>
      <c r="X68" s="312"/>
      <c r="Y68" s="3272"/>
      <c r="AA68" s="242"/>
      <c r="AB68" s="243"/>
      <c r="AC68" s="312"/>
      <c r="AD68" s="476" t="e">
        <f t="shared" ref="AD68:AD69" si="69">AB68/AA68</f>
        <v>#DIV/0!</v>
      </c>
      <c r="AF68" s="242"/>
      <c r="AG68" s="312"/>
      <c r="AH68" s="3356"/>
      <c r="AJ68" s="242"/>
      <c r="AK68" s="312"/>
      <c r="AL68" s="3356"/>
      <c r="AN68" s="242"/>
      <c r="AO68" s="243"/>
      <c r="AP68" s="312"/>
      <c r="AQ68" s="476" t="e">
        <f t="shared" ref="AQ68:AQ69" si="70">AO68/AN68</f>
        <v>#DIV/0!</v>
      </c>
      <c r="AS68" s="242"/>
      <c r="AT68" s="312"/>
      <c r="AU68" s="276"/>
      <c r="AV68" s="476"/>
      <c r="AY68" s="242"/>
      <c r="AZ68" s="312"/>
      <c r="BA68" s="66"/>
      <c r="BC68" s="26"/>
      <c r="BD68" s="26"/>
    </row>
    <row r="69" spans="1:56" x14ac:dyDescent="0.35">
      <c r="A69" s="9168"/>
      <c r="B69" s="1662"/>
      <c r="C69" s="1662" t="s">
        <v>978</v>
      </c>
      <c r="D69" s="87"/>
      <c r="F69" s="130"/>
      <c r="H69" s="242"/>
      <c r="I69" s="243"/>
      <c r="J69" s="476">
        <f t="shared" si="61"/>
        <v>0</v>
      </c>
      <c r="L69" s="242"/>
      <c r="M69" s="157">
        <f t="shared" si="34"/>
        <v>0</v>
      </c>
      <c r="O69" s="242"/>
      <c r="P69" s="157">
        <f t="shared" si="24"/>
        <v>0</v>
      </c>
      <c r="R69" s="131"/>
      <c r="S69" s="132"/>
      <c r="T69" s="3054"/>
      <c r="U69" s="484" t="e">
        <f t="shared" si="68"/>
        <v>#DIV/0!</v>
      </c>
      <c r="W69" s="131"/>
      <c r="X69" s="3054"/>
      <c r="Y69" s="3264"/>
      <c r="AA69" s="131"/>
      <c r="AB69" s="132"/>
      <c r="AC69" s="3054"/>
      <c r="AD69" s="484" t="e">
        <f t="shared" si="69"/>
        <v>#DIV/0!</v>
      </c>
      <c r="AF69" s="131"/>
      <c r="AG69" s="3054"/>
      <c r="AH69" s="5360"/>
      <c r="AJ69" s="131"/>
      <c r="AK69" s="3054"/>
      <c r="AL69" s="5360"/>
      <c r="AN69" s="131"/>
      <c r="AO69" s="132"/>
      <c r="AP69" s="3054"/>
      <c r="AQ69" s="484" t="e">
        <f t="shared" si="70"/>
        <v>#DIV/0!</v>
      </c>
      <c r="AS69" s="131"/>
      <c r="AT69" s="3054"/>
      <c r="AU69" s="276"/>
      <c r="AV69" s="484"/>
      <c r="AY69" s="131"/>
      <c r="AZ69" s="3054"/>
      <c r="BA69" s="66"/>
      <c r="BC69" s="24"/>
      <c r="BD69" s="24"/>
    </row>
    <row r="70" spans="1:56" x14ac:dyDescent="0.35">
      <c r="A70" s="9168"/>
      <c r="B70" s="271" t="s">
        <v>979</v>
      </c>
      <c r="C70" s="271"/>
      <c r="D70" s="140"/>
      <c r="E70" s="143"/>
      <c r="F70" s="227"/>
      <c r="G70" s="143"/>
      <c r="H70" s="102"/>
      <c r="I70" s="103"/>
      <c r="J70" s="228"/>
      <c r="K70" s="143"/>
      <c r="L70" s="102"/>
      <c r="M70" s="268"/>
      <c r="N70" s="143"/>
      <c r="O70" s="102"/>
      <c r="P70" s="268"/>
      <c r="Q70" s="143"/>
      <c r="R70" s="245"/>
      <c r="S70" s="106"/>
      <c r="T70" s="254"/>
      <c r="U70" s="246"/>
      <c r="V70" s="143"/>
      <c r="W70" s="102"/>
      <c r="X70" s="2909"/>
      <c r="Y70" s="105"/>
      <c r="Z70" s="143"/>
      <c r="AA70" s="245"/>
      <c r="AB70" s="106"/>
      <c r="AC70" s="254"/>
      <c r="AD70" s="246"/>
      <c r="AE70" s="143"/>
      <c r="AF70" s="102"/>
      <c r="AG70" s="2909"/>
      <c r="AH70" s="105"/>
      <c r="AI70" s="143"/>
      <c r="AJ70" s="102"/>
      <c r="AK70" s="2909"/>
      <c r="AL70" s="105"/>
      <c r="AM70" s="143"/>
      <c r="AN70" s="245"/>
      <c r="AO70" s="106"/>
      <c r="AP70" s="254"/>
      <c r="AQ70" s="246"/>
      <c r="AR70" s="143"/>
      <c r="AS70" s="102"/>
      <c r="AT70" s="2909"/>
      <c r="AU70" s="105"/>
      <c r="AV70" s="518"/>
      <c r="AW70" s="143"/>
      <c r="AX70" s="143"/>
      <c r="AY70" s="102"/>
      <c r="AZ70" s="2909" t="s">
        <v>1283</v>
      </c>
      <c r="BA70" s="7786" t="s">
        <v>1284</v>
      </c>
      <c r="BB70" s="143"/>
      <c r="BC70" s="18"/>
      <c r="BD70" s="18"/>
    </row>
    <row r="71" spans="1:56" ht="14.75" customHeight="1" x14ac:dyDescent="0.35">
      <c r="A71" s="9168"/>
      <c r="B71" s="272"/>
      <c r="C71" s="272" t="s">
        <v>980</v>
      </c>
      <c r="D71" s="60">
        <v>19</v>
      </c>
      <c r="F71" s="155">
        <v>10301.759690000001</v>
      </c>
      <c r="H71" s="117">
        <v>15676.049000000001</v>
      </c>
      <c r="I71" s="115">
        <v>15676.0486</v>
      </c>
      <c r="J71" s="476">
        <f t="shared" ref="J71" si="71">IF(H71=0,0,I71/H71)</f>
        <v>0.99999997448336631</v>
      </c>
      <c r="L71" s="117">
        <v>14612.483</v>
      </c>
      <c r="M71" s="157">
        <f t="shared" si="34"/>
        <v>14612.482627138625</v>
      </c>
      <c r="O71" s="117">
        <v>5876.723</v>
      </c>
      <c r="P71" s="157">
        <f t="shared" si="24"/>
        <v>5876.7228500458123</v>
      </c>
      <c r="R71" s="117">
        <v>5876.723</v>
      </c>
      <c r="S71" s="115"/>
      <c r="T71" s="312"/>
      <c r="U71" s="476">
        <f>S71/R71</f>
        <v>0</v>
      </c>
      <c r="W71" s="117"/>
      <c r="X71" s="312"/>
      <c r="Y71" s="3265"/>
      <c r="AA71" s="117"/>
      <c r="AB71" s="115"/>
      <c r="AC71" s="312"/>
      <c r="AD71" s="476" t="e">
        <f>AB71/AA71</f>
        <v>#DIV/0!</v>
      </c>
      <c r="AF71" s="117"/>
      <c r="AG71" s="312"/>
      <c r="AH71" s="3265"/>
      <c r="AJ71" s="117"/>
      <c r="AK71" s="312"/>
      <c r="AL71" s="3265"/>
      <c r="AN71" s="117"/>
      <c r="AO71" s="115"/>
      <c r="AP71" s="312"/>
      <c r="AQ71" s="476" t="e">
        <f>AO71/AN71</f>
        <v>#DIV/0!</v>
      </c>
      <c r="AS71" s="117"/>
      <c r="AT71" s="312"/>
      <c r="AU71" s="3265"/>
      <c r="AV71" s="476"/>
      <c r="AY71" s="117">
        <v>31208</v>
      </c>
      <c r="AZ71" s="2990" t="s">
        <v>1285</v>
      </c>
      <c r="BA71" s="66">
        <f>AY71</f>
        <v>31208</v>
      </c>
      <c r="BC71" s="26"/>
      <c r="BD71" s="26"/>
    </row>
    <row r="72" spans="1:56" x14ac:dyDescent="0.35">
      <c r="A72" s="9168"/>
      <c r="B72" s="277"/>
      <c r="C72" s="277" t="s">
        <v>981</v>
      </c>
      <c r="D72" s="87"/>
      <c r="F72" s="278"/>
      <c r="G72" s="279"/>
      <c r="H72" s="280"/>
      <c r="I72" s="281"/>
      <c r="J72" s="484"/>
      <c r="L72" s="280"/>
      <c r="M72" s="282"/>
      <c r="O72" s="280"/>
      <c r="P72" s="282"/>
      <c r="R72" s="5346"/>
      <c r="S72" s="5347"/>
      <c r="T72" s="5348"/>
      <c r="U72" s="476"/>
      <c r="W72" s="280"/>
      <c r="X72" s="2913"/>
      <c r="Y72" s="5225"/>
      <c r="AA72" s="5346"/>
      <c r="AB72" s="5347"/>
      <c r="AC72" s="5348"/>
      <c r="AD72" s="476"/>
      <c r="AF72" s="280"/>
      <c r="AG72" s="2913"/>
      <c r="AH72" s="5225"/>
      <c r="AJ72" s="280"/>
      <c r="AK72" s="2913"/>
      <c r="AL72" s="5225"/>
      <c r="AN72" s="5346"/>
      <c r="AO72" s="5347"/>
      <c r="AP72" s="5348"/>
      <c r="AQ72" s="476"/>
      <c r="AS72" s="280"/>
      <c r="AT72" s="2913"/>
      <c r="AU72" s="5225"/>
      <c r="AV72" s="476"/>
      <c r="AY72" s="280"/>
      <c r="AZ72" s="2913"/>
      <c r="BA72" s="66"/>
      <c r="BC72" s="24"/>
      <c r="BD72" s="24"/>
    </row>
    <row r="73" spans="1:56" x14ac:dyDescent="0.35">
      <c r="A73" s="9168"/>
      <c r="B73" s="5860" t="s">
        <v>982</v>
      </c>
      <c r="C73" s="5861"/>
      <c r="D73" s="140"/>
      <c r="E73" s="143"/>
      <c r="F73" s="5228"/>
      <c r="G73" s="290"/>
      <c r="H73" s="5229"/>
      <c r="I73" s="5230"/>
      <c r="J73" s="293"/>
      <c r="L73" s="5229"/>
      <c r="M73" s="268"/>
      <c r="N73" s="143"/>
      <c r="O73" s="5229"/>
      <c r="P73" s="268"/>
      <c r="Q73" s="143"/>
      <c r="R73" s="5229"/>
      <c r="S73" s="5230"/>
      <c r="T73" s="2909"/>
      <c r="U73" s="293"/>
      <c r="V73" s="143"/>
      <c r="W73" s="5229"/>
      <c r="X73" s="2909"/>
      <c r="Y73" s="5231"/>
      <c r="Z73" s="143"/>
      <c r="AA73" s="230" t="s">
        <v>1270</v>
      </c>
      <c r="AB73" s="520"/>
      <c r="AC73" s="5862" t="s">
        <v>1268</v>
      </c>
      <c r="AD73" s="293"/>
      <c r="AE73" s="143"/>
      <c r="AF73" s="5229"/>
      <c r="AG73" s="2909"/>
      <c r="AH73" s="5231"/>
      <c r="AI73" s="143"/>
      <c r="AJ73" s="5229"/>
      <c r="AK73" s="2909"/>
      <c r="AL73" s="5231"/>
      <c r="AM73" s="143"/>
      <c r="AN73" s="230" t="s">
        <v>1270</v>
      </c>
      <c r="AO73" s="520"/>
      <c r="AP73" s="5862" t="s">
        <v>1268</v>
      </c>
      <c r="AQ73" s="293"/>
      <c r="AR73" s="143"/>
      <c r="AS73" s="5229"/>
      <c r="AT73" s="2909"/>
      <c r="AU73" s="5231"/>
      <c r="AV73" s="6221"/>
      <c r="AW73" s="143"/>
      <c r="AX73" s="143"/>
      <c r="AY73" s="5229"/>
      <c r="AZ73" s="2909"/>
      <c r="BA73" s="5231"/>
      <c r="BB73" s="143"/>
      <c r="BC73" s="18"/>
      <c r="BD73" s="18"/>
    </row>
    <row r="74" spans="1:56" x14ac:dyDescent="0.35">
      <c r="A74" s="9168"/>
      <c r="B74" s="6015"/>
      <c r="C74" s="6016" t="s">
        <v>1286</v>
      </c>
      <c r="D74" s="60"/>
      <c r="F74" s="4815">
        <v>0</v>
      </c>
      <c r="G74" s="272"/>
      <c r="H74" s="4816">
        <v>18439.626</v>
      </c>
      <c r="I74" s="4817">
        <v>15005.461345</v>
      </c>
      <c r="J74" s="523">
        <f t="shared" ref="J74:J77" si="72">IF(H74=0,0,I74/H74)</f>
        <v>0.8137616969563265</v>
      </c>
      <c r="L74" s="4816"/>
      <c r="M74" s="157">
        <f t="shared" si="34"/>
        <v>0</v>
      </c>
      <c r="O74" s="4816"/>
      <c r="P74" s="157">
        <f t="shared" ref="P74:P77" si="73">O74*J74</f>
        <v>0</v>
      </c>
      <c r="R74" s="4816"/>
      <c r="S74" s="4817"/>
      <c r="T74" s="312"/>
      <c r="U74" s="476" t="e">
        <f t="shared" ref="U74:U77" si="74">S74/R74</f>
        <v>#DIV/0!</v>
      </c>
      <c r="W74" s="4816"/>
      <c r="X74" s="312"/>
      <c r="Y74" s="5233"/>
      <c r="AA74" s="4820">
        <f>11917.662+8199.809</f>
        <v>20117.470999999998</v>
      </c>
      <c r="AB74" s="5863">
        <f>AA74</f>
        <v>20117.470999999998</v>
      </c>
      <c r="AC74" s="312"/>
      <c r="AD74" s="476">
        <f t="shared" ref="AD74:AD77" si="75">AB74/AA74</f>
        <v>1</v>
      </c>
      <c r="AF74" s="4816"/>
      <c r="AG74" s="312"/>
      <c r="AH74" s="5233"/>
      <c r="AJ74" s="4816"/>
      <c r="AK74" s="312"/>
      <c r="AL74" s="5233"/>
      <c r="AN74" s="4820">
        <f>11917.662+8199.809</f>
        <v>20117.470999999998</v>
      </c>
      <c r="AO74" s="5863">
        <f>AN74</f>
        <v>20117.470999999998</v>
      </c>
      <c r="AP74" s="312"/>
      <c r="AQ74" s="476">
        <f t="shared" ref="AQ74:AQ77" si="76">AO74/AN74</f>
        <v>1</v>
      </c>
      <c r="AS74" s="4816"/>
      <c r="AT74" s="312"/>
      <c r="AU74" s="5233"/>
      <c r="AV74" s="476"/>
      <c r="AY74" s="4816"/>
      <c r="AZ74" s="312"/>
      <c r="BA74" s="5233"/>
      <c r="BC74" s="26"/>
      <c r="BD74" s="26"/>
    </row>
    <row r="75" spans="1:56" x14ac:dyDescent="0.35">
      <c r="A75" s="9168"/>
      <c r="B75" s="6015"/>
      <c r="C75" s="6016" t="s">
        <v>1276</v>
      </c>
      <c r="D75" s="60"/>
      <c r="F75" s="4819"/>
      <c r="G75" s="272"/>
      <c r="H75" s="4820"/>
      <c r="I75" s="4821"/>
      <c r="J75" s="523">
        <f t="shared" si="72"/>
        <v>0</v>
      </c>
      <c r="L75" s="4820"/>
      <c r="M75" s="157">
        <f t="shared" si="34"/>
        <v>0</v>
      </c>
      <c r="O75" s="4820"/>
      <c r="P75" s="157">
        <f t="shared" si="73"/>
        <v>0</v>
      </c>
      <c r="R75" s="4820"/>
      <c r="S75" s="4821"/>
      <c r="T75" s="312"/>
      <c r="U75" s="476" t="e">
        <f t="shared" si="74"/>
        <v>#DIV/0!</v>
      </c>
      <c r="W75" s="4820"/>
      <c r="X75" s="312"/>
      <c r="Y75" s="5177"/>
      <c r="AA75" s="4820">
        <f>2944.453+6000</f>
        <v>8944.4529999999995</v>
      </c>
      <c r="AB75" s="5863">
        <f t="shared" ref="AB75:AB76" si="77">AA75</f>
        <v>8944.4529999999995</v>
      </c>
      <c r="AC75" s="312"/>
      <c r="AD75" s="476">
        <f t="shared" si="75"/>
        <v>1</v>
      </c>
      <c r="AF75" s="4820"/>
      <c r="AG75" s="312"/>
      <c r="AH75" s="5177"/>
      <c r="AJ75" s="4820"/>
      <c r="AK75" s="312"/>
      <c r="AL75" s="5177"/>
      <c r="AN75" s="4820">
        <f>2944.453+6000</f>
        <v>8944.4529999999995</v>
      </c>
      <c r="AO75" s="5863">
        <f t="shared" ref="AO75:AO76" si="78">AN75</f>
        <v>8944.4529999999995</v>
      </c>
      <c r="AP75" s="312"/>
      <c r="AQ75" s="476">
        <f t="shared" si="76"/>
        <v>1</v>
      </c>
      <c r="AS75" s="4820"/>
      <c r="AT75" s="312"/>
      <c r="AU75" s="5177"/>
      <c r="AV75" s="476"/>
      <c r="AY75" s="4820"/>
      <c r="AZ75" s="312"/>
      <c r="BA75" s="5177"/>
      <c r="BC75" s="26"/>
      <c r="BD75" s="26"/>
    </row>
    <row r="76" spans="1:56" x14ac:dyDescent="0.35">
      <c r="A76" s="9168"/>
      <c r="B76" s="6015"/>
      <c r="C76" s="6016" t="s">
        <v>1287</v>
      </c>
      <c r="D76" s="60"/>
      <c r="F76" s="4819">
        <v>175.49885</v>
      </c>
      <c r="G76" s="272"/>
      <c r="H76" s="4820">
        <v>133.78800000000001</v>
      </c>
      <c r="I76" s="4821">
        <v>56.389239000000003</v>
      </c>
      <c r="J76" s="523">
        <f t="shared" si="72"/>
        <v>0.42148203874786977</v>
      </c>
      <c r="L76" s="4820"/>
      <c r="M76" s="157">
        <f t="shared" si="34"/>
        <v>0</v>
      </c>
      <c r="O76" s="4820"/>
      <c r="P76" s="157">
        <f t="shared" si="73"/>
        <v>0</v>
      </c>
      <c r="R76" s="4820"/>
      <c r="S76" s="4821"/>
      <c r="T76" s="312"/>
      <c r="U76" s="476" t="e">
        <f t="shared" si="74"/>
        <v>#DIV/0!</v>
      </c>
      <c r="W76" s="4820"/>
      <c r="X76" s="312"/>
      <c r="Y76" s="5177"/>
      <c r="AA76" s="4820">
        <v>11863.611999999999</v>
      </c>
      <c r="AB76" s="5863">
        <f t="shared" si="77"/>
        <v>11863.611999999999</v>
      </c>
      <c r="AC76" s="312"/>
      <c r="AD76" s="476">
        <f t="shared" si="75"/>
        <v>1</v>
      </c>
      <c r="AF76" s="4820"/>
      <c r="AG76" s="312"/>
      <c r="AH76" s="5177"/>
      <c r="AJ76" s="4820"/>
      <c r="AK76" s="312"/>
      <c r="AL76" s="5177"/>
      <c r="AN76" s="4820">
        <v>11863.611999999999</v>
      </c>
      <c r="AO76" s="5863">
        <f t="shared" si="78"/>
        <v>11863.611999999999</v>
      </c>
      <c r="AP76" s="312"/>
      <c r="AQ76" s="476">
        <f t="shared" si="76"/>
        <v>1</v>
      </c>
      <c r="AS76" s="4820"/>
      <c r="AT76" s="312"/>
      <c r="AU76" s="5177"/>
      <c r="AV76" s="476"/>
      <c r="AY76" s="4820"/>
      <c r="AZ76" s="312"/>
      <c r="BA76" s="5177"/>
      <c r="BC76" s="26"/>
      <c r="BD76" s="26"/>
    </row>
    <row r="77" spans="1:56" ht="14.75" customHeight="1" x14ac:dyDescent="0.35">
      <c r="A77" s="9169"/>
      <c r="B77" s="6017"/>
      <c r="C77" s="6018" t="s">
        <v>1288</v>
      </c>
      <c r="D77" s="87"/>
      <c r="F77" s="4824"/>
      <c r="G77" s="274"/>
      <c r="H77" s="4825"/>
      <c r="I77" s="4826"/>
      <c r="J77" s="527">
        <f t="shared" si="72"/>
        <v>0</v>
      </c>
      <c r="L77" s="4825"/>
      <c r="M77" s="213">
        <f t="shared" si="34"/>
        <v>0</v>
      </c>
      <c r="O77" s="4825"/>
      <c r="P77" s="213">
        <f t="shared" si="73"/>
        <v>0</v>
      </c>
      <c r="R77" s="4825"/>
      <c r="S77" s="4826"/>
      <c r="T77" s="3054"/>
      <c r="U77" s="484" t="e">
        <f t="shared" si="74"/>
        <v>#DIV/0!</v>
      </c>
      <c r="W77" s="4825"/>
      <c r="X77" s="3054"/>
      <c r="Y77" s="5201"/>
      <c r="AA77" s="4825"/>
      <c r="AB77" s="4826"/>
      <c r="AC77" s="3054"/>
      <c r="AD77" s="484" t="e">
        <f t="shared" si="75"/>
        <v>#DIV/0!</v>
      </c>
      <c r="AF77" s="4825"/>
      <c r="AG77" s="3054"/>
      <c r="AH77" s="5201"/>
      <c r="AJ77" s="4825"/>
      <c r="AK77" s="3054"/>
      <c r="AL77" s="5201"/>
      <c r="AN77" s="4825"/>
      <c r="AO77" s="4826"/>
      <c r="AP77" s="3054"/>
      <c r="AQ77" s="484" t="e">
        <f t="shared" si="76"/>
        <v>#DIV/0!</v>
      </c>
      <c r="AS77" s="4825"/>
      <c r="AT77" s="3054"/>
      <c r="AU77" s="5201"/>
      <c r="AV77" s="484"/>
      <c r="AY77" s="4825"/>
      <c r="AZ77" s="3054"/>
      <c r="BA77" s="5201"/>
      <c r="BC77" s="24"/>
      <c r="BD77" s="24"/>
    </row>
    <row r="78" spans="1:56" x14ac:dyDescent="0.35">
      <c r="A78" s="310"/>
      <c r="B78" s="310"/>
      <c r="F78" s="106"/>
      <c r="H78" s="106"/>
      <c r="I78" s="106"/>
      <c r="J78" s="558"/>
      <c r="L78" s="106"/>
      <c r="M78" s="312"/>
      <c r="O78" s="106"/>
      <c r="P78" s="312"/>
      <c r="R78" s="106"/>
      <c r="S78" s="106"/>
      <c r="T78" s="312"/>
      <c r="U78" s="558"/>
      <c r="W78" s="106"/>
      <c r="X78" s="312"/>
      <c r="Y78" s="106"/>
      <c r="AA78" s="106"/>
      <c r="AB78" s="106"/>
      <c r="AC78" s="312"/>
      <c r="AD78" s="558"/>
      <c r="AF78" s="106"/>
      <c r="AG78" s="312"/>
      <c r="AH78" s="106"/>
      <c r="AJ78" s="106"/>
      <c r="AK78" s="312"/>
      <c r="AL78" s="106"/>
      <c r="AN78" s="106"/>
      <c r="AO78" s="106"/>
      <c r="AP78" s="312"/>
      <c r="AQ78" s="558"/>
      <c r="AS78" s="106"/>
      <c r="AT78" s="312"/>
      <c r="AU78" s="106"/>
      <c r="AV78" s="558"/>
      <c r="AY78" s="106"/>
      <c r="AZ78" s="312"/>
      <c r="BA78" s="106"/>
    </row>
    <row r="79" spans="1:56" x14ac:dyDescent="0.35">
      <c r="A79" s="310"/>
      <c r="B79" s="5864"/>
      <c r="C79" s="5865"/>
      <c r="D79" s="140"/>
      <c r="E79" s="143"/>
      <c r="F79" s="316"/>
      <c r="G79" s="290"/>
      <c r="H79" s="317"/>
      <c r="I79" s="1687"/>
      <c r="J79" s="293"/>
      <c r="L79" s="317"/>
      <c r="M79" s="268"/>
      <c r="N79" s="143"/>
      <c r="O79" s="317"/>
      <c r="P79" s="268"/>
      <c r="Q79" s="143"/>
      <c r="R79" s="317"/>
      <c r="S79" s="1687"/>
      <c r="T79" s="2909"/>
      <c r="U79" s="293"/>
      <c r="V79" s="143"/>
      <c r="W79" s="317"/>
      <c r="X79" s="2909"/>
      <c r="Y79" s="318"/>
      <c r="Z79" s="143"/>
      <c r="AA79" s="230"/>
      <c r="AB79" s="520"/>
      <c r="AC79" s="5862"/>
      <c r="AD79" s="293"/>
      <c r="AE79" s="143"/>
      <c r="AF79" s="1388"/>
      <c r="AG79" s="2909"/>
      <c r="AH79" s="5068"/>
      <c r="AI79" s="143"/>
      <c r="AJ79" s="1388"/>
      <c r="AK79" s="2909"/>
      <c r="AL79" s="5068"/>
      <c r="AM79" s="143"/>
      <c r="AN79" s="230"/>
      <c r="AO79" s="520"/>
      <c r="AP79" s="5862"/>
      <c r="AQ79" s="293"/>
      <c r="AR79" s="143"/>
      <c r="AS79" s="1388"/>
      <c r="AT79" s="2909"/>
      <c r="AU79" s="5068"/>
      <c r="AV79" s="6221"/>
      <c r="AW79" s="143"/>
      <c r="AX79" s="143"/>
      <c r="AY79" s="1388"/>
      <c r="AZ79" s="2909"/>
      <c r="BA79" s="5068"/>
      <c r="BB79" s="143"/>
      <c r="BC79" s="18"/>
      <c r="BD79" s="18"/>
    </row>
    <row r="80" spans="1:56" x14ac:dyDescent="0.35">
      <c r="A80" s="310"/>
      <c r="B80" s="6019"/>
      <c r="C80" s="6020"/>
      <c r="D80" s="60"/>
      <c r="F80" s="327"/>
      <c r="G80" s="272"/>
      <c r="H80" s="325"/>
      <c r="I80" s="946"/>
      <c r="J80" s="523"/>
      <c r="L80" s="325"/>
      <c r="M80" s="157"/>
      <c r="O80" s="325"/>
      <c r="P80" s="157"/>
      <c r="R80" s="325"/>
      <c r="S80" s="946"/>
      <c r="T80" s="312"/>
      <c r="U80" s="476"/>
      <c r="W80" s="325"/>
      <c r="X80" s="312"/>
      <c r="Y80" s="2932"/>
      <c r="AA80" s="330"/>
      <c r="AB80" s="5866"/>
      <c r="AC80" s="312"/>
      <c r="AD80" s="476"/>
      <c r="AF80" s="325"/>
      <c r="AG80" s="312"/>
      <c r="AH80" s="2932"/>
      <c r="AJ80" s="325"/>
      <c r="AK80" s="312"/>
      <c r="AL80" s="2932"/>
      <c r="AN80" s="330"/>
      <c r="AO80" s="5866"/>
      <c r="AP80" s="312"/>
      <c r="AQ80" s="476"/>
      <c r="AS80" s="325"/>
      <c r="AT80" s="312"/>
      <c r="AU80" s="2932"/>
      <c r="AV80" s="476"/>
      <c r="AY80" s="325"/>
      <c r="AZ80" s="312"/>
      <c r="BA80" s="2932"/>
      <c r="BC80" s="26"/>
      <c r="BD80" s="26"/>
    </row>
    <row r="81" spans="1:56" x14ac:dyDescent="0.35">
      <c r="A81" s="310"/>
      <c r="B81" s="6019"/>
      <c r="C81" s="6020"/>
      <c r="D81" s="60"/>
      <c r="F81" s="336"/>
      <c r="G81" s="272"/>
      <c r="H81" s="330"/>
      <c r="I81" s="948"/>
      <c r="J81" s="523"/>
      <c r="L81" s="330"/>
      <c r="M81" s="157"/>
      <c r="O81" s="330"/>
      <c r="P81" s="157"/>
      <c r="R81" s="330"/>
      <c r="S81" s="948"/>
      <c r="T81" s="312"/>
      <c r="U81" s="476"/>
      <c r="W81" s="330"/>
      <c r="X81" s="312"/>
      <c r="Y81" s="2933"/>
      <c r="AA81" s="330"/>
      <c r="AB81" s="5866"/>
      <c r="AC81" s="312"/>
      <c r="AD81" s="476"/>
      <c r="AF81" s="330"/>
      <c r="AG81" s="312"/>
      <c r="AH81" s="2933"/>
      <c r="AJ81" s="330"/>
      <c r="AK81" s="312"/>
      <c r="AL81" s="2933"/>
      <c r="AN81" s="330"/>
      <c r="AO81" s="5866"/>
      <c r="AP81" s="312"/>
      <c r="AQ81" s="476"/>
      <c r="AS81" s="330"/>
      <c r="AT81" s="312"/>
      <c r="AU81" s="2933"/>
      <c r="AV81" s="476"/>
      <c r="AY81" s="330"/>
      <c r="AZ81" s="312"/>
      <c r="BA81" s="2933"/>
      <c r="BC81" s="26"/>
      <c r="BD81" s="26"/>
    </row>
    <row r="82" spans="1:56" x14ac:dyDescent="0.35">
      <c r="A82" s="310"/>
      <c r="B82" s="6019"/>
      <c r="C82" s="6020"/>
      <c r="D82" s="60"/>
      <c r="F82" s="336"/>
      <c r="G82" s="272"/>
      <c r="H82" s="330"/>
      <c r="I82" s="948"/>
      <c r="J82" s="523"/>
      <c r="L82" s="330"/>
      <c r="M82" s="157"/>
      <c r="O82" s="330"/>
      <c r="P82" s="157"/>
      <c r="R82" s="330"/>
      <c r="S82" s="948"/>
      <c r="T82" s="312"/>
      <c r="U82" s="476"/>
      <c r="W82" s="330"/>
      <c r="X82" s="312"/>
      <c r="Y82" s="2933"/>
      <c r="AA82" s="330"/>
      <c r="AB82" s="5866"/>
      <c r="AC82" s="312"/>
      <c r="AD82" s="476"/>
      <c r="AF82" s="330"/>
      <c r="AG82" s="312"/>
      <c r="AH82" s="2933"/>
      <c r="AJ82" s="330"/>
      <c r="AK82" s="312"/>
      <c r="AL82" s="2933"/>
      <c r="AN82" s="330"/>
      <c r="AO82" s="5866"/>
      <c r="AP82" s="312"/>
      <c r="AQ82" s="476"/>
      <c r="AS82" s="330"/>
      <c r="AT82" s="312"/>
      <c r="AU82" s="2933"/>
      <c r="AV82" s="476"/>
      <c r="AY82" s="330"/>
      <c r="AZ82" s="312"/>
      <c r="BA82" s="2933"/>
      <c r="BC82" s="26"/>
      <c r="BD82" s="26"/>
    </row>
    <row r="83" spans="1:56" ht="14.5" customHeight="1" x14ac:dyDescent="0.35">
      <c r="A83" s="310"/>
      <c r="B83" s="6021"/>
      <c r="C83" s="6022"/>
      <c r="D83" s="87"/>
      <c r="F83" s="343"/>
      <c r="G83" s="274"/>
      <c r="H83" s="341"/>
      <c r="I83" s="951"/>
      <c r="J83" s="527"/>
      <c r="L83" s="341"/>
      <c r="M83" s="213"/>
      <c r="O83" s="341"/>
      <c r="P83" s="213"/>
      <c r="R83" s="341"/>
      <c r="S83" s="951"/>
      <c r="T83" s="3054"/>
      <c r="U83" s="484"/>
      <c r="W83" s="341"/>
      <c r="X83" s="3054"/>
      <c r="Y83" s="2938"/>
      <c r="AA83" s="341"/>
      <c r="AB83" s="951"/>
      <c r="AC83" s="3054"/>
      <c r="AD83" s="484"/>
      <c r="AF83" s="341"/>
      <c r="AG83" s="3054"/>
      <c r="AH83" s="2938"/>
      <c r="AJ83" s="341"/>
      <c r="AK83" s="3054"/>
      <c r="AL83" s="2938"/>
      <c r="AN83" s="341"/>
      <c r="AO83" s="951"/>
      <c r="AP83" s="3054"/>
      <c r="AQ83" s="484"/>
      <c r="AS83" s="341"/>
      <c r="AT83" s="3054"/>
      <c r="AU83" s="2938"/>
      <c r="AV83" s="484"/>
      <c r="AY83" s="341"/>
      <c r="AZ83" s="3054"/>
      <c r="BA83" s="2938"/>
      <c r="BC83" s="24"/>
      <c r="BD83" s="24"/>
    </row>
    <row r="84" spans="1:56" x14ac:dyDescent="0.35">
      <c r="A84" s="310"/>
      <c r="B84" s="310"/>
      <c r="F84" s="106"/>
      <c r="H84" s="106"/>
      <c r="I84" s="106"/>
      <c r="J84" s="558"/>
      <c r="L84" s="106"/>
      <c r="M84" s="312"/>
      <c r="O84" s="106"/>
      <c r="P84" s="312"/>
      <c r="R84" s="106"/>
      <c r="S84" s="106"/>
      <c r="T84" s="312"/>
      <c r="U84" s="558"/>
      <c r="W84" s="106"/>
      <c r="X84" s="312"/>
      <c r="Y84" s="106"/>
      <c r="AA84" s="106"/>
      <c r="AB84" s="106"/>
      <c r="AC84" s="312"/>
      <c r="AD84" s="558"/>
      <c r="AF84" s="106"/>
      <c r="AG84" s="312"/>
      <c r="AH84" s="106"/>
      <c r="AJ84" s="106"/>
      <c r="AK84" s="312"/>
      <c r="AL84" s="106"/>
      <c r="AN84" s="106"/>
      <c r="AO84" s="106"/>
      <c r="AP84" s="312"/>
      <c r="AQ84" s="558"/>
      <c r="AS84" s="106"/>
      <c r="AT84" s="312"/>
      <c r="AU84" s="106"/>
      <c r="AV84" s="558"/>
      <c r="AY84" s="106"/>
      <c r="AZ84" s="312"/>
      <c r="BA84" s="106"/>
    </row>
    <row r="85" spans="1:56" x14ac:dyDescent="0.35">
      <c r="A85" s="9167" t="s">
        <v>988</v>
      </c>
      <c r="B85" s="139" t="s">
        <v>989</v>
      </c>
      <c r="C85" s="348"/>
      <c r="D85" s="49"/>
      <c r="E85" s="141"/>
      <c r="F85" s="227"/>
      <c r="G85" s="141"/>
      <c r="H85" s="102"/>
      <c r="I85" s="103"/>
      <c r="J85" s="228"/>
      <c r="K85" s="141"/>
      <c r="L85" s="102"/>
      <c r="M85" s="268"/>
      <c r="N85" s="141"/>
      <c r="O85" s="102"/>
      <c r="P85" s="268"/>
      <c r="Q85" s="141"/>
      <c r="R85" s="777"/>
      <c r="S85" s="3724"/>
      <c r="T85" s="2909"/>
      <c r="U85" s="228"/>
      <c r="V85" s="141"/>
      <c r="W85" s="102"/>
      <c r="X85" s="2909"/>
      <c r="Y85" s="105"/>
      <c r="Z85" s="141"/>
      <c r="AA85" s="777"/>
      <c r="AB85" s="3724"/>
      <c r="AC85" s="2909"/>
      <c r="AD85" s="228"/>
      <c r="AE85" s="141"/>
      <c r="AF85" s="102"/>
      <c r="AG85" s="2909"/>
      <c r="AH85" s="105"/>
      <c r="AI85" s="141"/>
      <c r="AJ85" s="102"/>
      <c r="AK85" s="2909"/>
      <c r="AL85" s="105"/>
      <c r="AM85" s="141"/>
      <c r="AN85" s="777"/>
      <c r="AO85" s="3724"/>
      <c r="AP85" s="2909"/>
      <c r="AQ85" s="228"/>
      <c r="AR85" s="141"/>
      <c r="AS85" s="102"/>
      <c r="AT85" s="2909"/>
      <c r="AU85" s="105"/>
      <c r="AV85" s="516"/>
      <c r="AW85" s="141"/>
      <c r="AX85" s="141"/>
      <c r="AY85" s="102"/>
      <c r="AZ85" s="2909"/>
      <c r="BA85" s="105"/>
      <c r="BB85" s="141"/>
    </row>
    <row r="86" spans="1:56" x14ac:dyDescent="0.35">
      <c r="A86" s="9168"/>
      <c r="B86" s="6082"/>
      <c r="C86"/>
      <c r="D86" s="110" t="s">
        <v>990</v>
      </c>
      <c r="F86" s="349">
        <f>SUM(F30:F34)-SUM(F38:F40)</f>
        <v>138920.20971299999</v>
      </c>
      <c r="G86" s="350"/>
      <c r="H86" s="351">
        <f>SUM(H30:H34)-SUM(H38:H40)</f>
        <v>244500.37300000002</v>
      </c>
      <c r="I86" s="352">
        <f>SUM(I30:I34)-SUM(I38:I40)</f>
        <v>256560.90891900001</v>
      </c>
      <c r="J86" s="246"/>
      <c r="K86" s="350"/>
      <c r="L86" s="351">
        <f>SUM(L30:L34)-SUM(L38:L40)</f>
        <v>294747.071</v>
      </c>
      <c r="M86" s="353">
        <f>SUM(M30:M34)-SUM(M38:M40)</f>
        <v>283479.04318771802</v>
      </c>
      <c r="O86" s="351">
        <f>SUM(O30:O35)-SUM(O38:O40)</f>
        <v>282077.45900000003</v>
      </c>
      <c r="P86" s="353">
        <f>SUM(P30:P34)-SUM(P38:P40)</f>
        <v>299228.11926916998</v>
      </c>
      <c r="R86" s="5718">
        <f>SUM(R30:R35)-SUM(R38:R40)</f>
        <v>310460.04400000005</v>
      </c>
      <c r="S86" s="5719">
        <f>SUM(S30:S35)-SUM(S38:S40)</f>
        <v>298866.20690400002</v>
      </c>
      <c r="T86" s="352"/>
      <c r="U86" s="246"/>
      <c r="W86" s="351">
        <f>SUM(W30:W35)-SUM(W38:W40)</f>
        <v>370918.90100000001</v>
      </c>
      <c r="X86" s="352"/>
      <c r="Y86" s="353">
        <f>SUM(Y30:Y35)-SUM(Y38:Y40)</f>
        <v>400671.49139600003</v>
      </c>
      <c r="AA86" s="5718">
        <f>SUM(AA30:AA35)-SUM(AA38:AA40)</f>
        <v>404675.37400000001</v>
      </c>
      <c r="AB86" s="5719">
        <f>SUM(AB30:AB35)-SUM(AB38:AB40)</f>
        <v>403782.26699999993</v>
      </c>
      <c r="AC86" s="352"/>
      <c r="AD86" s="246"/>
      <c r="AF86" s="351">
        <f>SUM(AF30:AF35)-SUM(AF38:AF40)</f>
        <v>453898.35800000001</v>
      </c>
      <c r="AG86" s="352"/>
      <c r="AH86" s="353">
        <f>SUM(AH30:AH35)-SUM(AH38:AH40)</f>
        <v>451380.74847683904</v>
      </c>
      <c r="AJ86" s="351">
        <f>SUM(AJ30:AJ35)-SUM(AJ38:AJ40)</f>
        <v>441938.23731900001</v>
      </c>
      <c r="AK86" s="352"/>
      <c r="AL86" s="353">
        <f>SUM(AL30:AL35)-SUM(AL38:AL40)</f>
        <v>547447.99034899997</v>
      </c>
      <c r="AN86" s="5718">
        <f>SUM(AN30:AN35)-SUM(AN38:AN40)</f>
        <v>441938.23731900001</v>
      </c>
      <c r="AO86" s="5719">
        <f>SUM(AO30:AO35)-SUM(AO38:AO40)</f>
        <v>547447.99034899997</v>
      </c>
      <c r="AP86" s="352"/>
      <c r="AQ86" s="246"/>
      <c r="AS86" s="351">
        <f>SUM(AS30:AS35)-SUM(AS38:AS40)</f>
        <v>551570.71499999997</v>
      </c>
      <c r="AT86" s="352"/>
      <c r="AU86" s="353">
        <f>SUM(AU30:AU35)-SUM(AU38:AU40)</f>
        <v>549402.81906400004</v>
      </c>
      <c r="AV86" s="518"/>
      <c r="AY86" s="351">
        <f>SUM(AY30:AY35)-SUM(AY38:AY40)</f>
        <v>588064.58400000003</v>
      </c>
      <c r="AZ86" s="352"/>
      <c r="BA86" s="353">
        <f>SUM(BA30:BA35)-SUM(BA38:BA40)</f>
        <v>584988.93697527831</v>
      </c>
    </row>
    <row r="87" spans="1:56" x14ac:dyDescent="0.35">
      <c r="A87" s="9168"/>
      <c r="B87" s="6082"/>
      <c r="C87"/>
      <c r="D87" s="110" t="s">
        <v>944</v>
      </c>
      <c r="F87" s="349">
        <f>SUM(F42:F54)</f>
        <v>7533.4114020000006</v>
      </c>
      <c r="G87" s="350"/>
      <c r="H87" s="351">
        <f>SUM(H42:H49)</f>
        <v>8219.8462419999996</v>
      </c>
      <c r="I87" s="352">
        <f>SUM(I42:I49)</f>
        <v>8219.4402729999983</v>
      </c>
      <c r="J87" s="246"/>
      <c r="K87" s="350"/>
      <c r="L87" s="351">
        <f>SUM(L42:L49)</f>
        <v>8219.8462419999996</v>
      </c>
      <c r="M87" s="353">
        <f>SUM(M42:M49)</f>
        <v>8219.4402729999983</v>
      </c>
      <c r="O87" s="351">
        <f>SUM(O42:O54)</f>
        <v>10947.271895</v>
      </c>
      <c r="P87" s="353">
        <f>SUM(P42:P49)</f>
        <v>8219.4402729999983</v>
      </c>
      <c r="R87" s="5718">
        <f>SUM(R42:R54)</f>
        <v>10947.271895</v>
      </c>
      <c r="S87" s="5719">
        <f>SUM(S42:S54)</f>
        <v>10947.271895</v>
      </c>
      <c r="T87" s="352"/>
      <c r="U87" s="246"/>
      <c r="W87" s="351">
        <f>SUM(W42:W54)</f>
        <v>10947.271895</v>
      </c>
      <c r="X87" s="352"/>
      <c r="Y87" s="353">
        <f>SUM(Y42:Y54)</f>
        <v>10947.271895</v>
      </c>
      <c r="AA87" s="5718">
        <f>SUM(AA42:AA60)</f>
        <v>13944.627000000002</v>
      </c>
      <c r="AB87" s="5719">
        <f>SUM(AB42:AB60)</f>
        <v>13944.627000000002</v>
      </c>
      <c r="AC87" s="352"/>
      <c r="AD87" s="246"/>
      <c r="AF87" s="351">
        <f>SUM(AF42:AF60)</f>
        <v>13944.627000000002</v>
      </c>
      <c r="AG87" s="352"/>
      <c r="AH87" s="353">
        <f>SUM(AH42:AH60)</f>
        <v>9664.2169999999987</v>
      </c>
      <c r="AJ87" s="351">
        <f>SUM(AJ42:AJ60)</f>
        <v>13944.627000000002</v>
      </c>
      <c r="AK87" s="352"/>
      <c r="AL87" s="353">
        <f>SUM(AL42:AL60)</f>
        <v>9664.2169999999987</v>
      </c>
      <c r="AN87" s="5718">
        <f>SUM(AN42:AN60)</f>
        <v>0</v>
      </c>
      <c r="AO87" s="5719">
        <f>SUM(AO42:AO60)</f>
        <v>0</v>
      </c>
      <c r="AP87" s="352"/>
      <c r="AQ87" s="246"/>
      <c r="AS87" s="351">
        <f>SUM(AS42:AS60)</f>
        <v>10248.075000000001</v>
      </c>
      <c r="AT87" s="352"/>
      <c r="AU87" s="353">
        <f>SUM(AU42:AU60)</f>
        <v>9273.3978368340322</v>
      </c>
      <c r="AV87" s="518"/>
      <c r="AY87" s="351">
        <f>SUM(AY42:AY60)</f>
        <v>13978.065000000002</v>
      </c>
      <c r="AZ87" s="352"/>
      <c r="BA87" s="353">
        <f>SUM(BA42:BA60)</f>
        <v>12676.511224551785</v>
      </c>
    </row>
    <row r="88" spans="1:56" x14ac:dyDescent="0.35">
      <c r="A88" s="9168"/>
      <c r="B88" s="6082"/>
      <c r="C88"/>
      <c r="D88" s="110" t="s">
        <v>991</v>
      </c>
      <c r="F88" s="349">
        <f>SUM(F62:F69)*F25</f>
        <v>2657.5159920115525</v>
      </c>
      <c r="G88" s="350"/>
      <c r="H88" s="351">
        <f>SUM(H62:H69)*H25</f>
        <v>6301.327036949745</v>
      </c>
      <c r="I88" s="352">
        <f>SUM(I62:I69)*I25</f>
        <v>7697.3335836171773</v>
      </c>
      <c r="J88" s="246"/>
      <c r="K88" s="350"/>
      <c r="L88" s="351">
        <f>SUM(L62:L69)*L25</f>
        <v>7420.0212996139317</v>
      </c>
      <c r="M88" s="353">
        <f>SUM(M62:M69)*M25</f>
        <v>8794.0358278219846</v>
      </c>
      <c r="O88" s="351">
        <f>SUM(O62:O69)*O25</f>
        <v>6602.0147970126563</v>
      </c>
      <c r="P88" s="353">
        <f>SUM(P62:P69)*P25</f>
        <v>7773.367673145457</v>
      </c>
      <c r="R88" s="5718">
        <f>SUM(R62:R69)*R25</f>
        <v>9124.4503218540176</v>
      </c>
      <c r="S88" s="5719">
        <f>SUM(S62:S69)*S25</f>
        <v>7825.0029792489595</v>
      </c>
      <c r="T88" s="352"/>
      <c r="U88" s="246"/>
      <c r="W88" s="351">
        <f>SUM(W62:W69)*W25</f>
        <v>9843.3795275075554</v>
      </c>
      <c r="X88" s="352"/>
      <c r="Y88" s="353">
        <f>SUM(Y62:Y69)*Y25</f>
        <v>12191.874169648156</v>
      </c>
      <c r="AA88" s="5718">
        <f>SUM(AA62:AA69)*AA25</f>
        <v>0</v>
      </c>
      <c r="AB88" s="5719">
        <f>SUM(AB62:AB69)*AB25</f>
        <v>0</v>
      </c>
      <c r="AC88" s="352"/>
      <c r="AD88" s="246"/>
      <c r="AF88" s="351">
        <f>SUM(AF62:AF69)*AF25</f>
        <v>0</v>
      </c>
      <c r="AG88" s="352"/>
      <c r="AH88" s="353">
        <f>SUM(AH62:AH69)*AH25</f>
        <v>0</v>
      </c>
      <c r="AJ88" s="351">
        <f>SUM(AJ62:AJ69)*AJ25</f>
        <v>0</v>
      </c>
      <c r="AK88" s="352"/>
      <c r="AL88" s="353">
        <f>SUM(AL62:AL69)*AL25</f>
        <v>0</v>
      </c>
      <c r="AN88" s="5718">
        <f>SUM(AN62:AN69)*AN25</f>
        <v>0</v>
      </c>
      <c r="AO88" s="5719">
        <f>SUM(AO62:AO69)*AO25</f>
        <v>0</v>
      </c>
      <c r="AP88" s="352"/>
      <c r="AQ88" s="246"/>
      <c r="AS88" s="351">
        <f>SUM(AS62:AS69)*AS25</f>
        <v>0</v>
      </c>
      <c r="AT88" s="352"/>
      <c r="AU88" s="353">
        <f>SUM(AU61:AU69)*AU25</f>
        <v>0</v>
      </c>
      <c r="AV88" s="518"/>
      <c r="AY88" s="351">
        <f>SUM(AY62:AY69)*AY25</f>
        <v>0</v>
      </c>
      <c r="AZ88" s="352"/>
      <c r="BA88" s="353">
        <f>SUM(BA61:BA69)*BA25</f>
        <v>0</v>
      </c>
    </row>
    <row r="89" spans="1:56" x14ac:dyDescent="0.35">
      <c r="A89" s="9168"/>
      <c r="B89" s="6082"/>
      <c r="C89"/>
      <c r="D89" s="110" t="s">
        <v>979</v>
      </c>
      <c r="F89" s="349">
        <f>F71</f>
        <v>10301.759690000001</v>
      </c>
      <c r="G89" s="350"/>
      <c r="H89" s="351">
        <f>H71</f>
        <v>15676.049000000001</v>
      </c>
      <c r="I89" s="352">
        <f>I71</f>
        <v>15676.0486</v>
      </c>
      <c r="J89" s="246"/>
      <c r="K89" s="350"/>
      <c r="L89" s="351">
        <f>L71</f>
        <v>14612.483</v>
      </c>
      <c r="M89" s="353">
        <f>M71</f>
        <v>14612.482627138625</v>
      </c>
      <c r="O89" s="351">
        <f>O71</f>
        <v>5876.723</v>
      </c>
      <c r="P89" s="353">
        <f>P71</f>
        <v>5876.7228500458123</v>
      </c>
      <c r="R89" s="5718">
        <f>R71</f>
        <v>5876.723</v>
      </c>
      <c r="S89" s="5719">
        <f>S71</f>
        <v>0</v>
      </c>
      <c r="T89" s="352"/>
      <c r="U89" s="246"/>
      <c r="W89" s="351">
        <f>W71</f>
        <v>0</v>
      </c>
      <c r="X89" s="352"/>
      <c r="Y89" s="353">
        <f>Y71</f>
        <v>0</v>
      </c>
      <c r="AA89" s="5718">
        <f>AA71</f>
        <v>0</v>
      </c>
      <c r="AB89" s="5719">
        <f>AB71</f>
        <v>0</v>
      </c>
      <c r="AC89" s="352"/>
      <c r="AD89" s="246"/>
      <c r="AF89" s="351">
        <f>AF71</f>
        <v>0</v>
      </c>
      <c r="AG89" s="352"/>
      <c r="AH89" s="353">
        <f>AH71</f>
        <v>0</v>
      </c>
      <c r="AJ89" s="351">
        <f>AJ71</f>
        <v>0</v>
      </c>
      <c r="AK89" s="352"/>
      <c r="AL89" s="353">
        <f>AL71</f>
        <v>0</v>
      </c>
      <c r="AN89" s="5718">
        <f>AN71</f>
        <v>0</v>
      </c>
      <c r="AO89" s="5719">
        <f>AO71</f>
        <v>0</v>
      </c>
      <c r="AP89" s="352"/>
      <c r="AQ89" s="246"/>
      <c r="AS89" s="351">
        <f>AS71</f>
        <v>0</v>
      </c>
      <c r="AT89" s="352"/>
      <c r="AU89" s="353">
        <f>AU71</f>
        <v>0</v>
      </c>
      <c r="AV89" s="518"/>
      <c r="AY89" s="351">
        <f>AY71</f>
        <v>31208</v>
      </c>
      <c r="AZ89" s="352"/>
      <c r="BA89" s="353">
        <f>BA71</f>
        <v>31208</v>
      </c>
    </row>
    <row r="90" spans="1:56" x14ac:dyDescent="0.35">
      <c r="A90" s="9168"/>
      <c r="B90" s="6082"/>
      <c r="C90"/>
      <c r="D90" s="356" t="s">
        <v>992</v>
      </c>
      <c r="E90" s="143"/>
      <c r="F90" s="357">
        <f>SUM(F86:F89)</f>
        <v>159412.89679701155</v>
      </c>
      <c r="G90" s="358"/>
      <c r="H90" s="359">
        <f t="shared" ref="H90:I90" si="79">SUM(H86:H89)</f>
        <v>274697.59527894977</v>
      </c>
      <c r="I90" s="360">
        <f t="shared" si="79"/>
        <v>288153.73137561715</v>
      </c>
      <c r="J90" s="361"/>
      <c r="K90" s="358"/>
      <c r="L90" s="359">
        <f t="shared" ref="L90:M90" si="80">SUM(L86:L89)</f>
        <v>324999.42154161393</v>
      </c>
      <c r="M90" s="362">
        <f t="shared" si="80"/>
        <v>315105.00191567861</v>
      </c>
      <c r="N90" s="143"/>
      <c r="O90" s="359">
        <f t="shared" ref="O90:P90" si="81">SUM(O86:O89)</f>
        <v>305503.46869201271</v>
      </c>
      <c r="P90" s="362">
        <f t="shared" si="81"/>
        <v>321097.65006536123</v>
      </c>
      <c r="Q90" s="143"/>
      <c r="R90" s="5722">
        <f t="shared" ref="R90:S90" si="82">SUM(R86:R89)</f>
        <v>336408.4892168541</v>
      </c>
      <c r="S90" s="5723">
        <f t="shared" si="82"/>
        <v>317638.48177824897</v>
      </c>
      <c r="T90" s="360"/>
      <c r="U90" s="361"/>
      <c r="V90" s="143"/>
      <c r="W90" s="359">
        <f t="shared" ref="W90" si="83">SUM(W86:W89)</f>
        <v>391709.55242250761</v>
      </c>
      <c r="X90" s="360"/>
      <c r="Y90" s="362">
        <f t="shared" ref="Y90" si="84">SUM(Y86:Y89)</f>
        <v>423810.6374606482</v>
      </c>
      <c r="Z90" s="143"/>
      <c r="AA90" s="5722">
        <f t="shared" ref="AA90:AB90" si="85">SUM(AA86:AA89)</f>
        <v>418620.00099999999</v>
      </c>
      <c r="AB90" s="5723">
        <f t="shared" si="85"/>
        <v>417726.89399999991</v>
      </c>
      <c r="AC90" s="360"/>
      <c r="AD90" s="361"/>
      <c r="AE90" s="143"/>
      <c r="AF90" s="359">
        <f t="shared" ref="AF90" si="86">SUM(AF86:AF89)</f>
        <v>467842.98499999999</v>
      </c>
      <c r="AG90" s="360"/>
      <c r="AH90" s="362">
        <f t="shared" ref="AH90" si="87">SUM(AH86:AH89)</f>
        <v>461044.96547683905</v>
      </c>
      <c r="AI90" s="143"/>
      <c r="AJ90" s="359">
        <f t="shared" ref="AJ90" si="88">SUM(AJ86:AJ89)</f>
        <v>455882.86431899999</v>
      </c>
      <c r="AK90" s="360"/>
      <c r="AL90" s="362">
        <f t="shared" ref="AL90" si="89">SUM(AL86:AL89)</f>
        <v>557112.20734899992</v>
      </c>
      <c r="AM90" s="143"/>
      <c r="AN90" s="5722">
        <f t="shared" ref="AN90:AO90" si="90">SUM(AN86:AN89)</f>
        <v>441938.23731900001</v>
      </c>
      <c r="AO90" s="5723">
        <f t="shared" si="90"/>
        <v>547447.99034899997</v>
      </c>
      <c r="AP90" s="360"/>
      <c r="AQ90" s="361"/>
      <c r="AR90" s="143"/>
      <c r="AS90" s="359">
        <f t="shared" ref="AS90" si="91">SUM(AS86:AS89)</f>
        <v>561818.78999999992</v>
      </c>
      <c r="AT90" s="360"/>
      <c r="AU90" s="362">
        <f>SUM(AU86:AU89)</f>
        <v>558676.21690083412</v>
      </c>
      <c r="AV90" s="6222"/>
      <c r="AW90" s="143"/>
      <c r="AX90" s="143"/>
      <c r="AY90" s="359">
        <f t="shared" ref="AY90" si="92">SUM(AY86:AY89)</f>
        <v>633250.64899999998</v>
      </c>
      <c r="AZ90" s="360"/>
      <c r="BA90" s="362">
        <f>SUM(BA86:BA89)</f>
        <v>628873.44819983013</v>
      </c>
      <c r="BB90" s="143"/>
    </row>
    <row r="91" spans="1:56" ht="15.5" x14ac:dyDescent="0.35">
      <c r="A91" s="9168"/>
      <c r="B91" s="6082"/>
      <c r="C91"/>
      <c r="D91" s="365" t="s">
        <v>993</v>
      </c>
      <c r="F91" s="559">
        <f>F90/(F16+F17)</f>
        <v>0.14624698376905504</v>
      </c>
      <c r="G91" s="560"/>
      <c r="H91" s="561">
        <f>H90/(H16+H17)</f>
        <v>0.17374330298331547</v>
      </c>
      <c r="I91" s="562">
        <f>I90/(I16+I17)</f>
        <v>0.18239761950535602</v>
      </c>
      <c r="J91" s="361"/>
      <c r="K91" s="560"/>
      <c r="L91" s="561">
        <f>L90/(L16+L17)</f>
        <v>0.18889373619328992</v>
      </c>
      <c r="M91" s="563">
        <f>M90/(M16+M17)</f>
        <v>0.18263791122673823</v>
      </c>
      <c r="O91" s="561">
        <f>O90/(O16+O17)</f>
        <v>0.18630804004298224</v>
      </c>
      <c r="P91" s="563">
        <f>P90/(P16+P17)</f>
        <v>0.19275046588829728</v>
      </c>
      <c r="R91" s="6023">
        <f>R90/(R16+R17)</f>
        <v>0.20515513800269805</v>
      </c>
      <c r="S91" s="6024">
        <f>S90/(S16+S17)</f>
        <v>0.22968680891031221</v>
      </c>
      <c r="T91" s="562"/>
      <c r="U91" s="563"/>
      <c r="W91" s="561">
        <f>W90/(W16+W17)</f>
        <v>0.24061194472125175</v>
      </c>
      <c r="X91" s="562"/>
      <c r="Y91" s="563">
        <f>Y90/(Y16+Y17)</f>
        <v>0.27631654823398838</v>
      </c>
      <c r="AA91" s="6023">
        <f>AA90/(AA16+AA17)</f>
        <v>0.23920322788932949</v>
      </c>
      <c r="AB91" s="6024">
        <f>AB90/(AB16+AB17)</f>
        <v>0.26323122400625104</v>
      </c>
      <c r="AC91" s="562"/>
      <c r="AD91" s="563"/>
      <c r="AF91" s="561">
        <f>AF90/(AF16+AF17)</f>
        <v>0.20792175166170823</v>
      </c>
      <c r="AG91" s="562"/>
      <c r="AH91" s="563">
        <f>AH90/(AH16+AH17)</f>
        <v>0.22584560498712428</v>
      </c>
      <c r="AJ91" s="561">
        <f>AJ90/(AJ16+AJ17)</f>
        <v>0.21789328339570696</v>
      </c>
      <c r="AK91" s="562"/>
      <c r="AL91" s="563">
        <f>AL90/(AL16+AL17)</f>
        <v>0.26852533961324709</v>
      </c>
      <c r="AN91" s="6023">
        <f>AN90/(AN16+AN17)</f>
        <v>0.21122832447627651</v>
      </c>
      <c r="AO91" s="6024">
        <f>AO90/(AO16+AO17)</f>
        <v>0.27691684641364939</v>
      </c>
      <c r="AP91" s="562"/>
      <c r="AQ91" s="563"/>
      <c r="AS91" s="561">
        <f>AS90/(AS16+AS17)</f>
        <v>0.24786086638107882</v>
      </c>
      <c r="AT91" s="562"/>
      <c r="AU91" s="563">
        <f>AU90/(AU16+AU17)</f>
        <v>0.27595626442982951</v>
      </c>
      <c r="AV91" s="563"/>
      <c r="AY91" s="561">
        <f>AY90/(AY16+AY17)</f>
        <v>0.26616793606715355</v>
      </c>
      <c r="AZ91" s="562"/>
      <c r="BA91" s="1712">
        <f>BA90/(BA16+BA17)</f>
        <v>0.29940245655230258</v>
      </c>
    </row>
    <row r="92" spans="1:56" x14ac:dyDescent="0.35">
      <c r="A92" s="9168"/>
      <c r="B92" s="4828"/>
      <c r="C92" s="4829"/>
      <c r="D92" s="5287" t="s">
        <v>994</v>
      </c>
      <c r="E92" s="374"/>
      <c r="F92" s="6025"/>
      <c r="G92" s="392"/>
      <c r="H92" s="6026"/>
      <c r="I92" s="6027"/>
      <c r="J92" s="361"/>
      <c r="K92" s="392"/>
      <c r="L92" s="6026"/>
      <c r="M92" s="565"/>
      <c r="O92" s="6026"/>
      <c r="P92" s="565"/>
      <c r="R92" s="5258">
        <f>R30+R32+R34</f>
        <v>282196.51300000004</v>
      </c>
      <c r="S92" s="5259">
        <f>S30+S32+S34</f>
        <v>273533.171898</v>
      </c>
      <c r="T92" s="568"/>
      <c r="U92" s="569"/>
      <c r="V92" s="6028"/>
      <c r="W92" s="5260">
        <f>W30+W32+W34</f>
        <v>324469.11300000001</v>
      </c>
      <c r="X92" s="568"/>
      <c r="Y92" s="5867">
        <f>Y30+Y32+Y34</f>
        <v>368598.061568</v>
      </c>
      <c r="AA92" s="5258">
        <f>AA30+AA32+AA34+SUM(AA42:AA54)</f>
        <v>382323.49400000001</v>
      </c>
      <c r="AB92" s="5259">
        <f>AB30+AB32+AB34+SUM(AB42:AB54)</f>
        <v>382198.14299999998</v>
      </c>
      <c r="AC92" s="568"/>
      <c r="AD92" s="569"/>
      <c r="AE92" s="6028"/>
      <c r="AF92" s="5260">
        <f>AF30+AF32+AF34+SUM(AF42:AF54)</f>
        <v>347165.60600000003</v>
      </c>
      <c r="AG92" s="568"/>
      <c r="AH92" s="5867">
        <f>AH30+AH32+AH34+SUM(AH42:AH54)</f>
        <v>342808.55534803512</v>
      </c>
      <c r="AJ92" s="5260">
        <f>AJ30+AJ32+AJ34+SUM(AJ42:AJ54)</f>
        <v>408479.92731900001</v>
      </c>
      <c r="AK92" s="568"/>
      <c r="AL92" s="5867">
        <f>AL30+AL32+AL34+SUM(AL42:AL54)</f>
        <v>525900.67084600008</v>
      </c>
      <c r="AN92" s="5258">
        <f>AN30+AN32+AN34+SUM(AN42:AN54)</f>
        <v>395172.683319</v>
      </c>
      <c r="AO92" s="5259">
        <f>AO30+AO32+AO34+SUM(AO42:AO54)</f>
        <v>516873.83684600005</v>
      </c>
      <c r="AP92" s="568"/>
      <c r="AQ92" s="569"/>
      <c r="AR92" s="6028"/>
      <c r="AS92" s="5260">
        <f>AS30+AS32+AS34+SUM(AS42:AS54)</f>
        <v>534526.0646429999</v>
      </c>
      <c r="AT92" s="568"/>
      <c r="AU92" s="5867">
        <f>AU30+AU32+AU34+SUM(AU42:AU54)</f>
        <v>532120.34993183403</v>
      </c>
      <c r="AV92" s="565"/>
      <c r="AW92" s="6028"/>
      <c r="AX92" s="6028"/>
      <c r="AY92" s="5260">
        <f>AY30+AY32+AY34+SUM(AY42:AY54)</f>
        <v>547616.26600000006</v>
      </c>
      <c r="AZ92" s="568"/>
      <c r="BA92" s="7787">
        <f>BA30+BA32+BA34+SUM(BA42:BA54)</f>
        <v>544890.00593426265</v>
      </c>
      <c r="BB92" s="6028"/>
    </row>
    <row r="93" spans="1:56" x14ac:dyDescent="0.35">
      <c r="A93" s="9168"/>
      <c r="B93" s="4771"/>
      <c r="C93" s="4839"/>
      <c r="D93" s="6029" t="s">
        <v>995</v>
      </c>
      <c r="E93" s="392"/>
      <c r="F93" s="6025"/>
      <c r="G93" s="392"/>
      <c r="H93" s="6026"/>
      <c r="I93" s="6027"/>
      <c r="J93" s="361"/>
      <c r="K93" s="392"/>
      <c r="L93" s="6026"/>
      <c r="M93" s="229"/>
      <c r="O93" s="6026"/>
      <c r="P93" s="229"/>
      <c r="R93" s="4841">
        <f>(R90-R92)/R17</f>
        <v>7.9278334347680349E-2</v>
      </c>
      <c r="S93" s="4842">
        <f>(S90-S92)/S17</f>
        <v>9.9627987079848587E-2</v>
      </c>
      <c r="T93" s="975"/>
      <c r="U93" s="974"/>
      <c r="V93" s="975"/>
      <c r="W93" s="4843">
        <f>(W90-W92)/W17</f>
        <v>9.5713877750996726E-2</v>
      </c>
      <c r="X93" s="975"/>
      <c r="Y93" s="5868">
        <f>(Y90-Y92)/Y17</f>
        <v>0.12657241691981339</v>
      </c>
      <c r="AA93" s="4841">
        <f>(AA90-AA92)/AA17</f>
        <v>5.241751317784675E-2</v>
      </c>
      <c r="AB93" s="4842">
        <f>(AB90-AB92)/AB17</f>
        <v>6.6301063690820408E-2</v>
      </c>
      <c r="AC93" s="975"/>
      <c r="AD93" s="974"/>
      <c r="AE93" s="975"/>
      <c r="AF93" s="4843">
        <f>(AF90-AF92)/AF17</f>
        <v>0.12240253538928844</v>
      </c>
      <c r="AG93" s="975"/>
      <c r="AH93" s="5868">
        <f>(AH90-AH92)/AH17</f>
        <v>0.1449673786812736</v>
      </c>
      <c r="AJ93" s="4843">
        <f>(AJ90-AJ92)/AJ17</f>
        <v>6.0892439014990911E-2</v>
      </c>
      <c r="AK93" s="975"/>
      <c r="AL93" s="5868">
        <f>(AL90-AL92)/AL17</f>
        <v>4.0093435203668523E-2</v>
      </c>
      <c r="AN93" s="4841">
        <f>(AN90-AN92)/AN17</f>
        <v>6.0073675286138196E-2</v>
      </c>
      <c r="AO93" s="4842">
        <f>(AO90-AO92)/AO17</f>
        <v>4.4915753640370093E-2</v>
      </c>
      <c r="AP93" s="975"/>
      <c r="AQ93" s="974"/>
      <c r="AR93" s="975"/>
      <c r="AS93" s="4843">
        <f>(AS90-AS92)/AS17</f>
        <v>3.810130298888767E-2</v>
      </c>
      <c r="AT93" s="975"/>
      <c r="AU93" s="5868">
        <f>(AU90-AU92)/AU17</f>
        <v>4.9936755051806322E-2</v>
      </c>
      <c r="AV93" s="974"/>
      <c r="AW93" s="975"/>
      <c r="AX93" s="975"/>
      <c r="AY93" s="4843">
        <f>(AY90-AY92)/AY17</f>
        <v>9.9209577174331723E-2</v>
      </c>
      <c r="AZ93" s="975"/>
      <c r="BA93" s="5868">
        <f>(BA90-BA92)/BA17</f>
        <v>0.13105874582793337</v>
      </c>
      <c r="BB93" s="975"/>
    </row>
    <row r="94" spans="1:56" x14ac:dyDescent="0.35">
      <c r="A94" s="9168"/>
      <c r="B94" s="4771"/>
      <c r="C94" s="4839"/>
      <c r="D94" s="6029" t="s">
        <v>996</v>
      </c>
      <c r="E94" s="392"/>
      <c r="F94" s="6025"/>
      <c r="G94" s="392"/>
      <c r="H94" s="6026"/>
      <c r="I94" s="6027"/>
      <c r="J94" s="361"/>
      <c r="K94" s="392"/>
      <c r="L94" s="6026"/>
      <c r="M94" s="229"/>
      <c r="O94" s="6026"/>
      <c r="P94" s="229"/>
      <c r="R94" s="4841">
        <f>R92/R16</f>
        <v>0.29519767358847415</v>
      </c>
      <c r="S94" s="4842">
        <f>S92/S16</f>
        <v>0.29092464731445833</v>
      </c>
      <c r="T94" s="975"/>
      <c r="U94" s="974"/>
      <c r="V94" s="975"/>
      <c r="W94" s="4843">
        <f>W92/W16</f>
        <v>0.35060415164577913</v>
      </c>
      <c r="X94" s="975"/>
      <c r="Y94" s="5868">
        <f>Y92/Y16</f>
        <v>0.33583000823149251</v>
      </c>
      <c r="AA94" s="4841">
        <f>AA92/AA16</f>
        <v>0.36149761632359756</v>
      </c>
      <c r="AB94" s="4842">
        <f>AB92/AB16</f>
        <v>0.36363459683173965</v>
      </c>
      <c r="AC94" s="975"/>
      <c r="AD94" s="974"/>
      <c r="AE94" s="975"/>
      <c r="AF94" s="4843">
        <f>AF92/AF16</f>
        <v>0.27461598573324808</v>
      </c>
      <c r="AG94" s="975"/>
      <c r="AH94" s="5868">
        <f>AH92/AH16</f>
        <v>0.27965889631030583</v>
      </c>
      <c r="AJ94" s="4843">
        <f>AJ92/AJ16</f>
        <v>0.31092431442500912</v>
      </c>
      <c r="AK94" s="975"/>
      <c r="AL94" s="5868">
        <f>AL92/AL16</f>
        <v>0.40571242273498742</v>
      </c>
      <c r="AN94" s="4841">
        <f>AN92/AN16</f>
        <v>0.30079518581704423</v>
      </c>
      <c r="AO94" s="4842">
        <f>AO92/AO16</f>
        <v>0.39874856264734931</v>
      </c>
      <c r="AP94" s="975"/>
      <c r="AQ94" s="974"/>
      <c r="AR94" s="975"/>
      <c r="AS94" s="4843">
        <f>AS92/AS16</f>
        <v>0.34477767255329433</v>
      </c>
      <c r="AT94" s="975"/>
      <c r="AU94" s="5868">
        <f>AU92/AU16</f>
        <v>0.3564770016693245</v>
      </c>
      <c r="AV94" s="974"/>
      <c r="AW94" s="975"/>
      <c r="AX94" s="975"/>
      <c r="AY94" s="4843">
        <f>AY92/AY16</f>
        <v>0.36123088339963844</v>
      </c>
      <c r="AZ94" s="975"/>
      <c r="BA94" s="5868">
        <f>BA92/BA16</f>
        <v>0.37330927294314831</v>
      </c>
      <c r="BB94" s="975"/>
    </row>
    <row r="95" spans="1:56" x14ac:dyDescent="0.35">
      <c r="A95" s="9168"/>
      <c r="B95" s="4771"/>
      <c r="C95" s="4839"/>
      <c r="D95" s="6030"/>
      <c r="E95" s="392"/>
      <c r="F95" s="6025"/>
      <c r="G95" s="392"/>
      <c r="H95" s="6026"/>
      <c r="I95" s="6027"/>
      <c r="J95" s="361"/>
      <c r="K95" s="392"/>
      <c r="L95" s="6026"/>
      <c r="M95" s="229"/>
      <c r="O95" s="6026"/>
      <c r="P95" s="229"/>
      <c r="R95" s="5282"/>
      <c r="S95" s="5283"/>
      <c r="T95" s="3341"/>
      <c r="U95" s="3339"/>
      <c r="V95" s="6031"/>
      <c r="W95" s="5284"/>
      <c r="X95" s="3341"/>
      <c r="Y95" s="5869"/>
      <c r="AA95" s="5282"/>
      <c r="AB95" s="5283"/>
      <c r="AC95" s="3341"/>
      <c r="AD95" s="3339"/>
      <c r="AE95" s="6031"/>
      <c r="AF95" s="5284"/>
      <c r="AG95" s="3341"/>
      <c r="AH95" s="5869"/>
      <c r="AJ95" s="5284"/>
      <c r="AK95" s="3341"/>
      <c r="AL95" s="5869"/>
      <c r="AN95" s="5282"/>
      <c r="AO95" s="5283"/>
      <c r="AP95" s="3341"/>
      <c r="AQ95" s="3339"/>
      <c r="AR95" s="6031"/>
      <c r="AS95" s="5284"/>
      <c r="AT95" s="3341"/>
      <c r="AU95" s="5869"/>
      <c r="AV95" s="3339"/>
      <c r="AW95" s="6031"/>
      <c r="AX95" s="6031"/>
      <c r="AY95" s="5284"/>
      <c r="AZ95" s="3341"/>
      <c r="BA95" s="5869"/>
      <c r="BB95" s="6031"/>
    </row>
    <row r="96" spans="1:56" x14ac:dyDescent="0.35">
      <c r="A96" s="9168"/>
      <c r="B96" s="4771"/>
      <c r="C96" s="4839"/>
      <c r="D96" s="6029" t="s">
        <v>997</v>
      </c>
      <c r="E96" s="392"/>
      <c r="F96" s="5870">
        <f>F90/F12</f>
        <v>0.22201236728191731</v>
      </c>
      <c r="G96" s="564"/>
      <c r="H96" s="5871">
        <f>H90/H12</f>
        <v>0.22119751475922367</v>
      </c>
      <c r="I96" s="5872">
        <f>I90/I12</f>
        <v>0.23263447700125936</v>
      </c>
      <c r="J96" s="361"/>
      <c r="K96" s="564"/>
      <c r="L96" s="5871">
        <f>L90/L12</f>
        <v>0.25080555224350376</v>
      </c>
      <c r="M96" s="6032">
        <f>M90/M12</f>
        <v>0.24380033666290021</v>
      </c>
      <c r="O96" s="5871">
        <f>O90/O12</f>
        <v>0.26610807834851724</v>
      </c>
      <c r="P96" s="6032">
        <f>P90/P12</f>
        <v>0.28041644923028536</v>
      </c>
      <c r="R96" s="5282"/>
      <c r="S96" s="5283"/>
      <c r="T96" s="3341"/>
      <c r="U96" s="3339"/>
      <c r="V96" s="6031"/>
      <c r="W96" s="5284"/>
      <c r="X96" s="3341"/>
      <c r="Y96" s="5869"/>
      <c r="AA96" s="5282">
        <f t="shared" ref="AA96:AB96" si="93">AA90/AA12</f>
        <v>0.32531103642283749</v>
      </c>
      <c r="AB96" s="5283">
        <f t="shared" si="93"/>
        <v>0.33906403733766227</v>
      </c>
      <c r="AC96" s="3341"/>
      <c r="AD96" s="3339"/>
      <c r="AE96" s="6031"/>
      <c r="AF96" s="5284">
        <f t="shared" ref="AF96" si="94">AF90/AF12</f>
        <v>0.3238194343024644</v>
      </c>
      <c r="AG96" s="3341"/>
      <c r="AH96" s="5869">
        <f t="shared" ref="AH96" si="95">AH90/AH12</f>
        <v>0.31911415730367154</v>
      </c>
      <c r="AJ96" s="5284">
        <f>AJ90/AJ12</f>
        <v>0.30318416141987831</v>
      </c>
      <c r="AK96" s="3341"/>
      <c r="AL96" s="5869">
        <f t="shared" ref="AL96" si="96">AL90/AL12</f>
        <v>0.36057642250074423</v>
      </c>
      <c r="AN96" s="5282">
        <f t="shared" ref="AN96:AO96" si="97">AN90/AN12</f>
        <v>0.29391030979217236</v>
      </c>
      <c r="AO96" s="5283">
        <f t="shared" si="97"/>
        <v>0.35432150877571095</v>
      </c>
      <c r="AP96" s="3341"/>
      <c r="AQ96" s="3339"/>
      <c r="AR96" s="6031"/>
      <c r="AS96" s="5284">
        <f t="shared" ref="AS96" si="98">AS90/AS12</f>
        <v>0.30575172244897952</v>
      </c>
      <c r="AT96" s="3341"/>
      <c r="AU96" s="5869">
        <f>AU90/AU12</f>
        <v>0.30934624051120668</v>
      </c>
      <c r="AV96" s="3339"/>
      <c r="AW96" s="6031"/>
      <c r="AX96" s="6031"/>
      <c r="AY96" s="5284">
        <f t="shared" ref="AY96" si="99">AY90/AY12</f>
        <v>0.33544727086842746</v>
      </c>
      <c r="AZ96" s="3341"/>
      <c r="BA96" s="5869">
        <f>BA90/BA12</f>
        <v>0.33894082680308624</v>
      </c>
      <c r="BB96" s="6031"/>
    </row>
    <row r="97" spans="1:56" x14ac:dyDescent="0.35">
      <c r="A97" s="9168"/>
      <c r="B97" s="4771"/>
      <c r="C97" s="4839"/>
      <c r="D97" s="6033" t="s">
        <v>998</v>
      </c>
      <c r="E97" s="392"/>
      <c r="F97" s="5873">
        <f>F90-SUM(F74:F77)</f>
        <v>159237.39794701154</v>
      </c>
      <c r="G97" s="426"/>
      <c r="H97" s="5874">
        <f>H90-SUM(H74:H77)</f>
        <v>256124.18127894978</v>
      </c>
      <c r="I97" s="5875">
        <f>I90-SUM(I74:I77)</f>
        <v>273091.88079161715</v>
      </c>
      <c r="J97" s="361"/>
      <c r="K97" s="426"/>
      <c r="L97" s="5874">
        <f>L90-SUM(L74:L77)</f>
        <v>324999.42154161393</v>
      </c>
      <c r="M97" s="6034">
        <f>M90-SUM(M74:M77)</f>
        <v>315105.00191567861</v>
      </c>
      <c r="O97" s="5874">
        <f>O90-SUM(O74:O77)</f>
        <v>305503.46869201271</v>
      </c>
      <c r="P97" s="6034">
        <f>P90-SUM(P74:P77)</f>
        <v>321097.65006536123</v>
      </c>
      <c r="R97" s="5289"/>
      <c r="S97" s="5290"/>
      <c r="T97" s="4043"/>
      <c r="U97" s="3432"/>
      <c r="V97" s="6028"/>
      <c r="W97" s="5291"/>
      <c r="X97" s="4043"/>
      <c r="Y97" s="5876"/>
      <c r="AA97" s="5289">
        <f t="shared" ref="AA97:AB97" si="100">AA90-SUM(AA74:AA77)</f>
        <v>377694.46499999997</v>
      </c>
      <c r="AB97" s="5290">
        <f t="shared" si="100"/>
        <v>376801.35799999989</v>
      </c>
      <c r="AC97" s="4043"/>
      <c r="AD97" s="3432"/>
      <c r="AE97" s="6028"/>
      <c r="AF97" s="5291"/>
      <c r="AG97" s="4043"/>
      <c r="AH97" s="5876"/>
      <c r="AJ97" s="5291"/>
      <c r="AK97" s="4043"/>
      <c r="AL97" s="5876"/>
      <c r="AN97" s="5289">
        <f t="shared" ref="AN97:AO97" si="101">AN90-SUM(AN74:AN77)</f>
        <v>401012.70131899999</v>
      </c>
      <c r="AO97" s="5290">
        <f t="shared" si="101"/>
        <v>506522.45434899995</v>
      </c>
      <c r="AP97" s="4043"/>
      <c r="AQ97" s="3432"/>
      <c r="AR97" s="6028"/>
      <c r="AS97" s="5291"/>
      <c r="AT97" s="4043"/>
      <c r="AU97" s="5876"/>
      <c r="AV97" s="3339"/>
      <c r="AW97" s="6028"/>
      <c r="AX97" s="6028"/>
      <c r="AY97" s="5291"/>
      <c r="AZ97" s="4043"/>
      <c r="BA97" s="5876"/>
      <c r="BB97" s="6028"/>
    </row>
    <row r="98" spans="1:56" x14ac:dyDescent="0.35">
      <c r="A98" s="9168"/>
      <c r="B98" s="4771"/>
      <c r="C98" s="4839"/>
      <c r="D98" s="6029" t="s">
        <v>999</v>
      </c>
      <c r="E98" s="392"/>
      <c r="F98" s="5870">
        <f>F97/F12</f>
        <v>0.22176795220680975</v>
      </c>
      <c r="G98" s="435"/>
      <c r="H98" s="5871">
        <f>H97/H12</f>
        <v>0.20624145730549104</v>
      </c>
      <c r="I98" s="5872">
        <f>I97/I12</f>
        <v>0.22047462844905547</v>
      </c>
      <c r="J98" s="361"/>
      <c r="K98" s="435"/>
      <c r="L98" s="5871">
        <f>L97/L12</f>
        <v>0.25080555224350376</v>
      </c>
      <c r="M98" s="6032">
        <f>M97/M12</f>
        <v>0.24380033666290021</v>
      </c>
      <c r="O98" s="5871">
        <f>O97/O12</f>
        <v>0.26610807834851724</v>
      </c>
      <c r="P98" s="6032">
        <f>P97/P12</f>
        <v>0.28041644923028536</v>
      </c>
      <c r="R98" s="5282"/>
      <c r="S98" s="5283"/>
      <c r="T98" s="3341"/>
      <c r="U98" s="3339"/>
      <c r="V98" s="6031"/>
      <c r="W98" s="5284"/>
      <c r="X98" s="3341"/>
      <c r="Y98" s="5869"/>
      <c r="AA98" s="5282">
        <f t="shared" ref="AA98:AB98" si="102">AA97/AA12</f>
        <v>0.29350766223976749</v>
      </c>
      <c r="AB98" s="5283">
        <f t="shared" si="102"/>
        <v>0.30584525811688301</v>
      </c>
      <c r="AC98" s="3341"/>
      <c r="AD98" s="3339"/>
      <c r="AE98" s="6031"/>
      <c r="AF98" s="5284"/>
      <c r="AG98" s="3341"/>
      <c r="AH98" s="5869"/>
      <c r="AJ98" s="5284"/>
      <c r="AK98" s="3341"/>
      <c r="AL98" s="5869"/>
      <c r="AN98" s="5282">
        <f t="shared" ref="AN98:AO98" si="103">AN97/AN12</f>
        <v>0.26669284828184747</v>
      </c>
      <c r="AO98" s="5283">
        <f t="shared" si="103"/>
        <v>0.32783351737084643</v>
      </c>
      <c r="AP98" s="3341"/>
      <c r="AQ98" s="3339"/>
      <c r="AR98" s="6031"/>
      <c r="AS98" s="5284"/>
      <c r="AT98" s="3341"/>
      <c r="AU98" s="5869"/>
      <c r="AV98" s="3339"/>
      <c r="AW98" s="6031"/>
      <c r="AX98" s="6031"/>
      <c r="AY98" s="5284"/>
      <c r="AZ98" s="3341"/>
      <c r="BA98" s="5869"/>
      <c r="BB98" s="6031"/>
    </row>
    <row r="99" spans="1:56" x14ac:dyDescent="0.35">
      <c r="A99" s="9168"/>
      <c r="B99" s="4771"/>
      <c r="C99" s="4839"/>
      <c r="D99" s="6030"/>
      <c r="E99" s="392"/>
      <c r="F99" s="6025"/>
      <c r="G99" s="392"/>
      <c r="H99" s="6026"/>
      <c r="I99" s="6027"/>
      <c r="J99" s="361"/>
      <c r="K99" s="392"/>
      <c r="L99" s="6026"/>
      <c r="M99" s="229"/>
      <c r="O99" s="6026"/>
      <c r="P99" s="229"/>
      <c r="R99" s="5282"/>
      <c r="S99" s="5283"/>
      <c r="T99" s="3341"/>
      <c r="U99" s="3339"/>
      <c r="V99" s="6031"/>
      <c r="W99" s="5284"/>
      <c r="X99" s="3341"/>
      <c r="Y99" s="5869"/>
      <c r="AA99" s="5282"/>
      <c r="AB99" s="5283"/>
      <c r="AC99" s="3341"/>
      <c r="AD99" s="3339"/>
      <c r="AE99" s="6031"/>
      <c r="AF99" s="5284"/>
      <c r="AG99" s="3341"/>
      <c r="AH99" s="5869"/>
      <c r="AJ99" s="5284"/>
      <c r="AK99" s="3341"/>
      <c r="AL99" s="5869"/>
      <c r="AN99" s="5282"/>
      <c r="AO99" s="5283"/>
      <c r="AP99" s="3341"/>
      <c r="AQ99" s="3339"/>
      <c r="AR99" s="6031"/>
      <c r="AS99" s="5284"/>
      <c r="AT99" s="3341"/>
      <c r="AU99" s="5869"/>
      <c r="AV99" s="3339"/>
      <c r="AW99" s="6031"/>
      <c r="AX99" s="6031"/>
      <c r="AY99" s="5284"/>
      <c r="AZ99" s="3341"/>
      <c r="BA99" s="5869"/>
      <c r="BB99" s="6031"/>
    </row>
    <row r="100" spans="1:56" s="462" customFormat="1" x14ac:dyDescent="0.35">
      <c r="A100" s="9168"/>
      <c r="B100" s="4771"/>
      <c r="C100" s="4839"/>
      <c r="D100" s="5877" t="s">
        <v>1000</v>
      </c>
      <c r="E100" s="424"/>
      <c r="F100" s="6025"/>
      <c r="G100"/>
      <c r="H100" s="6026"/>
      <c r="I100" s="6027"/>
      <c r="J100" s="361"/>
      <c r="K100"/>
      <c r="L100" s="6026"/>
      <c r="M100" s="431"/>
      <c r="N100" s="1"/>
      <c r="O100" s="6026"/>
      <c r="P100" s="431"/>
      <c r="Q100" s="1"/>
      <c r="R100" s="5296"/>
      <c r="S100" s="5297"/>
      <c r="T100" s="6035"/>
      <c r="U100" s="3417"/>
      <c r="V100" s="6031"/>
      <c r="W100" s="5298"/>
      <c r="X100" s="6035"/>
      <c r="Y100" s="5878"/>
      <c r="Z100" s="1"/>
      <c r="AA100" s="5296"/>
      <c r="AB100" s="5297"/>
      <c r="AC100" s="6035"/>
      <c r="AD100" s="3417"/>
      <c r="AE100" s="6031"/>
      <c r="AF100" s="5298"/>
      <c r="AG100" s="6035"/>
      <c r="AH100" s="5878"/>
      <c r="AI100" s="1"/>
      <c r="AJ100" s="5298"/>
      <c r="AK100" s="6035"/>
      <c r="AL100" s="5878"/>
      <c r="AM100" s="1"/>
      <c r="AN100" s="5296"/>
      <c r="AO100" s="5297"/>
      <c r="AP100" s="6035"/>
      <c r="AQ100" s="3417"/>
      <c r="AR100" s="6031"/>
      <c r="AS100" s="5298"/>
      <c r="AT100" s="6035"/>
      <c r="AU100" s="5878"/>
      <c r="AV100" s="3417"/>
      <c r="AW100" s="6031"/>
      <c r="AX100" s="6031"/>
      <c r="AY100" s="5298"/>
      <c r="AZ100" s="6035"/>
      <c r="BA100" s="7788"/>
      <c r="BB100" s="6031"/>
      <c r="BC100"/>
      <c r="BD100"/>
    </row>
    <row r="101" spans="1:56" s="462" customFormat="1" x14ac:dyDescent="0.35">
      <c r="A101" s="9169"/>
      <c r="B101" s="4785"/>
      <c r="C101" s="4865"/>
      <c r="D101" s="5879" t="s">
        <v>1001</v>
      </c>
      <c r="E101" s="274"/>
      <c r="F101" s="6036"/>
      <c r="G101"/>
      <c r="H101" s="6037"/>
      <c r="I101" s="6038"/>
      <c r="J101" s="6039"/>
      <c r="K101"/>
      <c r="L101" s="6037"/>
      <c r="M101" s="574"/>
      <c r="N101" s="1"/>
      <c r="O101" s="6037"/>
      <c r="P101" s="574"/>
      <c r="Q101" s="1"/>
      <c r="R101" s="5302"/>
      <c r="S101" s="5303"/>
      <c r="T101" s="575"/>
      <c r="U101" s="573"/>
      <c r="V101" s="6031"/>
      <c r="W101" s="5304"/>
      <c r="X101" s="575"/>
      <c r="Y101" s="5880"/>
      <c r="Z101" s="1"/>
      <c r="AA101" s="5302"/>
      <c r="AB101" s="5303"/>
      <c r="AC101" s="575"/>
      <c r="AD101" s="573"/>
      <c r="AE101" s="6031"/>
      <c r="AF101" s="5304"/>
      <c r="AG101" s="575"/>
      <c r="AH101" s="5880"/>
      <c r="AI101" s="1"/>
      <c r="AJ101" s="5304"/>
      <c r="AK101" s="575"/>
      <c r="AL101" s="5880"/>
      <c r="AM101" s="1"/>
      <c r="AN101" s="5302"/>
      <c r="AO101" s="5303"/>
      <c r="AP101" s="575"/>
      <c r="AQ101" s="573"/>
      <c r="AR101" s="6031"/>
      <c r="AS101" s="5304"/>
      <c r="AT101" s="575"/>
      <c r="AU101" s="5880"/>
      <c r="AV101" s="573"/>
      <c r="AW101" s="6031"/>
      <c r="AX101" s="6031"/>
      <c r="AY101" s="5304"/>
      <c r="AZ101" s="575"/>
      <c r="BA101" s="7789"/>
      <c r="BB101" s="6031"/>
      <c r="BC101"/>
      <c r="BD101"/>
    </row>
    <row r="102" spans="1:56" s="462" customFormat="1" ht="12" customHeight="1" x14ac:dyDescent="0.3">
      <c r="C102" s="456"/>
      <c r="D102" s="5"/>
      <c r="E102" s="456"/>
      <c r="F102" s="456"/>
      <c r="G102" s="456"/>
      <c r="H102" s="459"/>
      <c r="I102" s="459"/>
      <c r="J102" s="7"/>
      <c r="K102" s="456"/>
      <c r="N102" s="456"/>
      <c r="Q102" s="456"/>
      <c r="V102" s="456"/>
      <c r="Z102" s="456"/>
      <c r="AE102" s="456"/>
      <c r="AI102" s="456"/>
      <c r="AM102" s="456"/>
      <c r="AR102" s="456"/>
      <c r="AV102" s="1561"/>
      <c r="AW102" s="456"/>
      <c r="AX102" s="456"/>
      <c r="BA102" s="711"/>
      <c r="BB102" s="456"/>
    </row>
    <row r="103" spans="1:56" s="462" customFormat="1" ht="12" x14ac:dyDescent="0.3">
      <c r="A103" s="468"/>
      <c r="B103" s="469"/>
      <c r="D103" s="5"/>
      <c r="E103" s="456"/>
      <c r="F103" s="456"/>
      <c r="G103" s="456"/>
      <c r="H103" s="459"/>
      <c r="I103" s="459"/>
      <c r="J103" s="7"/>
      <c r="K103" s="456"/>
      <c r="N103" s="456"/>
      <c r="Q103" s="456"/>
      <c r="V103" s="456"/>
      <c r="Z103" s="456"/>
      <c r="AE103" s="456"/>
      <c r="AI103" s="456"/>
      <c r="AM103" s="456"/>
      <c r="AR103" s="456"/>
      <c r="AV103" s="1561"/>
      <c r="AW103" s="456"/>
      <c r="AX103" s="456"/>
      <c r="BA103" s="711"/>
      <c r="BB103" s="456"/>
      <c r="BC103" s="577"/>
      <c r="BD103" s="577"/>
    </row>
    <row r="104" spans="1:56" s="462" customFormat="1" ht="12" x14ac:dyDescent="0.3">
      <c r="A104" s="455" t="s">
        <v>1002</v>
      </c>
      <c r="B104" s="455"/>
      <c r="C104" s="456"/>
      <c r="D104" s="5"/>
      <c r="E104" s="456"/>
      <c r="F104" s="456"/>
      <c r="G104" s="456"/>
      <c r="H104" s="459"/>
      <c r="I104" s="459"/>
      <c r="J104" s="7"/>
      <c r="K104" s="456"/>
      <c r="N104" s="456"/>
      <c r="Q104" s="456"/>
      <c r="V104" s="456"/>
      <c r="Z104" s="456"/>
      <c r="AE104" s="456"/>
      <c r="AI104" s="456"/>
      <c r="AM104" s="456"/>
      <c r="AR104" s="456"/>
      <c r="AV104" s="1561"/>
      <c r="AW104" s="456"/>
      <c r="AX104" s="456"/>
      <c r="BA104" s="711"/>
      <c r="BB104" s="456"/>
      <c r="BC104" s="577"/>
      <c r="BD104" s="577"/>
    </row>
    <row r="105" spans="1:56" s="462" customFormat="1" ht="12" x14ac:dyDescent="0.3">
      <c r="A105" s="9170"/>
      <c r="B105" s="9171"/>
      <c r="C105" s="9171"/>
      <c r="D105" s="9171"/>
      <c r="E105" s="9171"/>
      <c r="F105" s="9171"/>
      <c r="G105" s="9171"/>
      <c r="H105" s="9171"/>
      <c r="I105" s="9171"/>
      <c r="J105" s="9171"/>
      <c r="K105" s="9171"/>
      <c r="L105" s="9171"/>
      <c r="M105" s="9171"/>
      <c r="N105" s="9171"/>
      <c r="O105" s="9171"/>
      <c r="P105" s="9172"/>
      <c r="Q105" s="2978"/>
      <c r="R105" s="2978"/>
      <c r="S105" s="2978"/>
      <c r="T105" s="2978"/>
      <c r="U105" s="2978"/>
      <c r="V105" s="2978"/>
      <c r="W105" s="2978"/>
      <c r="X105" s="2978"/>
      <c r="Y105" s="2978"/>
      <c r="Z105" s="456"/>
      <c r="AA105" s="2978"/>
      <c r="AB105" s="2978"/>
      <c r="AC105" s="2978"/>
      <c r="AD105" s="2978"/>
      <c r="AE105" s="2978"/>
      <c r="AF105" s="2978"/>
      <c r="AG105" s="2978"/>
      <c r="AH105" s="2978"/>
      <c r="AI105" s="456"/>
      <c r="AJ105" s="2978"/>
      <c r="AK105" s="2978"/>
      <c r="AL105" s="2978"/>
      <c r="AM105" s="456"/>
      <c r="AN105" s="2978"/>
      <c r="AO105" s="2978"/>
      <c r="AP105" s="2978"/>
      <c r="AQ105" s="2978"/>
      <c r="AR105" s="2978"/>
      <c r="AS105" s="2978"/>
      <c r="AT105" s="2978"/>
      <c r="AU105" s="2978"/>
      <c r="AV105" s="6223"/>
      <c r="AW105" s="2978"/>
      <c r="AX105" s="2978"/>
      <c r="AY105" s="2978"/>
      <c r="AZ105" s="2978"/>
      <c r="BA105" s="7790"/>
      <c r="BB105" s="2978"/>
      <c r="BC105" s="577"/>
      <c r="BD105" s="577"/>
    </row>
    <row r="106" spans="1:56" s="462" customFormat="1" x14ac:dyDescent="0.35">
      <c r="A106"/>
      <c r="B106"/>
      <c r="C106" s="1"/>
      <c r="D106" s="5"/>
      <c r="E106" s="1"/>
      <c r="F106" s="1"/>
      <c r="G106" s="1"/>
      <c r="H106" s="6"/>
      <c r="I106" s="6"/>
      <c r="J106" s="7"/>
      <c r="K106" s="1"/>
      <c r="L106"/>
      <c r="M106"/>
      <c r="N106" s="1"/>
      <c r="O106"/>
      <c r="P106"/>
      <c r="Q106" s="1"/>
      <c r="R106"/>
      <c r="S106"/>
      <c r="T106"/>
      <c r="U106"/>
      <c r="V106" s="1"/>
      <c r="W106"/>
      <c r="X106"/>
      <c r="Y106"/>
      <c r="Z106" s="1"/>
      <c r="AA106"/>
      <c r="AB106"/>
      <c r="AC106"/>
      <c r="AD106"/>
      <c r="AE106" s="1"/>
      <c r="AF106"/>
      <c r="AG106"/>
      <c r="AH106"/>
      <c r="AI106" s="1"/>
      <c r="AJ106"/>
      <c r="AK106"/>
      <c r="AL106"/>
      <c r="AM106" s="1"/>
      <c r="AN106"/>
      <c r="AO106"/>
      <c r="AP106"/>
      <c r="AQ106"/>
      <c r="AR106" s="1"/>
      <c r="AS106"/>
      <c r="AT106"/>
      <c r="AU106"/>
      <c r="AV106" s="3341"/>
      <c r="AW106" s="1"/>
      <c r="AX106" s="1"/>
      <c r="AY106"/>
      <c r="AZ106"/>
      <c r="BA106" s="711"/>
      <c r="BB106" s="1"/>
      <c r="BC106"/>
      <c r="BD106"/>
    </row>
    <row r="107" spans="1:56" s="462" customFormat="1" x14ac:dyDescent="0.35">
      <c r="A107"/>
      <c r="B107"/>
      <c r="C107" s="1"/>
      <c r="D107" s="5"/>
      <c r="E107" s="1"/>
      <c r="F107" s="1"/>
      <c r="G107" s="1"/>
      <c r="H107" s="6"/>
      <c r="I107" s="6"/>
      <c r="J107" s="7"/>
      <c r="K107" s="1"/>
      <c r="L107"/>
      <c r="M107"/>
      <c r="N107" s="1"/>
      <c r="O107"/>
      <c r="P107"/>
      <c r="Q107" s="1"/>
      <c r="R107"/>
      <c r="S107"/>
      <c r="T107"/>
      <c r="U107"/>
      <c r="V107" s="1"/>
      <c r="W107"/>
      <c r="X107"/>
      <c r="Y107"/>
      <c r="Z107" s="1"/>
      <c r="AA107"/>
      <c r="AB107"/>
      <c r="AC107"/>
      <c r="AD107"/>
      <c r="AE107" s="1"/>
      <c r="AF107"/>
      <c r="AG107"/>
      <c r="AH107"/>
      <c r="AI107" s="1"/>
      <c r="AJ107"/>
      <c r="AK107"/>
      <c r="AL107"/>
      <c r="AM107" s="1"/>
      <c r="AN107"/>
      <c r="AO107"/>
      <c r="AP107"/>
      <c r="AQ107"/>
      <c r="AR107" s="1"/>
      <c r="AS107"/>
      <c r="AT107"/>
      <c r="AU107"/>
      <c r="AV107" s="3341"/>
      <c r="AW107" s="1"/>
      <c r="AX107" s="1"/>
      <c r="AY107"/>
      <c r="AZ107"/>
      <c r="BA107" s="711"/>
      <c r="BB107" s="1"/>
      <c r="BC107"/>
      <c r="BD107"/>
    </row>
    <row r="108" spans="1:56" s="462" customFormat="1" x14ac:dyDescent="0.35">
      <c r="A108"/>
      <c r="B108"/>
      <c r="C108" s="1"/>
      <c r="D108" s="5"/>
      <c r="E108" s="1"/>
      <c r="F108" s="1"/>
      <c r="G108" s="1"/>
      <c r="H108" s="6"/>
      <c r="I108" s="6"/>
      <c r="J108" s="7"/>
      <c r="K108" s="1"/>
      <c r="L108"/>
      <c r="M108"/>
      <c r="N108" s="1"/>
      <c r="O108"/>
      <c r="P108"/>
      <c r="Q108" s="1"/>
      <c r="R108"/>
      <c r="S108"/>
      <c r="T108"/>
      <c r="U108"/>
      <c r="V108" s="1"/>
      <c r="W108"/>
      <c r="X108"/>
      <c r="Y108"/>
      <c r="Z108" s="1"/>
      <c r="AA108"/>
      <c r="AB108"/>
      <c r="AC108"/>
      <c r="AD108"/>
      <c r="AE108" s="1"/>
      <c r="AF108"/>
      <c r="AG108"/>
      <c r="AH108"/>
      <c r="AI108" s="1"/>
      <c r="AJ108"/>
      <c r="AK108"/>
      <c r="AL108"/>
      <c r="AM108" s="1"/>
      <c r="AN108"/>
      <c r="AO108"/>
      <c r="AP108"/>
      <c r="AQ108"/>
      <c r="AR108" s="1"/>
      <c r="AS108"/>
      <c r="AT108"/>
      <c r="AU108"/>
      <c r="AV108" s="3341"/>
      <c r="AW108" s="1"/>
      <c r="AX108" s="1"/>
      <c r="AY108"/>
      <c r="AZ108"/>
      <c r="BA108" s="711"/>
      <c r="BB108" s="1"/>
      <c r="BC108"/>
      <c r="BD108"/>
    </row>
    <row r="109" spans="1:56" s="462" customFormat="1" x14ac:dyDescent="0.35">
      <c r="A109"/>
      <c r="B109"/>
      <c r="C109" s="1"/>
      <c r="D109" s="5"/>
      <c r="E109" s="1"/>
      <c r="F109" s="1"/>
      <c r="G109" s="1"/>
      <c r="H109" s="6"/>
      <c r="I109" s="6"/>
      <c r="J109" s="7"/>
      <c r="K109" s="1"/>
      <c r="L109"/>
      <c r="M109"/>
      <c r="N109" s="1"/>
      <c r="O109"/>
      <c r="P109"/>
      <c r="Q109" s="1"/>
      <c r="R109"/>
      <c r="S109"/>
      <c r="T109"/>
      <c r="U109"/>
      <c r="V109" s="1"/>
      <c r="W109"/>
      <c r="X109"/>
      <c r="Y109"/>
      <c r="Z109" s="1"/>
      <c r="AA109"/>
      <c r="AB109"/>
      <c r="AC109"/>
      <c r="AD109"/>
      <c r="AE109" s="1"/>
      <c r="AF109"/>
      <c r="AG109"/>
      <c r="AH109"/>
      <c r="AI109" s="1"/>
      <c r="AJ109"/>
      <c r="AK109"/>
      <c r="AL109"/>
      <c r="AM109" s="1"/>
      <c r="AN109"/>
      <c r="AO109"/>
      <c r="AP109"/>
      <c r="AQ109"/>
      <c r="AR109" s="1"/>
      <c r="AS109"/>
      <c r="AT109"/>
      <c r="AU109"/>
      <c r="AV109" s="3341"/>
      <c r="AW109" s="1"/>
      <c r="AX109" s="1"/>
      <c r="AY109"/>
      <c r="AZ109"/>
      <c r="BA109" s="711"/>
      <c r="BB109" s="1"/>
      <c r="BC109"/>
      <c r="BD109"/>
    </row>
    <row r="110" spans="1:56" s="462" customFormat="1" x14ac:dyDescent="0.35">
      <c r="A110"/>
      <c r="B110"/>
      <c r="C110" s="1"/>
      <c r="D110" s="5"/>
      <c r="E110" s="1"/>
      <c r="F110" s="1"/>
      <c r="G110" s="1"/>
      <c r="H110" s="6"/>
      <c r="I110" s="6"/>
      <c r="J110" s="7"/>
      <c r="K110" s="1"/>
      <c r="L110"/>
      <c r="M110"/>
      <c r="N110" s="1"/>
      <c r="O110"/>
      <c r="P110"/>
      <c r="Q110" s="1"/>
      <c r="R110"/>
      <c r="S110"/>
      <c r="T110"/>
      <c r="U110"/>
      <c r="V110" s="1"/>
      <c r="W110"/>
      <c r="X110"/>
      <c r="Y110"/>
      <c r="Z110" s="1"/>
      <c r="AA110"/>
      <c r="AB110"/>
      <c r="AC110"/>
      <c r="AD110"/>
      <c r="AE110" s="1"/>
      <c r="AF110"/>
      <c r="AG110"/>
      <c r="AH110"/>
      <c r="AI110" s="1"/>
      <c r="AJ110"/>
      <c r="AK110"/>
      <c r="AL110"/>
      <c r="AM110" s="1"/>
      <c r="AN110"/>
      <c r="AO110"/>
      <c r="AP110"/>
      <c r="AQ110"/>
      <c r="AR110" s="1"/>
      <c r="AS110"/>
      <c r="AT110"/>
      <c r="AU110"/>
      <c r="AV110" s="3341"/>
      <c r="AW110" s="1"/>
      <c r="AX110" s="1"/>
      <c r="AY110"/>
      <c r="AZ110"/>
      <c r="BA110" s="711"/>
      <c r="BB110" s="1"/>
      <c r="BC110"/>
      <c r="BD110"/>
    </row>
    <row r="111" spans="1:56" s="462" customFormat="1" x14ac:dyDescent="0.35">
      <c r="A111"/>
      <c r="B111"/>
      <c r="C111" s="1"/>
      <c r="D111" s="5"/>
      <c r="E111" s="1"/>
      <c r="F111" s="1"/>
      <c r="G111" s="1"/>
      <c r="H111" s="6"/>
      <c r="I111" s="6"/>
      <c r="J111" s="7"/>
      <c r="K111" s="1"/>
      <c r="L111"/>
      <c r="M111"/>
      <c r="N111" s="1"/>
      <c r="O111"/>
      <c r="P111"/>
      <c r="Q111" s="1"/>
      <c r="R111"/>
      <c r="S111"/>
      <c r="T111"/>
      <c r="U111"/>
      <c r="V111" s="1"/>
      <c r="W111"/>
      <c r="X111"/>
      <c r="Y111"/>
      <c r="Z111" s="1"/>
      <c r="AA111"/>
      <c r="AB111"/>
      <c r="AC111"/>
      <c r="AD111"/>
      <c r="AE111" s="1"/>
      <c r="AF111"/>
      <c r="AG111"/>
      <c r="AH111"/>
      <c r="AI111" s="1"/>
      <c r="AJ111"/>
      <c r="AK111"/>
      <c r="AL111"/>
      <c r="AM111" s="1"/>
      <c r="AN111"/>
      <c r="AO111"/>
      <c r="AP111"/>
      <c r="AQ111"/>
      <c r="AR111" s="1"/>
      <c r="AS111"/>
      <c r="AT111"/>
      <c r="AU111"/>
      <c r="AV111" s="3341"/>
      <c r="AW111" s="1"/>
      <c r="AX111" s="1"/>
      <c r="AY111"/>
      <c r="AZ111"/>
      <c r="BA111" s="711"/>
      <c r="BB111" s="1"/>
      <c r="BC111"/>
      <c r="BD111"/>
    </row>
    <row r="112" spans="1:56" s="462" customFormat="1" x14ac:dyDescent="0.35">
      <c r="A112"/>
      <c r="B112"/>
      <c r="C112" s="1"/>
      <c r="D112" s="5"/>
      <c r="E112" s="1"/>
      <c r="F112" s="1"/>
      <c r="G112" s="1"/>
      <c r="H112" s="6"/>
      <c r="I112" s="6"/>
      <c r="J112" s="7"/>
      <c r="K112" s="1"/>
      <c r="L112"/>
      <c r="M112"/>
      <c r="N112" s="1"/>
      <c r="O112"/>
      <c r="P112"/>
      <c r="Q112" s="1"/>
      <c r="R112"/>
      <c r="S112"/>
      <c r="T112"/>
      <c r="U112"/>
      <c r="V112" s="1"/>
      <c r="W112"/>
      <c r="X112"/>
      <c r="Y112"/>
      <c r="Z112" s="1"/>
      <c r="AA112"/>
      <c r="AB112"/>
      <c r="AC112"/>
      <c r="AD112"/>
      <c r="AE112" s="1"/>
      <c r="AF112"/>
      <c r="AG112"/>
      <c r="AH112"/>
      <c r="AI112" s="1"/>
      <c r="AJ112"/>
      <c r="AK112"/>
      <c r="AL112"/>
      <c r="AM112" s="1"/>
      <c r="AN112"/>
      <c r="AO112"/>
      <c r="AP112"/>
      <c r="AQ112"/>
      <c r="AR112" s="1"/>
      <c r="AS112"/>
      <c r="AT112"/>
      <c r="AU112"/>
      <c r="AV112" s="3341"/>
      <c r="AW112" s="1"/>
      <c r="AX112" s="1"/>
      <c r="AY112"/>
      <c r="AZ112"/>
      <c r="BA112" s="711"/>
      <c r="BB112" s="1"/>
      <c r="BC112"/>
      <c r="BD112"/>
    </row>
    <row r="113" spans="1:56" s="462" customFormat="1" x14ac:dyDescent="0.35">
      <c r="A113"/>
      <c r="B113"/>
      <c r="C113" s="1"/>
      <c r="D113" s="5"/>
      <c r="E113" s="1"/>
      <c r="F113" s="1"/>
      <c r="G113" s="1"/>
      <c r="H113" s="6"/>
      <c r="I113" s="6"/>
      <c r="J113" s="7"/>
      <c r="K113" s="1"/>
      <c r="L113"/>
      <c r="M113"/>
      <c r="N113" s="1"/>
      <c r="O113"/>
      <c r="P113"/>
      <c r="Q113" s="1"/>
      <c r="R113"/>
      <c r="S113"/>
      <c r="T113"/>
      <c r="U113"/>
      <c r="V113" s="1"/>
      <c r="W113"/>
      <c r="X113"/>
      <c r="Y113"/>
      <c r="Z113" s="1"/>
      <c r="AA113"/>
      <c r="AB113"/>
      <c r="AC113"/>
      <c r="AD113"/>
      <c r="AE113" s="1"/>
      <c r="AF113"/>
      <c r="AG113"/>
      <c r="AH113"/>
      <c r="AI113" s="1"/>
      <c r="AJ113"/>
      <c r="AK113"/>
      <c r="AL113"/>
      <c r="AM113" s="1"/>
      <c r="AN113"/>
      <c r="AO113"/>
      <c r="AP113"/>
      <c r="AQ113"/>
      <c r="AR113" s="1"/>
      <c r="AS113"/>
      <c r="AT113"/>
      <c r="AU113" s="254"/>
      <c r="AV113" s="3341"/>
      <c r="AW113" s="1"/>
      <c r="AX113" s="1"/>
      <c r="AY113"/>
      <c r="AZ113"/>
      <c r="BA113" s="711"/>
      <c r="BB113" s="1"/>
      <c r="BC113"/>
      <c r="BD113"/>
    </row>
    <row r="114" spans="1:56" s="462" customFormat="1" x14ac:dyDescent="0.35">
      <c r="A114"/>
      <c r="B114"/>
      <c r="C114" s="1"/>
      <c r="D114" s="5"/>
      <c r="E114" s="1"/>
      <c r="F114" s="1"/>
      <c r="G114" s="1"/>
      <c r="H114" s="6"/>
      <c r="I114" s="6"/>
      <c r="J114" s="7"/>
      <c r="K114" s="1"/>
      <c r="L114"/>
      <c r="M114"/>
      <c r="N114" s="1"/>
      <c r="O114"/>
      <c r="P114"/>
      <c r="Q114" s="1"/>
      <c r="R114"/>
      <c r="S114"/>
      <c r="T114"/>
      <c r="U114"/>
      <c r="V114" s="1"/>
      <c r="W114"/>
      <c r="X114"/>
      <c r="Y114"/>
      <c r="Z114" s="1"/>
      <c r="AA114"/>
      <c r="AB114"/>
      <c r="AC114"/>
      <c r="AD114"/>
      <c r="AE114" s="1"/>
      <c r="AF114"/>
      <c r="AG114"/>
      <c r="AH114"/>
      <c r="AI114" s="1"/>
      <c r="AJ114"/>
      <c r="AK114"/>
      <c r="AL114"/>
      <c r="AM114" s="1"/>
      <c r="AN114"/>
      <c r="AO114"/>
      <c r="AP114"/>
      <c r="AQ114"/>
      <c r="AR114" s="1"/>
      <c r="AS114"/>
      <c r="AT114"/>
      <c r="AU114"/>
      <c r="AV114" s="3341"/>
      <c r="AW114" s="1"/>
      <c r="AX114" s="1"/>
      <c r="AY114"/>
      <c r="AZ114"/>
      <c r="BA114" s="711"/>
      <c r="BB114" s="1"/>
      <c r="BC114"/>
      <c r="BD114"/>
    </row>
    <row r="115" spans="1:56" s="462" customFormat="1" x14ac:dyDescent="0.35">
      <c r="A115"/>
      <c r="B115"/>
      <c r="C115" s="1"/>
      <c r="D115" s="5"/>
      <c r="E115" s="1"/>
      <c r="F115" s="1"/>
      <c r="G115" s="1"/>
      <c r="H115" s="6"/>
      <c r="I115" s="6"/>
      <c r="J115" s="7"/>
      <c r="K115" s="1"/>
      <c r="L115"/>
      <c r="M115"/>
      <c r="N115" s="1"/>
      <c r="O115"/>
      <c r="P115"/>
      <c r="Q115" s="1"/>
      <c r="R115"/>
      <c r="S115"/>
      <c r="T115"/>
      <c r="U115"/>
      <c r="V115" s="1"/>
      <c r="W115"/>
      <c r="X115"/>
      <c r="Y115"/>
      <c r="Z115" s="1"/>
      <c r="AA115"/>
      <c r="AB115"/>
      <c r="AC115"/>
      <c r="AD115"/>
      <c r="AE115" s="1"/>
      <c r="AF115"/>
      <c r="AG115"/>
      <c r="AH115"/>
      <c r="AI115" s="1"/>
      <c r="AJ115"/>
      <c r="AK115"/>
      <c r="AL115"/>
      <c r="AM115" s="1"/>
      <c r="AN115"/>
      <c r="AO115"/>
      <c r="AP115"/>
      <c r="AQ115"/>
      <c r="AR115" s="1"/>
      <c r="AS115"/>
      <c r="AT115"/>
      <c r="AU115"/>
      <c r="AV115" s="3341"/>
      <c r="AW115" s="1"/>
      <c r="AX115" s="1"/>
      <c r="AY115"/>
      <c r="AZ115"/>
      <c r="BA115" s="711"/>
      <c r="BB115" s="1"/>
      <c r="BC115"/>
      <c r="BD115"/>
    </row>
    <row r="116" spans="1:56" s="462" customFormat="1" x14ac:dyDescent="0.35">
      <c r="A116"/>
      <c r="B116"/>
      <c r="C116" s="1"/>
      <c r="D116" s="5"/>
      <c r="E116" s="1"/>
      <c r="F116" s="1"/>
      <c r="G116" s="1"/>
      <c r="H116" s="6"/>
      <c r="I116" s="6"/>
      <c r="J116" s="7"/>
      <c r="K116" s="1"/>
      <c r="L116"/>
      <c r="M116"/>
      <c r="N116" s="1"/>
      <c r="O116"/>
      <c r="P116"/>
      <c r="Q116" s="1"/>
      <c r="R116"/>
      <c r="S116"/>
      <c r="T116"/>
      <c r="U116"/>
      <c r="V116" s="1"/>
      <c r="W116"/>
      <c r="X116"/>
      <c r="Y116"/>
      <c r="Z116" s="1"/>
      <c r="AA116"/>
      <c r="AB116"/>
      <c r="AC116"/>
      <c r="AD116"/>
      <c r="AE116" s="1"/>
      <c r="AF116"/>
      <c r="AG116"/>
      <c r="AH116"/>
      <c r="AI116" s="1"/>
      <c r="AJ116"/>
      <c r="AK116"/>
      <c r="AL116"/>
      <c r="AM116" s="1"/>
      <c r="AN116"/>
      <c r="AO116"/>
      <c r="AP116"/>
      <c r="AQ116"/>
      <c r="AR116" s="1"/>
      <c r="AS116"/>
      <c r="AT116"/>
      <c r="AU116"/>
      <c r="AV116" s="3341"/>
      <c r="AW116" s="1"/>
      <c r="AX116" s="1"/>
      <c r="AY116"/>
      <c r="AZ116"/>
      <c r="BA116" s="711"/>
      <c r="BB116" s="1"/>
      <c r="BC116"/>
      <c r="BD116"/>
    </row>
    <row r="117" spans="1:56" s="462" customFormat="1" x14ac:dyDescent="0.35">
      <c r="A117"/>
      <c r="B117"/>
      <c r="C117" s="1"/>
      <c r="D117" s="5"/>
      <c r="E117" s="1"/>
      <c r="F117" s="1"/>
      <c r="G117" s="1"/>
      <c r="H117" s="6"/>
      <c r="I117" s="6"/>
      <c r="J117" s="7"/>
      <c r="K117" s="1"/>
      <c r="L117"/>
      <c r="M117"/>
      <c r="N117" s="1"/>
      <c r="O117"/>
      <c r="P117"/>
      <c r="Q117" s="1"/>
      <c r="R117"/>
      <c r="S117"/>
      <c r="T117"/>
      <c r="U117"/>
      <c r="V117" s="1"/>
      <c r="W117"/>
      <c r="X117"/>
      <c r="Y117"/>
      <c r="Z117" s="1"/>
      <c r="AA117"/>
      <c r="AB117"/>
      <c r="AC117"/>
      <c r="AD117"/>
      <c r="AE117" s="1"/>
      <c r="AF117"/>
      <c r="AG117"/>
      <c r="AH117"/>
      <c r="AI117" s="1"/>
      <c r="AJ117"/>
      <c r="AK117"/>
      <c r="AL117"/>
      <c r="AM117" s="1"/>
      <c r="AN117"/>
      <c r="AO117"/>
      <c r="AP117"/>
      <c r="AQ117"/>
      <c r="AR117" s="1"/>
      <c r="AS117"/>
      <c r="AT117"/>
      <c r="AU117"/>
      <c r="AV117" s="3341"/>
      <c r="AW117" s="1"/>
      <c r="AX117" s="1"/>
      <c r="AY117"/>
      <c r="AZ117"/>
      <c r="BA117" s="711"/>
      <c r="BB117" s="1"/>
      <c r="BC117"/>
      <c r="BD117"/>
    </row>
    <row r="118" spans="1:56" s="462" customFormat="1" x14ac:dyDescent="0.35">
      <c r="A118"/>
      <c r="B118"/>
      <c r="C118" s="1"/>
      <c r="D118" s="5"/>
      <c r="E118" s="1"/>
      <c r="F118" s="1"/>
      <c r="G118" s="1"/>
      <c r="H118" s="6"/>
      <c r="I118" s="6"/>
      <c r="J118" s="7"/>
      <c r="K118" s="1"/>
      <c r="L118"/>
      <c r="M118"/>
      <c r="N118" s="1"/>
      <c r="O118"/>
      <c r="P118"/>
      <c r="Q118" s="1"/>
      <c r="R118"/>
      <c r="S118"/>
      <c r="T118"/>
      <c r="U118"/>
      <c r="V118" s="1"/>
      <c r="W118"/>
      <c r="X118"/>
      <c r="Y118"/>
      <c r="Z118" s="1"/>
      <c r="AA118"/>
      <c r="AB118"/>
      <c r="AC118"/>
      <c r="AD118"/>
      <c r="AE118" s="1"/>
      <c r="AF118"/>
      <c r="AG118"/>
      <c r="AH118"/>
      <c r="AI118" s="1"/>
      <c r="AJ118"/>
      <c r="AK118"/>
      <c r="AL118"/>
      <c r="AM118" s="1"/>
      <c r="AN118"/>
      <c r="AO118"/>
      <c r="AP118"/>
      <c r="AQ118"/>
      <c r="AR118" s="1"/>
      <c r="AS118"/>
      <c r="AT118"/>
      <c r="AU118"/>
      <c r="AV118" s="3341"/>
      <c r="AW118" s="1"/>
      <c r="AX118" s="1"/>
      <c r="AY118"/>
      <c r="AZ118"/>
      <c r="BA118" s="711"/>
      <c r="BB118" s="1"/>
      <c r="BC118"/>
      <c r="BD118"/>
    </row>
    <row r="119" spans="1:56" s="462" customFormat="1" x14ac:dyDescent="0.35">
      <c r="A119"/>
      <c r="B119"/>
      <c r="C119" s="1"/>
      <c r="D119" s="5"/>
      <c r="E119" s="1"/>
      <c r="F119" s="1"/>
      <c r="G119" s="1"/>
      <c r="H119" s="6"/>
      <c r="I119" s="6"/>
      <c r="J119" s="7"/>
      <c r="K119" s="1"/>
      <c r="L119"/>
      <c r="M119"/>
      <c r="N119" s="1"/>
      <c r="O119"/>
      <c r="P119"/>
      <c r="Q119" s="1"/>
      <c r="R119"/>
      <c r="S119"/>
      <c r="T119"/>
      <c r="U119"/>
      <c r="V119" s="1"/>
      <c r="W119"/>
      <c r="X119"/>
      <c r="Y119"/>
      <c r="Z119" s="1"/>
      <c r="AA119"/>
      <c r="AB119"/>
      <c r="AC119"/>
      <c r="AD119"/>
      <c r="AE119" s="1"/>
      <c r="AF119"/>
      <c r="AG119"/>
      <c r="AH119"/>
      <c r="AI119" s="1"/>
      <c r="AJ119"/>
      <c r="AK119"/>
      <c r="AL119"/>
      <c r="AM119" s="1"/>
      <c r="AN119"/>
      <c r="AO119"/>
      <c r="AP119"/>
      <c r="AQ119"/>
      <c r="AR119" s="1"/>
      <c r="AS119"/>
      <c r="AT119"/>
      <c r="AU119"/>
      <c r="AV119" s="3341"/>
      <c r="AW119" s="1"/>
      <c r="AX119" s="1"/>
      <c r="AY119"/>
      <c r="AZ119"/>
      <c r="BA119" s="711"/>
      <c r="BB119" s="1"/>
      <c r="BC119"/>
      <c r="BD119"/>
    </row>
    <row r="120" spans="1:56" s="462" customFormat="1" x14ac:dyDescent="0.35">
      <c r="A120"/>
      <c r="B120"/>
      <c r="C120" s="1"/>
      <c r="D120" s="5"/>
      <c r="E120" s="1"/>
      <c r="F120" s="1"/>
      <c r="G120" s="1"/>
      <c r="H120" s="6"/>
      <c r="I120" s="6"/>
      <c r="J120" s="7"/>
      <c r="K120" s="1"/>
      <c r="L120"/>
      <c r="M120"/>
      <c r="N120" s="1"/>
      <c r="O120"/>
      <c r="P120"/>
      <c r="Q120" s="1"/>
      <c r="R120"/>
      <c r="S120"/>
      <c r="T120"/>
      <c r="U120"/>
      <c r="V120" s="1"/>
      <c r="W120"/>
      <c r="X120"/>
      <c r="Y120"/>
      <c r="Z120" s="1"/>
      <c r="AA120"/>
      <c r="AB120"/>
      <c r="AC120"/>
      <c r="AD120"/>
      <c r="AE120" s="1"/>
      <c r="AF120"/>
      <c r="AG120"/>
      <c r="AH120"/>
      <c r="AI120" s="1"/>
      <c r="AJ120"/>
      <c r="AK120"/>
      <c r="AL120"/>
      <c r="AM120" s="1"/>
      <c r="AN120"/>
      <c r="AO120"/>
      <c r="AP120"/>
      <c r="AQ120"/>
      <c r="AR120" s="1"/>
      <c r="AS120"/>
      <c r="AT120"/>
      <c r="AU120"/>
      <c r="AV120" s="3341"/>
      <c r="AW120" s="1"/>
      <c r="AX120" s="1"/>
      <c r="AY120"/>
      <c r="AZ120"/>
      <c r="BA120" s="711"/>
      <c r="BB120" s="1"/>
      <c r="BC120"/>
      <c r="BD120"/>
    </row>
    <row r="121" spans="1:56" s="462" customFormat="1" x14ac:dyDescent="0.35">
      <c r="A121"/>
      <c r="B121"/>
      <c r="C121" s="1"/>
      <c r="D121" s="5"/>
      <c r="E121" s="1"/>
      <c r="F121" s="1"/>
      <c r="G121" s="1"/>
      <c r="H121" s="6"/>
      <c r="I121" s="6"/>
      <c r="J121" s="7"/>
      <c r="K121" s="1"/>
      <c r="L121"/>
      <c r="M121"/>
      <c r="N121" s="1"/>
      <c r="O121"/>
      <c r="P121"/>
      <c r="Q121" s="1"/>
      <c r="R121"/>
      <c r="S121"/>
      <c r="T121"/>
      <c r="U121"/>
      <c r="V121" s="1"/>
      <c r="W121"/>
      <c r="X121"/>
      <c r="Y121"/>
      <c r="Z121" s="1"/>
      <c r="AA121"/>
      <c r="AB121"/>
      <c r="AC121"/>
      <c r="AD121"/>
      <c r="AE121" s="1"/>
      <c r="AF121"/>
      <c r="AG121"/>
      <c r="AH121"/>
      <c r="AI121" s="1"/>
      <c r="AJ121"/>
      <c r="AK121"/>
      <c r="AL121"/>
      <c r="AM121" s="1"/>
      <c r="AN121"/>
      <c r="AO121"/>
      <c r="AP121"/>
      <c r="AQ121"/>
      <c r="AR121" s="1"/>
      <c r="AS121"/>
      <c r="AT121"/>
      <c r="AU121"/>
      <c r="AV121" s="3341"/>
      <c r="AW121" s="1"/>
      <c r="AX121" s="1"/>
      <c r="AY121"/>
      <c r="AZ121"/>
      <c r="BA121" s="711"/>
      <c r="BB121" s="1"/>
      <c r="BC121"/>
      <c r="BD121"/>
    </row>
    <row r="122" spans="1:56" s="462" customFormat="1" x14ac:dyDescent="0.35">
      <c r="A122"/>
      <c r="B122"/>
      <c r="C122" s="1"/>
      <c r="D122" s="5"/>
      <c r="E122" s="1"/>
      <c r="F122" s="1"/>
      <c r="G122" s="1"/>
      <c r="H122" s="6"/>
      <c r="I122" s="6"/>
      <c r="J122" s="7"/>
      <c r="K122" s="1"/>
      <c r="L122"/>
      <c r="M122"/>
      <c r="N122" s="1"/>
      <c r="O122"/>
      <c r="P122"/>
      <c r="Q122" s="1"/>
      <c r="R122"/>
      <c r="S122"/>
      <c r="T122"/>
      <c r="U122"/>
      <c r="V122" s="1"/>
      <c r="W122"/>
      <c r="X122"/>
      <c r="Y122"/>
      <c r="Z122" s="1"/>
      <c r="AA122"/>
      <c r="AB122"/>
      <c r="AC122"/>
      <c r="AD122"/>
      <c r="AE122" s="1"/>
      <c r="AF122"/>
      <c r="AG122"/>
      <c r="AH122"/>
      <c r="AI122" s="1"/>
      <c r="AJ122"/>
      <c r="AK122"/>
      <c r="AL122"/>
      <c r="AM122" s="1"/>
      <c r="AN122"/>
      <c r="AO122"/>
      <c r="AP122"/>
      <c r="AQ122"/>
      <c r="AR122" s="1"/>
      <c r="AS122"/>
      <c r="AT122"/>
      <c r="AU122"/>
      <c r="AV122" s="3341"/>
      <c r="AW122" s="1"/>
      <c r="AX122" s="1"/>
      <c r="AY122"/>
      <c r="AZ122"/>
      <c r="BA122" s="711"/>
      <c r="BB122" s="1"/>
      <c r="BC122"/>
      <c r="BD122"/>
    </row>
    <row r="123" spans="1:56" s="462" customFormat="1" x14ac:dyDescent="0.35">
      <c r="A123"/>
      <c r="B123"/>
      <c r="C123" s="1"/>
      <c r="D123" s="5"/>
      <c r="E123" s="1"/>
      <c r="F123" s="1"/>
      <c r="G123" s="1"/>
      <c r="H123" s="6"/>
      <c r="I123" s="6"/>
      <c r="J123" s="7"/>
      <c r="K123" s="1"/>
      <c r="L123"/>
      <c r="M123"/>
      <c r="N123" s="1"/>
      <c r="O123"/>
      <c r="P123"/>
      <c r="Q123" s="1"/>
      <c r="R123"/>
      <c r="S123"/>
      <c r="T123"/>
      <c r="U123"/>
      <c r="V123" s="1"/>
      <c r="W123"/>
      <c r="X123"/>
      <c r="Y123"/>
      <c r="Z123" s="1"/>
      <c r="AA123"/>
      <c r="AB123"/>
      <c r="AC123"/>
      <c r="AD123"/>
      <c r="AE123" s="1"/>
      <c r="AF123"/>
      <c r="AG123"/>
      <c r="AH123"/>
      <c r="AI123" s="1"/>
      <c r="AJ123"/>
      <c r="AK123"/>
      <c r="AL123"/>
      <c r="AM123" s="1"/>
      <c r="AN123"/>
      <c r="AO123"/>
      <c r="AP123"/>
      <c r="AQ123"/>
      <c r="AR123" s="1"/>
      <c r="AS123"/>
      <c r="AT123"/>
      <c r="AU123"/>
      <c r="AV123" s="3341"/>
      <c r="AW123" s="1"/>
      <c r="AX123" s="1"/>
      <c r="AY123"/>
      <c r="AZ123"/>
      <c r="BA123" s="711"/>
      <c r="BB123" s="1"/>
      <c r="BC123"/>
      <c r="BD123"/>
    </row>
    <row r="124" spans="1:56" s="462" customFormat="1" ht="93" customHeight="1" x14ac:dyDescent="0.35">
      <c r="A124"/>
      <c r="B124"/>
      <c r="C124" s="1"/>
      <c r="D124" s="5"/>
      <c r="E124" s="1"/>
      <c r="F124" s="1"/>
      <c r="G124" s="1"/>
      <c r="H124" s="6"/>
      <c r="I124" s="6"/>
      <c r="J124" s="7"/>
      <c r="K124" s="1"/>
      <c r="L124"/>
      <c r="M124"/>
      <c r="N124" s="1"/>
      <c r="O124"/>
      <c r="P124"/>
      <c r="Q124" s="1"/>
      <c r="R124"/>
      <c r="S124"/>
      <c r="T124"/>
      <c r="U124"/>
      <c r="V124" s="1"/>
      <c r="W124"/>
      <c r="X124"/>
      <c r="Y124"/>
      <c r="Z124" s="1"/>
      <c r="AA124"/>
      <c r="AB124"/>
      <c r="AC124"/>
      <c r="AD124"/>
      <c r="AE124" s="1"/>
      <c r="AF124"/>
      <c r="AG124"/>
      <c r="AH124"/>
      <c r="AI124" s="1"/>
      <c r="AJ124"/>
      <c r="AK124"/>
      <c r="AL124"/>
      <c r="AM124" s="1"/>
      <c r="AN124"/>
      <c r="AO124"/>
      <c r="AP124"/>
      <c r="AQ124"/>
      <c r="AR124" s="1"/>
      <c r="AS124"/>
      <c r="AT124"/>
      <c r="AU124"/>
      <c r="AV124" s="3341"/>
      <c r="AW124" s="1"/>
      <c r="AX124" s="1"/>
      <c r="AY124"/>
      <c r="AZ124"/>
      <c r="BA124" s="711"/>
      <c r="BB124" s="1"/>
      <c r="BC124"/>
      <c r="BD124"/>
    </row>
  </sheetData>
  <mergeCells count="50">
    <mergeCell ref="A105:P105"/>
    <mergeCell ref="BD4:BD5"/>
    <mergeCell ref="AY1:BA1"/>
    <mergeCell ref="AY4:BA4"/>
    <mergeCell ref="BC4:BC5"/>
    <mergeCell ref="AY5:BA5"/>
    <mergeCell ref="AY7:BA7"/>
    <mergeCell ref="AA28:AB28"/>
    <mergeCell ref="AA5:AD5"/>
    <mergeCell ref="AF5:AH5"/>
    <mergeCell ref="O5:P5"/>
    <mergeCell ref="R5:U5"/>
    <mergeCell ref="W5:Y5"/>
    <mergeCell ref="A28:A77"/>
    <mergeCell ref="A85:A101"/>
    <mergeCell ref="AJ5:AL5"/>
    <mergeCell ref="W7:Y7"/>
    <mergeCell ref="AA7:AD7"/>
    <mergeCell ref="AF7:AH7"/>
    <mergeCell ref="AJ7:AL7"/>
    <mergeCell ref="A10:A26"/>
    <mergeCell ref="AA10:AB10"/>
    <mergeCell ref="H7:I7"/>
    <mergeCell ref="J7:J8"/>
    <mergeCell ref="L7:M7"/>
    <mergeCell ref="O7:P7"/>
    <mergeCell ref="R7:U7"/>
    <mergeCell ref="H5:J5"/>
    <mergeCell ref="L5:M5"/>
    <mergeCell ref="F1:P1"/>
    <mergeCell ref="R1:Y1"/>
    <mergeCell ref="AA1:AH1"/>
    <mergeCell ref="AN1:AV1"/>
    <mergeCell ref="AJ1:AL1"/>
    <mergeCell ref="H4:J4"/>
    <mergeCell ref="L4:M4"/>
    <mergeCell ref="O4:P4"/>
    <mergeCell ref="R4:U4"/>
    <mergeCell ref="W4:Y4"/>
    <mergeCell ref="AA4:AD4"/>
    <mergeCell ref="AF4:AH4"/>
    <mergeCell ref="AJ4:AL4"/>
    <mergeCell ref="AN7:AQ7"/>
    <mergeCell ref="AS7:AU7"/>
    <mergeCell ref="AN10:AO10"/>
    <mergeCell ref="AN28:AO28"/>
    <mergeCell ref="AN4:AQ4"/>
    <mergeCell ref="AS4:AU4"/>
    <mergeCell ref="AN5:AQ5"/>
    <mergeCell ref="AS5:AU5"/>
  </mergeCells>
  <hyperlinks>
    <hyperlink ref="AG8" r:id="rId1" xr:uid="{F9CF8FA8-0372-4EDC-A25E-686B3C17C52E}"/>
    <hyperlink ref="AC10" r:id="rId2" xr:uid="{89262277-81EF-4A12-934B-5106F8CB4FA9}"/>
    <hyperlink ref="AC28" r:id="rId3" xr:uid="{C66974E1-E587-4630-A148-20A77884851C}"/>
    <hyperlink ref="AA41" r:id="rId4" xr:uid="{5E7B9C13-4A76-4D7F-940F-70E071BAAFEB}"/>
    <hyperlink ref="AG10" r:id="rId5" xr:uid="{590EFF2C-BB83-4D67-BDEE-789BADC5E300}"/>
    <hyperlink ref="AG28" r:id="rId6" xr:uid="{D9971FAA-CC97-49F8-9FF2-7177F2984EB1}"/>
    <hyperlink ref="AK10" r:id="rId7" xr:uid="{702B8F69-8576-4A29-A478-B20C6047F8D5}"/>
    <hyperlink ref="AP10" r:id="rId8" xr:uid="{0BC3FD7E-F31E-405A-B69C-7D92371FDD8E}"/>
    <hyperlink ref="AK8" r:id="rId9" xr:uid="{B19B5A8C-3D80-4A43-A121-DF44DEADE87F}"/>
    <hyperlink ref="AT10" r:id="rId10" xr:uid="{6C7C4EF4-8702-4BF7-9B40-F38EC23AC582}"/>
    <hyperlink ref="AK28" r:id="rId11" xr:uid="{71703876-15DA-42F8-BADD-90AE6A14D818}"/>
    <hyperlink ref="AT28" r:id="rId12" xr:uid="{04B2044F-D22A-4886-AE29-7ED259475682}"/>
    <hyperlink ref="AZ10" r:id="rId13" xr:uid="{4DF02450-04A1-434D-BBFB-4369C19CC7E1}"/>
  </hyperlinks>
  <pageMargins left="0.23622047244094491" right="0.23622047244094491" top="0.35433070866141736" bottom="0.35433070866141736" header="0.31496062992125984" footer="0.31496062992125984"/>
  <pageSetup paperSize="9" scale="40" orientation="portrait" horizontalDpi="4294967293" r:id="rId14"/>
  <headerFooter>
    <oddFooter>&amp;R&amp;1#&amp;"Calibri"&amp;12&amp;K000000Official Use</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102"/>
  <sheetViews>
    <sheetView workbookViewId="0">
      <pane xSplit="4" topLeftCell="BA1" activePane="topRight" state="frozen"/>
      <selection activeCell="A2" sqref="A2"/>
      <selection pane="topRight" activeCell="BI22" sqref="BI22"/>
    </sheetView>
  </sheetViews>
  <sheetFormatPr defaultColWidth="8.81640625" defaultRowHeight="12" x14ac:dyDescent="0.3"/>
  <cols>
    <col min="1" max="1" width="4.81640625" style="2429" customWidth="1"/>
    <col min="2" max="2" width="26.1796875" style="2386" customWidth="1"/>
    <col min="3" max="3" width="17.453125" style="2386" customWidth="1"/>
    <col min="4" max="4" width="4.36328125" style="2386" customWidth="1"/>
    <col min="5" max="5" width="1.453125" style="2386" customWidth="1"/>
    <col min="6" max="6" width="20.81640625" style="2386" customWidth="1"/>
    <col min="7" max="7" width="1.453125" style="2386" customWidth="1"/>
    <col min="8" max="9" width="20.81640625" style="2443" customWidth="1"/>
    <col min="10" max="10" width="8.36328125" style="2443" customWidth="1"/>
    <col min="11" max="11" width="1.453125" style="2386" customWidth="1"/>
    <col min="12" max="12" width="14.6328125" style="2429" bestFit="1" customWidth="1"/>
    <col min="13" max="13" width="17.1796875" style="2429" customWidth="1"/>
    <col min="14" max="14" width="2.1796875" style="2429" customWidth="1"/>
    <col min="15" max="15" width="16.36328125" style="2429" customWidth="1"/>
    <col min="16" max="17" width="16.6328125" style="2429" customWidth="1"/>
    <col min="18" max="18" width="11.453125" style="2429" customWidth="1"/>
    <col min="19" max="19" width="2.453125" style="2429" customWidth="1"/>
    <col min="20" max="21" width="13" style="2429" customWidth="1"/>
    <col min="22" max="22" width="12.1796875" style="2429" customWidth="1"/>
    <col min="23" max="23" width="13" style="2429" customWidth="1"/>
    <col min="24" max="24" width="1.453125" style="2386" customWidth="1"/>
    <col min="25" max="25" width="16.36328125" style="2429" customWidth="1"/>
    <col min="26" max="26" width="16.6328125" style="2429" customWidth="1"/>
    <col min="27" max="27" width="13" style="2429" customWidth="1"/>
    <col min="28" max="28" width="12.1796875" style="2429" customWidth="1"/>
    <col min="29" max="29" width="2.453125" style="2429" customWidth="1"/>
    <col min="30" max="31" width="13" style="2429" customWidth="1"/>
    <col min="32" max="32" width="11" style="2429" customWidth="1"/>
    <col min="33" max="33" width="13" style="2429" customWidth="1"/>
    <col min="34" max="34" width="1" style="2386" customWidth="1"/>
    <col min="35" max="35" width="16.36328125" style="2429" customWidth="1"/>
    <col min="36" max="36" width="13.453125" style="2429" customWidth="1"/>
    <col min="37" max="37" width="16.6328125" style="2429" customWidth="1"/>
    <col min="38" max="38" width="12.1796875" style="2429" customWidth="1"/>
    <col min="39" max="39" width="0.81640625" style="2429" customWidth="1"/>
    <col min="40" max="40" width="18.36328125" style="2429" customWidth="1"/>
    <col min="41" max="41" width="13" style="2429" customWidth="1"/>
    <col min="42" max="42" width="19.453125" style="2429" customWidth="1"/>
    <col min="43" max="43" width="13" style="2429" customWidth="1"/>
    <col min="44" max="44" width="1.36328125" style="2429" customWidth="1"/>
    <col min="45" max="45" width="16.36328125" style="2429" customWidth="1"/>
    <col min="46" max="46" width="13.453125" style="2429" customWidth="1"/>
    <col min="47" max="47" width="16.6328125" style="2429" customWidth="1"/>
    <col min="48" max="48" width="12.1796875" style="2429" customWidth="1"/>
    <col min="49" max="49" width="0.81640625" style="2429" customWidth="1"/>
    <col min="50" max="50" width="18.36328125" style="2429" customWidth="1"/>
    <col min="51" max="51" width="13" style="2429" customWidth="1"/>
    <col min="52" max="52" width="19.453125" style="2429" customWidth="1"/>
    <col min="53" max="53" width="13" style="2429" customWidth="1"/>
    <col min="54" max="54" width="1.453125" style="2429" customWidth="1"/>
    <col min="55" max="55" width="3.6328125" style="2459" customWidth="1"/>
    <col min="56" max="56" width="16.36328125" style="2429" customWidth="1"/>
    <col min="57" max="58" width="16.6328125" style="2429" customWidth="1"/>
    <col min="59" max="59" width="12.1796875" style="2429" customWidth="1"/>
    <col min="60" max="60" width="0.81640625" style="2429" customWidth="1"/>
    <col min="61" max="61" width="18.36328125" style="2429" customWidth="1"/>
    <col min="62" max="62" width="13" style="2429" customWidth="1"/>
    <col min="63" max="63" width="19.453125" style="2429" customWidth="1"/>
    <col min="64" max="65" width="13" style="2429" customWidth="1"/>
    <col min="66" max="16384" width="8.81640625" style="2429"/>
  </cols>
  <sheetData>
    <row r="1" spans="1:65" ht="31" x14ac:dyDescent="0.7">
      <c r="F1" s="9239" t="s">
        <v>823</v>
      </c>
      <c r="G1" s="9240"/>
      <c r="H1" s="9240"/>
      <c r="I1" s="9240"/>
      <c r="J1" s="9240"/>
      <c r="K1" s="9240"/>
      <c r="L1" s="9240"/>
      <c r="M1" s="9241"/>
      <c r="O1" s="9242" t="s">
        <v>824</v>
      </c>
      <c r="P1" s="9243"/>
      <c r="Q1" s="9243"/>
      <c r="R1" s="9243"/>
      <c r="S1" s="9243"/>
      <c r="T1" s="9243"/>
      <c r="U1" s="9243"/>
      <c r="V1" s="9243"/>
      <c r="W1" s="9244"/>
      <c r="Y1" s="9245" t="s">
        <v>825</v>
      </c>
      <c r="Z1" s="9246"/>
      <c r="AA1" s="9246"/>
      <c r="AB1" s="9246"/>
      <c r="AC1" s="9246"/>
      <c r="AD1" s="9246"/>
      <c r="AE1" s="9246"/>
      <c r="AF1" s="9246"/>
      <c r="AG1" s="9247"/>
      <c r="AI1" s="9248" t="s">
        <v>826</v>
      </c>
      <c r="AJ1" s="9249"/>
      <c r="AK1" s="9249"/>
      <c r="AL1" s="9249"/>
      <c r="AM1" s="9249"/>
      <c r="AN1" s="9249"/>
      <c r="AO1" s="9249"/>
      <c r="AP1" s="9249"/>
      <c r="AQ1" s="9250"/>
      <c r="AR1" s="6224"/>
      <c r="AS1" s="9274" t="s">
        <v>827</v>
      </c>
      <c r="AT1" s="9275"/>
      <c r="AU1" s="9275"/>
      <c r="AV1" s="9275"/>
      <c r="AW1" s="9275"/>
      <c r="AX1" s="9275"/>
      <c r="AY1" s="9275"/>
      <c r="AZ1" s="9275"/>
      <c r="BA1" s="9276"/>
      <c r="BB1" s="6224"/>
      <c r="BE1" s="9271" t="s">
        <v>828</v>
      </c>
      <c r="BF1" s="9272"/>
      <c r="BG1" s="9272"/>
      <c r="BH1" s="9272"/>
      <c r="BI1" s="9272"/>
      <c r="BJ1" s="9272"/>
      <c r="BK1" s="9272"/>
      <c r="BL1" s="9272"/>
      <c r="BM1" s="9273"/>
    </row>
    <row r="2" spans="1:65" ht="21" x14ac:dyDescent="0.5">
      <c r="B2" s="2386" t="s">
        <v>829</v>
      </c>
      <c r="C2" s="2006" t="s">
        <v>28</v>
      </c>
      <c r="H2" s="2429"/>
    </row>
    <row r="4" spans="1:65" s="2460" customFormat="1" ht="12.75" customHeight="1" x14ac:dyDescent="0.3">
      <c r="F4" s="2461" t="s">
        <v>830</v>
      </c>
      <c r="H4" s="9251" t="s">
        <v>831</v>
      </c>
      <c r="I4" s="9252"/>
      <c r="J4" s="9253"/>
      <c r="L4" s="9251" t="s">
        <v>832</v>
      </c>
      <c r="M4" s="9253"/>
      <c r="N4" s="2429"/>
      <c r="O4" s="9251" t="s">
        <v>833</v>
      </c>
      <c r="P4" s="9252"/>
      <c r="Q4" s="9252"/>
      <c r="R4" s="9253"/>
      <c r="T4" s="9251" t="s">
        <v>1289</v>
      </c>
      <c r="U4" s="9252"/>
      <c r="V4" s="9252"/>
      <c r="W4" s="9253"/>
      <c r="Y4" s="9251" t="s">
        <v>833</v>
      </c>
      <c r="Z4" s="9252"/>
      <c r="AA4" s="9252"/>
      <c r="AB4" s="9253"/>
      <c r="AD4" s="9251" t="s">
        <v>1289</v>
      </c>
      <c r="AE4" s="9252"/>
      <c r="AF4" s="9252"/>
      <c r="AG4" s="9253"/>
      <c r="AI4" s="9251" t="s">
        <v>833</v>
      </c>
      <c r="AJ4" s="9252"/>
      <c r="AK4" s="9252"/>
      <c r="AL4" s="9253"/>
      <c r="AN4" s="9251" t="s">
        <v>1289</v>
      </c>
      <c r="AO4" s="9252"/>
      <c r="AP4" s="9252"/>
      <c r="AQ4" s="9253"/>
      <c r="AR4" s="2462"/>
      <c r="AS4" s="9251" t="s">
        <v>833</v>
      </c>
      <c r="AT4" s="9252"/>
      <c r="AU4" s="9252"/>
      <c r="AV4" s="9253"/>
      <c r="AX4" s="9251" t="s">
        <v>1289</v>
      </c>
      <c r="AY4" s="9252"/>
      <c r="AZ4" s="9252"/>
      <c r="BA4" s="9253"/>
      <c r="BB4" s="2462"/>
      <c r="BC4" s="9263" t="s">
        <v>404</v>
      </c>
      <c r="BD4" s="9251" t="s">
        <v>833</v>
      </c>
      <c r="BE4" s="9252"/>
      <c r="BF4" s="9252"/>
      <c r="BG4" s="9253"/>
      <c r="BJ4" s="9251" t="s">
        <v>1289</v>
      </c>
      <c r="BK4" s="9252"/>
      <c r="BL4" s="9252"/>
      <c r="BM4" s="9253"/>
    </row>
    <row r="5" spans="1:65" ht="14.5" x14ac:dyDescent="0.3">
      <c r="B5" s="2386" t="s">
        <v>835</v>
      </c>
      <c r="C5" s="7900">
        <v>2012</v>
      </c>
      <c r="F5" s="2018">
        <v>2011</v>
      </c>
      <c r="G5" s="2019"/>
      <c r="H5" s="9260">
        <v>2014</v>
      </c>
      <c r="I5" s="9261"/>
      <c r="J5" s="9262"/>
      <c r="K5" s="2019"/>
      <c r="L5" s="9260">
        <v>2015</v>
      </c>
      <c r="M5" s="9262"/>
      <c r="O5" s="9260">
        <v>2015</v>
      </c>
      <c r="P5" s="9261"/>
      <c r="Q5" s="9261"/>
      <c r="R5" s="9262"/>
      <c r="S5" s="7901"/>
      <c r="T5" s="9260">
        <v>2016</v>
      </c>
      <c r="U5" s="9261"/>
      <c r="V5" s="9261"/>
      <c r="W5" s="9262"/>
      <c r="Y5" s="9260">
        <v>2016</v>
      </c>
      <c r="Z5" s="9261"/>
      <c r="AA5" s="9261"/>
      <c r="AB5" s="9262"/>
      <c r="AC5" s="6225"/>
      <c r="AD5" s="9260">
        <v>2017</v>
      </c>
      <c r="AE5" s="9261"/>
      <c r="AF5" s="9261"/>
      <c r="AG5" s="9262"/>
      <c r="AI5" s="9260">
        <v>2017</v>
      </c>
      <c r="AJ5" s="9261"/>
      <c r="AK5" s="9261"/>
      <c r="AL5" s="9262"/>
      <c r="AM5" s="6225"/>
      <c r="AN5" s="9265">
        <v>2018</v>
      </c>
      <c r="AO5" s="9266"/>
      <c r="AP5" s="9266"/>
      <c r="AQ5" s="9267"/>
      <c r="AR5" s="2463"/>
      <c r="AS5" s="9260">
        <v>2018</v>
      </c>
      <c r="AT5" s="9261"/>
      <c r="AU5" s="9261"/>
      <c r="AV5" s="9262"/>
      <c r="AW5" s="6225"/>
      <c r="AX5" s="9265" t="s">
        <v>1290</v>
      </c>
      <c r="AY5" s="9266"/>
      <c r="AZ5" s="9266"/>
      <c r="BA5" s="9267"/>
      <c r="BB5" s="2463"/>
      <c r="BC5" s="9264"/>
      <c r="BD5" s="9260" t="s">
        <v>1290</v>
      </c>
      <c r="BE5" s="9261"/>
      <c r="BF5" s="9261"/>
      <c r="BG5" s="9262"/>
      <c r="BH5" s="6225"/>
      <c r="BI5" s="6225"/>
      <c r="BJ5" s="9265" t="s">
        <v>1291</v>
      </c>
      <c r="BK5" s="9266"/>
      <c r="BL5" s="9266"/>
      <c r="BM5" s="9267"/>
    </row>
    <row r="6" spans="1:65" x14ac:dyDescent="0.3">
      <c r="F6" s="2443"/>
      <c r="L6" s="2464"/>
      <c r="AX6" s="2429" t="s">
        <v>1292</v>
      </c>
      <c r="BC6" s="2465"/>
    </row>
    <row r="7" spans="1:65" ht="12" customHeight="1" x14ac:dyDescent="0.3">
      <c r="B7" s="2386" t="s">
        <v>836</v>
      </c>
      <c r="C7" s="7902" t="s">
        <v>1293</v>
      </c>
      <c r="D7" s="2386" t="s">
        <v>1294</v>
      </c>
      <c r="F7" s="2466" t="s">
        <v>1295</v>
      </c>
      <c r="H7" s="9286" t="s">
        <v>1295</v>
      </c>
      <c r="I7" s="9286"/>
      <c r="J7" s="9287" t="s">
        <v>1296</v>
      </c>
      <c r="L7" s="9268" t="s">
        <v>1295</v>
      </c>
      <c r="M7" s="9270"/>
      <c r="O7" s="9268" t="s">
        <v>1297</v>
      </c>
      <c r="P7" s="9269"/>
      <c r="Q7" s="9269"/>
      <c r="R7" s="9270"/>
      <c r="S7" s="7903"/>
      <c r="T7" s="9268" t="s">
        <v>1297</v>
      </c>
      <c r="U7" s="9269"/>
      <c r="V7" s="9269"/>
      <c r="W7" s="9270"/>
      <c r="Y7" s="9268" t="s">
        <v>1297</v>
      </c>
      <c r="Z7" s="9269"/>
      <c r="AA7" s="9269"/>
      <c r="AB7" s="9270"/>
      <c r="AC7" s="6226"/>
      <c r="AD7" s="9268" t="s">
        <v>1297</v>
      </c>
      <c r="AE7" s="9269"/>
      <c r="AF7" s="9269"/>
      <c r="AG7" s="9270"/>
      <c r="AI7" s="9268" t="s">
        <v>1297</v>
      </c>
      <c r="AJ7" s="9269"/>
      <c r="AK7" s="9269"/>
      <c r="AL7" s="9270"/>
      <c r="AM7" s="6226"/>
      <c r="AN7" s="9268" t="s">
        <v>1297</v>
      </c>
      <c r="AO7" s="9269"/>
      <c r="AP7" s="9269"/>
      <c r="AQ7" s="9270"/>
      <c r="AR7" s="2467"/>
      <c r="AS7" s="9268" t="s">
        <v>1297</v>
      </c>
      <c r="AT7" s="9269"/>
      <c r="AU7" s="9269"/>
      <c r="AV7" s="9270"/>
      <c r="AW7" s="6226"/>
      <c r="AX7" s="9268" t="s">
        <v>1297</v>
      </c>
      <c r="AY7" s="9269"/>
      <c r="AZ7" s="9269"/>
      <c r="BA7" s="9270"/>
      <c r="BB7" s="2467"/>
      <c r="BC7" s="2468"/>
      <c r="BD7" s="9268" t="s">
        <v>1297</v>
      </c>
      <c r="BE7" s="9269"/>
      <c r="BF7" s="9269"/>
      <c r="BG7" s="9270"/>
      <c r="BH7" s="6226"/>
      <c r="BI7" s="6226"/>
      <c r="BJ7" s="9268" t="s">
        <v>1297</v>
      </c>
      <c r="BK7" s="9269"/>
      <c r="BL7" s="9269"/>
      <c r="BM7" s="9270"/>
    </row>
    <row r="8" spans="1:65" ht="24" x14ac:dyDescent="0.3">
      <c r="B8" s="2386" t="s">
        <v>841</v>
      </c>
      <c r="C8" s="7902" t="s">
        <v>1121</v>
      </c>
      <c r="F8" s="2469" t="s">
        <v>843</v>
      </c>
      <c r="H8" s="2470" t="s">
        <v>844</v>
      </c>
      <c r="I8" s="2469" t="s">
        <v>843</v>
      </c>
      <c r="J8" s="9288"/>
      <c r="L8" s="2470" t="s">
        <v>844</v>
      </c>
      <c r="M8" s="2469" t="s">
        <v>843</v>
      </c>
      <c r="O8" s="2443" t="s">
        <v>1298</v>
      </c>
      <c r="P8" s="2443" t="s">
        <v>1299</v>
      </c>
      <c r="Q8" s="2443" t="s">
        <v>846</v>
      </c>
      <c r="R8" s="2443"/>
      <c r="S8" s="2443"/>
      <c r="T8" s="2443" t="s">
        <v>1298</v>
      </c>
      <c r="U8" s="2452" t="s">
        <v>1300</v>
      </c>
      <c r="V8" s="2443" t="s">
        <v>1299</v>
      </c>
      <c r="W8" s="2443"/>
      <c r="Y8" s="2443" t="s">
        <v>1298</v>
      </c>
      <c r="Z8" s="6227" t="s">
        <v>1299</v>
      </c>
      <c r="AA8" s="6227" t="s">
        <v>846</v>
      </c>
      <c r="AB8" s="2443"/>
      <c r="AC8" s="2443"/>
      <c r="AD8" s="2443" t="s">
        <v>1298</v>
      </c>
      <c r="AE8" s="7904" t="s">
        <v>1300</v>
      </c>
      <c r="AF8" s="7904" t="s">
        <v>1299</v>
      </c>
      <c r="AG8" s="2443"/>
      <c r="AI8" s="2443" t="s">
        <v>1298</v>
      </c>
      <c r="AJ8" s="6227" t="s">
        <v>1299</v>
      </c>
      <c r="AK8" s="6227" t="s">
        <v>846</v>
      </c>
      <c r="AL8" s="2443"/>
      <c r="AM8" s="2443"/>
      <c r="AN8" s="2443" t="s">
        <v>1298</v>
      </c>
      <c r="AO8" s="6227" t="s">
        <v>1300</v>
      </c>
      <c r="AP8" s="6227" t="s">
        <v>1299</v>
      </c>
      <c r="AQ8" s="2443"/>
      <c r="AR8" s="2443"/>
      <c r="AS8" s="2443" t="s">
        <v>1298</v>
      </c>
      <c r="AT8" s="6227" t="s">
        <v>1299</v>
      </c>
      <c r="AU8" s="6227" t="s">
        <v>846</v>
      </c>
      <c r="AV8" s="2443"/>
      <c r="AW8" s="2443"/>
      <c r="AX8" s="2443" t="s">
        <v>1298</v>
      </c>
      <c r="AY8" s="6227" t="s">
        <v>1300</v>
      </c>
      <c r="AZ8" s="6227" t="s">
        <v>1299</v>
      </c>
      <c r="BA8" s="2443"/>
      <c r="BB8" s="2443"/>
      <c r="BC8" s="2471"/>
      <c r="BD8" s="2443" t="s">
        <v>1298</v>
      </c>
      <c r="BE8" s="6227" t="s">
        <v>1299</v>
      </c>
      <c r="BF8" s="6227" t="s">
        <v>846</v>
      </c>
      <c r="BG8" s="2443"/>
      <c r="BH8" s="2443"/>
      <c r="BI8" s="2443" t="s">
        <v>1298</v>
      </c>
      <c r="BJ8" s="6227" t="s">
        <v>1300</v>
      </c>
      <c r="BK8" s="6227" t="s">
        <v>1301</v>
      </c>
      <c r="BL8" s="2443"/>
      <c r="BM8" s="2443"/>
    </row>
    <row r="9" spans="1:65" x14ac:dyDescent="0.3">
      <c r="B9" s="2429"/>
      <c r="C9" s="2429"/>
      <c r="D9" s="2429"/>
      <c r="E9" s="2429"/>
      <c r="F9" s="2429"/>
      <c r="G9" s="2429"/>
      <c r="H9" s="2429"/>
      <c r="I9" s="2429"/>
      <c r="J9" s="2429"/>
      <c r="K9" s="2429"/>
      <c r="X9" s="2429"/>
      <c r="AH9" s="2429"/>
    </row>
    <row r="10" spans="1:65" ht="36" customHeight="1" x14ac:dyDescent="0.3">
      <c r="A10" s="9289" t="s">
        <v>854</v>
      </c>
      <c r="B10" s="2472"/>
      <c r="C10" s="2473" t="s">
        <v>427</v>
      </c>
      <c r="D10" s="7905"/>
      <c r="E10" s="2234"/>
      <c r="F10" s="2036" t="s">
        <v>1302</v>
      </c>
      <c r="G10" s="2232"/>
      <c r="H10" s="2036" t="s">
        <v>1303</v>
      </c>
      <c r="I10" s="2474" t="s">
        <v>1304</v>
      </c>
      <c r="J10" s="2040"/>
      <c r="K10" s="2232"/>
      <c r="L10" s="2036" t="s">
        <v>856</v>
      </c>
      <c r="M10" s="2039" t="s">
        <v>857</v>
      </c>
      <c r="O10" s="2036" t="s">
        <v>1305</v>
      </c>
      <c r="P10" s="2036" t="s">
        <v>1306</v>
      </c>
      <c r="Q10" s="2039"/>
      <c r="R10" s="2040"/>
      <c r="S10" s="6228"/>
      <c r="T10" s="2036" t="s">
        <v>1129</v>
      </c>
      <c r="U10" s="2039"/>
      <c r="V10" s="2040"/>
      <c r="W10" s="2040" t="s">
        <v>1307</v>
      </c>
      <c r="X10" s="2234"/>
      <c r="Y10" s="2475" t="s">
        <v>1308</v>
      </c>
      <c r="Z10" s="2036" t="s">
        <v>1306</v>
      </c>
      <c r="AA10" s="2039"/>
      <c r="AB10" s="2040"/>
      <c r="AC10" s="6228"/>
      <c r="AD10" s="2475" t="s">
        <v>1309</v>
      </c>
      <c r="AE10" s="2039"/>
      <c r="AF10" s="2040"/>
      <c r="AG10" s="2040" t="s">
        <v>1307</v>
      </c>
      <c r="AH10" s="2232"/>
      <c r="AI10" s="2475" t="s">
        <v>1310</v>
      </c>
      <c r="AJ10" s="2036" t="s">
        <v>1311</v>
      </c>
      <c r="AK10" s="2039"/>
      <c r="AL10" s="2040" t="s">
        <v>1307</v>
      </c>
      <c r="AM10" s="6228"/>
      <c r="AN10" s="6229" t="s">
        <v>1312</v>
      </c>
      <c r="AO10" s="6229" t="s">
        <v>1313</v>
      </c>
      <c r="AP10" s="2040"/>
      <c r="AQ10" s="2040" t="s">
        <v>1307</v>
      </c>
      <c r="AR10" s="2040"/>
      <c r="AS10" s="2475" t="s">
        <v>1314</v>
      </c>
      <c r="AT10" s="2036" t="s">
        <v>1311</v>
      </c>
      <c r="AU10" s="2039"/>
      <c r="AV10" s="2040" t="s">
        <v>1307</v>
      </c>
      <c r="AW10" s="6228"/>
      <c r="AX10" s="6229" t="s">
        <v>1315</v>
      </c>
      <c r="AY10" s="6229" t="s">
        <v>1316</v>
      </c>
      <c r="AZ10" s="2040"/>
      <c r="BA10" s="2040" t="s">
        <v>1307</v>
      </c>
      <c r="BB10" s="2040"/>
      <c r="BC10" s="2476"/>
      <c r="BD10" s="2036" t="s">
        <v>1317</v>
      </c>
      <c r="BE10" s="2036" t="s">
        <v>1317</v>
      </c>
      <c r="BF10" s="2039"/>
      <c r="BG10" s="2040" t="s">
        <v>1307</v>
      </c>
      <c r="BH10" s="6228"/>
      <c r="BI10" s="2036" t="s">
        <v>1317</v>
      </c>
      <c r="BJ10" s="6229"/>
      <c r="BK10" s="2036" t="s">
        <v>1317</v>
      </c>
      <c r="BL10" s="2040" t="s">
        <v>1318</v>
      </c>
      <c r="BM10" s="2040" t="s">
        <v>1318</v>
      </c>
    </row>
    <row r="11" spans="1:65" ht="15.5" x14ac:dyDescent="0.35">
      <c r="A11" s="9290"/>
      <c r="B11" s="7906" t="s">
        <v>1319</v>
      </c>
      <c r="C11" s="7907"/>
      <c r="D11" s="7908"/>
      <c r="E11" s="7909"/>
      <c r="F11" s="7910"/>
      <c r="G11" s="7911"/>
      <c r="H11" s="6230" t="s">
        <v>1320</v>
      </c>
      <c r="I11" s="6232"/>
      <c r="J11" s="6231"/>
      <c r="K11" s="7911"/>
      <c r="L11" s="6230"/>
      <c r="M11" s="2477"/>
      <c r="O11" s="6230"/>
      <c r="P11" s="2478"/>
      <c r="Q11" s="2477"/>
      <c r="R11" s="6231"/>
      <c r="T11" s="6230"/>
      <c r="U11" s="2477"/>
      <c r="V11" s="2478"/>
      <c r="W11" s="6231"/>
      <c r="X11" s="7911"/>
      <c r="Y11" s="6230"/>
      <c r="Z11" s="2478"/>
      <c r="AA11" s="2477"/>
      <c r="AB11" s="6231"/>
      <c r="AD11" s="6230"/>
      <c r="AE11" s="2477"/>
      <c r="AF11" s="2478"/>
      <c r="AG11" s="6231"/>
      <c r="AH11" s="7912"/>
      <c r="AI11" s="6230"/>
      <c r="AJ11" s="2478"/>
      <c r="AK11" s="2477"/>
      <c r="AL11" s="6231"/>
      <c r="AN11" s="6232"/>
      <c r="AO11" s="2477"/>
      <c r="AP11" s="2478"/>
      <c r="AQ11" s="6231"/>
      <c r="AR11" s="6231"/>
      <c r="AS11" s="6230"/>
      <c r="AT11" s="2478"/>
      <c r="AU11" s="2477"/>
      <c r="AV11" s="6231"/>
      <c r="AX11" s="6232"/>
      <c r="AY11" s="2477"/>
      <c r="AZ11" s="2478"/>
      <c r="BA11" s="6231"/>
      <c r="BB11" s="6231"/>
      <c r="BC11" s="2468"/>
      <c r="BD11" s="6230"/>
      <c r="BE11" s="7791"/>
      <c r="BF11" s="2477"/>
      <c r="BG11" s="6231"/>
      <c r="BI11" s="6230"/>
      <c r="BJ11" s="2478"/>
      <c r="BK11" s="2478"/>
      <c r="BL11" s="6231"/>
      <c r="BM11" s="6231"/>
    </row>
    <row r="12" spans="1:65" ht="13" x14ac:dyDescent="0.3">
      <c r="A12" s="9290"/>
      <c r="B12" s="2479"/>
      <c r="C12" s="2480" t="s">
        <v>872</v>
      </c>
      <c r="D12" s="7913"/>
      <c r="F12" s="2481">
        <f>F15-F13</f>
        <v>605074.14294699999</v>
      </c>
      <c r="G12" s="7914"/>
      <c r="H12" s="2482">
        <f>H15-H13</f>
        <v>674905.6254919999</v>
      </c>
      <c r="I12" s="2483">
        <f>I15-I13</f>
        <v>731286.21708999993</v>
      </c>
      <c r="J12" s="2484">
        <f>IF(H12=0,0,I12/H12)</f>
        <v>1.0835384822239393</v>
      </c>
      <c r="K12" s="2550"/>
      <c r="L12" s="2485">
        <f>L15-L13</f>
        <v>744868.16879999998</v>
      </c>
      <c r="M12" s="2486">
        <f>L12*J12</f>
        <v>807093.32507847704</v>
      </c>
      <c r="N12" s="2559"/>
      <c r="O12" s="2487">
        <f>676953.040528+60357.087083</f>
        <v>737310.12761099997</v>
      </c>
      <c r="P12" s="2559">
        <f>O12*R12</f>
        <v>798903.89659996191</v>
      </c>
      <c r="Q12" s="2486"/>
      <c r="R12" s="2488">
        <f>J12</f>
        <v>1.0835384822239393</v>
      </c>
      <c r="S12" s="2559"/>
      <c r="T12" s="2487">
        <f>696730.503176+48411.824395+10</f>
        <v>745152.32757099997</v>
      </c>
      <c r="U12" s="2486" t="s">
        <v>1321</v>
      </c>
      <c r="V12" s="2559">
        <f>T12*R12</f>
        <v>807401.22204191703</v>
      </c>
      <c r="W12" s="2488">
        <f>IF(T12=0,0,V12/T12)</f>
        <v>1.0835384822239393</v>
      </c>
      <c r="X12" s="2550"/>
      <c r="Y12" s="2489">
        <f>T12</f>
        <v>745152.32757099997</v>
      </c>
      <c r="Z12" s="2559">
        <f>Y12*AB12</f>
        <v>807401.22204191703</v>
      </c>
      <c r="AA12" s="2486"/>
      <c r="AB12" s="2488">
        <f>W12</f>
        <v>1.0835384822239393</v>
      </c>
      <c r="AC12" s="2559"/>
      <c r="AD12" s="2489">
        <v>786699.76289300004</v>
      </c>
      <c r="AE12" s="2486"/>
      <c r="AF12" s="2559">
        <f>AD12*AB12</f>
        <v>852419.46705101419</v>
      </c>
      <c r="AG12" s="2488">
        <f>IF(AD12=0,0,AF12/AD12)</f>
        <v>1.0835384822239393</v>
      </c>
      <c r="AH12" s="2511"/>
      <c r="AI12" s="2489">
        <f>AD12</f>
        <v>786699.76289300004</v>
      </c>
      <c r="AJ12" s="2559"/>
      <c r="AK12" s="2486"/>
      <c r="AL12" s="2488">
        <f>AG12</f>
        <v>1.0835384822239393</v>
      </c>
      <c r="AM12" s="2559"/>
      <c r="AN12" s="6233">
        <f>745830610145+61383118403+10000000+44651095000</f>
        <v>851874823548</v>
      </c>
      <c r="AO12" s="2486" t="s">
        <v>1322</v>
      </c>
      <c r="AP12" s="2559"/>
      <c r="AQ12" s="2488">
        <f>IF(AN12=0,0,AP12/AN12)</f>
        <v>0</v>
      </c>
      <c r="AR12" s="2488"/>
      <c r="AS12" s="2489">
        <f>AN12</f>
        <v>851874823548</v>
      </c>
      <c r="AT12" s="2559"/>
      <c r="AU12" s="2486"/>
      <c r="AV12" s="2488">
        <f>AQ12</f>
        <v>0</v>
      </c>
      <c r="AW12" s="2559"/>
      <c r="AX12" s="6233">
        <f>758830610145+61383118403+10000000+44651095000</f>
        <v>864874823548</v>
      </c>
      <c r="AY12" s="2486" t="s">
        <v>1322</v>
      </c>
      <c r="AZ12" s="2559"/>
      <c r="BA12" s="2488">
        <f>IF(AX12=0,0,AZ12/AX12)</f>
        <v>0</v>
      </c>
      <c r="BB12" s="2488"/>
      <c r="BC12" s="2490"/>
      <c r="BD12" s="7792">
        <v>802213728548</v>
      </c>
      <c r="BE12" s="7793">
        <v>897276115826</v>
      </c>
      <c r="BF12" s="2486" t="s">
        <v>1323</v>
      </c>
      <c r="BG12" s="2488">
        <f>BE12/BD12</f>
        <v>1.118500075347828</v>
      </c>
      <c r="BH12" s="2559"/>
      <c r="BI12" s="7792">
        <v>908846641823</v>
      </c>
      <c r="BJ12" s="2559"/>
      <c r="BK12" s="7793">
        <v>1024122290748</v>
      </c>
      <c r="BL12" s="2488">
        <f>IF(BI12=0,0,BK12/BI12)</f>
        <v>1.1268372942367655</v>
      </c>
      <c r="BM12" s="2488">
        <f>IF(BJ12=0,0,BL12/BJ12)</f>
        <v>0</v>
      </c>
    </row>
    <row r="13" spans="1:65" ht="13" x14ac:dyDescent="0.3">
      <c r="A13" s="9290"/>
      <c r="B13" s="2479"/>
      <c r="C13" s="2491" t="s">
        <v>1324</v>
      </c>
      <c r="D13" s="7913"/>
      <c r="F13" s="2481">
        <v>395167.89456799999</v>
      </c>
      <c r="G13" s="7914"/>
      <c r="H13" s="2482">
        <v>707876.16898299998</v>
      </c>
      <c r="I13" s="2483">
        <v>365942.860606</v>
      </c>
      <c r="J13" s="2484">
        <f>IF(H13=0,0,I13/H13)</f>
        <v>0.51695886461575213</v>
      </c>
      <c r="K13" s="2550"/>
      <c r="L13" s="2492">
        <v>699617.82394599996</v>
      </c>
      <c r="M13" s="2486">
        <f>L13*J13</f>
        <v>361673.63593206729</v>
      </c>
      <c r="N13" s="2559"/>
      <c r="O13" s="2493">
        <v>699617.82299999997</v>
      </c>
      <c r="P13" s="2559">
        <f>O13*R13</f>
        <v>361673.63544302422</v>
      </c>
      <c r="Q13" s="2486"/>
      <c r="R13" s="2488">
        <f>J13</f>
        <v>0.51695886461575213</v>
      </c>
      <c r="S13" s="2559"/>
      <c r="T13" s="2493">
        <v>374757.10538199998</v>
      </c>
      <c r="U13" s="2486"/>
      <c r="V13" s="2559">
        <f>T13*R13</f>
        <v>193734.00770496449</v>
      </c>
      <c r="W13" s="6234">
        <f>IF(T13=0,0,V13/T13)</f>
        <v>0.51695886461575213</v>
      </c>
      <c r="X13" s="2550"/>
      <c r="Y13" s="2494">
        <f>T13</f>
        <v>374757.10538199998</v>
      </c>
      <c r="Z13" s="2559">
        <f>Y13*AB13</f>
        <v>193734.00770496449</v>
      </c>
      <c r="AA13" s="2486"/>
      <c r="AB13" s="2488">
        <f>W13</f>
        <v>0.51695886461575213</v>
      </c>
      <c r="AC13" s="2559"/>
      <c r="AD13" s="2494">
        <v>366055.89435199997</v>
      </c>
      <c r="AE13" s="2486"/>
      <c r="AF13" s="2559">
        <f>AD13*AB13</f>
        <v>189235.83953011362</v>
      </c>
      <c r="AG13" s="6234">
        <f>IF(AD13=0,0,AF13/AD13)</f>
        <v>0.51695886461575213</v>
      </c>
      <c r="AH13" s="2511"/>
      <c r="AI13" s="2494">
        <f>AD13</f>
        <v>366055.89435199997</v>
      </c>
      <c r="AJ13" s="2559"/>
      <c r="AK13" s="2486"/>
      <c r="AL13" s="2488">
        <f>AG13</f>
        <v>0.51695886461575213</v>
      </c>
      <c r="AM13" s="2559"/>
      <c r="AN13" s="6233">
        <v>372250575882</v>
      </c>
      <c r="AO13" s="2486" t="s">
        <v>1322</v>
      </c>
      <c r="AP13" s="2559"/>
      <c r="AQ13" s="6234">
        <f>IF(AN13=0,0,AP13/AN13)</f>
        <v>0</v>
      </c>
      <c r="AR13" s="6234"/>
      <c r="AS13" s="2494">
        <f>AN13</f>
        <v>372250575882</v>
      </c>
      <c r="AT13" s="2559"/>
      <c r="AU13" s="2486"/>
      <c r="AV13" s="2488">
        <f>AQ13</f>
        <v>0</v>
      </c>
      <c r="AW13" s="2559"/>
      <c r="AX13" s="6233">
        <v>372250575882</v>
      </c>
      <c r="AY13" s="2486" t="s">
        <v>1322</v>
      </c>
      <c r="AZ13" s="2559"/>
      <c r="BA13" s="6234">
        <f>IF(AX13=0,0,AZ13/AX13)</f>
        <v>0</v>
      </c>
      <c r="BB13" s="6234"/>
      <c r="BC13" s="2490"/>
      <c r="BD13" s="7794">
        <f>AX13</f>
        <v>372250575882</v>
      </c>
      <c r="BE13" s="7795"/>
      <c r="BF13" s="2486"/>
      <c r="BG13" s="2488">
        <f t="shared" ref="BG13:BG15" si="0">BE13/BD13</f>
        <v>0</v>
      </c>
      <c r="BH13" s="2559"/>
      <c r="BI13" s="7794">
        <v>373579110724</v>
      </c>
      <c r="BJ13" s="2559"/>
      <c r="BK13" s="7795"/>
      <c r="BL13" s="6234">
        <f>IF(BI13=0,0,BK13/BI13)</f>
        <v>0</v>
      </c>
      <c r="BM13" s="6234">
        <f>IF(BJ13=0,0,BL13/BJ13)</f>
        <v>0</v>
      </c>
    </row>
    <row r="14" spans="1:65" ht="13" x14ac:dyDescent="0.3">
      <c r="A14" s="9290"/>
      <c r="B14" s="2479"/>
      <c r="C14" s="2491" t="s">
        <v>1325</v>
      </c>
      <c r="D14" s="7913"/>
      <c r="F14" s="2481"/>
      <c r="G14" s="7914"/>
      <c r="H14" s="2482"/>
      <c r="I14" s="2483"/>
      <c r="J14" s="2484"/>
      <c r="K14" s="2550"/>
      <c r="L14" s="2495"/>
      <c r="M14" s="2486"/>
      <c r="N14" s="2559"/>
      <c r="O14" s="2496"/>
      <c r="P14" s="2559"/>
      <c r="Q14" s="2486"/>
      <c r="R14" s="6234"/>
      <c r="S14" s="2559"/>
      <c r="T14" s="2496"/>
      <c r="U14" s="2486"/>
      <c r="V14" s="2559"/>
      <c r="W14" s="6234"/>
      <c r="X14" s="2550"/>
      <c r="Y14" s="2496"/>
      <c r="Z14" s="2559"/>
      <c r="AA14" s="2486"/>
      <c r="AB14" s="6234"/>
      <c r="AC14" s="2559"/>
      <c r="AD14" s="2496"/>
      <c r="AE14" s="2486"/>
      <c r="AF14" s="2559"/>
      <c r="AG14" s="6234"/>
      <c r="AH14" s="2511"/>
      <c r="AI14" s="2496"/>
      <c r="AJ14" s="2559"/>
      <c r="AK14" s="2486"/>
      <c r="AL14" s="6234"/>
      <c r="AM14" s="2559"/>
      <c r="AN14" s="2559"/>
      <c r="AO14" s="2486"/>
      <c r="AP14" s="2559"/>
      <c r="AQ14" s="6234"/>
      <c r="AR14" s="6234"/>
      <c r="AS14" s="2496"/>
      <c r="AT14" s="2559"/>
      <c r="AU14" s="2486"/>
      <c r="AV14" s="6234"/>
      <c r="AW14" s="2559"/>
      <c r="AX14" s="2559"/>
      <c r="AY14" s="2486"/>
      <c r="AZ14" s="2559"/>
      <c r="BA14" s="6234"/>
      <c r="BB14" s="6234"/>
      <c r="BC14" s="2490"/>
      <c r="BD14" s="2537"/>
      <c r="BE14" s="7795"/>
      <c r="BF14" s="2486"/>
      <c r="BG14" s="2488"/>
      <c r="BH14" s="2559"/>
      <c r="BI14" s="2537"/>
      <c r="BJ14" s="2559"/>
      <c r="BK14" s="7795"/>
      <c r="BL14" s="6234"/>
      <c r="BM14" s="6234"/>
    </row>
    <row r="15" spans="1:65" ht="13" x14ac:dyDescent="0.3">
      <c r="A15" s="9290"/>
      <c r="B15" s="2479"/>
      <c r="C15" s="2480" t="s">
        <v>882</v>
      </c>
      <c r="D15" s="7915"/>
      <c r="F15" s="2497">
        <v>1000242.037515</v>
      </c>
      <c r="G15" s="7914"/>
      <c r="H15" s="2498">
        <v>1382781.7944749999</v>
      </c>
      <c r="I15" s="2499">
        <v>1097229.077696</v>
      </c>
      <c r="J15" s="2484">
        <f>IF(H15=0,0,I15/H15)</f>
        <v>0.79349401480411041</v>
      </c>
      <c r="K15" s="2550"/>
      <c r="L15" s="2500">
        <v>1444485.9927459999</v>
      </c>
      <c r="M15" s="2486">
        <f>L15*J15</f>
        <v>1146190.9897123247</v>
      </c>
      <c r="N15" s="2559"/>
      <c r="O15" s="2501">
        <f>O12+O13</f>
        <v>1436927.9506109999</v>
      </c>
      <c r="P15" s="2502">
        <f>P12+P13</f>
        <v>1160577.5320429862</v>
      </c>
      <c r="Q15" s="2503"/>
      <c r="R15" s="6235">
        <f>J15</f>
        <v>0.79349401480411041</v>
      </c>
      <c r="S15" s="2559"/>
      <c r="T15" s="2501">
        <f>T12+T13</f>
        <v>1119909.4329530001</v>
      </c>
      <c r="U15" s="2503"/>
      <c r="V15" s="2502">
        <f>V12+V13</f>
        <v>1001135.2297468815</v>
      </c>
      <c r="W15" s="6235">
        <f>IF(T15=0,0,V15/T15)</f>
        <v>0.89394302814922066</v>
      </c>
      <c r="X15" s="2550"/>
      <c r="Y15" s="2504">
        <f>Y12+Y13</f>
        <v>1119909.4329530001</v>
      </c>
      <c r="Z15" s="2502">
        <f>Z12+Z13</f>
        <v>1001135.2297468815</v>
      </c>
      <c r="AA15" s="2503"/>
      <c r="AB15" s="6235">
        <f>W15</f>
        <v>0.89394302814922066</v>
      </c>
      <c r="AC15" s="2559"/>
      <c r="AD15" s="2504">
        <f>AD12+AD13</f>
        <v>1152755.6572449999</v>
      </c>
      <c r="AE15" s="2503"/>
      <c r="AF15" s="2502">
        <f>AF12+AF13</f>
        <v>1041655.3065811278</v>
      </c>
      <c r="AG15" s="6235">
        <f>IF(AD15=0,0,AF15/AD15)</f>
        <v>0.90362194280668839</v>
      </c>
      <c r="AH15" s="2511"/>
      <c r="AI15" s="2504">
        <f>AI12+AI13</f>
        <v>1152755.6572449999</v>
      </c>
      <c r="AJ15" s="2502"/>
      <c r="AK15" s="2503"/>
      <c r="AL15" s="6235">
        <f>AG15</f>
        <v>0.90362194280668839</v>
      </c>
      <c r="AM15" s="2559"/>
      <c r="AN15" s="6236">
        <f>AN12+AN13</f>
        <v>1224125399430</v>
      </c>
      <c r="AO15" s="2486" t="s">
        <v>1322</v>
      </c>
      <c r="AP15" s="2502"/>
      <c r="AQ15" s="6235">
        <f>IF(AN15=0,0,AP15/AN15)</f>
        <v>0</v>
      </c>
      <c r="AR15" s="6235"/>
      <c r="AS15" s="2504">
        <f>AS12+AS13</f>
        <v>1224125399430</v>
      </c>
      <c r="AT15" s="2502"/>
      <c r="AU15" s="2503"/>
      <c r="AV15" s="6235">
        <f>AQ15</f>
        <v>0</v>
      </c>
      <c r="AW15" s="2559"/>
      <c r="AX15" s="6236">
        <f>AX12+AX13</f>
        <v>1237125399430</v>
      </c>
      <c r="AY15" s="2486" t="s">
        <v>1322</v>
      </c>
      <c r="AZ15" s="2502"/>
      <c r="BA15" s="6235">
        <f>IF(AX15=0,0,AZ15/AX15)</f>
        <v>0</v>
      </c>
      <c r="BB15" s="6235"/>
      <c r="BC15" s="2471"/>
      <c r="BD15" s="7796">
        <f>BD12+BD13</f>
        <v>1174464304430</v>
      </c>
      <c r="BE15" s="7797"/>
      <c r="BF15" s="2503"/>
      <c r="BG15" s="2488">
        <f t="shared" si="0"/>
        <v>0</v>
      </c>
      <c r="BH15" s="2559"/>
      <c r="BI15" s="7796">
        <f>BI12+BI13</f>
        <v>1282425752547</v>
      </c>
      <c r="BJ15" s="2502"/>
      <c r="BK15" s="7797"/>
      <c r="BL15" s="6235">
        <f>IF(BI15=0,0,BK15/BI15)</f>
        <v>0</v>
      </c>
      <c r="BM15" s="6235">
        <f>IF(BJ15=0,0,BL15/BJ15)</f>
        <v>0</v>
      </c>
    </row>
    <row r="16" spans="1:65" ht="13" x14ac:dyDescent="0.3">
      <c r="A16" s="9290"/>
      <c r="B16" s="2505" t="s">
        <v>883</v>
      </c>
      <c r="C16" s="7916"/>
      <c r="D16" s="7917"/>
      <c r="E16" s="7909"/>
      <c r="F16" s="2506"/>
      <c r="G16" s="7918"/>
      <c r="H16" s="2507"/>
      <c r="I16" s="2508"/>
      <c r="J16" s="6237"/>
      <c r="K16" s="7909"/>
      <c r="L16" s="2507"/>
      <c r="M16" s="2509"/>
      <c r="N16" s="2559"/>
      <c r="O16" s="2507"/>
      <c r="P16" s="2508"/>
      <c r="Q16" s="2509"/>
      <c r="R16" s="6237"/>
      <c r="S16" s="2559"/>
      <c r="T16" s="2507"/>
      <c r="U16" s="2509"/>
      <c r="V16" s="2508"/>
      <c r="W16" s="6237"/>
      <c r="X16" s="7909"/>
      <c r="Y16" s="2507"/>
      <c r="Z16" s="2508"/>
      <c r="AA16" s="2509"/>
      <c r="AB16" s="6237"/>
      <c r="AC16" s="2559"/>
      <c r="AD16" s="2507"/>
      <c r="AE16" s="2509"/>
      <c r="AF16" s="2508"/>
      <c r="AG16" s="6237"/>
      <c r="AH16" s="7909"/>
      <c r="AI16" s="2507"/>
      <c r="AJ16" s="2508"/>
      <c r="AK16" s="2509"/>
      <c r="AL16" s="6237"/>
      <c r="AM16" s="2559"/>
      <c r="AN16" s="2508"/>
      <c r="AO16" s="2509"/>
      <c r="AP16" s="2508"/>
      <c r="AQ16" s="6237"/>
      <c r="AR16" s="6237"/>
      <c r="AS16" s="2507"/>
      <c r="AT16" s="2508"/>
      <c r="AU16" s="2509"/>
      <c r="AV16" s="6237"/>
      <c r="AW16" s="2559"/>
      <c r="AX16" s="2508"/>
      <c r="AY16" s="2509"/>
      <c r="AZ16" s="2508"/>
      <c r="BA16" s="6237"/>
      <c r="BB16" s="6237"/>
      <c r="BC16" s="2468"/>
      <c r="BD16" s="2507" t="s">
        <v>1315</v>
      </c>
      <c r="BE16" s="7798" t="s">
        <v>1326</v>
      </c>
      <c r="BF16" s="2509"/>
      <c r="BG16" s="6237"/>
      <c r="BH16" s="2559"/>
      <c r="BI16" s="2507"/>
      <c r="BJ16" s="2508"/>
      <c r="BK16" s="2508"/>
      <c r="BL16" s="6237"/>
      <c r="BM16" s="6237"/>
    </row>
    <row r="17" spans="1:65" ht="13" x14ac:dyDescent="0.3">
      <c r="A17" s="9290"/>
      <c r="B17" s="2510"/>
      <c r="C17" s="2511" t="s">
        <v>885</v>
      </c>
      <c r="D17" s="7913"/>
      <c r="F17" s="2512">
        <f>715914.895945-F20</f>
        <v>670315.54639399995</v>
      </c>
      <c r="G17" s="7919"/>
      <c r="H17" s="2487">
        <f>(709806519302-39695529392)/1000000</f>
        <v>670110.98991</v>
      </c>
      <c r="I17" s="2513">
        <v>715745.24184100004</v>
      </c>
      <c r="J17" s="2484">
        <f t="shared" ref="J17:J22" si="1">IF(H17=0,0,I17/H17)</f>
        <v>1.0680995426401363</v>
      </c>
      <c r="L17" s="2487">
        <f>(756690527058-52689722871)/1000000</f>
        <v>704000.80418700003</v>
      </c>
      <c r="M17" s="2486">
        <f>L17*J17</f>
        <v>751942.93697042286</v>
      </c>
      <c r="N17" s="2559"/>
      <c r="O17" s="2487">
        <v>694800.80418700003</v>
      </c>
      <c r="P17" s="2559">
        <f>O17*R17</f>
        <v>742116.42117813358</v>
      </c>
      <c r="Q17" s="2486"/>
      <c r="R17" s="2484">
        <f t="shared" ref="R17:R24" si="2">J17</f>
        <v>1.0680995426401363</v>
      </c>
      <c r="S17" s="2559"/>
      <c r="T17" s="2487">
        <f>742412.618938-T20</f>
        <v>694471.92271300009</v>
      </c>
      <c r="U17" s="2486" t="s">
        <v>1327</v>
      </c>
      <c r="V17" s="2559">
        <f>T17*R17</f>
        <v>741765.14302617148</v>
      </c>
      <c r="W17" s="2484">
        <f t="shared" ref="W17:W22" si="3">IF(T17=0,0,V17/T17)</f>
        <v>1.0680995426401363</v>
      </c>
      <c r="Y17" s="2489">
        <f>T17</f>
        <v>694471.92271300009</v>
      </c>
      <c r="Z17" s="2559">
        <f>Y17*AB17</f>
        <v>741765.14302617148</v>
      </c>
      <c r="AA17" s="2486"/>
      <c r="AB17" s="2484">
        <f>W17</f>
        <v>1.0680995426401363</v>
      </c>
      <c r="AC17" s="2559"/>
      <c r="AD17" s="2489">
        <f>813463.465644-AD20</f>
        <v>751910.03139200003</v>
      </c>
      <c r="AE17" s="2486"/>
      <c r="AF17" s="2559">
        <f>AD17*AB17</f>
        <v>803114.76063632581</v>
      </c>
      <c r="AG17" s="2484">
        <f>IF(AD17=0,0,AF17/AD17)</f>
        <v>1.0680995426401363</v>
      </c>
      <c r="AI17" s="2489">
        <f>AD17</f>
        <v>751910.03139200003</v>
      </c>
      <c r="AJ17" s="2559"/>
      <c r="AK17" s="2486"/>
      <c r="AL17" s="2484">
        <f>AG17</f>
        <v>1.0680995426401363</v>
      </c>
      <c r="AM17" s="2559"/>
      <c r="AN17" s="6233">
        <v>803523790741</v>
      </c>
      <c r="AO17" s="2486"/>
      <c r="AP17" s="2559"/>
      <c r="AQ17" s="2484">
        <f>IF(AN17=0,0,AP17/AN17)</f>
        <v>0</v>
      </c>
      <c r="AR17" s="2484"/>
      <c r="AS17" s="2489">
        <f>803523790741+8200000000</f>
        <v>811723790741</v>
      </c>
      <c r="AT17" s="2559"/>
      <c r="AU17" s="2486"/>
      <c r="AV17" s="2484">
        <f>AQ17</f>
        <v>0</v>
      </c>
      <c r="AW17" s="2559"/>
      <c r="AX17" s="6233">
        <v>803523790741</v>
      </c>
      <c r="AY17" s="2486" t="s">
        <v>1328</v>
      </c>
      <c r="AZ17" s="2559"/>
      <c r="BA17" s="2484">
        <f>IF(AX17=0,0,AZ17/AX17)</f>
        <v>0</v>
      </c>
      <c r="BB17" s="2484"/>
      <c r="BC17" s="2490"/>
      <c r="BD17" s="2489">
        <f>881116895408-BD20</f>
        <v>824223790741</v>
      </c>
      <c r="BE17" s="2559">
        <f>BD17*BL17</f>
        <v>813797540489.88928</v>
      </c>
      <c r="BF17" s="2486"/>
      <c r="BG17" s="2484">
        <f t="shared" ref="BG17:BG24" si="4">BE17/BD17</f>
        <v>0.9873502192387128</v>
      </c>
      <c r="BH17" s="2559"/>
      <c r="BI17" s="7799">
        <f>441719492390+186136410031+312742684022-BI20</f>
        <v>882423321688</v>
      </c>
      <c r="BJ17" s="2559"/>
      <c r="BK17" s="7795">
        <f>458187634594+182264376839+288984113452-BK20</f>
        <v>871260860130</v>
      </c>
      <c r="BL17" s="2515">
        <f>IF(BI17=0,0,BK17/BI17)</f>
        <v>0.9873502192387128</v>
      </c>
      <c r="BM17" s="2515">
        <f>IF(BJ17=0,0,BL17/BJ17)</f>
        <v>0</v>
      </c>
    </row>
    <row r="18" spans="1:65" ht="13" x14ac:dyDescent="0.3">
      <c r="A18" s="9290"/>
      <c r="B18" s="2510"/>
      <c r="C18" s="2514" t="s">
        <v>1329</v>
      </c>
      <c r="D18" s="7913"/>
      <c r="F18" s="2512">
        <v>86394.910470999996</v>
      </c>
      <c r="G18" s="7920"/>
      <c r="H18" s="2487">
        <v>110508.163894</v>
      </c>
      <c r="I18" s="2513">
        <f>473340.188836+31117.782114</f>
        <v>504457.97094999999</v>
      </c>
      <c r="J18" s="2515">
        <f>IF(H18=0,0,I18/(H18+H19))</f>
        <v>0.68868966429242473</v>
      </c>
      <c r="K18" s="7921"/>
      <c r="L18" s="2487">
        <f>806227.138732-L19</f>
        <v>188901.31478600006</v>
      </c>
      <c r="M18" s="2486">
        <f>(L18+L19)*J18</f>
        <v>555240.29751678323</v>
      </c>
      <c r="N18" s="2559"/>
      <c r="O18" s="2487">
        <f>806227.138732+9200</f>
        <v>815427.13873200002</v>
      </c>
      <c r="P18" s="2559">
        <f>O18*R18</f>
        <v>561576.24242827354</v>
      </c>
      <c r="Q18" s="2486"/>
      <c r="R18" s="2515">
        <f t="shared" si="2"/>
        <v>0.68868966429242473</v>
      </c>
      <c r="S18" s="2559"/>
      <c r="T18" s="2487">
        <v>518245.44572000002</v>
      </c>
      <c r="U18" s="2486"/>
      <c r="V18" s="2559">
        <f>T18*R18</f>
        <v>356910.28203398484</v>
      </c>
      <c r="W18" s="2515">
        <f t="shared" si="3"/>
        <v>0.68868966429242473</v>
      </c>
      <c r="Y18" s="2489">
        <f>T18</f>
        <v>518245.44572000002</v>
      </c>
      <c r="Z18" s="2559">
        <f>Y18*AB18</f>
        <v>356910.28203398484</v>
      </c>
      <c r="AA18" s="2486"/>
      <c r="AB18" s="2515">
        <f>W18</f>
        <v>0.68868966429242473</v>
      </c>
      <c r="AC18" s="2559"/>
      <c r="AD18" s="2489">
        <v>513368.45780600002</v>
      </c>
      <c r="AE18" s="2486"/>
      <c r="AF18" s="2559">
        <f>AD18*AB18</f>
        <v>353551.55086473399</v>
      </c>
      <c r="AG18" s="2515">
        <f>IF(AD18=0,0,AF18/AD18)</f>
        <v>0.68868966429242473</v>
      </c>
      <c r="AI18" s="2489">
        <f>AD18</f>
        <v>513368.45780600002</v>
      </c>
      <c r="AJ18" s="2559"/>
      <c r="AK18" s="2486"/>
      <c r="AL18" s="2515">
        <f>AG18</f>
        <v>0.68868966429242473</v>
      </c>
      <c r="AM18" s="2559"/>
      <c r="AN18" s="6238">
        <v>519557898215</v>
      </c>
      <c r="AO18" s="2486"/>
      <c r="AP18" s="2559"/>
      <c r="AQ18" s="2515">
        <f>IF(AN18=0,0,AP18/AN18)</f>
        <v>0</v>
      </c>
      <c r="AR18" s="2484"/>
      <c r="AS18" s="2489">
        <f>519557898215</f>
        <v>519557898215</v>
      </c>
      <c r="AT18" s="2559"/>
      <c r="AU18" s="2486"/>
      <c r="AV18" s="2515">
        <f>AQ18</f>
        <v>0</v>
      </c>
      <c r="AW18" s="2559"/>
      <c r="AX18" s="6238">
        <v>519557898215</v>
      </c>
      <c r="AY18" s="2486" t="s">
        <v>1328</v>
      </c>
      <c r="AZ18" s="2559"/>
      <c r="BA18" s="2515">
        <f>IF(AX18=0,0,AZ18/AX18)</f>
        <v>0</v>
      </c>
      <c r="BB18" s="2484"/>
      <c r="BC18" s="2490"/>
      <c r="BD18" s="2489">
        <v>519557898215</v>
      </c>
      <c r="BE18" s="2559">
        <f t="shared" ref="BE18:BE20" si="5">BD18*BL18</f>
        <v>500364782576.3858</v>
      </c>
      <c r="BF18" s="2486"/>
      <c r="BG18" s="2515">
        <f t="shared" si="4"/>
        <v>0.96305875494424331</v>
      </c>
      <c r="BH18" s="2559"/>
      <c r="BI18" s="7799">
        <v>156213897455</v>
      </c>
      <c r="BJ18" s="2559"/>
      <c r="BK18" s="7795">
        <v>150443161588</v>
      </c>
      <c r="BL18" s="2515">
        <f>IF(BI18=0,0,BK18/BI18)</f>
        <v>0.96305875494424331</v>
      </c>
      <c r="BM18" s="2515">
        <f>IF(BJ18=0,0,BL18/BJ18)</f>
        <v>0</v>
      </c>
    </row>
    <row r="19" spans="1:65" ht="13" x14ac:dyDescent="0.3">
      <c r="A19" s="9290"/>
      <c r="B19" s="2510"/>
      <c r="C19" s="2514" t="s">
        <v>1330</v>
      </c>
      <c r="D19" s="7913"/>
      <c r="F19" s="2516">
        <f>424236.297967-F18</f>
        <v>337841.38749599998</v>
      </c>
      <c r="G19" s="7919"/>
      <c r="H19" s="2517">
        <f>732489533538/1000000-H18</f>
        <v>621981.36964399996</v>
      </c>
      <c r="I19" s="2518"/>
      <c r="J19" s="2515"/>
      <c r="L19" s="2517">
        <v>617325.82394599996</v>
      </c>
      <c r="M19" s="2486">
        <f>L19*J19</f>
        <v>0</v>
      </c>
      <c r="N19" s="2559"/>
      <c r="O19" s="2517"/>
      <c r="P19" s="2559"/>
      <c r="Q19" s="2486"/>
      <c r="R19" s="2484"/>
      <c r="S19" s="2559"/>
      <c r="T19" s="2517"/>
      <c r="U19" s="2486"/>
      <c r="V19" s="2559"/>
      <c r="W19" s="2515"/>
      <c r="Y19" s="2517"/>
      <c r="Z19" s="2559"/>
      <c r="AA19" s="2486"/>
      <c r="AB19" s="2484"/>
      <c r="AC19" s="2559"/>
      <c r="AD19" s="2517"/>
      <c r="AE19" s="2486"/>
      <c r="AF19" s="2559"/>
      <c r="AG19" s="2515"/>
      <c r="AI19" s="2517"/>
      <c r="AJ19" s="2559"/>
      <c r="AK19" s="2486"/>
      <c r="AL19" s="2484"/>
      <c r="AM19" s="2559"/>
      <c r="AN19" s="2559"/>
      <c r="AO19" s="2486"/>
      <c r="AP19" s="2559"/>
      <c r="AQ19" s="2515"/>
      <c r="AR19" s="2484"/>
      <c r="AS19" s="2517"/>
      <c r="AT19" s="2559"/>
      <c r="AU19" s="2486"/>
      <c r="AV19" s="2484"/>
      <c r="AW19" s="2559"/>
      <c r="AX19" s="2559"/>
      <c r="AY19" s="2486"/>
      <c r="AZ19" s="2559"/>
      <c r="BA19" s="2515"/>
      <c r="BB19" s="2484"/>
      <c r="BC19" s="2490"/>
      <c r="BD19" s="2517"/>
      <c r="BE19" s="2559"/>
      <c r="BF19" s="2486"/>
      <c r="BG19" s="2484"/>
      <c r="BH19" s="2559"/>
      <c r="BI19" s="2568">
        <v>422841574622</v>
      </c>
      <c r="BJ19" s="2559"/>
      <c r="BK19" s="6245">
        <f>BI19*BL19</f>
        <v>407221280394.12665</v>
      </c>
      <c r="BL19" s="2515">
        <f>BL18</f>
        <v>0.96305875494424331</v>
      </c>
      <c r="BM19" s="2515">
        <f>BM18</f>
        <v>0</v>
      </c>
    </row>
    <row r="20" spans="1:65" ht="13" x14ac:dyDescent="0.3">
      <c r="A20" s="9290"/>
      <c r="B20" s="2510"/>
      <c r="C20" s="2514" t="s">
        <v>1331</v>
      </c>
      <c r="D20" s="7913"/>
      <c r="F20" s="2516">
        <f>43109.401365+2489.948186</f>
        <v>45599.349550999999</v>
      </c>
      <c r="G20" s="7919"/>
      <c r="H20" s="2496">
        <f>39695529392/1000000</f>
        <v>39695.529391999997</v>
      </c>
      <c r="I20" s="2518">
        <v>40489.897917000002</v>
      </c>
      <c r="J20" s="2515">
        <f t="shared" si="1"/>
        <v>1.0200115362401514</v>
      </c>
      <c r="L20" s="2496">
        <f>52689722871/1000000</f>
        <v>52689.722870999998</v>
      </c>
      <c r="M20" s="2486">
        <f>L20*J20</f>
        <v>53744.12516971655</v>
      </c>
      <c r="N20" s="2559"/>
      <c r="O20" s="2496">
        <v>52689.722870999998</v>
      </c>
      <c r="P20" s="2559">
        <f>O20*R20</f>
        <v>53744.12516971655</v>
      </c>
      <c r="Q20" s="2486"/>
      <c r="R20" s="2484">
        <f t="shared" si="2"/>
        <v>1.0200115362401514</v>
      </c>
      <c r="S20" s="2559"/>
      <c r="T20" s="2519">
        <v>47940.696225</v>
      </c>
      <c r="U20" s="2486"/>
      <c r="V20" s="2559">
        <f>T20*R20</f>
        <v>48900.063204884675</v>
      </c>
      <c r="W20" s="2515">
        <f t="shared" si="3"/>
        <v>1.0200115362401514</v>
      </c>
      <c r="Y20" s="2520">
        <f>T20</f>
        <v>47940.696225</v>
      </c>
      <c r="Z20" s="2559">
        <f>Y20*AB20</f>
        <v>48900.063204884675</v>
      </c>
      <c r="AA20" s="2486"/>
      <c r="AB20" s="2484">
        <f>W20</f>
        <v>1.0200115362401514</v>
      </c>
      <c r="AC20" s="2559"/>
      <c r="AD20" s="2489">
        <v>61553.434251999999</v>
      </c>
      <c r="AE20" s="2486"/>
      <c r="AF20" s="2559">
        <f>AD20*AB20</f>
        <v>62785.21303223967</v>
      </c>
      <c r="AG20" s="2515">
        <f>IF(AD20=0,0,AF20/AD20)</f>
        <v>1.0200115362401514</v>
      </c>
      <c r="AI20" s="2520">
        <f>AD20</f>
        <v>61553.434251999999</v>
      </c>
      <c r="AJ20" s="2559"/>
      <c r="AK20" s="2486"/>
      <c r="AL20" s="2484">
        <f>AG20</f>
        <v>1.0200115362401514</v>
      </c>
      <c r="AM20" s="2559"/>
      <c r="AN20" s="6233">
        <f>56893104667+8200000000</f>
        <v>65093104667</v>
      </c>
      <c r="AO20" s="2486"/>
      <c r="AP20" s="2559"/>
      <c r="AQ20" s="2515">
        <f>IF(AN20=0,0,AP20/AN20)</f>
        <v>0</v>
      </c>
      <c r="AR20" s="2484"/>
      <c r="AS20" s="2520">
        <f>56893104667</f>
        <v>56893104667</v>
      </c>
      <c r="AT20" s="2559"/>
      <c r="AU20" s="2486"/>
      <c r="AV20" s="2484">
        <f>AQ20</f>
        <v>0</v>
      </c>
      <c r="AW20" s="2559"/>
      <c r="AX20" s="6233">
        <f>56893104667+8200000000</f>
        <v>65093104667</v>
      </c>
      <c r="AY20" s="2486" t="s">
        <v>1328</v>
      </c>
      <c r="AZ20" s="2559"/>
      <c r="BA20" s="2515">
        <f>IF(AX20=0,0,AZ20/AX20)</f>
        <v>0</v>
      </c>
      <c r="BB20" s="2484"/>
      <c r="BC20" s="2490"/>
      <c r="BD20" s="2520">
        <v>56893104667</v>
      </c>
      <c r="BE20" s="2559">
        <f t="shared" si="5"/>
        <v>56893104667</v>
      </c>
      <c r="BF20" s="2486"/>
      <c r="BG20" s="2484">
        <f t="shared" si="4"/>
        <v>1</v>
      </c>
      <c r="BH20" s="2559"/>
      <c r="BI20" s="7800">
        <v>58175264755</v>
      </c>
      <c r="BJ20" s="7801" t="s">
        <v>1332</v>
      </c>
      <c r="BK20" s="7795">
        <f>BI20</f>
        <v>58175264755</v>
      </c>
      <c r="BL20" s="2515">
        <f>IF(BI20=0,0,BK20/BI20)</f>
        <v>1</v>
      </c>
      <c r="BM20" s="2515" t="e">
        <f>IF(BJ20=0,0,BL20/BJ20)</f>
        <v>#VALUE!</v>
      </c>
    </row>
    <row r="21" spans="1:65" ht="13" x14ac:dyDescent="0.3">
      <c r="A21" s="9290"/>
      <c r="B21" s="2510"/>
      <c r="C21" s="2514" t="s">
        <v>1169</v>
      </c>
      <c r="D21" s="7913"/>
      <c r="F21" s="2516"/>
      <c r="G21" s="7922"/>
      <c r="H21" s="2496"/>
      <c r="I21" s="2521"/>
      <c r="J21" s="2515"/>
      <c r="K21" s="7923"/>
      <c r="L21" s="2496"/>
      <c r="M21" s="2486">
        <f>L21*J21</f>
        <v>0</v>
      </c>
      <c r="N21" s="2559"/>
      <c r="O21" s="2496"/>
      <c r="P21" s="2559"/>
      <c r="Q21" s="2486"/>
      <c r="R21" s="2522"/>
      <c r="S21" s="2559"/>
      <c r="T21" s="2496"/>
      <c r="U21" s="2486"/>
      <c r="V21" s="2559"/>
      <c r="W21" s="2522"/>
      <c r="Y21" s="2496"/>
      <c r="Z21" s="2559"/>
      <c r="AA21" s="2486"/>
      <c r="AB21" s="2522"/>
      <c r="AC21" s="2559"/>
      <c r="AD21" s="2496"/>
      <c r="AE21" s="2486"/>
      <c r="AF21" s="2559"/>
      <c r="AG21" s="2522"/>
      <c r="AI21" s="2496"/>
      <c r="AJ21" s="2559"/>
      <c r="AK21" s="2486"/>
      <c r="AL21" s="2522"/>
      <c r="AM21" s="2559"/>
      <c r="AN21" s="2559"/>
      <c r="AO21" s="2486"/>
      <c r="AP21" s="2559"/>
      <c r="AQ21" s="2522"/>
      <c r="AR21" s="2484"/>
      <c r="AS21" s="2496"/>
      <c r="AT21" s="2559"/>
      <c r="AU21" s="2486"/>
      <c r="AV21" s="2522"/>
      <c r="AW21" s="2559"/>
      <c r="AX21" s="2559"/>
      <c r="AY21" s="2486"/>
      <c r="AZ21" s="2559"/>
      <c r="BA21" s="2522"/>
      <c r="BB21" s="2484"/>
      <c r="BC21" s="2490"/>
      <c r="BD21" s="2496"/>
      <c r="BE21" s="2559"/>
      <c r="BF21" s="2486"/>
      <c r="BG21" s="2522"/>
      <c r="BH21" s="2559"/>
      <c r="BI21" s="2537"/>
      <c r="BJ21" s="2559"/>
      <c r="BK21" s="7795"/>
      <c r="BL21" s="2522"/>
      <c r="BM21" s="2522"/>
    </row>
    <row r="22" spans="1:65" ht="14.5" x14ac:dyDescent="0.35">
      <c r="A22" s="9290"/>
      <c r="B22" s="2523"/>
      <c r="C22" s="2524" t="s">
        <v>903</v>
      </c>
      <c r="D22" s="7913"/>
      <c r="F22" s="2525">
        <f>SUM(F17:F21)</f>
        <v>1140151.1939119999</v>
      </c>
      <c r="G22" s="7919"/>
      <c r="H22" s="2496">
        <f>SUM(H17:H21)</f>
        <v>1442296.05284</v>
      </c>
      <c r="I22" s="2501">
        <f>SUM(I17:I21)</f>
        <v>1260693.1107080001</v>
      </c>
      <c r="J22" s="2515">
        <f t="shared" si="1"/>
        <v>0.87408761067160334</v>
      </c>
      <c r="L22" s="2501">
        <f>SUM(L17:L21)</f>
        <v>1562917.66579</v>
      </c>
      <c r="M22" s="2503">
        <f>SUM(M17:M21)</f>
        <v>1360927.3596569228</v>
      </c>
      <c r="N22" s="2559"/>
      <c r="O22" s="2501">
        <f>SUM(O17:O21)</f>
        <v>1562917.66579</v>
      </c>
      <c r="P22" s="2502">
        <f>P17+P18+P21</f>
        <v>1303692.6636064071</v>
      </c>
      <c r="Q22" s="2503"/>
      <c r="R22" s="2526">
        <f t="shared" si="2"/>
        <v>0.87408761067160334</v>
      </c>
      <c r="S22" s="2559"/>
      <c r="T22" s="2501">
        <f>T17+T18+T21</f>
        <v>1212717.3684330001</v>
      </c>
      <c r="U22" s="2503"/>
      <c r="V22" s="2502">
        <f>V17+V18+V21</f>
        <v>1098675.4250601563</v>
      </c>
      <c r="W22" s="2526">
        <f t="shared" si="3"/>
        <v>0.90596164750225205</v>
      </c>
      <c r="Y22" s="2504">
        <f>SUM(Y17:Y21)</f>
        <v>1260658.0646580001</v>
      </c>
      <c r="Z22" s="2502">
        <f>Z17+Z18+Z21</f>
        <v>1098675.4250601563</v>
      </c>
      <c r="AA22" s="2503"/>
      <c r="AB22" s="2526">
        <f>W22</f>
        <v>0.90596164750225205</v>
      </c>
      <c r="AC22" s="2559"/>
      <c r="AD22" s="2504">
        <f>SUM(AD17:AD21)</f>
        <v>1326831.9234500001</v>
      </c>
      <c r="AE22" s="2503"/>
      <c r="AF22" s="2502">
        <f>SUM(AF17:AF21)</f>
        <v>1219451.5245332993</v>
      </c>
      <c r="AG22" s="2526">
        <f>IF(AD22=0,0,AF22/AD22)</f>
        <v>0.91907008188535844</v>
      </c>
      <c r="AI22" s="2504">
        <f>SUM(AI17:AI21)</f>
        <v>1326831.9234500001</v>
      </c>
      <c r="AJ22" s="2502"/>
      <c r="AK22" s="2503"/>
      <c r="AL22" s="2526">
        <f>AG22</f>
        <v>0.91907008188535844</v>
      </c>
      <c r="AM22" s="2559"/>
      <c r="AN22" s="2527">
        <v>1388174793623</v>
      </c>
      <c r="AO22" s="2503"/>
      <c r="AP22" s="2502"/>
      <c r="AQ22" s="2526">
        <f>IF(AN22=0,0,AP22/AN22)</f>
        <v>0</v>
      </c>
      <c r="AR22" s="2526"/>
      <c r="AS22" s="2504">
        <f>SUM(AS17:AS21)</f>
        <v>1388174793623</v>
      </c>
      <c r="AT22" s="2502"/>
      <c r="AU22" s="2503"/>
      <c r="AV22" s="2526">
        <f>AQ22</f>
        <v>0</v>
      </c>
      <c r="AW22" s="2559"/>
      <c r="AX22" s="2527">
        <v>1388174793623</v>
      </c>
      <c r="AY22" s="2486" t="s">
        <v>1328</v>
      </c>
      <c r="AZ22" s="2502"/>
      <c r="BA22" s="2526">
        <f>IF(AX22=0,0,AZ22/AX22)</f>
        <v>0</v>
      </c>
      <c r="BB22" s="2597"/>
      <c r="BC22" t="s">
        <v>1333</v>
      </c>
      <c r="BD22" s="2504">
        <f>SUM(BD17:BD21)</f>
        <v>1400674793623</v>
      </c>
      <c r="BE22" s="2502">
        <f>SUM(BE17:BE21)</f>
        <v>1371055427733.2751</v>
      </c>
      <c r="BF22" s="2503"/>
      <c r="BG22" s="2526">
        <f t="shared" si="4"/>
        <v>0.97885350259419523</v>
      </c>
      <c r="BH22" s="2559"/>
      <c r="BI22" s="7796">
        <f>SUM(BI17:BI21)</f>
        <v>1519654058520</v>
      </c>
      <c r="BJ22" s="2502"/>
      <c r="BK22" s="7956">
        <f>SUM(BK17:BK20)</f>
        <v>1487100566867.1267</v>
      </c>
      <c r="BL22" s="2526">
        <f>IF(BI22=0,0,BK22/BI22)</f>
        <v>0.97857835375731672</v>
      </c>
      <c r="BM22" s="2526">
        <f>IF(BJ22=0,0,BL22/BJ22)</f>
        <v>0</v>
      </c>
    </row>
    <row r="23" spans="1:65" ht="14.5" x14ac:dyDescent="0.3">
      <c r="A23" s="9290"/>
      <c r="B23" s="2528" t="s">
        <v>904</v>
      </c>
      <c r="C23" s="7924"/>
      <c r="D23" s="7925"/>
      <c r="E23" s="7926"/>
      <c r="F23" s="7927" t="s">
        <v>1334</v>
      </c>
      <c r="G23" s="7928"/>
      <c r="H23" s="6239" t="s">
        <v>1126</v>
      </c>
      <c r="I23" s="6241" t="s">
        <v>1335</v>
      </c>
      <c r="J23" s="2529"/>
      <c r="K23" s="7926"/>
      <c r="L23" s="2169"/>
      <c r="M23" s="2530"/>
      <c r="N23" s="6240"/>
      <c r="O23" s="6239"/>
      <c r="P23" s="2531"/>
      <c r="Q23" s="2530"/>
      <c r="R23" s="2529"/>
      <c r="S23" s="6240"/>
      <c r="T23" s="6239"/>
      <c r="U23" s="2530"/>
      <c r="V23" s="2531"/>
      <c r="W23" s="2529"/>
      <c r="X23" s="7926"/>
      <c r="Y23" s="6239"/>
      <c r="Z23" s="2531"/>
      <c r="AA23" s="2530"/>
      <c r="AB23" s="2529"/>
      <c r="AC23" s="6240"/>
      <c r="AD23" s="6239"/>
      <c r="AE23" s="2530"/>
      <c r="AF23" s="2531"/>
      <c r="AG23" s="2529"/>
      <c r="AH23" s="7926"/>
      <c r="AI23" s="6239"/>
      <c r="AJ23" s="2531"/>
      <c r="AK23" s="2530"/>
      <c r="AL23" s="2529"/>
      <c r="AM23" s="6240"/>
      <c r="AN23" s="6241"/>
      <c r="AO23" s="2530"/>
      <c r="AP23" s="2531"/>
      <c r="AQ23" s="2529"/>
      <c r="AR23" s="2529"/>
      <c r="AS23" s="6239"/>
      <c r="AT23" s="2531"/>
      <c r="AU23" s="2530"/>
      <c r="AV23" s="2529"/>
      <c r="AW23" s="6240"/>
      <c r="AX23" s="6241"/>
      <c r="AY23" s="2530"/>
      <c r="AZ23" s="2531"/>
      <c r="BA23" s="2529"/>
      <c r="BB23" s="2529"/>
      <c r="BC23" s="2468"/>
      <c r="BD23" s="6239"/>
      <c r="BE23" s="2531"/>
      <c r="BF23" s="2530"/>
      <c r="BG23" s="2529"/>
      <c r="BH23" s="6240"/>
      <c r="BI23" s="6239"/>
      <c r="BJ23" s="2531"/>
      <c r="BK23" s="2531"/>
      <c r="BL23" s="2529"/>
      <c r="BM23" s="2529"/>
    </row>
    <row r="24" spans="1:65" ht="13" x14ac:dyDescent="0.3">
      <c r="A24" s="9290"/>
      <c r="B24" s="2510"/>
      <c r="C24" s="2511" t="s">
        <v>905</v>
      </c>
      <c r="D24" s="7913"/>
      <c r="F24" s="2532">
        <v>253649.75369300001</v>
      </c>
      <c r="G24" s="7919"/>
      <c r="H24" s="2493">
        <v>321343.23231300001</v>
      </c>
      <c r="I24" s="2533">
        <v>314219.01011899998</v>
      </c>
      <c r="J24" s="2484">
        <f>IF(H24=0,0,I24/H24)</f>
        <v>0.97782986701565022</v>
      </c>
      <c r="L24" s="2534">
        <f>339491356182/1000000</f>
        <v>339491.35618200002</v>
      </c>
      <c r="M24" s="2535">
        <f>L24*J24</f>
        <v>331964.78766840784</v>
      </c>
      <c r="N24" s="6240"/>
      <c r="O24" s="2493">
        <v>339505.48090999998</v>
      </c>
      <c r="P24" s="6240">
        <f>O24*R24</f>
        <v>331978.59924930969</v>
      </c>
      <c r="Q24" s="2535"/>
      <c r="R24" s="2484">
        <f t="shared" si="2"/>
        <v>0.97782986701565022</v>
      </c>
      <c r="S24" s="6240"/>
      <c r="T24" s="2493"/>
      <c r="U24" s="2535"/>
      <c r="V24" s="6240">
        <f>T24*R24</f>
        <v>0</v>
      </c>
      <c r="W24" s="2484">
        <f>IF(T24=0,0,V24/T24)</f>
        <v>0</v>
      </c>
      <c r="Y24" s="2494">
        <v>364751.35665700003</v>
      </c>
      <c r="Z24" s="6240">
        <f>Y24*R24</f>
        <v>356664.77057369234</v>
      </c>
      <c r="AA24" s="2535"/>
      <c r="AB24" s="2484">
        <f>R24</f>
        <v>0.97782986701565022</v>
      </c>
      <c r="AC24" s="6240"/>
      <c r="AD24" s="2494">
        <v>388580.97545600001</v>
      </c>
      <c r="AE24" s="2535"/>
      <c r="AF24" s="6240">
        <f>AD24*AB24</f>
        <v>379966.08355495211</v>
      </c>
      <c r="AG24" s="2484">
        <f>IF(AD24=0,0,AF24/AD24)</f>
        <v>0.97782986701565011</v>
      </c>
      <c r="AI24" s="2494">
        <v>364751.35665700003</v>
      </c>
      <c r="AJ24" s="6240"/>
      <c r="AK24" s="2535"/>
      <c r="AL24" s="2484">
        <f>AB24</f>
        <v>0.97782986701565022</v>
      </c>
      <c r="AM24" s="6240"/>
      <c r="AN24" s="6233">
        <v>409595054343</v>
      </c>
      <c r="AO24" s="2535"/>
      <c r="AP24" s="6240"/>
      <c r="AQ24" s="2484">
        <f>IF(AN24=0,0,AP24/AN24)</f>
        <v>0</v>
      </c>
      <c r="AR24" s="2484"/>
      <c r="AS24" s="2494">
        <f>AN24</f>
        <v>409595054343</v>
      </c>
      <c r="AT24" s="6240"/>
      <c r="AU24" s="2535"/>
      <c r="AV24" s="2484">
        <f>AL24</f>
        <v>0.97782986701565022</v>
      </c>
      <c r="AW24" s="6240"/>
      <c r="AX24" s="6233">
        <v>409183741933</v>
      </c>
      <c r="AY24" s="2535" t="s">
        <v>1328</v>
      </c>
      <c r="AZ24" s="6240"/>
      <c r="BA24" s="2484">
        <f>IF(AX24=0,0,AZ24/AX24)</f>
        <v>0</v>
      </c>
      <c r="BB24" s="2484"/>
      <c r="BC24" s="2490"/>
      <c r="BD24" s="2494">
        <v>409183741933</v>
      </c>
      <c r="BE24" s="6240">
        <f>BD24*BL24</f>
        <v>424438889522.83728</v>
      </c>
      <c r="BF24" s="2535"/>
      <c r="BG24" s="2484">
        <f t="shared" si="4"/>
        <v>1.0372819005901148</v>
      </c>
      <c r="BH24" s="6240"/>
      <c r="BI24" s="7802">
        <v>441719492390</v>
      </c>
      <c r="BJ24" s="6240"/>
      <c r="BK24" s="7795">
        <v>458187634594</v>
      </c>
      <c r="BL24" s="2484">
        <f t="shared" ref="BL24:BM27" si="6">IF(BI24=0,0,BK24/BI24)</f>
        <v>1.0372819005901148</v>
      </c>
      <c r="BM24" s="2484">
        <f t="shared" si="6"/>
        <v>0</v>
      </c>
    </row>
    <row r="25" spans="1:65" ht="13" x14ac:dyDescent="0.3">
      <c r="A25" s="9290"/>
      <c r="B25" s="2510"/>
      <c r="C25" s="2511" t="s">
        <v>907</v>
      </c>
      <c r="D25" s="7913"/>
      <c r="F25" s="2532">
        <v>127778.481314</v>
      </c>
      <c r="G25" s="7919"/>
      <c r="H25" s="2493">
        <v>168200.995918</v>
      </c>
      <c r="I25" s="2533">
        <v>160588.708147</v>
      </c>
      <c r="J25" s="2484">
        <f>IF(H25=0,0,I25/H25)</f>
        <v>0.954742909044896</v>
      </c>
      <c r="L25" s="2534">
        <v>175288.23295899999</v>
      </c>
      <c r="M25" s="2535">
        <f>L25*J25</f>
        <v>167355.19745661507</v>
      </c>
      <c r="N25" s="6240"/>
      <c r="O25" s="2493"/>
      <c r="P25" s="6240"/>
      <c r="Q25" s="2535"/>
      <c r="R25" s="2484"/>
      <c r="S25" s="6240"/>
      <c r="T25" s="2493"/>
      <c r="U25" s="2535"/>
      <c r="V25" s="6240">
        <f>T25*R25</f>
        <v>0</v>
      </c>
      <c r="W25" s="2484">
        <f>IF(T25=0,0,V25/T25)</f>
        <v>0</v>
      </c>
      <c r="Y25" s="2493"/>
      <c r="Z25" s="6240"/>
      <c r="AA25" s="2535"/>
      <c r="AB25" s="2484"/>
      <c r="AC25" s="6240"/>
      <c r="AD25" s="2493"/>
      <c r="AE25" s="2535"/>
      <c r="AF25" s="6240"/>
      <c r="AG25" s="2484">
        <f>IF(AD25=0,0,AF25/AD25)</f>
        <v>0</v>
      </c>
      <c r="AI25" s="2493"/>
      <c r="AJ25" s="6240"/>
      <c r="AK25" s="2535"/>
      <c r="AL25" s="2484"/>
      <c r="AM25" s="6240"/>
      <c r="AN25" s="6233">
        <v>409595054343</v>
      </c>
      <c r="AO25" s="2535"/>
      <c r="AP25" s="6240"/>
      <c r="AQ25" s="2484">
        <f>IF(AN25=0,0,AP25/AN25)</f>
        <v>0</v>
      </c>
      <c r="AR25" s="2484"/>
      <c r="AS25" s="2493">
        <f>AN25</f>
        <v>409595054343</v>
      </c>
      <c r="AT25" s="6240"/>
      <c r="AU25" s="2535"/>
      <c r="AV25" s="2484"/>
      <c r="AW25" s="6240"/>
      <c r="AX25" s="6233"/>
      <c r="AY25" s="2535"/>
      <c r="AZ25" s="6240"/>
      <c r="BA25" s="2484">
        <f>IF(AX25=0,0,AZ25/AX25)</f>
        <v>0</v>
      </c>
      <c r="BB25" s="2484"/>
      <c r="BC25" s="2490"/>
      <c r="BD25" s="2493"/>
      <c r="BE25" s="6240"/>
      <c r="BF25" s="2535"/>
      <c r="BG25" s="2484"/>
      <c r="BH25" s="6240"/>
      <c r="BI25" s="7794"/>
      <c r="BJ25" s="6240"/>
      <c r="BK25" s="7795"/>
      <c r="BL25" s="2484">
        <f t="shared" si="6"/>
        <v>0</v>
      </c>
      <c r="BM25" s="2484">
        <f t="shared" si="6"/>
        <v>0</v>
      </c>
    </row>
    <row r="26" spans="1:65" ht="13" x14ac:dyDescent="0.3">
      <c r="A26" s="9290"/>
      <c r="B26" s="2510"/>
      <c r="C26" s="2511" t="s">
        <v>908</v>
      </c>
      <c r="D26" s="7913"/>
      <c r="F26" s="2532">
        <v>198.39043699999999</v>
      </c>
      <c r="G26" s="7919"/>
      <c r="H26" s="2493">
        <v>142.07313300000001</v>
      </c>
      <c r="I26" s="2533">
        <v>54.737000000000002</v>
      </c>
      <c r="J26" s="2484">
        <f>IF(H26=0,0,I26/H26)</f>
        <v>0.38527340704170998</v>
      </c>
      <c r="L26" s="2534">
        <v>100</v>
      </c>
      <c r="M26" s="2535">
        <f>M25*M28</f>
        <v>57.043372157881514</v>
      </c>
      <c r="N26" s="6240"/>
      <c r="O26" s="2493"/>
      <c r="P26" s="6240"/>
      <c r="Q26" s="2535"/>
      <c r="R26" s="2484"/>
      <c r="S26" s="6240"/>
      <c r="T26" s="2493"/>
      <c r="U26" s="2535"/>
      <c r="V26" s="6240">
        <f>T26*R26</f>
        <v>0</v>
      </c>
      <c r="W26" s="2484">
        <f>IF(T26=0,0,V26/T26)</f>
        <v>0</v>
      </c>
      <c r="Y26" s="2493"/>
      <c r="Z26" s="6240"/>
      <c r="AA26" s="2535"/>
      <c r="AB26" s="2484"/>
      <c r="AC26" s="6240"/>
      <c r="AD26" s="2493"/>
      <c r="AE26" s="2535"/>
      <c r="AF26" s="6240"/>
      <c r="AG26" s="2484">
        <f>IF(AD26=0,0,AF26/AD26)</f>
        <v>0</v>
      </c>
      <c r="AI26" s="2493"/>
      <c r="AJ26" s="6240"/>
      <c r="AK26" s="2535"/>
      <c r="AL26" s="2484"/>
      <c r="AM26" s="6240"/>
      <c r="AN26" s="2559"/>
      <c r="AO26" s="2535"/>
      <c r="AP26" s="6240"/>
      <c r="AQ26" s="2484">
        <f>IF(AN26=0,0,AP26/AN26)</f>
        <v>0</v>
      </c>
      <c r="AR26" s="2484"/>
      <c r="AS26" s="2493"/>
      <c r="AT26" s="6240"/>
      <c r="AU26" s="2535"/>
      <c r="AV26" s="2484"/>
      <c r="AW26" s="6240"/>
      <c r="AX26" s="2559"/>
      <c r="AY26" s="2535"/>
      <c r="AZ26" s="6240"/>
      <c r="BA26" s="2484">
        <f>IF(AX26=0,0,AZ26/AX26)</f>
        <v>0</v>
      </c>
      <c r="BB26" s="2484"/>
      <c r="BC26" s="2490"/>
      <c r="BD26" s="2493"/>
      <c r="BE26" s="6240"/>
      <c r="BF26" s="2535"/>
      <c r="BG26" s="2484"/>
      <c r="BH26" s="6240"/>
      <c r="BI26" s="7794"/>
      <c r="BJ26" s="6240"/>
      <c r="BK26" s="7795"/>
      <c r="BL26" s="2484">
        <f t="shared" si="6"/>
        <v>0</v>
      </c>
      <c r="BM26" s="2484">
        <f t="shared" si="6"/>
        <v>0</v>
      </c>
    </row>
    <row r="27" spans="1:65" ht="13" x14ac:dyDescent="0.3">
      <c r="A27" s="9290"/>
      <c r="B27" s="2510"/>
      <c r="C27" s="2536" t="s">
        <v>910</v>
      </c>
      <c r="D27" s="7913"/>
      <c r="F27" s="2525"/>
      <c r="G27" s="7919"/>
      <c r="H27" s="2537"/>
      <c r="I27" s="2538"/>
      <c r="J27" s="2484">
        <f>IF(H27=0,0,I27/H27)</f>
        <v>0</v>
      </c>
      <c r="L27" s="2539"/>
      <c r="M27" s="2535">
        <f>L27*J27</f>
        <v>0</v>
      </c>
      <c r="N27" s="6240"/>
      <c r="O27" s="2537"/>
      <c r="P27" s="6240"/>
      <c r="Q27" s="2535"/>
      <c r="R27" s="2484"/>
      <c r="S27" s="6240"/>
      <c r="T27" s="2537"/>
      <c r="U27" s="2535"/>
      <c r="V27" s="6240">
        <f>T27*R27</f>
        <v>0</v>
      </c>
      <c r="W27" s="2484">
        <f>IF(T27=0,0,V27/T27)</f>
        <v>0</v>
      </c>
      <c r="Y27" s="2537"/>
      <c r="Z27" s="6240"/>
      <c r="AA27" s="2535"/>
      <c r="AB27" s="2484"/>
      <c r="AC27" s="6240"/>
      <c r="AD27" s="2537"/>
      <c r="AE27" s="2535"/>
      <c r="AF27" s="6240"/>
      <c r="AG27" s="2484">
        <f>IF(AD27=0,0,AF27/AD27)</f>
        <v>0</v>
      </c>
      <c r="AI27" s="2537"/>
      <c r="AJ27" s="6240"/>
      <c r="AK27" s="2535"/>
      <c r="AL27" s="2484"/>
      <c r="AM27" s="6240"/>
      <c r="AN27" s="2559"/>
      <c r="AO27" s="2535"/>
      <c r="AP27" s="6240"/>
      <c r="AQ27" s="2484">
        <f>IF(AN27=0,0,AP27/AN27)</f>
        <v>0</v>
      </c>
      <c r="AR27" s="2484"/>
      <c r="AS27" s="2537"/>
      <c r="AT27" s="6240"/>
      <c r="AU27" s="2535"/>
      <c r="AV27" s="2484"/>
      <c r="AW27" s="6240"/>
      <c r="AX27" s="2559"/>
      <c r="AY27" s="2535"/>
      <c r="AZ27" s="6240"/>
      <c r="BA27" s="2484">
        <f>IF(AX27=0,0,AZ27/AX27)</f>
        <v>0</v>
      </c>
      <c r="BB27" s="2484"/>
      <c r="BC27" s="2490"/>
      <c r="BD27" s="2537"/>
      <c r="BE27" s="6240"/>
      <c r="BF27" s="2535"/>
      <c r="BG27" s="2484"/>
      <c r="BH27" s="6240"/>
      <c r="BI27" s="2537"/>
      <c r="BJ27" s="6240"/>
      <c r="BK27" s="7795"/>
      <c r="BL27" s="2484">
        <f t="shared" si="6"/>
        <v>0</v>
      </c>
      <c r="BM27" s="2484">
        <f t="shared" si="6"/>
        <v>0</v>
      </c>
    </row>
    <row r="28" spans="1:65" s="2548" customFormat="1" ht="13" x14ac:dyDescent="0.3">
      <c r="A28" s="9290"/>
      <c r="B28" s="7929"/>
      <c r="C28" s="7930" t="s">
        <v>914</v>
      </c>
      <c r="D28" s="7931"/>
      <c r="E28" s="7932"/>
      <c r="F28" s="2540">
        <f>IF(F25=0,0,(F26-F27)/F25)</f>
        <v>1.5526122627211364E-3</v>
      </c>
      <c r="G28" s="7933"/>
      <c r="H28" s="2541">
        <f>IF(H25=0,0,(H26-H27)/H25)</f>
        <v>8.4466285246766529E-4</v>
      </c>
      <c r="I28" s="2542">
        <f>IF(I25=0,0,(I26-I27)/I25)</f>
        <v>3.4085210991232799E-4</v>
      </c>
      <c r="J28" s="2543"/>
      <c r="K28" s="7933"/>
      <c r="L28" s="2544">
        <f>IF(L25=0,0,L26/L25)</f>
        <v>5.7048895018178467E-4</v>
      </c>
      <c r="M28" s="2545">
        <f>I28</f>
        <v>3.4085210991232799E-4</v>
      </c>
      <c r="N28" s="2546"/>
      <c r="O28" s="2541">
        <f>IF(O25=0,0,(O26-O27)/O25)</f>
        <v>0</v>
      </c>
      <c r="P28" s="2547">
        <f>IF(P25=0,0,(P26-P27)/P25)</f>
        <v>0</v>
      </c>
      <c r="Q28" s="2545"/>
      <c r="R28" s="2543"/>
      <c r="S28" s="2546"/>
      <c r="T28" s="2541">
        <f>IF(T25=0,0,(T26-T27)/T25)</f>
        <v>0</v>
      </c>
      <c r="U28" s="2545"/>
      <c r="V28" s="2547">
        <f>IF(V25=0,0,(V26-V27)/V25)</f>
        <v>0</v>
      </c>
      <c r="W28" s="2543"/>
      <c r="X28" s="7933"/>
      <c r="Y28" s="2541">
        <f>IF(Y25=0,0,(Y26-Y27)/Y25)</f>
        <v>0</v>
      </c>
      <c r="Z28" s="2547">
        <f>IF(Z25=0,0,(Z26-Z27)/Z25)</f>
        <v>0</v>
      </c>
      <c r="AA28" s="2545"/>
      <c r="AB28" s="2543"/>
      <c r="AC28" s="2546"/>
      <c r="AD28" s="2541">
        <f>IF(AD25=0,0,(AD26-AD27)/AD25)</f>
        <v>0</v>
      </c>
      <c r="AE28" s="2545"/>
      <c r="AF28" s="2547">
        <f>IF(AF25=0,0,(AF26-AF27)/AF25)</f>
        <v>0</v>
      </c>
      <c r="AG28" s="2543"/>
      <c r="AH28" s="7933"/>
      <c r="AI28" s="2541">
        <f>IF(AI25=0,0,(AI26-AI27)/AI25)</f>
        <v>0</v>
      </c>
      <c r="AJ28" s="2547">
        <f>IF(AJ25=0,0,(AJ26-AJ27)/AJ25)</f>
        <v>0</v>
      </c>
      <c r="AK28" s="2545"/>
      <c r="AL28" s="2543"/>
      <c r="AM28" s="2546"/>
      <c r="AN28" s="2541">
        <f>IF(AN25=0,0,(AN26-AN27)/AN25)</f>
        <v>0</v>
      </c>
      <c r="AO28" s="2545"/>
      <c r="AP28" s="2547">
        <f>IF(AP25=0,0,(AP26-AP27)/AP25)</f>
        <v>0</v>
      </c>
      <c r="AQ28" s="2543"/>
      <c r="AR28" s="2543"/>
      <c r="AS28" s="2541">
        <f>IF(AS25=0,0,(AS26-AS27)/AS25)</f>
        <v>0</v>
      </c>
      <c r="AT28" s="2547">
        <f>IF(AT25=0,0,(AT26-AT27)/AT25)</f>
        <v>0</v>
      </c>
      <c r="AU28" s="2545"/>
      <c r="AV28" s="2543"/>
      <c r="AW28" s="2546"/>
      <c r="AX28" s="2541">
        <f>IF(AX25=0,0,(AX26-AX27)/AX25)</f>
        <v>0</v>
      </c>
      <c r="AY28" s="2545"/>
      <c r="AZ28" s="2547">
        <f>IF(AZ25=0,0,(AZ26-AZ27)/AZ25)</f>
        <v>0</v>
      </c>
      <c r="BA28" s="2543"/>
      <c r="BB28" s="2543"/>
      <c r="BC28" s="6242"/>
      <c r="BD28" s="2541">
        <f>IF(BD25=0,0,(BD26-BD27)/BD25)</f>
        <v>0</v>
      </c>
      <c r="BE28" s="2547">
        <f>IF(BE25=0,0,(BE26-BE27)/BE25)</f>
        <v>0</v>
      </c>
      <c r="BF28" s="2545"/>
      <c r="BG28" s="2543"/>
      <c r="BH28" s="2546"/>
      <c r="BI28" s="2541">
        <f>IF(BI25=0,0,(BI26-BI27)/BI25)</f>
        <v>0</v>
      </c>
      <c r="BJ28" s="2547"/>
      <c r="BK28" s="2547">
        <f>IF(BK25=0,0,(BK26-BK27)/BK25)</f>
        <v>0</v>
      </c>
      <c r="BL28" s="2543"/>
      <c r="BM28" s="2543"/>
    </row>
    <row r="29" spans="1:65" x14ac:dyDescent="0.3">
      <c r="A29" s="9290"/>
      <c r="B29" s="7934" t="s">
        <v>915</v>
      </c>
      <c r="C29" s="7935"/>
      <c r="D29" s="7913"/>
      <c r="F29" s="2549"/>
      <c r="H29" s="2507"/>
      <c r="I29" s="2508"/>
      <c r="J29" s="2509"/>
      <c r="L29" s="2507"/>
      <c r="M29" s="2477"/>
      <c r="O29" s="2507"/>
      <c r="P29" s="2478"/>
      <c r="Q29" s="2478"/>
      <c r="R29" s="2509"/>
      <c r="T29" s="2507"/>
      <c r="U29" s="2478"/>
      <c r="V29" s="2478"/>
      <c r="W29" s="2509"/>
      <c r="Y29" s="2507"/>
      <c r="Z29" s="2478"/>
      <c r="AA29" s="2478"/>
      <c r="AB29" s="2509"/>
      <c r="AD29" s="2507"/>
      <c r="AE29" s="2478"/>
      <c r="AF29" s="2478"/>
      <c r="AG29" s="2509"/>
      <c r="AI29" s="2507"/>
      <c r="AJ29" s="2478"/>
      <c r="AK29" s="2478"/>
      <c r="AL29" s="2509"/>
      <c r="AN29" s="2508"/>
      <c r="AO29" s="2478"/>
      <c r="AP29" s="2478"/>
      <c r="AQ29" s="2509"/>
      <c r="AR29" s="2509"/>
      <c r="AS29" s="2507"/>
      <c r="AT29" s="2478"/>
      <c r="AU29" s="2478"/>
      <c r="AV29" s="2509"/>
      <c r="AX29" s="2508"/>
      <c r="AY29" s="2478"/>
      <c r="AZ29" s="2478"/>
      <c r="BA29" s="2509"/>
      <c r="BB29" s="2509"/>
      <c r="BC29" s="2468"/>
      <c r="BD29" s="2507"/>
      <c r="BE29" s="2478"/>
      <c r="BF29" s="2478"/>
      <c r="BG29" s="2509"/>
      <c r="BI29" s="2508"/>
      <c r="BJ29" s="2478"/>
      <c r="BK29" s="2478"/>
      <c r="BL29" s="2509"/>
      <c r="BM29" s="2509"/>
    </row>
    <row r="30" spans="1:65" x14ac:dyDescent="0.3">
      <c r="A30" s="9290"/>
      <c r="B30" s="2550"/>
      <c r="C30" s="2514" t="s">
        <v>1336</v>
      </c>
      <c r="D30" s="7913"/>
      <c r="F30" s="2551"/>
      <c r="H30" s="2552"/>
      <c r="I30" s="2559"/>
      <c r="J30" s="2486"/>
      <c r="L30" s="2552"/>
      <c r="M30" s="2553"/>
      <c r="O30" s="2552"/>
      <c r="R30" s="2486"/>
      <c r="T30" s="2552"/>
      <c r="W30" s="2486"/>
      <c r="Y30" s="2552"/>
      <c r="AB30" s="2486"/>
      <c r="AD30" s="2552"/>
      <c r="AG30" s="2486"/>
      <c r="AI30" s="2552"/>
      <c r="AL30" s="2486"/>
      <c r="AN30" s="2559"/>
      <c r="AQ30" s="2486"/>
      <c r="AR30" s="2486"/>
      <c r="AS30" s="2552"/>
      <c r="AV30" s="2486"/>
      <c r="AX30" s="2559"/>
      <c r="BA30" s="2486"/>
      <c r="BB30" s="2486"/>
      <c r="BC30" s="2490"/>
      <c r="BD30" s="2552"/>
      <c r="BG30" s="2486"/>
      <c r="BI30" s="2559"/>
      <c r="BL30" s="2486"/>
      <c r="BM30" s="2486"/>
    </row>
    <row r="31" spans="1:65" x14ac:dyDescent="0.3">
      <c r="A31" s="9291"/>
      <c r="B31" s="2554"/>
      <c r="C31" s="7936" t="s">
        <v>933</v>
      </c>
      <c r="D31" s="7915"/>
      <c r="F31" s="2555"/>
      <c r="H31" s="2556"/>
      <c r="I31" s="2502"/>
      <c r="J31" s="2503"/>
      <c r="L31" s="2556"/>
      <c r="M31" s="2557"/>
      <c r="O31" s="2556"/>
      <c r="P31" s="2558"/>
      <c r="Q31" s="2558"/>
      <c r="R31" s="2503"/>
      <c r="T31" s="2556"/>
      <c r="U31" s="2558"/>
      <c r="V31" s="2558"/>
      <c r="W31" s="2503"/>
      <c r="Y31" s="2556"/>
      <c r="Z31" s="2558"/>
      <c r="AA31" s="2558"/>
      <c r="AB31" s="2503"/>
      <c r="AD31" s="2556"/>
      <c r="AE31" s="2558"/>
      <c r="AF31" s="2558"/>
      <c r="AG31" s="2503"/>
      <c r="AI31" s="2556"/>
      <c r="AJ31" s="2558"/>
      <c r="AK31" s="2558"/>
      <c r="AL31" s="2503"/>
      <c r="AN31" s="2502"/>
      <c r="AO31" s="2558"/>
      <c r="AP31" s="2558"/>
      <c r="AQ31" s="2503"/>
      <c r="AR31" s="2503"/>
      <c r="AS31" s="2556"/>
      <c r="AT31" s="2558"/>
      <c r="AU31" s="2558"/>
      <c r="AV31" s="2503"/>
      <c r="AX31" s="2502"/>
      <c r="AY31" s="2558"/>
      <c r="AZ31" s="2558"/>
      <c r="BA31" s="2503"/>
      <c r="BB31" s="2503"/>
      <c r="BC31" s="2471"/>
      <c r="BD31" s="2556"/>
      <c r="BE31" s="2558"/>
      <c r="BF31" s="2558"/>
      <c r="BG31" s="2503"/>
      <c r="BI31" s="2502"/>
      <c r="BJ31" s="2558"/>
      <c r="BK31" s="2558"/>
      <c r="BL31" s="2503"/>
      <c r="BM31" s="2503"/>
    </row>
    <row r="32" spans="1:65" x14ac:dyDescent="0.3">
      <c r="F32" s="2559"/>
      <c r="H32" s="2559"/>
      <c r="I32" s="2559"/>
      <c r="J32" s="2559"/>
      <c r="L32" s="2559"/>
      <c r="O32" s="2559"/>
      <c r="R32" s="2559"/>
      <c r="T32" s="2559"/>
      <c r="W32" s="2559"/>
      <c r="Y32" s="2559"/>
      <c r="AB32" s="2559"/>
      <c r="AD32" s="2559"/>
      <c r="AG32" s="2559"/>
      <c r="AI32" s="2559"/>
      <c r="AL32" s="2559"/>
      <c r="AN32" s="2559"/>
      <c r="AQ32" s="2559"/>
      <c r="AR32" s="2559"/>
      <c r="AS32" s="2559"/>
      <c r="AV32" s="2559"/>
      <c r="AX32" s="2559"/>
      <c r="BA32" s="2559"/>
      <c r="BB32" s="2559"/>
      <c r="BD32" s="2559"/>
      <c r="BG32" s="2559"/>
      <c r="BI32" s="2559"/>
      <c r="BL32" s="2559"/>
      <c r="BM32" s="2559"/>
    </row>
    <row r="33" spans="1:65" ht="12" customHeight="1" x14ac:dyDescent="0.3">
      <c r="A33" s="9254" t="s">
        <v>916</v>
      </c>
      <c r="B33" s="2560" t="s">
        <v>427</v>
      </c>
      <c r="C33" s="2473"/>
      <c r="D33" s="7937"/>
      <c r="E33" s="2234"/>
      <c r="F33" s="2036"/>
      <c r="G33" s="2232"/>
      <c r="H33" s="2474" t="s">
        <v>1126</v>
      </c>
      <c r="I33" s="2474" t="s">
        <v>1126</v>
      </c>
      <c r="J33" s="6243"/>
      <c r="K33" s="2234"/>
      <c r="L33" s="2235"/>
      <c r="M33" s="2236"/>
      <c r="O33" s="2036" t="s">
        <v>1337</v>
      </c>
      <c r="P33" s="2472"/>
      <c r="Q33" s="2561"/>
      <c r="R33" s="6243"/>
      <c r="T33" s="2036"/>
      <c r="U33" s="2236"/>
      <c r="V33" s="2472"/>
      <c r="W33" s="6243"/>
      <c r="X33" s="2234"/>
      <c r="Y33" s="2036"/>
      <c r="Z33" s="2472"/>
      <c r="AA33" s="2561"/>
      <c r="AB33" s="6243"/>
      <c r="AD33" s="2036"/>
      <c r="AE33" s="2236"/>
      <c r="AF33" s="2472"/>
      <c r="AG33" s="6243"/>
      <c r="AH33" s="2234"/>
      <c r="AI33" s="2036"/>
      <c r="AJ33" s="2472"/>
      <c r="AK33" s="2561"/>
      <c r="AL33" s="6243"/>
      <c r="AN33" s="2040"/>
      <c r="AO33" s="2236"/>
      <c r="AP33" s="2472"/>
      <c r="AQ33" s="6243"/>
      <c r="AR33" s="6243"/>
      <c r="AS33" s="2036"/>
      <c r="AT33" s="2472"/>
      <c r="AU33" s="2561"/>
      <c r="AV33" s="6243"/>
      <c r="AX33" s="2040"/>
      <c r="AY33" s="2236"/>
      <c r="AZ33" s="2472"/>
      <c r="BA33" s="6243"/>
      <c r="BB33" s="6243"/>
      <c r="BC33" s="2476"/>
      <c r="BD33" s="2036"/>
      <c r="BE33" s="2472"/>
      <c r="BF33" s="2561"/>
      <c r="BG33" s="6243"/>
      <c r="BI33" s="7803"/>
      <c r="BJ33" s="7804"/>
      <c r="BK33" s="7804"/>
      <c r="BL33" s="7805"/>
      <c r="BM33" s="7805"/>
    </row>
    <row r="34" spans="1:65" x14ac:dyDescent="0.3">
      <c r="A34" s="9255"/>
      <c r="B34" s="2528" t="s">
        <v>925</v>
      </c>
      <c r="C34" s="7938"/>
      <c r="D34" s="7939"/>
      <c r="E34" s="7940"/>
      <c r="F34" s="2549"/>
      <c r="G34" s="7940"/>
      <c r="H34" s="2507"/>
      <c r="I34" s="2508"/>
      <c r="J34" s="2509"/>
      <c r="K34" s="7940"/>
      <c r="L34" s="2507"/>
      <c r="M34" s="2553"/>
      <c r="O34" s="2507"/>
      <c r="Q34" s="2553"/>
      <c r="R34" s="2509"/>
      <c r="T34" s="2507"/>
      <c r="U34" s="2553"/>
      <c r="W34" s="2509"/>
      <c r="X34" s="7940"/>
      <c r="Y34" s="2507"/>
      <c r="AA34" s="2553"/>
      <c r="AB34" s="2509"/>
      <c r="AD34" s="2507"/>
      <c r="AE34" s="2553"/>
      <c r="AG34" s="2509"/>
      <c r="AH34" s="7940"/>
      <c r="AI34" s="2507"/>
      <c r="AK34" s="2553"/>
      <c r="AL34" s="2509"/>
      <c r="AN34" s="2559"/>
      <c r="AO34" s="2553"/>
      <c r="AQ34" s="2509"/>
      <c r="AR34" s="2509"/>
      <c r="AS34" s="2507"/>
      <c r="AT34" s="2443" t="s">
        <v>1338</v>
      </c>
      <c r="AU34" s="2553"/>
      <c r="AV34" s="2509"/>
      <c r="AX34" s="2559"/>
      <c r="AY34" s="2443" t="s">
        <v>1338</v>
      </c>
      <c r="BA34" s="2509"/>
      <c r="BB34" s="2509"/>
      <c r="BC34" s="2468"/>
      <c r="BD34" s="2507" t="s">
        <v>1315</v>
      </c>
      <c r="BE34" s="2443" t="s">
        <v>1326</v>
      </c>
      <c r="BF34" s="2553"/>
      <c r="BG34" s="2509"/>
      <c r="BI34" s="2552"/>
      <c r="BJ34" s="2443"/>
      <c r="BL34" s="2509"/>
      <c r="BM34" s="2509"/>
    </row>
    <row r="35" spans="1:65" x14ac:dyDescent="0.3">
      <c r="A35" s="9255"/>
      <c r="B35" s="2562"/>
      <c r="C35" s="2563" t="s">
        <v>1339</v>
      </c>
      <c r="D35" s="7913"/>
      <c r="F35" s="2564">
        <v>147524.15643999999</v>
      </c>
      <c r="H35" s="2487">
        <f>184427.137603-H36</f>
        <v>180995.14324500001</v>
      </c>
      <c r="I35" s="2513">
        <f>174412.191826-I36</f>
        <v>171764.46687800001</v>
      </c>
      <c r="J35" s="2484">
        <f>IF(H35=0,0,I35/H35)</f>
        <v>0.94900041956095416</v>
      </c>
      <c r="L35" s="2487">
        <f>191171.932307-L36</f>
        <v>188504.76401900002</v>
      </c>
      <c r="M35" s="2535">
        <f>L35*J35</f>
        <v>178891.10014326966</v>
      </c>
      <c r="N35" s="6240"/>
      <c r="O35" s="2487">
        <f>297670.830375-109166.066355</f>
        <v>188504.76402</v>
      </c>
      <c r="P35" s="6240">
        <f>O35*R35</f>
        <v>178891.10014421865</v>
      </c>
      <c r="Q35" s="2535"/>
      <c r="R35" s="2484">
        <f>J35</f>
        <v>0.94900041956095416</v>
      </c>
      <c r="S35" s="6240"/>
      <c r="T35" s="2487">
        <f>243182.719893-14335.022882</f>
        <v>228847.69701100001</v>
      </c>
      <c r="U35" s="2535"/>
      <c r="V35" s="6240">
        <f>T35*R35</f>
        <v>217176.56047899713</v>
      </c>
      <c r="W35" s="2484">
        <f>IF(T35=0,0,V35/T35)</f>
        <v>0.94900041956095416</v>
      </c>
      <c r="Y35" s="2489">
        <f>T35</f>
        <v>228847.69701100001</v>
      </c>
      <c r="Z35" s="6240">
        <f>Y35*AB35</f>
        <v>217176.56047899713</v>
      </c>
      <c r="AA35" s="2535"/>
      <c r="AB35" s="2484">
        <f>W35</f>
        <v>0.94900041956095416</v>
      </c>
      <c r="AC35" s="6240"/>
      <c r="AD35" s="2489">
        <v>268665.09342400002</v>
      </c>
      <c r="AE35" s="2535"/>
      <c r="AF35" s="6240">
        <f>AD35*AB35</f>
        <v>254963.28638075897</v>
      </c>
      <c r="AG35" s="2484">
        <f>IF(AD35=0,0,AF35/AD35)</f>
        <v>0.94900041956095416</v>
      </c>
      <c r="AI35" s="2489">
        <f>AD35</f>
        <v>268665.09342400002</v>
      </c>
      <c r="AJ35" s="6240"/>
      <c r="AK35" s="2535"/>
      <c r="AL35" s="2484">
        <f>AG35</f>
        <v>0.94900041956095416</v>
      </c>
      <c r="AM35" s="6240"/>
      <c r="AN35" s="6233">
        <v>288514638015</v>
      </c>
      <c r="AO35" s="2535"/>
      <c r="AP35" s="6240"/>
      <c r="AQ35" s="2484">
        <f>IF(AN35=0,0,AP35/AN35)</f>
        <v>0</v>
      </c>
      <c r="AR35" s="2484"/>
      <c r="AS35" s="2489">
        <f>288514638015-AS36</f>
        <v>286982337042</v>
      </c>
      <c r="AT35" s="6244" t="s">
        <v>1338</v>
      </c>
      <c r="AU35" s="2535"/>
      <c r="AV35" s="2484">
        <f>AQ35</f>
        <v>0</v>
      </c>
      <c r="AW35" s="6240"/>
      <c r="AX35" s="6233">
        <v>288514638015</v>
      </c>
      <c r="AY35" s="6244" t="s">
        <v>1338</v>
      </c>
      <c r="AZ35" s="6240"/>
      <c r="BA35" s="2484">
        <f>IF(AX35=0,0,AZ35/AX35)</f>
        <v>0</v>
      </c>
      <c r="BB35" s="2484"/>
      <c r="BC35" s="2490"/>
      <c r="BD35" s="2489">
        <f>247926202135-BD36+BD37</f>
        <v>250917901162</v>
      </c>
      <c r="BE35" s="6244">
        <f>BD35*BL35</f>
        <v>268196953321.17328</v>
      </c>
      <c r="BF35" s="2535" t="s">
        <v>1340</v>
      </c>
      <c r="BG35" s="2484">
        <f t="shared" ref="BG35:BG39" si="7">BE35/BD35</f>
        <v>1.0688633695689069</v>
      </c>
      <c r="BH35" s="6240"/>
      <c r="BI35" s="7806">
        <f>238596466942+6887712813+21411216463</f>
        <v>266895396218</v>
      </c>
      <c r="BJ35" s="6244"/>
      <c r="BK35" s="7795">
        <f>257613738818+6396460295+21264513411</f>
        <v>285274712524</v>
      </c>
      <c r="BL35" s="2484">
        <f>IF(BI35=0,0,BK35/BI35)</f>
        <v>1.0688633695689069</v>
      </c>
      <c r="BM35" s="2484">
        <f>IF(BJ35=0,0,BL35/BJ35)</f>
        <v>0</v>
      </c>
    </row>
    <row r="36" spans="1:65" x14ac:dyDescent="0.3">
      <c r="A36" s="9255"/>
      <c r="B36" s="2562"/>
      <c r="C36" s="2563" t="s">
        <v>1341</v>
      </c>
      <c r="D36" s="7913"/>
      <c r="F36" s="2564"/>
      <c r="H36" s="2487">
        <v>3431.9943579999999</v>
      </c>
      <c r="I36" s="2513">
        <v>2647.724948</v>
      </c>
      <c r="J36" s="2484">
        <f>IF(H36=0,0,I36/H36)</f>
        <v>0.77148289647625345</v>
      </c>
      <c r="L36" s="2487">
        <v>2667.1682879999998</v>
      </c>
      <c r="M36" s="2535">
        <f>L36*J36</f>
        <v>2057.6747162158499</v>
      </c>
      <c r="N36" s="6240"/>
      <c r="O36" s="2487">
        <f>2667.168288+106498.898067</f>
        <v>109166.066355</v>
      </c>
      <c r="P36" s="6240">
        <f>O36*R36</f>
        <v>84219.753068474281</v>
      </c>
      <c r="Q36" s="2535"/>
      <c r="R36" s="2484">
        <f>J36</f>
        <v>0.77148289647625345</v>
      </c>
      <c r="S36" s="6240"/>
      <c r="T36" s="2487">
        <v>14335.022888199999</v>
      </c>
      <c r="U36" s="2535"/>
      <c r="V36" s="6240">
        <f>T36*R36</f>
        <v>11059.224978841923</v>
      </c>
      <c r="W36" s="2484">
        <f>IF(T36=0,0,V36/T36)</f>
        <v>0.77148289647625345</v>
      </c>
      <c r="Y36" s="2489">
        <f>T36</f>
        <v>14335.022888199999</v>
      </c>
      <c r="Z36" s="6240">
        <f>Y36*AB36</f>
        <v>11059.224978841923</v>
      </c>
      <c r="AA36" s="2535"/>
      <c r="AB36" s="2484">
        <f>W36</f>
        <v>0.77148289647625345</v>
      </c>
      <c r="AC36" s="6240"/>
      <c r="AD36" s="2489">
        <v>6092.3009730000003</v>
      </c>
      <c r="AE36" s="2535"/>
      <c r="AF36" s="6240">
        <f>AD36*AB36</f>
        <v>4700.1060008551376</v>
      </c>
      <c r="AG36" s="2484">
        <f>IF(AD36=0,0,AF36/AD36)</f>
        <v>0.77148289647625345</v>
      </c>
      <c r="AI36" s="2489">
        <f>AD36</f>
        <v>6092.3009730000003</v>
      </c>
      <c r="AJ36" s="6240"/>
      <c r="AK36" s="2535"/>
      <c r="AL36" s="2484">
        <f>AG36</f>
        <v>0.77148289647625345</v>
      </c>
      <c r="AM36" s="6240"/>
      <c r="AN36" s="6233">
        <v>1532300973</v>
      </c>
      <c r="AO36" s="2535"/>
      <c r="AP36" s="6240"/>
      <c r="AQ36" s="2484">
        <f>IF(AN36=0,0,AP36/AN36)</f>
        <v>0</v>
      </c>
      <c r="AR36" s="2484"/>
      <c r="AS36" s="2489">
        <v>1532300973</v>
      </c>
      <c r="AT36" s="6244" t="s">
        <v>1342</v>
      </c>
      <c r="AU36" s="2535"/>
      <c r="AV36" s="2484">
        <f>AQ36</f>
        <v>0</v>
      </c>
      <c r="AW36" s="6240"/>
      <c r="AX36" s="6233">
        <v>1532300973</v>
      </c>
      <c r="AY36" s="6244" t="s">
        <v>1342</v>
      </c>
      <c r="AZ36" s="6240"/>
      <c r="BA36" s="2484">
        <f>IF(AX36=0,0,AZ36/AX36)</f>
        <v>0</v>
      </c>
      <c r="BB36" s="2484"/>
      <c r="BC36" s="2490"/>
      <c r="BD36" s="2489">
        <v>1608300973</v>
      </c>
      <c r="BE36" s="6244">
        <f t="shared" ref="BE36:BE39" si="8">BD36*BL36</f>
        <v>1273193350.1161008</v>
      </c>
      <c r="BF36" s="2535"/>
      <c r="BG36" s="2484">
        <f t="shared" si="7"/>
        <v>0.79163873646186045</v>
      </c>
      <c r="BH36" s="6240"/>
      <c r="BI36" s="7806">
        <v>3231329987</v>
      </c>
      <c r="BJ36" s="6244"/>
      <c r="BK36" s="7795">
        <v>2558045988</v>
      </c>
      <c r="BL36" s="2484">
        <f>IF(BI36=0,0,BK36/BI36)</f>
        <v>0.79163873646186045</v>
      </c>
      <c r="BM36" s="2484">
        <f>IF(BJ36=0,0,BL36/BJ36)</f>
        <v>0</v>
      </c>
    </row>
    <row r="37" spans="1:65" x14ac:dyDescent="0.3">
      <c r="A37" s="9255"/>
      <c r="B37" s="2562"/>
      <c r="C37" s="2563" t="s">
        <v>1343</v>
      </c>
      <c r="D37" s="7913"/>
      <c r="F37" s="2564"/>
      <c r="H37" s="2487">
        <f>267400.702-H35-H36</f>
        <v>82973.56439699998</v>
      </c>
      <c r="I37" s="2565">
        <f>H37*J37</f>
        <v>64012.685791956486</v>
      </c>
      <c r="J37" s="2484">
        <f>J36</f>
        <v>0.77148289647625345</v>
      </c>
      <c r="L37" s="2487">
        <v>106498.898067</v>
      </c>
      <c r="M37" s="2535">
        <f>L37*J37</f>
        <v>82162.078352258439</v>
      </c>
      <c r="N37" s="6240"/>
      <c r="O37" s="2487"/>
      <c r="P37" s="6240"/>
      <c r="Q37" s="2535"/>
      <c r="R37" s="2484"/>
      <c r="S37" s="6240"/>
      <c r="T37" s="2487"/>
      <c r="U37" s="2535"/>
      <c r="V37" s="6240"/>
      <c r="W37" s="2484"/>
      <c r="Y37" s="2487"/>
      <c r="Z37" s="6240"/>
      <c r="AA37" s="2535"/>
      <c r="AB37" s="2484"/>
      <c r="AC37" s="6240"/>
      <c r="AD37" s="2487"/>
      <c r="AE37" s="2535"/>
      <c r="AF37" s="6240"/>
      <c r="AG37" s="2484"/>
      <c r="AI37" s="2487"/>
      <c r="AJ37" s="6240"/>
      <c r="AK37" s="2535"/>
      <c r="AL37" s="2484"/>
      <c r="AM37" s="6240"/>
      <c r="AN37" s="6233">
        <v>460000000</v>
      </c>
      <c r="AO37" s="2535"/>
      <c r="AP37" s="6240"/>
      <c r="AQ37" s="2484"/>
      <c r="AR37" s="2484"/>
      <c r="AS37" s="2487">
        <v>4600000000</v>
      </c>
      <c r="AT37" s="6244" t="s">
        <v>1342</v>
      </c>
      <c r="AU37" s="2535"/>
      <c r="AV37" s="2484"/>
      <c r="AW37" s="6240"/>
      <c r="AX37" s="2559">
        <v>4600000000</v>
      </c>
      <c r="AY37" s="6244" t="s">
        <v>1342</v>
      </c>
      <c r="AZ37" s="6240"/>
      <c r="BA37" s="2484"/>
      <c r="BB37" s="2484"/>
      <c r="BC37" s="2490"/>
      <c r="BD37" s="2487">
        <v>4600000000</v>
      </c>
      <c r="BE37" s="6244">
        <f>BD37*BG36</f>
        <v>3641538187.7245579</v>
      </c>
      <c r="BF37" s="2535"/>
      <c r="BG37" s="2484">
        <f t="shared" si="7"/>
        <v>0.79163873646186045</v>
      </c>
      <c r="BH37" s="6240"/>
      <c r="BI37" s="2552">
        <v>0</v>
      </c>
      <c r="BJ37" s="6244"/>
      <c r="BK37" s="7795"/>
      <c r="BL37" s="2484"/>
      <c r="BM37" s="2484"/>
    </row>
    <row r="38" spans="1:65" x14ac:dyDescent="0.3">
      <c r="A38" s="9255"/>
      <c r="B38" s="2562"/>
      <c r="C38" s="2563" t="s">
        <v>1344</v>
      </c>
      <c r="D38" s="7913"/>
      <c r="F38" s="2566">
        <v>40416.011497</v>
      </c>
      <c r="H38" s="2496">
        <f>48042.98802-H39</f>
        <v>46394.888019999999</v>
      </c>
      <c r="I38" s="2521">
        <f>44747.912034-I39</f>
        <v>43867.598804000001</v>
      </c>
      <c r="J38" s="2484">
        <f>IF(H38=0,0,I38/H38)</f>
        <v>0.94552655855294809</v>
      </c>
      <c r="L38" s="2496">
        <v>48892.768193000004</v>
      </c>
      <c r="M38" s="2535">
        <f>L38*J38</f>
        <v>46229.410847654333</v>
      </c>
      <c r="N38" s="6240"/>
      <c r="O38" s="2496">
        <f>48892.768193-O39</f>
        <v>48720.210213000006</v>
      </c>
      <c r="P38" s="6240">
        <f>O38*R38</f>
        <v>46066.252694674091</v>
      </c>
      <c r="Q38" s="2535"/>
      <c r="R38" s="2484">
        <f>J38</f>
        <v>0.94552655855294809</v>
      </c>
      <c r="S38" s="6240"/>
      <c r="T38" s="2496"/>
      <c r="U38" s="2535"/>
      <c r="V38" s="6240">
        <f>T38*R38</f>
        <v>0</v>
      </c>
      <c r="W38" s="2484">
        <f>IF(T38=0,0,V38/T38)</f>
        <v>0</v>
      </c>
      <c r="Y38" s="2496"/>
      <c r="Z38" s="6240"/>
      <c r="AA38" s="2535"/>
      <c r="AB38" s="2484"/>
      <c r="AC38" s="6240"/>
      <c r="AD38" s="2496"/>
      <c r="AE38" s="2535"/>
      <c r="AF38" s="6240"/>
      <c r="AG38" s="2484">
        <f>IF(AD38=0,0,AF38/AD38)</f>
        <v>0</v>
      </c>
      <c r="AI38" s="2496"/>
      <c r="AJ38" s="6240"/>
      <c r="AK38" s="2535"/>
      <c r="AL38" s="2484"/>
      <c r="AM38" s="6240"/>
      <c r="AN38" s="2559"/>
      <c r="AO38" s="2535"/>
      <c r="AP38" s="6240"/>
      <c r="AQ38" s="2484">
        <f>IF(AN38=0,0,AP38/AN38)</f>
        <v>0</v>
      </c>
      <c r="AR38" s="2484"/>
      <c r="AS38" s="2496"/>
      <c r="AT38" s="6240"/>
      <c r="AU38" s="2535"/>
      <c r="AV38" s="2484"/>
      <c r="AW38" s="6240"/>
      <c r="AX38" s="2559"/>
      <c r="AY38" s="2535"/>
      <c r="AZ38" s="6240"/>
      <c r="BA38" s="2484">
        <f>IF(AX38=0,0,AZ38/AX38)</f>
        <v>0</v>
      </c>
      <c r="BB38" s="2484"/>
      <c r="BC38" s="2490"/>
      <c r="BD38" s="2496">
        <f>44727336609-BD39</f>
        <v>44687336609</v>
      </c>
      <c r="BE38" s="6244">
        <f t="shared" si="8"/>
        <v>44378555021.042908</v>
      </c>
      <c r="BF38" s="2535" t="s">
        <v>1345</v>
      </c>
      <c r="BG38" s="2484">
        <f t="shared" si="7"/>
        <v>0.99309017696313318</v>
      </c>
      <c r="BH38" s="6240"/>
      <c r="BI38" s="2552">
        <f>546354658+163431559+44554588765</f>
        <v>45264374982</v>
      </c>
      <c r="BJ38" s="6240"/>
      <c r="BK38" s="7795">
        <f>491207351+154889964+44305508846</f>
        <v>44951606161</v>
      </c>
      <c r="BL38" s="2484">
        <f>IF(BI38=0,0,BK38/BI38)</f>
        <v>0.99309017696313318</v>
      </c>
      <c r="BM38" s="2484">
        <f>IF(BJ38=0,0,BL38/BJ38)</f>
        <v>0</v>
      </c>
    </row>
    <row r="39" spans="1:65" x14ac:dyDescent="0.3">
      <c r="A39" s="9255"/>
      <c r="B39" s="2562"/>
      <c r="C39" s="2563" t="s">
        <v>1346</v>
      </c>
      <c r="D39" s="7913"/>
      <c r="F39" s="2567"/>
      <c r="H39" s="2568">
        <v>1648.1</v>
      </c>
      <c r="I39" s="6245">
        <v>880.31322999999998</v>
      </c>
      <c r="J39" s="2484">
        <f>IF(H39=0,0,I39/H39)</f>
        <v>0.53413823797099691</v>
      </c>
      <c r="L39" s="2568"/>
      <c r="M39" s="2535">
        <f>L39*J39</f>
        <v>0</v>
      </c>
      <c r="N39" s="6240"/>
      <c r="O39" s="2568">
        <v>172.55797999999999</v>
      </c>
      <c r="P39" s="6240">
        <f>O39*R39</f>
        <v>92.169815385034525</v>
      </c>
      <c r="Q39" s="2535"/>
      <c r="R39" s="2484">
        <f>J39</f>
        <v>0.53413823797099691</v>
      </c>
      <c r="S39" s="6240"/>
      <c r="T39" s="2568"/>
      <c r="U39" s="2535"/>
      <c r="V39" s="6240">
        <f>T39*R39</f>
        <v>0</v>
      </c>
      <c r="W39" s="2484">
        <f>IF(T39=0,0,V39/T39)</f>
        <v>0</v>
      </c>
      <c r="Y39" s="2568"/>
      <c r="Z39" s="6240"/>
      <c r="AA39" s="2535"/>
      <c r="AB39" s="2484"/>
      <c r="AC39" s="6240"/>
      <c r="AD39" s="2568"/>
      <c r="AE39" s="2535"/>
      <c r="AF39" s="6240"/>
      <c r="AG39" s="2484">
        <f>IF(AD39=0,0,AF39/AD39)</f>
        <v>0</v>
      </c>
      <c r="AI39" s="2568"/>
      <c r="AJ39" s="6240"/>
      <c r="AK39" s="2535"/>
      <c r="AL39" s="2484"/>
      <c r="AM39" s="6240"/>
      <c r="AN39" s="2559"/>
      <c r="AO39" s="2535"/>
      <c r="AP39" s="6240"/>
      <c r="AQ39" s="2484">
        <f>IF(AN39=0,0,AP39/AN39)</f>
        <v>0</v>
      </c>
      <c r="AR39" s="2484"/>
      <c r="AS39" s="2568"/>
      <c r="AT39" s="6240"/>
      <c r="AU39" s="2535"/>
      <c r="AV39" s="2484"/>
      <c r="AW39" s="6240"/>
      <c r="AX39" s="2559"/>
      <c r="AY39" s="2535"/>
      <c r="AZ39" s="6240"/>
      <c r="BA39" s="2484">
        <f>IF(AX39=0,0,AZ39/AX39)</f>
        <v>0</v>
      </c>
      <c r="BB39" s="2484"/>
      <c r="BC39" s="2490"/>
      <c r="BD39" s="2568">
        <v>40000000</v>
      </c>
      <c r="BE39" s="6244">
        <f t="shared" si="8"/>
        <v>37488600</v>
      </c>
      <c r="BF39" s="2535"/>
      <c r="BG39" s="2484">
        <f t="shared" si="7"/>
        <v>0.93721500000000002</v>
      </c>
      <c r="BH39" s="6240"/>
      <c r="BI39" s="2552">
        <v>40000000</v>
      </c>
      <c r="BJ39" s="7807" t="s">
        <v>1347</v>
      </c>
      <c r="BK39" s="7795">
        <v>37488600</v>
      </c>
      <c r="BL39" s="2484">
        <f>IF(BI39=0,0,BK39/BI39)</f>
        <v>0.93721500000000002</v>
      </c>
      <c r="BM39" s="2484" t="e">
        <f>IF(BJ39=0,0,BL39/BJ39)</f>
        <v>#VALUE!</v>
      </c>
    </row>
    <row r="40" spans="1:65" x14ac:dyDescent="0.3">
      <c r="A40" s="9255"/>
      <c r="B40" s="2562"/>
      <c r="C40" s="7941"/>
      <c r="D40" s="7913"/>
      <c r="F40" s="2567"/>
      <c r="H40" s="2568"/>
      <c r="I40" s="6245"/>
      <c r="J40" s="2484"/>
      <c r="L40" s="2568"/>
      <c r="M40" s="2535"/>
      <c r="N40" s="6240"/>
      <c r="O40" s="2568"/>
      <c r="P40" s="6240"/>
      <c r="Q40" s="2535"/>
      <c r="R40" s="2484"/>
      <c r="S40" s="6240"/>
      <c r="T40" s="2568"/>
      <c r="U40" s="2535"/>
      <c r="V40" s="6240"/>
      <c r="W40" s="2484"/>
      <c r="Y40" s="2568"/>
      <c r="Z40" s="6240"/>
      <c r="AA40" s="2535"/>
      <c r="AB40" s="2484"/>
      <c r="AC40" s="6240"/>
      <c r="AD40" s="2568"/>
      <c r="AE40" s="2535"/>
      <c r="AF40" s="6240"/>
      <c r="AG40" s="2484"/>
      <c r="AI40" s="2568"/>
      <c r="AJ40" s="6240"/>
      <c r="AK40" s="2535"/>
      <c r="AL40" s="2484"/>
      <c r="AM40" s="6240"/>
      <c r="AN40" s="2559"/>
      <c r="AO40" s="2535"/>
      <c r="AP40" s="6240"/>
      <c r="AQ40" s="2484"/>
      <c r="AR40" s="2484"/>
      <c r="AS40" s="2568"/>
      <c r="AT40" s="6240"/>
      <c r="AU40" s="2535"/>
      <c r="AV40" s="2484"/>
      <c r="AW40" s="6240"/>
      <c r="AX40" s="2559"/>
      <c r="AY40" s="2535"/>
      <c r="AZ40" s="6240"/>
      <c r="BA40" s="2484"/>
      <c r="BB40" s="2484"/>
      <c r="BC40" s="2490"/>
      <c r="BD40" s="2568"/>
      <c r="BE40" s="6244"/>
      <c r="BF40" s="2535"/>
      <c r="BG40" s="2484"/>
      <c r="BH40" s="6240"/>
      <c r="BI40" s="2552">
        <v>2576149800</v>
      </c>
      <c r="BJ40" s="7807" t="s">
        <v>1348</v>
      </c>
      <c r="BK40" s="6240">
        <f>BI40*BL40</f>
        <v>2414406234.8070002</v>
      </c>
      <c r="BL40" s="2484">
        <f>BL39</f>
        <v>0.93721500000000002</v>
      </c>
      <c r="BM40" s="2484" t="e">
        <f>BM39</f>
        <v>#VALUE!</v>
      </c>
    </row>
    <row r="41" spans="1:65" x14ac:dyDescent="0.3">
      <c r="A41" s="9255"/>
      <c r="B41" s="2569" t="s">
        <v>940</v>
      </c>
      <c r="C41" s="2553"/>
      <c r="D41" s="7942"/>
      <c r="E41" s="7940"/>
      <c r="F41" s="2551"/>
      <c r="G41" s="7940"/>
      <c r="H41" s="2552"/>
      <c r="I41" s="2559"/>
      <c r="J41" s="2486"/>
      <c r="K41" s="7940"/>
      <c r="L41" s="2552"/>
      <c r="M41" s="2570"/>
      <c r="N41" s="2586"/>
      <c r="O41" s="2552"/>
      <c r="P41" s="2586"/>
      <c r="Q41" s="2570"/>
      <c r="R41" s="2486"/>
      <c r="S41" s="2586"/>
      <c r="T41" s="2552"/>
      <c r="U41" s="2570"/>
      <c r="V41" s="2586"/>
      <c r="W41" s="2486"/>
      <c r="X41" s="7940"/>
      <c r="Y41" s="2552"/>
      <c r="Z41" s="2586"/>
      <c r="AA41" s="2570"/>
      <c r="AB41" s="2486"/>
      <c r="AC41" s="2586"/>
      <c r="AD41" s="2552"/>
      <c r="AE41" s="2570"/>
      <c r="AF41" s="2586"/>
      <c r="AG41" s="2486"/>
      <c r="AH41" s="7940"/>
      <c r="AI41" s="2552"/>
      <c r="AJ41" s="2586"/>
      <c r="AK41" s="2570"/>
      <c r="AL41" s="2486"/>
      <c r="AM41" s="2586"/>
      <c r="AN41" s="2559"/>
      <c r="AO41" s="2570"/>
      <c r="AP41" s="2586"/>
      <c r="AQ41" s="2486"/>
      <c r="AR41" s="2486"/>
      <c r="AS41" s="2552"/>
      <c r="AT41" s="2586"/>
      <c r="AU41" s="2570"/>
      <c r="AV41" s="2486"/>
      <c r="AW41" s="2586"/>
      <c r="AX41" s="2559"/>
      <c r="AY41" s="2570"/>
      <c r="AZ41" s="2586"/>
      <c r="BA41" s="2486"/>
      <c r="BB41" s="2486"/>
      <c r="BC41" s="2490"/>
      <c r="BD41" s="2552"/>
      <c r="BE41" s="2586"/>
      <c r="BF41" s="7808"/>
      <c r="BG41" s="2486"/>
      <c r="BH41" s="2586"/>
      <c r="BI41" s="2552"/>
      <c r="BJ41" s="2586"/>
      <c r="BK41" s="2586"/>
      <c r="BL41" s="2486"/>
      <c r="BM41" s="2486"/>
    </row>
    <row r="42" spans="1:65" x14ac:dyDescent="0.3">
      <c r="A42" s="9255"/>
      <c r="B42" s="2562"/>
      <c r="C42" s="2563" t="s">
        <v>941</v>
      </c>
      <c r="D42" s="7913"/>
      <c r="F42" s="2564"/>
      <c r="H42" s="2487"/>
      <c r="I42" s="2513"/>
      <c r="J42" s="2484">
        <f>IF(H42=0,0,I42/H42)</f>
        <v>0</v>
      </c>
      <c r="L42" s="2487"/>
      <c r="M42" s="2535">
        <f>L42*J42</f>
        <v>0</v>
      </c>
      <c r="N42" s="6240"/>
      <c r="O42" s="2487"/>
      <c r="P42" s="6240"/>
      <c r="Q42" s="2535"/>
      <c r="R42" s="2484"/>
      <c r="S42" s="6240"/>
      <c r="T42" s="2487"/>
      <c r="U42" s="2535"/>
      <c r="V42" s="6240"/>
      <c r="W42" s="2484">
        <f>IF(T42=0,0,V42/T42)</f>
        <v>0</v>
      </c>
      <c r="Y42" s="2487"/>
      <c r="Z42" s="6240"/>
      <c r="AA42" s="2535"/>
      <c r="AB42" s="2484"/>
      <c r="AC42" s="6240"/>
      <c r="AD42" s="2487"/>
      <c r="AE42" s="2535"/>
      <c r="AF42" s="6240"/>
      <c r="AG42" s="2484">
        <f>IF(AD42=0,0,AF42/AD42)</f>
        <v>0</v>
      </c>
      <c r="AI42" s="2487"/>
      <c r="AJ42" s="6240"/>
      <c r="AK42" s="2535"/>
      <c r="AL42" s="2484"/>
      <c r="AM42" s="6240"/>
      <c r="AN42" s="6245"/>
      <c r="AO42" s="2535"/>
      <c r="AP42" s="6240"/>
      <c r="AQ42" s="2484">
        <f>IF(AN42=0,0,AP42/AN42)</f>
        <v>0</v>
      </c>
      <c r="AR42" s="2484"/>
      <c r="AS42" s="2487"/>
      <c r="AT42" s="6240"/>
      <c r="AU42" s="2535"/>
      <c r="AV42" s="2484"/>
      <c r="AW42" s="6240"/>
      <c r="AX42" s="6245"/>
      <c r="AY42" s="2535"/>
      <c r="AZ42" s="6240"/>
      <c r="BA42" s="2484">
        <f>IF(AX42=0,0,AZ42/AX42)</f>
        <v>0</v>
      </c>
      <c r="BB42" s="2484"/>
      <c r="BC42" s="2490"/>
      <c r="BD42" s="2487"/>
      <c r="BE42" s="6240"/>
      <c r="BF42" s="2535"/>
      <c r="BG42" s="2484"/>
      <c r="BH42" s="6240"/>
      <c r="BI42" s="2487"/>
      <c r="BJ42" s="6240"/>
      <c r="BK42" s="6240"/>
      <c r="BL42" s="2484">
        <f t="shared" ref="BL42:BM44" si="9">IF(BI42=0,0,BK42/BI42)</f>
        <v>0</v>
      </c>
      <c r="BM42" s="2484">
        <f t="shared" si="9"/>
        <v>0</v>
      </c>
    </row>
    <row r="43" spans="1:65" x14ac:dyDescent="0.3">
      <c r="A43" s="9255"/>
      <c r="B43" s="2562"/>
      <c r="C43" s="2563" t="s">
        <v>942</v>
      </c>
      <c r="D43" s="7913"/>
      <c r="F43" s="2571"/>
      <c r="H43" s="2493"/>
      <c r="I43" s="2533"/>
      <c r="J43" s="2484">
        <f>IF(H43=0,0,I43/H43)</f>
        <v>0</v>
      </c>
      <c r="L43" s="2493"/>
      <c r="M43" s="2535">
        <f>L43*J43</f>
        <v>0</v>
      </c>
      <c r="N43" s="6240"/>
      <c r="O43" s="2493"/>
      <c r="P43" s="6240"/>
      <c r="Q43" s="2535"/>
      <c r="R43" s="2484"/>
      <c r="S43" s="6240"/>
      <c r="T43" s="2493"/>
      <c r="U43" s="2535"/>
      <c r="V43" s="6240"/>
      <c r="W43" s="2484">
        <f>IF(T43=0,0,V43/T43)</f>
        <v>0</v>
      </c>
      <c r="Y43" s="2493"/>
      <c r="Z43" s="6240"/>
      <c r="AA43" s="2535"/>
      <c r="AB43" s="2484"/>
      <c r="AC43" s="6240"/>
      <c r="AD43" s="2493"/>
      <c r="AE43" s="2535"/>
      <c r="AF43" s="6240"/>
      <c r="AG43" s="2484">
        <f>IF(AD43=0,0,AF43/AD43)</f>
        <v>0</v>
      </c>
      <c r="AI43" s="2493"/>
      <c r="AJ43" s="6240"/>
      <c r="AK43" s="2535"/>
      <c r="AL43" s="2484"/>
      <c r="AM43" s="6240"/>
      <c r="AN43" s="6245"/>
      <c r="AO43" s="2535"/>
      <c r="AP43" s="6240"/>
      <c r="AQ43" s="2484">
        <f>IF(AN43=0,0,AP43/AN43)</f>
        <v>0</v>
      </c>
      <c r="AR43" s="2484"/>
      <c r="AS43" s="2493"/>
      <c r="AT43" s="6240"/>
      <c r="AU43" s="2535"/>
      <c r="AV43" s="2484"/>
      <c r="AW43" s="6240"/>
      <c r="AX43" s="6245"/>
      <c r="AY43" s="2535"/>
      <c r="AZ43" s="6240"/>
      <c r="BA43" s="2484">
        <f>IF(AX43=0,0,AZ43/AX43)</f>
        <v>0</v>
      </c>
      <c r="BB43" s="2484"/>
      <c r="BC43" s="2490"/>
      <c r="BD43" s="2493"/>
      <c r="BE43" s="6240"/>
      <c r="BF43" s="2535"/>
      <c r="BG43" s="2484"/>
      <c r="BH43" s="6240"/>
      <c r="BI43" s="2493"/>
      <c r="BJ43" s="6240"/>
      <c r="BK43" s="6240"/>
      <c r="BL43" s="2484">
        <f t="shared" si="9"/>
        <v>0</v>
      </c>
      <c r="BM43" s="2484">
        <f t="shared" si="9"/>
        <v>0</v>
      </c>
    </row>
    <row r="44" spans="1:65" x14ac:dyDescent="0.3">
      <c r="A44" s="9255"/>
      <c r="B44" s="2572"/>
      <c r="C44" s="2573" t="s">
        <v>943</v>
      </c>
      <c r="D44" s="7913"/>
      <c r="F44" s="2574"/>
      <c r="H44" s="2496"/>
      <c r="I44" s="2521"/>
      <c r="J44" s="2484">
        <f>IF(H44=0,0,I44/H44)</f>
        <v>0</v>
      </c>
      <c r="L44" s="2501"/>
      <c r="M44" s="2575">
        <f>L44*J44</f>
        <v>0</v>
      </c>
      <c r="N44" s="6240"/>
      <c r="O44" s="2496"/>
      <c r="P44" s="2576"/>
      <c r="Q44" s="2575"/>
      <c r="R44" s="2484"/>
      <c r="S44" s="6240"/>
      <c r="T44" s="2496"/>
      <c r="U44" s="2575"/>
      <c r="V44" s="2576"/>
      <c r="W44" s="2484">
        <f>IF(T44=0,0,V44/T44)</f>
        <v>0</v>
      </c>
      <c r="Y44" s="2496"/>
      <c r="Z44" s="2576"/>
      <c r="AA44" s="2575"/>
      <c r="AB44" s="2484"/>
      <c r="AC44" s="6240"/>
      <c r="AD44" s="2496"/>
      <c r="AE44" s="2575"/>
      <c r="AF44" s="2576"/>
      <c r="AG44" s="2484">
        <f>IF(AD44=0,0,AF44/AD44)</f>
        <v>0</v>
      </c>
      <c r="AI44" s="2496"/>
      <c r="AJ44" s="2576"/>
      <c r="AK44" s="2575"/>
      <c r="AL44" s="2484"/>
      <c r="AM44" s="6240"/>
      <c r="AN44" s="6245"/>
      <c r="AO44" s="2575"/>
      <c r="AP44" s="2576"/>
      <c r="AQ44" s="2484">
        <f>IF(AN44=0,0,AP44/AN44)</f>
        <v>0</v>
      </c>
      <c r="AR44" s="2484"/>
      <c r="AS44" s="2496"/>
      <c r="AT44" s="2576"/>
      <c r="AU44" s="2575"/>
      <c r="AV44" s="2484"/>
      <c r="AW44" s="6240"/>
      <c r="AX44" s="6245"/>
      <c r="AY44" s="2575"/>
      <c r="AZ44" s="2576"/>
      <c r="BA44" s="2484">
        <f>IF(AX44=0,0,AZ44/AX44)</f>
        <v>0</v>
      </c>
      <c r="BB44" s="2484"/>
      <c r="BC44" s="2471"/>
      <c r="BD44" s="2496"/>
      <c r="BE44" s="2576"/>
      <c r="BF44" s="2575"/>
      <c r="BG44" s="2484"/>
      <c r="BH44" s="6240"/>
      <c r="BI44" s="2496"/>
      <c r="BJ44" s="2576"/>
      <c r="BK44" s="2576"/>
      <c r="BL44" s="2526">
        <f t="shared" si="9"/>
        <v>0</v>
      </c>
      <c r="BM44" s="2526">
        <f t="shared" si="9"/>
        <v>0</v>
      </c>
    </row>
    <row r="45" spans="1:65" x14ac:dyDescent="0.3">
      <c r="A45" s="9255"/>
      <c r="B45" s="2528" t="s">
        <v>944</v>
      </c>
      <c r="C45" s="2477"/>
      <c r="D45" s="7939"/>
      <c r="E45" s="7940"/>
      <c r="F45" s="2549"/>
      <c r="G45" s="7940"/>
      <c r="H45" s="2507"/>
      <c r="I45" s="2508"/>
      <c r="J45" s="2577"/>
      <c r="K45" s="7940"/>
      <c r="L45" s="2552"/>
      <c r="M45" s="2570"/>
      <c r="N45" s="2586"/>
      <c r="O45" s="2507"/>
      <c r="P45" s="2586"/>
      <c r="Q45" s="2570"/>
      <c r="R45" s="2577"/>
      <c r="S45" s="2586"/>
      <c r="T45" s="2507"/>
      <c r="U45" s="2570"/>
      <c r="V45" s="2586"/>
      <c r="W45" s="2577"/>
      <c r="X45" s="7940"/>
      <c r="Y45" s="2507"/>
      <c r="Z45" s="2586"/>
      <c r="AA45" s="2570"/>
      <c r="AB45" s="2577"/>
      <c r="AC45" s="2586"/>
      <c r="AD45" s="2507"/>
      <c r="AE45" s="2570"/>
      <c r="AF45" s="2586"/>
      <c r="AG45" s="2577"/>
      <c r="AH45" s="7940"/>
      <c r="AI45" s="2507"/>
      <c r="AJ45" s="2586"/>
      <c r="AK45" s="2570"/>
      <c r="AL45" s="2577"/>
      <c r="AM45" s="2586"/>
      <c r="AN45" s="2559"/>
      <c r="AO45" s="2570"/>
      <c r="AP45" s="2586"/>
      <c r="AQ45" s="2577"/>
      <c r="AR45" s="2578"/>
      <c r="AS45" s="2507"/>
      <c r="AT45" s="2586"/>
      <c r="AU45" s="2570"/>
      <c r="AV45" s="2577"/>
      <c r="AW45" s="2586"/>
      <c r="AX45" s="2559"/>
      <c r="AY45" s="2570"/>
      <c r="AZ45" s="2586"/>
      <c r="BA45" s="2577"/>
      <c r="BB45" s="2578"/>
      <c r="BC45" s="2490"/>
      <c r="BD45" s="2507"/>
      <c r="BE45" s="2586" t="s">
        <v>1326</v>
      </c>
      <c r="BF45" s="2570"/>
      <c r="BG45" s="2577"/>
      <c r="BH45" s="2586"/>
      <c r="BI45" s="2507"/>
      <c r="BJ45" s="2585"/>
      <c r="BK45" s="7809" t="s">
        <v>1349</v>
      </c>
      <c r="BL45" s="2577"/>
      <c r="BM45" s="2577"/>
    </row>
    <row r="46" spans="1:65" ht="95" x14ac:dyDescent="0.3">
      <c r="A46" s="9255"/>
      <c r="B46" s="2562"/>
      <c r="C46" s="2563" t="s">
        <v>1350</v>
      </c>
      <c r="D46" s="7913"/>
      <c r="F46" s="2564"/>
      <c r="H46" s="2487">
        <v>1588.0923829999999</v>
      </c>
      <c r="I46" s="2513">
        <v>1588.0813129999999</v>
      </c>
      <c r="J46" s="2484">
        <f t="shared" ref="J46:J48" si="10">IF(H46=0,0,I46/H46)</f>
        <v>0.99999302937277545</v>
      </c>
      <c r="L46" s="2487">
        <v>1588.0923829999999</v>
      </c>
      <c r="M46" s="2535">
        <f t="shared" ref="M46:M48" si="11">L46*J46</f>
        <v>1588.0813129999999</v>
      </c>
      <c r="N46" s="6240"/>
      <c r="O46" s="2487">
        <v>1600.220697</v>
      </c>
      <c r="P46" s="6240">
        <f>O46*R46</f>
        <v>1600.2095424580441</v>
      </c>
      <c r="Q46" s="2535"/>
      <c r="R46" s="2484">
        <f>J46</f>
        <v>0.99999302937277545</v>
      </c>
      <c r="S46" s="6240"/>
      <c r="T46" s="2579">
        <f>O46</f>
        <v>1600.220697</v>
      </c>
      <c r="U46" s="2580" t="s">
        <v>1351</v>
      </c>
      <c r="V46" s="6247">
        <f>T46*R46</f>
        <v>1600.2095424580441</v>
      </c>
      <c r="W46" s="2484">
        <f t="shared" ref="W46:W48" si="12">IF(T46=0,0,V46/T46)</f>
        <v>0.99999302937277545</v>
      </c>
      <c r="Y46" s="2489">
        <v>1536.211869</v>
      </c>
      <c r="Z46" s="6240">
        <f>Y46*AB46</f>
        <v>1536.2011606397232</v>
      </c>
      <c r="AA46" s="2535"/>
      <c r="AB46" s="2484">
        <f>W46</f>
        <v>0.99999302937277545</v>
      </c>
      <c r="AC46" s="6240"/>
      <c r="AD46" s="2581">
        <v>1536.211869</v>
      </c>
      <c r="AE46" s="2580"/>
      <c r="AF46" s="6247">
        <f>AD46*AB46</f>
        <v>1536.2011606397232</v>
      </c>
      <c r="AG46" s="2484">
        <f t="shared" ref="AG46:AG48" si="13">IF(AD46=0,0,AF46/AD46)</f>
        <v>0.99999302937277545</v>
      </c>
      <c r="AI46" s="2489">
        <v>1536.211869</v>
      </c>
      <c r="AJ46" s="6240"/>
      <c r="AK46" s="2535"/>
      <c r="AL46" s="2484">
        <f>AG46</f>
        <v>0.99999302937277545</v>
      </c>
      <c r="AM46" s="6240"/>
      <c r="AN46" s="6246"/>
      <c r="AO46" s="7943"/>
      <c r="AP46" s="6247">
        <f>AN46*AL46</f>
        <v>0</v>
      </c>
      <c r="AQ46" s="2484">
        <f t="shared" ref="AQ46:AQ48" si="14">IF(AN46=0,0,AP46/AN46)</f>
        <v>0</v>
      </c>
      <c r="AR46" s="2484"/>
      <c r="AS46" s="6246">
        <v>1497540990</v>
      </c>
      <c r="AT46" s="6240" t="s">
        <v>1352</v>
      </c>
      <c r="AU46" s="2535"/>
      <c r="AV46" s="2484">
        <f>AQ46</f>
        <v>0</v>
      </c>
      <c r="AW46" s="6240"/>
      <c r="AX46" s="6246">
        <v>1497540990</v>
      </c>
      <c r="AY46" s="2535" t="s">
        <v>1353</v>
      </c>
      <c r="AZ46" s="6247">
        <f>AX46*AV46</f>
        <v>0</v>
      </c>
      <c r="BA46" s="2484">
        <f t="shared" ref="BA46:BA48" si="15">IF(AX46=0,0,AZ46/AX46)</f>
        <v>0</v>
      </c>
      <c r="BB46" s="2484"/>
      <c r="BC46" s="2582" t="s">
        <v>1354</v>
      </c>
      <c r="BD46" s="6246">
        <f>AX46</f>
        <v>1497540990</v>
      </c>
      <c r="BE46" s="6240">
        <f>BD46*BL46</f>
        <v>1496043449.01</v>
      </c>
      <c r="BF46" s="2535"/>
      <c r="BG46" s="2484">
        <f>BB46</f>
        <v>0</v>
      </c>
      <c r="BH46" s="6240"/>
      <c r="BI46" s="7810">
        <f>1519540990</f>
        <v>1519540990</v>
      </c>
      <c r="BJ46" s="6240" t="s">
        <v>1355</v>
      </c>
      <c r="BK46" s="7795">
        <f>BI46*BL46</f>
        <v>1518021449.01</v>
      </c>
      <c r="BL46" s="2484">
        <v>0.999</v>
      </c>
      <c r="BM46" s="2484">
        <v>0.999</v>
      </c>
    </row>
    <row r="47" spans="1:65" x14ac:dyDescent="0.3">
      <c r="A47" s="9255"/>
      <c r="B47" s="2562"/>
      <c r="C47" s="2563" t="s">
        <v>1350</v>
      </c>
      <c r="D47" s="7913"/>
      <c r="F47" s="2571"/>
      <c r="H47" s="2493"/>
      <c r="I47" s="2533"/>
      <c r="J47" s="2484">
        <f t="shared" si="10"/>
        <v>0</v>
      </c>
      <c r="L47" s="2493"/>
      <c r="M47" s="2535">
        <f t="shared" si="11"/>
        <v>0</v>
      </c>
      <c r="N47" s="6240"/>
      <c r="O47" s="2493"/>
      <c r="P47" s="6240"/>
      <c r="Q47" s="2535"/>
      <c r="R47" s="2484"/>
      <c r="S47" s="6240"/>
      <c r="T47" s="2493"/>
      <c r="U47" s="2535"/>
      <c r="V47" s="6240"/>
      <c r="W47" s="2484">
        <f t="shared" si="12"/>
        <v>0</v>
      </c>
      <c r="Y47" s="2493"/>
      <c r="Z47" s="6240"/>
      <c r="AA47" s="2535"/>
      <c r="AB47" s="2484"/>
      <c r="AC47" s="6240"/>
      <c r="AD47" s="2493"/>
      <c r="AE47" s="2535"/>
      <c r="AF47" s="6240"/>
      <c r="AG47" s="2484">
        <f t="shared" si="13"/>
        <v>0</v>
      </c>
      <c r="AI47" s="2493"/>
      <c r="AJ47" s="6240"/>
      <c r="AK47" s="2535"/>
      <c r="AL47" s="2484"/>
      <c r="AM47" s="6240"/>
      <c r="AN47" s="6246"/>
      <c r="AO47" s="2535"/>
      <c r="AP47" s="6240"/>
      <c r="AQ47" s="2484">
        <f t="shared" si="14"/>
        <v>0</v>
      </c>
      <c r="AR47" s="2484"/>
      <c r="AS47" s="6246">
        <f>300000000+1614600+271857799</f>
        <v>573472399</v>
      </c>
      <c r="AT47" s="6240" t="s">
        <v>1356</v>
      </c>
      <c r="AU47" s="2535"/>
      <c r="AV47" s="2484"/>
      <c r="AW47" s="6240"/>
      <c r="AX47" s="6248">
        <f>300000000+1614600+271857799</f>
        <v>573472399</v>
      </c>
      <c r="AY47" s="2535" t="s">
        <v>1357</v>
      </c>
      <c r="AZ47" s="6240"/>
      <c r="BA47" s="2484">
        <f t="shared" si="15"/>
        <v>0</v>
      </c>
      <c r="BB47" s="2484"/>
      <c r="BC47" s="2490" t="s">
        <v>1358</v>
      </c>
      <c r="BD47" s="6246">
        <f>AX47</f>
        <v>573472399</v>
      </c>
      <c r="BE47" s="6240">
        <f>BD47*BL47</f>
        <v>561429478.62099993</v>
      </c>
      <c r="BF47" s="2535"/>
      <c r="BG47" s="2484"/>
      <c r="BH47" s="6240"/>
      <c r="BI47" s="7810">
        <f>280000000+1614600+50000000+271857799+50000000</f>
        <v>653472399</v>
      </c>
      <c r="BJ47" s="6240" t="s">
        <v>1359</v>
      </c>
      <c r="BK47" s="7795">
        <f>BI47*BL47</f>
        <v>639749478.62099993</v>
      </c>
      <c r="BL47" s="2484">
        <v>0.97899999999999998</v>
      </c>
      <c r="BM47" s="2484">
        <v>0.97899999999999998</v>
      </c>
    </row>
    <row r="48" spans="1:65" x14ac:dyDescent="0.3">
      <c r="A48" s="9255"/>
      <c r="B48" s="2562"/>
      <c r="C48" s="2563" t="s">
        <v>943</v>
      </c>
      <c r="D48" s="7913"/>
      <c r="F48" s="2571"/>
      <c r="H48" s="2493"/>
      <c r="I48" s="2533"/>
      <c r="J48" s="2484">
        <f t="shared" si="10"/>
        <v>0</v>
      </c>
      <c r="L48" s="2493"/>
      <c r="M48" s="2535">
        <f t="shared" si="11"/>
        <v>0</v>
      </c>
      <c r="N48" s="6240"/>
      <c r="O48" s="2493"/>
      <c r="P48" s="6240"/>
      <c r="Q48" s="2535"/>
      <c r="R48" s="2484"/>
      <c r="S48" s="6240"/>
      <c r="T48" s="2493"/>
      <c r="U48" s="2535"/>
      <c r="V48" s="6240"/>
      <c r="W48" s="2484">
        <f t="shared" si="12"/>
        <v>0</v>
      </c>
      <c r="Y48" s="2493"/>
      <c r="Z48" s="6240"/>
      <c r="AA48" s="2535"/>
      <c r="AB48" s="2484"/>
      <c r="AC48" s="6240"/>
      <c r="AD48" s="2493"/>
      <c r="AE48" s="2535"/>
      <c r="AF48" s="6240"/>
      <c r="AG48" s="2484">
        <f t="shared" si="13"/>
        <v>0</v>
      </c>
      <c r="AI48" s="2493"/>
      <c r="AJ48" s="6240"/>
      <c r="AK48" s="2535"/>
      <c r="AL48" s="2484"/>
      <c r="AM48" s="6240"/>
      <c r="AN48" s="6245"/>
      <c r="AO48" s="2535"/>
      <c r="AP48" s="6240"/>
      <c r="AQ48" s="2484">
        <f t="shared" si="14"/>
        <v>0</v>
      </c>
      <c r="AR48" s="2484"/>
      <c r="AS48" s="2493"/>
      <c r="AT48" s="6240"/>
      <c r="AU48" s="2535"/>
      <c r="AV48" s="2484"/>
      <c r="AW48" s="6240"/>
      <c r="AX48" s="6245"/>
      <c r="AY48" s="2535"/>
      <c r="AZ48" s="6240"/>
      <c r="BA48" s="2484">
        <f t="shared" si="15"/>
        <v>0</v>
      </c>
      <c r="BB48" s="2484"/>
      <c r="BC48" s="2490"/>
      <c r="BD48" s="2493"/>
      <c r="BE48" s="6240"/>
      <c r="BF48" s="2535"/>
      <c r="BG48" s="2484"/>
      <c r="BH48" s="6240"/>
      <c r="BI48" s="7794"/>
      <c r="BJ48" s="6240"/>
      <c r="BK48" s="2538"/>
      <c r="BL48" s="2484">
        <f t="shared" ref="BL48" si="16">IF(BI48=0,0,BK48/BI48)</f>
        <v>0</v>
      </c>
      <c r="BM48" s="2484">
        <f t="shared" ref="BM48" si="17">IF(BJ48=0,0,BL48/BJ48)</f>
        <v>0</v>
      </c>
    </row>
    <row r="49" spans="1:65" x14ac:dyDescent="0.3">
      <c r="A49" s="9255"/>
      <c r="B49" s="2528" t="s">
        <v>965</v>
      </c>
      <c r="C49" s="2477"/>
      <c r="D49" s="7944"/>
      <c r="E49" s="7926"/>
      <c r="F49" s="2549"/>
      <c r="G49" s="7926"/>
      <c r="H49" s="2552"/>
      <c r="I49" s="2559"/>
      <c r="J49" s="2578"/>
      <c r="K49" s="7926"/>
      <c r="L49" s="2507"/>
      <c r="M49" s="2584"/>
      <c r="N49" s="2586"/>
      <c r="O49" s="2552"/>
      <c r="P49" s="2585"/>
      <c r="Q49" s="2584"/>
      <c r="R49" s="2578"/>
      <c r="S49" s="2586"/>
      <c r="T49" s="2552"/>
      <c r="U49" s="2584"/>
      <c r="V49" s="2585"/>
      <c r="W49" s="2578"/>
      <c r="X49" s="7926"/>
      <c r="Y49" s="2552"/>
      <c r="Z49" s="2585"/>
      <c r="AA49" s="2584"/>
      <c r="AB49" s="2578"/>
      <c r="AC49" s="2586"/>
      <c r="AD49" s="2552"/>
      <c r="AE49" s="2584"/>
      <c r="AF49" s="2585"/>
      <c r="AG49" s="2578"/>
      <c r="AH49" s="7926"/>
      <c r="AI49" s="2552"/>
      <c r="AJ49" s="2585"/>
      <c r="AK49" s="2584"/>
      <c r="AL49" s="2578"/>
      <c r="AM49" s="2586"/>
      <c r="AN49" s="2559"/>
      <c r="AO49" s="2584"/>
      <c r="AP49" s="2585"/>
      <c r="AQ49" s="2578"/>
      <c r="AR49" s="2578"/>
      <c r="AS49" s="2552"/>
      <c r="AT49" s="2585"/>
      <c r="AU49" s="2584"/>
      <c r="AV49" s="2578"/>
      <c r="AW49" s="2586"/>
      <c r="AX49" s="2559"/>
      <c r="AY49" s="2584"/>
      <c r="AZ49" s="2585"/>
      <c r="BA49" s="2578"/>
      <c r="BB49" s="2578"/>
      <c r="BC49" s="2468"/>
      <c r="BD49" s="2552"/>
      <c r="BE49" s="2586"/>
      <c r="BF49" s="2570"/>
      <c r="BG49" s="2578"/>
      <c r="BH49" s="2586"/>
      <c r="BI49" s="2552"/>
      <c r="BJ49" s="2586"/>
      <c r="BK49" s="2586"/>
      <c r="BL49" s="2578"/>
      <c r="BM49" s="2578"/>
    </row>
    <row r="50" spans="1:65" x14ac:dyDescent="0.3">
      <c r="A50" s="9255"/>
      <c r="B50" s="2562"/>
      <c r="C50" s="2563" t="s">
        <v>1286</v>
      </c>
      <c r="D50" s="7913"/>
      <c r="F50" s="2564">
        <f>68.991+24.883+1089.677+49.462+23659.696+20.279+22.004+20.592+21.185+42.895+68.547+209.347+78.43+22.662+269.775+29.705+56886.773+53.37+116.542+71.58+1.665+1275.392+55.518+64.548+25.04</f>
        <v>84248.55799999999</v>
      </c>
      <c r="H50" s="2487">
        <v>155018.00522799999</v>
      </c>
      <c r="I50" s="2513">
        <v>149973.816907</v>
      </c>
      <c r="J50" s="2484">
        <f t="shared" ref="J50:J52" si="18">IF(H50=0,0,I50/H50)</f>
        <v>0.96746062940507449</v>
      </c>
      <c r="L50" s="2487">
        <f>161180275475/1000000</f>
        <v>161180.275475</v>
      </c>
      <c r="M50" s="2535">
        <f>L50*J50</f>
        <v>155935.5707587268</v>
      </c>
      <c r="N50" s="6240"/>
      <c r="O50" s="2487">
        <v>161180.295445</v>
      </c>
      <c r="P50" s="6240">
        <f>O50*R50</f>
        <v>155935.59007891556</v>
      </c>
      <c r="Q50" s="2535"/>
      <c r="R50" s="2484">
        <f>J50</f>
        <v>0.96746062940507449</v>
      </c>
      <c r="S50" s="6240"/>
      <c r="T50" s="2487">
        <v>159293.399504</v>
      </c>
      <c r="U50" s="2535"/>
      <c r="V50" s="6240">
        <f>T50*R50</f>
        <v>154110.09254421381</v>
      </c>
      <c r="W50" s="2484">
        <f>IF(T50=0,0,V50/T50)</f>
        <v>0.96746062940507438</v>
      </c>
      <c r="Y50" s="2489">
        <f>T50</f>
        <v>159293.399504</v>
      </c>
      <c r="Z50" s="6240">
        <f>Y50*AB50</f>
        <v>154110.09254421381</v>
      </c>
      <c r="AA50" s="2535"/>
      <c r="AB50" s="2484">
        <f>W50</f>
        <v>0.96746062940507438</v>
      </c>
      <c r="AC50" s="6240"/>
      <c r="AD50" s="2489">
        <v>199102.95591700001</v>
      </c>
      <c r="AE50" s="2535"/>
      <c r="AF50" s="6240">
        <f>AD50*AB50</f>
        <v>192624.27104787162</v>
      </c>
      <c r="AG50" s="2484">
        <f>IF(AD50=0,0,AF50/AD50)</f>
        <v>0.96746062940507438</v>
      </c>
      <c r="AI50" s="2489">
        <f>AD50</f>
        <v>199102.95591700001</v>
      </c>
      <c r="AJ50" s="6240"/>
      <c r="AK50" s="2535"/>
      <c r="AL50" s="2484">
        <f>AG50</f>
        <v>0.96746062940507438</v>
      </c>
      <c r="AM50" s="6240"/>
      <c r="AN50" s="7945">
        <v>216318120453</v>
      </c>
      <c r="AO50" s="2535"/>
      <c r="AP50" s="6240"/>
      <c r="AQ50" s="2484">
        <f>IF(AN50=0,0,AP50/AN50)</f>
        <v>0</v>
      </c>
      <c r="AR50" s="2484"/>
      <c r="AS50" s="2489"/>
      <c r="AT50" s="6240"/>
      <c r="AU50" s="2535"/>
      <c r="AV50" s="2484">
        <f>AQ50</f>
        <v>0</v>
      </c>
      <c r="AW50" s="6240"/>
      <c r="AX50" s="6245"/>
      <c r="AY50" s="2535"/>
      <c r="AZ50" s="6240"/>
      <c r="BA50" s="2484">
        <f>IF(AX50=0,0,AZ50/AX50)</f>
        <v>0</v>
      </c>
      <c r="BB50" s="2484"/>
      <c r="BC50" s="2490"/>
      <c r="BD50" s="2489"/>
      <c r="BE50" s="6240"/>
      <c r="BF50" s="2535"/>
      <c r="BG50" s="2484">
        <f>BB50</f>
        <v>0</v>
      </c>
      <c r="BH50" s="6240"/>
      <c r="BI50" s="7799"/>
      <c r="BJ50" s="6240"/>
      <c r="BK50" s="7795"/>
      <c r="BL50" s="2484">
        <f t="shared" ref="BL50:BM52" si="19">IF(BI50=0,0,BK50/BI50)</f>
        <v>0</v>
      </c>
      <c r="BM50" s="2484">
        <f t="shared" si="19"/>
        <v>0</v>
      </c>
    </row>
    <row r="51" spans="1:65" x14ac:dyDescent="0.3">
      <c r="A51" s="9255"/>
      <c r="B51" s="2562"/>
      <c r="C51" s="2563" t="s">
        <v>937</v>
      </c>
      <c r="D51" s="7913"/>
      <c r="F51" s="2566">
        <f>56.856+28.946+25.436+15.41+30.331+12.888+1.247+17.248+7.992</f>
        <v>196.35399999999998</v>
      </c>
      <c r="H51" s="2496">
        <v>343.08556499999997</v>
      </c>
      <c r="I51" s="2521">
        <v>423.37775799999997</v>
      </c>
      <c r="J51" s="2484">
        <f t="shared" si="18"/>
        <v>1.2340296450537054</v>
      </c>
      <c r="L51" s="2496">
        <f>429588376/1000000</f>
        <v>429.58837599999998</v>
      </c>
      <c r="M51" s="2535">
        <f>L51*J51</f>
        <v>530.12479115447775</v>
      </c>
      <c r="N51" s="6240"/>
      <c r="O51" s="2496">
        <v>429.58837599999998</v>
      </c>
      <c r="P51" s="6240">
        <f>O51*R51</f>
        <v>530.12479115447775</v>
      </c>
      <c r="Q51" s="2535"/>
      <c r="R51" s="2484">
        <f>J51</f>
        <v>1.2340296450537054</v>
      </c>
      <c r="S51" s="6240"/>
      <c r="T51" s="2496"/>
      <c r="U51" s="2535"/>
      <c r="V51" s="6240">
        <f>T51*R51</f>
        <v>0</v>
      </c>
      <c r="W51" s="2484">
        <f>IF(T51=0,0,V51/T51)</f>
        <v>0</v>
      </c>
      <c r="Y51" s="2496"/>
      <c r="Z51" s="6240"/>
      <c r="AA51" s="2535"/>
      <c r="AB51" s="2484"/>
      <c r="AC51" s="6240"/>
      <c r="AD51" s="2496"/>
      <c r="AE51" s="2535"/>
      <c r="AF51" s="6240"/>
      <c r="AG51" s="2484">
        <f>IF(AD51=0,0,AF51/AD51)</f>
        <v>0</v>
      </c>
      <c r="AI51" s="2496"/>
      <c r="AJ51" s="6240"/>
      <c r="AK51" s="2535"/>
      <c r="AL51" s="2484"/>
      <c r="AM51" s="6240"/>
      <c r="AN51" s="6245"/>
      <c r="AO51" s="2535"/>
      <c r="AP51" s="6240"/>
      <c r="AQ51" s="2484">
        <f>IF(AN51=0,0,AP51/AN51)</f>
        <v>0</v>
      </c>
      <c r="AR51" s="2484"/>
      <c r="AS51" s="2496"/>
      <c r="AT51" s="6240"/>
      <c r="AU51" s="2535"/>
      <c r="AV51" s="2484"/>
      <c r="AW51" s="6240"/>
      <c r="AX51" s="6245"/>
      <c r="AY51" s="2535"/>
      <c r="AZ51" s="6240"/>
      <c r="BA51" s="2484">
        <f>IF(AX51=0,0,AZ51/AX51)</f>
        <v>0</v>
      </c>
      <c r="BB51" s="2484"/>
      <c r="BC51" s="2490"/>
      <c r="BD51" s="2496"/>
      <c r="BE51" s="6240"/>
      <c r="BF51" s="2535"/>
      <c r="BG51" s="2484"/>
      <c r="BH51" s="6240"/>
      <c r="BI51" s="2537"/>
      <c r="BJ51" s="6240"/>
      <c r="BK51" s="7795"/>
      <c r="BL51" s="2484">
        <f t="shared" si="19"/>
        <v>0</v>
      </c>
      <c r="BM51" s="2484">
        <f t="shared" si="19"/>
        <v>0</v>
      </c>
    </row>
    <row r="52" spans="1:65" x14ac:dyDescent="0.3">
      <c r="A52" s="9255"/>
      <c r="B52" s="2562"/>
      <c r="C52" s="2563" t="s">
        <v>977</v>
      </c>
      <c r="D52" s="7913"/>
      <c r="F52" s="2566"/>
      <c r="H52" s="2496"/>
      <c r="I52" s="2521"/>
      <c r="J52" s="2484">
        <f t="shared" si="18"/>
        <v>0</v>
      </c>
      <c r="L52" s="2496"/>
      <c r="M52" s="2535">
        <f>L52*J52</f>
        <v>0</v>
      </c>
      <c r="N52" s="6240"/>
      <c r="O52" s="2496"/>
      <c r="P52" s="6240"/>
      <c r="Q52" s="2535"/>
      <c r="R52" s="2484"/>
      <c r="S52" s="6240"/>
      <c r="T52" s="2496"/>
      <c r="U52" s="2535"/>
      <c r="V52" s="6240"/>
      <c r="W52" s="2484">
        <f>IF(T52=0,0,V52/T52)</f>
        <v>0</v>
      </c>
      <c r="Y52" s="2496"/>
      <c r="Z52" s="6240"/>
      <c r="AA52" s="2535"/>
      <c r="AB52" s="2484"/>
      <c r="AC52" s="6240"/>
      <c r="AD52" s="2496"/>
      <c r="AE52" s="2535"/>
      <c r="AF52" s="6240"/>
      <c r="AG52" s="2484">
        <f>IF(AD52=0,0,AF52/AD52)</f>
        <v>0</v>
      </c>
      <c r="AI52" s="2496"/>
      <c r="AJ52" s="6240"/>
      <c r="AK52" s="2535"/>
      <c r="AL52" s="2484"/>
      <c r="AM52" s="6240"/>
      <c r="AN52" s="6245"/>
      <c r="AO52" s="2535"/>
      <c r="AP52" s="6240"/>
      <c r="AQ52" s="2484">
        <f>IF(AN52=0,0,AP52/AN52)</f>
        <v>0</v>
      </c>
      <c r="AR52" s="2484"/>
      <c r="AS52" s="2496"/>
      <c r="AT52" s="6240"/>
      <c r="AU52" s="2535"/>
      <c r="AV52" s="2484"/>
      <c r="AW52" s="6240"/>
      <c r="AX52" s="6245"/>
      <c r="AY52" s="2535"/>
      <c r="AZ52" s="6240"/>
      <c r="BA52" s="2484">
        <f>IF(AX52=0,0,AZ52/AX52)</f>
        <v>0</v>
      </c>
      <c r="BB52" s="2484"/>
      <c r="BC52" s="2490"/>
      <c r="BD52" s="2496"/>
      <c r="BE52" s="6240"/>
      <c r="BF52" s="2535"/>
      <c r="BG52" s="2484"/>
      <c r="BH52" s="6240"/>
      <c r="BI52" s="7811"/>
      <c r="BJ52" s="2576"/>
      <c r="BK52" s="7797"/>
      <c r="BL52" s="2526">
        <f t="shared" si="19"/>
        <v>0</v>
      </c>
      <c r="BM52" s="2526">
        <f t="shared" si="19"/>
        <v>0</v>
      </c>
    </row>
    <row r="53" spans="1:65" x14ac:dyDescent="0.3">
      <c r="A53" s="9255"/>
      <c r="B53" s="2528" t="s">
        <v>979</v>
      </c>
      <c r="C53" s="2477"/>
      <c r="D53" s="7939"/>
      <c r="E53" s="7940"/>
      <c r="F53" s="2549"/>
      <c r="G53" s="7940"/>
      <c r="H53" s="2507"/>
      <c r="I53" s="2508"/>
      <c r="J53" s="2509"/>
      <c r="K53" s="7940"/>
      <c r="L53" s="2507"/>
      <c r="M53" s="2584"/>
      <c r="N53" s="2586"/>
      <c r="O53" s="2507"/>
      <c r="P53" s="2585"/>
      <c r="Q53" s="2584"/>
      <c r="R53" s="2509"/>
      <c r="S53" s="2586"/>
      <c r="T53" s="2507"/>
      <c r="U53" s="2584"/>
      <c r="V53" s="2585"/>
      <c r="W53" s="2509"/>
      <c r="X53" s="7940"/>
      <c r="Y53" s="2507"/>
      <c r="Z53" s="2585"/>
      <c r="AA53" s="2584"/>
      <c r="AB53" s="2509"/>
      <c r="AC53" s="2586"/>
      <c r="AD53" s="2507"/>
      <c r="AE53" s="2584"/>
      <c r="AF53" s="2585"/>
      <c r="AG53" s="2509"/>
      <c r="AH53" s="7940"/>
      <c r="AI53" s="2507"/>
      <c r="AJ53" s="2585"/>
      <c r="AK53" s="2584"/>
      <c r="AL53" s="2509"/>
      <c r="AM53" s="2586"/>
      <c r="AN53" s="2508"/>
      <c r="AO53" s="2584"/>
      <c r="AP53" s="2585"/>
      <c r="AQ53" s="2509"/>
      <c r="AR53" s="2509"/>
      <c r="AS53" s="2507"/>
      <c r="AT53" s="2585"/>
      <c r="AU53" s="2584"/>
      <c r="AV53" s="2509"/>
      <c r="AW53" s="2586"/>
      <c r="AX53" s="2508"/>
      <c r="AY53" s="2584"/>
      <c r="AZ53" s="2585"/>
      <c r="BA53" s="2509"/>
      <c r="BB53" s="2509"/>
      <c r="BC53" s="2468"/>
      <c r="BD53" s="2507"/>
      <c r="BE53" s="2585"/>
      <c r="BF53" s="2584"/>
      <c r="BG53" s="2509"/>
      <c r="BH53" s="2586"/>
      <c r="BI53" s="2507"/>
      <c r="BJ53" s="2585"/>
      <c r="BK53" s="2585"/>
      <c r="BL53" s="2509"/>
      <c r="BM53" s="2509"/>
    </row>
    <row r="54" spans="1:65" x14ac:dyDescent="0.3">
      <c r="A54" s="9255"/>
      <c r="B54" s="2562"/>
      <c r="C54" s="2587" t="s">
        <v>1360</v>
      </c>
      <c r="D54" s="7913"/>
      <c r="F54" s="2571"/>
      <c r="H54" s="2493"/>
      <c r="I54" s="2533"/>
      <c r="J54" s="2484">
        <f>IF(H54=0,0,I54/H54)</f>
        <v>0</v>
      </c>
      <c r="L54" s="2493"/>
      <c r="M54" s="2535"/>
      <c r="N54" s="6240"/>
      <c r="O54" s="2493"/>
      <c r="P54" s="6240"/>
      <c r="Q54" s="2535"/>
      <c r="R54" s="2484"/>
      <c r="S54" s="6240"/>
      <c r="T54" s="2493"/>
      <c r="U54" s="2535"/>
      <c r="V54" s="6240"/>
      <c r="W54" s="2484">
        <f>IF(T54=0,0,V54/T54)</f>
        <v>0</v>
      </c>
      <c r="Y54" s="2493"/>
      <c r="Z54" s="6240"/>
      <c r="AA54" s="2535"/>
      <c r="AB54" s="2484"/>
      <c r="AC54" s="6240"/>
      <c r="AD54" s="2493"/>
      <c r="AE54" s="2535"/>
      <c r="AF54" s="6240"/>
      <c r="AG54" s="2484">
        <f>IF(AD54=0,0,AF54/AD54)</f>
        <v>0</v>
      </c>
      <c r="AI54" s="2493"/>
      <c r="AJ54" s="6240"/>
      <c r="AK54" s="2535"/>
      <c r="AL54" s="2484"/>
      <c r="AM54" s="6240"/>
      <c r="AN54" s="6245"/>
      <c r="AO54" s="2535"/>
      <c r="AP54" s="6240"/>
      <c r="AQ54" s="2484">
        <f>IF(AN54=0,0,AP54/AN54)</f>
        <v>0</v>
      </c>
      <c r="AR54" s="2484"/>
      <c r="AS54" s="2493"/>
      <c r="AT54" s="6240"/>
      <c r="AU54" s="2535"/>
      <c r="AV54" s="2484"/>
      <c r="AW54" s="6240"/>
      <c r="AX54" s="6245"/>
      <c r="AY54" s="2535"/>
      <c r="AZ54" s="6240"/>
      <c r="BA54" s="2484">
        <f>IF(AX54=0,0,AZ54/AX54)</f>
        <v>0</v>
      </c>
      <c r="BB54" s="2484"/>
      <c r="BC54" s="2490"/>
      <c r="BD54" s="2493"/>
      <c r="BE54" s="6240"/>
      <c r="BF54" s="2535"/>
      <c r="BG54" s="2484"/>
      <c r="BH54" s="6240"/>
      <c r="BI54" s="2493"/>
      <c r="BJ54" s="6240"/>
      <c r="BK54" s="6240"/>
      <c r="BL54" s="2484">
        <f>IF(BI54=0,0,BK54/BI54)</f>
        <v>0</v>
      </c>
      <c r="BM54" s="2484">
        <f>IF(BJ54=0,0,BL54/BJ54)</f>
        <v>0</v>
      </c>
    </row>
    <row r="55" spans="1:65" x14ac:dyDescent="0.3">
      <c r="A55" s="9255"/>
      <c r="B55" s="2562"/>
      <c r="C55" s="2588" t="s">
        <v>1336</v>
      </c>
      <c r="D55" s="7913"/>
      <c r="F55" s="2566"/>
      <c r="H55" s="2496"/>
      <c r="I55" s="2521"/>
      <c r="J55" s="2484"/>
      <c r="L55" s="2496"/>
      <c r="M55" s="2535"/>
      <c r="N55" s="6240"/>
      <c r="O55" s="2496"/>
      <c r="P55" s="6240"/>
      <c r="Q55" s="2535"/>
      <c r="R55" s="2484"/>
      <c r="S55" s="6240"/>
      <c r="T55" s="2496"/>
      <c r="U55" s="2535"/>
      <c r="V55" s="6240"/>
      <c r="W55" s="2484"/>
      <c r="Y55" s="2496"/>
      <c r="Z55" s="6240"/>
      <c r="AA55" s="2535"/>
      <c r="AB55" s="2484"/>
      <c r="AC55" s="6240"/>
      <c r="AD55" s="2496"/>
      <c r="AE55" s="2535"/>
      <c r="AF55" s="6240"/>
      <c r="AG55" s="2484"/>
      <c r="AI55" s="2496"/>
      <c r="AJ55" s="6240"/>
      <c r="AK55" s="2535"/>
      <c r="AL55" s="2484"/>
      <c r="AM55" s="6240"/>
      <c r="AN55" s="6245"/>
      <c r="AO55" s="2535"/>
      <c r="AP55" s="6240"/>
      <c r="AQ55" s="2484"/>
      <c r="AR55" s="2484"/>
      <c r="AS55" s="2496"/>
      <c r="AT55" s="6240"/>
      <c r="AU55" s="2535"/>
      <c r="AV55" s="2484"/>
      <c r="AW55" s="6240"/>
      <c r="AX55" s="6245"/>
      <c r="AY55" s="2535"/>
      <c r="AZ55" s="6240"/>
      <c r="BA55" s="2484"/>
      <c r="BB55" s="2484"/>
      <c r="BC55" s="2490"/>
      <c r="BD55" s="2496"/>
      <c r="BE55" s="6240"/>
      <c r="BF55" s="2535"/>
      <c r="BG55" s="2484"/>
      <c r="BH55" s="6240"/>
      <c r="BI55" s="2496"/>
      <c r="BJ55" s="6240"/>
      <c r="BK55" s="7795"/>
      <c r="BL55" s="2484"/>
      <c r="BM55" s="2484"/>
    </row>
    <row r="56" spans="1:65" x14ac:dyDescent="0.3">
      <c r="A56" s="9255"/>
      <c r="B56" s="2562"/>
      <c r="C56" s="2588" t="s">
        <v>933</v>
      </c>
      <c r="D56" s="7913"/>
      <c r="F56" s="2566"/>
      <c r="H56" s="2496"/>
      <c r="I56" s="2521"/>
      <c r="J56" s="2484"/>
      <c r="L56" s="2496"/>
      <c r="M56" s="2535"/>
      <c r="N56" s="6240"/>
      <c r="O56" s="2496"/>
      <c r="P56" s="6240"/>
      <c r="Q56" s="2535"/>
      <c r="R56" s="2484"/>
      <c r="S56" s="6240"/>
      <c r="T56" s="2496"/>
      <c r="U56" s="2535"/>
      <c r="V56" s="6240"/>
      <c r="W56" s="2484"/>
      <c r="Y56" s="2496"/>
      <c r="Z56" s="6240"/>
      <c r="AA56" s="2535"/>
      <c r="AB56" s="2484"/>
      <c r="AC56" s="6240"/>
      <c r="AD56" s="2496"/>
      <c r="AE56" s="2535"/>
      <c r="AF56" s="6240"/>
      <c r="AG56" s="2484"/>
      <c r="AI56" s="2496"/>
      <c r="AJ56" s="6240"/>
      <c r="AK56" s="2535"/>
      <c r="AL56" s="2484"/>
      <c r="AM56" s="6240"/>
      <c r="AN56" s="6245"/>
      <c r="AO56" s="2535"/>
      <c r="AP56" s="6240"/>
      <c r="AQ56" s="2484"/>
      <c r="AR56" s="2484"/>
      <c r="AS56" s="2496"/>
      <c r="AT56" s="6240"/>
      <c r="AU56" s="2535"/>
      <c r="AV56" s="2484"/>
      <c r="AW56" s="6240"/>
      <c r="AX56" s="6245"/>
      <c r="AY56" s="2535"/>
      <c r="AZ56" s="6240"/>
      <c r="BA56" s="2484"/>
      <c r="BB56" s="2484"/>
      <c r="BC56" s="2490"/>
      <c r="BD56" s="2496"/>
      <c r="BE56" s="6240"/>
      <c r="BF56" s="2535"/>
      <c r="BG56" s="2484"/>
      <c r="BH56" s="6240"/>
      <c r="BI56" s="2496"/>
      <c r="BJ56" s="6240"/>
      <c r="BK56" s="7795"/>
      <c r="BL56" s="2484"/>
      <c r="BM56" s="2484"/>
    </row>
    <row r="57" spans="1:65" x14ac:dyDescent="0.3">
      <c r="A57" s="9256"/>
      <c r="B57" s="2572"/>
      <c r="C57" s="2589" t="s">
        <v>981</v>
      </c>
      <c r="D57" s="7915"/>
      <c r="F57" s="2590"/>
      <c r="H57" s="2591"/>
      <c r="I57" s="2592"/>
      <c r="J57" s="2526">
        <f>IF(H57=0,0,I57/H57)</f>
        <v>0</v>
      </c>
      <c r="L57" s="2591"/>
      <c r="M57" s="2593"/>
      <c r="N57" s="2594"/>
      <c r="O57" s="2591"/>
      <c r="P57" s="2595"/>
      <c r="Q57" s="2593"/>
      <c r="R57" s="2526"/>
      <c r="S57" s="2594"/>
      <c r="T57" s="2591"/>
      <c r="U57" s="2593"/>
      <c r="V57" s="2595"/>
      <c r="W57" s="2526">
        <f>IF(T57=0,0,V57/T57)</f>
        <v>0</v>
      </c>
      <c r="Y57" s="2591"/>
      <c r="Z57" s="2595"/>
      <c r="AA57" s="2593"/>
      <c r="AB57" s="2526"/>
      <c r="AC57" s="2594"/>
      <c r="AD57" s="2591"/>
      <c r="AE57" s="2593"/>
      <c r="AF57" s="2595"/>
      <c r="AG57" s="2526">
        <f>IF(AD57=0,0,AF57/AD57)</f>
        <v>0</v>
      </c>
      <c r="AI57" s="2591"/>
      <c r="AJ57" s="2595"/>
      <c r="AK57" s="2593"/>
      <c r="AL57" s="2526"/>
      <c r="AM57" s="2594"/>
      <c r="AN57" s="2596"/>
      <c r="AO57" s="2593"/>
      <c r="AP57" s="2595"/>
      <c r="AQ57" s="2526">
        <f>IF(AN57=0,0,AP57/AN57)</f>
        <v>0</v>
      </c>
      <c r="AR57" s="2526"/>
      <c r="AS57" s="2591"/>
      <c r="AT57" s="2595"/>
      <c r="AU57" s="2593"/>
      <c r="AV57" s="2526"/>
      <c r="AW57" s="2594"/>
      <c r="AX57" s="2596"/>
      <c r="AY57" s="2593"/>
      <c r="AZ57" s="2595"/>
      <c r="BA57" s="2526">
        <f>IF(AX57=0,0,AZ57/AX57)</f>
        <v>0</v>
      </c>
      <c r="BB57" s="2526"/>
      <c r="BC57" s="2471"/>
      <c r="BD57" s="2591"/>
      <c r="BE57" s="2595"/>
      <c r="BF57" s="2593"/>
      <c r="BG57" s="2526"/>
      <c r="BH57" s="2594"/>
      <c r="BI57" s="2591"/>
      <c r="BJ57" s="2595"/>
      <c r="BK57" s="7797"/>
      <c r="BL57" s="2526">
        <f>IF(BI57=0,0,BK57/BI57)</f>
        <v>0</v>
      </c>
      <c r="BM57" s="2526">
        <f>IF(BJ57=0,0,BL57/BJ57)</f>
        <v>0</v>
      </c>
    </row>
    <row r="58" spans="1:65" x14ac:dyDescent="0.3">
      <c r="A58" s="7946"/>
      <c r="B58" s="2452"/>
      <c r="F58" s="2559"/>
      <c r="H58" s="2559"/>
      <c r="I58" s="2559"/>
      <c r="J58" s="2597"/>
      <c r="L58" s="2559"/>
      <c r="M58" s="6240"/>
      <c r="N58" s="6240"/>
      <c r="O58" s="2559"/>
      <c r="P58" s="6240"/>
      <c r="Q58" s="6240"/>
      <c r="R58" s="2597"/>
      <c r="S58" s="6240"/>
      <c r="T58" s="2559"/>
      <c r="U58" s="6240"/>
      <c r="V58" s="6240"/>
      <c r="W58" s="2597"/>
      <c r="Y58" s="2559"/>
      <c r="Z58" s="6240"/>
      <c r="AA58" s="6240"/>
      <c r="AB58" s="2597"/>
      <c r="AC58" s="6240"/>
      <c r="AD58" s="2559"/>
      <c r="AE58" s="6240"/>
      <c r="AF58" s="6240"/>
      <c r="AG58" s="2597"/>
      <c r="AI58" s="2559"/>
      <c r="AJ58" s="6240"/>
      <c r="AK58" s="6240"/>
      <c r="AL58" s="2597"/>
      <c r="AM58" s="6240"/>
      <c r="AN58" s="2559"/>
      <c r="AO58" s="6240"/>
      <c r="AP58" s="6240"/>
      <c r="AQ58" s="2597"/>
      <c r="AR58" s="2597"/>
      <c r="AS58" s="2559"/>
      <c r="AT58" s="6240"/>
      <c r="AU58" s="6240"/>
      <c r="AV58" s="2597"/>
      <c r="AW58" s="6240"/>
      <c r="AX58" s="2559"/>
      <c r="AY58" s="6240"/>
      <c r="AZ58" s="6240"/>
      <c r="BA58" s="2597"/>
      <c r="BB58" s="2597"/>
      <c r="BD58" s="2559"/>
      <c r="BE58" s="6240"/>
      <c r="BF58" s="6240"/>
      <c r="BG58" s="2597"/>
      <c r="BH58" s="6240"/>
      <c r="BI58" s="2559"/>
      <c r="BJ58" s="6240"/>
      <c r="BK58" s="6240"/>
      <c r="BL58" s="2597"/>
      <c r="BM58" s="2597"/>
    </row>
    <row r="59" spans="1:65" x14ac:dyDescent="0.3">
      <c r="A59" s="9254" t="s">
        <v>1361</v>
      </c>
      <c r="B59" s="2528" t="s">
        <v>1362</v>
      </c>
      <c r="C59" s="7938"/>
      <c r="D59" s="7939"/>
      <c r="E59" s="7940"/>
      <c r="F59" s="2549"/>
      <c r="G59" s="7940"/>
      <c r="H59" s="2507"/>
      <c r="I59" s="2508"/>
      <c r="J59" s="2509"/>
      <c r="K59" s="7940"/>
      <c r="L59" s="2507"/>
      <c r="M59" s="2584"/>
      <c r="N59" s="2586"/>
      <c r="O59" s="2507"/>
      <c r="P59" s="2585"/>
      <c r="Q59" s="2584"/>
      <c r="R59" s="2509"/>
      <c r="S59" s="2586"/>
      <c r="T59" s="2507"/>
      <c r="U59" s="2584"/>
      <c r="V59" s="2585"/>
      <c r="W59" s="2509"/>
      <c r="X59" s="7940"/>
      <c r="Y59" s="2507"/>
      <c r="Z59" s="2585"/>
      <c r="AA59" s="2584"/>
      <c r="AB59" s="2509"/>
      <c r="AC59" s="2586"/>
      <c r="AD59" s="2507"/>
      <c r="AE59" s="2584"/>
      <c r="AF59" s="2585"/>
      <c r="AG59" s="2509"/>
      <c r="AH59" s="7940"/>
      <c r="AI59" s="2507"/>
      <c r="AJ59" s="2585"/>
      <c r="AK59" s="2584"/>
      <c r="AL59" s="2509"/>
      <c r="AM59" s="2586"/>
      <c r="AN59" s="2508"/>
      <c r="AO59" s="2584"/>
      <c r="AP59" s="2585"/>
      <c r="AQ59" s="2509"/>
      <c r="AR59" s="2509"/>
      <c r="AS59" s="2507"/>
      <c r="AT59" s="2585"/>
      <c r="AU59" s="2584"/>
      <c r="AV59" s="2509"/>
      <c r="AW59" s="2586"/>
      <c r="AX59" s="2508"/>
      <c r="AY59" s="2584"/>
      <c r="AZ59" s="2585"/>
      <c r="BA59" s="2509"/>
      <c r="BB59" s="2509"/>
      <c r="BC59" s="2468"/>
      <c r="BD59" s="2507"/>
      <c r="BE59" s="2585"/>
      <c r="BF59" s="2584"/>
      <c r="BG59" s="2509"/>
      <c r="BH59" s="2586"/>
      <c r="BI59" s="2507"/>
      <c r="BJ59" s="2585"/>
      <c r="BK59" s="2585"/>
      <c r="BL59" s="2509"/>
      <c r="BM59" s="2509"/>
    </row>
    <row r="60" spans="1:65" x14ac:dyDescent="0.3">
      <c r="A60" s="9255"/>
      <c r="B60" s="2598"/>
      <c r="C60" s="2563" t="s">
        <v>1286</v>
      </c>
      <c r="D60" s="7913"/>
      <c r="F60" s="2599"/>
      <c r="H60" s="2600"/>
      <c r="I60" s="2601"/>
      <c r="J60" s="2429"/>
      <c r="L60" s="2600"/>
      <c r="M60" s="2602"/>
      <c r="N60" s="6240"/>
      <c r="O60" s="2600"/>
      <c r="P60" s="6240"/>
      <c r="Q60" s="2535"/>
      <c r="R60" s="2484"/>
      <c r="S60" s="6240"/>
      <c r="T60" s="2600"/>
      <c r="U60" s="2535"/>
      <c r="V60" s="6240"/>
      <c r="W60" s="2484"/>
      <c r="Y60" s="2600"/>
      <c r="Z60" s="6240"/>
      <c r="AA60" s="2535"/>
      <c r="AB60" s="2484"/>
      <c r="AC60" s="6240"/>
      <c r="AD60" s="2600"/>
      <c r="AE60" s="2535"/>
      <c r="AF60" s="6240"/>
      <c r="AG60" s="2484"/>
      <c r="AI60" s="2600"/>
      <c r="AJ60" s="6240"/>
      <c r="AK60" s="2535"/>
      <c r="AL60" s="2484"/>
      <c r="AM60" s="6240"/>
      <c r="AN60" s="6249"/>
      <c r="AO60" s="2535"/>
      <c r="AP60" s="6240"/>
      <c r="AQ60" s="2484"/>
      <c r="AR60" s="2484"/>
      <c r="AS60" s="2600"/>
      <c r="AT60" s="6240"/>
      <c r="AU60" s="2535"/>
      <c r="AV60" s="2484"/>
      <c r="AW60" s="6240"/>
      <c r="AX60" s="6249"/>
      <c r="AY60" s="2535"/>
      <c r="AZ60" s="6240"/>
      <c r="BA60" s="2484"/>
      <c r="BB60" s="2484"/>
      <c r="BC60" s="2490"/>
      <c r="BD60" s="2600"/>
      <c r="BE60" s="6240"/>
      <c r="BF60" s="2535"/>
      <c r="BG60" s="2484"/>
      <c r="BH60" s="6240"/>
      <c r="BI60" s="2600"/>
      <c r="BJ60" s="6240"/>
      <c r="BK60" s="7795"/>
      <c r="BL60" s="2484"/>
      <c r="BM60" s="2484"/>
    </row>
    <row r="61" spans="1:65" x14ac:dyDescent="0.3">
      <c r="A61" s="9255"/>
      <c r="B61" s="2598"/>
      <c r="C61" s="2603" t="s">
        <v>1363</v>
      </c>
      <c r="D61" s="7913"/>
      <c r="F61" s="2599"/>
      <c r="H61" s="2600"/>
      <c r="I61" s="2601"/>
      <c r="J61" s="2484"/>
      <c r="L61" s="2600"/>
      <c r="M61" s="2602"/>
      <c r="N61" s="6240"/>
      <c r="O61" s="2600"/>
      <c r="P61" s="6240"/>
      <c r="Q61" s="2535"/>
      <c r="R61" s="2484"/>
      <c r="S61" s="6240"/>
      <c r="T61" s="2600"/>
      <c r="U61" s="2535"/>
      <c r="V61" s="6240"/>
      <c r="W61" s="2484"/>
      <c r="Y61" s="2600"/>
      <c r="Z61" s="6240"/>
      <c r="AA61" s="2535"/>
      <c r="AB61" s="2484"/>
      <c r="AC61" s="6240"/>
      <c r="AD61" s="2600"/>
      <c r="AE61" s="2535"/>
      <c r="AF61" s="6240"/>
      <c r="AG61" s="2484"/>
      <c r="AI61" s="2600"/>
      <c r="AJ61" s="6240"/>
      <c r="AK61" s="2535"/>
      <c r="AL61" s="2484"/>
      <c r="AM61" s="6240"/>
      <c r="AN61" s="6249"/>
      <c r="AO61" s="2535"/>
      <c r="AP61" s="6240"/>
      <c r="AQ61" s="2484"/>
      <c r="AR61" s="2484"/>
      <c r="AS61" s="2600"/>
      <c r="AT61" s="6240"/>
      <c r="AU61" s="2535"/>
      <c r="AV61" s="2484"/>
      <c r="AW61" s="6240"/>
      <c r="AX61" s="6249"/>
      <c r="AY61" s="2535"/>
      <c r="AZ61" s="6240"/>
      <c r="BA61" s="2484"/>
      <c r="BB61" s="2484"/>
      <c r="BC61" s="2490"/>
      <c r="BD61" s="2600"/>
      <c r="BE61" s="6240"/>
      <c r="BF61" s="2535"/>
      <c r="BG61" s="2484"/>
      <c r="BH61" s="6240"/>
      <c r="BI61" s="2600"/>
      <c r="BJ61" s="6240"/>
      <c r="BK61" s="7795"/>
      <c r="BL61" s="2484"/>
      <c r="BM61" s="2484"/>
    </row>
    <row r="62" spans="1:65" x14ac:dyDescent="0.3">
      <c r="A62" s="9255"/>
      <c r="B62" s="2598"/>
      <c r="C62" s="2603" t="s">
        <v>933</v>
      </c>
      <c r="D62" s="7913"/>
      <c r="F62" s="2571"/>
      <c r="H62" s="2600">
        <f>82973564551/1000000</f>
        <v>82973.564551000003</v>
      </c>
      <c r="I62" s="2601">
        <f>H62*J62</f>
        <v>64012.685910764871</v>
      </c>
      <c r="J62" s="2484">
        <f>J36</f>
        <v>0.77148289647625345</v>
      </c>
      <c r="L62" s="2600">
        <f>85533038274/1000000</f>
        <v>85533.038274000006</v>
      </c>
      <c r="M62" s="2602">
        <f>L62*J62</f>
        <v>65987.276112039777</v>
      </c>
      <c r="N62" s="6240"/>
      <c r="O62" s="2600">
        <v>106500.898067</v>
      </c>
      <c r="P62" s="6240">
        <f>O62*R62</f>
        <v>82163.621318051388</v>
      </c>
      <c r="Q62" s="2535"/>
      <c r="R62" s="2484">
        <f>J62</f>
        <v>0.77148289647625345</v>
      </c>
      <c r="S62" s="6240"/>
      <c r="T62" s="2600">
        <v>12842.721909</v>
      </c>
      <c r="U62" s="2535"/>
      <c r="V62" s="6240">
        <f>T62*R62</f>
        <v>9907.9402969943585</v>
      </c>
      <c r="W62" s="2484">
        <f>IF(T62=0,0,V62/T62)</f>
        <v>0.77148289647625345</v>
      </c>
      <c r="Y62" s="2604">
        <f>T62</f>
        <v>12842.721909</v>
      </c>
      <c r="Z62" s="6240">
        <f>Y62*AB62</f>
        <v>9907.9402969943585</v>
      </c>
      <c r="AA62" s="2535"/>
      <c r="AB62" s="2484">
        <f>W62</f>
        <v>0.77148289647625345</v>
      </c>
      <c r="AC62" s="6240"/>
      <c r="AD62" s="2604">
        <v>4600</v>
      </c>
      <c r="AE62" s="2535"/>
      <c r="AF62" s="6240">
        <f>AD62*AB62</f>
        <v>3548.8213237907657</v>
      </c>
      <c r="AG62" s="2484">
        <f>IF(AD62=0,0,AF62/AD62)</f>
        <v>0.77148289647625345</v>
      </c>
      <c r="AI62" s="2604">
        <f>AD62</f>
        <v>4600</v>
      </c>
      <c r="AJ62" s="6240"/>
      <c r="AK62" s="2535"/>
      <c r="AL62" s="2484">
        <f>AG62</f>
        <v>0.77148289647625345</v>
      </c>
      <c r="AM62" s="6240"/>
      <c r="AN62" s="6246">
        <v>4600000000</v>
      </c>
      <c r="AO62" s="2535"/>
      <c r="AP62" s="6240"/>
      <c r="AQ62" s="2484">
        <f>IF(AN62=0,0,AP62/AN62)</f>
        <v>0</v>
      </c>
      <c r="AR62" s="2484"/>
      <c r="AS62" s="2604">
        <f>AN62</f>
        <v>4600000000</v>
      </c>
      <c r="AT62" s="6240"/>
      <c r="AU62" s="2535"/>
      <c r="AV62" s="2484">
        <f>AQ62</f>
        <v>0</v>
      </c>
      <c r="AW62" s="6240"/>
      <c r="AX62" s="6246">
        <f>AX37</f>
        <v>4600000000</v>
      </c>
      <c r="AY62" s="2535"/>
      <c r="AZ62" s="6240"/>
      <c r="BA62" s="2484">
        <f>IF(AX62=0,0,AZ62/AX62)</f>
        <v>0</v>
      </c>
      <c r="BB62" s="2484"/>
      <c r="BC62" s="2490"/>
      <c r="BD62" s="2604">
        <f>BD37+BD40</f>
        <v>4600000000</v>
      </c>
      <c r="BE62" s="6240">
        <f>BE37+BE40</f>
        <v>3641538187.7245579</v>
      </c>
      <c r="BF62" s="2535"/>
      <c r="BG62" s="2484">
        <f>BB62</f>
        <v>0</v>
      </c>
      <c r="BH62" s="6240"/>
      <c r="BI62" s="7812">
        <f>BI37+BI40</f>
        <v>2576149800</v>
      </c>
      <c r="BJ62" s="6240"/>
      <c r="BK62" s="7813">
        <f>BK37+BK40</f>
        <v>2414406234.8070002</v>
      </c>
      <c r="BL62" s="2484">
        <f>IF(BI62=0,0,BK62/BI62)</f>
        <v>0.93721500000000002</v>
      </c>
      <c r="BM62" s="2484">
        <f>IF(BJ62=0,0,BL62/BJ62)</f>
        <v>0</v>
      </c>
    </row>
    <row r="63" spans="1:65" x14ac:dyDescent="0.3">
      <c r="A63" s="9256"/>
      <c r="B63" s="2605"/>
      <c r="C63" s="2573" t="s">
        <v>937</v>
      </c>
      <c r="D63" s="7915"/>
      <c r="F63" s="2574"/>
      <c r="H63" s="2501"/>
      <c r="I63" s="2583"/>
      <c r="J63" s="2526"/>
      <c r="L63" s="2501"/>
      <c r="M63" s="2575"/>
      <c r="N63" s="6240"/>
      <c r="O63" s="2501"/>
      <c r="P63" s="2576"/>
      <c r="Q63" s="2575"/>
      <c r="R63" s="2526"/>
      <c r="S63" s="6240"/>
      <c r="T63" s="2501"/>
      <c r="U63" s="2575"/>
      <c r="V63" s="2576"/>
      <c r="W63" s="2526"/>
      <c r="Y63" s="2501"/>
      <c r="Z63" s="2576"/>
      <c r="AA63" s="2575"/>
      <c r="AB63" s="2526"/>
      <c r="AC63" s="6240"/>
      <c r="AD63" s="2501"/>
      <c r="AE63" s="2575"/>
      <c r="AF63" s="2576"/>
      <c r="AG63" s="2526"/>
      <c r="AI63" s="2501"/>
      <c r="AJ63" s="2576"/>
      <c r="AK63" s="2575"/>
      <c r="AL63" s="2526"/>
      <c r="AM63" s="6240"/>
      <c r="AN63" s="2606"/>
      <c r="AO63" s="2575"/>
      <c r="AP63" s="2576"/>
      <c r="AQ63" s="2526"/>
      <c r="AR63" s="2526"/>
      <c r="AS63" s="2501"/>
      <c r="AT63" s="2576"/>
      <c r="AU63" s="2575"/>
      <c r="AV63" s="2526"/>
      <c r="AW63" s="6240"/>
      <c r="AX63" s="2606"/>
      <c r="AY63" s="2575"/>
      <c r="AZ63" s="2576"/>
      <c r="BA63" s="2526"/>
      <c r="BB63" s="2526"/>
      <c r="BC63" s="2471"/>
      <c r="BD63" s="2501"/>
      <c r="BE63" s="2576"/>
      <c r="BF63" s="2575"/>
      <c r="BG63" s="2526"/>
      <c r="BH63" s="6240"/>
      <c r="BI63" s="2501"/>
      <c r="BJ63" s="2576"/>
      <c r="BK63" s="7797"/>
      <c r="BL63" s="2526"/>
      <c r="BM63" s="2526"/>
    </row>
    <row r="64" spans="1:65" x14ac:dyDescent="0.3">
      <c r="A64" s="7946"/>
      <c r="F64" s="2559"/>
      <c r="H64" s="2559"/>
      <c r="I64" s="2559"/>
      <c r="J64" s="2597"/>
      <c r="L64" s="2559"/>
      <c r="M64" s="6240"/>
      <c r="N64" s="6240"/>
      <c r="O64" s="2559"/>
      <c r="P64" s="2559"/>
      <c r="Q64" s="6250"/>
      <c r="R64" s="2597"/>
      <c r="S64" s="6240"/>
      <c r="T64" s="2559"/>
      <c r="U64" s="6240"/>
      <c r="V64" s="2559"/>
      <c r="W64" s="2597"/>
      <c r="Y64" s="2559"/>
      <c r="Z64" s="2559"/>
      <c r="AA64" s="6250"/>
      <c r="AB64" s="2597"/>
      <c r="AC64" s="6240"/>
      <c r="AD64" s="2559"/>
      <c r="AE64" s="6240"/>
      <c r="AF64" s="2559"/>
      <c r="AG64" s="2597"/>
      <c r="AI64" s="2559"/>
      <c r="AJ64" s="2559"/>
      <c r="AK64" s="6250"/>
      <c r="AL64" s="2597"/>
      <c r="AM64" s="6240"/>
      <c r="AN64" s="2559"/>
      <c r="AO64" s="6240"/>
      <c r="AP64" s="2559"/>
      <c r="AQ64" s="2597"/>
      <c r="AR64" s="2597"/>
      <c r="AS64" s="2559"/>
      <c r="AT64" s="2559"/>
      <c r="AU64" s="6250"/>
      <c r="AV64" s="2597"/>
      <c r="AW64" s="6240"/>
      <c r="AX64" s="2559"/>
      <c r="AY64" s="6240"/>
      <c r="AZ64" s="2559"/>
      <c r="BA64" s="2597"/>
      <c r="BB64" s="2597"/>
      <c r="BD64" s="2559"/>
      <c r="BE64" s="2559"/>
      <c r="BF64" s="6250"/>
      <c r="BG64" s="2597"/>
      <c r="BH64" s="6240"/>
      <c r="BI64" s="2559"/>
      <c r="BJ64" s="6240"/>
      <c r="BK64" s="2559"/>
      <c r="BL64" s="2597"/>
      <c r="BM64" s="2597"/>
    </row>
    <row r="65" spans="1:65" x14ac:dyDescent="0.3">
      <c r="A65" s="9257" t="s">
        <v>1364</v>
      </c>
      <c r="B65" s="2607" t="s">
        <v>1365</v>
      </c>
      <c r="C65" s="2608"/>
      <c r="D65" s="2341"/>
      <c r="E65" s="2268"/>
      <c r="F65" s="2609"/>
      <c r="G65" s="7947"/>
      <c r="H65" s="2610"/>
      <c r="I65" s="2611"/>
      <c r="J65" s="2315"/>
      <c r="K65" s="2268"/>
      <c r="L65" s="2610"/>
      <c r="M65" s="7948"/>
      <c r="N65" s="2268"/>
      <c r="O65" s="2610"/>
      <c r="P65" s="2611"/>
      <c r="Q65" s="6251"/>
      <c r="R65" s="2315"/>
      <c r="S65" s="2268"/>
      <c r="T65" s="2610"/>
      <c r="U65" s="6251"/>
      <c r="V65" s="7948"/>
      <c r="W65" s="2268"/>
      <c r="X65" s="2013"/>
      <c r="Y65" s="2610"/>
      <c r="Z65" s="2611"/>
      <c r="AA65" s="6251"/>
      <c r="AB65" s="2315"/>
      <c r="AC65" s="2268"/>
      <c r="AD65" s="2610"/>
      <c r="AE65" s="6251"/>
      <c r="AF65" s="7948"/>
      <c r="AG65" s="2268"/>
      <c r="AH65" s="2013"/>
      <c r="AI65" s="2610"/>
      <c r="AJ65" s="2611"/>
      <c r="AK65" s="6251"/>
      <c r="AL65" s="2315"/>
      <c r="AM65" s="2268"/>
      <c r="AN65" s="6252"/>
      <c r="AO65" s="6251"/>
      <c r="AP65" s="6253"/>
      <c r="AQ65" s="6254"/>
      <c r="AR65" s="2268"/>
      <c r="AS65" s="2610"/>
      <c r="AT65" s="2611"/>
      <c r="AU65" s="6251"/>
      <c r="AV65" s="2315"/>
      <c r="AW65" s="2268"/>
      <c r="AX65" s="6252"/>
      <c r="AY65" s="6251"/>
      <c r="AZ65" s="6253"/>
      <c r="BA65" s="6254"/>
      <c r="BB65" s="2268"/>
      <c r="BC65" s="6255"/>
      <c r="BD65" s="2610"/>
      <c r="BE65" s="2611"/>
      <c r="BF65" s="6251"/>
      <c r="BG65" s="2315"/>
      <c r="BH65" s="2268"/>
      <c r="BI65" s="6252"/>
      <c r="BJ65" s="6251"/>
      <c r="BK65" s="6253"/>
      <c r="BL65" s="6254"/>
      <c r="BM65" s="6254"/>
    </row>
    <row r="66" spans="1:65" ht="12" customHeight="1" x14ac:dyDescent="0.3">
      <c r="A66" s="9258"/>
      <c r="B66" s="2612"/>
      <c r="C66" s="2613" t="s">
        <v>1366</v>
      </c>
      <c r="D66" s="2206"/>
      <c r="E66" s="2268"/>
      <c r="F66" s="2614"/>
      <c r="G66" s="7949"/>
      <c r="H66" s="2615"/>
      <c r="I66" s="2616"/>
      <c r="J66" s="2322">
        <f t="shared" ref="J66:J74" si="20">IF(H66=0,0,I66/H66)</f>
        <v>0</v>
      </c>
      <c r="K66" s="2268"/>
      <c r="L66" s="2615"/>
      <c r="M66" s="7950">
        <f t="shared" ref="M66:M74" si="21">L66*J66</f>
        <v>0</v>
      </c>
      <c r="N66" s="2268"/>
      <c r="O66" s="2615"/>
      <c r="P66" s="2617"/>
      <c r="Q66" s="6256"/>
      <c r="R66" s="2322">
        <f t="shared" ref="R66:R74" si="22">IF(O66=0,0,P66/O66)</f>
        <v>0</v>
      </c>
      <c r="S66" s="2268"/>
      <c r="T66" s="2615"/>
      <c r="U66" s="6256"/>
      <c r="V66" s="7950">
        <f>T66*R66</f>
        <v>0</v>
      </c>
      <c r="W66" s="2268"/>
      <c r="X66" s="2013"/>
      <c r="Y66" s="2615"/>
      <c r="Z66" s="2617"/>
      <c r="AA66" s="6256"/>
      <c r="AB66" s="2322">
        <f t="shared" ref="AB66:AB74" si="23">IF(Y66=0,0,Z66/Y66)</f>
        <v>0</v>
      </c>
      <c r="AC66" s="2268"/>
      <c r="AD66" s="2615"/>
      <c r="AE66" s="6256"/>
      <c r="AF66" s="7950">
        <f>AD66*AB66</f>
        <v>0</v>
      </c>
      <c r="AG66" s="2268"/>
      <c r="AH66" s="2013"/>
      <c r="AI66" s="2615"/>
      <c r="AJ66" s="2617"/>
      <c r="AK66" s="6256"/>
      <c r="AL66" s="2322">
        <f t="shared" ref="AL66:AL74" si="24">IF(AI66=0,0,AJ66/AI66)</f>
        <v>0</v>
      </c>
      <c r="AM66" s="2268"/>
      <c r="AN66" s="6257"/>
      <c r="AO66" s="6256"/>
      <c r="AP66" s="6258"/>
      <c r="AQ66" s="6259"/>
      <c r="AR66" s="2268"/>
      <c r="AS66" s="2615"/>
      <c r="AT66" s="2617"/>
      <c r="AU66" s="6256"/>
      <c r="AV66" s="2322">
        <f t="shared" ref="AV66:AV74" si="25">IF(AS66=0,0,AT66/AS66)</f>
        <v>0</v>
      </c>
      <c r="AW66" s="2268"/>
      <c r="AX66" s="6257"/>
      <c r="AY66" s="6256"/>
      <c r="AZ66" s="6258"/>
      <c r="BA66" s="6259"/>
      <c r="BB66" s="2268"/>
      <c r="BC66" s="6260"/>
      <c r="BD66" s="2615"/>
      <c r="BE66" s="2617"/>
      <c r="BF66" s="6256"/>
      <c r="BG66" s="2322">
        <f t="shared" ref="BG66:BG74" si="26">IF(BD66=0,0,BE66/BD66)</f>
        <v>0</v>
      </c>
      <c r="BH66" s="2268"/>
      <c r="BI66" s="6257"/>
      <c r="BJ66" s="6256"/>
      <c r="BK66" s="6258"/>
      <c r="BL66" s="6259"/>
      <c r="BM66" s="6259"/>
    </row>
    <row r="67" spans="1:65" x14ac:dyDescent="0.3">
      <c r="A67" s="9258"/>
      <c r="B67" s="2618"/>
      <c r="C67" s="2613" t="s">
        <v>1367</v>
      </c>
      <c r="D67" s="2206"/>
      <c r="E67" s="2268"/>
      <c r="F67" s="2619"/>
      <c r="G67" s="7949"/>
      <c r="H67" s="2620"/>
      <c r="I67" s="2621"/>
      <c r="J67" s="2322">
        <f t="shared" si="20"/>
        <v>0</v>
      </c>
      <c r="K67" s="2268"/>
      <c r="L67" s="2620"/>
      <c r="M67" s="7950">
        <f t="shared" si="21"/>
        <v>0</v>
      </c>
      <c r="N67" s="2268"/>
      <c r="O67" s="2620"/>
      <c r="P67" s="2622"/>
      <c r="Q67" s="6261"/>
      <c r="R67" s="2322">
        <f t="shared" si="22"/>
        <v>0</v>
      </c>
      <c r="S67" s="2268"/>
      <c r="T67" s="2620"/>
      <c r="U67" s="6261"/>
      <c r="V67" s="7950">
        <f t="shared" ref="V67:V74" si="27">T67*R67</f>
        <v>0</v>
      </c>
      <c r="W67" s="2268"/>
      <c r="X67" s="2013"/>
      <c r="Y67" s="2620"/>
      <c r="Z67" s="2622"/>
      <c r="AA67" s="6261"/>
      <c r="AB67" s="2322">
        <f t="shared" si="23"/>
        <v>0</v>
      </c>
      <c r="AC67" s="2268"/>
      <c r="AD67" s="2620"/>
      <c r="AE67" s="6261"/>
      <c r="AF67" s="7950">
        <f t="shared" ref="AF67:AF74" si="28">AD67*AB67</f>
        <v>0</v>
      </c>
      <c r="AG67" s="2268"/>
      <c r="AH67" s="2013"/>
      <c r="AI67" s="2620"/>
      <c r="AJ67" s="2622"/>
      <c r="AK67" s="6261"/>
      <c r="AL67" s="2322">
        <f t="shared" si="24"/>
        <v>0</v>
      </c>
      <c r="AM67" s="2268"/>
      <c r="AN67" s="6262"/>
      <c r="AO67" s="6261"/>
      <c r="AP67" s="6258"/>
      <c r="AQ67" s="6259"/>
      <c r="AR67" s="2268"/>
      <c r="AS67" s="2620"/>
      <c r="AT67" s="2622"/>
      <c r="AU67" s="6261"/>
      <c r="AV67" s="2322">
        <f t="shared" si="25"/>
        <v>0</v>
      </c>
      <c r="AW67" s="2268"/>
      <c r="AX67" s="6262"/>
      <c r="AY67" s="6261"/>
      <c r="AZ67" s="6258"/>
      <c r="BA67" s="6259"/>
      <c r="BB67" s="2268"/>
      <c r="BC67" s="6260"/>
      <c r="BD67" s="2620"/>
      <c r="BE67" s="2622"/>
      <c r="BF67" s="6261"/>
      <c r="BG67" s="2322">
        <f t="shared" si="26"/>
        <v>0</v>
      </c>
      <c r="BH67" s="2268"/>
      <c r="BI67" s="6262"/>
      <c r="BJ67" s="6261"/>
      <c r="BK67" s="6258"/>
      <c r="BL67" s="6259"/>
      <c r="BM67" s="6259"/>
    </row>
    <row r="68" spans="1:65" x14ac:dyDescent="0.3">
      <c r="A68" s="9258"/>
      <c r="B68" s="2612"/>
      <c r="C68" s="2613"/>
      <c r="D68" s="2206"/>
      <c r="E68" s="2268"/>
      <c r="F68" s="2619"/>
      <c r="G68" s="7949"/>
      <c r="H68" s="2620"/>
      <c r="I68" s="2621"/>
      <c r="J68" s="2322">
        <f t="shared" si="20"/>
        <v>0</v>
      </c>
      <c r="K68" s="2268"/>
      <c r="L68" s="2620"/>
      <c r="M68" s="7950">
        <f t="shared" si="21"/>
        <v>0</v>
      </c>
      <c r="N68" s="2268"/>
      <c r="O68" s="2620"/>
      <c r="P68" s="2622"/>
      <c r="Q68" s="6261"/>
      <c r="R68" s="2322">
        <f t="shared" si="22"/>
        <v>0</v>
      </c>
      <c r="S68" s="2268"/>
      <c r="T68" s="2620"/>
      <c r="U68" s="6261"/>
      <c r="V68" s="7950">
        <f t="shared" si="27"/>
        <v>0</v>
      </c>
      <c r="W68" s="2268"/>
      <c r="X68" s="2013"/>
      <c r="Y68" s="2620"/>
      <c r="Z68" s="2622"/>
      <c r="AA68" s="6261"/>
      <c r="AB68" s="2322">
        <f t="shared" si="23"/>
        <v>0</v>
      </c>
      <c r="AC68" s="2268"/>
      <c r="AD68" s="2620"/>
      <c r="AE68" s="6261"/>
      <c r="AF68" s="7950">
        <f t="shared" si="28"/>
        <v>0</v>
      </c>
      <c r="AG68" s="2268"/>
      <c r="AH68" s="2013"/>
      <c r="AI68" s="2620"/>
      <c r="AJ68" s="2622"/>
      <c r="AK68" s="6261"/>
      <c r="AL68" s="2322">
        <f t="shared" si="24"/>
        <v>0</v>
      </c>
      <c r="AM68" s="2268"/>
      <c r="AN68" s="6262"/>
      <c r="AO68" s="6261"/>
      <c r="AP68" s="6258"/>
      <c r="AQ68" s="6259"/>
      <c r="AR68" s="2268"/>
      <c r="AS68" s="2620"/>
      <c r="AT68" s="2622"/>
      <c r="AU68" s="6261"/>
      <c r="AV68" s="2322">
        <f t="shared" si="25"/>
        <v>0</v>
      </c>
      <c r="AW68" s="2268"/>
      <c r="AX68" s="6262"/>
      <c r="AY68" s="6261"/>
      <c r="AZ68" s="6258"/>
      <c r="BA68" s="6259"/>
      <c r="BB68" s="2268"/>
      <c r="BC68" s="6260"/>
      <c r="BD68" s="2620"/>
      <c r="BE68" s="2622"/>
      <c r="BF68" s="6261"/>
      <c r="BG68" s="2322">
        <f t="shared" si="26"/>
        <v>0</v>
      </c>
      <c r="BH68" s="2268"/>
      <c r="BI68" s="6262"/>
      <c r="BJ68" s="6261"/>
      <c r="BK68" s="6258"/>
      <c r="BL68" s="6259"/>
      <c r="BM68" s="6259"/>
    </row>
    <row r="69" spans="1:65" x14ac:dyDescent="0.3">
      <c r="A69" s="9258"/>
      <c r="B69" s="2612"/>
      <c r="C69" s="2613"/>
      <c r="D69" s="2206"/>
      <c r="E69" s="2268"/>
      <c r="F69" s="2619"/>
      <c r="G69" s="7949"/>
      <c r="H69" s="2620"/>
      <c r="I69" s="2621"/>
      <c r="J69" s="2322">
        <f t="shared" si="20"/>
        <v>0</v>
      </c>
      <c r="K69" s="2268"/>
      <c r="L69" s="2620"/>
      <c r="M69" s="7950">
        <f t="shared" si="21"/>
        <v>0</v>
      </c>
      <c r="N69" s="2268"/>
      <c r="O69" s="2620"/>
      <c r="P69" s="2622"/>
      <c r="Q69" s="6261"/>
      <c r="R69" s="2322">
        <f t="shared" si="22"/>
        <v>0</v>
      </c>
      <c r="S69" s="2268"/>
      <c r="T69" s="2620"/>
      <c r="U69" s="6261"/>
      <c r="V69" s="7950">
        <f t="shared" si="27"/>
        <v>0</v>
      </c>
      <c r="W69" s="2268"/>
      <c r="X69" s="2013"/>
      <c r="Y69" s="2620"/>
      <c r="Z69" s="2622"/>
      <c r="AA69" s="6261"/>
      <c r="AB69" s="2322">
        <f t="shared" si="23"/>
        <v>0</v>
      </c>
      <c r="AC69" s="2268"/>
      <c r="AD69" s="2620"/>
      <c r="AE69" s="6261"/>
      <c r="AF69" s="7950">
        <f t="shared" si="28"/>
        <v>0</v>
      </c>
      <c r="AG69" s="2268"/>
      <c r="AH69" s="2013"/>
      <c r="AI69" s="2620"/>
      <c r="AJ69" s="2622"/>
      <c r="AK69" s="6261"/>
      <c r="AL69" s="2322">
        <f t="shared" si="24"/>
        <v>0</v>
      </c>
      <c r="AM69" s="2268"/>
      <c r="AN69" s="6262"/>
      <c r="AO69" s="6261"/>
      <c r="AP69" s="6258"/>
      <c r="AQ69" s="6259"/>
      <c r="AR69" s="2268"/>
      <c r="AS69" s="2620"/>
      <c r="AT69" s="2622"/>
      <c r="AU69" s="6261"/>
      <c r="AV69" s="2322">
        <f t="shared" si="25"/>
        <v>0</v>
      </c>
      <c r="AW69" s="2268"/>
      <c r="AX69" s="6262"/>
      <c r="AY69" s="6261"/>
      <c r="AZ69" s="6258"/>
      <c r="BA69" s="6259"/>
      <c r="BB69" s="2268"/>
      <c r="BC69" s="6260"/>
      <c r="BD69" s="2620"/>
      <c r="BE69" s="2622"/>
      <c r="BF69" s="6261"/>
      <c r="BG69" s="2322">
        <f t="shared" si="26"/>
        <v>0</v>
      </c>
      <c r="BH69" s="2268"/>
      <c r="BI69" s="6262"/>
      <c r="BJ69" s="6261"/>
      <c r="BK69" s="6258"/>
      <c r="BL69" s="6259"/>
      <c r="BM69" s="6259"/>
    </row>
    <row r="70" spans="1:65" x14ac:dyDescent="0.3">
      <c r="A70" s="9258"/>
      <c r="B70" s="2612"/>
      <c r="C70" s="2613"/>
      <c r="D70" s="2206"/>
      <c r="E70" s="2268"/>
      <c r="F70" s="2619"/>
      <c r="G70" s="7949"/>
      <c r="H70" s="2620"/>
      <c r="I70" s="2621"/>
      <c r="J70" s="2322">
        <f t="shared" si="20"/>
        <v>0</v>
      </c>
      <c r="K70" s="2268"/>
      <c r="L70" s="2620"/>
      <c r="M70" s="7950">
        <f t="shared" si="21"/>
        <v>0</v>
      </c>
      <c r="N70" s="2268"/>
      <c r="O70" s="2620"/>
      <c r="P70" s="2622"/>
      <c r="Q70" s="6261"/>
      <c r="R70" s="2322">
        <f t="shared" si="22"/>
        <v>0</v>
      </c>
      <c r="S70" s="2268"/>
      <c r="T70" s="2620"/>
      <c r="U70" s="6261"/>
      <c r="V70" s="7950">
        <f t="shared" si="27"/>
        <v>0</v>
      </c>
      <c r="W70" s="2268"/>
      <c r="X70" s="2013"/>
      <c r="Y70" s="2620"/>
      <c r="Z70" s="2622"/>
      <c r="AA70" s="6261"/>
      <c r="AB70" s="2322">
        <f t="shared" si="23"/>
        <v>0</v>
      </c>
      <c r="AC70" s="2268"/>
      <c r="AD70" s="2620"/>
      <c r="AE70" s="6261"/>
      <c r="AF70" s="7950">
        <f t="shared" si="28"/>
        <v>0</v>
      </c>
      <c r="AG70" s="2268"/>
      <c r="AH70" s="2013"/>
      <c r="AI70" s="2620"/>
      <c r="AJ70" s="2622"/>
      <c r="AK70" s="6261"/>
      <c r="AL70" s="2322">
        <f t="shared" si="24"/>
        <v>0</v>
      </c>
      <c r="AM70" s="2268"/>
      <c r="AN70" s="6262"/>
      <c r="AO70" s="6261"/>
      <c r="AP70" s="6258"/>
      <c r="AQ70" s="6259"/>
      <c r="AR70" s="2268"/>
      <c r="AS70" s="2620"/>
      <c r="AT70" s="2622"/>
      <c r="AU70" s="6261"/>
      <c r="AV70" s="2322">
        <f t="shared" si="25"/>
        <v>0</v>
      </c>
      <c r="AW70" s="2268"/>
      <c r="AX70" s="6262"/>
      <c r="AY70" s="6261"/>
      <c r="AZ70" s="6258"/>
      <c r="BA70" s="6259"/>
      <c r="BB70" s="2268"/>
      <c r="BC70" s="6260"/>
      <c r="BD70" s="2620"/>
      <c r="BE70" s="2622"/>
      <c r="BF70" s="6261"/>
      <c r="BG70" s="2322">
        <f t="shared" si="26"/>
        <v>0</v>
      </c>
      <c r="BH70" s="2268"/>
      <c r="BI70" s="6262"/>
      <c r="BJ70" s="6261"/>
      <c r="BK70" s="6258"/>
      <c r="BL70" s="6259"/>
      <c r="BM70" s="6259"/>
    </row>
    <row r="71" spans="1:65" x14ac:dyDescent="0.3">
      <c r="A71" s="9258"/>
      <c r="B71" s="2612"/>
      <c r="C71" s="2613" t="s">
        <v>1368</v>
      </c>
      <c r="D71" s="2206"/>
      <c r="E71" s="2268"/>
      <c r="F71" s="2619"/>
      <c r="G71" s="7949"/>
      <c r="H71" s="2620"/>
      <c r="I71" s="2621"/>
      <c r="J71" s="2322">
        <f t="shared" si="20"/>
        <v>0</v>
      </c>
      <c r="K71" s="2268"/>
      <c r="L71" s="2620"/>
      <c r="M71" s="7950">
        <f t="shared" si="21"/>
        <v>0</v>
      </c>
      <c r="N71" s="2268"/>
      <c r="O71" s="2620"/>
      <c r="P71" s="2622"/>
      <c r="Q71" s="6261"/>
      <c r="R71" s="2322">
        <f t="shared" si="22"/>
        <v>0</v>
      </c>
      <c r="S71" s="2268"/>
      <c r="T71" s="2620"/>
      <c r="U71" s="6261"/>
      <c r="V71" s="7950">
        <f t="shared" si="27"/>
        <v>0</v>
      </c>
      <c r="W71" s="2268"/>
      <c r="X71" s="2013"/>
      <c r="Y71" s="2620"/>
      <c r="Z71" s="2622"/>
      <c r="AA71" s="6261"/>
      <c r="AB71" s="2322">
        <f t="shared" si="23"/>
        <v>0</v>
      </c>
      <c r="AC71" s="2268"/>
      <c r="AD71" s="2620"/>
      <c r="AE71" s="6261"/>
      <c r="AF71" s="7950">
        <f t="shared" si="28"/>
        <v>0</v>
      </c>
      <c r="AG71" s="2268"/>
      <c r="AH71" s="2013"/>
      <c r="AI71" s="2620"/>
      <c r="AJ71" s="2622"/>
      <c r="AK71" s="6261"/>
      <c r="AL71" s="2322">
        <f t="shared" si="24"/>
        <v>0</v>
      </c>
      <c r="AM71" s="2268"/>
      <c r="AN71" s="6262"/>
      <c r="AO71" s="6261"/>
      <c r="AP71" s="6258"/>
      <c r="AQ71" s="6259"/>
      <c r="AR71" s="2268"/>
      <c r="AS71" s="2620"/>
      <c r="AT71" s="2622"/>
      <c r="AU71" s="6261"/>
      <c r="AV71" s="2322">
        <f t="shared" si="25"/>
        <v>0</v>
      </c>
      <c r="AW71" s="2268"/>
      <c r="AX71" s="6262"/>
      <c r="AY71" s="6261"/>
      <c r="AZ71" s="6258"/>
      <c r="BA71" s="6259"/>
      <c r="BB71" s="2268"/>
      <c r="BC71" s="6260"/>
      <c r="BD71" s="2620"/>
      <c r="BE71" s="2622"/>
      <c r="BF71" s="6261"/>
      <c r="BG71" s="2322">
        <f t="shared" si="26"/>
        <v>0</v>
      </c>
      <c r="BH71" s="2268"/>
      <c r="BI71" s="6262"/>
      <c r="BJ71" s="6261"/>
      <c r="BK71" s="6258"/>
      <c r="BL71" s="6259"/>
      <c r="BM71" s="6259"/>
    </row>
    <row r="72" spans="1:65" s="2013" customFormat="1" ht="12" customHeight="1" x14ac:dyDescent="0.3">
      <c r="A72" s="9258"/>
      <c r="B72" s="2612"/>
      <c r="C72" s="2613"/>
      <c r="D72" s="2206"/>
      <c r="E72" s="2268"/>
      <c r="F72" s="2619"/>
      <c r="G72" s="7949"/>
      <c r="H72" s="2620"/>
      <c r="I72" s="2621"/>
      <c r="J72" s="2322">
        <f t="shared" si="20"/>
        <v>0</v>
      </c>
      <c r="K72" s="2268"/>
      <c r="L72" s="2620"/>
      <c r="M72" s="7950">
        <f t="shared" si="21"/>
        <v>0</v>
      </c>
      <c r="N72" s="2268"/>
      <c r="O72" s="2620"/>
      <c r="P72" s="2622"/>
      <c r="Q72" s="6261"/>
      <c r="R72" s="2322">
        <f t="shared" si="22"/>
        <v>0</v>
      </c>
      <c r="S72" s="2268"/>
      <c r="T72" s="2620"/>
      <c r="U72" s="6261"/>
      <c r="V72" s="7950">
        <f t="shared" si="27"/>
        <v>0</v>
      </c>
      <c r="W72" s="2268"/>
      <c r="Y72" s="2620"/>
      <c r="Z72" s="2622"/>
      <c r="AA72" s="6261"/>
      <c r="AB72" s="2322">
        <f t="shared" si="23"/>
        <v>0</v>
      </c>
      <c r="AC72" s="2268"/>
      <c r="AD72" s="2620"/>
      <c r="AE72" s="6261"/>
      <c r="AF72" s="7950">
        <f t="shared" si="28"/>
        <v>0</v>
      </c>
      <c r="AG72" s="2268"/>
      <c r="AI72" s="2620"/>
      <c r="AJ72" s="2622"/>
      <c r="AK72" s="6261"/>
      <c r="AL72" s="2322">
        <f t="shared" si="24"/>
        <v>0</v>
      </c>
      <c r="AM72" s="2268"/>
      <c r="AN72" s="6262"/>
      <c r="AO72" s="6261"/>
      <c r="AP72" s="6258"/>
      <c r="AQ72" s="6259"/>
      <c r="AR72" s="2268"/>
      <c r="AS72" s="2620"/>
      <c r="AT72" s="2622"/>
      <c r="AU72" s="6261"/>
      <c r="AV72" s="2322">
        <f t="shared" si="25"/>
        <v>0</v>
      </c>
      <c r="AW72" s="2268"/>
      <c r="AX72" s="6262"/>
      <c r="AY72" s="6261"/>
      <c r="AZ72" s="6258"/>
      <c r="BA72" s="6259"/>
      <c r="BB72" s="2268"/>
      <c r="BC72" s="6260"/>
      <c r="BD72" s="2620"/>
      <c r="BE72" s="2622"/>
      <c r="BF72" s="6261"/>
      <c r="BG72" s="2322">
        <f t="shared" si="26"/>
        <v>0</v>
      </c>
      <c r="BH72" s="2268"/>
      <c r="BI72" s="6262"/>
      <c r="BJ72" s="6261"/>
      <c r="BK72" s="6258"/>
      <c r="BL72" s="6259"/>
      <c r="BM72" s="6259"/>
    </row>
    <row r="73" spans="1:65" s="2013" customFormat="1" x14ac:dyDescent="0.3">
      <c r="A73" s="9258"/>
      <c r="B73" s="2612"/>
      <c r="C73" s="2613"/>
      <c r="D73" s="2206"/>
      <c r="E73" s="2268"/>
      <c r="F73" s="2619"/>
      <c r="G73" s="7949"/>
      <c r="H73" s="2620"/>
      <c r="I73" s="2621"/>
      <c r="J73" s="2322">
        <f t="shared" si="20"/>
        <v>0</v>
      </c>
      <c r="K73" s="2268"/>
      <c r="L73" s="2620"/>
      <c r="M73" s="7950">
        <f t="shared" si="21"/>
        <v>0</v>
      </c>
      <c r="N73" s="2268"/>
      <c r="O73" s="2620"/>
      <c r="P73" s="2622"/>
      <c r="Q73" s="6261"/>
      <c r="R73" s="2322">
        <f t="shared" si="22"/>
        <v>0</v>
      </c>
      <c r="S73" s="2268"/>
      <c r="T73" s="2620"/>
      <c r="U73" s="6261"/>
      <c r="V73" s="7950">
        <f t="shared" si="27"/>
        <v>0</v>
      </c>
      <c r="W73" s="2268"/>
      <c r="Y73" s="2620"/>
      <c r="Z73" s="2622"/>
      <c r="AA73" s="6261"/>
      <c r="AB73" s="2322">
        <f t="shared" si="23"/>
        <v>0</v>
      </c>
      <c r="AC73" s="2268"/>
      <c r="AD73" s="2620"/>
      <c r="AE73" s="6261"/>
      <c r="AF73" s="7950">
        <f t="shared" si="28"/>
        <v>0</v>
      </c>
      <c r="AG73" s="2268"/>
      <c r="AI73" s="2620"/>
      <c r="AJ73" s="2622"/>
      <c r="AK73" s="6261"/>
      <c r="AL73" s="2322">
        <f t="shared" si="24"/>
        <v>0</v>
      </c>
      <c r="AM73" s="2268"/>
      <c r="AN73" s="6262"/>
      <c r="AO73" s="6261"/>
      <c r="AP73" s="6258"/>
      <c r="AQ73" s="6259"/>
      <c r="AR73" s="2268"/>
      <c r="AS73" s="2620"/>
      <c r="AT73" s="2622"/>
      <c r="AU73" s="6261"/>
      <c r="AV73" s="2322">
        <f t="shared" si="25"/>
        <v>0</v>
      </c>
      <c r="AW73" s="2268"/>
      <c r="AX73" s="6262"/>
      <c r="AY73" s="6261"/>
      <c r="AZ73" s="6258"/>
      <c r="BA73" s="6259"/>
      <c r="BB73" s="2268"/>
      <c r="BC73" s="6260"/>
      <c r="BD73" s="2620"/>
      <c r="BE73" s="2622"/>
      <c r="BF73" s="6261"/>
      <c r="BG73" s="2322">
        <f t="shared" si="26"/>
        <v>0</v>
      </c>
      <c r="BH73" s="2268"/>
      <c r="BI73" s="6262"/>
      <c r="BJ73" s="6261"/>
      <c r="BK73" s="6258"/>
      <c r="BL73" s="6259"/>
      <c r="BM73" s="6259"/>
    </row>
    <row r="74" spans="1:65" s="2013" customFormat="1" x14ac:dyDescent="0.3">
      <c r="A74" s="9259"/>
      <c r="B74" s="2623"/>
      <c r="C74" s="2624" t="s">
        <v>10</v>
      </c>
      <c r="D74" s="2222"/>
      <c r="E74" s="2268"/>
      <c r="F74" s="2625"/>
      <c r="G74" s="7951"/>
      <c r="H74" s="2626"/>
      <c r="I74" s="2627"/>
      <c r="J74" s="2331">
        <f t="shared" si="20"/>
        <v>0</v>
      </c>
      <c r="K74" s="2268"/>
      <c r="L74" s="2626"/>
      <c r="M74" s="7952">
        <f t="shared" si="21"/>
        <v>0</v>
      </c>
      <c r="N74" s="2268"/>
      <c r="O74" s="2626"/>
      <c r="P74" s="2628"/>
      <c r="Q74" s="6263"/>
      <c r="R74" s="2331">
        <f t="shared" si="22"/>
        <v>0</v>
      </c>
      <c r="S74" s="2268"/>
      <c r="T74" s="2626"/>
      <c r="U74" s="6263"/>
      <c r="V74" s="7952">
        <f t="shared" si="27"/>
        <v>0</v>
      </c>
      <c r="W74" s="2268"/>
      <c r="Y74" s="2626"/>
      <c r="Z74" s="2628"/>
      <c r="AA74" s="6263"/>
      <c r="AB74" s="2331">
        <f t="shared" si="23"/>
        <v>0</v>
      </c>
      <c r="AC74" s="2268"/>
      <c r="AD74" s="2626"/>
      <c r="AE74" s="6263"/>
      <c r="AF74" s="7952">
        <f t="shared" si="28"/>
        <v>0</v>
      </c>
      <c r="AG74" s="2268"/>
      <c r="AI74" s="2626"/>
      <c r="AJ74" s="2628"/>
      <c r="AK74" s="6263"/>
      <c r="AL74" s="2331">
        <f t="shared" si="24"/>
        <v>0</v>
      </c>
      <c r="AM74" s="2268"/>
      <c r="AN74" s="6264"/>
      <c r="AO74" s="6263"/>
      <c r="AP74" s="6265"/>
      <c r="AQ74" s="6266"/>
      <c r="AR74" s="2268"/>
      <c r="AS74" s="2626"/>
      <c r="AT74" s="2628"/>
      <c r="AU74" s="6263"/>
      <c r="AV74" s="2331">
        <f t="shared" si="25"/>
        <v>0</v>
      </c>
      <c r="AW74" s="2268"/>
      <c r="AX74" s="6264"/>
      <c r="AY74" s="6263"/>
      <c r="AZ74" s="6265"/>
      <c r="BA74" s="6266"/>
      <c r="BB74" s="2268"/>
      <c r="BC74" s="6267"/>
      <c r="BD74" s="2626"/>
      <c r="BE74" s="2628"/>
      <c r="BF74" s="6263"/>
      <c r="BG74" s="2331">
        <f t="shared" si="26"/>
        <v>0</v>
      </c>
      <c r="BH74" s="2268"/>
      <c r="BI74" s="6264"/>
      <c r="BJ74" s="6263"/>
      <c r="BK74" s="6265"/>
      <c r="BL74" s="6266"/>
      <c r="BM74" s="6266"/>
    </row>
    <row r="75" spans="1:65" s="2013" customFormat="1" x14ac:dyDescent="0.3">
      <c r="A75" s="7946"/>
      <c r="B75" s="2386"/>
      <c r="C75" s="2386"/>
      <c r="D75" s="2386"/>
      <c r="E75" s="2386"/>
      <c r="F75" s="2559"/>
      <c r="G75" s="2386"/>
      <c r="H75" s="2559"/>
      <c r="I75" s="2559"/>
      <c r="J75" s="2597"/>
      <c r="K75" s="2386"/>
      <c r="L75" s="2559"/>
      <c r="M75" s="6240"/>
      <c r="N75" s="6240"/>
      <c r="O75" s="2559"/>
      <c r="P75" s="2559"/>
      <c r="Q75" s="2429"/>
      <c r="R75" s="2597"/>
      <c r="S75" s="6240"/>
      <c r="T75" s="2559"/>
      <c r="U75" s="6240"/>
      <c r="V75" s="2559"/>
      <c r="W75" s="2597"/>
      <c r="X75" s="2386"/>
      <c r="Y75" s="2559"/>
      <c r="Z75" s="2559"/>
      <c r="AA75" s="2429"/>
      <c r="AB75" s="2597"/>
      <c r="AC75" s="6240"/>
      <c r="AD75" s="2559"/>
      <c r="AE75" s="6240"/>
      <c r="AF75" s="2559"/>
      <c r="AG75" s="2597"/>
      <c r="AH75" s="2386"/>
      <c r="AI75" s="2559"/>
      <c r="AJ75" s="2559"/>
      <c r="AK75" s="2429"/>
      <c r="AL75" s="2597"/>
      <c r="AM75" s="6240"/>
      <c r="AN75" s="2559"/>
      <c r="AO75" s="6240"/>
      <c r="AP75" s="2559"/>
      <c r="AQ75" s="2597"/>
      <c r="AR75" s="2597"/>
      <c r="AS75" s="2559"/>
      <c r="AT75" s="2559"/>
      <c r="AU75" s="2429"/>
      <c r="AV75" s="2597"/>
      <c r="AW75" s="6240"/>
      <c r="AX75" s="2559"/>
      <c r="AY75" s="6240"/>
      <c r="AZ75" s="2559"/>
      <c r="BA75" s="2597"/>
      <c r="BB75" s="2597"/>
      <c r="BC75" s="2459"/>
      <c r="BD75" s="2559"/>
      <c r="BE75" s="2559"/>
      <c r="BF75" s="2429"/>
      <c r="BG75" s="2597"/>
      <c r="BH75" s="6240"/>
      <c r="BI75" s="2559"/>
      <c r="BJ75" s="6240"/>
      <c r="BK75" s="2559"/>
      <c r="BL75" s="2597"/>
      <c r="BM75" s="2597"/>
    </row>
    <row r="76" spans="1:65" s="2013" customFormat="1" x14ac:dyDescent="0.3">
      <c r="A76" s="9254" t="s">
        <v>988</v>
      </c>
      <c r="B76" s="2528" t="s">
        <v>989</v>
      </c>
      <c r="C76" s="2477"/>
      <c r="D76" s="7926"/>
      <c r="E76" s="7926"/>
      <c r="F76" s="2549"/>
      <c r="G76" s="7926"/>
      <c r="H76" s="2507"/>
      <c r="I76" s="2508"/>
      <c r="J76" s="2509"/>
      <c r="K76" s="7926"/>
      <c r="L76" s="2507"/>
      <c r="M76" s="2584"/>
      <c r="N76" s="2586"/>
      <c r="O76" s="2507"/>
      <c r="P76" s="2508"/>
      <c r="Q76" s="2508"/>
      <c r="R76" s="2509"/>
      <c r="S76" s="2586"/>
      <c r="T76" s="2507"/>
      <c r="U76" s="2585"/>
      <c r="V76" s="2508"/>
      <c r="W76" s="2509"/>
      <c r="X76" s="7926"/>
      <c r="Y76" s="2507"/>
      <c r="Z76" s="2508"/>
      <c r="AA76" s="2508"/>
      <c r="AB76" s="2509"/>
      <c r="AC76" s="2586"/>
      <c r="AD76" s="2507"/>
      <c r="AE76" s="2585"/>
      <c r="AF76" s="2508"/>
      <c r="AG76" s="2509"/>
      <c r="AH76" s="7926"/>
      <c r="AI76" s="2507"/>
      <c r="AJ76" s="2508"/>
      <c r="AK76" s="2508"/>
      <c r="AL76" s="2509"/>
      <c r="AM76" s="2586"/>
      <c r="AN76" s="2507"/>
      <c r="AO76" s="2585"/>
      <c r="AP76" s="2508"/>
      <c r="AQ76" s="2509"/>
      <c r="AR76" s="2509"/>
      <c r="AS76" s="2507"/>
      <c r="AT76" s="2508"/>
      <c r="AU76" s="2508"/>
      <c r="AV76" s="2509"/>
      <c r="AW76" s="2586"/>
      <c r="AX76" s="2507"/>
      <c r="AY76" s="2585"/>
      <c r="AZ76" s="2508"/>
      <c r="BA76" s="2509"/>
      <c r="BB76" s="2509"/>
      <c r="BC76" s="2468"/>
      <c r="BD76" s="2507"/>
      <c r="BE76" s="2508"/>
      <c r="BF76" s="2508"/>
      <c r="BG76" s="2509"/>
      <c r="BH76" s="2586"/>
      <c r="BI76" s="2507"/>
      <c r="BJ76" s="2585"/>
      <c r="BK76" s="2508"/>
      <c r="BL76" s="2509"/>
      <c r="BM76" s="2509"/>
    </row>
    <row r="77" spans="1:65" s="2013" customFormat="1" x14ac:dyDescent="0.3">
      <c r="A77" s="9255"/>
      <c r="B77" s="2510"/>
      <c r="C77" s="2511" t="s">
        <v>990</v>
      </c>
      <c r="D77" s="2386"/>
      <c r="E77" s="2386"/>
      <c r="F77" s="7953">
        <f>SUM(F35:F38)-SUM(F42:F44)</f>
        <v>187940.16793699999</v>
      </c>
      <c r="G77" s="2386"/>
      <c r="H77" s="6268">
        <f>SUM(H35:H38)-SUM(H42:H44)</f>
        <v>313795.59002</v>
      </c>
      <c r="I77" s="6269">
        <f>SUM(I35:I38)-SUM(I42:I44)</f>
        <v>282292.4764219565</v>
      </c>
      <c r="J77" s="6270"/>
      <c r="K77" s="2386"/>
      <c r="L77" s="6268">
        <f>SUM(L35:L38)-SUM(L42:L44)</f>
        <v>346563.59856700001</v>
      </c>
      <c r="M77" s="6270">
        <f>SUM(M35:M38)-SUM(M42:M44)</f>
        <v>309340.26405939827</v>
      </c>
      <c r="N77" s="6269"/>
      <c r="O77" s="6268">
        <f>SUM(O35:O39)-SUM(O42:O44)</f>
        <v>346563.59856800002</v>
      </c>
      <c r="P77" s="6269">
        <f>SUM(P35:P39)-SUM(P42:P44)</f>
        <v>309269.27572275203</v>
      </c>
      <c r="Q77" s="2559"/>
      <c r="R77" s="6270"/>
      <c r="S77" s="6269"/>
      <c r="T77" s="6268">
        <f>SUM(T35:T39)-SUM(T42:T44)</f>
        <v>243182.71989920002</v>
      </c>
      <c r="U77" s="6269"/>
      <c r="V77" s="6269">
        <f>SUM(V35:V38)-SUM(V42:V44)</f>
        <v>228235.78545783905</v>
      </c>
      <c r="W77" s="6270"/>
      <c r="X77" s="2386"/>
      <c r="Y77" s="6268">
        <f>SUM(Y35:Y39)-SUM(Y42:Y44)</f>
        <v>243182.71989920002</v>
      </c>
      <c r="Z77" s="6269">
        <f>SUM(Z35:Z39)-SUM(Z42:Z44)</f>
        <v>228235.78545783905</v>
      </c>
      <c r="AA77" s="2559"/>
      <c r="AB77" s="6270"/>
      <c r="AC77" s="6269"/>
      <c r="AD77" s="6268">
        <f>SUM(AD35:AD39)-SUM(AD42:AD44)</f>
        <v>274757.39439700003</v>
      </c>
      <c r="AE77" s="6269"/>
      <c r="AF77" s="6269">
        <f>SUM(AF35:AF38)-SUM(AF42:AF44)</f>
        <v>259663.3923816141</v>
      </c>
      <c r="AG77" s="6270"/>
      <c r="AH77" s="2386"/>
      <c r="AI77" s="6268">
        <f>SUM(AI35:AI39)-SUM(AI42:AI44)</f>
        <v>274757.39439700003</v>
      </c>
      <c r="AJ77" s="6269">
        <f>SUM(AJ35:AJ39)-SUM(AJ42:AJ44)</f>
        <v>0</v>
      </c>
      <c r="AK77" s="2559"/>
      <c r="AL77" s="6270"/>
      <c r="AM77" s="6269"/>
      <c r="AN77" s="6268">
        <f>SUM(AN35:AN39)-SUM(AN42:AN44)</f>
        <v>290506938988</v>
      </c>
      <c r="AO77" s="6269"/>
      <c r="AP77" s="6269">
        <f>SUM(AP35:AP38)-SUM(AP42:AP44)</f>
        <v>0</v>
      </c>
      <c r="AQ77" s="6270"/>
      <c r="AR77" s="6270"/>
      <c r="AS77" s="6268">
        <f>SUM(AS35:AS39)-SUM(AS42:AS44)</f>
        <v>293114638015</v>
      </c>
      <c r="AT77" s="6269">
        <f>SUM(AT35:AT39)-SUM(AT42:AT44)</f>
        <v>0</v>
      </c>
      <c r="AU77" s="2559"/>
      <c r="AV77" s="6270"/>
      <c r="AW77" s="6269"/>
      <c r="AX77" s="6268">
        <f>SUM(AX35:AX39)-SUM(AX42:AX44)</f>
        <v>294646938988</v>
      </c>
      <c r="AY77" s="6269"/>
      <c r="AZ77" s="6269">
        <f>SUM(AZ35:AZ38)-SUM(AZ42:AZ44)</f>
        <v>0</v>
      </c>
      <c r="BA77" s="6270"/>
      <c r="BB77" s="6270"/>
      <c r="BC77" s="2490"/>
      <c r="BD77" s="6268">
        <f>SUM(BD35:BD39)-SUM(BD42:BD44)</f>
        <v>301853538744</v>
      </c>
      <c r="BE77" s="6269">
        <f>SUM(BE35:BE39)-SUM(BE42:BE44)</f>
        <v>317527728480.05682</v>
      </c>
      <c r="BF77" s="2559"/>
      <c r="BG77" s="6270"/>
      <c r="BH77" s="6269"/>
      <c r="BI77" s="6268">
        <f>SUM(BI35:BI40)-SUM(BI42:BI44)</f>
        <v>318007250987</v>
      </c>
      <c r="BJ77" s="6269"/>
      <c r="BK77" s="6269">
        <f>SUM(BK35:BK40)-SUM(BK42:BK44)</f>
        <v>335236259507.80701</v>
      </c>
      <c r="BL77" s="6270"/>
      <c r="BM77" s="6270"/>
    </row>
    <row r="78" spans="1:65" s="2013" customFormat="1" x14ac:dyDescent="0.3">
      <c r="A78" s="9255"/>
      <c r="B78" s="2510"/>
      <c r="C78" s="2511" t="s">
        <v>944</v>
      </c>
      <c r="D78" s="2386"/>
      <c r="E78" s="2386"/>
      <c r="F78" s="7953">
        <f>SUM(F46:F48)</f>
        <v>0</v>
      </c>
      <c r="G78" s="2386"/>
      <c r="H78" s="6268">
        <f>SUM(H46:H48)</f>
        <v>1588.0923829999999</v>
      </c>
      <c r="I78" s="6269">
        <f>SUM(I46:I48)</f>
        <v>1588.0813129999999</v>
      </c>
      <c r="J78" s="6270"/>
      <c r="K78" s="2386"/>
      <c r="L78" s="6268">
        <f>SUM(L46:L48)</f>
        <v>1588.0923829999999</v>
      </c>
      <c r="M78" s="6270">
        <f>SUM(M46:M48)</f>
        <v>1588.0813129999999</v>
      </c>
      <c r="N78" s="6269"/>
      <c r="O78" s="6268">
        <f>SUM(O46:O48)</f>
        <v>1600.220697</v>
      </c>
      <c r="P78" s="6269">
        <f>SUM(P46:P48)</f>
        <v>1600.2095424580441</v>
      </c>
      <c r="Q78" s="2559"/>
      <c r="R78" s="6270"/>
      <c r="S78" s="6269"/>
      <c r="T78" s="6268">
        <f>SUM(T46:T48)</f>
        <v>1600.220697</v>
      </c>
      <c r="U78" s="6269"/>
      <c r="V78" s="6269">
        <f>SUM(V46:V48)</f>
        <v>1600.2095424580441</v>
      </c>
      <c r="W78" s="6270"/>
      <c r="X78" s="2386"/>
      <c r="Y78" s="6268">
        <f>SUM(Y46:Y48)</f>
        <v>1536.211869</v>
      </c>
      <c r="Z78" s="6269">
        <f>SUM(Z46:Z48)</f>
        <v>1536.2011606397232</v>
      </c>
      <c r="AA78" s="2559"/>
      <c r="AB78" s="6270"/>
      <c r="AC78" s="6269"/>
      <c r="AD78" s="6268">
        <f>SUM(AD46:AD48)</f>
        <v>1536.211869</v>
      </c>
      <c r="AE78" s="6269"/>
      <c r="AF78" s="6269">
        <f>SUM(AF46:AF48)</f>
        <v>1536.2011606397232</v>
      </c>
      <c r="AG78" s="6270"/>
      <c r="AH78" s="2386"/>
      <c r="AI78" s="6268">
        <f>SUM(AI46:AI48)</f>
        <v>1536.211869</v>
      </c>
      <c r="AJ78" s="6269">
        <f>SUM(AJ46:AJ48)</f>
        <v>0</v>
      </c>
      <c r="AK78" s="2559"/>
      <c r="AL78" s="6270"/>
      <c r="AM78" s="6269"/>
      <c r="AN78" s="6268">
        <f>SUM(AN46:AN48)</f>
        <v>0</v>
      </c>
      <c r="AO78" s="6269"/>
      <c r="AP78" s="6269">
        <f>SUM(AP46:AP48)</f>
        <v>0</v>
      </c>
      <c r="AQ78" s="6270"/>
      <c r="AR78" s="6270"/>
      <c r="AS78" s="6268">
        <f>SUM(AS46:AS48)</f>
        <v>2071013389</v>
      </c>
      <c r="AT78" s="6269">
        <f>SUM(AT46:AT48)</f>
        <v>0</v>
      </c>
      <c r="AU78" s="2559"/>
      <c r="AV78" s="6270"/>
      <c r="AW78" s="6269"/>
      <c r="AX78" s="6268">
        <f>SUM(AX46:AX48)</f>
        <v>2071013389</v>
      </c>
      <c r="AY78" s="6269"/>
      <c r="AZ78" s="6269">
        <f>SUM(AZ46:AZ48)</f>
        <v>0</v>
      </c>
      <c r="BA78" s="6270"/>
      <c r="BB78" s="6270"/>
      <c r="BC78" s="2490"/>
      <c r="BD78" s="6268">
        <f>SUM(BD46:BD48)</f>
        <v>2071013389</v>
      </c>
      <c r="BE78" s="6269">
        <f>SUM(BE46:BE48)</f>
        <v>2057472927.631</v>
      </c>
      <c r="BF78" s="2559"/>
      <c r="BG78" s="6270"/>
      <c r="BH78" s="6269"/>
      <c r="BI78" s="6268">
        <f>SUM(BI46:BI48)</f>
        <v>2173013389</v>
      </c>
      <c r="BJ78" s="6269"/>
      <c r="BK78" s="6269">
        <f>SUM(BK46:BK48)</f>
        <v>2157770927.631</v>
      </c>
      <c r="BL78" s="6270"/>
      <c r="BM78" s="6270"/>
    </row>
    <row r="79" spans="1:65" s="2013" customFormat="1" x14ac:dyDescent="0.3">
      <c r="A79" s="9255"/>
      <c r="B79" s="2510"/>
      <c r="C79" s="2511" t="s">
        <v>991</v>
      </c>
      <c r="D79" s="2386"/>
      <c r="E79" s="2386"/>
      <c r="F79" s="7953">
        <f>SUM(F50:F52)*F28</f>
        <v>131.11020589560724</v>
      </c>
      <c r="G79" s="2386"/>
      <c r="H79" s="6268">
        <f>SUM(H50:H52)*H28</f>
        <v>131.22774211170329</v>
      </c>
      <c r="I79" s="6269">
        <f>SUM(I50:I52)*I28</f>
        <v>51.263201126460366</v>
      </c>
      <c r="J79" s="6270"/>
      <c r="K79" s="2386"/>
      <c r="L79" s="6268">
        <f>SUM(L50:L52)*L28</f>
        <v>92.196641567378137</v>
      </c>
      <c r="M79" s="6270">
        <f>SUM(M50:M52)*M28</f>
        <v>53.331662457076973</v>
      </c>
      <c r="N79" s="6269"/>
      <c r="O79" s="6268">
        <f>SUM(O50:O52)*O28</f>
        <v>0</v>
      </c>
      <c r="P79" s="6269">
        <f>SUM(P50:P52)*P28</f>
        <v>0</v>
      </c>
      <c r="Q79" s="2559"/>
      <c r="R79" s="6270"/>
      <c r="S79" s="6269"/>
      <c r="T79" s="6268">
        <f>SUM(T50:T52)*T28</f>
        <v>0</v>
      </c>
      <c r="U79" s="6269"/>
      <c r="V79" s="6269">
        <f>SUM(V50:V52)*V28</f>
        <v>0</v>
      </c>
      <c r="W79" s="6270"/>
      <c r="X79" s="2386"/>
      <c r="Y79" s="6268">
        <f>SUM(Y50:Y52)*Y28</f>
        <v>0</v>
      </c>
      <c r="Z79" s="6269">
        <f>SUM(Z50:Z52)*Z28</f>
        <v>0</v>
      </c>
      <c r="AA79" s="2559"/>
      <c r="AB79" s="6270"/>
      <c r="AC79" s="6269"/>
      <c r="AD79" s="6268">
        <f>SUM(AD50:AD52)*AD28</f>
        <v>0</v>
      </c>
      <c r="AE79" s="6269"/>
      <c r="AF79" s="6269">
        <f>SUM(AF50:AF52)*AF28</f>
        <v>0</v>
      </c>
      <c r="AG79" s="6270"/>
      <c r="AH79" s="2386"/>
      <c r="AI79" s="6268">
        <f>SUM(AI50:AI52)*AI28</f>
        <v>0</v>
      </c>
      <c r="AJ79" s="6269">
        <f>SUM(AJ50:AJ52)*AJ28</f>
        <v>0</v>
      </c>
      <c r="AK79" s="2559"/>
      <c r="AL79" s="6270"/>
      <c r="AM79" s="6269"/>
      <c r="AN79" s="6268">
        <f>SUM(AN50:AN52)*AN28</f>
        <v>0</v>
      </c>
      <c r="AO79" s="6269"/>
      <c r="AP79" s="6269">
        <f>SUM(AP50:AP52)*AP28</f>
        <v>0</v>
      </c>
      <c r="AQ79" s="6270"/>
      <c r="AR79" s="6270"/>
      <c r="AS79" s="6268">
        <f>SUM(AS50:AS52)*AS28</f>
        <v>0</v>
      </c>
      <c r="AT79" s="6269">
        <f>SUM(AT50:AT52)*AT28</f>
        <v>0</v>
      </c>
      <c r="AU79" s="2559"/>
      <c r="AV79" s="6270"/>
      <c r="AW79" s="6269"/>
      <c r="AX79" s="6268">
        <f>SUM(AX50:AX52)*AX28</f>
        <v>0</v>
      </c>
      <c r="AY79" s="6269"/>
      <c r="AZ79" s="6269">
        <f>SUM(AZ50:AZ52)*AZ28</f>
        <v>0</v>
      </c>
      <c r="BA79" s="6270"/>
      <c r="BB79" s="6270"/>
      <c r="BC79" s="2490"/>
      <c r="BD79" s="6268">
        <f>SUM(BD50:BD52)*BD28</f>
        <v>0</v>
      </c>
      <c r="BE79" s="6269">
        <f>SUM(BE50:BE52)*BE28</f>
        <v>0</v>
      </c>
      <c r="BF79" s="2559"/>
      <c r="BG79" s="6270"/>
      <c r="BH79" s="6269"/>
      <c r="BI79" s="6268">
        <f>SUM(BI50:BI52)*BI28</f>
        <v>0</v>
      </c>
      <c r="BJ79" s="6269"/>
      <c r="BK79" s="6269">
        <f>SUM(BK50:BK52)*BK28</f>
        <v>0</v>
      </c>
      <c r="BL79" s="6270"/>
      <c r="BM79" s="6270"/>
    </row>
    <row r="80" spans="1:65" s="2013" customFormat="1" x14ac:dyDescent="0.3">
      <c r="A80" s="9255"/>
      <c r="B80" s="2510"/>
      <c r="C80" s="2511" t="s">
        <v>979</v>
      </c>
      <c r="D80" s="2386"/>
      <c r="E80" s="2386"/>
      <c r="F80" s="7953">
        <f>F54</f>
        <v>0</v>
      </c>
      <c r="G80" s="2386"/>
      <c r="H80" s="6268">
        <f>H54</f>
        <v>0</v>
      </c>
      <c r="I80" s="6269">
        <f>I54</f>
        <v>0</v>
      </c>
      <c r="J80" s="6270"/>
      <c r="K80" s="2386"/>
      <c r="L80" s="6268">
        <f>L54</f>
        <v>0</v>
      </c>
      <c r="M80" s="6270">
        <f>M54</f>
        <v>0</v>
      </c>
      <c r="N80" s="6269"/>
      <c r="O80" s="6268">
        <f>O54</f>
        <v>0</v>
      </c>
      <c r="P80" s="6269">
        <f>P54</f>
        <v>0</v>
      </c>
      <c r="Q80" s="2559"/>
      <c r="R80" s="6270"/>
      <c r="S80" s="6269"/>
      <c r="T80" s="6268">
        <f>T54</f>
        <v>0</v>
      </c>
      <c r="U80" s="6269"/>
      <c r="V80" s="6269">
        <f>V54</f>
        <v>0</v>
      </c>
      <c r="W80" s="6270"/>
      <c r="X80" s="2386"/>
      <c r="Y80" s="6268">
        <f>Y54</f>
        <v>0</v>
      </c>
      <c r="Z80" s="6269">
        <f>Z54</f>
        <v>0</v>
      </c>
      <c r="AA80" s="2559"/>
      <c r="AB80" s="6270"/>
      <c r="AC80" s="6269"/>
      <c r="AD80" s="6268">
        <f>AD54</f>
        <v>0</v>
      </c>
      <c r="AE80" s="6269"/>
      <c r="AF80" s="6269">
        <f>AF54</f>
        <v>0</v>
      </c>
      <c r="AG80" s="6270"/>
      <c r="AH80" s="2386"/>
      <c r="AI80" s="6268">
        <f>AI54</f>
        <v>0</v>
      </c>
      <c r="AJ80" s="6269">
        <f>AJ54</f>
        <v>0</v>
      </c>
      <c r="AK80" s="2559"/>
      <c r="AL80" s="6270"/>
      <c r="AM80" s="6269"/>
      <c r="AN80" s="6268">
        <f>AN54</f>
        <v>0</v>
      </c>
      <c r="AO80" s="6269"/>
      <c r="AP80" s="6269">
        <f>AP54</f>
        <v>0</v>
      </c>
      <c r="AQ80" s="6270"/>
      <c r="AR80" s="6270"/>
      <c r="AS80" s="6268">
        <f>AS54</f>
        <v>0</v>
      </c>
      <c r="AT80" s="6269">
        <f>AT54</f>
        <v>0</v>
      </c>
      <c r="AU80" s="2559"/>
      <c r="AV80" s="6270"/>
      <c r="AW80" s="6269"/>
      <c r="AX80" s="6268">
        <f>AX54</f>
        <v>0</v>
      </c>
      <c r="AY80" s="6269"/>
      <c r="AZ80" s="6269">
        <f>AZ54</f>
        <v>0</v>
      </c>
      <c r="BA80" s="6270"/>
      <c r="BB80" s="6270"/>
      <c r="BC80" s="2490"/>
      <c r="BD80" s="6268">
        <f>BD54</f>
        <v>0</v>
      </c>
      <c r="BE80" s="6269">
        <f>BE54</f>
        <v>0</v>
      </c>
      <c r="BF80" s="2559"/>
      <c r="BG80" s="6270"/>
      <c r="BH80" s="6269"/>
      <c r="BI80" s="6268">
        <f>BI54</f>
        <v>0</v>
      </c>
      <c r="BJ80" s="6269"/>
      <c r="BK80" s="6269">
        <f>BK54</f>
        <v>0</v>
      </c>
      <c r="BL80" s="6270"/>
      <c r="BM80" s="6270"/>
    </row>
    <row r="81" spans="1:65" s="2013" customFormat="1" x14ac:dyDescent="0.3">
      <c r="A81" s="9255"/>
      <c r="B81" s="2510"/>
      <c r="C81" s="7954" t="s">
        <v>992</v>
      </c>
      <c r="D81" s="7940"/>
      <c r="E81" s="7940"/>
      <c r="F81" s="7955">
        <f>SUM(F77:F80)</f>
        <v>188071.27814289561</v>
      </c>
      <c r="G81" s="7940"/>
      <c r="H81" s="6271">
        <f>SUM(H77:H80)</f>
        <v>315514.91014511173</v>
      </c>
      <c r="I81" s="6272">
        <f>SUM(I77:I80)</f>
        <v>283931.82093608298</v>
      </c>
      <c r="J81" s="6273"/>
      <c r="K81" s="7940"/>
      <c r="L81" s="6271">
        <f>SUM(L77:L80)</f>
        <v>348243.88759156741</v>
      </c>
      <c r="M81" s="6273">
        <f>SUM(M77:M80)</f>
        <v>310981.67703485535</v>
      </c>
      <c r="N81" s="6272"/>
      <c r="O81" s="6271">
        <f>SUM(O77:O80)</f>
        <v>348163.819265</v>
      </c>
      <c r="P81" s="6272">
        <f>SUM(P77:P80)</f>
        <v>310869.4852652101</v>
      </c>
      <c r="Q81" s="2559"/>
      <c r="R81" s="6273"/>
      <c r="S81" s="6272"/>
      <c r="T81" s="6271">
        <f>SUM(T77:T80)</f>
        <v>244782.94059620003</v>
      </c>
      <c r="U81" s="6269"/>
      <c r="V81" s="6272">
        <f>SUM(V77:V80)</f>
        <v>229835.99500029709</v>
      </c>
      <c r="W81" s="6270"/>
      <c r="X81" s="7940"/>
      <c r="Y81" s="6271">
        <f>SUM(Y77:Y80)</f>
        <v>244718.93176820001</v>
      </c>
      <c r="Z81" s="6272">
        <f>SUM(Z77:Z80)</f>
        <v>229771.98661847878</v>
      </c>
      <c r="AA81" s="2559"/>
      <c r="AB81" s="6273"/>
      <c r="AC81" s="6272"/>
      <c r="AD81" s="6271">
        <f>SUM(AD77:AD80)</f>
        <v>276293.60626600002</v>
      </c>
      <c r="AE81" s="6269"/>
      <c r="AF81" s="6272">
        <f>SUM(AF77:AF80)</f>
        <v>261199.59354225383</v>
      </c>
      <c r="AG81" s="6270"/>
      <c r="AH81" s="7940"/>
      <c r="AI81" s="6271">
        <f>SUM(AI77:AI80)</f>
        <v>276293.60626600002</v>
      </c>
      <c r="AJ81" s="6272">
        <f>SUM(AJ77:AJ80)</f>
        <v>0</v>
      </c>
      <c r="AK81" s="2559"/>
      <c r="AL81" s="6273"/>
      <c r="AM81" s="6272"/>
      <c r="AN81" s="6271">
        <f>SUM(AN77:AN80)</f>
        <v>290506938988</v>
      </c>
      <c r="AO81" s="6269"/>
      <c r="AP81" s="6272">
        <f>SUM(AP77:AP80)</f>
        <v>0</v>
      </c>
      <c r="AQ81" s="6270"/>
      <c r="AR81" s="6270"/>
      <c r="AS81" s="6271">
        <f>SUM(AS77:AS80)</f>
        <v>295185651404</v>
      </c>
      <c r="AT81" s="6272">
        <f>SUM(AT77:AT80)</f>
        <v>0</v>
      </c>
      <c r="AU81" s="2559"/>
      <c r="AV81" s="6273"/>
      <c r="AW81" s="6272"/>
      <c r="AX81" s="6271">
        <f>SUM(AX77:AX80)</f>
        <v>296717952377</v>
      </c>
      <c r="AY81" s="6269"/>
      <c r="AZ81" s="6272">
        <f>SUM(AZ77:AZ80)</f>
        <v>0</v>
      </c>
      <c r="BA81" s="6270"/>
      <c r="BB81" s="6270"/>
      <c r="BC81" s="2490"/>
      <c r="BD81" s="6271">
        <f>SUM(BD77:BD80)</f>
        <v>303924552133</v>
      </c>
      <c r="BE81" s="6272">
        <f>SUM(BE77:BE80)</f>
        <v>319585201407.68781</v>
      </c>
      <c r="BF81" s="2559"/>
      <c r="BG81" s="6273"/>
      <c r="BH81" s="6272"/>
      <c r="BI81" s="6271">
        <f>SUM(BI77:BI80)</f>
        <v>320180264376</v>
      </c>
      <c r="BJ81" s="6269"/>
      <c r="BK81" s="6272">
        <f>SUM(BK77:BK80)</f>
        <v>337394030435.43799</v>
      </c>
      <c r="BL81" s="6270"/>
      <c r="BM81" s="6270"/>
    </row>
    <row r="82" spans="1:65" x14ac:dyDescent="0.3">
      <c r="A82" s="9255"/>
      <c r="B82" s="2510"/>
      <c r="C82" s="2511" t="s">
        <v>993</v>
      </c>
      <c r="F82" s="2629">
        <f>F81/(F17+F18+F19)</f>
        <v>0.17182491547734016</v>
      </c>
      <c r="G82" s="2630"/>
      <c r="H82" s="2631">
        <f>H81/(H17+H18+H19)</f>
        <v>0.22494994467097754</v>
      </c>
      <c r="I82" s="2631">
        <f>I81/(I17+I18+I19)</f>
        <v>0.23269224171819622</v>
      </c>
      <c r="J82" s="6273"/>
      <c r="K82" s="2630"/>
      <c r="L82" s="2631">
        <f>L81/(L17+L18+L19)</f>
        <v>0.23059028223148512</v>
      </c>
      <c r="M82" s="2629">
        <f>M81/(M17+M18+M19)</f>
        <v>0.23790213095630017</v>
      </c>
      <c r="N82" s="2632"/>
      <c r="O82" s="2631">
        <f>O81/(O17+O18+O19)</f>
        <v>0.23053726485292128</v>
      </c>
      <c r="P82" s="2631">
        <f>P81/(P17+P18+P19)</f>
        <v>0.23845304491109992</v>
      </c>
      <c r="Q82" s="2559"/>
      <c r="R82" s="6273"/>
      <c r="S82" s="2632"/>
      <c r="T82" s="2631">
        <f>T81/(T17+T18+T19)</f>
        <v>0.20184665196351045</v>
      </c>
      <c r="U82" s="6269"/>
      <c r="V82" s="2631">
        <f>V81/(V17+V18+V19)</f>
        <v>0.20919371614024476</v>
      </c>
      <c r="W82" s="6270"/>
      <c r="Y82" s="2631">
        <f>Y81/(Y17+Y18+Y19)</f>
        <v>0.20179387063979384</v>
      </c>
      <c r="Z82" s="2631">
        <f>Z81/(Z17+Z18+Z19)</f>
        <v>0.20913545654841417</v>
      </c>
      <c r="AA82" s="2559"/>
      <c r="AB82" s="6273"/>
      <c r="AC82" s="2632"/>
      <c r="AD82" s="2631">
        <f>AD81/(AD17+AD18+AD19)</f>
        <v>0.2183658448513808</v>
      </c>
      <c r="AE82" s="6269"/>
      <c r="AF82" s="2631">
        <f>AF81/(AF17+AF18+AF19)</f>
        <v>0.22582104358454338</v>
      </c>
      <c r="AG82" s="6270"/>
      <c r="AI82" s="2631">
        <f>AI81/(AI17+AI18+AI19)</f>
        <v>0.2183658448513808</v>
      </c>
      <c r="AJ82" s="2631" t="e">
        <f>AJ81/(AJ17+AJ18+AJ19)</f>
        <v>#DIV/0!</v>
      </c>
      <c r="AK82" s="2559"/>
      <c r="AL82" s="6273"/>
      <c r="AM82" s="2632"/>
      <c r="AN82" s="2631">
        <f>AN81/(AN17+AN18+AN19)</f>
        <v>0.21956840716103435</v>
      </c>
      <c r="AO82" s="6269"/>
      <c r="AP82" s="2631" t="e">
        <f>AP81/(AP17+AP18+AP19)</f>
        <v>#DIV/0!</v>
      </c>
      <c r="AQ82" s="6270"/>
      <c r="AR82" s="6270"/>
      <c r="AS82" s="2631">
        <f>AS81/(AS17+AS18+AS19)</f>
        <v>0.22173042253400674</v>
      </c>
      <c r="AT82" s="2631" t="e">
        <f>AT81/(AT17+AT18+AT19)</f>
        <v>#DIV/0!</v>
      </c>
      <c r="AU82" s="2559"/>
      <c r="AV82" s="6273"/>
      <c r="AW82" s="2632"/>
      <c r="AX82" s="2631">
        <f>AX81/(AX17+AX18+AX19)</f>
        <v>0.2242627608361282</v>
      </c>
      <c r="AY82" s="6269"/>
      <c r="AZ82" s="2631" t="e">
        <f>AZ81/(AZ17+AZ18+AZ19)</f>
        <v>#DIV/0!</v>
      </c>
      <c r="BA82" s="6270"/>
      <c r="BB82" s="6270"/>
      <c r="BC82" s="2490"/>
      <c r="BD82" s="2631">
        <f>BD81/(BD17+BD18+BD19)</f>
        <v>0.22617107721502189</v>
      </c>
      <c r="BE82" s="2631">
        <f>BE81/(BE17+BE18+BE19)</f>
        <v>0.24318548462264097</v>
      </c>
      <c r="BF82" s="2559"/>
      <c r="BG82" s="6273"/>
      <c r="BH82" s="2632"/>
      <c r="BI82" s="2631">
        <f>BI81/(BI17+BI18+BI19)</f>
        <v>0.21907965120120909</v>
      </c>
      <c r="BJ82" s="6269"/>
      <c r="BK82" s="2631">
        <f>BK81/(BK17+BK18+BK19)</f>
        <v>0.23611733233131799</v>
      </c>
      <c r="BL82" s="6270"/>
      <c r="BM82" s="6270"/>
    </row>
    <row r="83" spans="1:65" ht="12" customHeight="1" x14ac:dyDescent="0.3">
      <c r="A83" s="9255"/>
      <c r="B83" s="2633"/>
      <c r="C83" s="2634" t="s">
        <v>573</v>
      </c>
      <c r="F83" s="2635"/>
      <c r="G83" s="7919"/>
      <c r="H83" s="2485">
        <f>H35+H38+H46</f>
        <v>228978.12364800001</v>
      </c>
      <c r="I83" s="2636">
        <f>I35+I38+I46</f>
        <v>217220.14699500002</v>
      </c>
      <c r="J83" s="6273"/>
      <c r="K83" s="7919"/>
      <c r="L83" s="2485">
        <f>L35+L38+L46</f>
        <v>238985.62459500003</v>
      </c>
      <c r="M83" s="2637">
        <f>M35+M38+M46</f>
        <v>226708.592303924</v>
      </c>
      <c r="N83" s="2586"/>
      <c r="O83" s="2485">
        <f>O35+O38+O46</f>
        <v>238825.19493000003</v>
      </c>
      <c r="P83" s="2636">
        <f>P35+P38+P46</f>
        <v>226557.56238135078</v>
      </c>
      <c r="Q83" s="2559"/>
      <c r="R83" s="6273"/>
      <c r="S83" s="2586"/>
      <c r="T83" s="2485">
        <f>T35+T38+T46</f>
        <v>230447.91770800002</v>
      </c>
      <c r="U83" s="6269"/>
      <c r="V83" s="2636">
        <f>V35+V38+V46</f>
        <v>218776.77002145516</v>
      </c>
      <c r="W83" s="6270"/>
      <c r="Y83" s="2485">
        <f>Y35+Y38+Y46</f>
        <v>230383.90888</v>
      </c>
      <c r="Z83" s="2636">
        <f>Z35+Z38+Z46</f>
        <v>218712.76163963685</v>
      </c>
      <c r="AA83" s="2559"/>
      <c r="AB83" s="6273"/>
      <c r="AC83" s="2586"/>
      <c r="AD83" s="2485">
        <f>AD35+AD38+AD46</f>
        <v>270201.30529300001</v>
      </c>
      <c r="AE83" s="6269"/>
      <c r="AF83" s="2636">
        <f>AF35+AF38+AF46</f>
        <v>256499.4875413987</v>
      </c>
      <c r="AG83" s="6270"/>
      <c r="AI83" s="2485">
        <f>AI35+AI38+AI46</f>
        <v>270201.30529300001</v>
      </c>
      <c r="AJ83" s="2636">
        <f>AJ35+AJ38+AJ46</f>
        <v>0</v>
      </c>
      <c r="AK83" s="2559"/>
      <c r="AL83" s="6273"/>
      <c r="AM83" s="2586"/>
      <c r="AN83" s="2485">
        <f>AN35+AN38+AN46</f>
        <v>288514638015</v>
      </c>
      <c r="AO83" s="6269"/>
      <c r="AP83" s="2636">
        <f>AP35+AP38+AP46</f>
        <v>0</v>
      </c>
      <c r="AQ83" s="6270"/>
      <c r="AR83" s="6270"/>
      <c r="AS83" s="2485">
        <f>AS35+AS38+AS46</f>
        <v>288479878032</v>
      </c>
      <c r="AT83" s="2636" t="e">
        <f>AT35+AT38+AT46</f>
        <v>#VALUE!</v>
      </c>
      <c r="AU83" s="2559"/>
      <c r="AV83" s="6273"/>
      <c r="AW83" s="2586"/>
      <c r="AX83" s="2485">
        <f>AX35+AX38+AX46</f>
        <v>290012179005</v>
      </c>
      <c r="AY83" s="6269"/>
      <c r="AZ83" s="2636">
        <f>AZ35+AZ38+AZ46</f>
        <v>0</v>
      </c>
      <c r="BA83" s="6270"/>
      <c r="BB83" s="6270"/>
      <c r="BC83" s="2490"/>
      <c r="BD83" s="2485">
        <f>BD35+BD38+BD46</f>
        <v>297102778761</v>
      </c>
      <c r="BE83" s="2636">
        <f>BE35+BE38+BE46</f>
        <v>314071551791.2262</v>
      </c>
      <c r="BF83" s="2559"/>
      <c r="BG83" s="6273"/>
      <c r="BH83" s="2586"/>
      <c r="BI83" s="2485">
        <f>BI35+BI38+BI46+BI47</f>
        <v>314332784589</v>
      </c>
      <c r="BJ83" s="6269"/>
      <c r="BK83" s="2636">
        <f>BK35+BK38+BK46</f>
        <v>331744340134.01001</v>
      </c>
      <c r="BL83" s="6270"/>
      <c r="BM83" s="6270"/>
    </row>
    <row r="84" spans="1:65" x14ac:dyDescent="0.3">
      <c r="A84" s="9255"/>
      <c r="B84" s="2638"/>
      <c r="C84" s="2639" t="s">
        <v>575</v>
      </c>
      <c r="F84" s="2640"/>
      <c r="G84" s="2630"/>
      <c r="H84" s="2641">
        <f>(H81-H83)/(H18+H19)</f>
        <v>0.11814064574974897</v>
      </c>
      <c r="I84" s="2642">
        <f>(I81-I83)/(I18+I19)</f>
        <v>0.13224426569264217</v>
      </c>
      <c r="J84" s="6273"/>
      <c r="K84" s="2630"/>
      <c r="L84" s="2641">
        <f>(L81-L83)/(L18+L19)</f>
        <v>0.1355179672671453</v>
      </c>
      <c r="M84" s="2643">
        <f>(M81-M83)/(M18+M19)</f>
        <v>0.15177768095692665</v>
      </c>
      <c r="N84" s="2632"/>
      <c r="O84" s="2641">
        <f>(O81-O83)/(O18+O19)</f>
        <v>0.13408754644225232</v>
      </c>
      <c r="P84" s="2642">
        <f>(P81-P83)/(P18+P19)</f>
        <v>0.1501344190047853</v>
      </c>
      <c r="Q84" s="2559"/>
      <c r="R84" s="6273"/>
      <c r="S84" s="2632"/>
      <c r="T84" s="2641">
        <f>(T81-T83)/(T18+T19)</f>
        <v>2.766068280307667E-2</v>
      </c>
      <c r="U84" s="6269"/>
      <c r="V84" s="2642">
        <f>(V81-V83)/(V18+V19)</f>
        <v>3.0986008348700009E-2</v>
      </c>
      <c r="W84" s="6270"/>
      <c r="Y84" s="2641">
        <f>(Y81-Y83)/(Y18+Y19)</f>
        <v>2.766068280307667E-2</v>
      </c>
      <c r="Z84" s="2642">
        <f>(Z81-Z83)/(Z18+Z19)</f>
        <v>3.0986008348700009E-2</v>
      </c>
      <c r="AA84" s="2559"/>
      <c r="AB84" s="6273"/>
      <c r="AC84" s="2632"/>
      <c r="AD84" s="2641">
        <f>(AD81-AD83)/(AD18+AD19)</f>
        <v>1.1867306766443883E-2</v>
      </c>
      <c r="AE84" s="6269"/>
      <c r="AF84" s="2642">
        <f>(AF81-AF83)/(AF18+AF19)</f>
        <v>1.3293976477714142E-2</v>
      </c>
      <c r="AG84" s="6270"/>
      <c r="AI84" s="2641">
        <f>(AI81-AI83)/(AI18+AI19)</f>
        <v>1.1867306766443883E-2</v>
      </c>
      <c r="AJ84" s="2642" t="e">
        <f>(AJ81-AJ83)/(AJ18+AJ19)</f>
        <v>#DIV/0!</v>
      </c>
      <c r="AK84" s="2559"/>
      <c r="AL84" s="6273"/>
      <c r="AM84" s="2632"/>
      <c r="AN84" s="2641">
        <f>(AN81-AN83)/(AN18+AN19)</f>
        <v>3.8346081925513509E-3</v>
      </c>
      <c r="AO84" s="6269"/>
      <c r="AP84" s="2642" t="e">
        <f>(AP81-AP83)/(AP18+AP19)</f>
        <v>#DIV/0!</v>
      </c>
      <c r="AQ84" s="6270"/>
      <c r="AR84" s="6270"/>
      <c r="AS84" s="2641">
        <f>(AS81-AS83)/(AS18+AS19)</f>
        <v>1.290669123698907E-2</v>
      </c>
      <c r="AT84" s="2642" t="e">
        <f>(AT81-AT83)/(AT18+AT19)</f>
        <v>#VALUE!</v>
      </c>
      <c r="AU84" s="2559"/>
      <c r="AV84" s="6273"/>
      <c r="AW84" s="2632"/>
      <c r="AX84" s="2641">
        <f>(AX81-AX83)/(AX18+AX19)</f>
        <v>1.290669123698907E-2</v>
      </c>
      <c r="AY84" s="6269"/>
      <c r="AZ84" s="2642" t="e">
        <f>(AZ81-AZ83)/(AZ18+AZ19)</f>
        <v>#DIV/0!</v>
      </c>
      <c r="BA84" s="6270"/>
      <c r="BB84" s="6270"/>
      <c r="BC84" s="2490"/>
      <c r="BD84" s="2641">
        <f>(BD81-BD83)/(BD18+BD19)</f>
        <v>1.3129957980500297E-2</v>
      </c>
      <c r="BE84" s="2642">
        <f>(BE81-BE83)/(BE18+BE19)</f>
        <v>1.1019259964843537E-2</v>
      </c>
      <c r="BF84" s="2559"/>
      <c r="BG84" s="6273"/>
      <c r="BH84" s="2632"/>
      <c r="BI84" s="2641">
        <f>(BI81-BI83)/(BI18+BI19)</f>
        <v>1.0098306758117348E-2</v>
      </c>
      <c r="BJ84" s="6269"/>
      <c r="BK84" s="2642">
        <f>(BK81-BK83)/(BK18+BK19)</f>
        <v>1.0130985367019424E-2</v>
      </c>
      <c r="BL84" s="6270"/>
      <c r="BM84" s="6270"/>
    </row>
    <row r="85" spans="1:65" x14ac:dyDescent="0.3">
      <c r="A85" s="9255"/>
      <c r="B85" s="2638"/>
      <c r="C85" s="2639" t="s">
        <v>576</v>
      </c>
      <c r="F85" s="2640"/>
      <c r="G85" s="7940"/>
      <c r="H85" s="2641">
        <f>H83/H17</f>
        <v>0.34170178835412501</v>
      </c>
      <c r="I85" s="2642">
        <f>I83/I17</f>
        <v>0.30348807689769403</v>
      </c>
      <c r="J85" s="6273"/>
      <c r="K85" s="7940"/>
      <c r="L85" s="2641">
        <f>L83/L17</f>
        <v>0.33946782897639921</v>
      </c>
      <c r="M85" s="2643">
        <f>M83/M17</f>
        <v>0.30149707000019527</v>
      </c>
      <c r="N85" s="2644"/>
      <c r="O85" s="2641">
        <f>O83/O17</f>
        <v>0.34373189191894221</v>
      </c>
      <c r="P85" s="2642">
        <f>P83/P17</f>
        <v>0.30528574212343046</v>
      </c>
      <c r="Q85" s="2559"/>
      <c r="R85" s="6273"/>
      <c r="S85" s="2644"/>
      <c r="T85" s="2641">
        <f>T83/T17</f>
        <v>0.33183187134152253</v>
      </c>
      <c r="U85" s="6269"/>
      <c r="V85" s="2642">
        <f>V83/V17</f>
        <v>0.29494075325366986</v>
      </c>
      <c r="W85" s="6270"/>
      <c r="Y85" s="2641">
        <f>Y83/Y17</f>
        <v>0.33173970227621319</v>
      </c>
      <c r="Z85" s="2642">
        <f>Z83/Z17</f>
        <v>0.29485446127511017</v>
      </c>
      <c r="AA85" s="2559"/>
      <c r="AB85" s="6273"/>
      <c r="AC85" s="2644"/>
      <c r="AD85" s="2641">
        <f>AD83/AD17</f>
        <v>0.3593532391006678</v>
      </c>
      <c r="AE85" s="6269"/>
      <c r="AF85" s="2642">
        <f>AF83/AF17</f>
        <v>0.31938086574099128</v>
      </c>
      <c r="AG85" s="6270"/>
      <c r="AI85" s="2641">
        <f>AI83/AI17</f>
        <v>0.3593532391006678</v>
      </c>
      <c r="AJ85" s="2642" t="e">
        <f>AJ83/AJ17</f>
        <v>#DIV/0!</v>
      </c>
      <c r="AK85" s="2559"/>
      <c r="AL85" s="6273"/>
      <c r="AM85" s="2644"/>
      <c r="AN85" s="2641">
        <f>AN83/AN17</f>
        <v>0.35906172454325874</v>
      </c>
      <c r="AO85" s="6269"/>
      <c r="AP85" s="2642" t="e">
        <f>AP83/AP17</f>
        <v>#DIV/0!</v>
      </c>
      <c r="AQ85" s="6270"/>
      <c r="AR85" s="6270"/>
      <c r="AS85" s="2641">
        <f>AS83/AS17</f>
        <v>0.35539167549672873</v>
      </c>
      <c r="AT85" s="2642" t="e">
        <f>AT83/AT17</f>
        <v>#VALUE!</v>
      </c>
      <c r="AU85" s="2559"/>
      <c r="AV85" s="6273"/>
      <c r="AW85" s="2644"/>
      <c r="AX85" s="2641">
        <f>AX83/AX17</f>
        <v>0.36092544159464679</v>
      </c>
      <c r="AY85" s="6269"/>
      <c r="AZ85" s="2642" t="e">
        <f>AZ83/AZ17</f>
        <v>#DIV/0!</v>
      </c>
      <c r="BA85" s="6270"/>
      <c r="BB85" s="6270"/>
      <c r="BC85" s="2490"/>
      <c r="BD85" s="2641">
        <f>BD83/BD17</f>
        <v>0.36046372611241467</v>
      </c>
      <c r="BE85" s="2642">
        <f>BE83/BE17</f>
        <v>0.38593327721556103</v>
      </c>
      <c r="BF85" s="2559"/>
      <c r="BG85" s="6273"/>
      <c r="BH85" s="2644"/>
      <c r="BI85" s="2641">
        <f>BI83/BI17</f>
        <v>0.35621540916179367</v>
      </c>
      <c r="BJ85" s="6269"/>
      <c r="BK85" s="2642">
        <f>BK83/BK17</f>
        <v>0.38076350644801232</v>
      </c>
      <c r="BL85" s="6270"/>
      <c r="BM85" s="6270"/>
    </row>
    <row r="86" spans="1:65" x14ac:dyDescent="0.3">
      <c r="A86" s="9255"/>
      <c r="B86" s="2645"/>
      <c r="C86" s="2646"/>
      <c r="F86" s="2647"/>
      <c r="G86" s="7940"/>
      <c r="H86" s="2648"/>
      <c r="I86" s="2649"/>
      <c r="J86" s="6273"/>
      <c r="K86" s="7940"/>
      <c r="L86" s="2648"/>
      <c r="M86" s="2650"/>
      <c r="N86" s="2644"/>
      <c r="O86" s="2648"/>
      <c r="P86" s="2649"/>
      <c r="Q86" s="2559"/>
      <c r="R86" s="6273"/>
      <c r="S86" s="2644"/>
      <c r="T86" s="2648"/>
      <c r="U86" s="6269"/>
      <c r="V86" s="2649"/>
      <c r="W86" s="6270"/>
      <c r="Y86" s="2648"/>
      <c r="Z86" s="2649"/>
      <c r="AA86" s="2559"/>
      <c r="AB86" s="6273"/>
      <c r="AC86" s="2644"/>
      <c r="AD86" s="2648"/>
      <c r="AE86" s="6269"/>
      <c r="AF86" s="2649"/>
      <c r="AG86" s="6270"/>
      <c r="AI86" s="2648"/>
      <c r="AJ86" s="2649"/>
      <c r="AK86" s="2559"/>
      <c r="AL86" s="6273"/>
      <c r="AM86" s="2644"/>
      <c r="AN86" s="2648"/>
      <c r="AO86" s="6269"/>
      <c r="AP86" s="2649"/>
      <c r="AQ86" s="6270"/>
      <c r="AR86" s="6270"/>
      <c r="AS86" s="2648"/>
      <c r="AT86" s="2649"/>
      <c r="AU86" s="2559"/>
      <c r="AV86" s="6273"/>
      <c r="AW86" s="2644"/>
      <c r="AX86" s="2648"/>
      <c r="AY86" s="6269"/>
      <c r="AZ86" s="2649"/>
      <c r="BA86" s="6270"/>
      <c r="BB86" s="6270"/>
      <c r="BC86" s="2490"/>
      <c r="BD86" s="2648"/>
      <c r="BE86" s="2649"/>
      <c r="BF86" s="2559"/>
      <c r="BG86" s="6273"/>
      <c r="BH86" s="2644"/>
      <c r="BI86" s="2648"/>
      <c r="BJ86" s="6269"/>
      <c r="BK86" s="2649"/>
      <c r="BL86" s="6270"/>
      <c r="BM86" s="6270"/>
    </row>
    <row r="87" spans="1:65" x14ac:dyDescent="0.3">
      <c r="A87" s="9255"/>
      <c r="B87" s="2645"/>
      <c r="C87" s="2646" t="s">
        <v>577</v>
      </c>
      <c r="F87" s="2647"/>
      <c r="G87" s="7940"/>
      <c r="H87" s="2648">
        <f>H81/H12</f>
        <v>0.46749485887764575</v>
      </c>
      <c r="I87" s="2649">
        <f>I81/I12</f>
        <v>0.38826360226770046</v>
      </c>
      <c r="J87" s="6273"/>
      <c r="K87" s="7940"/>
      <c r="L87" s="2648">
        <f>L81/L12</f>
        <v>0.46752419042499355</v>
      </c>
      <c r="M87" s="2650">
        <f>M81/M12</f>
        <v>0.38531067891636611</v>
      </c>
      <c r="N87" s="2644"/>
      <c r="O87" s="2648">
        <f>O81/O12</f>
        <v>0.47220810650343997</v>
      </c>
      <c r="P87" s="2649">
        <f>P81/P12</f>
        <v>0.38912000127704088</v>
      </c>
      <c r="Q87" s="2559"/>
      <c r="R87" s="6273"/>
      <c r="S87" s="2644"/>
      <c r="T87" s="2648">
        <f>T81/T12</f>
        <v>0.32850053813040864</v>
      </c>
      <c r="U87" s="6269"/>
      <c r="V87" s="2649">
        <f>V81/V12</f>
        <v>0.28466144058965137</v>
      </c>
      <c r="W87" s="6270"/>
      <c r="Y87" s="2648">
        <f>Y81/Y12</f>
        <v>0.32841463780421809</v>
      </c>
      <c r="Z87" s="2649">
        <f>Z81/Z12</f>
        <v>0.28458216354613092</v>
      </c>
      <c r="AA87" s="2559"/>
      <c r="AB87" s="6273"/>
      <c r="AC87" s="2644"/>
      <c r="AD87" s="2648">
        <f>AD81/AD12</f>
        <v>0.35120591018098352</v>
      </c>
      <c r="AE87" s="6269"/>
      <c r="AF87" s="2649">
        <f>AF81/AF12</f>
        <v>0.30642143174637515</v>
      </c>
      <c r="AG87" s="6270"/>
      <c r="AI87" s="2648">
        <f>AI81/AI12</f>
        <v>0.35120591018098352</v>
      </c>
      <c r="AJ87" s="2649" t="e">
        <f>AJ81/AJ12</f>
        <v>#DIV/0!</v>
      </c>
      <c r="AK87" s="2559"/>
      <c r="AL87" s="6273"/>
      <c r="AM87" s="2644"/>
      <c r="AN87" s="2648">
        <f>AN81/AN12</f>
        <v>0.34102068867120477</v>
      </c>
      <c r="AO87" s="6269"/>
      <c r="AP87" s="2649" t="e">
        <f>AP81/AP12</f>
        <v>#DIV/0!</v>
      </c>
      <c r="AQ87" s="6270"/>
      <c r="AR87" s="6270"/>
      <c r="AS87" s="2648">
        <f>AS81/AS12</f>
        <v>0.34651294209467548</v>
      </c>
      <c r="AT87" s="2649" t="e">
        <f>AT81/AT12</f>
        <v>#DIV/0!</v>
      </c>
      <c r="AU87" s="2559"/>
      <c r="AV87" s="6273"/>
      <c r="AW87" s="2644"/>
      <c r="AX87" s="2648">
        <f>AX81/AX12</f>
        <v>0.34307618200720158</v>
      </c>
      <c r="AY87" s="6269"/>
      <c r="AZ87" s="2649" t="e">
        <f>AZ81/AZ12</f>
        <v>#DIV/0!</v>
      </c>
      <c r="BA87" s="6270"/>
      <c r="BB87" s="6270"/>
      <c r="BC87" s="2490"/>
      <c r="BD87" s="2648">
        <f>BD81/BD12</f>
        <v>0.37885733105453184</v>
      </c>
      <c r="BE87" s="2649">
        <f>BE81/BE12</f>
        <v>0.35617263824468259</v>
      </c>
      <c r="BF87" s="2559"/>
      <c r="BG87" s="6273"/>
      <c r="BH87" s="2644"/>
      <c r="BI87" s="2648">
        <f>BI81/BI12</f>
        <v>0.35229294981359005</v>
      </c>
      <c r="BJ87" s="6269"/>
      <c r="BK87" s="2649">
        <f>BK81/BK12</f>
        <v>0.32944701378290636</v>
      </c>
      <c r="BL87" s="6270"/>
      <c r="BM87" s="6270"/>
    </row>
    <row r="88" spans="1:65" x14ac:dyDescent="0.3">
      <c r="A88" s="9255"/>
      <c r="B88" s="2651"/>
      <c r="C88" s="2652" t="s">
        <v>578</v>
      </c>
      <c r="F88" s="2653"/>
      <c r="G88" s="7940"/>
      <c r="H88" s="2654">
        <f>(H81-H60)</f>
        <v>315514.91014511173</v>
      </c>
      <c r="I88" s="2655">
        <f>(I81-I60)</f>
        <v>283931.82093608298</v>
      </c>
      <c r="J88" s="6273"/>
      <c r="K88" s="7940"/>
      <c r="L88" s="2654">
        <f>(L81-L60)</f>
        <v>348243.88759156741</v>
      </c>
      <c r="M88" s="2656">
        <f>(M81-M60)</f>
        <v>310981.67703485535</v>
      </c>
      <c r="N88" s="2644"/>
      <c r="O88" s="2654">
        <f>(O81-O60)</f>
        <v>348163.819265</v>
      </c>
      <c r="P88" s="2655">
        <f>(P81-P60)</f>
        <v>310869.4852652101</v>
      </c>
      <c r="Q88" s="2559"/>
      <c r="R88" s="6273"/>
      <c r="S88" s="2644"/>
      <c r="T88" s="2654">
        <f>(T81-T62)</f>
        <v>231940.21868720005</v>
      </c>
      <c r="U88" s="6269"/>
      <c r="V88" s="2655">
        <f>(V81-V62)</f>
        <v>219928.05470330274</v>
      </c>
      <c r="W88" s="6270"/>
      <c r="Y88" s="2654">
        <f>(Y81-Y60)</f>
        <v>244718.93176820001</v>
      </c>
      <c r="Z88" s="2655">
        <f>(Z81-Z60)</f>
        <v>229771.98661847878</v>
      </c>
      <c r="AA88" s="2559"/>
      <c r="AB88" s="6273"/>
      <c r="AC88" s="2644"/>
      <c r="AD88" s="2654">
        <f>(AD81-AD62)</f>
        <v>271693.60626600002</v>
      </c>
      <c r="AE88" s="6269"/>
      <c r="AF88" s="2655">
        <f>(AF81-AF62)</f>
        <v>257650.77221846307</v>
      </c>
      <c r="AG88" s="6270"/>
      <c r="AI88" s="2654">
        <f>(AI81-AI60)</f>
        <v>276293.60626600002</v>
      </c>
      <c r="AJ88" s="2655">
        <f>(AJ81-AJ60)</f>
        <v>0</v>
      </c>
      <c r="AK88" s="2559"/>
      <c r="AL88" s="6273"/>
      <c r="AM88" s="2644"/>
      <c r="AN88" s="2654">
        <f>(AN81-AN62)</f>
        <v>285906938988</v>
      </c>
      <c r="AO88" s="6269"/>
      <c r="AP88" s="2655">
        <f>(AP81-AP62)</f>
        <v>0</v>
      </c>
      <c r="AQ88" s="6270"/>
      <c r="AR88" s="6270"/>
      <c r="AS88" s="2654">
        <f>(AS81-AS60)</f>
        <v>295185651404</v>
      </c>
      <c r="AT88" s="2655">
        <f>(AT81-AT60)</f>
        <v>0</v>
      </c>
      <c r="AU88" s="2559"/>
      <c r="AV88" s="6273"/>
      <c r="AW88" s="2644"/>
      <c r="AX88" s="2654">
        <f>(AX81-AX62)</f>
        <v>292117952377</v>
      </c>
      <c r="AY88" s="6269"/>
      <c r="AZ88" s="2655">
        <f>(AZ81-AZ62)</f>
        <v>0</v>
      </c>
      <c r="BA88" s="6270"/>
      <c r="BB88" s="6270"/>
      <c r="BC88" s="2490"/>
      <c r="BD88" s="2654">
        <f>(BD81-SUM(BD60:BD63))</f>
        <v>299324552133</v>
      </c>
      <c r="BE88" s="2655">
        <f>(BE81-SUM(BE60:BE63))</f>
        <v>315943663219.96326</v>
      </c>
      <c r="BF88" s="2559"/>
      <c r="BG88" s="6273"/>
      <c r="BH88" s="2644"/>
      <c r="BI88" s="2654">
        <f>(BI81-SUM(BI60:BI63))</f>
        <v>317604114576</v>
      </c>
      <c r="BJ88" s="6269"/>
      <c r="BK88" s="2655">
        <f>(BK81-SUM(BK60:BK63))</f>
        <v>334979624200.63098</v>
      </c>
      <c r="BL88" s="6270"/>
      <c r="BM88" s="6270"/>
    </row>
    <row r="89" spans="1:65" x14ac:dyDescent="0.3">
      <c r="A89" s="9255"/>
      <c r="B89" s="2645"/>
      <c r="C89" s="2646" t="s">
        <v>579</v>
      </c>
      <c r="D89" s="7940"/>
      <c r="E89" s="7940"/>
      <c r="F89" s="2647"/>
      <c r="G89" s="7940"/>
      <c r="H89" s="2648">
        <f>H88/H12</f>
        <v>0.46749485887764575</v>
      </c>
      <c r="I89" s="2649">
        <f>I88/I12</f>
        <v>0.38826360226770046</v>
      </c>
      <c r="J89" s="6273"/>
      <c r="K89" s="7940"/>
      <c r="L89" s="2648">
        <f>L88/L12</f>
        <v>0.46752419042499355</v>
      </c>
      <c r="M89" s="2650">
        <f>M88/M12</f>
        <v>0.38531067891636611</v>
      </c>
      <c r="N89" s="6272"/>
      <c r="O89" s="2648">
        <f>O88/O12</f>
        <v>0.47220810650343997</v>
      </c>
      <c r="P89" s="2649">
        <f>P88/P12</f>
        <v>0.38912000127704088</v>
      </c>
      <c r="Q89" s="2559"/>
      <c r="R89" s="6273"/>
      <c r="S89" s="6272"/>
      <c r="T89" s="2648">
        <f>T88/T12</f>
        <v>0.31126550921912033</v>
      </c>
      <c r="U89" s="6269"/>
      <c r="V89" s="2649">
        <f>V88/V12</f>
        <v>0.27239004437856174</v>
      </c>
      <c r="W89" s="6270"/>
      <c r="Y89" s="2648">
        <f>Y88/Y12</f>
        <v>0.32841463780421809</v>
      </c>
      <c r="Z89" s="2649">
        <f>Z88/Z12</f>
        <v>0.28458216354613092</v>
      </c>
      <c r="AA89" s="2559"/>
      <c r="AB89" s="6273"/>
      <c r="AC89" s="6272"/>
      <c r="AD89" s="2648">
        <f>AD88/AD12</f>
        <v>0.34535869855467771</v>
      </c>
      <c r="AE89" s="6269"/>
      <c r="AF89" s="2649">
        <f>AF88/AF12</f>
        <v>0.30225819819650318</v>
      </c>
      <c r="AG89" s="6270"/>
      <c r="AI89" s="2648">
        <f>AI88/AI12</f>
        <v>0.35120591018098352</v>
      </c>
      <c r="AJ89" s="2649" t="e">
        <f>AJ88/AJ12</f>
        <v>#DIV/0!</v>
      </c>
      <c r="AK89" s="2559"/>
      <c r="AL89" s="6273"/>
      <c r="AM89" s="6272"/>
      <c r="AN89" s="2648">
        <f>AN88/AN12</f>
        <v>0.33562083428785616</v>
      </c>
      <c r="AO89" s="6269"/>
      <c r="AP89" s="2649" t="e">
        <f>AP88/AP12</f>
        <v>#DIV/0!</v>
      </c>
      <c r="AQ89" s="6270"/>
      <c r="AR89" s="6270"/>
      <c r="AS89" s="2648">
        <f>AS88/AS12</f>
        <v>0.34651294209467548</v>
      </c>
      <c r="AT89" s="2649" t="e">
        <f>AT88/AT12</f>
        <v>#DIV/0!</v>
      </c>
      <c r="AU89" s="2559"/>
      <c r="AV89" s="6273"/>
      <c r="AW89" s="6272"/>
      <c r="AX89" s="2648">
        <f>AX88/AX12</f>
        <v>0.33775749325045262</v>
      </c>
      <c r="AY89" s="6269"/>
      <c r="AZ89" s="2649" t="e">
        <f>AZ88/AZ12</f>
        <v>#DIV/0!</v>
      </c>
      <c r="BA89" s="6270"/>
      <c r="BB89" s="6270"/>
      <c r="BC89" s="2490"/>
      <c r="BD89" s="2648">
        <f>BD88/BD12</f>
        <v>0.37312319832119412</v>
      </c>
      <c r="BE89" s="2649">
        <f>BE88/BE12</f>
        <v>0.35211420169043162</v>
      </c>
      <c r="BF89" s="2559"/>
      <c r="BG89" s="6273"/>
      <c r="BH89" s="6272"/>
      <c r="BI89" s="2648">
        <f>BI88/BI12</f>
        <v>0.34945842341336852</v>
      </c>
      <c r="BJ89" s="6269"/>
      <c r="BK89" s="2649">
        <f>BK88/BK12</f>
        <v>0.32708947674204814</v>
      </c>
      <c r="BL89" s="6270"/>
      <c r="BM89" s="6270"/>
    </row>
    <row r="90" spans="1:65" x14ac:dyDescent="0.3">
      <c r="A90" s="9255"/>
      <c r="B90" s="2638"/>
      <c r="C90" s="2639"/>
      <c r="F90" s="2640"/>
      <c r="G90" s="7940"/>
      <c r="H90" s="2641"/>
      <c r="I90" s="2642"/>
      <c r="J90" s="6273"/>
      <c r="K90" s="7940"/>
      <c r="L90" s="2641"/>
      <c r="M90" s="2643"/>
      <c r="N90" s="2632"/>
      <c r="O90" s="2641"/>
      <c r="P90" s="2642"/>
      <c r="Q90" s="2559"/>
      <c r="R90" s="6273"/>
      <c r="S90" s="2632"/>
      <c r="T90" s="2641"/>
      <c r="U90" s="6269"/>
      <c r="V90" s="2642"/>
      <c r="W90" s="6270"/>
      <c r="Y90" s="2641"/>
      <c r="Z90" s="2642"/>
      <c r="AA90" s="2559"/>
      <c r="AB90" s="6273"/>
      <c r="AC90" s="2632"/>
      <c r="AD90" s="2641"/>
      <c r="AE90" s="6269"/>
      <c r="AF90" s="2642"/>
      <c r="AG90" s="6270"/>
      <c r="AI90" s="2641"/>
      <c r="AJ90" s="2642"/>
      <c r="AK90" s="2559"/>
      <c r="AL90" s="6273"/>
      <c r="AM90" s="2632"/>
      <c r="AN90" s="2641"/>
      <c r="AO90" s="6269"/>
      <c r="AP90" s="2642"/>
      <c r="AQ90" s="6270"/>
      <c r="AR90" s="6270"/>
      <c r="AS90" s="2641"/>
      <c r="AT90" s="2642"/>
      <c r="AU90" s="2559"/>
      <c r="AV90" s="6273"/>
      <c r="AW90" s="2632"/>
      <c r="AX90" s="2641"/>
      <c r="AY90" s="6269"/>
      <c r="AZ90" s="2642"/>
      <c r="BA90" s="6270"/>
      <c r="BB90" s="6270"/>
      <c r="BC90" s="2490"/>
      <c r="BD90" s="2641"/>
      <c r="BE90" s="2642"/>
      <c r="BF90" s="2559"/>
      <c r="BG90" s="6273"/>
      <c r="BH90" s="2632"/>
      <c r="BI90" s="2641"/>
      <c r="BJ90" s="6269"/>
      <c r="BK90" s="2642"/>
      <c r="BL90" s="6270"/>
      <c r="BM90" s="6270"/>
    </row>
    <row r="91" spans="1:65" x14ac:dyDescent="0.3">
      <c r="A91" s="9255"/>
      <c r="B91" s="2638"/>
      <c r="C91" s="2639" t="s">
        <v>580</v>
      </c>
      <c r="F91" s="2640"/>
      <c r="G91" s="7940"/>
      <c r="H91" s="2641"/>
      <c r="I91" s="2642"/>
      <c r="J91" s="6273"/>
      <c r="K91" s="7940"/>
      <c r="L91" s="2641"/>
      <c r="M91" s="2643"/>
      <c r="N91" s="2632"/>
      <c r="O91" s="2641"/>
      <c r="P91" s="2642"/>
      <c r="Q91" s="2559"/>
      <c r="R91" s="6273"/>
      <c r="S91" s="2632"/>
      <c r="T91" s="2641"/>
      <c r="U91" s="6269"/>
      <c r="V91" s="2642"/>
      <c r="W91" s="6270"/>
      <c r="Y91" s="2641"/>
      <c r="Z91" s="2642"/>
      <c r="AA91" s="2559"/>
      <c r="AB91" s="6273"/>
      <c r="AC91" s="2632"/>
      <c r="AD91" s="2641"/>
      <c r="AE91" s="6269"/>
      <c r="AF91" s="2642"/>
      <c r="AG91" s="6270"/>
      <c r="AI91" s="2641"/>
      <c r="AJ91" s="2642"/>
      <c r="AK91" s="2559"/>
      <c r="AL91" s="6273"/>
      <c r="AM91" s="2632"/>
      <c r="AN91" s="2641"/>
      <c r="AO91" s="6269"/>
      <c r="AP91" s="2642"/>
      <c r="AQ91" s="6270"/>
      <c r="AR91" s="6270"/>
      <c r="AS91" s="2641"/>
      <c r="AT91" s="2642"/>
      <c r="AU91" s="2559"/>
      <c r="AV91" s="6273"/>
      <c r="AW91" s="2632"/>
      <c r="AX91" s="2641"/>
      <c r="AY91" s="6269"/>
      <c r="AZ91" s="2642"/>
      <c r="BA91" s="6270"/>
      <c r="BB91" s="6270"/>
      <c r="BC91" s="2490"/>
      <c r="BD91" s="2641"/>
      <c r="BE91" s="2642"/>
      <c r="BF91" s="2559"/>
      <c r="BG91" s="6273"/>
      <c r="BH91" s="2632"/>
      <c r="BI91" s="2641"/>
      <c r="BJ91" s="6269"/>
      <c r="BK91" s="2642"/>
      <c r="BL91" s="6270"/>
      <c r="BM91" s="6270"/>
    </row>
    <row r="92" spans="1:65" x14ac:dyDescent="0.3">
      <c r="A92" s="9256"/>
      <c r="B92" s="2657"/>
      <c r="C92" s="2658" t="s">
        <v>581</v>
      </c>
      <c r="F92" s="2659"/>
      <c r="H92" s="2660"/>
      <c r="I92" s="2661"/>
      <c r="J92" s="6274"/>
      <c r="L92" s="2660"/>
      <c r="M92" s="2662"/>
      <c r="O92" s="2660"/>
      <c r="P92" s="2661"/>
      <c r="Q92" s="2502"/>
      <c r="R92" s="6274"/>
      <c r="T92" s="2660"/>
      <c r="U92" s="6275"/>
      <c r="V92" s="2661"/>
      <c r="W92" s="6276"/>
      <c r="Y92" s="2660"/>
      <c r="Z92" s="2661"/>
      <c r="AA92" s="2502"/>
      <c r="AB92" s="6274"/>
      <c r="AD92" s="2660"/>
      <c r="AE92" s="6275"/>
      <c r="AF92" s="2661"/>
      <c r="AG92" s="6276"/>
      <c r="AI92" s="2660"/>
      <c r="AJ92" s="2661"/>
      <c r="AK92" s="2502"/>
      <c r="AL92" s="6274"/>
      <c r="AN92" s="2660"/>
      <c r="AO92" s="6275"/>
      <c r="AP92" s="2661"/>
      <c r="AQ92" s="6276"/>
      <c r="AR92" s="6276"/>
      <c r="AS92" s="2660"/>
      <c r="AT92" s="2661"/>
      <c r="AU92" s="2502"/>
      <c r="AV92" s="6274"/>
      <c r="AX92" s="2660"/>
      <c r="AY92" s="6275"/>
      <c r="AZ92" s="2661"/>
      <c r="BA92" s="6276"/>
      <c r="BB92" s="6276"/>
      <c r="BC92" s="2471"/>
      <c r="BD92" s="2660"/>
      <c r="BE92" s="2661"/>
      <c r="BF92" s="2502"/>
      <c r="BG92" s="6274"/>
      <c r="BI92" s="2660"/>
      <c r="BJ92" s="6275"/>
      <c r="BK92" s="2661"/>
      <c r="BL92" s="6276"/>
      <c r="BM92" s="6276"/>
    </row>
    <row r="94" spans="1:65" x14ac:dyDescent="0.3">
      <c r="A94" s="2004" t="s">
        <v>1369</v>
      </c>
    </row>
    <row r="95" spans="1:65" x14ac:dyDescent="0.3">
      <c r="A95" s="9277"/>
      <c r="B95" s="9278"/>
      <c r="C95" s="9278"/>
      <c r="D95" s="9278"/>
      <c r="E95" s="9278"/>
      <c r="F95" s="9278"/>
      <c r="G95" s="9278"/>
      <c r="H95" s="9278"/>
      <c r="I95" s="9278"/>
      <c r="J95" s="9278"/>
      <c r="K95" s="9278"/>
      <c r="L95" s="9278"/>
      <c r="M95" s="9278"/>
      <c r="N95" s="9278"/>
      <c r="O95" s="9278"/>
      <c r="P95" s="9278"/>
      <c r="Q95" s="9278"/>
      <c r="R95" s="9278"/>
      <c r="S95" s="9278"/>
      <c r="T95" s="9278"/>
      <c r="U95" s="9278"/>
      <c r="V95" s="9278"/>
      <c r="W95" s="9278"/>
      <c r="X95" s="9278"/>
      <c r="Y95" s="9278"/>
      <c r="Z95" s="9278"/>
      <c r="AA95" s="9278"/>
      <c r="AB95" s="9278"/>
      <c r="AC95" s="9278"/>
      <c r="AD95" s="9278"/>
      <c r="AE95" s="9278"/>
      <c r="AF95" s="9278"/>
      <c r="AG95" s="9278"/>
      <c r="AH95" s="9278"/>
      <c r="AI95" s="9278"/>
      <c r="AJ95" s="9278"/>
      <c r="AK95" s="9278"/>
      <c r="AL95" s="9278"/>
      <c r="AM95" s="9278"/>
      <c r="AN95" s="9278"/>
      <c r="AO95" s="9278"/>
      <c r="AP95" s="9278"/>
      <c r="AQ95" s="9278"/>
      <c r="AR95" s="9278"/>
      <c r="AS95" s="9278"/>
      <c r="AT95" s="9278"/>
      <c r="AU95" s="9278"/>
      <c r="AV95" s="9278"/>
      <c r="AW95" s="9278"/>
      <c r="AX95" s="9278"/>
      <c r="AY95" s="9278"/>
      <c r="AZ95" s="9278"/>
      <c r="BA95" s="9278"/>
      <c r="BB95" s="9278"/>
      <c r="BC95" s="9279"/>
      <c r="BD95" s="8325"/>
      <c r="BE95" s="8325"/>
      <c r="BF95" s="8325"/>
      <c r="BG95" s="8325"/>
      <c r="BH95" s="8325"/>
      <c r="BI95" s="8325"/>
      <c r="BJ95" s="8325"/>
      <c r="BK95" s="8325"/>
      <c r="BL95" s="8325"/>
      <c r="BM95" s="8325"/>
    </row>
    <row r="96" spans="1:65" x14ac:dyDescent="0.3">
      <c r="A96" s="9280"/>
      <c r="B96" s="9281"/>
      <c r="C96" s="9281"/>
      <c r="D96" s="9281"/>
      <c r="E96" s="9281"/>
      <c r="F96" s="9281"/>
      <c r="G96" s="9281"/>
      <c r="H96" s="9281"/>
      <c r="I96" s="9281"/>
      <c r="J96" s="9281"/>
      <c r="K96" s="9281"/>
      <c r="L96" s="9281"/>
      <c r="M96" s="9281"/>
      <c r="N96" s="9281"/>
      <c r="O96" s="9281"/>
      <c r="P96" s="9281"/>
      <c r="Q96" s="9281"/>
      <c r="R96" s="9281"/>
      <c r="S96" s="9281"/>
      <c r="T96" s="9281"/>
      <c r="U96" s="9281"/>
      <c r="V96" s="9281"/>
      <c r="W96" s="9281"/>
      <c r="X96" s="9281"/>
      <c r="Y96" s="9281"/>
      <c r="Z96" s="9281"/>
      <c r="AA96" s="9281"/>
      <c r="AB96" s="9281"/>
      <c r="AC96" s="9281"/>
      <c r="AD96" s="9281"/>
      <c r="AE96" s="9281"/>
      <c r="AF96" s="9281"/>
      <c r="AG96" s="9281"/>
      <c r="AH96" s="9281"/>
      <c r="AI96" s="9281"/>
      <c r="AJ96" s="9281"/>
      <c r="AK96" s="9281"/>
      <c r="AL96" s="9281"/>
      <c r="AM96" s="9281"/>
      <c r="AN96" s="9281"/>
      <c r="AO96" s="9281"/>
      <c r="AP96" s="9281"/>
      <c r="AQ96" s="9281"/>
      <c r="AR96" s="9281"/>
      <c r="AS96" s="9281"/>
      <c r="AT96" s="9281"/>
      <c r="AU96" s="9281"/>
      <c r="AV96" s="9281"/>
      <c r="AW96" s="9281"/>
      <c r="AX96" s="9281"/>
      <c r="AY96" s="9281"/>
      <c r="AZ96" s="9281"/>
      <c r="BA96" s="9281"/>
      <c r="BB96" s="9281"/>
      <c r="BC96" s="9282"/>
      <c r="BD96" s="8325"/>
      <c r="BE96" s="8325"/>
      <c r="BF96" s="8325"/>
      <c r="BG96" s="8325"/>
      <c r="BH96" s="8325"/>
      <c r="BI96" s="8325"/>
      <c r="BJ96" s="8325"/>
      <c r="BK96" s="8325"/>
      <c r="BL96" s="8325"/>
      <c r="BM96" s="8325"/>
    </row>
    <row r="97" spans="1:65" x14ac:dyDescent="0.3">
      <c r="A97" s="9280"/>
      <c r="B97" s="9281"/>
      <c r="C97" s="9281"/>
      <c r="D97" s="9281"/>
      <c r="E97" s="9281"/>
      <c r="F97" s="9281"/>
      <c r="G97" s="9281"/>
      <c r="H97" s="9281"/>
      <c r="I97" s="9281"/>
      <c r="J97" s="9281"/>
      <c r="K97" s="9281"/>
      <c r="L97" s="9281"/>
      <c r="M97" s="9281"/>
      <c r="N97" s="9281"/>
      <c r="O97" s="9281"/>
      <c r="P97" s="9281"/>
      <c r="Q97" s="9281"/>
      <c r="R97" s="9281"/>
      <c r="S97" s="9281"/>
      <c r="T97" s="9281"/>
      <c r="U97" s="9281"/>
      <c r="V97" s="9281"/>
      <c r="W97" s="9281"/>
      <c r="X97" s="9281"/>
      <c r="Y97" s="9281"/>
      <c r="Z97" s="9281"/>
      <c r="AA97" s="9281"/>
      <c r="AB97" s="9281"/>
      <c r="AC97" s="9281"/>
      <c r="AD97" s="9281"/>
      <c r="AE97" s="9281"/>
      <c r="AF97" s="9281"/>
      <c r="AG97" s="9281"/>
      <c r="AH97" s="9281"/>
      <c r="AI97" s="9281"/>
      <c r="AJ97" s="9281"/>
      <c r="AK97" s="9281"/>
      <c r="AL97" s="9281"/>
      <c r="AM97" s="9281"/>
      <c r="AN97" s="9281"/>
      <c r="AO97" s="9281"/>
      <c r="AP97" s="9281"/>
      <c r="AQ97" s="9281"/>
      <c r="AR97" s="9281"/>
      <c r="AS97" s="9281"/>
      <c r="AT97" s="9281"/>
      <c r="AU97" s="9281"/>
      <c r="AV97" s="9281"/>
      <c r="AW97" s="9281"/>
      <c r="AX97" s="9281"/>
      <c r="AY97" s="9281"/>
      <c r="AZ97" s="9281"/>
      <c r="BA97" s="9281"/>
      <c r="BB97" s="9281"/>
      <c r="BC97" s="9282"/>
      <c r="BD97" s="8325"/>
      <c r="BE97" s="8325"/>
      <c r="BF97" s="8325"/>
      <c r="BG97" s="8325"/>
      <c r="BH97" s="8325"/>
      <c r="BI97" s="8325"/>
      <c r="BJ97" s="8325"/>
      <c r="BK97" s="8325"/>
      <c r="BL97" s="8325"/>
      <c r="BM97" s="8325"/>
    </row>
    <row r="98" spans="1:65" x14ac:dyDescent="0.3">
      <c r="A98" s="9280"/>
      <c r="B98" s="9281"/>
      <c r="C98" s="9281"/>
      <c r="D98" s="9281"/>
      <c r="E98" s="9281"/>
      <c r="F98" s="9281"/>
      <c r="G98" s="9281"/>
      <c r="H98" s="9281"/>
      <c r="I98" s="9281"/>
      <c r="J98" s="9281"/>
      <c r="K98" s="9281"/>
      <c r="L98" s="9281"/>
      <c r="M98" s="9281"/>
      <c r="N98" s="9281"/>
      <c r="O98" s="9281"/>
      <c r="P98" s="9281"/>
      <c r="Q98" s="9281"/>
      <c r="R98" s="9281"/>
      <c r="S98" s="9281"/>
      <c r="T98" s="9281"/>
      <c r="U98" s="9281"/>
      <c r="V98" s="9281"/>
      <c r="W98" s="9281"/>
      <c r="X98" s="9281"/>
      <c r="Y98" s="9281"/>
      <c r="Z98" s="9281"/>
      <c r="AA98" s="9281"/>
      <c r="AB98" s="9281"/>
      <c r="AC98" s="9281"/>
      <c r="AD98" s="9281"/>
      <c r="AE98" s="9281"/>
      <c r="AF98" s="9281"/>
      <c r="AG98" s="9281"/>
      <c r="AH98" s="9281"/>
      <c r="AI98" s="9281"/>
      <c r="AJ98" s="9281"/>
      <c r="AK98" s="9281"/>
      <c r="AL98" s="9281"/>
      <c r="AM98" s="9281"/>
      <c r="AN98" s="9281"/>
      <c r="AO98" s="9281"/>
      <c r="AP98" s="9281"/>
      <c r="AQ98" s="9281"/>
      <c r="AR98" s="9281"/>
      <c r="AS98" s="9281"/>
      <c r="AT98" s="9281"/>
      <c r="AU98" s="9281"/>
      <c r="AV98" s="9281"/>
      <c r="AW98" s="9281"/>
      <c r="AX98" s="9281"/>
      <c r="AY98" s="9281"/>
      <c r="AZ98" s="9281"/>
      <c r="BA98" s="9281"/>
      <c r="BB98" s="9281"/>
      <c r="BC98" s="9282"/>
      <c r="BD98" s="8325"/>
      <c r="BE98" s="8325"/>
      <c r="BF98" s="8325"/>
      <c r="BG98" s="8325"/>
      <c r="BH98" s="8325"/>
      <c r="BI98" s="8325"/>
      <c r="BJ98" s="8325"/>
      <c r="BK98" s="8325"/>
      <c r="BL98" s="8325"/>
      <c r="BM98" s="8325"/>
    </row>
    <row r="99" spans="1:65" x14ac:dyDescent="0.3">
      <c r="A99" s="9283"/>
      <c r="B99" s="9284"/>
      <c r="C99" s="9284"/>
      <c r="D99" s="9284"/>
      <c r="E99" s="9284"/>
      <c r="F99" s="9284"/>
      <c r="G99" s="9284"/>
      <c r="H99" s="9284"/>
      <c r="I99" s="9284"/>
      <c r="J99" s="9284"/>
      <c r="K99" s="9284"/>
      <c r="L99" s="9284"/>
      <c r="M99" s="9284"/>
      <c r="N99" s="9284"/>
      <c r="O99" s="9284"/>
      <c r="P99" s="9284"/>
      <c r="Q99" s="9284"/>
      <c r="R99" s="9284"/>
      <c r="S99" s="9284"/>
      <c r="T99" s="9284"/>
      <c r="U99" s="9284"/>
      <c r="V99" s="9284"/>
      <c r="W99" s="9284"/>
      <c r="X99" s="9284"/>
      <c r="Y99" s="9284"/>
      <c r="Z99" s="9284"/>
      <c r="AA99" s="9284"/>
      <c r="AB99" s="9284"/>
      <c r="AC99" s="9284"/>
      <c r="AD99" s="9284"/>
      <c r="AE99" s="9284"/>
      <c r="AF99" s="9284"/>
      <c r="AG99" s="9284"/>
      <c r="AH99" s="9284"/>
      <c r="AI99" s="9284"/>
      <c r="AJ99" s="9284"/>
      <c r="AK99" s="9284"/>
      <c r="AL99" s="9284"/>
      <c r="AM99" s="9284"/>
      <c r="AN99" s="9284"/>
      <c r="AO99" s="9284"/>
      <c r="AP99" s="9284"/>
      <c r="AQ99" s="9284"/>
      <c r="AR99" s="9284"/>
      <c r="AS99" s="9284"/>
      <c r="AT99" s="9284"/>
      <c r="AU99" s="9284"/>
      <c r="AV99" s="9284"/>
      <c r="AW99" s="9284"/>
      <c r="AX99" s="9284"/>
      <c r="AY99" s="9284"/>
      <c r="AZ99" s="9284"/>
      <c r="BA99" s="9284"/>
      <c r="BB99" s="9284"/>
      <c r="BC99" s="9285"/>
      <c r="BD99" s="8325"/>
      <c r="BE99" s="8325"/>
      <c r="BF99" s="8325"/>
      <c r="BG99" s="8325"/>
      <c r="BH99" s="8325"/>
      <c r="BI99" s="8325"/>
      <c r="BJ99" s="8325"/>
      <c r="BK99" s="8325"/>
      <c r="BL99" s="8325"/>
      <c r="BM99" s="8325"/>
    </row>
    <row r="102" spans="1:65" ht="12" customHeight="1" x14ac:dyDescent="0.3"/>
  </sheetData>
  <mergeCells count="50">
    <mergeCell ref="A76:A92"/>
    <mergeCell ref="A95:BC99"/>
    <mergeCell ref="BJ7:BM7"/>
    <mergeCell ref="BD4:BG4"/>
    <mergeCell ref="BD5:BG5"/>
    <mergeCell ref="BD7:BG7"/>
    <mergeCell ref="H7:I7"/>
    <mergeCell ref="J7:J8"/>
    <mergeCell ref="L7:M7"/>
    <mergeCell ref="O7:R7"/>
    <mergeCell ref="T7:W7"/>
    <mergeCell ref="Y7:AB7"/>
    <mergeCell ref="AD7:AG7"/>
    <mergeCell ref="AI7:AL7"/>
    <mergeCell ref="AN7:AQ7"/>
    <mergeCell ref="A10:A31"/>
    <mergeCell ref="BE1:BM1"/>
    <mergeCell ref="BJ4:BM4"/>
    <mergeCell ref="BJ5:BM5"/>
    <mergeCell ref="AI5:AL5"/>
    <mergeCell ref="AN5:AQ5"/>
    <mergeCell ref="AS1:BA1"/>
    <mergeCell ref="A59:A63"/>
    <mergeCell ref="A65:A74"/>
    <mergeCell ref="Y5:AB5"/>
    <mergeCell ref="AD5:AG5"/>
    <mergeCell ref="BC4:BC5"/>
    <mergeCell ref="AS5:AV5"/>
    <mergeCell ref="AX5:BA5"/>
    <mergeCell ref="AS7:AV7"/>
    <mergeCell ref="AX7:BA7"/>
    <mergeCell ref="AS4:AV4"/>
    <mergeCell ref="AX4:BA4"/>
    <mergeCell ref="L5:M5"/>
    <mergeCell ref="O5:R5"/>
    <mergeCell ref="T5:W5"/>
    <mergeCell ref="H5:J5"/>
    <mergeCell ref="A33:A57"/>
    <mergeCell ref="F1:M1"/>
    <mergeCell ref="O1:W1"/>
    <mergeCell ref="Y1:AG1"/>
    <mergeCell ref="AI1:AQ1"/>
    <mergeCell ref="H4:J4"/>
    <mergeCell ref="L4:M4"/>
    <mergeCell ref="O4:R4"/>
    <mergeCell ref="T4:W4"/>
    <mergeCell ref="Y4:AB4"/>
    <mergeCell ref="AD4:AG4"/>
    <mergeCell ref="AI4:AL4"/>
    <mergeCell ref="AN4:AQ4"/>
  </mergeCells>
  <pageMargins left="0.7" right="0.7" top="0.75" bottom="0.75" header="0.3" footer="0.3"/>
  <pageSetup paperSize="9" orientation="portrait" r:id="rId1"/>
  <headerFooter>
    <oddFooter>&amp;R&amp;1#&amp;"Calibri"&amp;12&amp;K000000Official Use</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M155"/>
  <sheetViews>
    <sheetView topLeftCell="A22" zoomScale="96" zoomScaleNormal="81" workbookViewId="0">
      <pane xSplit="4" topLeftCell="W1" activePane="topRight" state="frozen"/>
      <selection activeCell="A101" sqref="A101"/>
      <selection pane="topRight" activeCell="AL63" sqref="AL63"/>
    </sheetView>
  </sheetViews>
  <sheetFormatPr defaultColWidth="9.1796875" defaultRowHeight="14.5" x14ac:dyDescent="0.35"/>
  <cols>
    <col min="1" max="1" width="6.6328125" customWidth="1"/>
    <col min="2" max="2" width="19.453125" customWidth="1"/>
    <col min="3" max="3" width="27.36328125" style="1" customWidth="1"/>
    <col min="4" max="4" width="4.6328125" style="5" customWidth="1"/>
    <col min="5" max="5" width="2.6328125" style="1" customWidth="1"/>
    <col min="6" max="6" width="10.453125" style="1" customWidth="1"/>
    <col min="7" max="7" width="3.453125" style="1" customWidth="1"/>
    <col min="8" max="9" width="13.453125" style="6" customWidth="1"/>
    <col min="10" max="10" width="13.453125" style="7" customWidth="1"/>
    <col min="11" max="11" width="3.453125" style="1" customWidth="1"/>
    <col min="12" max="13" width="14.1796875" customWidth="1"/>
    <col min="14" max="14" width="2.6328125" style="1" customWidth="1"/>
    <col min="15" max="18" width="14.453125" style="462" customWidth="1"/>
    <col min="19" max="19" width="2.81640625" style="462" customWidth="1"/>
    <col min="20" max="22" width="14.453125" style="456" customWidth="1"/>
    <col min="23" max="23" width="2.6328125" style="456" customWidth="1"/>
    <col min="24" max="24" width="2.6328125" style="1" customWidth="1"/>
    <col min="25" max="27" width="15.453125" style="462" customWidth="1"/>
    <col min="28" max="28" width="15.453125" style="711" customWidth="1"/>
    <col min="29" max="29" width="2.453125" style="462" customWidth="1"/>
    <col min="30" max="32" width="12.6328125" style="456" customWidth="1"/>
    <col min="33" max="33" width="2.6328125" style="456" customWidth="1"/>
    <col min="34" max="34" width="2.6328125" style="1" customWidth="1"/>
    <col min="35" max="35" width="14.453125" customWidth="1"/>
    <col min="36" max="38" width="14.453125" style="462" customWidth="1"/>
    <col min="39" max="39" width="14.453125" style="711" customWidth="1"/>
    <col min="40" max="40" width="3.453125" style="462" customWidth="1"/>
    <col min="41" max="43" width="14.453125" style="456" customWidth="1"/>
    <col min="44" max="44" width="14.453125" customWidth="1"/>
    <col min="45" max="45" width="2.6328125" style="1" customWidth="1"/>
    <col min="46" max="47" width="18.6328125" style="462" customWidth="1"/>
    <col min="48" max="48" width="16.36328125" style="462" customWidth="1"/>
    <col min="49" max="49" width="10.1796875" style="711" bestFit="1" customWidth="1"/>
    <col min="50" max="50" width="2.1796875" style="462" customWidth="1"/>
    <col min="51" max="51" width="18" style="456" customWidth="1"/>
    <col min="52" max="52" width="19.453125" style="456" customWidth="1"/>
    <col min="53" max="53" width="17.6328125" style="456" customWidth="1"/>
    <col min="54" max="54" width="10.1796875" style="711" bestFit="1" customWidth="1"/>
    <col min="55" max="55" width="9.453125" customWidth="1"/>
    <col min="56" max="56" width="2.1796875" style="462" customWidth="1"/>
    <col min="57" max="57" width="18" style="456" customWidth="1"/>
    <col min="58" max="58" width="19.453125" style="456" customWidth="1"/>
    <col min="59" max="59" width="17.6328125" style="456" customWidth="1"/>
    <col min="60" max="60" width="10.1796875" style="711" bestFit="1" customWidth="1"/>
    <col min="63" max="63" width="10.81640625" customWidth="1"/>
    <col min="64" max="64" width="10.6328125" customWidth="1"/>
  </cols>
  <sheetData>
    <row r="1" spans="1:65" s="470" customFormat="1" ht="31" x14ac:dyDescent="0.7">
      <c r="B1" s="1"/>
      <c r="C1" s="1"/>
      <c r="F1" s="9118" t="s">
        <v>823</v>
      </c>
      <c r="G1" s="9119"/>
      <c r="H1" s="9119"/>
      <c r="I1" s="9119"/>
      <c r="J1" s="9119"/>
      <c r="K1" s="9119"/>
      <c r="L1" s="9119"/>
      <c r="M1" s="9120"/>
      <c r="N1" s="710"/>
      <c r="O1" s="9121" t="s">
        <v>824</v>
      </c>
      <c r="P1" s="9122"/>
      <c r="Q1" s="9122"/>
      <c r="R1" s="9122"/>
      <c r="S1" s="9122"/>
      <c r="T1" s="9122"/>
      <c r="U1" s="9122"/>
      <c r="V1" s="9123"/>
      <c r="W1" s="710"/>
      <c r="X1" s="710"/>
      <c r="Y1" s="9306" t="s">
        <v>825</v>
      </c>
      <c r="Z1" s="9307"/>
      <c r="AA1" s="9307"/>
      <c r="AB1" s="9307"/>
      <c r="AC1" s="9307"/>
      <c r="AD1" s="9307"/>
      <c r="AE1" s="9307"/>
      <c r="AF1" s="9308"/>
      <c r="AG1" s="710"/>
      <c r="AH1" s="1537"/>
      <c r="AJ1" s="9309" t="s">
        <v>826</v>
      </c>
      <c r="AK1" s="9310"/>
      <c r="AL1" s="9310"/>
      <c r="AM1" s="9310"/>
      <c r="AN1" s="9310"/>
      <c r="AO1" s="9310"/>
      <c r="AP1" s="9310"/>
      <c r="AQ1" s="9311"/>
      <c r="AS1" s="1537"/>
      <c r="AT1" s="9195" t="s">
        <v>827</v>
      </c>
      <c r="AU1" s="9196"/>
      <c r="AV1" s="9196"/>
      <c r="AW1" s="9196"/>
      <c r="AX1" s="9196"/>
      <c r="AY1" s="9196"/>
      <c r="AZ1" s="9196"/>
      <c r="BA1" s="9197"/>
      <c r="BB1" s="7682"/>
      <c r="BD1" s="9116" t="s">
        <v>828</v>
      </c>
      <c r="BE1" s="9116"/>
      <c r="BF1" s="9116"/>
      <c r="BG1" s="9117"/>
      <c r="BH1" s="7967"/>
      <c r="BM1" s="455"/>
    </row>
    <row r="2" spans="1:65" ht="21" x14ac:dyDescent="0.5">
      <c r="B2" s="1" t="s">
        <v>829</v>
      </c>
      <c r="C2" s="4" t="s">
        <v>1370</v>
      </c>
      <c r="H2"/>
      <c r="BE2" s="7968" t="s">
        <v>1371</v>
      </c>
    </row>
    <row r="4" spans="1:65" s="8" customFormat="1" ht="15" customHeight="1" x14ac:dyDescent="0.35">
      <c r="D4" s="471"/>
      <c r="F4" s="8326" t="s">
        <v>830</v>
      </c>
      <c r="H4" s="9130" t="s">
        <v>831</v>
      </c>
      <c r="I4" s="9131"/>
      <c r="J4" s="9132"/>
      <c r="L4" s="9130" t="s">
        <v>832</v>
      </c>
      <c r="M4" s="9132"/>
      <c r="O4" s="9302" t="s">
        <v>833</v>
      </c>
      <c r="P4" s="9302"/>
      <c r="Q4" s="9302"/>
      <c r="R4" s="9302"/>
      <c r="S4" s="712"/>
      <c r="T4" s="9302" t="s">
        <v>832</v>
      </c>
      <c r="U4" s="9302"/>
      <c r="V4" s="9302"/>
      <c r="W4" s="712"/>
      <c r="Y4" s="9302" t="s">
        <v>833</v>
      </c>
      <c r="Z4" s="9302"/>
      <c r="AA4" s="9302"/>
      <c r="AB4" s="9302"/>
      <c r="AC4" s="712"/>
      <c r="AD4" s="9302" t="s">
        <v>832</v>
      </c>
      <c r="AE4" s="9302"/>
      <c r="AF4" s="9302"/>
      <c r="AG4" s="712"/>
      <c r="AI4" s="9180" t="s">
        <v>404</v>
      </c>
      <c r="AJ4" s="9302" t="s">
        <v>833</v>
      </c>
      <c r="AK4" s="9302"/>
      <c r="AL4" s="9302"/>
      <c r="AM4" s="9302"/>
      <c r="AN4" s="712"/>
      <c r="AO4" s="9302" t="s">
        <v>832</v>
      </c>
      <c r="AP4" s="9302"/>
      <c r="AQ4" s="9302"/>
      <c r="AR4" s="9180" t="s">
        <v>404</v>
      </c>
      <c r="AT4" s="9302" t="s">
        <v>833</v>
      </c>
      <c r="AU4" s="9302"/>
      <c r="AV4" s="9302"/>
      <c r="AW4" s="9302"/>
      <c r="AX4" s="712"/>
      <c r="AY4" s="9302" t="s">
        <v>832</v>
      </c>
      <c r="AZ4" s="9302"/>
      <c r="BA4" s="9302"/>
      <c r="BB4" s="712"/>
      <c r="BC4" s="9180" t="s">
        <v>404</v>
      </c>
      <c r="BD4" s="712"/>
      <c r="BE4" s="9302" t="s">
        <v>832</v>
      </c>
      <c r="BF4" s="9302"/>
      <c r="BG4" s="9302"/>
      <c r="BH4" s="712"/>
    </row>
    <row r="5" spans="1:65" x14ac:dyDescent="0.35">
      <c r="B5" s="1" t="s">
        <v>835</v>
      </c>
      <c r="C5" s="11">
        <v>2010</v>
      </c>
      <c r="F5" s="8324">
        <v>2011</v>
      </c>
      <c r="G5" s="12"/>
      <c r="H5" s="9138">
        <v>2014</v>
      </c>
      <c r="I5" s="9139"/>
      <c r="J5" s="9140"/>
      <c r="K5" s="12"/>
      <c r="L5" s="9138">
        <v>2015</v>
      </c>
      <c r="M5" s="9140"/>
      <c r="O5" s="9138">
        <v>2015</v>
      </c>
      <c r="P5" s="9139"/>
      <c r="Q5" s="9139"/>
      <c r="R5" s="9140"/>
      <c r="S5" s="7678"/>
      <c r="T5" s="9303">
        <v>2016</v>
      </c>
      <c r="U5" s="9304"/>
      <c r="V5" s="9305"/>
      <c r="Y5" s="9138">
        <v>2016</v>
      </c>
      <c r="Z5" s="9139"/>
      <c r="AA5" s="9139"/>
      <c r="AB5" s="9140"/>
      <c r="AC5" s="3218"/>
      <c r="AD5" s="9303">
        <v>2017</v>
      </c>
      <c r="AE5" s="9304"/>
      <c r="AF5" s="9305"/>
      <c r="AI5" s="9181"/>
      <c r="AJ5" s="9138">
        <v>2017</v>
      </c>
      <c r="AK5" s="9139"/>
      <c r="AL5" s="9139"/>
      <c r="AM5" s="9140"/>
      <c r="AN5" s="3218"/>
      <c r="AO5" s="9303">
        <v>2018</v>
      </c>
      <c r="AP5" s="9304"/>
      <c r="AQ5" s="9305"/>
      <c r="AR5" s="9181"/>
      <c r="AT5" s="9138">
        <v>2018</v>
      </c>
      <c r="AU5" s="9139"/>
      <c r="AV5" s="9139"/>
      <c r="AW5" s="9140"/>
      <c r="AX5" s="3218"/>
      <c r="AY5" s="9303">
        <v>2019</v>
      </c>
      <c r="AZ5" s="9304"/>
      <c r="BA5" s="9305"/>
      <c r="BB5" s="6368"/>
      <c r="BC5" s="9181"/>
      <c r="BD5" s="3218"/>
      <c r="BE5" s="9303">
        <v>2020</v>
      </c>
      <c r="BF5" s="9304"/>
      <c r="BG5" s="9305"/>
      <c r="BH5" s="6368"/>
    </row>
    <row r="6" spans="1:65" x14ac:dyDescent="0.35">
      <c r="C6"/>
      <c r="F6" s="6"/>
      <c r="L6" s="14"/>
      <c r="AI6" s="6"/>
      <c r="AR6" s="6"/>
      <c r="BC6" s="6"/>
    </row>
    <row r="7" spans="1:65" ht="12.75" customHeight="1" x14ac:dyDescent="0.35">
      <c r="B7" s="1" t="s">
        <v>836</v>
      </c>
      <c r="C7" s="15" t="s">
        <v>837</v>
      </c>
      <c r="D7" s="5" t="s">
        <v>417</v>
      </c>
      <c r="F7" s="8322"/>
      <c r="H7" s="9173" t="s">
        <v>1372</v>
      </c>
      <c r="I7" s="9173"/>
      <c r="J7" s="9292" t="s">
        <v>839</v>
      </c>
      <c r="L7" s="9149" t="s">
        <v>1372</v>
      </c>
      <c r="M7" s="9151"/>
      <c r="O7" s="9294" t="s">
        <v>840</v>
      </c>
      <c r="P7" s="9295"/>
      <c r="Q7" s="9295"/>
      <c r="R7" s="9296"/>
      <c r="S7" s="1539"/>
      <c r="T7" s="9297" t="s">
        <v>840</v>
      </c>
      <c r="U7" s="9298"/>
      <c r="V7" s="9299"/>
      <c r="Y7" s="9294" t="s">
        <v>840</v>
      </c>
      <c r="Z7" s="9295"/>
      <c r="AA7" s="9295"/>
      <c r="AB7" s="9296"/>
      <c r="AC7" s="5898"/>
      <c r="AD7" s="9297" t="s">
        <v>840</v>
      </c>
      <c r="AE7" s="9298"/>
      <c r="AF7" s="9299"/>
      <c r="AI7" s="18"/>
      <c r="AJ7" s="9294" t="s">
        <v>840</v>
      </c>
      <c r="AK7" s="9295"/>
      <c r="AL7" s="9295"/>
      <c r="AM7" s="9296"/>
      <c r="AN7" s="5898"/>
      <c r="AO7" s="9297" t="s">
        <v>840</v>
      </c>
      <c r="AP7" s="9298"/>
      <c r="AQ7" s="9299"/>
      <c r="AR7" s="18"/>
      <c r="AT7" s="9294" t="s">
        <v>840</v>
      </c>
      <c r="AU7" s="9295"/>
      <c r="AV7" s="9295"/>
      <c r="AW7" s="9296"/>
      <c r="AX7" s="5898"/>
      <c r="AY7" s="9297" t="s">
        <v>840</v>
      </c>
      <c r="AZ7" s="9298"/>
      <c r="BA7" s="9299"/>
      <c r="BB7" s="6369"/>
      <c r="BC7" s="18"/>
      <c r="BD7" s="5898"/>
      <c r="BE7" s="9297" t="s">
        <v>840</v>
      </c>
      <c r="BF7" s="9298"/>
      <c r="BG7" s="9299"/>
      <c r="BH7" s="6369"/>
    </row>
    <row r="8" spans="1:65" x14ac:dyDescent="0.35">
      <c r="B8" s="1" t="s">
        <v>841</v>
      </c>
      <c r="C8" s="19" t="s">
        <v>1121</v>
      </c>
      <c r="F8" s="20" t="s">
        <v>843</v>
      </c>
      <c r="H8" s="21" t="s">
        <v>844</v>
      </c>
      <c r="I8" s="20" t="s">
        <v>843</v>
      </c>
      <c r="J8" s="9293"/>
      <c r="L8" s="21" t="s">
        <v>844</v>
      </c>
      <c r="M8" s="20" t="s">
        <v>843</v>
      </c>
      <c r="O8" s="720" t="s">
        <v>424</v>
      </c>
      <c r="P8" s="720" t="s">
        <v>845</v>
      </c>
      <c r="Q8" s="720" t="s">
        <v>846</v>
      </c>
      <c r="R8" s="720"/>
      <c r="S8" s="459"/>
      <c r="T8" s="720" t="s">
        <v>424</v>
      </c>
      <c r="U8" s="720" t="s">
        <v>846</v>
      </c>
      <c r="V8" s="720" t="s">
        <v>1373</v>
      </c>
      <c r="Y8" s="720" t="s">
        <v>424</v>
      </c>
      <c r="Z8" s="720" t="s">
        <v>845</v>
      </c>
      <c r="AA8" s="720" t="s">
        <v>846</v>
      </c>
      <c r="AB8" s="5088"/>
      <c r="AC8" s="459"/>
      <c r="AD8" s="720" t="s">
        <v>424</v>
      </c>
      <c r="AE8" s="720" t="s">
        <v>846</v>
      </c>
      <c r="AF8" s="720" t="s">
        <v>1373</v>
      </c>
      <c r="AI8" s="24"/>
      <c r="AJ8" s="720" t="s">
        <v>424</v>
      </c>
      <c r="AK8" s="720" t="s">
        <v>845</v>
      </c>
      <c r="AL8" s="720" t="s">
        <v>846</v>
      </c>
      <c r="AM8" s="5088"/>
      <c r="AN8" s="459"/>
      <c r="AO8" s="720" t="s">
        <v>424</v>
      </c>
      <c r="AP8" s="720" t="s">
        <v>846</v>
      </c>
      <c r="AQ8" s="720" t="s">
        <v>1373</v>
      </c>
      <c r="AR8" s="24"/>
      <c r="AT8" s="720" t="s">
        <v>424</v>
      </c>
      <c r="AU8" s="720" t="s">
        <v>845</v>
      </c>
      <c r="AV8" s="720" t="s">
        <v>846</v>
      </c>
      <c r="AW8" s="5088"/>
      <c r="AX8" s="459"/>
      <c r="AY8" s="720" t="s">
        <v>424</v>
      </c>
      <c r="AZ8" s="720" t="s">
        <v>846</v>
      </c>
      <c r="BA8" s="720" t="s">
        <v>1373</v>
      </c>
      <c r="BB8" s="5088"/>
      <c r="BC8" s="24"/>
      <c r="BD8" s="459"/>
      <c r="BE8" s="720" t="s">
        <v>424</v>
      </c>
      <c r="BF8" s="720" t="s">
        <v>846</v>
      </c>
      <c r="BG8" s="720" t="s">
        <v>1373</v>
      </c>
      <c r="BH8" s="5088"/>
    </row>
    <row r="9" spans="1:65" x14ac:dyDescent="0.35">
      <c r="C9"/>
      <c r="E9"/>
      <c r="F9"/>
      <c r="G9"/>
      <c r="H9"/>
      <c r="I9"/>
      <c r="J9" s="5638"/>
      <c r="K9"/>
      <c r="N9"/>
      <c r="T9" s="462"/>
      <c r="U9" s="462"/>
      <c r="V9" s="462"/>
      <c r="W9" s="462"/>
      <c r="X9"/>
      <c r="AD9" s="462"/>
      <c r="AE9" s="462"/>
      <c r="AF9" s="462"/>
      <c r="AG9" s="462"/>
      <c r="AH9"/>
      <c r="AO9" s="462"/>
      <c r="AP9" s="462"/>
      <c r="AQ9" s="462"/>
      <c r="AS9"/>
      <c r="AY9" s="462"/>
      <c r="AZ9" s="462"/>
      <c r="BA9" s="462"/>
      <c r="BE9" s="462"/>
      <c r="BF9" s="462"/>
      <c r="BG9" s="462"/>
    </row>
    <row r="10" spans="1:65" ht="33" customHeight="1" x14ac:dyDescent="0.35">
      <c r="A10" s="9167" t="s">
        <v>854</v>
      </c>
      <c r="B10" s="27"/>
      <c r="C10" s="28" t="s">
        <v>427</v>
      </c>
      <c r="D10" s="29" t="s">
        <v>428</v>
      </c>
      <c r="E10" s="30"/>
      <c r="F10" s="31" t="s">
        <v>1302</v>
      </c>
      <c r="G10"/>
      <c r="H10" s="31" t="s">
        <v>1374</v>
      </c>
      <c r="I10" s="31" t="s">
        <v>1374</v>
      </c>
      <c r="J10" s="6525"/>
      <c r="K10" s="33"/>
      <c r="L10" s="31" t="s">
        <v>1375</v>
      </c>
      <c r="M10" s="31" t="s">
        <v>1375</v>
      </c>
      <c r="N10" s="33"/>
      <c r="O10" s="9155" t="s">
        <v>1375</v>
      </c>
      <c r="P10" s="9156"/>
      <c r="Q10" s="4935" t="s">
        <v>1376</v>
      </c>
      <c r="R10" s="472" t="s">
        <v>865</v>
      </c>
      <c r="S10" s="1541"/>
      <c r="T10" s="31" t="s">
        <v>1129</v>
      </c>
      <c r="U10" s="31"/>
      <c r="V10" s="31"/>
      <c r="W10" s="472"/>
      <c r="X10" s="33"/>
      <c r="Y10" s="9155" t="s">
        <v>1377</v>
      </c>
      <c r="Z10" s="9156"/>
      <c r="AA10" s="4935"/>
      <c r="AB10" s="6370" t="s">
        <v>865</v>
      </c>
      <c r="AC10" s="1541"/>
      <c r="AD10" s="31" t="s">
        <v>1309</v>
      </c>
      <c r="AE10" s="31"/>
      <c r="AF10" s="473" t="s">
        <v>1378</v>
      </c>
      <c r="AG10" s="472"/>
      <c r="AH10" s="33"/>
      <c r="AI10" s="39"/>
      <c r="AJ10" s="850" t="s">
        <v>1309</v>
      </c>
      <c r="AK10" s="850" t="s">
        <v>1379</v>
      </c>
      <c r="AL10" s="4935"/>
      <c r="AM10" s="6370" t="s">
        <v>865</v>
      </c>
      <c r="AN10" s="1541"/>
      <c r="AO10" s="31" t="s">
        <v>1380</v>
      </c>
      <c r="AP10" s="36"/>
      <c r="AQ10" s="6526" t="s">
        <v>1180</v>
      </c>
      <c r="AR10" s="39"/>
      <c r="AS10" s="33"/>
      <c r="AT10" s="9155" t="s">
        <v>1381</v>
      </c>
      <c r="AU10" s="9156"/>
      <c r="AV10" s="4935" t="s">
        <v>1382</v>
      </c>
      <c r="AW10" s="6370" t="s">
        <v>865</v>
      </c>
      <c r="AX10" s="1541"/>
      <c r="AY10" s="31" t="s">
        <v>1383</v>
      </c>
      <c r="AZ10" s="727" t="s">
        <v>1382</v>
      </c>
      <c r="BA10" s="31" t="s">
        <v>1383</v>
      </c>
      <c r="BB10" s="6370" t="s">
        <v>865</v>
      </c>
      <c r="BC10" s="39"/>
      <c r="BD10" s="1541"/>
      <c r="BE10" s="31" t="s">
        <v>1384</v>
      </c>
      <c r="BF10" s="727" t="s">
        <v>1385</v>
      </c>
      <c r="BG10" s="31" t="s">
        <v>1384</v>
      </c>
      <c r="BH10" s="6370" t="s">
        <v>865</v>
      </c>
    </row>
    <row r="11" spans="1:65" ht="12.75" customHeight="1" x14ac:dyDescent="0.35">
      <c r="A11" s="9168"/>
      <c r="B11" s="1845" t="s">
        <v>870</v>
      </c>
      <c r="C11" s="4769"/>
      <c r="D11" s="42"/>
      <c r="E11" s="43"/>
      <c r="F11" s="5900"/>
      <c r="G11"/>
      <c r="H11" s="154"/>
      <c r="I11" s="54"/>
      <c r="J11" s="6527"/>
      <c r="K11" s="48"/>
      <c r="L11" s="154"/>
      <c r="M11" s="49"/>
      <c r="N11" s="50"/>
      <c r="O11" s="803"/>
      <c r="P11" s="804"/>
      <c r="Q11" s="804" t="s">
        <v>1386</v>
      </c>
      <c r="R11" s="734"/>
      <c r="T11" s="803"/>
      <c r="U11" s="804" t="s">
        <v>1387</v>
      </c>
      <c r="V11" s="804"/>
      <c r="W11" s="734"/>
      <c r="X11" s="50"/>
      <c r="Y11" s="803"/>
      <c r="Z11" s="804"/>
      <c r="AA11" s="804"/>
      <c r="AB11" s="6372"/>
      <c r="AD11" s="803"/>
      <c r="AE11" s="804"/>
      <c r="AF11" s="804"/>
      <c r="AG11" s="734"/>
      <c r="AH11" s="50"/>
      <c r="AI11" s="18"/>
      <c r="AJ11" s="803"/>
      <c r="AK11" s="459" t="s">
        <v>1388</v>
      </c>
      <c r="AL11" s="804"/>
      <c r="AM11" s="6372"/>
      <c r="AO11" s="803" t="s">
        <v>1389</v>
      </c>
      <c r="AP11" s="6373" t="s">
        <v>1390</v>
      </c>
      <c r="AQ11" s="804"/>
      <c r="AR11" s="18"/>
      <c r="AS11" s="50"/>
      <c r="AT11" s="9300"/>
      <c r="AU11" s="9301"/>
      <c r="AV11" s="6371"/>
      <c r="AW11" s="6372"/>
      <c r="AY11" s="803"/>
      <c r="AZ11" s="6373"/>
      <c r="BA11" s="804"/>
      <c r="BB11" s="6372"/>
      <c r="BC11" s="18"/>
      <c r="BE11" s="803"/>
      <c r="BF11" s="6391" t="s">
        <v>1391</v>
      </c>
      <c r="BG11" s="804"/>
      <c r="BH11" s="6372"/>
    </row>
    <row r="12" spans="1:65" x14ac:dyDescent="0.35">
      <c r="A12" s="9168"/>
      <c r="B12" s="58"/>
      <c r="C12" s="59" t="s">
        <v>872</v>
      </c>
      <c r="D12" s="60"/>
      <c r="F12" s="61">
        <f>1425.3+68.1</f>
        <v>1493.3999999999999</v>
      </c>
      <c r="G12"/>
      <c r="H12" s="62">
        <f>3951.6-1335</f>
        <v>2616.6</v>
      </c>
      <c r="I12" s="63">
        <f>3965.6-1456.6</f>
        <v>2509</v>
      </c>
      <c r="J12" s="1602">
        <f>IF(H12=0,0,I12/H12)</f>
        <v>0.95887793319575021</v>
      </c>
      <c r="K12" s="65"/>
      <c r="L12" s="62">
        <f>4238.8-1224.1</f>
        <v>3014.7000000000003</v>
      </c>
      <c r="M12" s="5089">
        <f>4368.3-1267.9</f>
        <v>3100.4</v>
      </c>
      <c r="N12" s="67"/>
      <c r="O12" s="5090">
        <f>2763200+251600</f>
        <v>3014800</v>
      </c>
      <c r="P12" s="5089">
        <f>2764700+335700</f>
        <v>3100400</v>
      </c>
      <c r="Q12" s="462" t="s">
        <v>1392</v>
      </c>
      <c r="R12" s="748">
        <f>IF(O12=0,0,P12/O12)</f>
        <v>1.0283932599177392</v>
      </c>
      <c r="S12" s="847"/>
      <c r="T12" s="5090">
        <f>3002747.792+210353.59</f>
        <v>3213101.3819999998</v>
      </c>
      <c r="U12" s="1440"/>
      <c r="V12" s="2974">
        <f>T12*R12</f>
        <v>3304331.8046811731</v>
      </c>
      <c r="W12" s="748"/>
      <c r="X12" s="67"/>
      <c r="Y12" s="5091">
        <v>3232100</v>
      </c>
      <c r="Z12" s="5092">
        <v>3136800</v>
      </c>
      <c r="AB12" s="6528">
        <f>IF(Y12=0,0,Z12/Y12)</f>
        <v>0.97051452615946288</v>
      </c>
      <c r="AC12" s="847"/>
      <c r="AD12" s="5091">
        <v>3465478.5651619998</v>
      </c>
      <c r="AE12" s="6373"/>
      <c r="AF12" s="6493">
        <f>AD12*AB12</f>
        <v>3363297.2875839737</v>
      </c>
      <c r="AG12" s="748"/>
      <c r="AH12" s="67"/>
      <c r="AI12" s="26"/>
      <c r="AJ12" s="5091">
        <v>3465478.5651619998</v>
      </c>
      <c r="AK12" s="5886">
        <f>3077833.904+125767.63+1305.488</f>
        <v>3204907.0219999999</v>
      </c>
      <c r="AM12" s="6528">
        <f>IF(AJ12=0,0,AK12/AJ12)</f>
        <v>0.92480936232545441</v>
      </c>
      <c r="AN12" s="847"/>
      <c r="AO12" s="5093">
        <f>(3406+116.2)*1000</f>
        <v>3522200</v>
      </c>
      <c r="AP12" s="6373"/>
      <c r="AQ12" s="6493">
        <f>AO12*AM12</f>
        <v>3257363.5359827154</v>
      </c>
      <c r="AR12" s="26"/>
      <c r="AS12" s="67"/>
      <c r="AT12" s="6374">
        <f>(3406+116.2)*1000</f>
        <v>3522200</v>
      </c>
      <c r="AU12" s="6375">
        <f>(3302.7+154.7)*1000</f>
        <v>3457399.9999999995</v>
      </c>
      <c r="AV12" s="6376" t="s">
        <v>1393</v>
      </c>
      <c r="AW12" s="6377">
        <f>IF(AT12=0,0,AU12/AT12)</f>
        <v>0.98160240758616757</v>
      </c>
      <c r="AX12" s="847"/>
      <c r="AY12" s="757">
        <f>3669100+188800</f>
        <v>3857900</v>
      </c>
      <c r="AZ12" s="6378" t="s">
        <v>1393</v>
      </c>
      <c r="BA12" s="6379">
        <f>3601500+141700</f>
        <v>3743200</v>
      </c>
      <c r="BB12" s="6380">
        <f>IF(AY12=0,0,BA12/AY12)</f>
        <v>0.97026879908758656</v>
      </c>
      <c r="BC12" s="26"/>
      <c r="BD12" s="847"/>
      <c r="BE12" s="7969">
        <f>3625900+95700</f>
        <v>3721600</v>
      </c>
      <c r="BF12" s="6378"/>
      <c r="BG12" s="7970">
        <f>3772400+131700</f>
        <v>3904100</v>
      </c>
      <c r="BH12" s="6380">
        <f>IF(BE12=0,0,BG12/BE12)</f>
        <v>1.0490380481513328</v>
      </c>
    </row>
    <row r="13" spans="1:65" x14ac:dyDescent="0.35">
      <c r="A13" s="9168"/>
      <c r="B13" s="58"/>
      <c r="C13" s="4192" t="s">
        <v>1394</v>
      </c>
      <c r="D13" s="60"/>
      <c r="F13" s="61">
        <v>851.3</v>
      </c>
      <c r="G13"/>
      <c r="H13" s="62">
        <v>730.2</v>
      </c>
      <c r="I13" s="63">
        <v>697.4</v>
      </c>
      <c r="J13" s="6529">
        <f>IF(H13=0,0,I13/H13)</f>
        <v>0.95508079978088189</v>
      </c>
      <c r="K13" s="65"/>
      <c r="L13" s="62">
        <v>955.7</v>
      </c>
      <c r="M13" s="747">
        <v>809.8</v>
      </c>
      <c r="N13" s="67"/>
      <c r="O13" s="5090"/>
      <c r="P13" s="5089"/>
      <c r="R13" s="748"/>
      <c r="S13" s="847"/>
      <c r="T13" s="5090"/>
      <c r="U13" s="1440"/>
      <c r="V13" s="2974"/>
      <c r="W13" s="748"/>
      <c r="X13" s="67"/>
      <c r="Y13" s="5090"/>
      <c r="Z13" s="5089"/>
      <c r="AB13" s="6528"/>
      <c r="AC13" s="847"/>
      <c r="AD13" s="5090"/>
      <c r="AE13" s="1440"/>
      <c r="AF13" s="6493"/>
      <c r="AG13" s="748"/>
      <c r="AH13" s="67"/>
      <c r="AI13" s="26"/>
      <c r="AJ13" s="5090"/>
      <c r="AK13" s="5886">
        <v>1919637.297</v>
      </c>
      <c r="AM13" s="6528">
        <f>AK13/SUM(AJ15:AJ16)</f>
        <v>1.5322336924442588</v>
      </c>
      <c r="AN13" s="847"/>
      <c r="AO13" s="5093">
        <f>1285207.192994</f>
        <v>1285207.1929939999</v>
      </c>
      <c r="AP13" s="6373" t="s">
        <v>1395</v>
      </c>
      <c r="AQ13" s="6530">
        <f>AO13</f>
        <v>1285207.1929939999</v>
      </c>
      <c r="AR13" s="26"/>
      <c r="AS13" s="67"/>
      <c r="AT13" s="6374">
        <v>1285200</v>
      </c>
      <c r="AU13" s="6375">
        <f>1044.6*1000</f>
        <v>1044599.9999999999</v>
      </c>
      <c r="AV13" s="6376" t="s">
        <v>1393</v>
      </c>
      <c r="AW13" s="6377">
        <f t="shared" ref="AW13:AW23" si="0">IF(AT13=0,0,AU13/AT13)</f>
        <v>0.81279178338001856</v>
      </c>
      <c r="AX13" s="847"/>
      <c r="AY13" s="757">
        <v>1319900</v>
      </c>
      <c r="AZ13" s="6378" t="s">
        <v>1393</v>
      </c>
      <c r="BA13" s="6381">
        <v>941600</v>
      </c>
      <c r="BB13" s="6380">
        <f t="shared" ref="BB13:BB23" si="1">IF(AY13=0,0,BA13/AY13)</f>
        <v>0.71338737783165396</v>
      </c>
      <c r="BC13" s="26"/>
      <c r="BD13" s="847"/>
      <c r="BE13" s="7969">
        <v>275000</v>
      </c>
      <c r="BF13" s="6378"/>
      <c r="BG13" s="7971">
        <v>175200</v>
      </c>
      <c r="BH13" s="6380">
        <f t="shared" ref="BH13:BH23" si="2">IF(BE13=0,0,BG13/BE13)</f>
        <v>0.63709090909090904</v>
      </c>
    </row>
    <row r="14" spans="1:65" x14ac:dyDescent="0.35">
      <c r="A14" s="9168"/>
      <c r="B14" s="6531" t="s">
        <v>1396</v>
      </c>
      <c r="C14" s="6532" t="s">
        <v>1397</v>
      </c>
      <c r="D14" s="60"/>
      <c r="F14" s="61"/>
      <c r="G14"/>
      <c r="H14" s="62"/>
      <c r="I14" s="63"/>
      <c r="J14" s="1602"/>
      <c r="K14" s="65"/>
      <c r="L14" s="62"/>
      <c r="M14" s="5089"/>
      <c r="N14" s="67"/>
      <c r="O14" s="5090">
        <v>333600</v>
      </c>
      <c r="P14" s="5089">
        <v>347500</v>
      </c>
      <c r="Q14" s="462" t="s">
        <v>1398</v>
      </c>
      <c r="R14" s="748"/>
      <c r="S14" s="847"/>
      <c r="T14" s="5090"/>
      <c r="U14" s="1440"/>
      <c r="V14" s="2974"/>
      <c r="W14" s="748"/>
      <c r="X14" s="67"/>
      <c r="Y14" s="5091">
        <v>293100</v>
      </c>
      <c r="Z14" s="5092">
        <v>295300</v>
      </c>
      <c r="AB14" s="6528"/>
      <c r="AC14" s="847"/>
      <c r="AD14" s="5090"/>
      <c r="AE14" s="1440"/>
      <c r="AF14" s="6493"/>
      <c r="AG14" s="748"/>
      <c r="AH14" s="67"/>
      <c r="AI14" s="26"/>
      <c r="AJ14" s="5091"/>
      <c r="AK14" s="5887">
        <v>412706.24</v>
      </c>
      <c r="AM14" s="6528"/>
      <c r="AN14" s="847"/>
      <c r="AO14" s="5094">
        <v>369107.94900000002</v>
      </c>
      <c r="AP14" s="1440"/>
      <c r="AQ14" s="6493"/>
      <c r="AR14" s="26"/>
      <c r="AS14" s="67"/>
      <c r="AT14" s="6382">
        <v>369100</v>
      </c>
      <c r="AU14" s="6383">
        <f>387.9*1000</f>
        <v>387900</v>
      </c>
      <c r="AV14" s="6376" t="s">
        <v>1393</v>
      </c>
      <c r="AW14" s="6377">
        <f t="shared" si="0"/>
        <v>1.0509347060417231</v>
      </c>
      <c r="AX14" s="847"/>
      <c r="AY14" s="6384">
        <v>378800</v>
      </c>
      <c r="AZ14" s="6378" t="s">
        <v>1393</v>
      </c>
      <c r="BA14" s="6385">
        <v>419700</v>
      </c>
      <c r="BB14" s="6380">
        <f t="shared" si="1"/>
        <v>1.1079725448785638</v>
      </c>
      <c r="BC14" s="26"/>
      <c r="BD14" s="847"/>
      <c r="BE14" s="7972"/>
      <c r="BF14" s="6378"/>
      <c r="BG14" s="7973"/>
      <c r="BH14" s="6380"/>
    </row>
    <row r="15" spans="1:65" x14ac:dyDescent="0.35">
      <c r="A15" s="9168"/>
      <c r="B15" s="6533"/>
      <c r="C15" s="6532" t="s">
        <v>1399</v>
      </c>
      <c r="D15" s="60"/>
      <c r="F15" s="61"/>
      <c r="G15"/>
      <c r="H15" s="62"/>
      <c r="I15" s="63"/>
      <c r="J15" s="6529"/>
      <c r="K15" s="65"/>
      <c r="L15" s="62"/>
      <c r="M15" s="747"/>
      <c r="N15" s="67"/>
      <c r="O15" s="746">
        <f>217200+0</f>
        <v>217200</v>
      </c>
      <c r="P15" s="747">
        <f>128600+6000</f>
        <v>134600</v>
      </c>
      <c r="Q15" s="462" t="s">
        <v>1400</v>
      </c>
      <c r="R15" s="748">
        <f>IF(O15=0,0,(O14+P15)/(P14+O15))</f>
        <v>0.82911280325836723</v>
      </c>
      <c r="S15" s="847"/>
      <c r="T15" s="746">
        <f>218480.070454+162678.095</f>
        <v>381158.165454</v>
      </c>
      <c r="U15" s="1440"/>
      <c r="V15" s="2974">
        <f>T15*R15</f>
        <v>316023.11504438246</v>
      </c>
      <c r="W15" s="748"/>
      <c r="X15" s="67"/>
      <c r="Y15" s="5095">
        <v>105600</v>
      </c>
      <c r="Z15" s="5096">
        <v>105900</v>
      </c>
      <c r="AB15" s="6528">
        <f>IF(Y15=0,0,(Y14+Z15)/(Z14+Y15))</f>
        <v>0.99526066350710896</v>
      </c>
      <c r="AC15" s="847"/>
      <c r="AD15" s="5095">
        <v>411135.844943</v>
      </c>
      <c r="AE15" s="6373"/>
      <c r="AF15" s="6493">
        <f>AD15*AB15</f>
        <v>409187.33382952603</v>
      </c>
      <c r="AG15" s="748"/>
      <c r="AH15" s="67"/>
      <c r="AI15" s="26"/>
      <c r="AJ15" s="5095">
        <v>411135.844943</v>
      </c>
      <c r="AK15" s="5888">
        <v>19223.548999999999</v>
      </c>
      <c r="AM15" s="6528"/>
      <c r="AN15" s="847"/>
      <c r="AO15" s="5094">
        <v>160334.43773400001</v>
      </c>
      <c r="AP15" s="6373"/>
      <c r="AQ15" s="6493"/>
      <c r="AR15" s="26"/>
      <c r="AS15" s="67"/>
      <c r="AT15" s="6386">
        <v>160300</v>
      </c>
      <c r="AU15" s="6387">
        <f>87.4*1000</f>
        <v>87400</v>
      </c>
      <c r="AV15" s="6376" t="s">
        <v>1393</v>
      </c>
      <c r="AW15" s="6377">
        <f t="shared" si="0"/>
        <v>0.54522769806612603</v>
      </c>
      <c r="AX15" s="847"/>
      <c r="AY15" s="6384">
        <v>159800</v>
      </c>
      <c r="AZ15" s="6378" t="s">
        <v>1393</v>
      </c>
      <c r="BA15" s="6385">
        <v>107400</v>
      </c>
      <c r="BB15" s="6380">
        <f t="shared" si="1"/>
        <v>0.67209011264080099</v>
      </c>
      <c r="BC15" s="26"/>
      <c r="BD15" s="847"/>
      <c r="BE15" s="7972"/>
      <c r="BF15" s="6378"/>
      <c r="BG15" s="7973"/>
      <c r="BH15" s="6380"/>
    </row>
    <row r="16" spans="1:65" x14ac:dyDescent="0.35">
      <c r="A16" s="9168"/>
      <c r="B16" s="6534"/>
      <c r="C16" s="6532" t="s">
        <v>1401</v>
      </c>
      <c r="D16" s="60"/>
      <c r="F16" s="77"/>
      <c r="G16"/>
      <c r="H16" s="78"/>
      <c r="I16" s="84"/>
      <c r="J16" s="6529"/>
      <c r="K16" s="80"/>
      <c r="L16" s="78"/>
      <c r="M16" s="758"/>
      <c r="N16" s="67"/>
      <c r="O16" s="757">
        <v>404900</v>
      </c>
      <c r="P16" s="758">
        <v>327700</v>
      </c>
      <c r="Q16" s="462" t="s">
        <v>1402</v>
      </c>
      <c r="R16" s="748">
        <f>IF(O16=0,0,P16/O16)</f>
        <v>0.80933563842924183</v>
      </c>
      <c r="S16" s="847"/>
      <c r="T16" s="757">
        <f>499737.691203+55000</f>
        <v>554737.69120300002</v>
      </c>
      <c r="U16" s="1440"/>
      <c r="V16" s="2974">
        <f>T16*R16</f>
        <v>448968.98347054364</v>
      </c>
      <c r="W16" s="748"/>
      <c r="X16" s="67"/>
      <c r="Y16" s="5097">
        <v>397500</v>
      </c>
      <c r="Z16" s="5098">
        <v>261899.99999999997</v>
      </c>
      <c r="AB16" s="6528">
        <f>IF(Y16=0,0,Z16/Y16)</f>
        <v>0.65886792452830178</v>
      </c>
      <c r="AC16" s="847"/>
      <c r="AD16" s="5097">
        <v>841700.00279099995</v>
      </c>
      <c r="AE16" s="6373"/>
      <c r="AF16" s="6493">
        <f>AD16*AB16</f>
        <v>554569.13391437195</v>
      </c>
      <c r="AG16" s="748"/>
      <c r="AH16" s="67"/>
      <c r="AI16" s="26"/>
      <c r="AJ16" s="5097">
        <v>841700.00279099995</v>
      </c>
      <c r="AK16" s="5889">
        <v>335.14100000000002</v>
      </c>
      <c r="AM16" s="6528"/>
      <c r="AN16" s="847"/>
      <c r="AO16" s="5094">
        <v>755764.80620999995</v>
      </c>
      <c r="AP16" s="6373"/>
      <c r="AQ16" s="6493"/>
      <c r="AR16" s="26"/>
      <c r="AS16" s="67"/>
      <c r="AT16" s="6388">
        <v>755800</v>
      </c>
      <c r="AU16" s="6389">
        <f>569.3*1000</f>
        <v>569300</v>
      </c>
      <c r="AV16" s="6376" t="s">
        <v>1393</v>
      </c>
      <c r="AW16" s="6377">
        <f t="shared" si="0"/>
        <v>0.75324159830643023</v>
      </c>
      <c r="AX16" s="847"/>
      <c r="AY16" s="6384">
        <v>780400</v>
      </c>
      <c r="AZ16" s="6378" t="s">
        <v>1393</v>
      </c>
      <c r="BA16" s="6385">
        <v>414500</v>
      </c>
      <c r="BB16" s="6380">
        <f t="shared" si="1"/>
        <v>0.53113787801127632</v>
      </c>
      <c r="BC16" s="26"/>
      <c r="BD16" s="847"/>
      <c r="BE16" s="7972"/>
      <c r="BF16" s="6378"/>
      <c r="BG16" s="7973"/>
      <c r="BH16" s="6380"/>
    </row>
    <row r="17" spans="1:60" x14ac:dyDescent="0.35">
      <c r="A17" s="9168"/>
      <c r="B17" s="6534"/>
      <c r="C17" s="6535" t="s">
        <v>1403</v>
      </c>
      <c r="D17" s="60"/>
      <c r="F17" s="77"/>
      <c r="G17"/>
      <c r="H17" s="78"/>
      <c r="I17" s="84"/>
      <c r="J17" s="6529"/>
      <c r="K17" s="80"/>
      <c r="L17" s="78"/>
      <c r="M17" s="758"/>
      <c r="N17" s="67"/>
      <c r="O17" s="757"/>
      <c r="P17" s="758"/>
      <c r="R17" s="748"/>
      <c r="S17" s="847"/>
      <c r="T17" s="757"/>
      <c r="U17" s="1440"/>
      <c r="V17" s="2974"/>
      <c r="W17" s="748"/>
      <c r="X17" s="67"/>
      <c r="Y17" s="5097"/>
      <c r="Z17" s="5098"/>
      <c r="AB17" s="6528"/>
      <c r="AC17" s="847"/>
      <c r="AD17" s="5097"/>
      <c r="AE17" s="6373"/>
      <c r="AF17" s="6493"/>
      <c r="AG17" s="748"/>
      <c r="AH17" s="67"/>
      <c r="AI17" s="26"/>
      <c r="AJ17" s="5097"/>
      <c r="AK17" s="5889"/>
      <c r="AM17" s="6528"/>
      <c r="AN17" s="847"/>
      <c r="AO17" s="5094"/>
      <c r="AP17" s="6373"/>
      <c r="AQ17" s="6493"/>
      <c r="AR17" s="26"/>
      <c r="AS17" s="67"/>
      <c r="AT17" s="6388">
        <f>638845.63746-700</f>
        <v>638145.63746</v>
      </c>
      <c r="AU17" s="6389">
        <f>631915.743773-19922.575095</f>
        <v>611993.16867799999</v>
      </c>
      <c r="AV17" s="6376" t="s">
        <v>1404</v>
      </c>
      <c r="AW17" s="6377">
        <f t="shared" si="0"/>
        <v>0.95901802465328412</v>
      </c>
      <c r="AX17" s="847"/>
      <c r="AY17" s="6390">
        <v>727549</v>
      </c>
      <c r="AZ17" s="6391"/>
      <c r="BA17" s="6392">
        <f>AY17*AW17</f>
        <v>697732.60481847217</v>
      </c>
      <c r="BB17" s="6393">
        <f t="shared" si="1"/>
        <v>0.95901802465328412</v>
      </c>
      <c r="BC17" s="26"/>
      <c r="BD17" s="847"/>
      <c r="BE17" s="7974"/>
      <c r="BF17" s="6391"/>
      <c r="BG17" s="7973"/>
      <c r="BH17" s="6393"/>
    </row>
    <row r="18" spans="1:60" x14ac:dyDescent="0.35">
      <c r="A18" s="9168"/>
      <c r="B18" s="6534"/>
      <c r="C18" s="4197" t="s">
        <v>1405</v>
      </c>
      <c r="D18" s="60"/>
      <c r="F18" s="77"/>
      <c r="G18"/>
      <c r="H18" s="78"/>
      <c r="I18" s="84"/>
      <c r="J18" s="6529"/>
      <c r="K18" s="80"/>
      <c r="L18" s="78"/>
      <c r="M18" s="758"/>
      <c r="N18" s="67"/>
      <c r="O18" s="757"/>
      <c r="P18" s="758"/>
      <c r="R18" s="748"/>
      <c r="S18" s="847"/>
      <c r="T18" s="757"/>
      <c r="U18" s="1440"/>
      <c r="V18" s="2974"/>
      <c r="W18" s="748"/>
      <c r="X18" s="67"/>
      <c r="Y18" s="5097"/>
      <c r="Z18" s="5098"/>
      <c r="AB18" s="6528"/>
      <c r="AC18" s="847"/>
      <c r="AD18" s="5097"/>
      <c r="AE18" s="6373"/>
      <c r="AF18" s="6493"/>
      <c r="AG18" s="748"/>
      <c r="AH18" s="67"/>
      <c r="AI18" s="26"/>
      <c r="AJ18" s="5097"/>
      <c r="AK18" s="5889"/>
      <c r="AM18" s="6528"/>
      <c r="AN18" s="847"/>
      <c r="AO18" s="5094"/>
      <c r="AP18" s="6373"/>
      <c r="AQ18" s="6493"/>
      <c r="AR18" s="26"/>
      <c r="AS18" s="67"/>
      <c r="AT18" s="6388"/>
      <c r="AU18" s="6389"/>
      <c r="AV18" s="6376"/>
      <c r="AW18" s="6377"/>
      <c r="AX18" s="847"/>
      <c r="AY18" s="6390"/>
      <c r="AZ18" s="6391"/>
      <c r="BA18" s="6392"/>
      <c r="BB18" s="6393"/>
      <c r="BC18" s="26"/>
      <c r="BD18" s="847"/>
      <c r="BE18" s="7974">
        <f>1337300+1160300</f>
        <v>2497600</v>
      </c>
      <c r="BF18" s="6391"/>
      <c r="BG18" s="7971">
        <f>906800+573900</f>
        <v>1480700</v>
      </c>
      <c r="BH18" s="6393">
        <f t="shared" si="2"/>
        <v>0.59284913516976301</v>
      </c>
    </row>
    <row r="19" spans="1:60" x14ac:dyDescent="0.35">
      <c r="A19" s="9168"/>
      <c r="B19" s="6536"/>
      <c r="C19" s="4197" t="s">
        <v>1406</v>
      </c>
      <c r="D19" s="60"/>
      <c r="F19" s="77"/>
      <c r="G19"/>
      <c r="H19" s="78"/>
      <c r="I19" s="84"/>
      <c r="J19" s="6529"/>
      <c r="K19" s="80"/>
      <c r="L19" s="78"/>
      <c r="M19" s="758"/>
      <c r="N19" s="67"/>
      <c r="O19" s="757">
        <v>1224100</v>
      </c>
      <c r="P19" s="758">
        <v>1267900</v>
      </c>
      <c r="Q19" s="462" t="s">
        <v>1406</v>
      </c>
      <c r="R19" s="748">
        <f>IF(O19=0,0,P19/O19)</f>
        <v>1.0357813904092803</v>
      </c>
      <c r="S19" s="847"/>
      <c r="T19" s="757">
        <f>1191591.371654+30470+700</f>
        <v>1222761.3716539999</v>
      </c>
      <c r="U19" s="6537" t="s">
        <v>1407</v>
      </c>
      <c r="V19" s="2974">
        <f>T19*R19</f>
        <v>1266513.4736705387</v>
      </c>
      <c r="W19" s="748"/>
      <c r="X19" s="67"/>
      <c r="Y19" s="5097">
        <v>1437900</v>
      </c>
      <c r="Z19" s="5098">
        <v>1482300</v>
      </c>
      <c r="AB19" s="6528">
        <f>IF(Y19=0,0,Z19/Y19)</f>
        <v>1.0308783642812436</v>
      </c>
      <c r="AC19" s="847"/>
      <c r="AD19" s="5097">
        <v>1241772.5789900001</v>
      </c>
      <c r="AE19" s="6537"/>
      <c r="AF19" s="6493">
        <f>AD19*AB19</f>
        <v>1280116.4850385126</v>
      </c>
      <c r="AG19" s="748"/>
      <c r="AH19" s="67"/>
      <c r="AI19" s="26"/>
      <c r="AJ19" s="5097">
        <v>1241772.5789900001</v>
      </c>
      <c r="AK19" s="5890">
        <f>126060+482997.263+220421.623+23061.202</f>
        <v>852540.08800000011</v>
      </c>
      <c r="AM19" s="6528">
        <f>IF(AJ19=0,0,AK19/AJ19)</f>
        <v>0.68655090507266348</v>
      </c>
      <c r="AN19" s="847"/>
      <c r="AO19" s="5093">
        <f>1310.7*1000</f>
        <v>1310700</v>
      </c>
      <c r="AP19" s="6537"/>
      <c r="AQ19" s="6493"/>
      <c r="AR19" s="26"/>
      <c r="AS19" s="67"/>
      <c r="AT19" s="6390">
        <v>1310700</v>
      </c>
      <c r="AU19" s="6394">
        <f>1581.4*1000</f>
        <v>1581400</v>
      </c>
      <c r="AV19" s="6376" t="s">
        <v>1393</v>
      </c>
      <c r="AW19" s="6377">
        <f t="shared" si="0"/>
        <v>1.206530861371786</v>
      </c>
      <c r="AX19" s="847"/>
      <c r="AY19" s="757">
        <v>1429000</v>
      </c>
      <c r="AZ19" s="6378" t="s">
        <v>1393</v>
      </c>
      <c r="BA19" s="6381">
        <v>1486600</v>
      </c>
      <c r="BB19" s="6380">
        <f t="shared" si="1"/>
        <v>1.0403079076277117</v>
      </c>
      <c r="BC19" s="26"/>
      <c r="BD19" s="847"/>
      <c r="BE19" s="7969">
        <f>1246600</f>
        <v>1246600</v>
      </c>
      <c r="BF19" s="6378"/>
      <c r="BG19" s="7971">
        <v>1716500</v>
      </c>
      <c r="BH19" s="6380">
        <f t="shared" si="2"/>
        <v>1.3769452911920423</v>
      </c>
    </row>
    <row r="20" spans="1:60" x14ac:dyDescent="0.35">
      <c r="A20" s="9168"/>
      <c r="B20" s="6536"/>
      <c r="C20" s="4197" t="s">
        <v>1408</v>
      </c>
      <c r="D20" s="60"/>
      <c r="F20" s="77"/>
      <c r="G20"/>
      <c r="H20" s="78"/>
      <c r="I20" s="84"/>
      <c r="J20" s="6529"/>
      <c r="K20" s="80"/>
      <c r="L20" s="78"/>
      <c r="M20" s="758"/>
      <c r="N20" s="67"/>
      <c r="O20" s="757">
        <v>83800</v>
      </c>
      <c r="P20" s="758">
        <v>108300</v>
      </c>
      <c r="Q20" s="462" t="s">
        <v>1408</v>
      </c>
      <c r="R20" s="748">
        <f>IF(O20=0,0,P20/O20)</f>
        <v>1.2923627684964201</v>
      </c>
      <c r="S20" s="847"/>
      <c r="T20" s="757"/>
      <c r="U20" s="1440"/>
      <c r="V20" s="2974">
        <f>T20*R20</f>
        <v>0</v>
      </c>
      <c r="W20" s="748"/>
      <c r="X20" s="67"/>
      <c r="Y20" s="5097">
        <v>107100</v>
      </c>
      <c r="Z20" s="5098">
        <v>115800</v>
      </c>
      <c r="AB20" s="6528">
        <f>IF(Y20=0,0,Z20/Y20)</f>
        <v>1.0812324929971988</v>
      </c>
      <c r="AC20" s="847"/>
      <c r="AD20" s="757"/>
      <c r="AE20" s="1440"/>
      <c r="AF20" s="6493">
        <f>AD20*AB20</f>
        <v>0</v>
      </c>
      <c r="AG20" s="748"/>
      <c r="AH20" s="67"/>
      <c r="AI20" s="26"/>
      <c r="AJ20" s="5097"/>
      <c r="AK20" s="5890">
        <v>560149.98400000005</v>
      </c>
      <c r="AM20" s="6528"/>
      <c r="AN20" s="847"/>
      <c r="AO20" s="5093">
        <f>638845.63745</f>
        <v>638845.63745000004</v>
      </c>
      <c r="AP20" s="1440" t="s">
        <v>1409</v>
      </c>
      <c r="AQ20" s="6493"/>
      <c r="AR20" s="26"/>
      <c r="AS20" s="67"/>
      <c r="AT20" s="6390">
        <v>0</v>
      </c>
      <c r="AU20" s="6394">
        <v>137500</v>
      </c>
      <c r="AV20" s="6376" t="s">
        <v>1410</v>
      </c>
      <c r="AW20" s="6377">
        <f t="shared" si="0"/>
        <v>0</v>
      </c>
      <c r="AX20" s="847"/>
      <c r="AY20" s="6390">
        <v>0</v>
      </c>
      <c r="AZ20" s="6391" t="s">
        <v>1393</v>
      </c>
      <c r="BA20" s="6381">
        <v>133100</v>
      </c>
      <c r="BB20" s="6380">
        <f t="shared" si="1"/>
        <v>0</v>
      </c>
      <c r="BC20" s="26"/>
      <c r="BD20" s="847"/>
      <c r="BE20" s="7974"/>
      <c r="BF20" s="6391"/>
      <c r="BG20" s="7971"/>
      <c r="BH20" s="6380"/>
    </row>
    <row r="21" spans="1:60" x14ac:dyDescent="0.35">
      <c r="A21" s="9168"/>
      <c r="B21" s="6536"/>
      <c r="C21" s="4197" t="s">
        <v>1411</v>
      </c>
      <c r="D21" s="60"/>
      <c r="F21" s="77"/>
      <c r="G21"/>
      <c r="H21" s="78"/>
      <c r="I21" s="84"/>
      <c r="J21" s="6529"/>
      <c r="K21" s="80"/>
      <c r="L21" s="78"/>
      <c r="M21" s="758"/>
      <c r="N21" s="67"/>
      <c r="O21" s="757"/>
      <c r="P21" s="758"/>
      <c r="R21" s="748"/>
      <c r="S21" s="847"/>
      <c r="T21" s="757"/>
      <c r="U21" s="1440"/>
      <c r="V21" s="2974"/>
      <c r="W21" s="748"/>
      <c r="X21" s="67"/>
      <c r="Y21" s="5097"/>
      <c r="Z21" s="5098"/>
      <c r="AB21" s="6528"/>
      <c r="AC21" s="847"/>
      <c r="AD21" s="757"/>
      <c r="AE21" s="1440"/>
      <c r="AF21" s="6493"/>
      <c r="AG21" s="748"/>
      <c r="AH21" s="67"/>
      <c r="AI21" s="26"/>
      <c r="AJ21" s="5097"/>
      <c r="AK21" s="5890"/>
      <c r="AM21" s="6528"/>
      <c r="AN21" s="847"/>
      <c r="AO21" s="5093"/>
      <c r="AP21" s="1440"/>
      <c r="AQ21" s="6493"/>
      <c r="AR21" s="26"/>
      <c r="AS21" s="67"/>
      <c r="AT21" s="6390"/>
      <c r="AU21" s="6394"/>
      <c r="AV21" s="6376"/>
      <c r="AW21" s="6377"/>
      <c r="AX21" s="847"/>
      <c r="AY21" s="6390"/>
      <c r="AZ21" s="6391"/>
      <c r="BA21" s="7989"/>
      <c r="BB21" s="6380"/>
      <c r="BC21" s="26"/>
      <c r="BD21" s="847"/>
      <c r="BE21" s="7974">
        <f>1000+10000</f>
        <v>11000</v>
      </c>
      <c r="BF21" s="6391"/>
      <c r="BG21" s="7975">
        <f>1000+13300</f>
        <v>14300</v>
      </c>
      <c r="BH21" s="6380">
        <f t="shared" si="2"/>
        <v>1.3</v>
      </c>
    </row>
    <row r="22" spans="1:60" x14ac:dyDescent="0.35">
      <c r="A22" s="9168"/>
      <c r="B22" s="6536"/>
      <c r="C22" s="1096" t="s">
        <v>1412</v>
      </c>
      <c r="D22" s="60"/>
      <c r="F22" s="77"/>
      <c r="G22"/>
      <c r="H22" s="78"/>
      <c r="I22" s="84"/>
      <c r="J22" s="6529"/>
      <c r="K22" s="80"/>
      <c r="L22" s="78"/>
      <c r="M22" s="758"/>
      <c r="N22" s="67"/>
      <c r="O22" s="757"/>
      <c r="P22" s="758"/>
      <c r="R22" s="748"/>
      <c r="S22" s="847"/>
      <c r="T22" s="757"/>
      <c r="U22" s="1440"/>
      <c r="V22" s="2974"/>
      <c r="W22" s="748"/>
      <c r="X22" s="67"/>
      <c r="Y22" s="5097"/>
      <c r="Z22" s="5098"/>
      <c r="AB22" s="6528"/>
      <c r="AC22" s="847"/>
      <c r="AD22" s="757"/>
      <c r="AE22" s="1440"/>
      <c r="AF22" s="6493"/>
      <c r="AG22" s="748"/>
      <c r="AH22" s="67"/>
      <c r="AI22" s="26"/>
      <c r="AJ22" s="5097"/>
      <c r="AK22" s="5890"/>
      <c r="AM22" s="6528"/>
      <c r="AN22" s="847"/>
      <c r="AO22" s="5093"/>
      <c r="AP22" s="1440"/>
      <c r="AQ22" s="6493"/>
      <c r="AR22" s="26"/>
      <c r="AS22" s="67"/>
      <c r="AT22" s="6390"/>
      <c r="AU22" s="6394"/>
      <c r="AV22" s="6376"/>
      <c r="AW22" s="6377"/>
      <c r="AX22" s="847"/>
      <c r="AY22" s="6390"/>
      <c r="AZ22" s="6391"/>
      <c r="BA22" s="7989"/>
      <c r="BB22" s="6380"/>
      <c r="BC22" s="26"/>
      <c r="BD22" s="847"/>
      <c r="BE22" s="7974">
        <v>124400</v>
      </c>
      <c r="BF22" s="6391"/>
      <c r="BG22" s="7975">
        <v>0</v>
      </c>
      <c r="BH22" s="6380">
        <f t="shared" si="2"/>
        <v>0</v>
      </c>
    </row>
    <row r="23" spans="1:60" x14ac:dyDescent="0.35">
      <c r="A23" s="9168"/>
      <c r="B23" s="85"/>
      <c r="C23" s="6538" t="s">
        <v>882</v>
      </c>
      <c r="D23" s="87">
        <v>1</v>
      </c>
      <c r="F23" s="88">
        <f>SUM(F12:F15)</f>
        <v>2344.6999999999998</v>
      </c>
      <c r="G23"/>
      <c r="H23" s="89">
        <f>SUM(H12:H15)</f>
        <v>3346.8</v>
      </c>
      <c r="I23" s="89">
        <f>SUM(I12:I15)</f>
        <v>3206.4</v>
      </c>
      <c r="J23" s="6539">
        <f>IF(H23=0,0,I23/H23)</f>
        <v>0.95804948010039437</v>
      </c>
      <c r="K23" s="80"/>
      <c r="L23" s="89">
        <f>SUM(L12:L15)</f>
        <v>3970.4000000000005</v>
      </c>
      <c r="M23" s="765">
        <f>SUM(M12:M15)</f>
        <v>3910.2</v>
      </c>
      <c r="N23" s="67"/>
      <c r="O23" s="764">
        <v>5278300</v>
      </c>
      <c r="P23" s="765">
        <v>5286400</v>
      </c>
      <c r="Q23" s="6540" t="s">
        <v>1413</v>
      </c>
      <c r="R23" s="748">
        <f>IF(O23=0,0,P23/O23)</f>
        <v>1.0015345849989581</v>
      </c>
      <c r="S23" s="847"/>
      <c r="T23" s="764">
        <f>SUM(T12:T20)</f>
        <v>5371758.6103109997</v>
      </c>
      <c r="U23" s="6398" t="s">
        <v>1414</v>
      </c>
      <c r="V23" s="6541">
        <f>SUM(V12:V20)</f>
        <v>5335837.3768666377</v>
      </c>
      <c r="W23" s="766"/>
      <c r="X23" s="67"/>
      <c r="Y23" s="5099">
        <v>5573300</v>
      </c>
      <c r="Z23" s="5100">
        <v>5398100</v>
      </c>
      <c r="AA23" s="6540"/>
      <c r="AB23" s="6528">
        <f>IF(Y23=0,0,Z23/Y23)</f>
        <v>0.96856440528950527</v>
      </c>
      <c r="AC23" s="847"/>
      <c r="AD23" s="5099">
        <f>SUM(AD12:AD20)</f>
        <v>5960086.9918860001</v>
      </c>
      <c r="AE23" s="6398"/>
      <c r="AF23" s="6542">
        <f>SUM(AF12:AF20)</f>
        <v>5607170.2403663835</v>
      </c>
      <c r="AG23" s="766"/>
      <c r="AH23" s="67"/>
      <c r="AI23" s="24"/>
      <c r="AJ23" s="5099">
        <v>5960086.9918860001</v>
      </c>
      <c r="AK23" s="5891">
        <f>SUM(AK12+AK13+AK19+AK20)</f>
        <v>6537234.3910000008</v>
      </c>
      <c r="AL23" s="6540"/>
      <c r="AM23" s="6528">
        <f>IF(AJ23=0,0,AK23/AJ23)</f>
        <v>1.0968353985268542</v>
      </c>
      <c r="AN23" s="847"/>
      <c r="AO23" s="5101">
        <f>(AO12+AO13+AO20+AO19)-700</f>
        <v>6756252.8304440007</v>
      </c>
      <c r="AP23" s="6398" t="s">
        <v>1415</v>
      </c>
      <c r="AQ23" s="6542">
        <f>SUM(AQ12:AQ20)</f>
        <v>4542570.7289767154</v>
      </c>
      <c r="AR23" s="24"/>
      <c r="AS23" s="67"/>
      <c r="AT23" s="6395">
        <f>AT12+AT13+AT17+AT19+AT20</f>
        <v>6756245.6374599999</v>
      </c>
      <c r="AU23" s="6396">
        <f>AU12+AU13+AU19+AU20</f>
        <v>6220899.9999999991</v>
      </c>
      <c r="AV23" s="6397"/>
      <c r="AW23" s="6377">
        <f t="shared" si="0"/>
        <v>0.92076285170986427</v>
      </c>
      <c r="AX23" s="847"/>
      <c r="AY23" s="5099">
        <f>AY12+AY13+AY17+AY19+AY20</f>
        <v>7334349</v>
      </c>
      <c r="AZ23" s="6398"/>
      <c r="BA23" s="6399">
        <f>BA12+BA13+BA17+BA19+BA20</f>
        <v>7002232.6048184726</v>
      </c>
      <c r="BB23" s="6380">
        <f t="shared" si="1"/>
        <v>0.95471767225945647</v>
      </c>
      <c r="BC23" s="24"/>
      <c r="BD23" s="847"/>
      <c r="BE23" s="7976">
        <f>SUM(BE12:BE22)</f>
        <v>7876200</v>
      </c>
      <c r="BF23" s="6398"/>
      <c r="BG23" s="7977">
        <f>SUM(BG12:BG22)</f>
        <v>7290800</v>
      </c>
      <c r="BH23" s="6380">
        <f t="shared" si="2"/>
        <v>0.92567481780554073</v>
      </c>
    </row>
    <row r="24" spans="1:60" x14ac:dyDescent="0.35">
      <c r="A24" s="9168"/>
      <c r="B24" s="100" t="s">
        <v>883</v>
      </c>
      <c r="C24" s="49"/>
      <c r="D24" s="42"/>
      <c r="E24" s="43"/>
      <c r="F24" s="101"/>
      <c r="G24"/>
      <c r="H24" s="102"/>
      <c r="I24" s="103"/>
      <c r="J24" s="6543"/>
      <c r="K24" s="43"/>
      <c r="L24" s="102"/>
      <c r="M24" s="105"/>
      <c r="N24" s="43"/>
      <c r="O24" s="5102"/>
      <c r="P24" s="5103"/>
      <c r="Q24" s="912" t="s">
        <v>1416</v>
      </c>
      <c r="R24" s="775"/>
      <c r="S24" s="847"/>
      <c r="T24" s="866"/>
      <c r="U24" s="469" t="s">
        <v>1417</v>
      </c>
      <c r="V24" s="847"/>
      <c r="W24" s="775"/>
      <c r="X24" s="43"/>
      <c r="Y24" s="5102"/>
      <c r="Z24" s="5103"/>
      <c r="AA24" s="912"/>
      <c r="AB24" s="6544"/>
      <c r="AC24" s="847"/>
      <c r="AD24" s="866"/>
      <c r="AE24" s="469"/>
      <c r="AF24" s="847"/>
      <c r="AG24" s="775"/>
      <c r="AH24" s="43"/>
      <c r="AI24" s="18"/>
      <c r="AJ24" s="5102"/>
      <c r="AK24" s="5103" t="s">
        <v>1418</v>
      </c>
      <c r="AL24" s="912"/>
      <c r="AM24" s="6544"/>
      <c r="AN24" s="847"/>
      <c r="AO24" s="866"/>
      <c r="AP24" s="469"/>
      <c r="AQ24" s="847"/>
      <c r="AR24" s="18"/>
      <c r="AS24" s="43"/>
      <c r="AT24" s="5102"/>
      <c r="AU24" s="5103"/>
      <c r="AV24" s="6400"/>
      <c r="AW24" s="6401"/>
      <c r="AX24" s="847"/>
      <c r="AY24" s="1669"/>
      <c r="AZ24" s="469"/>
      <c r="BA24" s="847"/>
      <c r="BB24" s="6402"/>
      <c r="BC24" s="18"/>
      <c r="BD24" s="847"/>
      <c r="BE24" s="1669"/>
      <c r="BF24" s="469"/>
      <c r="BG24" s="847"/>
      <c r="BH24" s="6402"/>
    </row>
    <row r="25" spans="1:60" x14ac:dyDescent="0.35">
      <c r="A25" s="9168"/>
      <c r="B25" s="6082"/>
      <c r="C25" s="110" t="s">
        <v>885</v>
      </c>
      <c r="D25" s="60"/>
      <c r="F25" s="111">
        <v>1365.8</v>
      </c>
      <c r="G25"/>
      <c r="H25" s="112">
        <v>1939.8</v>
      </c>
      <c r="I25" s="113">
        <v>1931.8</v>
      </c>
      <c r="J25" s="1602">
        <f>IF(H25=0,0,I25/H25)</f>
        <v>0.99587586349108159</v>
      </c>
      <c r="L25" s="112">
        <v>2296</v>
      </c>
      <c r="M25" s="1304">
        <v>2305.1999999999998</v>
      </c>
      <c r="O25" s="781">
        <v>2296000</v>
      </c>
      <c r="P25" s="781">
        <v>2305200</v>
      </c>
      <c r="Q25" s="462" t="s">
        <v>1419</v>
      </c>
      <c r="R25" s="782">
        <f>IF(O25=0,0,P25/O25)</f>
        <v>1.004006968641115</v>
      </c>
      <c r="S25" s="847"/>
      <c r="T25" s="780">
        <v>2468201.870747</v>
      </c>
      <c r="U25" s="469" t="s">
        <v>1420</v>
      </c>
      <c r="V25" s="2974">
        <f>T25*R25</f>
        <v>2478091.8782430249</v>
      </c>
      <c r="W25" s="782"/>
      <c r="Y25" s="5104">
        <v>2418300</v>
      </c>
      <c r="Z25" s="5105">
        <v>2413800</v>
      </c>
      <c r="AB25" s="6456">
        <f>IF(Y25=0,0,Z25/Y25)</f>
        <v>0.99813918868626716</v>
      </c>
      <c r="AC25" s="847"/>
      <c r="AD25" s="5104">
        <v>2616553.040325</v>
      </c>
      <c r="AE25" s="469"/>
      <c r="AF25" s="6493">
        <f>AD25*AB25</f>
        <v>2611684.1288245809</v>
      </c>
      <c r="AG25" s="782"/>
      <c r="AI25" s="26"/>
      <c r="AJ25" s="5110">
        <v>2616553.040325</v>
      </c>
      <c r="AK25" s="5886">
        <v>2767900.3429999999</v>
      </c>
      <c r="AL25" s="469" t="s">
        <v>1421</v>
      </c>
      <c r="AM25" s="6456">
        <f>IF(AJ25=0,0,AK25/AJ25)</f>
        <v>1.0578422452526326</v>
      </c>
      <c r="AN25" s="847"/>
      <c r="AO25" s="5107">
        <f>2737809.160705</f>
        <v>2737809.1607050002</v>
      </c>
      <c r="AP25" s="469" t="s">
        <v>1421</v>
      </c>
      <c r="AQ25" s="6493">
        <f>AO25*AM25</f>
        <v>2896170.189633403</v>
      </c>
      <c r="AR25" s="26"/>
      <c r="AT25" s="791">
        <f>2722100+20800</f>
        <v>2742900</v>
      </c>
      <c r="AU25" s="6403">
        <f>2740300+32600</f>
        <v>2772900</v>
      </c>
      <c r="AV25" s="459" t="s">
        <v>1393</v>
      </c>
      <c r="AW25" s="6404">
        <f>IF(AT25=0,0,AU25/AT25)</f>
        <v>1.0109373291042327</v>
      </c>
      <c r="AX25" s="847"/>
      <c r="AY25" s="5142">
        <f>2861100+16.6</f>
        <v>2861116.6</v>
      </c>
      <c r="AZ25" s="459" t="s">
        <v>1393</v>
      </c>
      <c r="BA25" s="6405">
        <f>2847600+54700</f>
        <v>2902300</v>
      </c>
      <c r="BB25" s="6404">
        <f>IF(AY25=0,0,BA25/AY25)</f>
        <v>1.0143941704438051</v>
      </c>
      <c r="BC25" s="26" t="s">
        <v>1422</v>
      </c>
      <c r="BD25" s="847"/>
      <c r="BE25" s="6421">
        <f>(1770.1+637.2+500.8+389.2+126.1)*1000</f>
        <v>3423400</v>
      </c>
      <c r="BF25" s="6378"/>
      <c r="BG25" s="7978">
        <f>(1828.1+787.3+438.3+353.4+181.7)*1000</f>
        <v>3588799.9999999995</v>
      </c>
      <c r="BH25" s="6404">
        <f>IF(BE25=0,0,BG25/BE25)</f>
        <v>1.0483145410994916</v>
      </c>
    </row>
    <row r="26" spans="1:60" x14ac:dyDescent="0.35">
      <c r="A26" s="9168"/>
      <c r="B26" s="6082"/>
      <c r="C26" s="1893" t="s">
        <v>1423</v>
      </c>
      <c r="D26" s="60">
        <v>2</v>
      </c>
      <c r="F26" s="111">
        <f>(278.3+75.4)</f>
        <v>353.70000000000005</v>
      </c>
      <c r="G26"/>
      <c r="H26" s="112">
        <f>47.5+1133.9</f>
        <v>1181.4000000000001</v>
      </c>
      <c r="I26" s="113">
        <f>62.2+1003.8</f>
        <v>1066</v>
      </c>
      <c r="J26" s="6545">
        <f>IF(H26=0,0,I26/H26)</f>
        <v>0.90231928220755031</v>
      </c>
      <c r="K26" s="374"/>
      <c r="L26" s="112">
        <f>95.1+1385.8</f>
        <v>1480.8999999999999</v>
      </c>
      <c r="M26" s="1304">
        <f>108.7+1261.8</f>
        <v>1370.5</v>
      </c>
      <c r="O26" s="781">
        <v>763700</v>
      </c>
      <c r="P26" s="781">
        <v>805500</v>
      </c>
      <c r="R26" s="782">
        <f>IF(O26=0,0,P26/O26)</f>
        <v>1.0547335341102526</v>
      </c>
      <c r="S26" s="847"/>
      <c r="T26" s="780">
        <v>925476.02768699999</v>
      </c>
      <c r="U26" s="469" t="s">
        <v>1424</v>
      </c>
      <c r="V26" s="2974">
        <f>T26*R26</f>
        <v>976130.60141662753</v>
      </c>
      <c r="W26" s="1563"/>
      <c r="Y26" s="5104">
        <v>1156300</v>
      </c>
      <c r="Z26" s="5105">
        <v>1106100</v>
      </c>
      <c r="AB26" s="6456">
        <f>IF(Y26=0,0,Z26/Y26)</f>
        <v>0.95658566116059851</v>
      </c>
      <c r="AC26" s="847"/>
      <c r="AD26" s="5104">
        <v>1002671.021175</v>
      </c>
      <c r="AE26" s="469"/>
      <c r="AF26" s="6493">
        <f>AD26*AB26</f>
        <v>959140.72171725985</v>
      </c>
      <c r="AG26" s="1563"/>
      <c r="AI26" s="26" t="s">
        <v>1425</v>
      </c>
      <c r="AJ26" s="5110">
        <v>1002671.021175</v>
      </c>
      <c r="AK26" s="5886">
        <v>1406111.9069999999</v>
      </c>
      <c r="AL26" s="462" t="s">
        <v>1426</v>
      </c>
      <c r="AM26" s="6456">
        <f>IF(AJ26=0,0,AK26/AJ26)</f>
        <v>1.4023661572987516</v>
      </c>
      <c r="AN26" s="847"/>
      <c r="AO26" s="5108">
        <f>1833024.822654-AO27</f>
        <v>916925.579654</v>
      </c>
      <c r="AP26" s="469" t="s">
        <v>1427</v>
      </c>
      <c r="AQ26" s="6530">
        <f>AO26</f>
        <v>916925.579654</v>
      </c>
      <c r="AR26" s="26" t="s">
        <v>1425</v>
      </c>
      <c r="AT26" s="791">
        <v>911900</v>
      </c>
      <c r="AU26" s="6403">
        <v>902200</v>
      </c>
      <c r="AV26" s="459" t="s">
        <v>1393</v>
      </c>
      <c r="AW26" s="6404">
        <f t="shared" ref="AW26:AW34" si="3">IF(AT26=0,0,AU26/AT26)</f>
        <v>0.98936286873560697</v>
      </c>
      <c r="AX26" s="847"/>
      <c r="AY26" s="5142">
        <v>967400</v>
      </c>
      <c r="AZ26" s="459" t="s">
        <v>1393</v>
      </c>
      <c r="BA26" s="6406">
        <v>959500</v>
      </c>
      <c r="BB26" s="6404">
        <f t="shared" ref="BB26:BB34" si="4">IF(AY26=0,0,BA26/AY26)</f>
        <v>0.99183378126938182</v>
      </c>
      <c r="BC26" s="26"/>
      <c r="BD26" s="847"/>
      <c r="BE26" s="6421">
        <f>1198.2*1000</f>
        <v>1198200</v>
      </c>
      <c r="BF26" s="6378"/>
      <c r="BG26" s="6428">
        <f>1230*1000</f>
        <v>1230000</v>
      </c>
      <c r="BH26" s="6404">
        <f t="shared" ref="BH26:BH32" si="5">IF(BE26=0,0,BG26/BE26)</f>
        <v>1.0265398097145719</v>
      </c>
    </row>
    <row r="27" spans="1:60" x14ac:dyDescent="0.35">
      <c r="A27" s="9168"/>
      <c r="B27" s="6082"/>
      <c r="C27" s="1893" t="s">
        <v>1428</v>
      </c>
      <c r="D27" s="60"/>
      <c r="F27" s="122"/>
      <c r="G27"/>
      <c r="H27" s="114"/>
      <c r="I27" s="123"/>
      <c r="J27" s="1602"/>
      <c r="L27" s="114"/>
      <c r="M27" s="1304"/>
      <c r="O27" s="1656">
        <v>622100</v>
      </c>
      <c r="P27" s="1656">
        <v>456300</v>
      </c>
      <c r="R27" s="782">
        <f>IF(O27=0,0,(P27+O28+O29)/(O27+P28+P29))</f>
        <v>0.75451559934318557</v>
      </c>
      <c r="S27" s="847"/>
      <c r="T27" s="1566">
        <v>718217.76165700005</v>
      </c>
      <c r="U27" s="469"/>
      <c r="V27" s="2974">
        <f>T27*R27</f>
        <v>541906.50489555264</v>
      </c>
      <c r="W27" s="782"/>
      <c r="Y27" s="5106">
        <v>503100</v>
      </c>
      <c r="Z27" s="5109">
        <v>367900</v>
      </c>
      <c r="AB27" s="6456">
        <f>IF(Y27=0,0,(Z27+Y28+Y29)/(Y27+Z28+Z29))</f>
        <v>0.7528853754940712</v>
      </c>
      <c r="AC27" s="847"/>
      <c r="AD27" s="5106">
        <v>922045.522734</v>
      </c>
      <c r="AE27" s="469"/>
      <c r="AF27" s="6493">
        <f>AD27*AB27</f>
        <v>694194.58960621478</v>
      </c>
      <c r="AG27" s="782"/>
      <c r="AI27" s="26"/>
      <c r="AJ27" s="5110">
        <v>922045.522734</v>
      </c>
      <c r="AK27" s="5110"/>
      <c r="AM27" s="6456">
        <f>IF(AJ27=0,0,(AK27+AJ28+AJ29)/(AJ27+AK28+AK29))</f>
        <v>0</v>
      </c>
      <c r="AN27" s="847"/>
      <c r="AO27" s="5897">
        <f>160334.437+755764.806</f>
        <v>916099.24300000002</v>
      </c>
      <c r="AP27" s="469"/>
      <c r="AQ27" s="6530">
        <f>AO27</f>
        <v>916099.24300000002</v>
      </c>
      <c r="AR27" s="26"/>
      <c r="AT27" s="791">
        <v>916100</v>
      </c>
      <c r="AU27" s="6407">
        <v>656700</v>
      </c>
      <c r="AV27" s="459" t="s">
        <v>1393</v>
      </c>
      <c r="AW27" s="6404">
        <f t="shared" si="3"/>
        <v>0.71684313939526256</v>
      </c>
      <c r="AX27" s="847"/>
      <c r="AY27" s="5142">
        <v>940200</v>
      </c>
      <c r="AZ27" s="459" t="s">
        <v>1393</v>
      </c>
      <c r="BA27" s="6406">
        <v>521900</v>
      </c>
      <c r="BB27" s="6404">
        <f t="shared" si="4"/>
        <v>0.55509466071048708</v>
      </c>
      <c r="BC27" s="26"/>
      <c r="BD27" s="847"/>
      <c r="BE27" s="6421">
        <f>1323.8*1000</f>
        <v>1323800</v>
      </c>
      <c r="BF27" s="6378"/>
      <c r="BG27" s="6428">
        <f>675.3*1000</f>
        <v>675300</v>
      </c>
      <c r="BH27" s="6404">
        <f t="shared" si="5"/>
        <v>0.51012237498111501</v>
      </c>
    </row>
    <row r="28" spans="1:60" x14ac:dyDescent="0.35">
      <c r="A28" s="9168"/>
      <c r="B28" s="6082"/>
      <c r="C28" s="1893" t="s">
        <v>1429</v>
      </c>
      <c r="D28" s="60"/>
      <c r="F28" s="122"/>
      <c r="G28"/>
      <c r="H28" s="114"/>
      <c r="I28" s="123"/>
      <c r="J28" s="1602"/>
      <c r="L28" s="114"/>
      <c r="M28" s="1304"/>
      <c r="O28" s="1656">
        <v>83400</v>
      </c>
      <c r="P28" s="1656">
        <v>102700</v>
      </c>
      <c r="R28" s="782"/>
      <c r="S28" s="847"/>
      <c r="T28" s="1566"/>
      <c r="U28" s="469"/>
      <c r="V28" s="6546"/>
      <c r="W28" s="782"/>
      <c r="Y28" s="5106">
        <v>108300</v>
      </c>
      <c r="Z28" s="5109">
        <v>129400</v>
      </c>
      <c r="AB28" s="6456">
        <f>IF(Y28=0,0,(Z28+Y29+Y31)/(Y28+Z29+Z31))</f>
        <v>1.1948291782086795</v>
      </c>
      <c r="AC28" s="847"/>
      <c r="AD28" s="1566"/>
      <c r="AE28" s="469"/>
      <c r="AF28" s="6547"/>
      <c r="AG28" s="782"/>
      <c r="AI28" s="26"/>
      <c r="AJ28" s="5110"/>
      <c r="AK28" s="5110"/>
      <c r="AM28" s="6456">
        <f>IF(AJ28=0,0,(AK28+AJ29+AJ31)/(AJ28+AK29+AK31))</f>
        <v>0</v>
      </c>
      <c r="AN28" s="847"/>
      <c r="AO28" s="1566"/>
      <c r="AP28" s="469"/>
      <c r="AQ28" s="6547"/>
      <c r="AR28" s="26"/>
      <c r="AT28" s="791">
        <v>0</v>
      </c>
      <c r="AU28" s="6407">
        <v>0</v>
      </c>
      <c r="AV28" s="459"/>
      <c r="AW28" s="6404">
        <f t="shared" si="3"/>
        <v>0</v>
      </c>
      <c r="AX28" s="847"/>
      <c r="AY28" s="6408">
        <v>0</v>
      </c>
      <c r="AZ28" s="6376"/>
      <c r="BA28" s="6409">
        <v>0</v>
      </c>
      <c r="BB28" s="6410">
        <f t="shared" si="4"/>
        <v>0</v>
      </c>
      <c r="BC28" s="26"/>
      <c r="BD28" s="847"/>
      <c r="BE28" s="6421"/>
      <c r="BF28" s="6391"/>
      <c r="BG28" s="6428"/>
      <c r="BH28" s="6410">
        <f t="shared" si="5"/>
        <v>0</v>
      </c>
    </row>
    <row r="29" spans="1:60" x14ac:dyDescent="0.35">
      <c r="A29" s="9168"/>
      <c r="B29" s="6082"/>
      <c r="C29" s="1893" t="s">
        <v>1430</v>
      </c>
      <c r="D29" s="60"/>
      <c r="F29" s="122"/>
      <c r="G29"/>
      <c r="H29" s="114"/>
      <c r="I29" s="123"/>
      <c r="J29" s="1602"/>
      <c r="L29" s="114"/>
      <c r="M29" s="1304"/>
      <c r="O29" s="1656">
        <v>11700</v>
      </c>
      <c r="P29" s="1656">
        <v>6000</v>
      </c>
      <c r="R29" s="782"/>
      <c r="S29" s="847"/>
      <c r="T29" s="1566"/>
      <c r="U29" s="469"/>
      <c r="V29" s="6546"/>
      <c r="W29" s="782"/>
      <c r="Y29" s="5106">
        <v>0</v>
      </c>
      <c r="Z29" s="5109">
        <v>0</v>
      </c>
      <c r="AB29" s="6456">
        <f>IF(Y29=0,0,(Z29+Y31+Y32)/(Y29+Z31+Z32))</f>
        <v>0</v>
      </c>
      <c r="AC29" s="847"/>
      <c r="AD29" s="1566"/>
      <c r="AE29" s="469"/>
      <c r="AF29" s="6547"/>
      <c r="AG29" s="782"/>
      <c r="AI29" s="26"/>
      <c r="AJ29" s="5110"/>
      <c r="AK29" s="5110"/>
      <c r="AM29" s="6456">
        <f>IF(AJ29=0,0,(AK29+AJ31+AJ32)/(AJ29+AK31+AK32))</f>
        <v>0</v>
      </c>
      <c r="AN29" s="847"/>
      <c r="AO29" s="1566"/>
      <c r="AP29" s="469"/>
      <c r="AQ29" s="6547"/>
      <c r="AR29" s="26"/>
      <c r="AT29" s="791">
        <v>0</v>
      </c>
      <c r="AU29" s="6407">
        <v>0</v>
      </c>
      <c r="AV29" s="459"/>
      <c r="AW29" s="6404">
        <f t="shared" si="3"/>
        <v>0</v>
      </c>
      <c r="AX29" s="847"/>
      <c r="AY29" s="6408">
        <v>0</v>
      </c>
      <c r="AZ29" s="6376"/>
      <c r="BA29" s="6409">
        <v>0</v>
      </c>
      <c r="BB29" s="6410">
        <f t="shared" si="4"/>
        <v>0</v>
      </c>
      <c r="BC29" s="26"/>
      <c r="BD29" s="847"/>
      <c r="BE29" s="6421"/>
      <c r="BF29" s="6391"/>
      <c r="BG29" s="6428"/>
      <c r="BH29" s="6410">
        <f t="shared" si="5"/>
        <v>0</v>
      </c>
    </row>
    <row r="30" spans="1:60" x14ac:dyDescent="0.35">
      <c r="A30" s="9168"/>
      <c r="B30" s="6082"/>
      <c r="C30" s="1893" t="s">
        <v>1431</v>
      </c>
      <c r="D30" s="60"/>
      <c r="F30" s="122"/>
      <c r="G30"/>
      <c r="H30" s="114"/>
      <c r="I30" s="123"/>
      <c r="J30" s="1602"/>
      <c r="L30" s="114"/>
      <c r="M30" s="1304"/>
      <c r="O30" s="1656"/>
      <c r="P30" s="1656"/>
      <c r="R30" s="782"/>
      <c r="S30" s="847"/>
      <c r="T30" s="1566"/>
      <c r="U30" s="469"/>
      <c r="V30" s="6546"/>
      <c r="W30" s="782"/>
      <c r="Y30" s="5106"/>
      <c r="Z30" s="5109"/>
      <c r="AB30" s="6456"/>
      <c r="AC30" s="847"/>
      <c r="AD30" s="1566"/>
      <c r="AE30" s="469"/>
      <c r="AF30" s="6547"/>
      <c r="AG30" s="782"/>
      <c r="AI30" s="26"/>
      <c r="AJ30" s="5110"/>
      <c r="AK30" s="5110"/>
      <c r="AM30" s="6456"/>
      <c r="AN30" s="847"/>
      <c r="AO30" s="1566"/>
      <c r="AP30" s="469"/>
      <c r="AQ30" s="6547"/>
      <c r="AR30" s="26"/>
      <c r="AT30" s="6411">
        <f>638845.63745-700</f>
        <v>638145.63745000004</v>
      </c>
      <c r="AU30" s="6407">
        <f>631138.318868-19922.575095</f>
        <v>611215.74377299997</v>
      </c>
      <c r="AV30" s="6376" t="s">
        <v>1432</v>
      </c>
      <c r="AW30" s="6404">
        <f t="shared" si="3"/>
        <v>0.95779976842808068</v>
      </c>
      <c r="AX30" s="847"/>
      <c r="AY30" s="6408">
        <v>727549.201458</v>
      </c>
      <c r="AZ30" s="6376"/>
      <c r="BA30" s="6412">
        <f>AY30*AW30</f>
        <v>696846.45667650737</v>
      </c>
      <c r="BB30" s="6410">
        <f t="shared" si="4"/>
        <v>0.95779976842808057</v>
      </c>
      <c r="BC30" s="26"/>
      <c r="BD30" s="847"/>
      <c r="BE30" s="6421"/>
      <c r="BF30" s="6391"/>
      <c r="BG30" s="6428"/>
      <c r="BH30" s="6410">
        <f t="shared" si="5"/>
        <v>0</v>
      </c>
    </row>
    <row r="31" spans="1:60" x14ac:dyDescent="0.35">
      <c r="A31" s="9168"/>
      <c r="B31" s="6082"/>
      <c r="C31" s="1893" t="s">
        <v>1433</v>
      </c>
      <c r="D31" s="60"/>
      <c r="F31" s="163">
        <v>1322.1</v>
      </c>
      <c r="G31" s="1569"/>
      <c r="H31" s="242">
        <v>1167.4000000000001</v>
      </c>
      <c r="I31" s="243">
        <v>1167.4000000000001</v>
      </c>
      <c r="J31" s="6548">
        <f>IF(H31=0,0,I31/H31)</f>
        <v>1</v>
      </c>
      <c r="K31" s="274"/>
      <c r="L31" s="242">
        <v>1298.9000000000001</v>
      </c>
      <c r="M31" s="1304">
        <v>1294.4000000000001</v>
      </c>
      <c r="O31" s="792"/>
      <c r="P31" s="792"/>
      <c r="Q31" s="6549"/>
      <c r="R31" s="1571"/>
      <c r="S31" s="847"/>
      <c r="T31" s="791"/>
      <c r="U31" s="6550"/>
      <c r="V31" s="6551"/>
      <c r="W31" s="782"/>
      <c r="Y31" s="791"/>
      <c r="Z31" s="792"/>
      <c r="AA31" s="6549"/>
      <c r="AB31" s="6456">
        <f>IF(Y31=0,0,(Z31+Y32+Y33)/(Y31+Z32+Z33))</f>
        <v>0</v>
      </c>
      <c r="AC31" s="847"/>
      <c r="AD31" s="791"/>
      <c r="AE31" s="6550"/>
      <c r="AF31" s="6552"/>
      <c r="AG31" s="782"/>
      <c r="AI31" s="26"/>
      <c r="AJ31" s="5110"/>
      <c r="AK31" s="5110"/>
      <c r="AL31" s="6549"/>
      <c r="AM31" s="6456">
        <f>IF(AJ31=0,0,(AK31+AJ32+AJ33)/(AJ31+AK32+AK33))</f>
        <v>0</v>
      </c>
      <c r="AN31" s="847"/>
      <c r="AO31" s="791"/>
      <c r="AP31" s="6550"/>
      <c r="AQ31" s="6552"/>
      <c r="AR31" s="26"/>
      <c r="AT31" s="785">
        <v>0</v>
      </c>
      <c r="AU31" s="6407">
        <v>0</v>
      </c>
      <c r="AV31" s="459"/>
      <c r="AW31" s="6404">
        <f t="shared" si="3"/>
        <v>0</v>
      </c>
      <c r="AX31" s="847"/>
      <c r="AY31" s="6408">
        <v>0</v>
      </c>
      <c r="AZ31" s="6376" t="s">
        <v>1434</v>
      </c>
      <c r="BA31" s="6409">
        <v>0</v>
      </c>
      <c r="BB31" s="6410">
        <f t="shared" si="4"/>
        <v>0</v>
      </c>
      <c r="BC31" s="26"/>
      <c r="BD31" s="847"/>
      <c r="BE31" s="6421">
        <f>760.1*1000</f>
        <v>760100</v>
      </c>
      <c r="BF31" s="6391"/>
      <c r="BG31" s="6428">
        <f>746.1*1000</f>
        <v>746100</v>
      </c>
      <c r="BH31" s="6410">
        <f t="shared" si="5"/>
        <v>0.98158137087225361</v>
      </c>
    </row>
    <row r="32" spans="1:60" x14ac:dyDescent="0.35">
      <c r="A32" s="9168"/>
      <c r="B32" s="6082"/>
      <c r="C32" s="1893" t="s">
        <v>1435</v>
      </c>
      <c r="D32" s="60"/>
      <c r="F32" s="163"/>
      <c r="G32" s="235"/>
      <c r="H32" s="242"/>
      <c r="I32" s="244"/>
      <c r="J32" s="1602"/>
      <c r="L32" s="242"/>
      <c r="M32" s="1304"/>
      <c r="O32" s="1558">
        <v>1298900</v>
      </c>
      <c r="P32" s="792">
        <v>1294400</v>
      </c>
      <c r="Q32" s="6549" t="s">
        <v>1436</v>
      </c>
      <c r="R32" s="1571">
        <f>IF(O32=0,0,P32/O32)</f>
        <v>0.99653553006390028</v>
      </c>
      <c r="S32" s="847"/>
      <c r="T32" s="791">
        <v>1259862.9506999999</v>
      </c>
      <c r="U32" s="6550" t="s">
        <v>1437</v>
      </c>
      <c r="V32" s="2974">
        <f>T32*R32</f>
        <v>1255498.1933836939</v>
      </c>
      <c r="W32" s="782"/>
      <c r="Y32" s="5110">
        <v>1340300</v>
      </c>
      <c r="Z32" s="5111">
        <v>1352400</v>
      </c>
      <c r="AA32" s="6549"/>
      <c r="AB32" s="6553">
        <f>IF(Y32=0,0,Z32/Y32)</f>
        <v>1.0090278295903903</v>
      </c>
      <c r="AC32" s="847"/>
      <c r="AD32" s="5110">
        <v>1418817.407652</v>
      </c>
      <c r="AE32" s="6550"/>
      <c r="AF32" s="6493">
        <f>AD32*AB32</f>
        <v>1431626.2494281614</v>
      </c>
      <c r="AG32" s="782"/>
      <c r="AI32" s="26"/>
      <c r="AJ32" s="5110">
        <v>1418817.407652</v>
      </c>
      <c r="AK32" s="5886">
        <v>1973416.8189999999</v>
      </c>
      <c r="AL32" s="6554" t="s">
        <v>1438</v>
      </c>
      <c r="AM32" s="6553">
        <f>IF(AJ32=0,0,AK32/AJ32)</f>
        <v>1.3908885021828188</v>
      </c>
      <c r="AN32" s="847"/>
      <c r="AO32" s="5093">
        <v>1547277.9955229999</v>
      </c>
      <c r="AP32" s="6550" t="s">
        <v>1439</v>
      </c>
      <c r="AQ32" s="6493">
        <f>AO32*AM32</f>
        <v>2152091.1736534196</v>
      </c>
      <c r="AR32" s="26"/>
      <c r="AT32" s="791">
        <v>1547300</v>
      </c>
      <c r="AU32" s="6403">
        <v>1547200</v>
      </c>
      <c r="AV32" s="459" t="s">
        <v>1393</v>
      </c>
      <c r="AW32" s="6404">
        <f t="shared" si="3"/>
        <v>0.99993537129192789</v>
      </c>
      <c r="AX32" s="847"/>
      <c r="AY32" s="5142">
        <v>1821400</v>
      </c>
      <c r="AZ32" s="6376" t="s">
        <v>1393</v>
      </c>
      <c r="BA32" s="6406">
        <v>1769300</v>
      </c>
      <c r="BB32" s="6410">
        <f t="shared" si="4"/>
        <v>0.97139562973536842</v>
      </c>
      <c r="BC32" s="26"/>
      <c r="BD32" s="847"/>
      <c r="BE32" s="6421">
        <f>1170.5*1000</f>
        <v>1170500</v>
      </c>
      <c r="BF32" s="6391"/>
      <c r="BG32" s="6428">
        <f>1180.2*1000</f>
        <v>1180200</v>
      </c>
      <c r="BH32" s="6410">
        <f t="shared" si="5"/>
        <v>1.0082870568133275</v>
      </c>
    </row>
    <row r="33" spans="1:61" x14ac:dyDescent="0.35">
      <c r="A33" s="9168"/>
      <c r="B33" s="6082"/>
      <c r="C33" s="1893" t="s">
        <v>1408</v>
      </c>
      <c r="D33" s="60"/>
      <c r="F33" s="163"/>
      <c r="G33" s="235"/>
      <c r="H33" s="242"/>
      <c r="I33" s="244"/>
      <c r="J33" s="1602"/>
      <c r="L33" s="242"/>
      <c r="M33" s="1304"/>
      <c r="O33" s="1558">
        <v>83800</v>
      </c>
      <c r="P33" s="792">
        <v>107500</v>
      </c>
      <c r="Q33" s="6549"/>
      <c r="R33" s="1571">
        <f>IF(O33=0,0,P33/O33)</f>
        <v>1.2828162291169452</v>
      </c>
      <c r="S33" s="847"/>
      <c r="T33" s="791"/>
      <c r="U33" s="6550"/>
      <c r="V33" s="6551"/>
      <c r="W33" s="782"/>
      <c r="Y33" s="5110">
        <v>107100</v>
      </c>
      <c r="Z33" s="5111">
        <v>114400</v>
      </c>
      <c r="AA33" s="6555"/>
      <c r="AB33" s="6553">
        <f>IF(Y33=0,0,Z33/Y33)</f>
        <v>1.0681605975723623</v>
      </c>
      <c r="AC33" s="847"/>
      <c r="AD33" s="791"/>
      <c r="AE33" s="6550"/>
      <c r="AF33" s="6552"/>
      <c r="AG33" s="782"/>
      <c r="AI33" s="26"/>
      <c r="AJ33" s="5110"/>
      <c r="AK33" s="5890">
        <f>560149.984-1578.014</f>
        <v>558571.97000000009</v>
      </c>
      <c r="AL33" s="6555"/>
      <c r="AM33" s="6553">
        <f>IF(AJ33=0,0,AK33/AJ33)</f>
        <v>0</v>
      </c>
      <c r="AN33" s="847"/>
      <c r="AO33" s="5093">
        <v>638845.63745000004</v>
      </c>
      <c r="AP33" s="6550" t="s">
        <v>1440</v>
      </c>
      <c r="AQ33" s="6552"/>
      <c r="AR33" s="26"/>
      <c r="AT33" s="6411">
        <v>0</v>
      </c>
      <c r="AU33" s="6407">
        <v>137500</v>
      </c>
      <c r="AV33" s="459" t="s">
        <v>1441</v>
      </c>
      <c r="AW33" s="6404">
        <f t="shared" si="3"/>
        <v>0</v>
      </c>
      <c r="AX33" s="847"/>
      <c r="AY33" s="5142">
        <v>0</v>
      </c>
      <c r="AZ33" s="6413"/>
      <c r="BA33" s="6406">
        <v>133100</v>
      </c>
      <c r="BB33" s="6410">
        <f>BB27</f>
        <v>0.55509466071048708</v>
      </c>
      <c r="BC33" s="26"/>
      <c r="BD33" s="847"/>
      <c r="BE33" s="7979"/>
      <c r="BF33" s="7029"/>
      <c r="BG33" s="6428"/>
      <c r="BH33" s="6410">
        <f>BH27</f>
        <v>0.51012237498111501</v>
      </c>
    </row>
    <row r="34" spans="1:61" x14ac:dyDescent="0.35">
      <c r="A34" s="9168"/>
      <c r="B34" s="128"/>
      <c r="C34" s="1896" t="s">
        <v>903</v>
      </c>
      <c r="D34" s="87"/>
      <c r="F34" s="130">
        <v>3041.7</v>
      </c>
      <c r="G34" s="235"/>
      <c r="H34" s="131">
        <f>SUM(H25:H31)</f>
        <v>4288.6000000000004</v>
      </c>
      <c r="I34" s="131">
        <f>SUM(I25:I31)</f>
        <v>4165.2000000000007</v>
      </c>
      <c r="J34" s="1604">
        <f>IF(H34=0,0,I34/H34)</f>
        <v>0.97122604113230437</v>
      </c>
      <c r="L34" s="131">
        <f>SUM(L25:L31)</f>
        <v>5075.7999999999993</v>
      </c>
      <c r="M34" s="4643">
        <f>SUM(M25:M31)</f>
        <v>4970.1000000000004</v>
      </c>
      <c r="O34" s="796">
        <f>SUM(O25:O33)</f>
        <v>5159600</v>
      </c>
      <c r="P34" s="797">
        <f>SUM(P25:P33)</f>
        <v>5077600</v>
      </c>
      <c r="R34" s="798">
        <f>IF(O34=0,0,P34/O34)</f>
        <v>0.98410729513915807</v>
      </c>
      <c r="S34" s="847"/>
      <c r="T34" s="791">
        <f>SUM(T25:T33)</f>
        <v>5371758.6107909996</v>
      </c>
      <c r="U34" s="469"/>
      <c r="V34" s="2974">
        <f>SUM(V25:V33)</f>
        <v>5251627.177938899</v>
      </c>
      <c r="W34" s="782"/>
      <c r="Y34" s="5112">
        <f>SUM(Y25:Y33)</f>
        <v>5633400</v>
      </c>
      <c r="Z34" s="5113">
        <f>SUM(Z25:Z33)</f>
        <v>5484000</v>
      </c>
      <c r="AB34" s="6500">
        <f>IF(Y34=0,0,Z34/Y34)</f>
        <v>0.97347960379167109</v>
      </c>
      <c r="AC34" s="847"/>
      <c r="AD34" s="5110">
        <f>SUM(AD25:AD33)</f>
        <v>5960086.9918860001</v>
      </c>
      <c r="AE34" s="469"/>
      <c r="AF34" s="6493">
        <f>SUM(AF25:AF33)</f>
        <v>5696645.689576217</v>
      </c>
      <c r="AG34" s="782"/>
      <c r="AI34" s="24"/>
      <c r="AJ34" s="5112">
        <v>5960086.9918860001</v>
      </c>
      <c r="AK34" s="5891">
        <f>SUM(AK25:AK33)</f>
        <v>6706001.0389999999</v>
      </c>
      <c r="AM34" s="6500">
        <f>IF(AJ34=0,0,AK34/AJ34)</f>
        <v>1.1251515369036524</v>
      </c>
      <c r="AN34" s="847"/>
      <c r="AO34" s="5093">
        <f>SUM(AO25:AO33)-700</f>
        <v>6756257.6163320001</v>
      </c>
      <c r="AP34" s="469" t="s">
        <v>1442</v>
      </c>
      <c r="AQ34" s="6493">
        <f>SUM(AQ25:AQ33)</f>
        <v>6881286.1859408226</v>
      </c>
      <c r="AR34" s="24"/>
      <c r="AT34" s="5112">
        <f>SUM(AT25:AT33)</f>
        <v>6756345.6374500003</v>
      </c>
      <c r="AU34" s="6414">
        <f>SUM(AU25:AU33)</f>
        <v>6627715.7437730003</v>
      </c>
      <c r="AW34" s="6404">
        <f t="shared" si="3"/>
        <v>0.98096161733289478</v>
      </c>
      <c r="AX34" s="847"/>
      <c r="AY34" s="6415">
        <f>AY33+AY32+AY27+AY26+AY25</f>
        <v>6590116.5999999996</v>
      </c>
      <c r="AZ34" s="469"/>
      <c r="BA34" s="6416">
        <f>BA33+BA32+BA27+BA26+BA25</f>
        <v>6286100</v>
      </c>
      <c r="BB34" s="6404">
        <f t="shared" si="4"/>
        <v>0.9538677965121285</v>
      </c>
      <c r="BC34" s="24"/>
      <c r="BD34" s="847"/>
      <c r="BE34" s="7980">
        <f>SUM(BE25:BE33)</f>
        <v>7876000</v>
      </c>
      <c r="BF34" s="6537"/>
      <c r="BG34" s="7981">
        <f>SUM(BG25:BG33)</f>
        <v>7420400</v>
      </c>
      <c r="BH34" s="6404">
        <f t="shared" ref="BH34" si="6">IF(BE34=0,0,BG34/BE34)</f>
        <v>0.94215337734890803</v>
      </c>
    </row>
    <row r="35" spans="1:61" x14ac:dyDescent="0.35">
      <c r="A35" s="9168"/>
      <c r="B35" s="139" t="s">
        <v>904</v>
      </c>
      <c r="C35" s="6556"/>
      <c r="D35" s="140"/>
      <c r="E35" s="141"/>
      <c r="F35" s="1578"/>
      <c r="G35" s="1579"/>
      <c r="H35" s="1580"/>
      <c r="I35" s="150"/>
      <c r="J35" s="6557"/>
      <c r="K35" s="141"/>
      <c r="L35" s="147"/>
      <c r="M35" s="148"/>
      <c r="N35" s="141"/>
      <c r="O35" s="1582"/>
      <c r="P35" s="1583"/>
      <c r="Q35" s="1583"/>
      <c r="R35" s="805"/>
      <c r="S35" s="938"/>
      <c r="T35" s="1582"/>
      <c r="U35" s="6418"/>
      <c r="V35" s="1583"/>
      <c r="W35" s="805"/>
      <c r="X35" s="141"/>
      <c r="Y35" s="1582"/>
      <c r="Z35" s="1583"/>
      <c r="AA35" s="1583"/>
      <c r="AB35" s="6417"/>
      <c r="AC35" s="938"/>
      <c r="AD35" s="1582"/>
      <c r="AE35" s="6418"/>
      <c r="AF35" s="1583"/>
      <c r="AG35" s="805"/>
      <c r="AH35" s="141"/>
      <c r="AI35" s="18"/>
      <c r="AJ35" s="1582"/>
      <c r="AK35" s="5103" t="s">
        <v>1418</v>
      </c>
      <c r="AL35" s="1583"/>
      <c r="AM35" s="6417"/>
      <c r="AN35" s="938"/>
      <c r="AO35" s="1582"/>
      <c r="AP35" s="6418"/>
      <c r="AQ35" s="1583"/>
      <c r="AR35" s="18"/>
      <c r="AS35" s="141"/>
      <c r="AT35" s="1582"/>
      <c r="AU35" s="5103"/>
      <c r="AV35" s="1583"/>
      <c r="AW35" s="6417"/>
      <c r="AX35" s="938"/>
      <c r="AY35" s="1582"/>
      <c r="AZ35" s="6418"/>
      <c r="BA35" s="1583"/>
      <c r="BB35" s="6417"/>
      <c r="BC35" s="18"/>
      <c r="BD35" s="938"/>
      <c r="BE35" s="1582"/>
      <c r="BF35" s="6418"/>
      <c r="BG35" s="1583"/>
      <c r="BH35" s="6417"/>
    </row>
    <row r="36" spans="1:61" x14ac:dyDescent="0.35">
      <c r="A36" s="9168"/>
      <c r="B36" s="6082"/>
      <c r="C36" s="1893" t="s">
        <v>905</v>
      </c>
      <c r="D36" s="60"/>
      <c r="F36" s="155">
        <v>719.74300000000005</v>
      </c>
      <c r="G36" s="235"/>
      <c r="H36" s="117">
        <v>1175.7</v>
      </c>
      <c r="I36" s="115">
        <v>1183.3</v>
      </c>
      <c r="J36" s="1602">
        <f>IF(H36=0,0,I36/H36)</f>
        <v>1.0064642340733179</v>
      </c>
      <c r="L36" s="156">
        <v>1328.4</v>
      </c>
      <c r="M36" s="611">
        <v>1331.6</v>
      </c>
      <c r="O36" s="5114">
        <v>1328400</v>
      </c>
      <c r="P36" s="5115">
        <v>1331600</v>
      </c>
      <c r="Q36" s="892" t="s">
        <v>1416</v>
      </c>
      <c r="R36" s="782">
        <f>IF(O36=0,0,P36/O36)</f>
        <v>1.0024089129780187</v>
      </c>
      <c r="S36" s="938"/>
      <c r="T36" s="5114">
        <v>1428900.3949539999</v>
      </c>
      <c r="U36" s="892" t="s">
        <v>1416</v>
      </c>
      <c r="V36" s="2974">
        <f>T36*R36</f>
        <v>1432342.4916597006</v>
      </c>
      <c r="W36" s="782"/>
      <c r="Y36" s="5116">
        <v>1434000</v>
      </c>
      <c r="Z36" s="5117">
        <v>1400400</v>
      </c>
      <c r="AA36" s="892"/>
      <c r="AB36" s="6456">
        <f>IF(Y36=0,0,Z36/Y36)</f>
        <v>0.97656903765690373</v>
      </c>
      <c r="AC36" s="938"/>
      <c r="AD36" s="5116">
        <v>1508130.604424</v>
      </c>
      <c r="AE36" s="892"/>
      <c r="AF36" s="6493">
        <f>AD36*AB36</f>
        <v>1472793.6530232702</v>
      </c>
      <c r="AG36" s="782"/>
      <c r="AI36" s="26"/>
      <c r="AJ36" s="5118">
        <v>1508130.604424</v>
      </c>
      <c r="AK36" s="5892">
        <f>1512338.441</f>
        <v>1512338.4410000001</v>
      </c>
      <c r="AL36" s="892"/>
      <c r="AM36" s="6456">
        <f>IF(AJ36=0,0,AK36/AJ36)</f>
        <v>1.0027901009127835</v>
      </c>
      <c r="AN36" s="938"/>
      <c r="AO36" s="5119">
        <f>1635.4*1000</f>
        <v>1635400</v>
      </c>
      <c r="AP36" s="892"/>
      <c r="AQ36" s="6493">
        <f>AO36*AM36</f>
        <v>1639962.9310327661</v>
      </c>
      <c r="AR36" s="26"/>
      <c r="AT36" s="5116">
        <v>1635400</v>
      </c>
      <c r="AU36" s="6419">
        <v>1621800</v>
      </c>
      <c r="AV36" s="892" t="s">
        <v>1393</v>
      </c>
      <c r="AW36" s="6380">
        <f>IF(AT36=0,0,AU36/AT36)</f>
        <v>0.99168399168399168</v>
      </c>
      <c r="AX36" s="938"/>
      <c r="AY36" s="5138">
        <v>1720800</v>
      </c>
      <c r="AZ36" s="892" t="s">
        <v>1393</v>
      </c>
      <c r="BA36" s="6420">
        <v>1703000</v>
      </c>
      <c r="BB36" s="6404">
        <f>IF(AY36=0,0,BA36/AY36)</f>
        <v>0.98965597396559735</v>
      </c>
      <c r="BC36" s="26"/>
      <c r="BD36" s="938"/>
      <c r="BE36" s="5114">
        <f>1770.1*1000</f>
        <v>1770100</v>
      </c>
      <c r="BF36" s="2975"/>
      <c r="BG36" s="7982">
        <f>1828.1*1000</f>
        <v>1828100</v>
      </c>
      <c r="BH36" s="6404">
        <f>IF(BE36=0,0,BG36/BE36)</f>
        <v>1.0327665103666459</v>
      </c>
    </row>
    <row r="37" spans="1:61" x14ac:dyDescent="0.35">
      <c r="A37" s="9168"/>
      <c r="B37" s="6082"/>
      <c r="C37" s="1893" t="s">
        <v>907</v>
      </c>
      <c r="D37" s="60"/>
      <c r="F37" s="155"/>
      <c r="G37" s="235"/>
      <c r="H37" s="117"/>
      <c r="I37" s="115"/>
      <c r="J37" s="1602">
        <f>IF(H37=0,0,I37/H37)</f>
        <v>0</v>
      </c>
      <c r="L37" s="156"/>
      <c r="M37" s="611"/>
      <c r="O37" s="5114"/>
      <c r="P37" s="5120"/>
      <c r="Q37" s="456"/>
      <c r="R37" s="782">
        <f>IF(O37=0,0,P37/O37)</f>
        <v>0</v>
      </c>
      <c r="S37" s="938"/>
      <c r="T37" s="5114"/>
      <c r="V37" s="6558"/>
      <c r="W37" s="782"/>
      <c r="Y37" s="5114"/>
      <c r="Z37" s="5120"/>
      <c r="AA37" s="456"/>
      <c r="AB37" s="6456">
        <f>IF(Y37=0,0,Z37/Y37)</f>
        <v>0</v>
      </c>
      <c r="AC37" s="938"/>
      <c r="AD37" s="5114"/>
      <c r="AF37" s="6558"/>
      <c r="AG37" s="782"/>
      <c r="AI37" s="26"/>
      <c r="AJ37" s="5114"/>
      <c r="AK37" s="5120"/>
      <c r="AL37" s="456"/>
      <c r="AM37" s="6456">
        <f>IF(AJ37=0,0,AK37/AJ37)</f>
        <v>0</v>
      </c>
      <c r="AN37" s="938"/>
      <c r="AO37" s="5114"/>
      <c r="AQ37" s="6558"/>
      <c r="AR37" s="26"/>
      <c r="AT37" s="6421"/>
      <c r="AU37" s="6422"/>
      <c r="AV37" s="6413"/>
      <c r="AW37" s="6393">
        <f>IF(AT37=0,0,AU37/AT37)</f>
        <v>0</v>
      </c>
      <c r="AX37" s="6423"/>
      <c r="AY37" s="6421"/>
      <c r="AZ37" s="6413"/>
      <c r="BA37" s="6424"/>
      <c r="BB37" s="6404">
        <f t="shared" ref="BB37:BB39" si="7">IF(AY37=0,0,BA37/AY37)</f>
        <v>0</v>
      </c>
      <c r="BC37" s="26"/>
      <c r="BD37" s="6423"/>
      <c r="BE37" s="6421"/>
      <c r="BF37" s="6413"/>
      <c r="BG37" s="6424"/>
      <c r="BH37" s="6404">
        <f t="shared" ref="BH37:BH39" si="8">IF(BE37=0,0,BG37/BE37)</f>
        <v>0</v>
      </c>
    </row>
    <row r="38" spans="1:61" x14ac:dyDescent="0.35">
      <c r="A38" s="9168"/>
      <c r="B38" s="6082"/>
      <c r="C38" s="1893" t="s">
        <v>908</v>
      </c>
      <c r="D38" s="60"/>
      <c r="F38" s="155"/>
      <c r="G38" s="235"/>
      <c r="H38" s="117"/>
      <c r="I38" s="115"/>
      <c r="J38" s="1602">
        <f>IF(H38=0,0,I38/H38)</f>
        <v>0</v>
      </c>
      <c r="L38" s="156"/>
      <c r="M38" s="611"/>
      <c r="O38" s="5114"/>
      <c r="P38" s="5120"/>
      <c r="Q38" s="456"/>
      <c r="R38" s="782">
        <f>IF(O38=0,0,P38/O38)</f>
        <v>0</v>
      </c>
      <c r="S38" s="938"/>
      <c r="T38" s="5114"/>
      <c r="V38" s="1440"/>
      <c r="W38" s="782"/>
      <c r="Y38" s="5114"/>
      <c r="Z38" s="5120"/>
      <c r="AA38" s="456"/>
      <c r="AB38" s="6456">
        <f>IF(Y38=0,0,Z38/Y38)</f>
        <v>0</v>
      </c>
      <c r="AC38" s="938"/>
      <c r="AD38" s="5114"/>
      <c r="AF38" s="6559"/>
      <c r="AG38" s="782"/>
      <c r="AI38" s="26"/>
      <c r="AJ38" s="5114"/>
      <c r="AK38" s="5120"/>
      <c r="AL38" s="456"/>
      <c r="AM38" s="6456">
        <f>IF(AJ38=0,0,AK38/AJ38)</f>
        <v>0</v>
      </c>
      <c r="AN38" s="938"/>
      <c r="AO38" s="5114"/>
      <c r="AQ38" s="6559"/>
      <c r="AR38" s="26"/>
      <c r="AT38" s="6421"/>
      <c r="AU38" s="6422"/>
      <c r="AV38" s="6413"/>
      <c r="AW38" s="6393">
        <f>IF(AT38=0,0,AU38/AT38)</f>
        <v>0</v>
      </c>
      <c r="AX38" s="6423"/>
      <c r="AY38" s="6421"/>
      <c r="AZ38" s="6413"/>
      <c r="BA38" s="6425"/>
      <c r="BB38" s="6404">
        <f t="shared" si="7"/>
        <v>0</v>
      </c>
      <c r="BC38" s="26"/>
      <c r="BD38" s="6423"/>
      <c r="BE38" s="6421"/>
      <c r="BF38" s="6413"/>
      <c r="BG38" s="6425"/>
      <c r="BH38" s="6404">
        <f t="shared" si="8"/>
        <v>0</v>
      </c>
    </row>
    <row r="39" spans="1:61" x14ac:dyDescent="0.35">
      <c r="A39" s="9168"/>
      <c r="B39" s="6082"/>
      <c r="C39" s="6560" t="s">
        <v>910</v>
      </c>
      <c r="D39" s="162"/>
      <c r="F39" s="163"/>
      <c r="G39" s="235"/>
      <c r="H39" s="164"/>
      <c r="I39" s="165"/>
      <c r="J39" s="1602">
        <f>IF(H39=0,0,I39/H39)</f>
        <v>0</v>
      </c>
      <c r="L39" s="166"/>
      <c r="M39" s="611"/>
      <c r="O39" s="5121"/>
      <c r="P39" s="5122"/>
      <c r="Q39" s="456"/>
      <c r="R39" s="782">
        <f>IF(O39=0,0,P39/O39)</f>
        <v>0</v>
      </c>
      <c r="S39" s="938"/>
      <c r="T39" s="5121"/>
      <c r="V39" s="1440"/>
      <c r="W39" s="782"/>
      <c r="Y39" s="5121"/>
      <c r="Z39" s="5122"/>
      <c r="AA39" s="456"/>
      <c r="AB39" s="6456">
        <f>IF(Y39=0,0,Z39/Y39)</f>
        <v>0</v>
      </c>
      <c r="AC39" s="938"/>
      <c r="AD39" s="5121"/>
      <c r="AF39" s="1440"/>
      <c r="AG39" s="782"/>
      <c r="AI39" s="26"/>
      <c r="AJ39" s="5121"/>
      <c r="AK39" s="5122"/>
      <c r="AL39" s="456"/>
      <c r="AM39" s="6456">
        <f>IF(AJ39=0,0,AK39/AJ39)</f>
        <v>0</v>
      </c>
      <c r="AN39" s="938"/>
      <c r="AO39" s="5121"/>
      <c r="AQ39" s="1440"/>
      <c r="AR39" s="26"/>
      <c r="AT39" s="6426"/>
      <c r="AU39" s="6427"/>
      <c r="AV39" s="6413"/>
      <c r="AW39" s="6393">
        <f>IF(AT39=0,0,AU39/AT39)</f>
        <v>0</v>
      </c>
      <c r="AX39" s="6423"/>
      <c r="AY39" s="6426"/>
      <c r="AZ39" s="6413"/>
      <c r="BA39" s="6428"/>
      <c r="BB39" s="6404">
        <f t="shared" si="7"/>
        <v>0</v>
      </c>
      <c r="BC39" s="26"/>
      <c r="BD39" s="6423"/>
      <c r="BE39" s="6426"/>
      <c r="BF39" s="6413"/>
      <c r="BG39" s="6428"/>
      <c r="BH39" s="6404">
        <f t="shared" si="8"/>
        <v>0</v>
      </c>
    </row>
    <row r="40" spans="1:61" x14ac:dyDescent="0.35">
      <c r="A40" s="9168"/>
      <c r="B40" s="128"/>
      <c r="C40" s="1896" t="s">
        <v>914</v>
      </c>
      <c r="D40" s="87"/>
      <c r="F40" s="491">
        <f>IF(F37=0,0,(F38-F39)/F37)</f>
        <v>0</v>
      </c>
      <c r="G40" s="170"/>
      <c r="H40" s="6561">
        <f>IF(H37=0,0,(H38-H39)/H37)</f>
        <v>0</v>
      </c>
      <c r="I40" s="6562">
        <f>IF(I37=0,0,(I38-I39)/I37)</f>
        <v>0</v>
      </c>
      <c r="J40" s="6563"/>
      <c r="K40" s="823"/>
      <c r="L40" s="6564">
        <f>IF(L37=0,0,L38/L37)</f>
        <v>0</v>
      </c>
      <c r="M40" s="6128">
        <f>IF(M37=0,0,M38/M37)</f>
        <v>0</v>
      </c>
      <c r="N40" s="176"/>
      <c r="O40" s="824">
        <f>IF(O37=0,0,(O38-O39)/O37)</f>
        <v>0</v>
      </c>
      <c r="P40" s="825">
        <f>IF(P37=0,0,(P38-P39)/P37)</f>
        <v>0</v>
      </c>
      <c r="Q40" s="1598"/>
      <c r="R40" s="826"/>
      <c r="S40" s="1597"/>
      <c r="T40" s="824">
        <f>IF(T37=0,0,(T38-T39)/T37)</f>
        <v>0</v>
      </c>
      <c r="U40" s="1598"/>
      <c r="V40" s="825">
        <f>IF(V37=0,0,(V38-V39)/V37)</f>
        <v>0</v>
      </c>
      <c r="W40" s="826"/>
      <c r="X40" s="176"/>
      <c r="Y40" s="824">
        <f>IF(Y37=0,0,(Y38-Y39)/Y37)</f>
        <v>0</v>
      </c>
      <c r="Z40" s="825">
        <f>IF(Z37=0,0,(Z38-Z39)/Z37)</f>
        <v>0</v>
      </c>
      <c r="AA40" s="1598"/>
      <c r="AB40" s="6431"/>
      <c r="AC40" s="1597"/>
      <c r="AD40" s="824">
        <f>IF(AD37=0,0,(AD38-AD39)/AD37)</f>
        <v>0</v>
      </c>
      <c r="AE40" s="1598"/>
      <c r="AF40" s="825">
        <f>IF(AF37=0,0,(AF38-AF39)/AF37)</f>
        <v>0</v>
      </c>
      <c r="AG40" s="826"/>
      <c r="AH40" s="176"/>
      <c r="AI40" s="24"/>
      <c r="AJ40" s="824">
        <f>IF(AJ37=0,0,(AJ38-AJ39)/AJ37)</f>
        <v>0</v>
      </c>
      <c r="AK40" s="825">
        <f>IF(AK37=0,0,(AK38-AK39)/AK37)</f>
        <v>0</v>
      </c>
      <c r="AL40" s="1598"/>
      <c r="AM40" s="6431"/>
      <c r="AN40" s="1597"/>
      <c r="AO40" s="824">
        <f>IF(AO37=0,0,(AO38-AO39)/AO37)</f>
        <v>0</v>
      </c>
      <c r="AP40" s="1598"/>
      <c r="AQ40" s="825">
        <f>IF(AQ37=0,0,(AQ38-AQ39)/AQ37)</f>
        <v>0</v>
      </c>
      <c r="AR40" s="24"/>
      <c r="AS40" s="176"/>
      <c r="AT40" s="6162">
        <f>IF(AT37=0,0,(AT38-AT39)/AT37)</f>
        <v>0</v>
      </c>
      <c r="AU40" s="6163">
        <f>IF(AU37=0,0,(AU38-AU39)/AU37)</f>
        <v>0</v>
      </c>
      <c r="AV40" s="6429"/>
      <c r="AW40" s="6430"/>
      <c r="AX40" s="6333"/>
      <c r="AY40" s="6162">
        <f>IF(AY37=0,0,(AY38-AY39)/AY37)</f>
        <v>0</v>
      </c>
      <c r="AZ40" s="6429"/>
      <c r="BA40" s="6163">
        <f>IF(BA37=0,0,(BA38-BA39)/BA37)</f>
        <v>0</v>
      </c>
      <c r="BB40" s="6431"/>
      <c r="BC40" s="24"/>
      <c r="BD40" s="6333"/>
      <c r="BE40" s="6162">
        <f>IF(BE37=0,0,(BE38-BE39)/BE37)</f>
        <v>0</v>
      </c>
      <c r="BF40" s="6429"/>
      <c r="BG40" s="6163">
        <f>IF(BG37=0,0,(BG38-BG39)/BG37)</f>
        <v>0</v>
      </c>
      <c r="BH40" s="6431"/>
    </row>
    <row r="41" spans="1:61" x14ac:dyDescent="0.35">
      <c r="A41" s="9168"/>
      <c r="B41" s="1600" t="s">
        <v>915</v>
      </c>
      <c r="C41" s="6556"/>
      <c r="D41" s="140"/>
      <c r="F41" s="185">
        <f>14.457+21.376</f>
        <v>35.832999999999998</v>
      </c>
      <c r="H41" s="186"/>
      <c r="I41" s="187"/>
      <c r="J41" s="6565">
        <f>IF(H41=0,0,I41/H41)</f>
        <v>0</v>
      </c>
      <c r="L41" s="186"/>
      <c r="M41" s="6566"/>
      <c r="O41" s="773"/>
      <c r="P41" s="774"/>
      <c r="Q41" s="774"/>
      <c r="R41" s="776"/>
      <c r="T41" s="773"/>
      <c r="U41" s="774"/>
      <c r="V41" s="774"/>
      <c r="W41" s="776"/>
      <c r="Y41" s="773"/>
      <c r="Z41" s="774"/>
      <c r="AA41" s="774"/>
      <c r="AB41" s="6436"/>
      <c r="AD41" s="773"/>
      <c r="AE41" s="774"/>
      <c r="AF41" s="774"/>
      <c r="AG41" s="776"/>
      <c r="AI41" s="195"/>
      <c r="AJ41" s="773"/>
      <c r="AK41" s="774"/>
      <c r="AL41" s="774"/>
      <c r="AM41" s="6436"/>
      <c r="AO41" s="773"/>
      <c r="AP41" s="774"/>
      <c r="AQ41" s="774"/>
      <c r="AR41" s="195"/>
      <c r="AT41" s="6432"/>
      <c r="AU41" s="6433"/>
      <c r="AV41" s="6433"/>
      <c r="AW41" s="6434"/>
      <c r="AX41" s="6435"/>
      <c r="AY41" s="6432"/>
      <c r="AZ41" s="6433"/>
      <c r="BA41" s="6433"/>
      <c r="BB41" s="6436"/>
      <c r="BC41" s="195"/>
      <c r="BD41" s="6435"/>
      <c r="BE41" s="6432"/>
      <c r="BF41" s="6433"/>
      <c r="BG41" s="6433"/>
      <c r="BH41" s="6436"/>
    </row>
    <row r="42" spans="1:61" x14ac:dyDescent="0.35">
      <c r="A42" s="9168"/>
      <c r="B42" s="1601"/>
      <c r="C42" s="1893" t="s">
        <v>1336</v>
      </c>
      <c r="D42" s="60"/>
      <c r="F42" s="122"/>
      <c r="H42" s="198"/>
      <c r="I42" s="199"/>
      <c r="J42" s="1602"/>
      <c r="L42" s="198"/>
      <c r="M42" s="611"/>
      <c r="O42" s="866"/>
      <c r="P42" s="847"/>
      <c r="Q42" s="847"/>
      <c r="R42" s="890"/>
      <c r="T42" s="866"/>
      <c r="U42" s="847"/>
      <c r="V42" s="847"/>
      <c r="W42" s="890"/>
      <c r="Y42" s="866"/>
      <c r="Z42" s="847"/>
      <c r="AA42" s="847"/>
      <c r="AB42" s="4717"/>
      <c r="AD42" s="866"/>
      <c r="AE42" s="847"/>
      <c r="AF42" s="847"/>
      <c r="AG42" s="890"/>
      <c r="AI42" s="206"/>
      <c r="AJ42" s="866"/>
      <c r="AK42" s="847"/>
      <c r="AL42" s="847"/>
      <c r="AM42" s="4717"/>
      <c r="AO42" s="866"/>
      <c r="AP42" s="847"/>
      <c r="AQ42" s="847"/>
      <c r="AR42" s="206"/>
      <c r="AT42" s="6437"/>
      <c r="AU42" s="1608"/>
      <c r="AV42" s="1608"/>
      <c r="AW42" s="6438"/>
      <c r="AX42" s="6435"/>
      <c r="AY42" s="6437"/>
      <c r="AZ42" s="1608"/>
      <c r="BA42" s="1608"/>
      <c r="BB42" s="4717"/>
      <c r="BC42" s="206"/>
      <c r="BD42" s="6435"/>
      <c r="BE42" s="6437"/>
      <c r="BF42" s="1608"/>
      <c r="BG42" s="1608"/>
      <c r="BH42" s="4717"/>
    </row>
    <row r="43" spans="1:61" x14ac:dyDescent="0.35">
      <c r="A43" s="9169"/>
      <c r="B43" s="1603"/>
      <c r="C43" s="1896" t="s">
        <v>933</v>
      </c>
      <c r="D43" s="87"/>
      <c r="F43" s="210"/>
      <c r="H43" s="211"/>
      <c r="I43" s="212"/>
      <c r="J43" s="1604"/>
      <c r="L43" s="211"/>
      <c r="M43" s="1345"/>
      <c r="O43" s="1607"/>
      <c r="P43" s="1605"/>
      <c r="Q43" s="1605"/>
      <c r="R43" s="1576"/>
      <c r="T43" s="1607"/>
      <c r="U43" s="1605"/>
      <c r="V43" s="1605"/>
      <c r="W43" s="1576"/>
      <c r="Y43" s="1607"/>
      <c r="Z43" s="1605"/>
      <c r="AA43" s="1605"/>
      <c r="AB43" s="6442"/>
      <c r="AD43" s="1607"/>
      <c r="AE43" s="1605"/>
      <c r="AF43" s="1605"/>
      <c r="AG43" s="1576"/>
      <c r="AI43" s="219"/>
      <c r="AJ43" s="1607"/>
      <c r="AK43" s="1605"/>
      <c r="AL43" s="1605"/>
      <c r="AM43" s="6442"/>
      <c r="AO43" s="1607"/>
      <c r="AP43" s="1605"/>
      <c r="AQ43" s="1605"/>
      <c r="AR43" s="219"/>
      <c r="AT43" s="6439"/>
      <c r="AU43" s="6440"/>
      <c r="AV43" s="6440"/>
      <c r="AW43" s="6441"/>
      <c r="AX43" s="6435"/>
      <c r="AY43" s="6439"/>
      <c r="AZ43" s="6440"/>
      <c r="BA43" s="6440"/>
      <c r="BB43" s="6442"/>
      <c r="BC43" s="219"/>
      <c r="BD43" s="6435"/>
      <c r="BE43" s="6439"/>
      <c r="BF43" s="6440"/>
      <c r="BG43" s="6440"/>
      <c r="BH43" s="6442"/>
    </row>
    <row r="44" spans="1:61" x14ac:dyDescent="0.35">
      <c r="A44" s="220"/>
      <c r="B44" s="220"/>
      <c r="C44" s="3818"/>
      <c r="F44" s="106"/>
      <c r="H44" s="106"/>
      <c r="I44" s="106"/>
      <c r="J44" s="5995"/>
      <c r="L44" s="106"/>
      <c r="O44" s="847"/>
      <c r="P44" s="847"/>
      <c r="Q44" s="847"/>
      <c r="R44" s="847"/>
      <c r="T44" s="847"/>
      <c r="U44" s="847"/>
      <c r="V44" s="847"/>
      <c r="W44" s="847"/>
      <c r="Y44" s="847"/>
      <c r="Z44" s="847"/>
      <c r="AA44" s="847"/>
      <c r="AB44" s="6567"/>
      <c r="AD44" s="847"/>
      <c r="AE44" s="847"/>
      <c r="AF44" s="847"/>
      <c r="AG44" s="847"/>
      <c r="AJ44" s="847"/>
      <c r="AK44" s="847"/>
      <c r="AL44" s="847"/>
      <c r="AM44" s="6567"/>
      <c r="AO44" s="847"/>
      <c r="AP44" s="847"/>
      <c r="AQ44" s="847"/>
      <c r="AT44" s="1608"/>
      <c r="AU44" s="1608"/>
      <c r="AV44" s="1608"/>
      <c r="AW44" s="6443"/>
      <c r="AX44" s="6435"/>
      <c r="AY44" s="1608"/>
      <c r="AZ44" s="1608"/>
      <c r="BA44" s="1608"/>
      <c r="BB44" s="6443"/>
      <c r="BC44" s="6444"/>
      <c r="BD44" s="6435"/>
      <c r="BE44" s="1608"/>
      <c r="BF44" s="1608"/>
      <c r="BG44" s="1608"/>
      <c r="BH44" s="6443"/>
    </row>
    <row r="45" spans="1:61" ht="27.75" customHeight="1" x14ac:dyDescent="0.35">
      <c r="A45" s="9167" t="s">
        <v>916</v>
      </c>
      <c r="B45" s="27"/>
      <c r="C45" s="28" t="s">
        <v>427</v>
      </c>
      <c r="D45" s="42" t="s">
        <v>428</v>
      </c>
      <c r="E45" s="30"/>
      <c r="F45" s="31"/>
      <c r="G45" s="510"/>
      <c r="H45" s="31" t="s">
        <v>1443</v>
      </c>
      <c r="I45" s="31" t="s">
        <v>1443</v>
      </c>
      <c r="J45" s="6568"/>
      <c r="K45" s="223"/>
      <c r="L45" s="9155" t="s">
        <v>1443</v>
      </c>
      <c r="M45" s="9156"/>
      <c r="N45" s="30"/>
      <c r="O45" s="31" t="s">
        <v>1444</v>
      </c>
      <c r="P45" s="4872" t="s">
        <v>1445</v>
      </c>
      <c r="Q45" s="31" t="s">
        <v>1446</v>
      </c>
      <c r="R45" s="1610"/>
      <c r="T45" s="31"/>
      <c r="U45" s="31" t="s">
        <v>1446</v>
      </c>
      <c r="V45" s="31"/>
      <c r="W45" s="1610"/>
      <c r="X45" s="30"/>
      <c r="Y45" s="31" t="s">
        <v>1447</v>
      </c>
      <c r="Z45" s="4872" t="s">
        <v>1447</v>
      </c>
      <c r="AA45" s="31"/>
      <c r="AB45" s="6569"/>
      <c r="AD45" s="31" t="s">
        <v>1447</v>
      </c>
      <c r="AE45" s="31"/>
      <c r="AF45" s="31"/>
      <c r="AG45" s="1610"/>
      <c r="AH45" s="30"/>
      <c r="AI45" s="39"/>
      <c r="AJ45" s="31" t="s">
        <v>1447</v>
      </c>
      <c r="AK45" s="4872" t="s">
        <v>1447</v>
      </c>
      <c r="AL45" s="31"/>
      <c r="AM45" s="6569"/>
      <c r="AO45" s="31" t="s">
        <v>1448</v>
      </c>
      <c r="AP45" s="31"/>
      <c r="AQ45" s="6526" t="s">
        <v>1180</v>
      </c>
      <c r="AR45" s="39"/>
      <c r="AS45" s="30"/>
      <c r="AT45" s="5688" t="s">
        <v>1449</v>
      </c>
      <c r="AU45" s="5688" t="s">
        <v>1450</v>
      </c>
      <c r="AV45" s="6445"/>
      <c r="AW45" s="6446"/>
      <c r="AX45" s="6435"/>
      <c r="AY45" s="5688" t="s">
        <v>1451</v>
      </c>
      <c r="AZ45" s="5688"/>
      <c r="BA45" s="5688" t="s">
        <v>1452</v>
      </c>
      <c r="BB45" s="6446"/>
      <c r="BC45" s="6447"/>
      <c r="BD45" s="6435"/>
      <c r="BE45" s="5688" t="s">
        <v>1453</v>
      </c>
      <c r="BF45" s="5688"/>
      <c r="BG45" s="5688"/>
      <c r="BH45" s="6446"/>
    </row>
    <row r="46" spans="1:61" x14ac:dyDescent="0.35">
      <c r="A46" s="9168"/>
      <c r="B46" s="141" t="s">
        <v>925</v>
      </c>
      <c r="C46"/>
      <c r="D46" s="140"/>
      <c r="E46" s="143"/>
      <c r="F46" s="227"/>
      <c r="G46" s="143"/>
      <c r="H46" s="102"/>
      <c r="I46" s="103"/>
      <c r="J46" s="6570"/>
      <c r="K46" s="143"/>
      <c r="L46" s="102"/>
      <c r="M46" s="229"/>
      <c r="N46" s="143"/>
      <c r="O46" s="773"/>
      <c r="P46" s="774"/>
      <c r="Q46" s="774"/>
      <c r="R46" s="776"/>
      <c r="T46" s="773"/>
      <c r="U46" s="774"/>
      <c r="V46" s="774"/>
      <c r="W46" s="776"/>
      <c r="X46" s="143"/>
      <c r="Y46" s="773"/>
      <c r="Z46" s="774"/>
      <c r="AA46" s="774"/>
      <c r="AB46" s="6436"/>
      <c r="AD46" s="773"/>
      <c r="AE46" s="774"/>
      <c r="AF46" s="774"/>
      <c r="AG46" s="776"/>
      <c r="AH46" s="143"/>
      <c r="AI46" s="18"/>
      <c r="AJ46" s="773"/>
      <c r="AK46" s="774"/>
      <c r="AL46" s="774"/>
      <c r="AM46" s="6436"/>
      <c r="AO46" s="773"/>
      <c r="AP46" s="774"/>
      <c r="AQ46" s="774"/>
      <c r="AR46" s="18"/>
      <c r="AS46" s="143"/>
      <c r="AT46" s="773"/>
      <c r="AU46" s="6433"/>
      <c r="AV46" s="774"/>
      <c r="AW46" s="6436"/>
      <c r="AY46" s="773"/>
      <c r="AZ46" s="6433"/>
      <c r="BA46" s="6433"/>
      <c r="BB46" s="6434"/>
      <c r="BC46" s="6448"/>
      <c r="BE46" s="773"/>
      <c r="BF46" s="6433"/>
      <c r="BG46" s="6433"/>
      <c r="BH46" s="6434"/>
    </row>
    <row r="47" spans="1:61" x14ac:dyDescent="0.35">
      <c r="A47" s="9168"/>
      <c r="B47" s="232"/>
      <c r="C47" s="6524" t="s">
        <v>1454</v>
      </c>
      <c r="D47" s="60"/>
      <c r="F47" s="111">
        <v>334.68799999999999</v>
      </c>
      <c r="H47" s="112">
        <v>557.64837794100004</v>
      </c>
      <c r="I47" s="113">
        <v>558.51932855400003</v>
      </c>
      <c r="J47" s="1602">
        <f>IF(H47=0,0,I47/H47)</f>
        <v>1.0015618275735254</v>
      </c>
      <c r="L47" s="112">
        <v>661.28312391400004</v>
      </c>
      <c r="M47" s="611">
        <v>676.23315649400001</v>
      </c>
      <c r="O47" s="5123"/>
      <c r="P47" s="6571"/>
      <c r="Q47" s="6572"/>
      <c r="R47" s="890"/>
      <c r="T47" s="1632"/>
      <c r="U47" s="6572"/>
      <c r="V47" s="847"/>
      <c r="W47" s="782"/>
      <c r="Y47" s="5123"/>
      <c r="Z47" s="6571"/>
      <c r="AA47" s="6572"/>
      <c r="AB47" s="4717"/>
      <c r="AD47" s="5124"/>
      <c r="AE47" s="6572"/>
      <c r="AF47" s="847"/>
      <c r="AG47" s="782"/>
      <c r="AI47" s="26" t="s">
        <v>1455</v>
      </c>
      <c r="AJ47" s="5124"/>
      <c r="AK47" s="6571"/>
      <c r="AM47" s="4717"/>
      <c r="AO47" s="5124"/>
      <c r="AP47" s="6572"/>
      <c r="AQ47" s="847"/>
      <c r="AR47" s="26"/>
      <c r="AT47" s="5124"/>
      <c r="AU47" s="6449"/>
      <c r="AV47" s="459"/>
      <c r="AW47" s="4717"/>
      <c r="AY47" s="5124"/>
      <c r="AZ47" s="6450"/>
      <c r="BA47" s="1608"/>
      <c r="BB47" s="6438"/>
      <c r="BC47" s="6219"/>
      <c r="BE47" s="5124"/>
      <c r="BF47" s="6450"/>
      <c r="BG47" s="1608"/>
      <c r="BH47" s="6438"/>
    </row>
    <row r="48" spans="1:61" x14ac:dyDescent="0.35">
      <c r="A48" s="9168"/>
      <c r="B48" s="232"/>
      <c r="C48" s="6524" t="s">
        <v>1336</v>
      </c>
      <c r="D48" s="60"/>
      <c r="F48" s="111"/>
      <c r="H48" s="112"/>
      <c r="I48" s="113"/>
      <c r="J48" s="1602"/>
      <c r="L48" s="112"/>
      <c r="M48" s="611"/>
      <c r="O48" s="4752">
        <v>620624.87332400004</v>
      </c>
      <c r="P48" s="5125">
        <f>675970-P49</f>
        <v>645310</v>
      </c>
      <c r="Q48" s="469" t="s">
        <v>1456</v>
      </c>
      <c r="R48" s="782">
        <f>IF(O48=0,0,P48/O48)</f>
        <v>1.0397746331754141</v>
      </c>
      <c r="S48" s="938"/>
      <c r="T48" s="780">
        <f>885752-T49</f>
        <v>735612</v>
      </c>
      <c r="U48" s="469" t="s">
        <v>1456</v>
      </c>
      <c r="V48" s="2974">
        <f>T48*R48</f>
        <v>764870.69745943265</v>
      </c>
      <c r="W48" s="782"/>
      <c r="Y48" s="5126">
        <f>T48</f>
        <v>735612</v>
      </c>
      <c r="Z48" s="5127">
        <f>855959.8-Z49</f>
        <v>732095.60000000009</v>
      </c>
      <c r="AA48" s="469"/>
      <c r="AB48" s="6456">
        <f>IF(Y48=0,0,Z48/Y48)</f>
        <v>0.99521976259223621</v>
      </c>
      <c r="AC48" s="938"/>
      <c r="AD48" s="5104">
        <f>813471.1-AD49</f>
        <v>769714.5</v>
      </c>
      <c r="AE48" s="469"/>
      <c r="AF48" s="6493">
        <f>AD48*AB48</f>
        <v>766035.0819538018</v>
      </c>
      <c r="AG48" s="782"/>
      <c r="AI48" s="26"/>
      <c r="AJ48" s="5128">
        <v>769714.5</v>
      </c>
      <c r="AK48" s="5893"/>
      <c r="AL48" s="6572"/>
      <c r="AM48" s="6456">
        <f>AK52/(AJ48+AJ55)</f>
        <v>0.96566191855379746</v>
      </c>
      <c r="AN48" s="938"/>
      <c r="AO48" s="5108">
        <f>860190.432932</f>
        <v>860190.43293200003</v>
      </c>
      <c r="AP48" s="6573"/>
      <c r="AQ48" s="6573">
        <f t="shared" ref="AQ48:AQ56" si="9">AO48*AM48</f>
        <v>830653.14378673676</v>
      </c>
      <c r="AR48" s="26"/>
      <c r="AT48" s="5128">
        <v>910618.99034699996</v>
      </c>
      <c r="AU48" s="6451">
        <f>1194451.418844-AU49-AU55-AU56</f>
        <v>893126.30978800007</v>
      </c>
      <c r="AV48" s="459"/>
      <c r="AW48" s="6380">
        <f>AU48/AT48</f>
        <v>0.98079034069744786</v>
      </c>
      <c r="AX48" s="938"/>
      <c r="AY48" s="5128">
        <v>939703.05224899994</v>
      </c>
      <c r="AZ48" s="6452" t="s">
        <v>1457</v>
      </c>
      <c r="BA48" s="6453">
        <f>1262806.970427-BA49-BA55-BA56</f>
        <v>969892.53369500011</v>
      </c>
      <c r="BB48" s="6454">
        <f>BA48/AY48</f>
        <v>1.0321266184820272</v>
      </c>
      <c r="BC48" s="6219" t="s">
        <v>1458</v>
      </c>
      <c r="BD48" s="938"/>
      <c r="BE48" s="5128">
        <f>955931.905483-BE49</f>
        <v>914593.82943099993</v>
      </c>
      <c r="BF48" s="6452" t="s">
        <v>1459</v>
      </c>
      <c r="BG48" s="6453">
        <f>BE48*BH48</f>
        <v>920272.82255750487</v>
      </c>
      <c r="BH48" s="6454">
        <f>(1358280094288-250822178977)/(1342712135525-242088330420)</f>
        <v>1.006209306190091</v>
      </c>
      <c r="BI48" s="972" t="s">
        <v>1460</v>
      </c>
    </row>
    <row r="49" spans="1:63" ht="16.5" customHeight="1" x14ac:dyDescent="0.35">
      <c r="A49" s="9168"/>
      <c r="B49" s="232"/>
      <c r="C49" s="6524" t="s">
        <v>933</v>
      </c>
      <c r="D49" s="60"/>
      <c r="F49" s="111"/>
      <c r="H49" s="112"/>
      <c r="I49" s="113"/>
      <c r="J49" s="1602"/>
      <c r="L49" s="112"/>
      <c r="M49" s="611"/>
      <c r="O49" s="4752">
        <v>30821.156180000002</v>
      </c>
      <c r="P49" s="5125">
        <v>30660</v>
      </c>
      <c r="Q49" s="469"/>
      <c r="R49" s="782">
        <f>IF(O49=0,0,P49/O49)</f>
        <v>0.99477124806549022</v>
      </c>
      <c r="S49" s="938"/>
      <c r="T49" s="780">
        <v>150140</v>
      </c>
      <c r="U49" s="6574"/>
      <c r="V49" s="6575">
        <f>P49</f>
        <v>30660</v>
      </c>
      <c r="W49" s="782"/>
      <c r="Y49" s="5126">
        <f>T49</f>
        <v>150140</v>
      </c>
      <c r="Z49" s="5127">
        <v>123864.2</v>
      </c>
      <c r="AA49" s="6576"/>
      <c r="AB49" s="6456">
        <f>IF(Y49=0,0,Z49/Y49)</f>
        <v>0.82499134141467956</v>
      </c>
      <c r="AC49" s="938"/>
      <c r="AD49" s="5104">
        <v>43756.6</v>
      </c>
      <c r="AE49" s="6574"/>
      <c r="AF49" s="6473">
        <f>AD49*AB49</f>
        <v>36098.816129745566</v>
      </c>
      <c r="AG49" s="782"/>
      <c r="AI49" s="26"/>
      <c r="AJ49" s="5128">
        <v>43756.6</v>
      </c>
      <c r="AK49" s="5894">
        <f>7465.127+20700.974</f>
        <v>28166.100999999999</v>
      </c>
      <c r="AL49" s="469" t="s">
        <v>1461</v>
      </c>
      <c r="AM49" s="6456">
        <f>IF(AJ49=0,0,AK49/AJ49)</f>
        <v>0.64369948762015328</v>
      </c>
      <c r="AN49" s="938"/>
      <c r="AO49" s="5119">
        <v>67427.813433000003</v>
      </c>
      <c r="AP49" s="6577"/>
      <c r="AQ49" s="6573">
        <f t="shared" si="9"/>
        <v>43403.248958169388</v>
      </c>
      <c r="AR49" s="26"/>
      <c r="AT49" s="5128">
        <v>89371.518540000005</v>
      </c>
      <c r="AU49" s="6451">
        <v>69978.485587999996</v>
      </c>
      <c r="AV49" s="459"/>
      <c r="AW49" s="6380">
        <f>AU49/AT49</f>
        <v>0.78300656328984419</v>
      </c>
      <c r="AX49" s="938"/>
      <c r="AY49" s="5128">
        <v>84653.699750999993</v>
      </c>
      <c r="AZ49" s="6452" t="s">
        <v>1462</v>
      </c>
      <c r="BA49" s="6453">
        <v>45807.355723000001</v>
      </c>
      <c r="BB49" s="6454">
        <f t="shared" ref="BB49" si="10">BA49/AY49</f>
        <v>0.54111463359235978</v>
      </c>
      <c r="BC49" s="6219"/>
      <c r="BD49" s="938"/>
      <c r="BE49" s="5128">
        <v>41338.076051999997</v>
      </c>
      <c r="BF49" s="6452" t="s">
        <v>1459</v>
      </c>
      <c r="BG49" s="6453">
        <f t="shared" ref="BG49:BG50" si="11">BE49*BH49</f>
        <v>37369.620751007998</v>
      </c>
      <c r="BH49" s="6454">
        <v>0.90400000000000003</v>
      </c>
      <c r="BI49" s="972" t="s">
        <v>1463</v>
      </c>
    </row>
    <row r="50" spans="1:63" ht="16.5" customHeight="1" x14ac:dyDescent="0.35">
      <c r="A50" s="9168"/>
      <c r="B50" s="232"/>
      <c r="C50" s="6524" t="s">
        <v>1464</v>
      </c>
      <c r="D50" s="60"/>
      <c r="F50" s="111"/>
      <c r="H50" s="112"/>
      <c r="I50" s="113"/>
      <c r="J50" s="1602"/>
      <c r="L50" s="112"/>
      <c r="M50" s="611"/>
      <c r="O50" s="4752"/>
      <c r="P50" s="5125"/>
      <c r="Q50" s="469"/>
      <c r="R50" s="782"/>
      <c r="S50" s="938"/>
      <c r="T50" s="780"/>
      <c r="U50" s="6574"/>
      <c r="V50" s="6575"/>
      <c r="W50" s="782"/>
      <c r="Y50" s="5126"/>
      <c r="Z50" s="5127"/>
      <c r="AA50" s="6576"/>
      <c r="AB50" s="6456"/>
      <c r="AC50" s="938"/>
      <c r="AD50" s="5104"/>
      <c r="AE50" s="6574"/>
      <c r="AF50" s="6473"/>
      <c r="AG50" s="782"/>
      <c r="AI50" s="26"/>
      <c r="AJ50" s="5128"/>
      <c r="AK50" s="5894"/>
      <c r="AL50" s="469"/>
      <c r="AM50" s="6456"/>
      <c r="AN50" s="938"/>
      <c r="AO50" s="5119"/>
      <c r="AP50" s="6577"/>
      <c r="AQ50" s="6573"/>
      <c r="AR50" s="26"/>
      <c r="AT50" s="5128">
        <v>20511.851962000001</v>
      </c>
      <c r="AU50" s="6451">
        <f t="shared" ref="AU50" si="12">AT50*AW50</f>
        <v>19646.247059234673</v>
      </c>
      <c r="AV50" s="459"/>
      <c r="AW50" s="6393">
        <f>AW30</f>
        <v>0.95779976842808068</v>
      </c>
      <c r="AX50" s="938"/>
      <c r="AY50" s="5128">
        <v>24574.863516000001</v>
      </c>
      <c r="AZ50" s="6455"/>
      <c r="BA50" s="6453">
        <f>AY50*BB50</f>
        <v>23537.798584776487</v>
      </c>
      <c r="BB50" s="6454">
        <f>BB30</f>
        <v>0.95779976842808057</v>
      </c>
      <c r="BC50" s="6219" t="s">
        <v>1465</v>
      </c>
      <c r="BD50" s="938"/>
      <c r="BE50" s="5128">
        <v>28000</v>
      </c>
      <c r="BF50" s="6455" t="s">
        <v>1466</v>
      </c>
      <c r="BG50" s="6453">
        <f t="shared" si="11"/>
        <v>28000</v>
      </c>
      <c r="BH50" s="6454">
        <v>1</v>
      </c>
      <c r="BI50" s="972" t="s">
        <v>1467</v>
      </c>
    </row>
    <row r="51" spans="1:63" x14ac:dyDescent="0.35">
      <c r="A51" s="9168"/>
      <c r="B51" s="232"/>
      <c r="C51" s="6524" t="s">
        <v>1468</v>
      </c>
      <c r="D51" s="60"/>
      <c r="F51" s="155">
        <v>37.432000000000002</v>
      </c>
      <c r="H51" s="117">
        <v>50.652282456999998</v>
      </c>
      <c r="I51" s="115">
        <v>47.511331843000001</v>
      </c>
      <c r="J51" s="1602">
        <f>IF(H51=0,0,I51/H51)</f>
        <v>0.93798994908735989</v>
      </c>
      <c r="L51" s="117">
        <v>56.677946163000001</v>
      </c>
      <c r="M51" s="611">
        <v>52.509405561000001</v>
      </c>
      <c r="O51" s="5114"/>
      <c r="P51" s="5120"/>
      <c r="Q51" s="469"/>
      <c r="R51" s="782"/>
      <c r="S51" s="938"/>
      <c r="T51" s="785"/>
      <c r="U51" s="469"/>
      <c r="W51" s="782"/>
      <c r="Y51" s="5114"/>
      <c r="Z51" s="5120"/>
      <c r="AA51" s="469"/>
      <c r="AB51" s="6456"/>
      <c r="AC51" s="938"/>
      <c r="AD51" s="785"/>
      <c r="AE51" s="469"/>
      <c r="AF51" s="457"/>
      <c r="AG51" s="782"/>
      <c r="AI51" s="26"/>
      <c r="AJ51" s="5128"/>
      <c r="AK51" s="5895" t="s">
        <v>1469</v>
      </c>
      <c r="AL51" s="469"/>
      <c r="AM51" s="6456"/>
      <c r="AN51" s="938"/>
      <c r="AO51" s="785"/>
      <c r="AP51" s="6578"/>
      <c r="AQ51" s="6573"/>
      <c r="AR51" s="26"/>
      <c r="AT51" s="5128"/>
      <c r="AU51" s="6422"/>
      <c r="AV51" s="459"/>
      <c r="AW51" s="6456"/>
      <c r="AX51" s="938"/>
      <c r="AY51" s="785"/>
      <c r="AZ51" s="6457"/>
      <c r="BA51" s="6458"/>
      <c r="BB51" s="6454"/>
      <c r="BC51" s="6219"/>
      <c r="BD51" s="938"/>
      <c r="BE51" s="5138"/>
      <c r="BF51" s="6457"/>
      <c r="BG51" s="6458"/>
      <c r="BH51" s="6454"/>
    </row>
    <row r="52" spans="1:63" x14ac:dyDescent="0.35">
      <c r="A52" s="9168"/>
      <c r="B52" s="232"/>
      <c r="C52" s="6524" t="s">
        <v>1336</v>
      </c>
      <c r="D52" s="60"/>
      <c r="F52" s="163"/>
      <c r="H52" s="117"/>
      <c r="I52" s="115"/>
      <c r="J52" s="1602"/>
      <c r="L52" s="242"/>
      <c r="M52" s="611"/>
      <c r="O52" s="5129">
        <f>35013.058+3238.65+94.846+484.434+249.717+25.336+1491.007+521.126+35.201+1847.011+1700.958+10.2+107.959</f>
        <v>44819.50299999999</v>
      </c>
      <c r="P52" s="5130">
        <f>24388-P53</f>
        <v>23873</v>
      </c>
      <c r="Q52" s="469" t="s">
        <v>1470</v>
      </c>
      <c r="R52" s="782">
        <f>IF(O52=0,0,P52/O52)</f>
        <v>0.5326475842447429</v>
      </c>
      <c r="S52" s="938"/>
      <c r="T52" s="791">
        <f>92510-T53</f>
        <v>65734</v>
      </c>
      <c r="U52" s="469" t="s">
        <v>1470</v>
      </c>
      <c r="V52" s="2974">
        <f>T52*R52</f>
        <v>35013.056302743928</v>
      </c>
      <c r="W52" s="782"/>
      <c r="Y52" s="5131">
        <f>T52</f>
        <v>65734</v>
      </c>
      <c r="Z52" s="5132">
        <v>0</v>
      </c>
      <c r="AA52" s="469" t="s">
        <v>1471</v>
      </c>
      <c r="AB52" s="6456">
        <f>IF(Y52=0,0,Z52/Y52)</f>
        <v>0</v>
      </c>
      <c r="AC52" s="938"/>
      <c r="AD52" s="5132">
        <v>0</v>
      </c>
      <c r="AE52" s="469" t="s">
        <v>1471</v>
      </c>
      <c r="AF52" s="6493">
        <f>AD52*AB52</f>
        <v>0</v>
      </c>
      <c r="AG52" s="782"/>
      <c r="AI52" s="26"/>
      <c r="AJ52" s="5128">
        <v>0</v>
      </c>
      <c r="AK52" s="5894">
        <f>AJ86+278937.58</f>
        <v>908049.08000000007</v>
      </c>
      <c r="AL52" s="469"/>
      <c r="AM52" s="6456">
        <f>IF(AJ52=0,0,AK52/AJ52)</f>
        <v>0</v>
      </c>
      <c r="AN52" s="938"/>
      <c r="AO52" s="785"/>
      <c r="AP52" s="6578"/>
      <c r="AQ52" s="6573"/>
      <c r="AR52" s="26"/>
      <c r="AT52" s="5128"/>
      <c r="AU52" s="6459"/>
      <c r="AV52" s="459"/>
      <c r="AW52" s="6404">
        <f>IF(AT52=0,0,AU52/AT52)</f>
        <v>0</v>
      </c>
      <c r="AX52" s="938"/>
      <c r="AY52" s="785"/>
      <c r="AZ52" s="6457"/>
      <c r="BA52" s="6458"/>
      <c r="BB52" s="6454"/>
      <c r="BC52" s="6219"/>
      <c r="BD52" s="938"/>
      <c r="BE52" s="5138">
        <f>114247.710534-BE53</f>
        <v>89887.677740999992</v>
      </c>
      <c r="BF52" s="6457" t="s">
        <v>1059</v>
      </c>
      <c r="BG52" s="6453">
        <f>BE52*BH52</f>
        <v>84145.249421994871</v>
      </c>
      <c r="BH52" s="6454">
        <f>447890/478455.911177</f>
        <v>0.93611551145473793</v>
      </c>
      <c r="BI52" s="972" t="s">
        <v>1460</v>
      </c>
    </row>
    <row r="53" spans="1:63" x14ac:dyDescent="0.35">
      <c r="A53" s="9168"/>
      <c r="B53" s="232"/>
      <c r="C53" s="6524" t="s">
        <v>933</v>
      </c>
      <c r="D53" s="60"/>
      <c r="F53" s="163"/>
      <c r="H53" s="117"/>
      <c r="I53" s="115"/>
      <c r="J53" s="1602"/>
      <c r="L53" s="242"/>
      <c r="M53" s="611"/>
      <c r="O53" s="5129">
        <f>350.973+2005.242+188.3+5428.399+67.057</f>
        <v>8039.9710000000005</v>
      </c>
      <c r="P53" s="5130">
        <v>515</v>
      </c>
      <c r="Q53" s="469" t="s">
        <v>1472</v>
      </c>
      <c r="R53" s="782">
        <f>IF(O53=0,0,P53/O53)</f>
        <v>6.4054957412159816E-2</v>
      </c>
      <c r="S53" s="938"/>
      <c r="T53" s="791">
        <v>26776</v>
      </c>
      <c r="U53" s="469" t="s">
        <v>1472</v>
      </c>
      <c r="V53" s="2974">
        <f>T53*R53</f>
        <v>1715.1355396679912</v>
      </c>
      <c r="W53" s="782"/>
      <c r="Y53" s="5131">
        <f>T53</f>
        <v>26776</v>
      </c>
      <c r="Z53" s="5132">
        <v>0</v>
      </c>
      <c r="AA53" s="469" t="s">
        <v>1471</v>
      </c>
      <c r="AB53" s="6456">
        <f>IF(Y53=0,0,Z53/Y53)</f>
        <v>0</v>
      </c>
      <c r="AC53" s="938"/>
      <c r="AD53" s="5110">
        <v>0</v>
      </c>
      <c r="AE53" s="469" t="s">
        <v>1471</v>
      </c>
      <c r="AF53" s="6493">
        <f>AD53*AB53</f>
        <v>0</v>
      </c>
      <c r="AG53" s="782"/>
      <c r="AI53" s="26"/>
      <c r="AJ53" s="5128">
        <v>0</v>
      </c>
      <c r="AK53" s="5894"/>
      <c r="AL53" s="469" t="s">
        <v>1473</v>
      </c>
      <c r="AM53" s="6456">
        <f>IF(AJ53=0,0,AK53/AJ53)</f>
        <v>0</v>
      </c>
      <c r="AN53" s="938"/>
      <c r="AO53" s="785">
        <v>0</v>
      </c>
      <c r="AP53" s="6579"/>
      <c r="AQ53" s="6573"/>
      <c r="AR53" s="26"/>
      <c r="AT53" s="5128"/>
      <c r="AU53" s="6459"/>
      <c r="AV53" s="459"/>
      <c r="AW53" s="6404">
        <f>IF(AT53=0,0,AU53/AT53)</f>
        <v>0</v>
      </c>
      <c r="AX53" s="938"/>
      <c r="AY53" s="785"/>
      <c r="AZ53" s="6457"/>
      <c r="BA53" s="6458"/>
      <c r="BB53" s="6454"/>
      <c r="BC53" s="6219"/>
      <c r="BD53" s="938"/>
      <c r="BE53" s="5138">
        <v>24360.032792999998</v>
      </c>
      <c r="BF53" s="6457" t="s">
        <v>1355</v>
      </c>
      <c r="BG53" s="6453">
        <f>BE53*BH53</f>
        <v>23117.671120556999</v>
      </c>
      <c r="BH53" s="6454">
        <v>0.94899999999999995</v>
      </c>
      <c r="BI53" s="972" t="s">
        <v>1463</v>
      </c>
    </row>
    <row r="54" spans="1:63" x14ac:dyDescent="0.35">
      <c r="A54" s="9168"/>
      <c r="B54" s="232"/>
      <c r="C54" s="6524" t="s">
        <v>937</v>
      </c>
      <c r="D54" s="60"/>
      <c r="F54" s="163">
        <v>117.67100000000001</v>
      </c>
      <c r="H54" s="117">
        <v>147.436991858</v>
      </c>
      <c r="I54" s="115">
        <v>142.84855878499999</v>
      </c>
      <c r="J54" s="1602">
        <f>IF(H54=0,0,I54/H54)</f>
        <v>0.96887868495432117</v>
      </c>
      <c r="L54" s="242">
        <v>161.82690776999999</v>
      </c>
      <c r="M54" s="611">
        <v>197.177236924</v>
      </c>
      <c r="O54" s="5133"/>
      <c r="P54" s="5130"/>
      <c r="Q54" s="469"/>
      <c r="R54" s="782"/>
      <c r="S54" s="938"/>
      <c r="T54" s="791"/>
      <c r="U54" s="469"/>
      <c r="W54" s="782"/>
      <c r="Y54" s="5133"/>
      <c r="Z54" s="5130"/>
      <c r="AA54" s="5134"/>
      <c r="AB54" s="6456"/>
      <c r="AC54" s="938"/>
      <c r="AD54" s="791"/>
      <c r="AE54" s="5134"/>
      <c r="AF54" s="457"/>
      <c r="AG54" s="782"/>
      <c r="AI54" s="26"/>
      <c r="AJ54" s="5128"/>
      <c r="AK54" s="5896"/>
      <c r="AL54" s="5134"/>
      <c r="AM54" s="6456"/>
      <c r="AN54" s="938"/>
      <c r="AO54" s="785"/>
      <c r="AP54" s="5135"/>
      <c r="AQ54" s="6573"/>
      <c r="AR54" s="26"/>
      <c r="AT54" s="5128"/>
      <c r="AU54" s="6460"/>
      <c r="AV54" s="6461"/>
      <c r="AW54" s="6404"/>
      <c r="AX54" s="938"/>
      <c r="AY54" s="785"/>
      <c r="AZ54" s="6457"/>
      <c r="BA54" s="6453"/>
      <c r="BB54" s="6454"/>
      <c r="BC54" s="6219"/>
      <c r="BD54" s="938"/>
      <c r="BE54" s="785"/>
      <c r="BF54" s="6457"/>
      <c r="BG54" s="6453"/>
      <c r="BH54" s="6454"/>
    </row>
    <row r="55" spans="1:63" x14ac:dyDescent="0.35">
      <c r="A55" s="9168"/>
      <c r="B55" s="232"/>
      <c r="C55" s="6524" t="s">
        <v>1336</v>
      </c>
      <c r="D55" s="60"/>
      <c r="F55" s="163"/>
      <c r="H55" s="242"/>
      <c r="I55" s="243"/>
      <c r="J55" s="1602"/>
      <c r="L55" s="242"/>
      <c r="M55" s="611"/>
      <c r="O55" s="5133">
        <v>130032.946965</v>
      </c>
      <c r="P55" s="5130">
        <f>162816-P56</f>
        <v>146958</v>
      </c>
      <c r="Q55" s="469" t="s">
        <v>1474</v>
      </c>
      <c r="R55" s="782">
        <f>IF(O55=0,0,P55/O55)</f>
        <v>1.1301597282076179</v>
      </c>
      <c r="S55" s="938"/>
      <c r="T55" s="791">
        <f>200607-T56</f>
        <v>148531</v>
      </c>
      <c r="U55" s="469" t="s">
        <v>1474</v>
      </c>
      <c r="V55" s="2974">
        <f>T55*R55</f>
        <v>167863.7545904057</v>
      </c>
      <c r="W55" s="782"/>
      <c r="Y55" s="5128">
        <f>T55</f>
        <v>148531</v>
      </c>
      <c r="Z55" s="5132">
        <f>200429-Z56</f>
        <v>148353</v>
      </c>
      <c r="AA55" s="469"/>
      <c r="AB55" s="6456">
        <f>IF(Y55=0,0,Z55/Y55)</f>
        <v>0.99880159697302251</v>
      </c>
      <c r="AC55" s="938"/>
      <c r="AD55" s="5110">
        <f>212315-AD56</f>
        <v>170624</v>
      </c>
      <c r="AE55" s="469"/>
      <c r="AF55" s="6493">
        <f>AD55*AB55</f>
        <v>170419.523681925</v>
      </c>
      <c r="AG55" s="782"/>
      <c r="AI55" s="26"/>
      <c r="AJ55" s="5128">
        <v>170624</v>
      </c>
      <c r="AK55" s="5894"/>
      <c r="AL55" s="469"/>
      <c r="AM55" s="6456">
        <f>AK52/(AJ48+AJ55)</f>
        <v>0.96566191855379746</v>
      </c>
      <c r="AN55" s="938"/>
      <c r="AO55" s="5119">
        <v>226196.54020600001</v>
      </c>
      <c r="AP55" s="6573"/>
      <c r="AQ55" s="6573">
        <f t="shared" si="9"/>
        <v>218429.38498555715</v>
      </c>
      <c r="AR55" s="26"/>
      <c r="AT55" s="5128">
        <v>188539.26377200001</v>
      </c>
      <c r="AU55" s="6459">
        <f>231346.623468-AU56</f>
        <v>199553.013171</v>
      </c>
      <c r="AV55" s="459"/>
      <c r="AW55" s="6404">
        <f t="shared" ref="AW55:AW56" si="13">IF(AT55=0,0,AU55/AT55)</f>
        <v>1.0584162109189039</v>
      </c>
      <c r="AX55" s="938"/>
      <c r="AY55" s="5138">
        <v>188481.23130499999</v>
      </c>
      <c r="AZ55" s="6457" t="s">
        <v>1475</v>
      </c>
      <c r="BA55" s="6453">
        <f>247107.081009-BA56</f>
        <v>212280.736408</v>
      </c>
      <c r="BB55" s="6454">
        <f>BA55/AY55</f>
        <v>1.1262698940272078</v>
      </c>
      <c r="BC55" s="6219" t="s">
        <v>1458</v>
      </c>
      <c r="BD55" s="938"/>
      <c r="BE55" s="5138">
        <f>259844.657558-BE56</f>
        <v>200464.83722799999</v>
      </c>
      <c r="BF55" s="6457"/>
      <c r="BG55" s="6453">
        <f>BE55*BH55</f>
        <v>207697.03023092373</v>
      </c>
      <c r="BH55" s="6454">
        <f>250822178977/242088330420</f>
        <v>1.0360771150837698</v>
      </c>
      <c r="BI55" s="972" t="s">
        <v>1476</v>
      </c>
    </row>
    <row r="56" spans="1:63" x14ac:dyDescent="0.35">
      <c r="A56" s="9168"/>
      <c r="B56" s="232"/>
      <c r="C56" s="6524" t="s">
        <v>933</v>
      </c>
      <c r="D56" s="60"/>
      <c r="F56" s="163"/>
      <c r="H56" s="242"/>
      <c r="I56" s="243"/>
      <c r="J56" s="1602">
        <f>IF(H56=0,0,I56/H56)</f>
        <v>0</v>
      </c>
      <c r="L56" s="242"/>
      <c r="M56" s="611"/>
      <c r="O56" s="5123">
        <v>54826.238438</v>
      </c>
      <c r="P56" s="6571">
        <v>15858</v>
      </c>
      <c r="Q56" s="469"/>
      <c r="R56" s="782">
        <f>IF(O56=0,0,P56/O56)</f>
        <v>0.28924107237327518</v>
      </c>
      <c r="S56" s="938"/>
      <c r="T56" s="1632">
        <v>52076</v>
      </c>
      <c r="U56" s="6574"/>
      <c r="V56" s="2974">
        <f>T56*R56</f>
        <v>15062.518084910678</v>
      </c>
      <c r="W56" s="782"/>
      <c r="Y56" s="5136">
        <f>T56</f>
        <v>52076</v>
      </c>
      <c r="Z56" s="6580">
        <v>52076</v>
      </c>
      <c r="AA56" s="6574"/>
      <c r="AB56" s="6456">
        <f>IF(Y56=0,0,Z56/Y56)</f>
        <v>1</v>
      </c>
      <c r="AC56" s="938"/>
      <c r="AD56" s="5110">
        <v>41691</v>
      </c>
      <c r="AE56" s="6574"/>
      <c r="AF56" s="6493">
        <f>AD56*AB56</f>
        <v>41691</v>
      </c>
      <c r="AG56" s="782"/>
      <c r="AI56" s="26"/>
      <c r="AJ56" s="5128">
        <v>41691</v>
      </c>
      <c r="AK56" s="5894">
        <f>3086.022+51546.514</f>
        <v>54632.536</v>
      </c>
      <c r="AL56" s="469" t="s">
        <v>1477</v>
      </c>
      <c r="AM56" s="6456">
        <f>IF(AJ56=0,0,AK56/AJ56)</f>
        <v>1.3104155813005205</v>
      </c>
      <c r="AN56" s="938"/>
      <c r="AO56" s="5093">
        <f>37657.276434</f>
        <v>37657.276433999999</v>
      </c>
      <c r="AP56" s="6581"/>
      <c r="AQ56" s="6573">
        <f t="shared" si="9"/>
        <v>49346.681788454502</v>
      </c>
      <c r="AR56" s="26"/>
      <c r="AT56" s="5128">
        <v>37657.276433999999</v>
      </c>
      <c r="AU56" s="6459">
        <v>31793.610296999999</v>
      </c>
      <c r="AV56" s="459"/>
      <c r="AW56" s="6404">
        <f t="shared" si="13"/>
        <v>0.84428862912385738</v>
      </c>
      <c r="AX56" s="938"/>
      <c r="AY56" s="5110">
        <v>61839.751485000001</v>
      </c>
      <c r="AZ56" s="6452" t="s">
        <v>1462</v>
      </c>
      <c r="BA56" s="6453">
        <v>34826.344600999997</v>
      </c>
      <c r="BB56" s="6454">
        <f>BA56/AY56</f>
        <v>0.56317083695667114</v>
      </c>
      <c r="BC56" s="6219"/>
      <c r="BD56" s="938"/>
      <c r="BE56" s="5110">
        <v>59379.820330000002</v>
      </c>
      <c r="BF56" s="6452"/>
      <c r="BG56" s="6453">
        <f>BE56*BH56</f>
        <v>48691.452670599996</v>
      </c>
      <c r="BH56" s="6454">
        <v>0.82</v>
      </c>
      <c r="BI56" s="972" t="s">
        <v>1463</v>
      </c>
    </row>
    <row r="57" spans="1:63" x14ac:dyDescent="0.35">
      <c r="A57" s="9168"/>
      <c r="B57" s="141" t="s">
        <v>940</v>
      </c>
      <c r="C57"/>
      <c r="D57" s="60"/>
      <c r="E57" s="143"/>
      <c r="F57" s="168"/>
      <c r="G57" s="143"/>
      <c r="H57" s="245"/>
      <c r="I57" s="106"/>
      <c r="J57" s="3601"/>
      <c r="K57" s="143"/>
      <c r="L57" s="245"/>
      <c r="M57" s="247"/>
      <c r="N57" s="143"/>
      <c r="O57" s="866"/>
      <c r="P57" s="847"/>
      <c r="Q57" s="469"/>
      <c r="R57" s="890"/>
      <c r="S57" s="892"/>
      <c r="T57" s="866"/>
      <c r="U57" s="469"/>
      <c r="W57" s="890"/>
      <c r="X57" s="143"/>
      <c r="Y57" s="866"/>
      <c r="Z57" s="847"/>
      <c r="AA57" s="469"/>
      <c r="AB57" s="4717"/>
      <c r="AC57" s="892"/>
      <c r="AD57" s="866"/>
      <c r="AE57" s="469"/>
      <c r="AF57" s="457"/>
      <c r="AG57" s="890"/>
      <c r="AH57" s="143"/>
      <c r="AI57" s="26"/>
      <c r="AJ57" s="866"/>
      <c r="AK57" s="847"/>
      <c r="AL57" s="469"/>
      <c r="AM57" s="4717"/>
      <c r="AN57" s="892"/>
      <c r="AO57" s="866"/>
      <c r="AP57" s="469"/>
      <c r="AQ57" s="457"/>
      <c r="AR57" s="26"/>
      <c r="AS57" s="143"/>
      <c r="AT57" s="866"/>
      <c r="AU57" s="1608"/>
      <c r="AV57" s="469"/>
      <c r="AW57" s="4717"/>
      <c r="AX57" s="892"/>
      <c r="AY57" s="866"/>
      <c r="AZ57" s="6452"/>
      <c r="BA57" s="6462"/>
      <c r="BB57" s="6454"/>
      <c r="BC57" s="6219"/>
      <c r="BD57" s="892"/>
      <c r="BE57" s="866"/>
      <c r="BF57" s="6452"/>
      <c r="BG57" s="6462"/>
      <c r="BH57" s="6454"/>
      <c r="BI57" s="514"/>
      <c r="BJ57" s="515"/>
      <c r="BK57" s="515"/>
    </row>
    <row r="58" spans="1:63" x14ac:dyDescent="0.35">
      <c r="A58" s="9168"/>
      <c r="B58" s="232"/>
      <c r="C58" s="232" t="s">
        <v>941</v>
      </c>
      <c r="D58" s="60"/>
      <c r="F58" s="111"/>
      <c r="H58" s="112"/>
      <c r="I58" s="113"/>
      <c r="J58" s="1602">
        <f>IF(H58=0,0,I58/H58)</f>
        <v>0</v>
      </c>
      <c r="L58" s="112"/>
      <c r="M58" s="611"/>
      <c r="O58" s="780"/>
      <c r="P58" s="781"/>
      <c r="Q58" s="469"/>
      <c r="R58" s="782">
        <f>IF(O58=0,0,P58/O58)</f>
        <v>0</v>
      </c>
      <c r="S58" s="938"/>
      <c r="T58" s="780"/>
      <c r="U58" s="469"/>
      <c r="W58" s="782"/>
      <c r="Y58" s="780"/>
      <c r="Z58" s="781"/>
      <c r="AA58" s="469"/>
      <c r="AB58" s="6456">
        <f>IF(Y58=0,0,Z58/Y58)</f>
        <v>0</v>
      </c>
      <c r="AC58" s="938"/>
      <c r="AD58" s="780"/>
      <c r="AE58" s="469"/>
      <c r="AG58" s="782"/>
      <c r="AI58" s="26"/>
      <c r="AJ58" s="780"/>
      <c r="AK58" s="781"/>
      <c r="AL58" s="469"/>
      <c r="AM58" s="6456">
        <f>IF(AJ58=0,0,AK58/AJ58)</f>
        <v>0</v>
      </c>
      <c r="AN58" s="938"/>
      <c r="AO58" s="780"/>
      <c r="AP58" s="469"/>
      <c r="AR58" s="26"/>
      <c r="AT58" s="780"/>
      <c r="AU58" s="781"/>
      <c r="AV58" s="469"/>
      <c r="AW58" s="6404">
        <f>IF(AT58=0,0,AU58/AT58)</f>
        <v>0</v>
      </c>
      <c r="AX58" s="938"/>
      <c r="AY58" s="780"/>
      <c r="AZ58" s="6452"/>
      <c r="BA58" s="6413"/>
      <c r="BB58" s="6454"/>
      <c r="BC58" s="6219"/>
      <c r="BD58" s="938"/>
      <c r="BE58" s="780"/>
      <c r="BF58" s="6452"/>
      <c r="BG58" s="6413"/>
      <c r="BH58" s="6454"/>
      <c r="BI58" s="514"/>
      <c r="BJ58" s="515"/>
      <c r="BK58" s="515"/>
    </row>
    <row r="59" spans="1:63" x14ac:dyDescent="0.35">
      <c r="A59" s="9168"/>
      <c r="B59" s="232"/>
      <c r="C59" s="232" t="s">
        <v>942</v>
      </c>
      <c r="D59" s="60"/>
      <c r="F59" s="155"/>
      <c r="H59" s="117"/>
      <c r="I59" s="115"/>
      <c r="J59" s="1602">
        <f>IF(H59=0,0,I59/H59)</f>
        <v>0</v>
      </c>
      <c r="L59" s="117"/>
      <c r="M59" s="611"/>
      <c r="O59" s="785"/>
      <c r="P59" s="786"/>
      <c r="Q59" s="469"/>
      <c r="R59" s="782">
        <f>IF(O59=0,0,P59/O59)</f>
        <v>0</v>
      </c>
      <c r="S59" s="938"/>
      <c r="T59" s="785"/>
      <c r="U59" s="469"/>
      <c r="W59" s="782"/>
      <c r="Y59" s="785"/>
      <c r="Z59" s="786"/>
      <c r="AA59" s="469"/>
      <c r="AB59" s="6456">
        <f>IF(Y59=0,0,Z59/Y59)</f>
        <v>0</v>
      </c>
      <c r="AC59" s="938"/>
      <c r="AD59" s="785"/>
      <c r="AE59" s="469"/>
      <c r="AG59" s="782"/>
      <c r="AI59" s="26"/>
      <c r="AJ59" s="785"/>
      <c r="AK59" s="786"/>
      <c r="AL59" s="469"/>
      <c r="AM59" s="6456">
        <f>IF(AJ59=0,0,AK59/AJ59)</f>
        <v>0</v>
      </c>
      <c r="AN59" s="938"/>
      <c r="AO59" s="785"/>
      <c r="AP59" s="469"/>
      <c r="AR59" s="26"/>
      <c r="AT59" s="785"/>
      <c r="AU59" s="786"/>
      <c r="AV59" s="469"/>
      <c r="AW59" s="6404">
        <f>IF(AT59=0,0,AU59/AT59)</f>
        <v>0</v>
      </c>
      <c r="AX59" s="938"/>
      <c r="AY59" s="785"/>
      <c r="AZ59" s="6452"/>
      <c r="BA59" s="6413"/>
      <c r="BB59" s="6454"/>
      <c r="BC59" s="6219"/>
      <c r="BD59" s="938"/>
      <c r="BE59" s="785"/>
      <c r="BF59" s="6452"/>
      <c r="BG59" s="6413"/>
      <c r="BH59" s="6454"/>
      <c r="BI59" s="514"/>
      <c r="BJ59" s="515"/>
      <c r="BK59" s="515"/>
    </row>
    <row r="60" spans="1:63" x14ac:dyDescent="0.35">
      <c r="A60" s="9168"/>
      <c r="B60" s="1662"/>
      <c r="C60" s="1662" t="s">
        <v>943</v>
      </c>
      <c r="D60" s="87"/>
      <c r="F60" s="130"/>
      <c r="H60" s="242"/>
      <c r="I60" s="243"/>
      <c r="J60" s="1602">
        <f>IF(H60=0,0,I60/H60)</f>
        <v>0</v>
      </c>
      <c r="L60" s="131"/>
      <c r="M60" s="1345"/>
      <c r="O60" s="791"/>
      <c r="P60" s="792"/>
      <c r="Q60" s="469"/>
      <c r="R60" s="782">
        <f>IF(O60=0,0,P60/O60)</f>
        <v>0</v>
      </c>
      <c r="S60" s="938"/>
      <c r="T60" s="791"/>
      <c r="U60" s="469"/>
      <c r="V60" s="712"/>
      <c r="W60" s="782"/>
      <c r="Y60" s="791"/>
      <c r="Z60" s="792"/>
      <c r="AA60" s="469"/>
      <c r="AB60" s="6456">
        <f>IF(Y60=0,0,Z60/Y60)</f>
        <v>0</v>
      </c>
      <c r="AC60" s="938"/>
      <c r="AD60" s="791"/>
      <c r="AE60" s="469"/>
      <c r="AF60" s="712"/>
      <c r="AG60" s="782"/>
      <c r="AI60" s="24"/>
      <c r="AJ60" s="791"/>
      <c r="AK60" s="792"/>
      <c r="AL60" s="469"/>
      <c r="AM60" s="6456">
        <f>IF(AJ60=0,0,AK60/AJ60)</f>
        <v>0</v>
      </c>
      <c r="AN60" s="938"/>
      <c r="AO60" s="791"/>
      <c r="AP60" s="469"/>
      <c r="AQ60" s="712"/>
      <c r="AR60" s="24"/>
      <c r="AT60" s="791"/>
      <c r="AU60" s="792"/>
      <c r="AV60" s="469"/>
      <c r="AW60" s="6404">
        <f>IF(AT60=0,0,AU60/AT60)</f>
        <v>0</v>
      </c>
      <c r="AX60" s="938"/>
      <c r="AY60" s="791"/>
      <c r="AZ60" s="6452"/>
      <c r="BA60" s="6463"/>
      <c r="BB60" s="6454"/>
      <c r="BC60" s="6464"/>
      <c r="BD60" s="938"/>
      <c r="BE60" s="791"/>
      <c r="BF60" s="6452"/>
      <c r="BG60" s="6463"/>
      <c r="BH60" s="6454"/>
      <c r="BI60" s="514"/>
      <c r="BJ60" s="515"/>
      <c r="BK60" s="515"/>
    </row>
    <row r="61" spans="1:63" ht="21" x14ac:dyDescent="0.35">
      <c r="A61" s="9168"/>
      <c r="B61" s="141" t="s">
        <v>944</v>
      </c>
      <c r="C61" s="141"/>
      <c r="D61" s="60"/>
      <c r="E61" s="143"/>
      <c r="F61" s="227"/>
      <c r="G61" s="143"/>
      <c r="H61" s="102"/>
      <c r="I61" s="103"/>
      <c r="J61" s="900"/>
      <c r="K61" s="143"/>
      <c r="L61" s="245"/>
      <c r="M61" s="247"/>
      <c r="N61" s="143"/>
      <c r="O61" s="773" t="s">
        <v>1478</v>
      </c>
      <c r="P61" s="774"/>
      <c r="Q61" s="774"/>
      <c r="R61" s="900"/>
      <c r="S61" s="892"/>
      <c r="T61" s="773"/>
      <c r="U61" s="774"/>
      <c r="V61" s="6418"/>
      <c r="W61" s="900"/>
      <c r="X61" s="143"/>
      <c r="Y61" s="773" t="s">
        <v>1479</v>
      </c>
      <c r="Z61" s="774" t="s">
        <v>1479</v>
      </c>
      <c r="AA61" s="774"/>
      <c r="AB61" s="6467"/>
      <c r="AC61" s="892"/>
      <c r="AD61" s="773" t="s">
        <v>1479</v>
      </c>
      <c r="AE61" s="774"/>
      <c r="AF61" s="6418"/>
      <c r="AG61" s="900"/>
      <c r="AH61" s="143"/>
      <c r="AI61" s="26"/>
      <c r="AJ61" s="773" t="s">
        <v>1479</v>
      </c>
      <c r="AK61" s="774" t="s">
        <v>1479</v>
      </c>
      <c r="AL61" s="774"/>
      <c r="AM61" s="6467"/>
      <c r="AN61" s="892"/>
      <c r="AO61" s="773" t="s">
        <v>1480</v>
      </c>
      <c r="AP61" s="774"/>
      <c r="AQ61" s="6582" t="s">
        <v>1481</v>
      </c>
      <c r="AR61" s="26"/>
      <c r="AS61" s="143"/>
      <c r="AT61" s="6465" t="s">
        <v>1451</v>
      </c>
      <c r="AU61" s="6466" t="s">
        <v>1482</v>
      </c>
      <c r="AV61" s="774"/>
      <c r="AW61" s="6467"/>
      <c r="AX61" s="892"/>
      <c r="AY61" s="6468" t="s">
        <v>1451</v>
      </c>
      <c r="AZ61" s="774"/>
      <c r="BA61" s="6466" t="s">
        <v>1482</v>
      </c>
      <c r="BB61" s="6469"/>
      <c r="BC61" s="26"/>
      <c r="BD61" s="892"/>
      <c r="BE61" s="6468"/>
      <c r="BF61" s="774"/>
      <c r="BG61" s="6466" t="s">
        <v>1482</v>
      </c>
      <c r="BH61" s="6469"/>
    </row>
    <row r="62" spans="1:63" x14ac:dyDescent="0.35">
      <c r="A62" s="9168"/>
      <c r="B62" s="141" t="s">
        <v>1363</v>
      </c>
      <c r="C62" s="141"/>
      <c r="D62" s="60"/>
      <c r="E62" s="143"/>
      <c r="F62" s="168"/>
      <c r="G62" s="143"/>
      <c r="H62" s="245"/>
      <c r="I62" s="106"/>
      <c r="J62" s="909"/>
      <c r="K62" s="143"/>
      <c r="L62" s="198"/>
      <c r="M62" s="247"/>
      <c r="N62" s="143"/>
      <c r="O62" s="1632"/>
      <c r="P62" s="3231"/>
      <c r="Q62" s="847"/>
      <c r="R62" s="909"/>
      <c r="S62" s="892"/>
      <c r="T62" s="1632"/>
      <c r="U62" s="847"/>
      <c r="W62" s="909"/>
      <c r="X62" s="143"/>
      <c r="Y62" s="1632"/>
      <c r="Z62" s="3231"/>
      <c r="AA62" s="847"/>
      <c r="AB62" s="6470"/>
      <c r="AC62" s="892"/>
      <c r="AD62" s="1632"/>
      <c r="AE62" s="847"/>
      <c r="AG62" s="909"/>
      <c r="AH62" s="143"/>
      <c r="AI62" s="26"/>
      <c r="AJ62" s="1632"/>
      <c r="AK62" s="3231"/>
      <c r="AL62" s="847"/>
      <c r="AM62" s="6470"/>
      <c r="AN62" s="892"/>
      <c r="AO62" s="1632"/>
      <c r="AP62" s="847"/>
      <c r="AR62" s="26"/>
      <c r="AS62" s="143"/>
      <c r="AT62" s="1632"/>
      <c r="AU62" s="3231"/>
      <c r="AV62" s="847"/>
      <c r="AW62" s="6470"/>
      <c r="AX62" s="892"/>
      <c r="AY62" s="1632"/>
      <c r="AZ62" s="847"/>
      <c r="BB62" s="6470"/>
      <c r="BC62" s="26"/>
      <c r="BD62" s="892"/>
      <c r="BE62" s="1632"/>
      <c r="BF62" s="847"/>
      <c r="BH62" s="6470"/>
    </row>
    <row r="63" spans="1:63" ht="16" customHeight="1" x14ac:dyDescent="0.35">
      <c r="A63" s="9168"/>
      <c r="B63" s="232"/>
      <c r="C63" s="232" t="s">
        <v>1483</v>
      </c>
      <c r="D63" s="60"/>
      <c r="F63" s="111"/>
      <c r="H63" s="112"/>
      <c r="I63" s="113"/>
      <c r="J63" s="1602">
        <f t="shared" ref="J63:J72" si="14">IF(H63=0,0,I63/H63)</f>
        <v>0</v>
      </c>
      <c r="L63" s="112"/>
      <c r="M63" s="157">
        <f t="shared" ref="M63:M72" si="15">L63*J63</f>
        <v>0</v>
      </c>
      <c r="O63" s="780">
        <v>3765.9789999999998</v>
      </c>
      <c r="P63" s="1648">
        <f t="shared" ref="P63:P72" si="16">O63</f>
        <v>3765.9789999999998</v>
      </c>
      <c r="Q63" s="469" t="s">
        <v>1484</v>
      </c>
      <c r="R63" s="782">
        <f t="shared" ref="R63:R72" si="17">IF(O63=0,0,P63/O63)</f>
        <v>1</v>
      </c>
      <c r="S63" s="938"/>
      <c r="T63" s="780">
        <f t="shared" ref="T63:T72" si="18">O63</f>
        <v>3765.9789999999998</v>
      </c>
      <c r="U63" s="469" t="s">
        <v>1484</v>
      </c>
      <c r="V63" s="2974">
        <f t="shared" ref="V63:V72" si="19">T63*R63</f>
        <v>3765.9789999999998</v>
      </c>
      <c r="W63" s="782"/>
      <c r="Y63" s="5104">
        <v>3978.5719020000001</v>
      </c>
      <c r="Z63" s="1648">
        <f t="shared" ref="Z63:Z72" si="20">Y63</f>
        <v>3978.5719020000001</v>
      </c>
      <c r="AA63" s="469"/>
      <c r="AB63" s="6456">
        <f t="shared" ref="AB63:AB72" si="21">IF(Y63=0,0,Z63/Y63)</f>
        <v>1</v>
      </c>
      <c r="AC63" s="938"/>
      <c r="AD63" s="5104">
        <v>3818.319454</v>
      </c>
      <c r="AE63" s="469"/>
      <c r="AF63" s="6493">
        <f t="shared" ref="AF63:AF79" si="22">AD63*AB63</f>
        <v>3818.319454</v>
      </c>
      <c r="AG63" s="782"/>
      <c r="AI63" s="257" t="s">
        <v>1485</v>
      </c>
      <c r="AJ63" s="5104">
        <v>3818.319454</v>
      </c>
      <c r="AK63" s="1648">
        <f t="shared" ref="AK63:AK72" si="23">AJ63</f>
        <v>3818.319454</v>
      </c>
      <c r="AL63" s="469"/>
      <c r="AM63" s="6456">
        <f t="shared" ref="AM63:AM72" si="24">IF(AJ63=0,0,AK63/AJ63)</f>
        <v>1</v>
      </c>
      <c r="AN63" s="938"/>
      <c r="AO63" s="5137">
        <v>3368.9915139999998</v>
      </c>
      <c r="AP63" s="469"/>
      <c r="AQ63" s="6530">
        <f>AO63</f>
        <v>3368.9915139999998</v>
      </c>
      <c r="AR63" s="2849" t="s">
        <v>1486</v>
      </c>
      <c r="AT63" s="5104">
        <f>AO63</f>
        <v>3368.9915139999998</v>
      </c>
      <c r="AU63" s="6471">
        <f>AW63*AT63</f>
        <v>3368.9915139999998</v>
      </c>
      <c r="AV63" s="6452" t="s">
        <v>1487</v>
      </c>
      <c r="AW63" s="6393">
        <v>1</v>
      </c>
      <c r="AX63" s="6423"/>
      <c r="AY63" s="6472">
        <v>3257</v>
      </c>
      <c r="AZ63" s="6452" t="s">
        <v>1487</v>
      </c>
      <c r="BA63" s="6473">
        <f>AY63*BB63</f>
        <v>3257</v>
      </c>
      <c r="BB63" s="6474">
        <v>1</v>
      </c>
      <c r="BC63" s="2849" t="s">
        <v>1488</v>
      </c>
      <c r="BD63" s="6423"/>
      <c r="BE63" s="6472">
        <f>7.5+725.989344+40.882351+4234.437904</f>
        <v>5008.8095990000002</v>
      </c>
      <c r="BF63" s="6452" t="s">
        <v>1489</v>
      </c>
      <c r="BG63" s="6473">
        <f>BE63</f>
        <v>5008.8095990000002</v>
      </c>
      <c r="BH63" s="6474">
        <f>BG63/BE63</f>
        <v>1</v>
      </c>
      <c r="BJ63" s="515"/>
      <c r="BK63" s="515"/>
    </row>
    <row r="64" spans="1:63" x14ac:dyDescent="0.35">
      <c r="A64" s="9168"/>
      <c r="B64" s="232"/>
      <c r="C64" s="232" t="s">
        <v>1490</v>
      </c>
      <c r="D64" s="60"/>
      <c r="F64" s="155"/>
      <c r="H64" s="117"/>
      <c r="I64" s="115"/>
      <c r="J64" s="1602">
        <f t="shared" si="14"/>
        <v>0</v>
      </c>
      <c r="L64" s="117"/>
      <c r="M64" s="157">
        <f t="shared" si="15"/>
        <v>0</v>
      </c>
      <c r="O64" s="785">
        <v>1243.8720000000001</v>
      </c>
      <c r="P64" s="1648">
        <f t="shared" si="16"/>
        <v>1243.8720000000001</v>
      </c>
      <c r="Q64" s="469" t="s">
        <v>1491</v>
      </c>
      <c r="R64" s="782">
        <f t="shared" si="17"/>
        <v>1</v>
      </c>
      <c r="S64" s="938"/>
      <c r="T64" s="780">
        <f t="shared" si="18"/>
        <v>1243.8720000000001</v>
      </c>
      <c r="U64" s="469" t="s">
        <v>1491</v>
      </c>
      <c r="V64" s="2974">
        <f t="shared" si="19"/>
        <v>1243.8720000000001</v>
      </c>
      <c r="W64" s="782"/>
      <c r="Y64" s="5138">
        <v>1449.4689699999999</v>
      </c>
      <c r="Z64" s="1648">
        <f t="shared" si="20"/>
        <v>1449.4689699999999</v>
      </c>
      <c r="AA64" s="469"/>
      <c r="AB64" s="6456">
        <f t="shared" si="21"/>
        <v>1</v>
      </c>
      <c r="AC64" s="938"/>
      <c r="AD64" s="5104">
        <v>1331.776046</v>
      </c>
      <c r="AE64" s="469"/>
      <c r="AF64" s="6493">
        <f t="shared" si="22"/>
        <v>1331.776046</v>
      </c>
      <c r="AG64" s="782"/>
      <c r="AI64" s="26" t="s">
        <v>1492</v>
      </c>
      <c r="AJ64" s="5138">
        <v>1331.776046</v>
      </c>
      <c r="AK64" s="1648">
        <f t="shared" si="23"/>
        <v>1331.776046</v>
      </c>
      <c r="AL64" s="469"/>
      <c r="AM64" s="6456">
        <f t="shared" si="24"/>
        <v>1</v>
      </c>
      <c r="AN64" s="938"/>
      <c r="AO64" s="5137">
        <v>1103.9304099999999</v>
      </c>
      <c r="AP64" s="469"/>
      <c r="AQ64" s="6530">
        <f t="shared" ref="AQ64:AQ72" si="25">AO64</f>
        <v>1103.9304099999999</v>
      </c>
      <c r="AR64" s="26" t="s">
        <v>1493</v>
      </c>
      <c r="AT64" s="5104">
        <f>AO64+1021.74454+340</f>
        <v>2465.6749500000001</v>
      </c>
      <c r="AU64" s="6471">
        <f t="shared" ref="AU64:AU72" si="26">AW64*AT64</f>
        <v>2465.6749500000001</v>
      </c>
      <c r="AV64" s="6452" t="s">
        <v>1494</v>
      </c>
      <c r="AW64" s="6393">
        <v>1</v>
      </c>
      <c r="AX64" s="6423"/>
      <c r="AY64" s="6472">
        <f>1223.272374+1532.61681+340</f>
        <v>3095.8891839999997</v>
      </c>
      <c r="AZ64" s="6452" t="s">
        <v>1494</v>
      </c>
      <c r="BA64" s="6473">
        <f t="shared" ref="BA64:BA72" si="27">AY64*BB64</f>
        <v>3095.8891839999997</v>
      </c>
      <c r="BB64" s="6474">
        <v>1</v>
      </c>
      <c r="BC64" s="26" t="s">
        <v>1495</v>
      </c>
      <c r="BD64" s="6423"/>
      <c r="BE64" s="6472">
        <f>643.726872+159.276679+1532.61681</f>
        <v>2335.6203610000002</v>
      </c>
      <c r="BF64" s="6452" t="s">
        <v>1496</v>
      </c>
      <c r="BG64" s="6473">
        <f t="shared" ref="BG64:BG73" si="28">BE64</f>
        <v>2335.6203610000002</v>
      </c>
      <c r="BH64" s="6474">
        <f t="shared" ref="BH64:BH73" si="29">BG64/BE64</f>
        <v>1</v>
      </c>
    </row>
    <row r="65" spans="1:60" x14ac:dyDescent="0.35">
      <c r="A65" s="9168"/>
      <c r="B65" s="232"/>
      <c r="C65" s="232" t="s">
        <v>1497</v>
      </c>
      <c r="D65" s="60"/>
      <c r="F65" s="155"/>
      <c r="H65" s="117"/>
      <c r="I65" s="115"/>
      <c r="J65" s="1602">
        <f t="shared" si="14"/>
        <v>0</v>
      </c>
      <c r="L65" s="117"/>
      <c r="M65" s="157">
        <f t="shared" si="15"/>
        <v>0</v>
      </c>
      <c r="O65" s="785">
        <v>740.19899999999996</v>
      </c>
      <c r="P65" s="1648">
        <f t="shared" si="16"/>
        <v>740.19899999999996</v>
      </c>
      <c r="Q65" s="469" t="s">
        <v>1498</v>
      </c>
      <c r="R65" s="782">
        <f t="shared" si="17"/>
        <v>1</v>
      </c>
      <c r="S65" s="938"/>
      <c r="T65" s="780">
        <f t="shared" si="18"/>
        <v>740.19899999999996</v>
      </c>
      <c r="U65" s="469" t="s">
        <v>1498</v>
      </c>
      <c r="V65" s="2974">
        <f t="shared" si="19"/>
        <v>740.19899999999996</v>
      </c>
      <c r="W65" s="782"/>
      <c r="Y65" s="5138">
        <v>1189.1978329999999</v>
      </c>
      <c r="Z65" s="1648">
        <f t="shared" si="20"/>
        <v>1189.1978329999999</v>
      </c>
      <c r="AA65" s="469"/>
      <c r="AB65" s="6456">
        <f t="shared" si="21"/>
        <v>1</v>
      </c>
      <c r="AC65" s="938"/>
      <c r="AD65" s="5104">
        <v>833.19258300000001</v>
      </c>
      <c r="AE65" s="469"/>
      <c r="AF65" s="6493">
        <f t="shared" si="22"/>
        <v>833.19258300000001</v>
      </c>
      <c r="AG65" s="782"/>
      <c r="AI65" s="26" t="s">
        <v>1499</v>
      </c>
      <c r="AJ65" s="5138">
        <v>833.19258300000001</v>
      </c>
      <c r="AK65" s="1648">
        <f t="shared" si="23"/>
        <v>833.19258300000001</v>
      </c>
      <c r="AL65" s="469"/>
      <c r="AM65" s="6456">
        <f t="shared" si="24"/>
        <v>1</v>
      </c>
      <c r="AN65" s="938"/>
      <c r="AO65" s="5137">
        <v>857.4</v>
      </c>
      <c r="AP65" s="469"/>
      <c r="AQ65" s="6530">
        <f t="shared" si="25"/>
        <v>857.4</v>
      </c>
      <c r="AR65" s="26" t="s">
        <v>1500</v>
      </c>
      <c r="AT65" s="5104">
        <v>1067.339821</v>
      </c>
      <c r="AU65" s="6471">
        <f t="shared" si="26"/>
        <v>1067.339821</v>
      </c>
      <c r="AV65" s="6452" t="s">
        <v>1501</v>
      </c>
      <c r="AW65" s="6393">
        <v>1</v>
      </c>
      <c r="AX65" s="6423"/>
      <c r="AY65" s="6472">
        <v>997.31069000000002</v>
      </c>
      <c r="AZ65" s="6452" t="s">
        <v>1501</v>
      </c>
      <c r="BA65" s="6473">
        <f t="shared" si="27"/>
        <v>997.31069000000002</v>
      </c>
      <c r="BB65" s="6474">
        <v>1</v>
      </c>
      <c r="BC65" s="26" t="s">
        <v>1502</v>
      </c>
      <c r="BD65" s="6423"/>
      <c r="BE65" s="6472">
        <f>257.547304+685.650206</f>
        <v>943.19750999999997</v>
      </c>
      <c r="BF65" s="6452" t="s">
        <v>1503</v>
      </c>
      <c r="BG65" s="6473">
        <f t="shared" si="28"/>
        <v>943.19750999999997</v>
      </c>
      <c r="BH65" s="6474">
        <f t="shared" si="29"/>
        <v>1</v>
      </c>
    </row>
    <row r="66" spans="1:60" x14ac:dyDescent="0.35">
      <c r="A66" s="9168"/>
      <c r="B66" s="232"/>
      <c r="C66" s="232" t="s">
        <v>1504</v>
      </c>
      <c r="D66" s="60"/>
      <c r="F66" s="155"/>
      <c r="H66" s="117"/>
      <c r="I66" s="115"/>
      <c r="J66" s="1602"/>
      <c r="L66" s="117"/>
      <c r="M66" s="157"/>
      <c r="O66" s="785"/>
      <c r="P66" s="1648"/>
      <c r="Q66" s="469"/>
      <c r="R66" s="782"/>
      <c r="S66" s="938"/>
      <c r="T66" s="780"/>
      <c r="U66" s="469"/>
      <c r="V66" s="2974"/>
      <c r="W66" s="782"/>
      <c r="Y66" s="5138"/>
      <c r="Z66" s="1648"/>
      <c r="AA66" s="469"/>
      <c r="AB66" s="6456"/>
      <c r="AC66" s="938"/>
      <c r="AD66" s="5104"/>
      <c r="AE66" s="469"/>
      <c r="AF66" s="6493"/>
      <c r="AG66" s="782"/>
      <c r="AI66" s="26"/>
      <c r="AJ66" s="5138"/>
      <c r="AK66" s="1648"/>
      <c r="AL66" s="469"/>
      <c r="AM66" s="6456"/>
      <c r="AN66" s="938"/>
      <c r="AO66" s="5137"/>
      <c r="AP66" s="469"/>
      <c r="AQ66" s="6530"/>
      <c r="AR66" s="26"/>
      <c r="AT66" s="5104">
        <v>7440.3941599999998</v>
      </c>
      <c r="AU66" s="6471">
        <f t="shared" si="26"/>
        <v>7440.3941599999998</v>
      </c>
      <c r="AV66" s="6452" t="s">
        <v>1505</v>
      </c>
      <c r="AW66" s="6393">
        <v>1</v>
      </c>
      <c r="AX66" s="6423"/>
      <c r="AY66" s="6472">
        <v>7669.6404110000003</v>
      </c>
      <c r="AZ66" s="6452" t="s">
        <v>1505</v>
      </c>
      <c r="BA66" s="6473">
        <f t="shared" si="27"/>
        <v>7669.6404110000003</v>
      </c>
      <c r="BB66" s="6474">
        <v>1</v>
      </c>
      <c r="BC66" s="26" t="s">
        <v>1506</v>
      </c>
      <c r="BD66" s="6423"/>
      <c r="BE66" s="6472">
        <f>1204.60375+1240.253238+1630.567568+3850</f>
        <v>7925.4245559999999</v>
      </c>
      <c r="BF66" s="6452" t="s">
        <v>1507</v>
      </c>
      <c r="BG66" s="6473">
        <f t="shared" si="28"/>
        <v>7925.4245559999999</v>
      </c>
      <c r="BH66" s="6474">
        <f t="shared" si="29"/>
        <v>1</v>
      </c>
    </row>
    <row r="67" spans="1:60" x14ac:dyDescent="0.35">
      <c r="A67" s="9168"/>
      <c r="B67" s="232"/>
      <c r="C67" s="232" t="s">
        <v>1508</v>
      </c>
      <c r="D67" s="60"/>
      <c r="F67" s="155"/>
      <c r="H67" s="117"/>
      <c r="I67" s="115"/>
      <c r="J67" s="1602">
        <f t="shared" si="14"/>
        <v>0</v>
      </c>
      <c r="L67" s="117"/>
      <c r="M67" s="157">
        <f t="shared" si="15"/>
        <v>0</v>
      </c>
      <c r="O67" s="785">
        <f>5+10.5+63.935+52.1+674+122.5+9.9+40.5+7+7+17.5</f>
        <v>1009.9349999999999</v>
      </c>
      <c r="P67" s="1648">
        <f t="shared" si="16"/>
        <v>1009.9349999999999</v>
      </c>
      <c r="Q67" s="469" t="s">
        <v>1509</v>
      </c>
      <c r="R67" s="782">
        <f t="shared" si="17"/>
        <v>1</v>
      </c>
      <c r="S67" s="938"/>
      <c r="T67" s="780">
        <f t="shared" si="18"/>
        <v>1009.9349999999999</v>
      </c>
      <c r="U67" s="469" t="s">
        <v>1509</v>
      </c>
      <c r="V67" s="2974">
        <f t="shared" si="19"/>
        <v>1009.9349999999999</v>
      </c>
      <c r="W67" s="782"/>
      <c r="Y67" s="5138">
        <v>981.93500000000006</v>
      </c>
      <c r="Z67" s="1648">
        <f t="shared" si="20"/>
        <v>981.93500000000006</v>
      </c>
      <c r="AA67" s="469"/>
      <c r="AB67" s="6456">
        <f t="shared" si="21"/>
        <v>1</v>
      </c>
      <c r="AC67" s="938"/>
      <c r="AD67" s="5104">
        <v>984.43500000000006</v>
      </c>
      <c r="AE67" s="469"/>
      <c r="AF67" s="6493">
        <f t="shared" si="22"/>
        <v>984.43500000000006</v>
      </c>
      <c r="AG67" s="782"/>
      <c r="AI67" s="26" t="s">
        <v>1510</v>
      </c>
      <c r="AJ67" s="5138">
        <v>984.43500000000006</v>
      </c>
      <c r="AK67" s="1648">
        <f t="shared" si="23"/>
        <v>984.43500000000006</v>
      </c>
      <c r="AL67" s="469"/>
      <c r="AM67" s="6456">
        <f t="shared" si="24"/>
        <v>1</v>
      </c>
      <c r="AN67" s="938"/>
      <c r="AO67" s="5108">
        <v>2195.250188</v>
      </c>
      <c r="AP67" s="469"/>
      <c r="AQ67" s="6530">
        <f t="shared" si="25"/>
        <v>2195.250188</v>
      </c>
      <c r="AR67" s="26" t="s">
        <v>1511</v>
      </c>
      <c r="AT67" s="5104">
        <f>2195.250188+167.687986-5</f>
        <v>2357.9381739999999</v>
      </c>
      <c r="AU67" s="6471">
        <f t="shared" si="26"/>
        <v>2357.9381739999999</v>
      </c>
      <c r="AV67" s="6452" t="s">
        <v>1512</v>
      </c>
      <c r="AW67" s="6393">
        <v>1</v>
      </c>
      <c r="AX67" s="6423"/>
      <c r="AY67" s="6475">
        <f>AT67</f>
        <v>2357.9381739999999</v>
      </c>
      <c r="AZ67" s="6452" t="s">
        <v>1512</v>
      </c>
      <c r="BA67" s="6473">
        <f t="shared" si="27"/>
        <v>2357.9381739999999</v>
      </c>
      <c r="BB67" s="6474">
        <v>1</v>
      </c>
      <c r="BC67" s="26" t="s">
        <v>1513</v>
      </c>
      <c r="BD67" s="6423"/>
      <c r="BE67" s="6475">
        <f>1083.990116+1562.52862</f>
        <v>2646.518736</v>
      </c>
      <c r="BF67" s="6452" t="s">
        <v>1514</v>
      </c>
      <c r="BG67" s="6473">
        <f t="shared" si="28"/>
        <v>2646.518736</v>
      </c>
      <c r="BH67" s="6474">
        <f t="shared" si="29"/>
        <v>1</v>
      </c>
    </row>
    <row r="68" spans="1:60" x14ac:dyDescent="0.35">
      <c r="A68" s="9168"/>
      <c r="B68" s="232"/>
      <c r="C68" s="1654" t="s">
        <v>1515</v>
      </c>
      <c r="D68" s="60"/>
      <c r="F68" s="155"/>
      <c r="H68" s="117"/>
      <c r="I68" s="115"/>
      <c r="J68" s="1602"/>
      <c r="L68" s="117"/>
      <c r="M68" s="157"/>
      <c r="O68" s="785"/>
      <c r="P68" s="1648"/>
      <c r="Q68" s="469"/>
      <c r="R68" s="782"/>
      <c r="S68" s="938"/>
      <c r="T68" s="780"/>
      <c r="U68" s="469"/>
      <c r="V68" s="2974"/>
      <c r="W68" s="782"/>
      <c r="Y68" s="5138"/>
      <c r="Z68" s="1648"/>
      <c r="AA68" s="469"/>
      <c r="AB68" s="6456"/>
      <c r="AC68" s="938"/>
      <c r="AD68" s="5104"/>
      <c r="AE68" s="469"/>
      <c r="AF68" s="6493"/>
      <c r="AG68" s="782"/>
      <c r="AI68" s="26"/>
      <c r="AJ68" s="5138"/>
      <c r="AK68" s="1648"/>
      <c r="AL68" s="469"/>
      <c r="AM68" s="6456"/>
      <c r="AN68" s="938"/>
      <c r="AO68" s="5108"/>
      <c r="AP68" s="469"/>
      <c r="AQ68" s="6530"/>
      <c r="AR68" s="26"/>
      <c r="AT68" s="5104">
        <v>1070.0768049999999</v>
      </c>
      <c r="AU68" s="6471">
        <f t="shared" si="26"/>
        <v>1070.0768049999999</v>
      </c>
      <c r="AV68" s="6452" t="s">
        <v>1516</v>
      </c>
      <c r="AW68" s="6393">
        <v>1</v>
      </c>
      <c r="AX68" s="6423"/>
      <c r="AY68" s="6475">
        <v>1155.908588</v>
      </c>
      <c r="AZ68" s="6452" t="s">
        <v>1516</v>
      </c>
      <c r="BA68" s="6473">
        <f t="shared" si="27"/>
        <v>1155.908588</v>
      </c>
      <c r="BB68" s="6474">
        <v>1</v>
      </c>
      <c r="BC68" s="26" t="s">
        <v>1517</v>
      </c>
      <c r="BD68" s="6423"/>
      <c r="BE68" s="6475">
        <f>549.112725+693</f>
        <v>1242.112725</v>
      </c>
      <c r="BF68" s="6452" t="s">
        <v>1518</v>
      </c>
      <c r="BG68" s="6473">
        <f t="shared" si="28"/>
        <v>1242.112725</v>
      </c>
      <c r="BH68" s="6474">
        <f t="shared" si="29"/>
        <v>1</v>
      </c>
    </row>
    <row r="69" spans="1:60" x14ac:dyDescent="0.35">
      <c r="A69" s="9168"/>
      <c r="B69" s="232"/>
      <c r="C69" s="1654" t="s">
        <v>1519</v>
      </c>
      <c r="D69" s="60"/>
      <c r="F69" s="155"/>
      <c r="H69" s="117"/>
      <c r="I69" s="115"/>
      <c r="J69" s="1602"/>
      <c r="L69" s="117"/>
      <c r="M69" s="157"/>
      <c r="O69" s="785"/>
      <c r="P69" s="1648"/>
      <c r="Q69" s="469"/>
      <c r="R69" s="782"/>
      <c r="S69" s="938"/>
      <c r="T69" s="780"/>
      <c r="U69" s="469"/>
      <c r="V69" s="2974"/>
      <c r="W69" s="782"/>
      <c r="Y69" s="5138"/>
      <c r="Z69" s="1648"/>
      <c r="AA69" s="469"/>
      <c r="AB69" s="6456"/>
      <c r="AC69" s="938"/>
      <c r="AD69" s="5104"/>
      <c r="AE69" s="469"/>
      <c r="AF69" s="6493"/>
      <c r="AG69" s="782"/>
      <c r="AI69" s="26"/>
      <c r="AJ69" s="5138"/>
      <c r="AK69" s="1648"/>
      <c r="AL69" s="469"/>
      <c r="AM69" s="6456"/>
      <c r="AN69" s="938"/>
      <c r="AO69" s="5108"/>
      <c r="AP69" s="469"/>
      <c r="AQ69" s="6530"/>
      <c r="AR69" s="26"/>
      <c r="AT69" s="5104">
        <v>1860.4394729999999</v>
      </c>
      <c r="AU69" s="6471">
        <f t="shared" si="26"/>
        <v>1860.4394729999999</v>
      </c>
      <c r="AV69" s="6452" t="s">
        <v>1520</v>
      </c>
      <c r="AW69" s="6393">
        <v>1</v>
      </c>
      <c r="AX69" s="6423"/>
      <c r="AY69" s="6475">
        <v>2062.193413</v>
      </c>
      <c r="AZ69" s="6452" t="s">
        <v>1520</v>
      </c>
      <c r="BA69" s="6473">
        <f t="shared" si="27"/>
        <v>2062.193413</v>
      </c>
      <c r="BB69" s="6474">
        <v>1</v>
      </c>
      <c r="BC69" s="26" t="s">
        <v>1521</v>
      </c>
      <c r="BD69" s="6423"/>
      <c r="BE69" s="6475">
        <f>2401.294664-BE81</f>
        <v>2152.227664</v>
      </c>
      <c r="BF69" s="6452" t="s">
        <v>1522</v>
      </c>
      <c r="BG69" s="6473">
        <f t="shared" si="28"/>
        <v>2152.227664</v>
      </c>
      <c r="BH69" s="6474">
        <f t="shared" si="29"/>
        <v>1</v>
      </c>
    </row>
    <row r="70" spans="1:60" x14ac:dyDescent="0.35">
      <c r="A70" s="9168"/>
      <c r="B70" s="232"/>
      <c r="C70" s="232" t="s">
        <v>1523</v>
      </c>
      <c r="D70" s="60"/>
      <c r="F70" s="155"/>
      <c r="H70" s="117"/>
      <c r="I70" s="115"/>
      <c r="J70" s="1602">
        <f t="shared" si="14"/>
        <v>0</v>
      </c>
      <c r="L70" s="117"/>
      <c r="M70" s="157">
        <f t="shared" si="15"/>
        <v>0</v>
      </c>
      <c r="O70" s="785">
        <v>377</v>
      </c>
      <c r="P70" s="1648">
        <f t="shared" si="16"/>
        <v>377</v>
      </c>
      <c r="Q70" s="469" t="s">
        <v>1524</v>
      </c>
      <c r="R70" s="782">
        <f t="shared" si="17"/>
        <v>1</v>
      </c>
      <c r="S70" s="938"/>
      <c r="T70" s="780">
        <f t="shared" si="18"/>
        <v>377</v>
      </c>
      <c r="U70" s="469" t="s">
        <v>1524</v>
      </c>
      <c r="V70" s="2974">
        <f t="shared" si="19"/>
        <v>377</v>
      </c>
      <c r="W70" s="782"/>
      <c r="Y70" s="5138">
        <v>253.98689999999999</v>
      </c>
      <c r="Z70" s="1648">
        <f t="shared" si="20"/>
        <v>253.98689999999999</v>
      </c>
      <c r="AA70" s="469"/>
      <c r="AB70" s="6456">
        <f t="shared" si="21"/>
        <v>1</v>
      </c>
      <c r="AC70" s="938"/>
      <c r="AD70" s="5104">
        <v>432.98689999999999</v>
      </c>
      <c r="AE70" s="469"/>
      <c r="AF70" s="6493">
        <f t="shared" si="22"/>
        <v>432.98689999999999</v>
      </c>
      <c r="AG70" s="782"/>
      <c r="AI70" s="26" t="s">
        <v>1525</v>
      </c>
      <c r="AJ70" s="5138">
        <v>432.98689999999999</v>
      </c>
      <c r="AK70" s="1648">
        <f t="shared" si="23"/>
        <v>432.98689999999999</v>
      </c>
      <c r="AL70" s="469"/>
      <c r="AM70" s="6456">
        <f t="shared" si="24"/>
        <v>1</v>
      </c>
      <c r="AN70" s="938"/>
      <c r="AO70" s="5137">
        <v>290.82817999999997</v>
      </c>
      <c r="AP70" s="469"/>
      <c r="AQ70" s="6530">
        <f t="shared" si="25"/>
        <v>290.82817999999997</v>
      </c>
      <c r="AR70" s="26" t="s">
        <v>1526</v>
      </c>
      <c r="AT70" s="5104">
        <v>290.82799999999997</v>
      </c>
      <c r="AU70" s="6471">
        <f t="shared" si="26"/>
        <v>290.82799999999997</v>
      </c>
      <c r="AV70" s="6452" t="s">
        <v>1527</v>
      </c>
      <c r="AW70" s="6393">
        <v>1</v>
      </c>
      <c r="AX70" s="6423"/>
      <c r="AY70" s="6472">
        <v>257.78677099999999</v>
      </c>
      <c r="AZ70" s="6452" t="s">
        <v>1527</v>
      </c>
      <c r="BA70" s="6473">
        <f t="shared" si="27"/>
        <v>257.78677099999999</v>
      </c>
      <c r="BB70" s="6474">
        <v>1</v>
      </c>
      <c r="BC70" s="26" t="s">
        <v>1528</v>
      </c>
      <c r="BD70" s="6423"/>
      <c r="BE70" s="6472">
        <v>250.78677099999999</v>
      </c>
      <c r="BF70" s="6452" t="s">
        <v>1529</v>
      </c>
      <c r="BG70" s="6473">
        <f t="shared" si="28"/>
        <v>250.78677099999999</v>
      </c>
      <c r="BH70" s="6474">
        <f t="shared" si="29"/>
        <v>1</v>
      </c>
    </row>
    <row r="71" spans="1:60" x14ac:dyDescent="0.35">
      <c r="A71" s="9168"/>
      <c r="B71" s="232"/>
      <c r="C71" s="232" t="s">
        <v>1530</v>
      </c>
      <c r="D71" s="60"/>
      <c r="F71" s="155"/>
      <c r="H71" s="117"/>
      <c r="I71" s="115"/>
      <c r="J71" s="1602"/>
      <c r="L71" s="117"/>
      <c r="M71" s="157"/>
      <c r="O71" s="785"/>
      <c r="P71" s="1648"/>
      <c r="Q71" s="469"/>
      <c r="R71" s="782"/>
      <c r="S71" s="938"/>
      <c r="T71" s="780"/>
      <c r="U71" s="469"/>
      <c r="V71" s="2974"/>
      <c r="W71" s="782"/>
      <c r="Y71" s="5138"/>
      <c r="Z71" s="1648"/>
      <c r="AA71" s="469"/>
      <c r="AB71" s="6456"/>
      <c r="AC71" s="938"/>
      <c r="AD71" s="5104"/>
      <c r="AE71" s="469"/>
      <c r="AF71" s="6493"/>
      <c r="AG71" s="782"/>
      <c r="AI71" s="26"/>
      <c r="AJ71" s="5138"/>
      <c r="AK71" s="1648"/>
      <c r="AL71" s="469"/>
      <c r="AM71" s="6456"/>
      <c r="AN71" s="938"/>
      <c r="AO71" s="5137"/>
      <c r="AP71" s="469"/>
      <c r="AQ71" s="6530"/>
      <c r="AR71" s="26"/>
      <c r="AT71" s="5104">
        <v>361.5</v>
      </c>
      <c r="AU71" s="6471">
        <f t="shared" si="26"/>
        <v>361.5</v>
      </c>
      <c r="AV71" s="6452" t="s">
        <v>1531</v>
      </c>
      <c r="AW71" s="6393">
        <v>1</v>
      </c>
      <c r="AX71" s="6423"/>
      <c r="AY71" s="6472">
        <v>320.5</v>
      </c>
      <c r="AZ71" s="6452" t="s">
        <v>1531</v>
      </c>
      <c r="BA71" s="6473">
        <f t="shared" si="27"/>
        <v>320.5</v>
      </c>
      <c r="BB71" s="6474">
        <v>1</v>
      </c>
      <c r="BC71" s="26" t="s">
        <v>1532</v>
      </c>
      <c r="BD71" s="6423"/>
      <c r="BE71" s="6472">
        <v>0</v>
      </c>
      <c r="BF71" s="6452"/>
      <c r="BG71" s="6473">
        <f t="shared" si="28"/>
        <v>0</v>
      </c>
      <c r="BH71" s="6474"/>
    </row>
    <row r="72" spans="1:60" x14ac:dyDescent="0.35">
      <c r="A72" s="9168"/>
      <c r="B72" s="232"/>
      <c r="C72" s="232" t="s">
        <v>1533</v>
      </c>
      <c r="D72" s="60"/>
      <c r="F72" s="155"/>
      <c r="H72" s="117"/>
      <c r="I72" s="115"/>
      <c r="J72" s="1602">
        <f t="shared" si="14"/>
        <v>0</v>
      </c>
      <c r="L72" s="117"/>
      <c r="M72" s="157">
        <f t="shared" si="15"/>
        <v>0</v>
      </c>
      <c r="O72" s="785">
        <v>1061.0039999999999</v>
      </c>
      <c r="P72" s="1648">
        <f t="shared" si="16"/>
        <v>1061.0039999999999</v>
      </c>
      <c r="Q72" s="469" t="s">
        <v>1534</v>
      </c>
      <c r="R72" s="782">
        <f t="shared" si="17"/>
        <v>1</v>
      </c>
      <c r="S72" s="938"/>
      <c r="T72" s="780">
        <f t="shared" si="18"/>
        <v>1061.0039999999999</v>
      </c>
      <c r="U72" s="469" t="s">
        <v>1534</v>
      </c>
      <c r="V72" s="2974">
        <f t="shared" si="19"/>
        <v>1061.0039999999999</v>
      </c>
      <c r="W72" s="782"/>
      <c r="Y72" s="5138">
        <v>831.42929700000002</v>
      </c>
      <c r="Z72" s="1648">
        <f t="shared" si="20"/>
        <v>831.42929700000002</v>
      </c>
      <c r="AA72" s="469"/>
      <c r="AB72" s="6456">
        <f t="shared" si="21"/>
        <v>1</v>
      </c>
      <c r="AC72" s="938"/>
      <c r="AD72" s="5104">
        <v>865.09162400000002</v>
      </c>
      <c r="AE72" s="469"/>
      <c r="AF72" s="6493">
        <f t="shared" si="22"/>
        <v>865.09162400000002</v>
      </c>
      <c r="AG72" s="782"/>
      <c r="AI72" s="26" t="s">
        <v>1535</v>
      </c>
      <c r="AJ72" s="5138">
        <v>865.09162400000002</v>
      </c>
      <c r="AK72" s="1648">
        <f t="shared" si="23"/>
        <v>865.09162400000002</v>
      </c>
      <c r="AL72" s="469"/>
      <c r="AM72" s="6456">
        <f t="shared" si="24"/>
        <v>1</v>
      </c>
      <c r="AN72" s="938"/>
      <c r="AO72" s="5108">
        <v>960.27131199999997</v>
      </c>
      <c r="AP72" s="469"/>
      <c r="AQ72" s="6530">
        <f t="shared" si="25"/>
        <v>960.27131199999997</v>
      </c>
      <c r="AR72" s="26" t="s">
        <v>1535</v>
      </c>
      <c r="AT72" s="5106">
        <v>960.27131199999997</v>
      </c>
      <c r="AU72" s="6476">
        <f t="shared" si="26"/>
        <v>960.27131199999997</v>
      </c>
      <c r="AV72" s="6452" t="s">
        <v>1536</v>
      </c>
      <c r="AW72" s="6393">
        <v>1</v>
      </c>
      <c r="AX72" s="6423"/>
      <c r="AY72" s="6477">
        <v>1161.6045899999999</v>
      </c>
      <c r="AZ72" s="6452" t="s">
        <v>1536</v>
      </c>
      <c r="BA72" s="6473">
        <f t="shared" si="27"/>
        <v>1161.6045899999999</v>
      </c>
      <c r="BB72" s="6474">
        <v>1</v>
      </c>
      <c r="BC72" s="26" t="s">
        <v>1537</v>
      </c>
      <c r="BD72" s="6423"/>
      <c r="BE72" s="6477">
        <f>552.508567+3.5+516.340438</f>
        <v>1072.349005</v>
      </c>
      <c r="BF72" s="6452" t="s">
        <v>1538</v>
      </c>
      <c r="BG72" s="6473">
        <f t="shared" si="28"/>
        <v>1072.349005</v>
      </c>
      <c r="BH72" s="6474">
        <f t="shared" si="29"/>
        <v>1</v>
      </c>
    </row>
    <row r="73" spans="1:60" x14ac:dyDescent="0.35">
      <c r="A73" s="9168"/>
      <c r="B73" s="1654"/>
      <c r="C73" s="1654" t="s">
        <v>1539</v>
      </c>
      <c r="D73" s="60"/>
      <c r="F73" s="163"/>
      <c r="H73" s="242"/>
      <c r="I73" s="243"/>
      <c r="J73" s="1602"/>
      <c r="L73" s="242"/>
      <c r="M73" s="157"/>
      <c r="O73" s="791"/>
      <c r="P73" s="1648"/>
      <c r="Q73" s="469"/>
      <c r="R73" s="782"/>
      <c r="S73" s="938"/>
      <c r="T73" s="780"/>
      <c r="U73" s="469"/>
      <c r="V73" s="2974"/>
      <c r="W73" s="782"/>
      <c r="Y73" s="5110"/>
      <c r="Z73" s="1648"/>
      <c r="AA73" s="469"/>
      <c r="AB73" s="6456"/>
      <c r="AC73" s="938"/>
      <c r="AD73" s="5104"/>
      <c r="AE73" s="469"/>
      <c r="AF73" s="6493"/>
      <c r="AG73" s="782"/>
      <c r="AI73" s="26"/>
      <c r="AJ73" s="5110"/>
      <c r="AK73" s="1648"/>
      <c r="AL73" s="469"/>
      <c r="AM73" s="6456"/>
      <c r="AN73" s="938"/>
      <c r="AO73" s="5108"/>
      <c r="AP73" s="469"/>
      <c r="AQ73" s="6530"/>
      <c r="AR73" s="26"/>
      <c r="AT73" s="5587"/>
      <c r="AU73" s="7990"/>
      <c r="AV73" s="6452"/>
      <c r="AW73" s="6393"/>
      <c r="AX73" s="6423"/>
      <c r="AY73" s="7983"/>
      <c r="AZ73" s="6452"/>
      <c r="BA73" s="6473"/>
      <c r="BB73" s="6474"/>
      <c r="BC73" s="26"/>
      <c r="BD73" s="6423"/>
      <c r="BE73" s="7983">
        <f>100.593686+80</f>
        <v>180.59368599999999</v>
      </c>
      <c r="BF73" s="6452"/>
      <c r="BG73" s="6473">
        <f t="shared" si="28"/>
        <v>180.59368599999999</v>
      </c>
      <c r="BH73" s="6474">
        <f t="shared" si="29"/>
        <v>1</v>
      </c>
    </row>
    <row r="74" spans="1:60" ht="31.5" x14ac:dyDescent="0.35">
      <c r="A74" s="9168"/>
      <c r="B74" s="1653" t="s">
        <v>1116</v>
      </c>
      <c r="C74" s="1654"/>
      <c r="D74" s="60"/>
      <c r="F74" s="163"/>
      <c r="H74" s="242"/>
      <c r="I74" s="243"/>
      <c r="J74" s="1602"/>
      <c r="L74" s="242"/>
      <c r="M74" s="157"/>
      <c r="O74" s="791"/>
      <c r="P74" s="1648"/>
      <c r="Q74" s="469"/>
      <c r="R74" s="782"/>
      <c r="S74" s="938"/>
      <c r="T74" s="780"/>
      <c r="U74" s="469"/>
      <c r="W74" s="782"/>
      <c r="Y74" s="791"/>
      <c r="Z74" s="1648"/>
      <c r="AA74" s="469"/>
      <c r="AB74" s="6456"/>
      <c r="AC74" s="938"/>
      <c r="AD74" s="780"/>
      <c r="AE74" s="469"/>
      <c r="AF74" s="6493">
        <f t="shared" si="22"/>
        <v>0</v>
      </c>
      <c r="AG74" s="782"/>
      <c r="AI74" s="26"/>
      <c r="AJ74" s="791"/>
      <c r="AK74" s="1648"/>
      <c r="AL74" s="469"/>
      <c r="AM74" s="6456"/>
      <c r="AN74" s="938"/>
      <c r="AO74" s="780"/>
      <c r="AP74" s="469"/>
      <c r="AQ74" s="6493"/>
      <c r="AR74" s="26"/>
      <c r="AT74" s="6478" t="s">
        <v>1451</v>
      </c>
      <c r="AU74" s="7991" t="s">
        <v>1540</v>
      </c>
      <c r="AV74" s="7984"/>
      <c r="AW74" s="6479" t="s">
        <v>1541</v>
      </c>
      <c r="AX74" s="6480"/>
      <c r="AY74" s="6481" t="s">
        <v>1451</v>
      </c>
      <c r="AZ74" s="6482"/>
      <c r="BA74" s="7984" t="s">
        <v>1540</v>
      </c>
      <c r="BB74" s="6479" t="s">
        <v>1542</v>
      </c>
      <c r="BC74" s="26"/>
      <c r="BD74" s="6480"/>
      <c r="BE74" s="6481"/>
      <c r="BF74" s="6482"/>
      <c r="BG74" s="7984" t="s">
        <v>1543</v>
      </c>
      <c r="BH74" s="6479"/>
    </row>
    <row r="75" spans="1:60" x14ac:dyDescent="0.35">
      <c r="A75" s="9168"/>
      <c r="B75" s="1653"/>
      <c r="C75" s="1654" t="s">
        <v>1544</v>
      </c>
      <c r="D75" s="60"/>
      <c r="F75" s="163"/>
      <c r="H75" s="242"/>
      <c r="I75" s="243"/>
      <c r="J75" s="1602"/>
      <c r="L75" s="242"/>
      <c r="M75" s="157"/>
      <c r="O75" s="791"/>
      <c r="P75" s="1648"/>
      <c r="Q75" s="469"/>
      <c r="R75" s="782"/>
      <c r="S75" s="938"/>
      <c r="T75" s="780"/>
      <c r="U75" s="469"/>
      <c r="W75" s="782"/>
      <c r="Y75" s="791"/>
      <c r="Z75" s="1648"/>
      <c r="AA75" s="469"/>
      <c r="AB75" s="6456"/>
      <c r="AC75" s="938"/>
      <c r="AD75" s="780"/>
      <c r="AE75" s="469"/>
      <c r="AF75" s="6493"/>
      <c r="AG75" s="782"/>
      <c r="AI75" s="26"/>
      <c r="AJ75" s="791"/>
      <c r="AK75" s="1648"/>
      <c r="AL75" s="469"/>
      <c r="AM75" s="6456"/>
      <c r="AN75" s="938"/>
      <c r="AO75" s="780"/>
      <c r="AP75" s="469"/>
      <c r="AQ75" s="6493"/>
      <c r="AR75" s="26"/>
      <c r="AT75" s="6478"/>
      <c r="AU75" s="7991"/>
      <c r="AV75" s="7984"/>
      <c r="AW75" s="6479"/>
      <c r="AX75" s="6480"/>
      <c r="AY75" s="6481"/>
      <c r="AZ75" s="6482"/>
      <c r="BA75" s="7984"/>
      <c r="BB75" s="6479"/>
      <c r="BC75" s="26"/>
      <c r="BD75" s="6480"/>
      <c r="BE75" s="6475">
        <f>1000+700</f>
        <v>1700</v>
      </c>
      <c r="BF75" s="6482"/>
      <c r="BG75" s="7984">
        <f>BE75*BH75</f>
        <v>1700</v>
      </c>
      <c r="BH75" s="6474">
        <v>1</v>
      </c>
    </row>
    <row r="76" spans="1:60" ht="14.25" customHeight="1" x14ac:dyDescent="0.35">
      <c r="A76" s="9168"/>
      <c r="B76" s="232"/>
      <c r="C76" s="232" t="s">
        <v>1490</v>
      </c>
      <c r="D76" s="60"/>
      <c r="F76" s="163"/>
      <c r="H76" s="242"/>
      <c r="I76" s="243"/>
      <c r="J76" s="1602"/>
      <c r="L76" s="242"/>
      <c r="M76" s="157"/>
      <c r="O76" s="791">
        <v>100</v>
      </c>
      <c r="P76" s="1648">
        <f>O76</f>
        <v>100</v>
      </c>
      <c r="Q76" s="469" t="s">
        <v>1545</v>
      </c>
      <c r="R76" s="782">
        <f>IF(O76=0,0,P76/O76)</f>
        <v>1</v>
      </c>
      <c r="S76" s="938"/>
      <c r="T76" s="780">
        <f>O76</f>
        <v>100</v>
      </c>
      <c r="U76" s="469" t="s">
        <v>1545</v>
      </c>
      <c r="V76" s="2974">
        <f>T76*R76</f>
        <v>100</v>
      </c>
      <c r="W76" s="782"/>
      <c r="Y76" s="5110">
        <v>450</v>
      </c>
      <c r="Z76" s="1648">
        <f t="shared" ref="Z76:Z84" si="30">Y76</f>
        <v>450</v>
      </c>
      <c r="AA76" s="469"/>
      <c r="AB76" s="6456">
        <f>IF(Y76=0,0,Z76/Y76)</f>
        <v>1</v>
      </c>
      <c r="AC76" s="938"/>
      <c r="AD76" s="5104">
        <v>140.023</v>
      </c>
      <c r="AE76" s="469"/>
      <c r="AF76" s="6493">
        <f t="shared" si="22"/>
        <v>140.023</v>
      </c>
      <c r="AG76" s="782"/>
      <c r="AI76" s="26" t="s">
        <v>1492</v>
      </c>
      <c r="AJ76" s="5110">
        <v>140.023</v>
      </c>
      <c r="AK76" s="1648">
        <f t="shared" ref="AK76:AK84" si="31">AJ76</f>
        <v>140.023</v>
      </c>
      <c r="AL76" s="469"/>
      <c r="AM76" s="6456">
        <f>IF(AJ76=0,0,AK76/AJ76)</f>
        <v>1</v>
      </c>
      <c r="AN76" s="938"/>
      <c r="AO76" s="5104"/>
      <c r="AP76" s="469"/>
      <c r="AQ76" s="6493"/>
      <c r="AR76" s="26" t="s">
        <v>1492</v>
      </c>
      <c r="AT76" s="5106">
        <v>0</v>
      </c>
      <c r="AU76" s="6471">
        <v>0</v>
      </c>
      <c r="AV76" s="6452" t="s">
        <v>1546</v>
      </c>
      <c r="AW76" s="6393"/>
      <c r="AX76" s="6423"/>
      <c r="AY76" s="6475">
        <v>315</v>
      </c>
      <c r="AZ76" s="6452" t="s">
        <v>1546</v>
      </c>
      <c r="BA76" s="6473">
        <f>AY76*BB76</f>
        <v>315</v>
      </c>
      <c r="BB76" s="6393">
        <v>1</v>
      </c>
      <c r="BC76" s="26" t="s">
        <v>1547</v>
      </c>
      <c r="BD76" s="6423"/>
      <c r="BE76" s="6475">
        <f>168+210</f>
        <v>378</v>
      </c>
      <c r="BF76" s="6452" t="s">
        <v>1548</v>
      </c>
      <c r="BG76" s="7984">
        <f t="shared" ref="BG76:BG84" si="32">BE76*BH76</f>
        <v>378</v>
      </c>
      <c r="BH76" s="6474">
        <v>1</v>
      </c>
    </row>
    <row r="77" spans="1:60" ht="14.25" customHeight="1" x14ac:dyDescent="0.35">
      <c r="A77" s="9168"/>
      <c r="B77" s="232"/>
      <c r="C77" s="232" t="s">
        <v>1497</v>
      </c>
      <c r="D77" s="60"/>
      <c r="F77" s="163"/>
      <c r="H77" s="242"/>
      <c r="I77" s="243"/>
      <c r="J77" s="1602"/>
      <c r="L77" s="242"/>
      <c r="M77" s="157"/>
      <c r="O77" s="791"/>
      <c r="P77" s="1648"/>
      <c r="Q77" s="469"/>
      <c r="R77" s="782"/>
      <c r="S77" s="938"/>
      <c r="T77" s="780"/>
      <c r="U77" s="469"/>
      <c r="V77" s="2974"/>
      <c r="W77" s="782"/>
      <c r="Y77" s="5110">
        <v>160</v>
      </c>
      <c r="Z77" s="1648">
        <f t="shared" si="30"/>
        <v>160</v>
      </c>
      <c r="AA77" s="469"/>
      <c r="AB77" s="6456">
        <f t="shared" ref="AB77:AB79" si="33">IF(Y77=0,0,Z77/Y77)</f>
        <v>1</v>
      </c>
      <c r="AC77" s="938"/>
      <c r="AD77" s="5104">
        <v>1741.118532</v>
      </c>
      <c r="AE77" s="6574"/>
      <c r="AF77" s="6493">
        <f t="shared" si="22"/>
        <v>1741.118532</v>
      </c>
      <c r="AG77" s="782"/>
      <c r="AI77" s="26"/>
      <c r="AJ77" s="5110">
        <v>1741.118532</v>
      </c>
      <c r="AK77" s="1648">
        <f t="shared" si="31"/>
        <v>1741.118532</v>
      </c>
      <c r="AL77" s="469"/>
      <c r="AM77" s="6456">
        <f t="shared" ref="AM77:AM79" si="34">IF(AJ77=0,0,AK77/AJ77)</f>
        <v>1</v>
      </c>
      <c r="AN77" s="938"/>
      <c r="AO77" s="5104"/>
      <c r="AP77" s="6574"/>
      <c r="AQ77" s="6493"/>
      <c r="AR77" s="26"/>
      <c r="AT77" s="5110">
        <v>0</v>
      </c>
      <c r="AU77" s="6471">
        <v>0</v>
      </c>
      <c r="AV77" s="6452" t="s">
        <v>1549</v>
      </c>
      <c r="AW77" s="6393"/>
      <c r="AX77" s="6423"/>
      <c r="AY77" s="6475">
        <v>0</v>
      </c>
      <c r="AZ77" s="6452" t="s">
        <v>1549</v>
      </c>
      <c r="BA77" s="6473">
        <f t="shared" ref="BA77:BA82" si="35">AY77*BB77</f>
        <v>0</v>
      </c>
      <c r="BB77" s="6393">
        <v>0.747</v>
      </c>
      <c r="BC77" s="26" t="s">
        <v>1499</v>
      </c>
      <c r="BD77" s="6423"/>
      <c r="BE77" s="6475">
        <v>0</v>
      </c>
      <c r="BF77" s="6452"/>
      <c r="BG77" s="7984">
        <f t="shared" si="32"/>
        <v>0</v>
      </c>
      <c r="BH77" s="6474">
        <v>1</v>
      </c>
    </row>
    <row r="78" spans="1:60" ht="14.25" customHeight="1" x14ac:dyDescent="0.35">
      <c r="A78" s="9168"/>
      <c r="B78" s="232"/>
      <c r="C78" s="232" t="s">
        <v>1504</v>
      </c>
      <c r="D78" s="60"/>
      <c r="F78" s="163"/>
      <c r="H78" s="242"/>
      <c r="I78" s="243"/>
      <c r="J78" s="1602"/>
      <c r="L78" s="242"/>
      <c r="M78" s="157"/>
      <c r="O78" s="791"/>
      <c r="P78" s="1648"/>
      <c r="Q78" s="469"/>
      <c r="R78" s="782"/>
      <c r="S78" s="938"/>
      <c r="T78" s="780"/>
      <c r="U78" s="469"/>
      <c r="V78" s="2974"/>
      <c r="W78" s="782"/>
      <c r="Y78" s="5110"/>
      <c r="Z78" s="1648"/>
      <c r="AA78" s="469"/>
      <c r="AB78" s="6456"/>
      <c r="AC78" s="938"/>
      <c r="AD78" s="5104"/>
      <c r="AE78" s="6574"/>
      <c r="AF78" s="6493"/>
      <c r="AG78" s="782"/>
      <c r="AI78" s="26"/>
      <c r="AJ78" s="5110"/>
      <c r="AK78" s="1648"/>
      <c r="AL78" s="469"/>
      <c r="AM78" s="6456"/>
      <c r="AN78" s="938"/>
      <c r="AO78" s="5104"/>
      <c r="AP78" s="6574"/>
      <c r="AQ78" s="6493"/>
      <c r="AR78" s="26"/>
      <c r="AT78" s="5110">
        <v>54.940046000000002</v>
      </c>
      <c r="AU78" s="6471">
        <f>AT78*AW78</f>
        <v>33.018967646</v>
      </c>
      <c r="AV78" s="6452" t="s">
        <v>1550</v>
      </c>
      <c r="AW78" s="6393">
        <v>0.60099999999999998</v>
      </c>
      <c r="AX78" s="6423"/>
      <c r="AY78" s="6475">
        <v>54.940046000000002</v>
      </c>
      <c r="AZ78" s="6452" t="s">
        <v>1550</v>
      </c>
      <c r="BA78" s="6473">
        <f t="shared" si="35"/>
        <v>46.863859238000003</v>
      </c>
      <c r="BB78" s="6393">
        <v>0.85299999999999998</v>
      </c>
      <c r="BC78" s="26" t="s">
        <v>1551</v>
      </c>
      <c r="BD78" s="6423"/>
      <c r="BE78" s="6475">
        <f>90+354.940046</f>
        <v>444.940046</v>
      </c>
      <c r="BF78" s="6452" t="s">
        <v>1552</v>
      </c>
      <c r="BG78" s="7984">
        <f t="shared" si="32"/>
        <v>331.92527431600001</v>
      </c>
      <c r="BH78" s="6474">
        <v>0.746</v>
      </c>
    </row>
    <row r="79" spans="1:60" ht="14.25" customHeight="1" x14ac:dyDescent="0.35">
      <c r="A79" s="9168"/>
      <c r="B79" s="232"/>
      <c r="C79" s="232" t="s">
        <v>1508</v>
      </c>
      <c r="D79" s="60"/>
      <c r="F79" s="163"/>
      <c r="H79" s="242"/>
      <c r="I79" s="243"/>
      <c r="J79" s="1602"/>
      <c r="L79" s="242"/>
      <c r="M79" s="157"/>
      <c r="O79" s="791"/>
      <c r="P79" s="1648"/>
      <c r="Q79" s="469"/>
      <c r="R79" s="782"/>
      <c r="S79" s="938"/>
      <c r="T79" s="780"/>
      <c r="U79" s="469"/>
      <c r="V79" s="2974"/>
      <c r="W79" s="782"/>
      <c r="Y79" s="5110">
        <v>189.02371099999999</v>
      </c>
      <c r="Z79" s="1648">
        <f t="shared" si="30"/>
        <v>189.02371099999999</v>
      </c>
      <c r="AA79" s="469"/>
      <c r="AB79" s="6456">
        <f t="shared" si="33"/>
        <v>1</v>
      </c>
      <c r="AC79" s="938"/>
      <c r="AD79" s="5104">
        <v>0</v>
      </c>
      <c r="AE79" s="6574"/>
      <c r="AF79" s="6493">
        <f t="shared" si="22"/>
        <v>0</v>
      </c>
      <c r="AG79" s="782"/>
      <c r="AI79" s="26"/>
      <c r="AJ79" s="5110">
        <v>0</v>
      </c>
      <c r="AK79" s="1648">
        <f t="shared" si="31"/>
        <v>0</v>
      </c>
      <c r="AL79" s="469"/>
      <c r="AM79" s="6456">
        <f t="shared" si="34"/>
        <v>0</v>
      </c>
      <c r="AN79" s="938"/>
      <c r="AO79" s="5104"/>
      <c r="AP79" s="6574"/>
      <c r="AQ79" s="6493"/>
      <c r="AR79" s="26"/>
      <c r="AT79" s="5110">
        <v>210</v>
      </c>
      <c r="AU79" s="6471">
        <f t="shared" ref="AU79:AU82" si="36">AT79*AW79</f>
        <v>166.11</v>
      </c>
      <c r="AV79" s="6452" t="s">
        <v>1553</v>
      </c>
      <c r="AW79" s="6393">
        <v>0.79100000000000004</v>
      </c>
      <c r="AX79" s="6423"/>
      <c r="AY79" s="6475">
        <v>350</v>
      </c>
      <c r="AZ79" s="6452" t="s">
        <v>1553</v>
      </c>
      <c r="BA79" s="6473">
        <f t="shared" si="35"/>
        <v>341.95</v>
      </c>
      <c r="BB79" s="6393">
        <v>0.97699999999999998</v>
      </c>
      <c r="BC79" s="26" t="s">
        <v>1554</v>
      </c>
      <c r="BD79" s="6423"/>
      <c r="BE79" s="6475">
        <v>800</v>
      </c>
      <c r="BF79" s="6452" t="s">
        <v>1555</v>
      </c>
      <c r="BG79" s="7984">
        <f t="shared" si="32"/>
        <v>446.40000000000003</v>
      </c>
      <c r="BH79" s="6474">
        <v>0.55800000000000005</v>
      </c>
    </row>
    <row r="80" spans="1:60" x14ac:dyDescent="0.35">
      <c r="A80" s="9168"/>
      <c r="B80" s="232"/>
      <c r="C80" s="1654" t="s">
        <v>1515</v>
      </c>
      <c r="D80" s="60"/>
      <c r="F80" s="163"/>
      <c r="H80" s="242"/>
      <c r="I80" s="243"/>
      <c r="J80" s="1602"/>
      <c r="L80" s="242"/>
      <c r="M80" s="157"/>
      <c r="O80" s="791">
        <v>300</v>
      </c>
      <c r="P80" s="1648">
        <f>O80</f>
        <v>300</v>
      </c>
      <c r="Q80" s="469" t="s">
        <v>1556</v>
      </c>
      <c r="R80" s="782">
        <f>IF(O80=0,0,P80/O80)</f>
        <v>1</v>
      </c>
      <c r="S80" s="938"/>
      <c r="T80" s="780">
        <f>O80</f>
        <v>300</v>
      </c>
      <c r="U80" s="469" t="s">
        <v>1556</v>
      </c>
      <c r="V80" s="2974">
        <f>T80*R80</f>
        <v>300</v>
      </c>
      <c r="W80" s="782"/>
      <c r="Y80" s="5110">
        <v>0</v>
      </c>
      <c r="Z80" s="1648">
        <f t="shared" si="30"/>
        <v>0</v>
      </c>
      <c r="AA80" s="469"/>
      <c r="AB80" s="6456">
        <f>IF(Y80=0,0,Z80/Y80)</f>
        <v>0</v>
      </c>
      <c r="AC80" s="938"/>
      <c r="AD80" s="5104">
        <v>0</v>
      </c>
      <c r="AE80" s="469"/>
      <c r="AF80" s="6493">
        <f>AD80*AB80</f>
        <v>0</v>
      </c>
      <c r="AG80" s="782"/>
      <c r="AI80" s="26" t="s">
        <v>1499</v>
      </c>
      <c r="AJ80" s="5110">
        <v>0</v>
      </c>
      <c r="AK80" s="1648">
        <f t="shared" si="31"/>
        <v>0</v>
      </c>
      <c r="AL80" s="469"/>
      <c r="AM80" s="6456">
        <f>IF(AJ80=0,0,AK80/AJ80)</f>
        <v>0</v>
      </c>
      <c r="AN80" s="938"/>
      <c r="AO80" s="5137"/>
      <c r="AP80" s="469"/>
      <c r="AQ80" s="6493"/>
      <c r="AR80" s="26" t="s">
        <v>1500</v>
      </c>
      <c r="AT80" s="5110">
        <v>6.7030960000000004</v>
      </c>
      <c r="AU80" s="6471">
        <f t="shared" si="36"/>
        <v>6.0461925920000006</v>
      </c>
      <c r="AV80" s="6452" t="s">
        <v>1557</v>
      </c>
      <c r="AW80" s="6393">
        <v>0.90200000000000002</v>
      </c>
      <c r="AX80" s="6423"/>
      <c r="AY80" s="6475">
        <v>150</v>
      </c>
      <c r="AZ80" s="6452" t="s">
        <v>1557</v>
      </c>
      <c r="BA80" s="6473">
        <f t="shared" si="35"/>
        <v>140.25</v>
      </c>
      <c r="BB80" s="6393">
        <v>0.93500000000000005</v>
      </c>
      <c r="BC80" s="26" t="s">
        <v>1517</v>
      </c>
      <c r="BD80" s="6423"/>
      <c r="BE80" s="6475">
        <v>107</v>
      </c>
      <c r="BF80" s="6452" t="s">
        <v>1558</v>
      </c>
      <c r="BG80" s="7984">
        <f t="shared" si="32"/>
        <v>107</v>
      </c>
      <c r="BH80" s="6474">
        <v>1</v>
      </c>
    </row>
    <row r="81" spans="1:64" x14ac:dyDescent="0.35">
      <c r="A81" s="9168"/>
      <c r="B81" s="232"/>
      <c r="C81" s="1654" t="s">
        <v>1519</v>
      </c>
      <c r="D81" s="60"/>
      <c r="F81" s="163"/>
      <c r="H81" s="242"/>
      <c r="I81" s="243"/>
      <c r="J81" s="1602"/>
      <c r="L81" s="242"/>
      <c r="M81" s="157"/>
      <c r="O81" s="791">
        <f>200+156.684+131</f>
        <v>487.68399999999997</v>
      </c>
      <c r="P81" s="1648">
        <f>O81</f>
        <v>487.68399999999997</v>
      </c>
      <c r="Q81" s="469" t="s">
        <v>1559</v>
      </c>
      <c r="R81" s="782">
        <f>IF(O81=0,0,P81/O81)</f>
        <v>1</v>
      </c>
      <c r="S81" s="938"/>
      <c r="T81" s="780">
        <f>O81</f>
        <v>487.68399999999997</v>
      </c>
      <c r="U81" s="469" t="s">
        <v>1559</v>
      </c>
      <c r="V81" s="2974">
        <f>T81*R81</f>
        <v>487.68399999999997</v>
      </c>
      <c r="W81" s="782"/>
      <c r="Y81" s="5110">
        <v>1145</v>
      </c>
      <c r="Z81" s="1648">
        <f t="shared" si="30"/>
        <v>1145</v>
      </c>
      <c r="AA81" s="469"/>
      <c r="AB81" s="6456">
        <f>IF(Y81=0,0,Z81/Y81)</f>
        <v>1</v>
      </c>
      <c r="AC81" s="938"/>
      <c r="AD81" s="5104">
        <v>1625.917119</v>
      </c>
      <c r="AE81" s="469"/>
      <c r="AF81" s="6493">
        <f>AD81*AB81</f>
        <v>1625.917119</v>
      </c>
      <c r="AG81" s="782"/>
      <c r="AI81" s="26" t="s">
        <v>1510</v>
      </c>
      <c r="AJ81" s="5110">
        <v>1625.917119</v>
      </c>
      <c r="AK81" s="1648">
        <f t="shared" si="31"/>
        <v>1625.917119</v>
      </c>
      <c r="AL81" s="469"/>
      <c r="AM81" s="6456">
        <f>IF(AJ81=0,0,AK81/AJ81)</f>
        <v>1</v>
      </c>
      <c r="AN81" s="938"/>
      <c r="AO81" s="5104"/>
      <c r="AP81" s="469"/>
      <c r="AQ81" s="6493"/>
      <c r="AR81" s="26" t="s">
        <v>1510</v>
      </c>
      <c r="AT81" s="5110">
        <v>432.58284099999997</v>
      </c>
      <c r="AU81" s="6471">
        <f t="shared" si="36"/>
        <v>424.36376702099994</v>
      </c>
      <c r="AV81" s="6452" t="s">
        <v>1560</v>
      </c>
      <c r="AW81" s="6393">
        <v>0.98099999999999998</v>
      </c>
      <c r="AX81" s="6423"/>
      <c r="AY81" s="6475">
        <v>125.56699999999999</v>
      </c>
      <c r="AZ81" s="6452" t="s">
        <v>1560</v>
      </c>
      <c r="BA81" s="6473">
        <f t="shared" si="35"/>
        <v>99.323497000000003</v>
      </c>
      <c r="BB81" s="6393">
        <v>0.79100000000000004</v>
      </c>
      <c r="BC81" s="26" t="s">
        <v>1521</v>
      </c>
      <c r="BD81" s="6423"/>
      <c r="BE81" s="6475">
        <f>249.067</f>
        <v>249.06700000000001</v>
      </c>
      <c r="BF81" s="6452" t="s">
        <v>1522</v>
      </c>
      <c r="BG81" s="7984">
        <f t="shared" si="32"/>
        <v>249.06700000000001</v>
      </c>
      <c r="BH81" s="6474">
        <v>1</v>
      </c>
    </row>
    <row r="82" spans="1:64" x14ac:dyDescent="0.35">
      <c r="A82" s="9168"/>
      <c r="B82" s="1654"/>
      <c r="C82" s="232" t="s">
        <v>1533</v>
      </c>
      <c r="D82" s="60"/>
      <c r="F82" s="163"/>
      <c r="H82" s="242"/>
      <c r="I82" s="243"/>
      <c r="J82" s="1602"/>
      <c r="L82" s="242"/>
      <c r="M82" s="157"/>
      <c r="O82" s="791"/>
      <c r="P82" s="6583"/>
      <c r="Q82" s="469"/>
      <c r="R82" s="782"/>
      <c r="S82" s="938"/>
      <c r="T82" s="1566"/>
      <c r="U82" s="469"/>
      <c r="V82" s="2974"/>
      <c r="W82" s="782"/>
      <c r="Y82" s="5110"/>
      <c r="Z82" s="6583"/>
      <c r="AA82" s="469"/>
      <c r="AB82" s="6456"/>
      <c r="AC82" s="938"/>
      <c r="AD82" s="5106"/>
      <c r="AE82" s="469"/>
      <c r="AF82" s="6493"/>
      <c r="AG82" s="782"/>
      <c r="AI82" s="26"/>
      <c r="AJ82" s="5110"/>
      <c r="AK82" s="6583"/>
      <c r="AL82" s="469"/>
      <c r="AM82" s="6456"/>
      <c r="AN82" s="938"/>
      <c r="AO82" s="5106"/>
      <c r="AP82" s="469"/>
      <c r="AQ82" s="6493"/>
      <c r="AR82" s="26"/>
      <c r="AT82" s="5110">
        <v>315.71099800000002</v>
      </c>
      <c r="AU82" s="6471">
        <f t="shared" si="36"/>
        <v>315.71099800000002</v>
      </c>
      <c r="AV82" s="6452" t="s">
        <v>1561</v>
      </c>
      <c r="AW82" s="6393">
        <v>1</v>
      </c>
      <c r="AX82" s="6423"/>
      <c r="AY82" s="6477">
        <v>447</v>
      </c>
      <c r="AZ82" s="6452" t="s">
        <v>1561</v>
      </c>
      <c r="BA82" s="6473">
        <f t="shared" si="35"/>
        <v>447</v>
      </c>
      <c r="BB82" s="6393">
        <v>1</v>
      </c>
      <c r="BC82" s="26" t="s">
        <v>1537</v>
      </c>
      <c r="BD82" s="6423"/>
      <c r="BE82" s="6477">
        <v>874.14076</v>
      </c>
      <c r="BF82" s="6452" t="s">
        <v>1538</v>
      </c>
      <c r="BG82" s="7984">
        <f t="shared" si="32"/>
        <v>820.81817363999994</v>
      </c>
      <c r="BH82" s="6474">
        <v>0.93899999999999995</v>
      </c>
    </row>
    <row r="83" spans="1:64" x14ac:dyDescent="0.35">
      <c r="A83" s="9168"/>
      <c r="B83" s="1654"/>
      <c r="C83" s="1654" t="s">
        <v>1562</v>
      </c>
      <c r="D83" s="60"/>
      <c r="F83" s="163"/>
      <c r="H83" s="242"/>
      <c r="I83" s="243"/>
      <c r="J83" s="1602"/>
      <c r="L83" s="242"/>
      <c r="M83" s="157"/>
      <c r="O83" s="791"/>
      <c r="P83" s="6583"/>
      <c r="Q83" s="469"/>
      <c r="R83" s="782"/>
      <c r="S83" s="938"/>
      <c r="T83" s="1566"/>
      <c r="U83" s="469"/>
      <c r="V83" s="2974"/>
      <c r="W83" s="782"/>
      <c r="Y83" s="5110"/>
      <c r="Z83" s="6583"/>
      <c r="AA83" s="469"/>
      <c r="AB83" s="6456"/>
      <c r="AC83" s="938"/>
      <c r="AD83" s="5106"/>
      <c r="AE83" s="469"/>
      <c r="AF83" s="6493"/>
      <c r="AG83" s="782"/>
      <c r="AI83" s="26"/>
      <c r="AJ83" s="5110"/>
      <c r="AK83" s="6583"/>
      <c r="AL83" s="469"/>
      <c r="AM83" s="6456"/>
      <c r="AN83" s="938"/>
      <c r="AO83" s="5106"/>
      <c r="AP83" s="469"/>
      <c r="AQ83" s="6493"/>
      <c r="AR83" s="26"/>
      <c r="AT83" s="5110"/>
      <c r="AU83" s="6476"/>
      <c r="AV83" s="6452"/>
      <c r="AW83" s="6393"/>
      <c r="AX83" s="6423"/>
      <c r="AY83" s="6477"/>
      <c r="AZ83" s="6452"/>
      <c r="BA83" s="6473"/>
      <c r="BB83" s="6393"/>
      <c r="BC83" s="26"/>
      <c r="BD83" s="6423"/>
      <c r="BE83" s="6477">
        <f>350+100</f>
        <v>450</v>
      </c>
      <c r="BF83" s="6452" t="s">
        <v>1563</v>
      </c>
      <c r="BG83" s="7984">
        <f t="shared" si="32"/>
        <v>450</v>
      </c>
      <c r="BH83" s="6474">
        <v>1</v>
      </c>
    </row>
    <row r="84" spans="1:64" x14ac:dyDescent="0.35">
      <c r="A84" s="9168"/>
      <c r="B84" s="1654"/>
      <c r="C84" s="1654" t="s">
        <v>1539</v>
      </c>
      <c r="D84" s="87"/>
      <c r="F84" s="130"/>
      <c r="H84" s="131"/>
      <c r="I84" s="132"/>
      <c r="J84" s="1604">
        <f>IF(H84=0,0,I84/H84)</f>
        <v>0</v>
      </c>
      <c r="L84" s="242"/>
      <c r="M84" s="157">
        <f>L84*J84</f>
        <v>0</v>
      </c>
      <c r="O84" s="796">
        <v>2000</v>
      </c>
      <c r="P84" s="1658">
        <f>O84</f>
        <v>2000</v>
      </c>
      <c r="Q84" s="6494" t="s">
        <v>1564</v>
      </c>
      <c r="R84" s="798">
        <f>IF(O84=0,0,P84/O84)</f>
        <v>1</v>
      </c>
      <c r="S84" s="938"/>
      <c r="T84" s="5139">
        <f>O84</f>
        <v>2000</v>
      </c>
      <c r="U84" s="6494" t="s">
        <v>1564</v>
      </c>
      <c r="V84" s="6584">
        <f>T84*R84</f>
        <v>2000</v>
      </c>
      <c r="W84" s="798"/>
      <c r="Y84" s="5112">
        <v>0</v>
      </c>
      <c r="Z84" s="1658">
        <f t="shared" si="30"/>
        <v>0</v>
      </c>
      <c r="AA84" s="6494"/>
      <c r="AB84" s="6500">
        <f>IF(Y84=0,0,Z84/Y84)</f>
        <v>0</v>
      </c>
      <c r="AC84" s="938"/>
      <c r="AD84" s="5140">
        <v>0</v>
      </c>
      <c r="AE84" s="6494"/>
      <c r="AF84" s="6585">
        <f>AD84*AB84</f>
        <v>0</v>
      </c>
      <c r="AG84" s="798"/>
      <c r="AI84" s="26" t="s">
        <v>1565</v>
      </c>
      <c r="AJ84" s="5112">
        <v>0</v>
      </c>
      <c r="AK84" s="1658">
        <f t="shared" si="31"/>
        <v>0</v>
      </c>
      <c r="AL84" s="6494"/>
      <c r="AM84" s="6500">
        <f>IF(AJ84=0,0,AK84/AJ84)</f>
        <v>0</v>
      </c>
      <c r="AN84" s="938"/>
      <c r="AO84" s="5140"/>
      <c r="AP84" s="6494"/>
      <c r="AQ84" s="6585"/>
      <c r="AR84" s="26"/>
      <c r="AT84" s="5112"/>
      <c r="AU84" s="1658"/>
      <c r="AV84" s="6483"/>
      <c r="AW84" s="6484"/>
      <c r="AX84" s="6423"/>
      <c r="AY84" s="6485"/>
      <c r="AZ84" s="6483"/>
      <c r="BA84" s="6486"/>
      <c r="BB84" s="6484"/>
      <c r="BC84" s="26"/>
      <c r="BD84" s="6423"/>
      <c r="BE84" s="6485">
        <v>200</v>
      </c>
      <c r="BF84" s="6483" t="s">
        <v>1566</v>
      </c>
      <c r="BG84" s="7984">
        <f t="shared" si="32"/>
        <v>176.8</v>
      </c>
      <c r="BH84" s="6474">
        <v>0.88400000000000001</v>
      </c>
    </row>
    <row r="85" spans="1:64" x14ac:dyDescent="0.35">
      <c r="A85" s="9168"/>
      <c r="B85" s="271" t="s">
        <v>965</v>
      </c>
      <c r="C85" s="271"/>
      <c r="D85" s="140"/>
      <c r="E85" s="141"/>
      <c r="F85" s="227"/>
      <c r="G85" s="141"/>
      <c r="H85" s="245"/>
      <c r="I85" s="106"/>
      <c r="J85" s="909"/>
      <c r="K85" s="141"/>
      <c r="L85" s="102"/>
      <c r="M85" s="268"/>
      <c r="N85" s="141"/>
      <c r="O85" s="6586" t="s">
        <v>1446</v>
      </c>
      <c r="P85" s="847"/>
      <c r="Q85" s="847"/>
      <c r="R85" s="909"/>
      <c r="S85" s="892"/>
      <c r="T85" s="866"/>
      <c r="U85" s="847"/>
      <c r="V85" s="712"/>
      <c r="W85" s="909"/>
      <c r="X85" s="141"/>
      <c r="Y85" t="s">
        <v>1447</v>
      </c>
      <c r="Z85" s="847"/>
      <c r="AA85" s="847"/>
      <c r="AB85" s="6470"/>
      <c r="AC85" s="892"/>
      <c r="AD85" s="866"/>
      <c r="AE85" s="847"/>
      <c r="AF85" s="712"/>
      <c r="AG85" s="909"/>
      <c r="AH85" s="141"/>
      <c r="AI85" s="18"/>
      <c r="AJ85"/>
      <c r="AK85" s="847"/>
      <c r="AL85" s="847"/>
      <c r="AM85" s="6470"/>
      <c r="AN85" s="892"/>
      <c r="AO85" s="866"/>
      <c r="AP85" s="847"/>
      <c r="AQ85" s="712"/>
      <c r="AR85" s="18"/>
      <c r="AS85" s="141"/>
      <c r="AT85" s="6" t="s">
        <v>919</v>
      </c>
      <c r="AU85" s="847" t="s">
        <v>1567</v>
      </c>
      <c r="AV85" s="6487"/>
      <c r="AW85" s="6488"/>
      <c r="AX85" s="6480"/>
      <c r="AY85" s="6489" t="s">
        <v>919</v>
      </c>
      <c r="AZ85" s="6490"/>
      <c r="BA85" s="6491" t="s">
        <v>1567</v>
      </c>
      <c r="BB85" s="6492"/>
      <c r="BC85" s="18"/>
      <c r="BD85" s="6480"/>
      <c r="BE85" s="6489" t="s">
        <v>1568</v>
      </c>
      <c r="BF85" s="6490"/>
      <c r="BG85" s="6491" t="s">
        <v>1567</v>
      </c>
      <c r="BH85" s="6492"/>
      <c r="BK85" s="254"/>
      <c r="BL85" s="254"/>
    </row>
    <row r="86" spans="1:64" x14ac:dyDescent="0.35">
      <c r="A86" s="9168"/>
      <c r="B86" s="232"/>
      <c r="C86" s="232" t="s">
        <v>1286</v>
      </c>
      <c r="D86" s="60"/>
      <c r="F86" s="111">
        <v>270.63099999999997</v>
      </c>
      <c r="H86" s="112">
        <v>459.493752868</v>
      </c>
      <c r="I86" s="113">
        <v>459.19768993100001</v>
      </c>
      <c r="J86" s="1602">
        <f>IF(H86=0,0,I86/H86)</f>
        <v>0.99935567581680473</v>
      </c>
      <c r="L86" s="112">
        <v>552.08681957700003</v>
      </c>
      <c r="M86" s="157">
        <f>L86*J86</f>
        <v>551.73109668792324</v>
      </c>
      <c r="O86" s="780">
        <v>548460.74067099998</v>
      </c>
      <c r="P86" s="781">
        <v>546910</v>
      </c>
      <c r="Q86" s="469" t="s">
        <v>1569</v>
      </c>
      <c r="R86" s="782">
        <f t="shared" ref="R86:R93" si="37">IF(O86=0,0,P86/O86)</f>
        <v>0.99717255847865649</v>
      </c>
      <c r="S86" s="938"/>
      <c r="T86" s="780">
        <v>606963</v>
      </c>
      <c r="U86" s="469" t="s">
        <v>1569</v>
      </c>
      <c r="V86" s="2974">
        <f>T86*R86</f>
        <v>605246.84761188074</v>
      </c>
      <c r="W86" s="782"/>
      <c r="Y86" s="5104">
        <f>T86</f>
        <v>606963</v>
      </c>
      <c r="Z86" s="5105">
        <v>600477.5</v>
      </c>
      <c r="AA86" s="469"/>
      <c r="AB86" s="6456">
        <f t="shared" ref="AB86:AB93" si="38">IF(Y86=0,0,Z86/Y86)</f>
        <v>0.98931483467690784</v>
      </c>
      <c r="AC86" s="938"/>
      <c r="AD86" s="5104">
        <v>629111.5</v>
      </c>
      <c r="AE86" s="469"/>
      <c r="AF86" s="6493">
        <f>AD86*AB86</f>
        <v>622389.33961584151</v>
      </c>
      <c r="AG86" s="782"/>
      <c r="AI86" s="26"/>
      <c r="AJ86" s="5104">
        <v>629111.5</v>
      </c>
      <c r="AK86" s="5105"/>
      <c r="AL86" s="469"/>
      <c r="AM86" s="6456">
        <f t="shared" ref="AM86:AM93" si="39">IF(AJ86=0,0,AK86/AJ86)</f>
        <v>0</v>
      </c>
      <c r="AN86" s="938"/>
      <c r="AO86" s="5104">
        <v>629111.5</v>
      </c>
      <c r="AP86" s="469"/>
      <c r="AQ86" s="6493">
        <f>AO86*AM86</f>
        <v>0</v>
      </c>
      <c r="AR86" s="26"/>
      <c r="AT86" s="5104">
        <v>754786.72898599994</v>
      </c>
      <c r="AU86" s="5105">
        <f>AT86*AW86</f>
        <v>748509.91627093963</v>
      </c>
      <c r="AV86" s="459" t="s">
        <v>1570</v>
      </c>
      <c r="AW86" s="6456">
        <f>AW36</f>
        <v>0.99168399168399168</v>
      </c>
      <c r="AX86" s="938"/>
      <c r="AY86" s="5104">
        <v>781546.94166100002</v>
      </c>
      <c r="AZ86" s="459" t="s">
        <v>1570</v>
      </c>
      <c r="BA86" s="6493">
        <f>AY86*BB86</f>
        <v>775047.59079479624</v>
      </c>
      <c r="BB86" s="6404">
        <f>AW86</f>
        <v>0.99168399168399168</v>
      </c>
      <c r="BC86" s="26"/>
      <c r="BD86" s="938"/>
      <c r="BE86" s="5104">
        <v>753830.90031900001</v>
      </c>
      <c r="BF86" s="459"/>
      <c r="BG86" s="6493">
        <f>BE86*BH36</f>
        <v>778531.30832900049</v>
      </c>
      <c r="BH86" s="6474">
        <f>BG86/BE86</f>
        <v>1.0327665103666459</v>
      </c>
    </row>
    <row r="87" spans="1:64" x14ac:dyDescent="0.35">
      <c r="A87" s="9168"/>
      <c r="B87" s="232"/>
      <c r="C87" s="232" t="s">
        <v>1571</v>
      </c>
      <c r="D87" s="60"/>
      <c r="F87" s="155">
        <v>19.327000000000002</v>
      </c>
      <c r="H87" s="117">
        <v>30.024803331000001</v>
      </c>
      <c r="I87" s="115">
        <v>27.257137811</v>
      </c>
      <c r="J87" s="1602">
        <f>IF(H87=0,0,I87/H87)</f>
        <v>0.90782069446088787</v>
      </c>
      <c r="L87" s="117">
        <v>33.929343424999999</v>
      </c>
      <c r="M87" s="157">
        <f>L87*J87</f>
        <v>30.801760110685457</v>
      </c>
      <c r="O87" s="5141">
        <f>P87</f>
        <v>2409</v>
      </c>
      <c r="P87" s="786">
        <v>2409</v>
      </c>
      <c r="Q87" s="469" t="s">
        <v>1572</v>
      </c>
      <c r="R87" s="782">
        <f t="shared" si="37"/>
        <v>1</v>
      </c>
      <c r="S87" s="938"/>
      <c r="T87" s="785">
        <v>32333</v>
      </c>
      <c r="U87" s="469" t="s">
        <v>1572</v>
      </c>
      <c r="V87" s="2974">
        <f>T87*R87</f>
        <v>32333</v>
      </c>
      <c r="W87" s="782"/>
      <c r="Y87" s="5142">
        <f>T87</f>
        <v>32333</v>
      </c>
      <c r="Z87" s="5143">
        <v>0</v>
      </c>
      <c r="AA87" s="469"/>
      <c r="AB87" s="6456">
        <f t="shared" si="38"/>
        <v>0</v>
      </c>
      <c r="AC87" s="938"/>
      <c r="AD87" s="5138">
        <v>0</v>
      </c>
      <c r="AE87" s="469"/>
      <c r="AF87" s="6493">
        <f>AD87*AB87</f>
        <v>0</v>
      </c>
      <c r="AG87" s="782"/>
      <c r="AI87" s="26"/>
      <c r="AJ87" s="5142">
        <v>0</v>
      </c>
      <c r="AK87" s="5143">
        <v>0</v>
      </c>
      <c r="AL87" s="469"/>
      <c r="AM87" s="6456">
        <f t="shared" si="39"/>
        <v>0</v>
      </c>
      <c r="AN87" s="938"/>
      <c r="AO87" s="5138">
        <v>0</v>
      </c>
      <c r="AP87" s="469"/>
      <c r="AQ87" s="6493">
        <f>AO87*AM87</f>
        <v>0</v>
      </c>
      <c r="AR87" s="26"/>
      <c r="AT87" s="5142"/>
      <c r="AU87" s="5143"/>
      <c r="AV87" s="459"/>
      <c r="AW87" s="6456">
        <f t="shared" ref="AW87:AW93" si="40">IF(AT87=0,0,AU87/AT87)</f>
        <v>0</v>
      </c>
      <c r="AX87" s="938"/>
      <c r="AY87" s="5138"/>
      <c r="AZ87" s="459"/>
      <c r="BA87" s="6493"/>
      <c r="BB87" s="6404">
        <f t="shared" ref="BB87:BB93" si="41">IF(AY87=0,0,AZ87/AY87)</f>
        <v>0</v>
      </c>
      <c r="BC87" s="26"/>
      <c r="BD87" s="938"/>
      <c r="BE87" s="5138">
        <v>39998.220179000004</v>
      </c>
      <c r="BF87" s="459"/>
      <c r="BG87" s="6493">
        <f>BE87*BH36</f>
        <v>41308.822275142593</v>
      </c>
      <c r="BH87" s="6474">
        <f>BG87/BE87</f>
        <v>1.0327665103666459</v>
      </c>
    </row>
    <row r="88" spans="1:64" x14ac:dyDescent="0.35">
      <c r="A88" s="9168"/>
      <c r="B88" s="232"/>
      <c r="C88" s="232" t="s">
        <v>937</v>
      </c>
      <c r="D88" s="60">
        <v>4</v>
      </c>
      <c r="F88" s="163">
        <v>34.420999999999999</v>
      </c>
      <c r="H88" s="242">
        <v>54.513265992999997</v>
      </c>
      <c r="I88" s="243">
        <v>53.152182400000001</v>
      </c>
      <c r="J88" s="1602">
        <f>IF(H88=0,0,I88/H88)</f>
        <v>0.97503206663173014</v>
      </c>
      <c r="L88" s="242">
        <v>59.855944358999999</v>
      </c>
      <c r="M88" s="157">
        <f>L88*J88</f>
        <v>58.361465128549618</v>
      </c>
      <c r="O88" s="780">
        <v>69747.327065999998</v>
      </c>
      <c r="P88" s="792">
        <v>68595</v>
      </c>
      <c r="Q88" s="456" t="s">
        <v>1474</v>
      </c>
      <c r="R88" s="782">
        <f t="shared" si="37"/>
        <v>0.9834785487204466</v>
      </c>
      <c r="S88" s="938"/>
      <c r="T88" s="791">
        <v>71030</v>
      </c>
      <c r="U88" s="456" t="s">
        <v>1474</v>
      </c>
      <c r="V88" s="2974">
        <f>T88*R88</f>
        <v>69856.481315613317</v>
      </c>
      <c r="W88" s="782"/>
      <c r="Y88" s="5104">
        <f>T88</f>
        <v>71030</v>
      </c>
      <c r="Z88" s="5111">
        <v>71017</v>
      </c>
      <c r="AA88" s="456"/>
      <c r="AB88" s="6456">
        <f t="shared" si="38"/>
        <v>0.99981697874137687</v>
      </c>
      <c r="AC88" s="938"/>
      <c r="AD88" s="5110">
        <v>80687</v>
      </c>
      <c r="AF88" s="6493">
        <f>AD88*AB88</f>
        <v>80672.232563705475</v>
      </c>
      <c r="AG88" s="782"/>
      <c r="AI88" s="26"/>
      <c r="AJ88" s="5104">
        <v>80687</v>
      </c>
      <c r="AK88" s="5111"/>
      <c r="AL88" s="456"/>
      <c r="AM88" s="6456">
        <f t="shared" si="39"/>
        <v>0</v>
      </c>
      <c r="AN88" s="938"/>
      <c r="AO88" s="5110">
        <v>80687</v>
      </c>
      <c r="AQ88" s="6493">
        <f>AO88*AM88</f>
        <v>0</v>
      </c>
      <c r="AR88" s="26"/>
      <c r="AT88" s="5104">
        <v>85612.496771999999</v>
      </c>
      <c r="AU88" s="5111">
        <f>AT88*AW88</f>
        <v>84900.542536889814</v>
      </c>
      <c r="AV88" s="459" t="s">
        <v>1573</v>
      </c>
      <c r="AW88" s="6456">
        <f>AW86</f>
        <v>0.99168399168399168</v>
      </c>
      <c r="AX88" s="938"/>
      <c r="AY88" s="5110">
        <v>85259.602719000002</v>
      </c>
      <c r="AZ88" s="459" t="s">
        <v>1573</v>
      </c>
      <c r="BA88" s="6493">
        <f>AY88*BB88</f>
        <v>84550.583153769228</v>
      </c>
      <c r="BB88" s="6404">
        <f>AW88</f>
        <v>0.99168399168399168</v>
      </c>
      <c r="BC88" s="26"/>
      <c r="BD88" s="938"/>
      <c r="BE88" s="5110">
        <v>88141.962417000002</v>
      </c>
      <c r="BF88" s="459"/>
      <c r="BG88" s="6493">
        <f>BE88*BH36</f>
        <v>91030.066942273144</v>
      </c>
      <c r="BH88" s="6474">
        <f>BG88/BE88</f>
        <v>1.0327665103666459</v>
      </c>
    </row>
    <row r="89" spans="1:64" x14ac:dyDescent="0.35">
      <c r="A89" s="9168"/>
      <c r="B89" s="232"/>
      <c r="C89" s="232" t="s">
        <v>977</v>
      </c>
      <c r="D89" s="60"/>
      <c r="F89" s="163"/>
      <c r="H89" s="242"/>
      <c r="I89" s="243"/>
      <c r="J89" s="1602">
        <f>IF(H89=0,0,I89/H89)</f>
        <v>0</v>
      </c>
      <c r="L89" s="242"/>
      <c r="M89" s="157">
        <f>L89*J89</f>
        <v>0</v>
      </c>
      <c r="O89" s="791"/>
      <c r="P89" s="792"/>
      <c r="Q89" s="456"/>
      <c r="R89" s="782">
        <f t="shared" si="37"/>
        <v>0</v>
      </c>
      <c r="S89" s="938"/>
      <c r="T89" s="791"/>
      <c r="V89" s="712"/>
      <c r="W89" s="782"/>
      <c r="Y89" s="791"/>
      <c r="Z89" s="792"/>
      <c r="AA89" s="456"/>
      <c r="AB89" s="6456">
        <f t="shared" si="38"/>
        <v>0</v>
      </c>
      <c r="AC89" s="938"/>
      <c r="AD89" s="791"/>
      <c r="AF89" s="712"/>
      <c r="AG89" s="782"/>
      <c r="AI89" s="26"/>
      <c r="AJ89" s="791"/>
      <c r="AK89" s="792"/>
      <c r="AL89" s="456"/>
      <c r="AM89" s="6456">
        <f t="shared" si="39"/>
        <v>0</v>
      </c>
      <c r="AN89" s="938"/>
      <c r="AO89" s="791"/>
      <c r="AQ89" s="712"/>
      <c r="AR89" s="26"/>
      <c r="AT89" s="791"/>
      <c r="AU89" s="792"/>
      <c r="AV89" s="459"/>
      <c r="AW89" s="6456">
        <f t="shared" si="40"/>
        <v>0</v>
      </c>
      <c r="AX89" s="938"/>
      <c r="AY89" s="791"/>
      <c r="AZ89" s="459"/>
      <c r="BA89" s="712"/>
      <c r="BB89" s="6404">
        <f t="shared" si="41"/>
        <v>0</v>
      </c>
      <c r="BC89" s="26"/>
      <c r="BD89" s="938"/>
      <c r="BE89" s="791"/>
      <c r="BF89" s="459"/>
      <c r="BG89" s="712"/>
      <c r="BH89" s="6404"/>
    </row>
    <row r="90" spans="1:64" x14ac:dyDescent="0.35">
      <c r="A90" s="9168"/>
      <c r="B90" s="232"/>
      <c r="C90" s="232" t="s">
        <v>962</v>
      </c>
      <c r="D90" s="60"/>
      <c r="F90" s="163"/>
      <c r="H90" s="242"/>
      <c r="I90" s="243"/>
      <c r="J90" s="1602">
        <f>IF(H90=0,0,I90/H90)</f>
        <v>0</v>
      </c>
      <c r="L90" s="242"/>
      <c r="M90" s="157">
        <f>L90*J90</f>
        <v>0</v>
      </c>
      <c r="O90" s="791"/>
      <c r="P90" s="792"/>
      <c r="Q90" s="456"/>
      <c r="R90" s="782">
        <f t="shared" si="37"/>
        <v>0</v>
      </c>
      <c r="S90" s="938"/>
      <c r="T90" s="791"/>
      <c r="W90" s="782"/>
      <c r="Y90" s="791"/>
      <c r="Z90" s="792"/>
      <c r="AA90" s="456"/>
      <c r="AB90" s="6456">
        <f t="shared" si="38"/>
        <v>0</v>
      </c>
      <c r="AC90" s="938"/>
      <c r="AD90" s="791"/>
      <c r="AG90" s="782"/>
      <c r="AI90" s="26"/>
      <c r="AJ90" s="791"/>
      <c r="AK90" s="792"/>
      <c r="AL90" s="456"/>
      <c r="AM90" s="6456">
        <f t="shared" si="39"/>
        <v>0</v>
      </c>
      <c r="AN90" s="938"/>
      <c r="AO90" s="791"/>
      <c r="AR90" s="26"/>
      <c r="AT90" s="791"/>
      <c r="AU90" s="792"/>
      <c r="AV90" s="456"/>
      <c r="AW90" s="6456">
        <f t="shared" si="40"/>
        <v>0</v>
      </c>
      <c r="AX90" s="938"/>
      <c r="AY90" s="791"/>
      <c r="BB90" s="6404">
        <f t="shared" si="41"/>
        <v>0</v>
      </c>
      <c r="BC90" s="26"/>
      <c r="BD90" s="938"/>
      <c r="BE90" s="791"/>
      <c r="BH90" s="6404"/>
    </row>
    <row r="91" spans="1:64" x14ac:dyDescent="0.35">
      <c r="A91" s="9168"/>
      <c r="B91" s="232"/>
      <c r="C91" s="232" t="s">
        <v>963</v>
      </c>
      <c r="D91" s="60"/>
      <c r="F91" s="163"/>
      <c r="H91" s="242"/>
      <c r="I91" s="243"/>
      <c r="J91" s="1602"/>
      <c r="L91" s="242"/>
      <c r="M91" s="157"/>
      <c r="O91" s="791"/>
      <c r="P91" s="792"/>
      <c r="Q91" s="456"/>
      <c r="R91" s="782">
        <f t="shared" si="37"/>
        <v>0</v>
      </c>
      <c r="S91" s="938"/>
      <c r="T91" s="791"/>
      <c r="W91" s="782"/>
      <c r="Y91" s="791"/>
      <c r="Z91" s="792"/>
      <c r="AA91" s="456"/>
      <c r="AB91" s="6456">
        <f t="shared" si="38"/>
        <v>0</v>
      </c>
      <c r="AC91" s="938"/>
      <c r="AD91" s="791"/>
      <c r="AG91" s="782"/>
      <c r="AI91" s="26"/>
      <c r="AJ91" s="791"/>
      <c r="AK91" s="792"/>
      <c r="AL91" s="456"/>
      <c r="AM91" s="6456">
        <f t="shared" si="39"/>
        <v>0</v>
      </c>
      <c r="AN91" s="938"/>
      <c r="AO91" s="791"/>
      <c r="AR91" s="26"/>
      <c r="AT91" s="791"/>
      <c r="AU91" s="792"/>
      <c r="AV91" s="456"/>
      <c r="AW91" s="6456">
        <f t="shared" si="40"/>
        <v>0</v>
      </c>
      <c r="AX91" s="938"/>
      <c r="AY91" s="791"/>
      <c r="BB91" s="6404">
        <f t="shared" si="41"/>
        <v>0</v>
      </c>
      <c r="BC91" s="26"/>
      <c r="BD91" s="938"/>
      <c r="BE91" s="791"/>
      <c r="BH91" s="6404"/>
    </row>
    <row r="92" spans="1:64" x14ac:dyDescent="0.35">
      <c r="A92" s="9168"/>
      <c r="B92" s="232"/>
      <c r="C92" s="232" t="s">
        <v>964</v>
      </c>
      <c r="D92" s="60"/>
      <c r="F92" s="163"/>
      <c r="H92" s="242"/>
      <c r="I92" s="243"/>
      <c r="J92" s="1602">
        <f>IF(H92=0,0,I92/H92)</f>
        <v>0</v>
      </c>
      <c r="L92" s="242"/>
      <c r="M92" s="157">
        <f>L92*J92</f>
        <v>0</v>
      </c>
      <c r="O92" s="791"/>
      <c r="P92" s="792"/>
      <c r="Q92" s="456"/>
      <c r="R92" s="782">
        <f t="shared" si="37"/>
        <v>0</v>
      </c>
      <c r="S92" s="938"/>
      <c r="T92" s="791"/>
      <c r="W92" s="782"/>
      <c r="Y92" s="791"/>
      <c r="Z92" s="792"/>
      <c r="AA92" s="456"/>
      <c r="AB92" s="6456">
        <f t="shared" si="38"/>
        <v>0</v>
      </c>
      <c r="AC92" s="938"/>
      <c r="AD92" s="791"/>
      <c r="AG92" s="782"/>
      <c r="AI92" s="26"/>
      <c r="AJ92" s="791"/>
      <c r="AK92" s="792"/>
      <c r="AL92" s="456"/>
      <c r="AM92" s="6456">
        <f t="shared" si="39"/>
        <v>0</v>
      </c>
      <c r="AN92" s="938"/>
      <c r="AO92" s="791"/>
      <c r="AR92" s="26"/>
      <c r="AT92" s="791"/>
      <c r="AU92" s="792"/>
      <c r="AV92" s="456"/>
      <c r="AW92" s="6456">
        <f t="shared" si="40"/>
        <v>0</v>
      </c>
      <c r="AX92" s="938"/>
      <c r="AY92" s="791"/>
      <c r="BB92" s="6404">
        <f t="shared" si="41"/>
        <v>0</v>
      </c>
      <c r="BC92" s="26"/>
      <c r="BD92" s="938"/>
      <c r="BE92" s="791"/>
      <c r="BH92" s="6404"/>
    </row>
    <row r="93" spans="1:64" x14ac:dyDescent="0.35">
      <c r="A93" s="9168"/>
      <c r="B93" s="1662"/>
      <c r="C93" s="1662" t="s">
        <v>978</v>
      </c>
      <c r="D93" s="87"/>
      <c r="F93" s="130"/>
      <c r="H93" s="242"/>
      <c r="I93" s="243"/>
      <c r="J93" s="1602">
        <f>IF(H93=0,0,I93/H93)</f>
        <v>0</v>
      </c>
      <c r="L93" s="242"/>
      <c r="M93" s="157">
        <f>L93*J93</f>
        <v>0</v>
      </c>
      <c r="O93" s="791"/>
      <c r="P93" s="792"/>
      <c r="Q93" s="456"/>
      <c r="R93" s="782">
        <f t="shared" si="37"/>
        <v>0</v>
      </c>
      <c r="S93" s="938"/>
      <c r="T93" s="791"/>
      <c r="V93" s="712"/>
      <c r="W93" s="782"/>
      <c r="Y93" s="791"/>
      <c r="Z93" s="792"/>
      <c r="AA93" s="456"/>
      <c r="AB93" s="6456">
        <f t="shared" si="38"/>
        <v>0</v>
      </c>
      <c r="AC93" s="938"/>
      <c r="AD93" s="791"/>
      <c r="AF93" s="712"/>
      <c r="AG93" s="782"/>
      <c r="AI93" s="24"/>
      <c r="AJ93" s="791"/>
      <c r="AK93" s="792"/>
      <c r="AL93" s="456"/>
      <c r="AM93" s="6456">
        <f t="shared" si="39"/>
        <v>0</v>
      </c>
      <c r="AN93" s="938"/>
      <c r="AO93" s="791"/>
      <c r="AQ93" s="712"/>
      <c r="AR93" s="24"/>
      <c r="AT93" s="791"/>
      <c r="AU93" s="792"/>
      <c r="AV93" s="456"/>
      <c r="AW93" s="6456">
        <f t="shared" si="40"/>
        <v>0</v>
      </c>
      <c r="AX93" s="938"/>
      <c r="AY93" s="796"/>
      <c r="AZ93" s="6494"/>
      <c r="BA93" s="6495"/>
      <c r="BB93" s="6496">
        <f t="shared" si="41"/>
        <v>0</v>
      </c>
      <c r="BC93" s="24"/>
      <c r="BD93" s="938"/>
      <c r="BE93" s="796"/>
      <c r="BF93" s="6494"/>
      <c r="BG93" s="6495"/>
      <c r="BH93" s="6496"/>
    </row>
    <row r="94" spans="1:64" x14ac:dyDescent="0.35">
      <c r="A94" s="9168"/>
      <c r="B94" s="271" t="s">
        <v>979</v>
      </c>
      <c r="C94" s="6587"/>
      <c r="D94" s="140"/>
      <c r="E94" s="143"/>
      <c r="F94" s="227"/>
      <c r="G94" s="143"/>
      <c r="H94" s="102"/>
      <c r="I94" s="103"/>
      <c r="J94" s="6570"/>
      <c r="K94" s="143"/>
      <c r="L94" s="102"/>
      <c r="M94" s="268"/>
      <c r="N94" s="143"/>
      <c r="O94" s="773"/>
      <c r="P94" s="774"/>
      <c r="Q94" s="774"/>
      <c r="R94" s="776"/>
      <c r="S94" s="892"/>
      <c r="T94" s="773"/>
      <c r="U94" s="774"/>
      <c r="V94" s="774"/>
      <c r="W94" s="776"/>
      <c r="X94" s="143"/>
      <c r="Y94" s="773"/>
      <c r="Z94" s="774"/>
      <c r="AA94" s="774"/>
      <c r="AB94" s="6436"/>
      <c r="AC94" s="892"/>
      <c r="AD94" s="773"/>
      <c r="AE94" s="774"/>
      <c r="AF94" s="774"/>
      <c r="AG94" s="776"/>
      <c r="AH94" s="143"/>
      <c r="AI94" s="18"/>
      <c r="AJ94" s="773"/>
      <c r="AK94" s="774"/>
      <c r="AL94" s="774"/>
      <c r="AM94" s="6436"/>
      <c r="AN94" s="892"/>
      <c r="AO94" s="773"/>
      <c r="AP94" s="774"/>
      <c r="AQ94" s="774"/>
      <c r="AR94" s="18"/>
      <c r="AS94" s="143"/>
      <c r="AT94" s="1032" t="s">
        <v>1574</v>
      </c>
      <c r="AU94" s="6497" t="s">
        <v>1575</v>
      </c>
      <c r="AV94" s="774"/>
      <c r="AW94" s="6436"/>
      <c r="AX94" s="892"/>
      <c r="AY94" s="1032" t="s">
        <v>1576</v>
      </c>
      <c r="AZ94" s="774"/>
      <c r="BA94" s="6497" t="s">
        <v>1575</v>
      </c>
      <c r="BB94" s="6436"/>
      <c r="BC94" s="18"/>
      <c r="BD94" s="892"/>
      <c r="BE94" s="1032"/>
      <c r="BF94" s="774"/>
      <c r="BG94" s="6497" t="s">
        <v>1577</v>
      </c>
      <c r="BH94" s="6436"/>
    </row>
    <row r="95" spans="1:64" x14ac:dyDescent="0.35">
      <c r="A95" s="9168"/>
      <c r="B95" s="272"/>
      <c r="C95" s="6588" t="s">
        <v>980</v>
      </c>
      <c r="D95" s="60"/>
      <c r="F95" s="155"/>
      <c r="H95" s="117"/>
      <c r="I95" s="115"/>
      <c r="J95" s="1602">
        <f>IF(H95=0,0,I95/H95)</f>
        <v>0</v>
      </c>
      <c r="L95" s="117"/>
      <c r="M95" s="157">
        <f>M41*M98</f>
        <v>0</v>
      </c>
      <c r="O95" s="780"/>
      <c r="P95" s="781"/>
      <c r="Q95" s="456"/>
      <c r="R95" s="782">
        <f>IF(O95=0,0,P95/O95)</f>
        <v>0</v>
      </c>
      <c r="S95" s="938"/>
      <c r="T95" s="780"/>
      <c r="W95" s="782"/>
      <c r="Y95" s="780"/>
      <c r="Z95" s="781"/>
      <c r="AA95" s="456"/>
      <c r="AB95" s="6456">
        <f>IF(Y95=0,0,Z95/Y95)</f>
        <v>0</v>
      </c>
      <c r="AC95" s="938"/>
      <c r="AD95" s="780"/>
      <c r="AG95" s="782"/>
      <c r="AI95" s="26"/>
      <c r="AJ95" s="780"/>
      <c r="AK95" s="781"/>
      <c r="AL95" s="456"/>
      <c r="AM95" s="6456">
        <f>IF(AJ95=0,0,AK95/AJ95)</f>
        <v>0</v>
      </c>
      <c r="AN95" s="938"/>
      <c r="AO95" s="780"/>
      <c r="AR95" s="26"/>
      <c r="AT95" s="5104"/>
      <c r="AU95" s="5105"/>
      <c r="AV95" s="456"/>
      <c r="AW95" s="6456"/>
      <c r="AX95" s="938"/>
      <c r="AY95" s="5104"/>
      <c r="BA95" s="6498"/>
      <c r="BC95" s="26"/>
      <c r="BD95" s="938"/>
      <c r="BE95" s="5104"/>
      <c r="BF95" s="7985"/>
      <c r="BG95" s="6498"/>
      <c r="BI95" s="972" t="s">
        <v>1578</v>
      </c>
    </row>
    <row r="96" spans="1:64" x14ac:dyDescent="0.35">
      <c r="A96" s="9168"/>
      <c r="B96" s="274"/>
      <c r="C96" s="6589" t="s">
        <v>1336</v>
      </c>
      <c r="D96" s="60"/>
      <c r="F96" s="163"/>
      <c r="H96" s="242"/>
      <c r="I96" s="243"/>
      <c r="J96" s="1602"/>
      <c r="L96" s="242"/>
      <c r="M96" s="157"/>
      <c r="O96" s="780"/>
      <c r="P96" s="781"/>
      <c r="Q96" s="456"/>
      <c r="R96" s="782"/>
      <c r="S96" s="938"/>
      <c r="T96" s="780"/>
      <c r="W96" s="782"/>
      <c r="Y96" s="780"/>
      <c r="Z96" s="781"/>
      <c r="AA96" s="456"/>
      <c r="AB96" s="6456"/>
      <c r="AC96" s="938"/>
      <c r="AD96" s="780"/>
      <c r="AG96" s="782"/>
      <c r="AI96" s="26"/>
      <c r="AJ96" s="780"/>
      <c r="AK96" s="781"/>
      <c r="AL96" s="456"/>
      <c r="AM96" s="6456"/>
      <c r="AN96" s="938"/>
      <c r="AO96" s="780"/>
      <c r="AR96" s="26"/>
      <c r="AT96" s="780"/>
      <c r="AU96" s="781"/>
      <c r="AV96" s="456"/>
      <c r="AW96" s="6456"/>
      <c r="AX96" s="938"/>
      <c r="AY96" s="780"/>
      <c r="BB96" s="6456"/>
      <c r="BC96" s="26"/>
      <c r="BD96" s="938"/>
      <c r="BE96" s="780"/>
      <c r="BH96" s="6456"/>
    </row>
    <row r="97" spans="1:60" x14ac:dyDescent="0.35">
      <c r="A97" s="9168"/>
      <c r="B97" s="274"/>
      <c r="C97" s="6589" t="s">
        <v>933</v>
      </c>
      <c r="D97" s="60"/>
      <c r="F97" s="163"/>
      <c r="H97" s="242"/>
      <c r="I97" s="243"/>
      <c r="J97" s="1602"/>
      <c r="L97" s="242"/>
      <c r="M97" s="157"/>
      <c r="O97" s="785"/>
      <c r="P97" s="786"/>
      <c r="Q97" s="456"/>
      <c r="R97" s="782">
        <f>IF(O97=0,0,P97/O97)</f>
        <v>0</v>
      </c>
      <c r="S97" s="938"/>
      <c r="T97" s="785"/>
      <c r="W97" s="782"/>
      <c r="Y97" s="785"/>
      <c r="Z97" s="786"/>
      <c r="AA97" s="456"/>
      <c r="AB97" s="6456">
        <f>IF(Y97=0,0,Z97/Y97)</f>
        <v>0</v>
      </c>
      <c r="AC97" s="938"/>
      <c r="AD97" s="785"/>
      <c r="AG97" s="782"/>
      <c r="AI97" s="26"/>
      <c r="AJ97" s="785"/>
      <c r="AK97" s="786"/>
      <c r="AL97" s="456"/>
      <c r="AM97" s="6456">
        <f>IF(AJ97=0,0,AK97/AJ97)</f>
        <v>0</v>
      </c>
      <c r="AN97" s="938"/>
      <c r="AO97" s="785"/>
      <c r="AR97" s="26"/>
      <c r="AT97" s="785">
        <f>(AY97/76536.733977)*65661749836/1000000</f>
        <v>15120.108924998156</v>
      </c>
      <c r="AU97" s="786">
        <f>AT97*AW97</f>
        <v>14832.246505315728</v>
      </c>
      <c r="AV97" s="456"/>
      <c r="AW97" s="6456">
        <f>AW34</f>
        <v>0.98096161733289478</v>
      </c>
      <c r="AX97" s="938"/>
      <c r="AY97" s="5104">
        <v>17624.320969</v>
      </c>
      <c r="BA97" s="6499">
        <f>AY97*BB97</f>
        <v>17288.78240214429</v>
      </c>
      <c r="BB97" s="6404">
        <f>AW97</f>
        <v>0.98096161733289478</v>
      </c>
      <c r="BC97" s="26"/>
      <c r="BD97" s="938"/>
      <c r="BE97" s="7986">
        <f>159936*AY97/159442.380207</f>
        <v>17678.884339524127</v>
      </c>
      <c r="BF97" s="456" t="s">
        <v>1579</v>
      </c>
      <c r="BG97" s="6499">
        <f>BE97*BH97</f>
        <v>16656.220588243377</v>
      </c>
      <c r="BH97" s="6404">
        <f>BH34</f>
        <v>0.94215337734890803</v>
      </c>
    </row>
    <row r="98" spans="1:60" x14ac:dyDescent="0.35">
      <c r="A98" s="9168"/>
      <c r="B98" s="277"/>
      <c r="C98" s="6590" t="s">
        <v>981</v>
      </c>
      <c r="D98" s="87"/>
      <c r="F98" s="278"/>
      <c r="G98" s="279"/>
      <c r="H98" s="280"/>
      <c r="I98" s="281"/>
      <c r="J98" s="484"/>
      <c r="L98" s="280"/>
      <c r="M98" s="282"/>
      <c r="O98" s="925"/>
      <c r="P98" s="926"/>
      <c r="Q98" s="6494"/>
      <c r="R98" s="798">
        <f>IF(O98=0,0,P98/O98)</f>
        <v>0</v>
      </c>
      <c r="S98" s="1664"/>
      <c r="T98" s="925"/>
      <c r="U98" s="6494"/>
      <c r="V98" s="6495"/>
      <c r="W98" s="798"/>
      <c r="Y98" s="925"/>
      <c r="Z98" s="926"/>
      <c r="AA98" s="6494"/>
      <c r="AB98" s="6500">
        <f>IF(Y98=0,0,Z98/Y98)</f>
        <v>0</v>
      </c>
      <c r="AC98" s="1664"/>
      <c r="AD98" s="925"/>
      <c r="AE98" s="6494"/>
      <c r="AF98" s="6495"/>
      <c r="AG98" s="798"/>
      <c r="AI98" s="24"/>
      <c r="AJ98" s="925"/>
      <c r="AK98" s="926"/>
      <c r="AL98" s="6494"/>
      <c r="AM98" s="6500">
        <f>IF(AJ98=0,0,AK98/AJ98)</f>
        <v>0</v>
      </c>
      <c r="AN98" s="1664"/>
      <c r="AO98" s="925"/>
      <c r="AP98" s="6494"/>
      <c r="AQ98" s="6495"/>
      <c r="AR98" s="24"/>
      <c r="AT98" s="925"/>
      <c r="AU98" s="926"/>
      <c r="AV98" s="6494"/>
      <c r="AW98" s="6500">
        <f>IF(AT98=0,0,AU98/AT98)</f>
        <v>0</v>
      </c>
      <c r="AX98" s="1664"/>
      <c r="AY98" s="925"/>
      <c r="AZ98" s="6494"/>
      <c r="BA98" s="6501"/>
      <c r="BB98" s="6496">
        <f>IF(AY98=0,0,AZ98/AY98)</f>
        <v>0</v>
      </c>
      <c r="BC98" s="24"/>
      <c r="BD98" s="1664"/>
      <c r="BE98" s="925"/>
      <c r="BF98" s="6494"/>
      <c r="BG98" s="6501"/>
      <c r="BH98" s="6496"/>
    </row>
    <row r="99" spans="1:60" ht="15" customHeight="1" x14ac:dyDescent="0.35">
      <c r="A99" s="9168"/>
      <c r="B99" s="287" t="s">
        <v>982</v>
      </c>
      <c r="C99" s="6591"/>
      <c r="D99" s="140"/>
      <c r="E99" s="143"/>
      <c r="F99" s="289"/>
      <c r="G99" s="290"/>
      <c r="H99" s="291"/>
      <c r="I99" s="292"/>
      <c r="J99" s="293"/>
      <c r="L99" s="291"/>
      <c r="M99" s="268"/>
      <c r="N99" s="143"/>
      <c r="O99" s="6586" t="s">
        <v>1446</v>
      </c>
      <c r="P99" s="774"/>
      <c r="Q99" s="774"/>
      <c r="R99" s="776"/>
      <c r="S99" s="892"/>
      <c r="T99" s="773"/>
      <c r="U99" s="774"/>
      <c r="V99" s="774"/>
      <c r="W99" s="776"/>
      <c r="X99" s="143"/>
      <c r="Y99" t="s">
        <v>1447</v>
      </c>
      <c r="Z99" s="774"/>
      <c r="AA99" s="774"/>
      <c r="AB99" s="6436"/>
      <c r="AC99" s="892"/>
      <c r="AD99" s="773"/>
      <c r="AE99" s="774"/>
      <c r="AF99" s="774"/>
      <c r="AG99" s="776"/>
      <c r="AH99" s="143"/>
      <c r="AI99" s="18"/>
      <c r="AJ99" t="s">
        <v>1447</v>
      </c>
      <c r="AK99" s="774"/>
      <c r="AL99" s="774"/>
      <c r="AM99" s="6436"/>
      <c r="AN99" s="892"/>
      <c r="AO99" s="1642" t="s">
        <v>1580</v>
      </c>
      <c r="AP99" s="774"/>
      <c r="AQ99" s="6582" t="s">
        <v>1481</v>
      </c>
      <c r="AR99" s="18"/>
      <c r="AS99" s="143"/>
      <c r="AT99" s="1150"/>
      <c r="AU99" s="774"/>
      <c r="AV99" s="774"/>
      <c r="AW99" s="6436"/>
      <c r="AX99" s="892"/>
      <c r="AY99" s="1642"/>
      <c r="AZ99" s="774"/>
      <c r="BA99" s="6418"/>
      <c r="BB99" s="6436"/>
      <c r="BC99" s="18"/>
      <c r="BD99" s="892"/>
      <c r="BE99" s="1642"/>
      <c r="BF99" s="774"/>
      <c r="BG99" s="6418"/>
      <c r="BH99" s="6436"/>
    </row>
    <row r="100" spans="1:60" x14ac:dyDescent="0.35">
      <c r="A100" s="9168"/>
      <c r="B100" s="295"/>
      <c r="C100" s="6592" t="s">
        <v>1286</v>
      </c>
      <c r="D100" s="60"/>
      <c r="F100" s="521"/>
      <c r="G100" s="272"/>
      <c r="H100" s="304">
        <v>5.4308817879296054</v>
      </c>
      <c r="I100" s="522">
        <v>4.8808819810955644</v>
      </c>
      <c r="J100" s="523">
        <f>IF(H100=0,0,I100/H100)</f>
        <v>0.89872734699244572</v>
      </c>
      <c r="L100" s="304">
        <v>7.4908735999999996</v>
      </c>
      <c r="M100" s="157">
        <f>L100*J100</f>
        <v>6.7322529571837508</v>
      </c>
      <c r="O100" s="5144"/>
      <c r="P100" s="5145"/>
      <c r="Q100" s="469"/>
      <c r="R100" s="782"/>
      <c r="S100" s="938"/>
      <c r="T100" s="5144"/>
      <c r="U100" s="469"/>
      <c r="V100" s="5145"/>
      <c r="W100" s="782"/>
      <c r="Y100" s="5144"/>
      <c r="Z100" s="5145"/>
      <c r="AA100" s="469"/>
      <c r="AB100" s="6456"/>
      <c r="AC100" s="938"/>
      <c r="AD100" s="5144"/>
      <c r="AE100" s="469"/>
      <c r="AF100" s="5145"/>
      <c r="AG100" s="782"/>
      <c r="AI100" s="26"/>
      <c r="AJ100" s="5144"/>
      <c r="AK100" s="5145"/>
      <c r="AL100" s="469"/>
      <c r="AM100" s="6456"/>
      <c r="AN100" s="938"/>
      <c r="AO100" s="5144"/>
      <c r="AP100" s="469"/>
      <c r="AQ100" s="469"/>
      <c r="AR100" s="26"/>
      <c r="AT100" s="5144"/>
      <c r="AU100" s="5145"/>
      <c r="AV100" s="469"/>
      <c r="AW100" s="6456"/>
      <c r="AX100" s="938"/>
      <c r="AY100" s="5144"/>
      <c r="AZ100" s="469"/>
      <c r="BA100" s="469"/>
      <c r="BB100" s="6404"/>
      <c r="BC100" s="26"/>
      <c r="BD100" s="938"/>
      <c r="BE100" s="5144"/>
      <c r="BF100" s="469"/>
      <c r="BG100" s="469"/>
      <c r="BH100" s="6404"/>
    </row>
    <row r="101" spans="1:60" x14ac:dyDescent="0.35">
      <c r="A101" s="9168"/>
      <c r="B101" s="295"/>
      <c r="C101" s="6592" t="s">
        <v>1571</v>
      </c>
      <c r="D101" s="60"/>
      <c r="F101" s="61"/>
      <c r="G101" s="272"/>
      <c r="H101" s="62">
        <f>H51*0.03</f>
        <v>1.5195684737099999</v>
      </c>
      <c r="I101" s="63">
        <f>I51*0.03</f>
        <v>1.4253399552899999</v>
      </c>
      <c r="J101" s="523">
        <f>IF(H101=0,0,I101/H101)</f>
        <v>0.93798994908735978</v>
      </c>
      <c r="L101" s="62">
        <v>1.896098673</v>
      </c>
      <c r="M101" s="157">
        <f>L101*J101</f>
        <v>1.7785214977518804</v>
      </c>
      <c r="O101" s="5144"/>
      <c r="P101" s="5145">
        <v>10080</v>
      </c>
      <c r="Q101" s="469" t="s">
        <v>1569</v>
      </c>
      <c r="R101" s="782">
        <f>IF(O101=0,0,P101/O101)</f>
        <v>0</v>
      </c>
      <c r="S101" s="938"/>
      <c r="T101" s="5144">
        <v>5796</v>
      </c>
      <c r="U101" s="469" t="s">
        <v>1569</v>
      </c>
      <c r="V101" s="5145">
        <f>T101</f>
        <v>5796</v>
      </c>
      <c r="W101" s="782"/>
      <c r="Y101" s="5146">
        <v>2000</v>
      </c>
      <c r="Z101" s="5147">
        <f>Y101</f>
        <v>2000</v>
      </c>
      <c r="AA101" s="469"/>
      <c r="AB101" s="6456">
        <f>IF(Y101=0,0,Z101/Y101)</f>
        <v>1</v>
      </c>
      <c r="AC101" s="938"/>
      <c r="AD101" s="5146">
        <v>10304.700000000001</v>
      </c>
      <c r="AE101" s="469"/>
      <c r="AF101" s="5147">
        <f>AD101</f>
        <v>10304.700000000001</v>
      </c>
      <c r="AG101" s="782"/>
      <c r="AI101" s="5148"/>
      <c r="AJ101" s="5146">
        <v>10304.700000000001</v>
      </c>
      <c r="AK101" s="5147">
        <f>AJ101</f>
        <v>10304.700000000001</v>
      </c>
      <c r="AL101" s="469"/>
      <c r="AM101" s="6456">
        <f>IF(AJ101=0,0,AK101/AJ101)</f>
        <v>1</v>
      </c>
      <c r="AN101" s="938"/>
      <c r="AO101" s="5885">
        <v>19000</v>
      </c>
      <c r="AP101" s="469" t="s">
        <v>1064</v>
      </c>
      <c r="AQ101" s="6593">
        <f>AO101</f>
        <v>19000</v>
      </c>
      <c r="AR101" s="5148"/>
      <c r="AT101" s="5146"/>
      <c r="AU101" s="5147"/>
      <c r="AV101" s="469"/>
      <c r="AW101" s="6456">
        <f>IF(AT101=0,0,AU101/AT101)</f>
        <v>0</v>
      </c>
      <c r="AX101" s="938"/>
      <c r="AY101" s="5885"/>
      <c r="AZ101" s="469"/>
      <c r="BA101" s="6499">
        <f>AY101</f>
        <v>0</v>
      </c>
      <c r="BB101" s="6404">
        <f>IF(AY101=0,0,AZ101/AY101)</f>
        <v>0</v>
      </c>
      <c r="BC101" s="5148"/>
      <c r="BD101" s="938"/>
      <c r="BE101" s="5885"/>
      <c r="BF101" s="469"/>
      <c r="BG101" s="6499">
        <f>BE101</f>
        <v>0</v>
      </c>
      <c r="BH101" s="6404">
        <f>IF(BE101=0,0,BF101/BE101)</f>
        <v>0</v>
      </c>
    </row>
    <row r="102" spans="1:60" x14ac:dyDescent="0.35">
      <c r="A102" s="9168"/>
      <c r="B102" s="295"/>
      <c r="C102" s="6592" t="s">
        <v>1581</v>
      </c>
      <c r="D102" s="60"/>
      <c r="F102" s="521"/>
      <c r="G102" s="272"/>
      <c r="H102" s="304"/>
      <c r="I102" s="522"/>
      <c r="J102" s="523"/>
      <c r="L102" s="304"/>
      <c r="M102" s="157"/>
      <c r="O102" s="5144"/>
      <c r="P102" s="5145">
        <v>0</v>
      </c>
      <c r="Q102" s="469" t="s">
        <v>1572</v>
      </c>
      <c r="R102" s="782">
        <f>IF(O102=0,0,P102/O102)</f>
        <v>0</v>
      </c>
      <c r="S102" s="938"/>
      <c r="T102" s="5144">
        <v>3579</v>
      </c>
      <c r="U102" s="469" t="s">
        <v>1572</v>
      </c>
      <c r="V102" s="5145">
        <f>T102</f>
        <v>3579</v>
      </c>
      <c r="W102" s="782"/>
      <c r="Y102" s="5146">
        <v>0</v>
      </c>
      <c r="Z102" s="5147">
        <f>Y102</f>
        <v>0</v>
      </c>
      <c r="AA102" s="469"/>
      <c r="AB102" s="6456">
        <f>IF(Y102=0,0,Z102/Y102)</f>
        <v>0</v>
      </c>
      <c r="AC102" s="938"/>
      <c r="AD102" s="5146">
        <v>0</v>
      </c>
      <c r="AE102" s="469"/>
      <c r="AF102" s="5147">
        <f>AD102</f>
        <v>0</v>
      </c>
      <c r="AG102" s="782"/>
      <c r="AI102" s="2252"/>
      <c r="AJ102" s="5146">
        <v>0</v>
      </c>
      <c r="AK102" s="5147">
        <f>AJ102</f>
        <v>0</v>
      </c>
      <c r="AL102" s="469"/>
      <c r="AM102" s="6456">
        <f>IF(AJ102=0,0,AK102/AJ102)</f>
        <v>0</v>
      </c>
      <c r="AN102" s="938"/>
      <c r="AO102" s="5146">
        <v>0</v>
      </c>
      <c r="AP102" s="469"/>
      <c r="AQ102" s="6593">
        <f>AO102</f>
        <v>0</v>
      </c>
      <c r="AR102" s="2252"/>
      <c r="AT102" s="5146"/>
      <c r="AU102" s="5147"/>
      <c r="AV102" s="469"/>
      <c r="AW102" s="6456">
        <f>IF(AT102=0,0,AU102/AT102)</f>
        <v>0</v>
      </c>
      <c r="AX102" s="938"/>
      <c r="AY102" s="5146"/>
      <c r="AZ102" s="469"/>
      <c r="BA102" s="6499">
        <f>AY102</f>
        <v>0</v>
      </c>
      <c r="BB102" s="6404">
        <f>IF(AY102=0,0,AZ102/AY102)</f>
        <v>0</v>
      </c>
      <c r="BC102" s="2252"/>
      <c r="BD102" s="938"/>
      <c r="BE102" s="5146"/>
      <c r="BF102" s="469"/>
      <c r="BG102" s="6499">
        <f>BE102</f>
        <v>0</v>
      </c>
      <c r="BH102" s="6404">
        <f>IF(BE102=0,0,BF102/BE102)</f>
        <v>0</v>
      </c>
    </row>
    <row r="103" spans="1:60" x14ac:dyDescent="0.35">
      <c r="A103" s="9168"/>
      <c r="B103" s="295"/>
      <c r="C103" s="6592"/>
      <c r="D103" s="60"/>
      <c r="F103" s="61"/>
      <c r="G103" s="272"/>
      <c r="H103" s="62"/>
      <c r="I103" s="63"/>
      <c r="J103" s="523">
        <f>IF(H103=0,0,I103/H103)</f>
        <v>0</v>
      </c>
      <c r="L103" s="62"/>
      <c r="M103" s="157"/>
      <c r="O103" s="5144"/>
      <c r="P103" s="5145">
        <v>6040</v>
      </c>
      <c r="Q103" s="456" t="s">
        <v>1474</v>
      </c>
      <c r="R103" s="782">
        <f>IF(O103=0,0,P103/O103)</f>
        <v>0</v>
      </c>
      <c r="S103" s="938"/>
      <c r="T103" s="5144">
        <v>0</v>
      </c>
      <c r="U103" s="456" t="s">
        <v>1474</v>
      </c>
      <c r="V103" s="5145">
        <f>T103</f>
        <v>0</v>
      </c>
      <c r="W103" s="782"/>
      <c r="Y103" s="5146">
        <v>5900</v>
      </c>
      <c r="Z103" s="5147">
        <f>Y103</f>
        <v>5900</v>
      </c>
      <c r="AA103" s="456"/>
      <c r="AB103" s="6456">
        <f>IF(Y103=0,0,Z103/Y103)</f>
        <v>1</v>
      </c>
      <c r="AC103" s="938"/>
      <c r="AD103" s="5146">
        <v>5900</v>
      </c>
      <c r="AF103" s="5147">
        <f>AD103</f>
        <v>5900</v>
      </c>
      <c r="AG103" s="782"/>
      <c r="AI103" s="5148"/>
      <c r="AJ103" s="5146">
        <v>5900</v>
      </c>
      <c r="AK103" s="5147">
        <f>AJ103</f>
        <v>5900</v>
      </c>
      <c r="AL103" s="456"/>
      <c r="AM103" s="6456">
        <f>IF(AJ103=0,0,AK103/AJ103)</f>
        <v>1</v>
      </c>
      <c r="AN103" s="938"/>
      <c r="AO103" s="5146">
        <v>2000</v>
      </c>
      <c r="AP103" s="469" t="s">
        <v>1582</v>
      </c>
      <c r="AQ103" s="6593">
        <f>AO103</f>
        <v>2000</v>
      </c>
      <c r="AR103" s="5148"/>
      <c r="AT103" s="5146"/>
      <c r="AU103" s="5147"/>
      <c r="AV103" s="456"/>
      <c r="AW103" s="6456">
        <f>IF(AT103=0,0,AU103/AT103)</f>
        <v>0</v>
      </c>
      <c r="AX103" s="938"/>
      <c r="AY103" s="5146"/>
      <c r="AZ103" s="469"/>
      <c r="BA103" s="6499">
        <f>AY103</f>
        <v>0</v>
      </c>
      <c r="BB103" s="6404">
        <f>IF(AY103=0,0,AZ103/AY103)</f>
        <v>0</v>
      </c>
      <c r="BC103" s="5148"/>
      <c r="BD103" s="938"/>
      <c r="BE103" s="5146"/>
      <c r="BF103" s="469"/>
      <c r="BG103" s="6499">
        <f>BE103</f>
        <v>0</v>
      </c>
      <c r="BH103" s="6404">
        <f>IF(BE103=0,0,BF103/BE103)</f>
        <v>0</v>
      </c>
    </row>
    <row r="104" spans="1:60" x14ac:dyDescent="0.35">
      <c r="A104" s="9168"/>
      <c r="B104" s="2948"/>
      <c r="C104" s="6592"/>
      <c r="D104" s="60"/>
      <c r="F104" s="61"/>
      <c r="G104" s="272"/>
      <c r="H104" s="62"/>
      <c r="I104" s="74"/>
      <c r="J104" s="523"/>
      <c r="L104" s="62"/>
      <c r="M104" s="157"/>
      <c r="O104" s="5144"/>
      <c r="P104" s="5145"/>
      <c r="Q104" s="456"/>
      <c r="R104" s="782"/>
      <c r="S104" s="938"/>
      <c r="T104" s="5144"/>
      <c r="V104" s="5145"/>
      <c r="W104" s="782"/>
      <c r="Y104" s="5144"/>
      <c r="Z104" s="5145"/>
      <c r="AA104" s="456"/>
      <c r="AB104" s="6456"/>
      <c r="AC104" s="938"/>
      <c r="AD104" s="5144"/>
      <c r="AF104" s="5145"/>
      <c r="AG104" s="782"/>
      <c r="AI104" s="26"/>
      <c r="AJ104" s="5144"/>
      <c r="AK104" s="5145"/>
      <c r="AL104" s="456"/>
      <c r="AM104" s="6456"/>
      <c r="AN104" s="938"/>
      <c r="AO104" s="5144"/>
      <c r="AQ104" s="6499"/>
      <c r="AR104" s="26"/>
      <c r="AT104" s="5144"/>
      <c r="AU104" s="5145"/>
      <c r="AV104" s="456"/>
      <c r="AW104" s="6456"/>
      <c r="AX104" s="938"/>
      <c r="AY104" s="5144"/>
      <c r="BA104" s="6499"/>
      <c r="BB104" s="6404"/>
      <c r="BC104" s="26"/>
      <c r="BD104" s="938"/>
      <c r="BE104" s="5144"/>
      <c r="BG104" s="6499"/>
      <c r="BH104" s="6404"/>
    </row>
    <row r="105" spans="1:60" x14ac:dyDescent="0.35">
      <c r="A105" s="9168"/>
      <c r="B105" s="2948"/>
      <c r="C105" s="6592"/>
      <c r="D105" s="60"/>
      <c r="F105" s="61"/>
      <c r="G105" s="272"/>
      <c r="H105" s="62"/>
      <c r="I105" s="74"/>
      <c r="J105" s="523"/>
      <c r="L105" s="62"/>
      <c r="M105" s="157"/>
      <c r="O105" s="5144"/>
      <c r="P105" s="5145"/>
      <c r="Q105" s="456"/>
      <c r="R105" s="782"/>
      <c r="S105" s="938"/>
      <c r="T105" s="5144"/>
      <c r="V105" s="5145"/>
      <c r="W105" s="782"/>
      <c r="Y105" s="5144"/>
      <c r="Z105" s="5145"/>
      <c r="AA105" s="456"/>
      <c r="AB105" s="6456"/>
      <c r="AC105" s="938"/>
      <c r="AD105" s="5144"/>
      <c r="AF105" s="5145"/>
      <c r="AG105" s="782"/>
      <c r="AI105" s="26"/>
      <c r="AJ105" s="5144"/>
      <c r="AK105" s="5145"/>
      <c r="AL105" s="456"/>
      <c r="AM105" s="6456"/>
      <c r="AN105" s="938"/>
      <c r="AO105" s="5144"/>
      <c r="AQ105" s="6499"/>
      <c r="AR105" s="26"/>
      <c r="AT105" s="5144"/>
      <c r="AU105" s="5145"/>
      <c r="AV105" s="456"/>
      <c r="AW105" s="6456"/>
      <c r="AX105" s="938"/>
      <c r="AY105" s="5144"/>
      <c r="BA105" s="6499"/>
      <c r="BB105" s="6404"/>
      <c r="BC105" s="26"/>
      <c r="BD105" s="938"/>
      <c r="BE105" s="5144"/>
      <c r="BG105" s="6499"/>
      <c r="BH105" s="6404"/>
    </row>
    <row r="106" spans="1:60" x14ac:dyDescent="0.35">
      <c r="A106" s="9168"/>
      <c r="B106" s="2948"/>
      <c r="C106" s="296"/>
      <c r="D106" s="60"/>
      <c r="F106" s="61"/>
      <c r="G106" s="272"/>
      <c r="H106" s="62"/>
      <c r="I106" s="63"/>
      <c r="J106" s="523">
        <f>IF(H106=0,0,I106/H106)</f>
        <v>0</v>
      </c>
      <c r="L106" s="62"/>
      <c r="M106" s="157"/>
      <c r="O106" s="5144"/>
      <c r="P106" s="5145"/>
      <c r="Q106" s="456"/>
      <c r="R106" s="782"/>
      <c r="S106" s="938"/>
      <c r="T106" s="5144"/>
      <c r="V106" s="5145"/>
      <c r="W106" s="782"/>
      <c r="Y106" s="5144"/>
      <c r="Z106" s="5145"/>
      <c r="AA106" s="456"/>
      <c r="AB106" s="6456"/>
      <c r="AC106" s="938"/>
      <c r="AD106" s="5144"/>
      <c r="AF106" s="5145"/>
      <c r="AG106" s="782"/>
      <c r="AI106" s="26"/>
      <c r="AJ106" s="5144"/>
      <c r="AK106" s="5145"/>
      <c r="AL106" s="456"/>
      <c r="AM106" s="6456"/>
      <c r="AN106" s="938"/>
      <c r="AO106" s="5144"/>
      <c r="AQ106" s="6499"/>
      <c r="AR106" s="26"/>
      <c r="AT106" s="5144"/>
      <c r="AU106" s="5145"/>
      <c r="AV106" s="456"/>
      <c r="AW106" s="6456"/>
      <c r="AX106" s="938"/>
      <c r="AY106" s="5144"/>
      <c r="BA106" s="6499"/>
      <c r="BB106" s="6404"/>
      <c r="BC106" s="26"/>
      <c r="BD106" s="938"/>
      <c r="BE106" s="5144"/>
      <c r="BG106" s="6499"/>
      <c r="BH106" s="6404"/>
    </row>
    <row r="107" spans="1:60" x14ac:dyDescent="0.35">
      <c r="A107" s="9168"/>
      <c r="B107" s="2948"/>
      <c r="C107" s="389"/>
      <c r="D107" s="60"/>
      <c r="F107" s="77"/>
      <c r="G107" s="274"/>
      <c r="H107" s="78"/>
      <c r="I107" s="79"/>
      <c r="J107" s="1570"/>
      <c r="L107" s="78"/>
      <c r="M107" s="157"/>
      <c r="O107" s="746"/>
      <c r="P107" s="747"/>
      <c r="Q107" s="456"/>
      <c r="R107" s="782">
        <f>IF(O107=0,0,P107/O107)</f>
        <v>0</v>
      </c>
      <c r="S107" s="938"/>
      <c r="T107" s="746"/>
      <c r="V107" s="747"/>
      <c r="W107" s="782"/>
      <c r="Y107" s="746"/>
      <c r="Z107" s="747"/>
      <c r="AA107" s="456"/>
      <c r="AB107" s="6456">
        <f>IF(Y107=0,0,Z107/Y107)</f>
        <v>0</v>
      </c>
      <c r="AC107" s="938"/>
      <c r="AD107" s="746"/>
      <c r="AF107" s="747"/>
      <c r="AG107" s="782"/>
      <c r="AI107" s="26"/>
      <c r="AJ107" s="746"/>
      <c r="AK107" s="747"/>
      <c r="AL107" s="456"/>
      <c r="AM107" s="6456">
        <f>IF(AJ107=0,0,AK107/AJ107)</f>
        <v>0</v>
      </c>
      <c r="AN107" s="938"/>
      <c r="AO107" s="746"/>
      <c r="AQ107" s="6499"/>
      <c r="AR107" s="26"/>
      <c r="AT107" s="746"/>
      <c r="AU107" s="747"/>
      <c r="AV107" s="456"/>
      <c r="AW107" s="6456">
        <f>IF(AT107=0,0,AU107/AT107)</f>
        <v>0</v>
      </c>
      <c r="AX107" s="938"/>
      <c r="AY107" s="746"/>
      <c r="BA107" s="6499"/>
      <c r="BB107" s="6404">
        <f>IF(AY107=0,0,AZ107/AY107)</f>
        <v>0</v>
      </c>
      <c r="BC107" s="26"/>
      <c r="BD107" s="938"/>
      <c r="BE107" s="746"/>
      <c r="BG107" s="6499"/>
      <c r="BH107" s="6404">
        <f>IF(BE107=0,0,BF107/BE107)</f>
        <v>0</v>
      </c>
    </row>
    <row r="108" spans="1:60" x14ac:dyDescent="0.35">
      <c r="A108" s="9169"/>
      <c r="B108" s="2950"/>
      <c r="C108" s="5149"/>
      <c r="D108" s="87"/>
      <c r="F108" s="88"/>
      <c r="G108" s="274"/>
      <c r="H108" s="89"/>
      <c r="I108" s="90"/>
      <c r="J108" s="527">
        <f>IF(H108=0,0,I108/H108)</f>
        <v>0</v>
      </c>
      <c r="L108" s="89"/>
      <c r="M108" s="213"/>
      <c r="O108" s="764"/>
      <c r="P108" s="765"/>
      <c r="Q108" s="6494"/>
      <c r="R108" s="798">
        <f>IF(O108=0,0,P108/O108)</f>
        <v>0</v>
      </c>
      <c r="S108" s="938"/>
      <c r="T108" s="764"/>
      <c r="U108" s="6494"/>
      <c r="V108" s="765"/>
      <c r="W108" s="798"/>
      <c r="Y108" s="764"/>
      <c r="Z108" s="765"/>
      <c r="AA108" s="6494"/>
      <c r="AB108" s="6500">
        <f>IF(Y108=0,0,Z108/Y108)</f>
        <v>0</v>
      </c>
      <c r="AC108" s="938"/>
      <c r="AD108" s="764"/>
      <c r="AE108" s="6494"/>
      <c r="AF108" s="765"/>
      <c r="AG108" s="798"/>
      <c r="AI108" s="24"/>
      <c r="AJ108" s="764"/>
      <c r="AK108" s="765"/>
      <c r="AL108" s="6494"/>
      <c r="AM108" s="6500">
        <f>IF(AJ108=0,0,AK108/AJ108)</f>
        <v>0</v>
      </c>
      <c r="AN108" s="938"/>
      <c r="AO108" s="764"/>
      <c r="AP108" s="6494"/>
      <c r="AQ108" s="6502"/>
      <c r="AR108" s="24"/>
      <c r="AT108" s="764"/>
      <c r="AU108" s="765"/>
      <c r="AV108" s="6494"/>
      <c r="AW108" s="6500">
        <f>IF(AT108=0,0,AU108/AT108)</f>
        <v>0</v>
      </c>
      <c r="AX108" s="938"/>
      <c r="AY108" s="764"/>
      <c r="AZ108" s="6494"/>
      <c r="BA108" s="6502"/>
      <c r="BB108" s="6496">
        <f>IF(AY108=0,0,AZ108/AY108)</f>
        <v>0</v>
      </c>
      <c r="BC108" s="24"/>
      <c r="BD108" s="938"/>
      <c r="BE108" s="764"/>
      <c r="BF108" s="6494"/>
      <c r="BG108" s="6502"/>
      <c r="BH108" s="6496">
        <f>IF(BE108=0,0,BF108/BE108)</f>
        <v>0</v>
      </c>
    </row>
    <row r="109" spans="1:60" x14ac:dyDescent="0.35">
      <c r="A109" s="310"/>
      <c r="B109" s="310"/>
      <c r="F109" s="106"/>
      <c r="H109" s="106"/>
      <c r="I109" s="106"/>
      <c r="J109" s="558"/>
      <c r="L109" s="106"/>
      <c r="M109" s="312"/>
      <c r="O109" s="847"/>
      <c r="P109" s="847"/>
      <c r="Q109" s="847"/>
      <c r="R109" s="937"/>
      <c r="S109" s="938"/>
      <c r="T109" s="847"/>
      <c r="U109" s="847"/>
      <c r="V109" s="847"/>
      <c r="W109" s="937"/>
      <c r="Y109" s="847"/>
      <c r="Z109" s="847"/>
      <c r="AA109" s="847"/>
      <c r="AB109" s="6503"/>
      <c r="AC109" s="938"/>
      <c r="AD109" s="847"/>
      <c r="AE109" s="847"/>
      <c r="AF109" s="847"/>
      <c r="AG109" s="937"/>
      <c r="AJ109" s="847"/>
      <c r="AK109" s="847"/>
      <c r="AL109" s="847"/>
      <c r="AM109" s="6503"/>
      <c r="AN109" s="938"/>
      <c r="AO109" s="847"/>
      <c r="AP109" s="847"/>
      <c r="AQ109" s="847"/>
      <c r="AT109" s="847"/>
      <c r="AU109" s="847"/>
      <c r="AV109" s="847"/>
      <c r="AW109" s="6503"/>
      <c r="AX109" s="938"/>
      <c r="AY109" s="847"/>
      <c r="AZ109" s="847"/>
      <c r="BA109" s="847"/>
      <c r="BB109" s="6503"/>
      <c r="BD109" s="938"/>
      <c r="BE109" s="847"/>
      <c r="BF109" s="847"/>
      <c r="BG109" s="847"/>
      <c r="BH109" s="6503"/>
    </row>
    <row r="110" spans="1:60" x14ac:dyDescent="0.35">
      <c r="A110" s="9159" t="s">
        <v>1364</v>
      </c>
      <c r="B110" s="939"/>
      <c r="C110" s="940" t="s">
        <v>1583</v>
      </c>
      <c r="D110" s="184"/>
      <c r="F110" s="316"/>
      <c r="G110" s="290"/>
      <c r="H110" s="317"/>
      <c r="I110" s="1687"/>
      <c r="J110" s="293"/>
      <c r="L110" s="1688"/>
      <c r="M110" s="268"/>
      <c r="O110" s="5150" t="s">
        <v>1446</v>
      </c>
      <c r="P110" s="1687"/>
      <c r="Q110" s="348"/>
      <c r="R110" s="293"/>
      <c r="S110" s="938"/>
      <c r="T110" s="317"/>
      <c r="U110" s="348"/>
      <c r="V110" s="1687"/>
      <c r="W110" s="293"/>
      <c r="Y110" s="6594" t="s">
        <v>1447</v>
      </c>
      <c r="Z110" s="1687"/>
      <c r="AA110" s="348"/>
      <c r="AB110" s="6505"/>
      <c r="AC110" s="938"/>
      <c r="AD110" s="317"/>
      <c r="AE110" s="348"/>
      <c r="AF110" s="1687"/>
      <c r="AG110" s="293"/>
      <c r="AI110" s="18"/>
      <c r="AJ110" s="6594" t="s">
        <v>1447</v>
      </c>
      <c r="AK110" s="1687"/>
      <c r="AL110" s="348"/>
      <c r="AM110" s="6505"/>
      <c r="AN110" s="938"/>
      <c r="AO110" s="1642" t="s">
        <v>1580</v>
      </c>
      <c r="AP110" s="348"/>
      <c r="AQ110" s="520"/>
      <c r="AR110" s="18"/>
      <c r="AT110" s="6504"/>
      <c r="AU110" s="520"/>
      <c r="AV110" s="348"/>
      <c r="AW110" s="6505"/>
      <c r="AX110" s="938"/>
      <c r="AY110" s="1642"/>
      <c r="AZ110" s="348"/>
      <c r="BA110" s="520"/>
      <c r="BB110" s="6505"/>
      <c r="BC110" s="18"/>
      <c r="BD110" s="938"/>
      <c r="BE110" s="1642"/>
      <c r="BF110" s="348"/>
      <c r="BG110" s="520"/>
      <c r="BH110" s="6505"/>
    </row>
    <row r="111" spans="1:60" x14ac:dyDescent="0.35">
      <c r="A111" s="9160"/>
      <c r="B111" s="944"/>
      <c r="C111" s="945" t="s">
        <v>1363</v>
      </c>
      <c r="D111" s="197"/>
      <c r="F111" s="327"/>
      <c r="G111" s="272"/>
      <c r="H111" s="325"/>
      <c r="I111" s="946"/>
      <c r="J111" s="523">
        <f t="shared" ref="J111:J119" si="42">IF(H111=0,0,I111/H111)</f>
        <v>0</v>
      </c>
      <c r="L111" s="325"/>
      <c r="M111" s="157">
        <f t="shared" ref="M111:M119" si="43">L111*J111</f>
        <v>0</v>
      </c>
      <c r="O111" s="325"/>
      <c r="P111" s="948">
        <f>356404-P112</f>
        <v>341207</v>
      </c>
      <c r="Q111" t="s">
        <v>1584</v>
      </c>
      <c r="R111" s="6595">
        <f t="shared" ref="R111:R119" si="44">IF(O111=0,0,P111/O111)</f>
        <v>0</v>
      </c>
      <c r="S111" s="938"/>
      <c r="T111" s="330">
        <f>497862-T112</f>
        <v>382840</v>
      </c>
      <c r="U111" t="s">
        <v>1584</v>
      </c>
      <c r="V111" s="948">
        <f>T111</f>
        <v>382840</v>
      </c>
      <c r="W111" s="523"/>
      <c r="Y111" s="5151">
        <f>T111</f>
        <v>382840</v>
      </c>
      <c r="Z111" s="6506">
        <f>490301.6-Z112</f>
        <v>379898.3</v>
      </c>
      <c r="AA111"/>
      <c r="AB111" s="6507">
        <f t="shared" ref="AB111:AB119" si="45">IF(Y111=0,0,Z111/Y111)</f>
        <v>0.99231611116915674</v>
      </c>
      <c r="AC111" s="938"/>
      <c r="AD111" s="5151">
        <f>409859-AD112</f>
        <v>397740.3</v>
      </c>
      <c r="AE111"/>
      <c r="AF111" s="5152">
        <f>AD111</f>
        <v>397740.3</v>
      </c>
      <c r="AG111" s="523"/>
      <c r="AI111" s="2252"/>
      <c r="AJ111" s="5151">
        <v>397740.3</v>
      </c>
      <c r="AK111" s="6506"/>
      <c r="AL111"/>
      <c r="AM111" s="6507">
        <f t="shared" ref="AM111:AM119" si="46">IF(AJ111=0,0,AK111/AJ111)</f>
        <v>0</v>
      </c>
      <c r="AN111" s="938"/>
      <c r="AO111" s="5884">
        <f>454761.2-AO112</f>
        <v>443337.5</v>
      </c>
      <c r="AP111" t="s">
        <v>1585</v>
      </c>
      <c r="AQ111" s="5152"/>
      <c r="AR111" s="2252"/>
      <c r="AT111" s="5151"/>
      <c r="AU111" s="6506"/>
      <c r="AV111"/>
      <c r="AW111" s="6507">
        <f t="shared" ref="AW111:AW119" si="47">IF(AT111=0,0,AU111/AT111)</f>
        <v>0</v>
      </c>
      <c r="AX111" s="938"/>
      <c r="AY111" s="5884"/>
      <c r="AZ111"/>
      <c r="BA111" s="5152"/>
      <c r="BB111" s="6507">
        <f t="shared" ref="BB111:BB119" si="48">IF(AY111=0,0,AZ111/AY111)</f>
        <v>0</v>
      </c>
      <c r="BC111" s="2252"/>
      <c r="BD111" s="938"/>
      <c r="BE111" s="5884"/>
      <c r="BF111"/>
      <c r="BG111" s="5152"/>
      <c r="BH111" s="6507">
        <f t="shared" ref="BH111:BH119" si="49">IF(BE111=0,0,BF111/BE111)</f>
        <v>0</v>
      </c>
    </row>
    <row r="112" spans="1:60" x14ac:dyDescent="0.35">
      <c r="A112" s="9160"/>
      <c r="B112" s="1693"/>
      <c r="C112" s="945" t="s">
        <v>1586</v>
      </c>
      <c r="D112" s="197"/>
      <c r="F112" s="336"/>
      <c r="G112" s="272"/>
      <c r="H112" s="330"/>
      <c r="I112" s="948"/>
      <c r="J112" s="523">
        <f t="shared" si="42"/>
        <v>0</v>
      </c>
      <c r="L112" s="330"/>
      <c r="M112" s="157">
        <f t="shared" si="43"/>
        <v>0</v>
      </c>
      <c r="O112" s="330"/>
      <c r="P112" s="948">
        <v>15197</v>
      </c>
      <c r="Q112"/>
      <c r="R112" s="6595">
        <f t="shared" si="44"/>
        <v>0</v>
      </c>
      <c r="S112" s="938"/>
      <c r="T112" s="330">
        <v>115022</v>
      </c>
      <c r="U112"/>
      <c r="V112" s="948">
        <f>T112</f>
        <v>115022</v>
      </c>
      <c r="W112" s="523"/>
      <c r="Y112" s="5151">
        <f>T112</f>
        <v>115022</v>
      </c>
      <c r="Z112" s="5152">
        <v>110403.3</v>
      </c>
      <c r="AA112"/>
      <c r="AB112" s="6507">
        <f t="shared" si="45"/>
        <v>0.95984507311644729</v>
      </c>
      <c r="AC112" s="938"/>
      <c r="AD112" s="5151">
        <v>12118.7</v>
      </c>
      <c r="AE112"/>
      <c r="AF112" s="5152">
        <f>AD112</f>
        <v>12118.7</v>
      </c>
      <c r="AG112" s="523"/>
      <c r="AI112" s="26"/>
      <c r="AJ112" s="5151">
        <v>12118.7</v>
      </c>
      <c r="AK112" s="5152"/>
      <c r="AL112"/>
      <c r="AM112" s="6507">
        <f t="shared" si="46"/>
        <v>0</v>
      </c>
      <c r="AN112" s="938"/>
      <c r="AO112" s="5884">
        <v>11423.7</v>
      </c>
      <c r="AP112"/>
      <c r="AQ112" s="5152"/>
      <c r="AR112" s="26"/>
      <c r="AT112" s="5151"/>
      <c r="AU112" s="5152"/>
      <c r="AV112"/>
      <c r="AW112" s="6507">
        <f t="shared" si="47"/>
        <v>0</v>
      </c>
      <c r="AX112" s="938"/>
      <c r="AY112" s="5884"/>
      <c r="AZ112"/>
      <c r="BA112" s="5152"/>
      <c r="BB112" s="6507">
        <f t="shared" si="48"/>
        <v>0</v>
      </c>
      <c r="BC112" s="26"/>
      <c r="BD112" s="938"/>
      <c r="BE112" s="5884"/>
      <c r="BF112"/>
      <c r="BG112" s="5152"/>
      <c r="BH112" s="6507">
        <f t="shared" si="49"/>
        <v>0</v>
      </c>
    </row>
    <row r="113" spans="1:60" x14ac:dyDescent="0.35">
      <c r="A113" s="9160"/>
      <c r="B113" s="944"/>
      <c r="C113" s="945"/>
      <c r="D113" s="197"/>
      <c r="F113" s="336"/>
      <c r="G113" s="272"/>
      <c r="H113" s="330"/>
      <c r="I113" s="948"/>
      <c r="J113" s="523">
        <f t="shared" si="42"/>
        <v>0</v>
      </c>
      <c r="L113" s="330"/>
      <c r="M113" s="157">
        <f t="shared" si="43"/>
        <v>0</v>
      </c>
      <c r="O113" s="330"/>
      <c r="P113" s="948"/>
      <c r="Q113"/>
      <c r="R113" s="523">
        <f t="shared" si="44"/>
        <v>0</v>
      </c>
      <c r="S113" s="938"/>
      <c r="T113" s="330"/>
      <c r="U113"/>
      <c r="V113" s="948"/>
      <c r="W113" s="523"/>
      <c r="Y113" s="330"/>
      <c r="Z113" s="948"/>
      <c r="AA113"/>
      <c r="AB113" s="6508">
        <f t="shared" si="45"/>
        <v>0</v>
      </c>
      <c r="AC113" s="938"/>
      <c r="AD113" s="330"/>
      <c r="AE113"/>
      <c r="AF113" s="5152"/>
      <c r="AG113" s="523"/>
      <c r="AI113" s="26"/>
      <c r="AJ113" s="330"/>
      <c r="AK113" s="948"/>
      <c r="AL113"/>
      <c r="AM113" s="6508">
        <f t="shared" si="46"/>
        <v>0</v>
      </c>
      <c r="AN113" s="938"/>
      <c r="AO113" s="330"/>
      <c r="AP113"/>
      <c r="AQ113" s="5152"/>
      <c r="AR113" s="26"/>
      <c r="AT113" s="330"/>
      <c r="AU113" s="948"/>
      <c r="AV113"/>
      <c r="AW113" s="6508">
        <f t="shared" si="47"/>
        <v>0</v>
      </c>
      <c r="AX113" s="938"/>
      <c r="AY113" s="330"/>
      <c r="AZ113"/>
      <c r="BA113" s="5152"/>
      <c r="BB113" s="6508">
        <f t="shared" si="48"/>
        <v>0</v>
      </c>
      <c r="BC113" s="26"/>
      <c r="BD113" s="938"/>
      <c r="BE113" s="330"/>
      <c r="BF113"/>
      <c r="BG113" s="5152"/>
      <c r="BH113" s="6508">
        <f t="shared" si="49"/>
        <v>0</v>
      </c>
    </row>
    <row r="114" spans="1:60" x14ac:dyDescent="0.35">
      <c r="A114" s="9160"/>
      <c r="B114" s="944"/>
      <c r="C114" s="945"/>
      <c r="D114" s="197"/>
      <c r="F114" s="336"/>
      <c r="G114" s="272"/>
      <c r="H114" s="330"/>
      <c r="I114" s="948"/>
      <c r="J114" s="523">
        <f t="shared" si="42"/>
        <v>0</v>
      </c>
      <c r="L114" s="330"/>
      <c r="M114" s="157">
        <f t="shared" si="43"/>
        <v>0</v>
      </c>
      <c r="O114" s="330"/>
      <c r="P114" s="948"/>
      <c r="Q114"/>
      <c r="R114" s="523">
        <f t="shared" si="44"/>
        <v>0</v>
      </c>
      <c r="S114" s="938"/>
      <c r="T114" s="330"/>
      <c r="U114"/>
      <c r="V114" s="948"/>
      <c r="W114" s="523"/>
      <c r="Y114" s="330"/>
      <c r="Z114" s="948"/>
      <c r="AA114"/>
      <c r="AB114" s="6508">
        <f t="shared" si="45"/>
        <v>0</v>
      </c>
      <c r="AC114" s="938"/>
      <c r="AD114" s="330"/>
      <c r="AE114"/>
      <c r="AF114" s="948"/>
      <c r="AG114" s="523"/>
      <c r="AI114" s="26"/>
      <c r="AJ114" s="330"/>
      <c r="AK114" s="948"/>
      <c r="AL114"/>
      <c r="AM114" s="6508">
        <f t="shared" si="46"/>
        <v>0</v>
      </c>
      <c r="AN114" s="938"/>
      <c r="AO114" s="330"/>
      <c r="AP114"/>
      <c r="AQ114" s="948"/>
      <c r="AR114" s="26"/>
      <c r="AT114" s="330"/>
      <c r="AU114" s="948"/>
      <c r="AV114"/>
      <c r="AW114" s="6508">
        <f t="shared" si="47"/>
        <v>0</v>
      </c>
      <c r="AX114" s="938"/>
      <c r="AY114" s="330"/>
      <c r="AZ114"/>
      <c r="BA114" s="948"/>
      <c r="BB114" s="6508">
        <f t="shared" si="48"/>
        <v>0</v>
      </c>
      <c r="BC114" s="26"/>
      <c r="BD114" s="938"/>
      <c r="BE114" s="330"/>
      <c r="BF114"/>
      <c r="BG114" s="948"/>
      <c r="BH114" s="6508">
        <f t="shared" si="49"/>
        <v>0</v>
      </c>
    </row>
    <row r="115" spans="1:60" x14ac:dyDescent="0.35">
      <c r="A115" s="9160"/>
      <c r="B115" s="944"/>
      <c r="C115" s="945"/>
      <c r="D115" s="197"/>
      <c r="F115" s="336"/>
      <c r="G115" s="272"/>
      <c r="H115" s="330"/>
      <c r="I115" s="948"/>
      <c r="J115" s="523">
        <f t="shared" si="42"/>
        <v>0</v>
      </c>
      <c r="L115" s="330"/>
      <c r="M115" s="157">
        <f t="shared" si="43"/>
        <v>0</v>
      </c>
      <c r="O115" s="330"/>
      <c r="P115" s="948"/>
      <c r="Q115"/>
      <c r="R115" s="523">
        <f t="shared" si="44"/>
        <v>0</v>
      </c>
      <c r="S115" s="938"/>
      <c r="T115" s="330"/>
      <c r="U115"/>
      <c r="V115" s="948"/>
      <c r="W115" s="523"/>
      <c r="Y115" s="330"/>
      <c r="Z115" s="948"/>
      <c r="AA115"/>
      <c r="AB115" s="6508">
        <f t="shared" si="45"/>
        <v>0</v>
      </c>
      <c r="AC115" s="938"/>
      <c r="AD115" s="330"/>
      <c r="AE115"/>
      <c r="AF115" s="948"/>
      <c r="AG115" s="523"/>
      <c r="AI115" s="26"/>
      <c r="AJ115" s="330"/>
      <c r="AK115" s="948"/>
      <c r="AL115"/>
      <c r="AM115" s="6508">
        <f t="shared" si="46"/>
        <v>0</v>
      </c>
      <c r="AN115" s="938"/>
      <c r="AO115" s="330"/>
      <c r="AP115"/>
      <c r="AQ115" s="948"/>
      <c r="AR115" s="26"/>
      <c r="AT115" s="330"/>
      <c r="AU115" s="948"/>
      <c r="AV115"/>
      <c r="AW115" s="6508">
        <f t="shared" si="47"/>
        <v>0</v>
      </c>
      <c r="AX115" s="938"/>
      <c r="AY115" s="330"/>
      <c r="AZ115"/>
      <c r="BA115" s="948"/>
      <c r="BB115" s="6508">
        <f t="shared" si="48"/>
        <v>0</v>
      </c>
      <c r="BC115" s="26"/>
      <c r="BD115" s="938"/>
      <c r="BE115" s="330"/>
      <c r="BF115"/>
      <c r="BG115" s="948"/>
      <c r="BH115" s="6508">
        <f t="shared" si="49"/>
        <v>0</v>
      </c>
    </row>
    <row r="116" spans="1:60" x14ac:dyDescent="0.35">
      <c r="A116" s="9160"/>
      <c r="B116" s="944"/>
      <c r="C116" s="945"/>
      <c r="D116" s="197"/>
      <c r="F116" s="336"/>
      <c r="G116" s="272"/>
      <c r="H116" s="330"/>
      <c r="I116" s="948"/>
      <c r="J116" s="523">
        <f t="shared" si="42"/>
        <v>0</v>
      </c>
      <c r="L116" s="330"/>
      <c r="M116" s="157">
        <f t="shared" si="43"/>
        <v>0</v>
      </c>
      <c r="O116" s="330"/>
      <c r="P116" s="948"/>
      <c r="Q116"/>
      <c r="R116" s="523">
        <f t="shared" si="44"/>
        <v>0</v>
      </c>
      <c r="S116" s="938"/>
      <c r="T116" s="330"/>
      <c r="U116"/>
      <c r="V116" s="948"/>
      <c r="W116" s="523"/>
      <c r="Y116" s="330"/>
      <c r="Z116" s="948"/>
      <c r="AA116"/>
      <c r="AB116" s="6508">
        <f t="shared" si="45"/>
        <v>0</v>
      </c>
      <c r="AC116" s="938"/>
      <c r="AD116" s="330"/>
      <c r="AE116"/>
      <c r="AF116" s="948"/>
      <c r="AG116" s="523"/>
      <c r="AI116" s="26"/>
      <c r="AJ116" s="330"/>
      <c r="AK116" s="948"/>
      <c r="AL116"/>
      <c r="AM116" s="6508">
        <f t="shared" si="46"/>
        <v>0</v>
      </c>
      <c r="AN116" s="938"/>
      <c r="AO116" s="330"/>
      <c r="AP116"/>
      <c r="AQ116" s="948"/>
      <c r="AR116" s="26"/>
      <c r="AT116" s="330"/>
      <c r="AU116" s="948"/>
      <c r="AV116"/>
      <c r="AW116" s="6508">
        <f t="shared" si="47"/>
        <v>0</v>
      </c>
      <c r="AX116" s="938"/>
      <c r="AY116" s="330"/>
      <c r="AZ116"/>
      <c r="BA116" s="948"/>
      <c r="BB116" s="6508">
        <f t="shared" si="48"/>
        <v>0</v>
      </c>
      <c r="BC116" s="26"/>
      <c r="BD116" s="938"/>
      <c r="BE116" s="330"/>
      <c r="BF116"/>
      <c r="BG116" s="948"/>
      <c r="BH116" s="6508">
        <f t="shared" si="49"/>
        <v>0</v>
      </c>
    </row>
    <row r="117" spans="1:60" x14ac:dyDescent="0.35">
      <c r="A117" s="9160"/>
      <c r="B117" s="944"/>
      <c r="C117" s="945"/>
      <c r="D117" s="197"/>
      <c r="F117" s="336"/>
      <c r="G117" s="272"/>
      <c r="H117" s="330"/>
      <c r="I117" s="948"/>
      <c r="J117" s="523">
        <f t="shared" si="42"/>
        <v>0</v>
      </c>
      <c r="L117" s="330"/>
      <c r="M117" s="157">
        <f t="shared" si="43"/>
        <v>0</v>
      </c>
      <c r="O117" s="330"/>
      <c r="P117" s="948"/>
      <c r="Q117"/>
      <c r="R117" s="523">
        <f t="shared" si="44"/>
        <v>0</v>
      </c>
      <c r="S117" s="938"/>
      <c r="T117" s="330"/>
      <c r="U117"/>
      <c r="V117" s="948"/>
      <c r="W117" s="523"/>
      <c r="Y117" s="330"/>
      <c r="Z117" s="948"/>
      <c r="AA117"/>
      <c r="AB117" s="6508">
        <f t="shared" si="45"/>
        <v>0</v>
      </c>
      <c r="AC117" s="938"/>
      <c r="AD117" s="330"/>
      <c r="AE117"/>
      <c r="AF117" s="948"/>
      <c r="AG117" s="523"/>
      <c r="AI117" s="26"/>
      <c r="AJ117" s="330"/>
      <c r="AK117" s="948"/>
      <c r="AL117"/>
      <c r="AM117" s="6508">
        <f t="shared" si="46"/>
        <v>0</v>
      </c>
      <c r="AN117" s="938"/>
      <c r="AO117" s="330"/>
      <c r="AP117"/>
      <c r="AQ117" s="948"/>
      <c r="AR117" s="26"/>
      <c r="AT117" s="330"/>
      <c r="AU117" s="948"/>
      <c r="AV117"/>
      <c r="AW117" s="6508">
        <f t="shared" si="47"/>
        <v>0</v>
      </c>
      <c r="AX117" s="938"/>
      <c r="AY117" s="330"/>
      <c r="AZ117"/>
      <c r="BA117" s="948"/>
      <c r="BB117" s="6508">
        <f t="shared" si="48"/>
        <v>0</v>
      </c>
      <c r="BC117" s="26"/>
      <c r="BD117" s="938"/>
      <c r="BE117" s="330"/>
      <c r="BF117"/>
      <c r="BG117" s="948"/>
      <c r="BH117" s="6508">
        <f t="shared" si="49"/>
        <v>0</v>
      </c>
    </row>
    <row r="118" spans="1:60" x14ac:dyDescent="0.35">
      <c r="A118" s="9160"/>
      <c r="B118" s="944"/>
      <c r="C118" s="945"/>
      <c r="D118" s="197"/>
      <c r="F118" s="336"/>
      <c r="G118" s="272"/>
      <c r="H118" s="330"/>
      <c r="I118" s="948"/>
      <c r="J118" s="523">
        <f t="shared" si="42"/>
        <v>0</v>
      </c>
      <c r="L118" s="330"/>
      <c r="M118" s="157">
        <f t="shared" si="43"/>
        <v>0</v>
      </c>
      <c r="O118" s="330"/>
      <c r="P118" s="948"/>
      <c r="Q118"/>
      <c r="R118" s="523">
        <f t="shared" si="44"/>
        <v>0</v>
      </c>
      <c r="S118" s="938"/>
      <c r="T118" s="330"/>
      <c r="U118"/>
      <c r="V118" s="948"/>
      <c r="W118" s="523"/>
      <c r="Y118" s="330"/>
      <c r="Z118" s="948"/>
      <c r="AA118"/>
      <c r="AB118" s="6508">
        <f t="shared" si="45"/>
        <v>0</v>
      </c>
      <c r="AC118" s="938"/>
      <c r="AD118" s="330"/>
      <c r="AE118"/>
      <c r="AF118" s="948"/>
      <c r="AG118" s="523"/>
      <c r="AI118" s="26"/>
      <c r="AJ118" s="330"/>
      <c r="AK118" s="948"/>
      <c r="AL118"/>
      <c r="AM118" s="6508">
        <f t="shared" si="46"/>
        <v>0</v>
      </c>
      <c r="AN118" s="938"/>
      <c r="AO118" s="330"/>
      <c r="AP118"/>
      <c r="AQ118" s="948"/>
      <c r="AR118" s="26"/>
      <c r="AT118" s="330"/>
      <c r="AU118" s="948"/>
      <c r="AV118"/>
      <c r="AW118" s="6508">
        <f t="shared" si="47"/>
        <v>0</v>
      </c>
      <c r="AX118" s="938"/>
      <c r="AY118" s="330"/>
      <c r="AZ118"/>
      <c r="BA118" s="948"/>
      <c r="BB118" s="6508">
        <f t="shared" si="48"/>
        <v>0</v>
      </c>
      <c r="BC118" s="26"/>
      <c r="BD118" s="938"/>
      <c r="BE118" s="330"/>
      <c r="BF118"/>
      <c r="BG118" s="948"/>
      <c r="BH118" s="6508">
        <f t="shared" si="49"/>
        <v>0</v>
      </c>
    </row>
    <row r="119" spans="1:60" x14ac:dyDescent="0.35">
      <c r="A119" s="9161"/>
      <c r="B119" s="949"/>
      <c r="C119" s="950"/>
      <c r="D119" s="209"/>
      <c r="F119" s="343"/>
      <c r="G119" s="274"/>
      <c r="H119" s="341"/>
      <c r="I119" s="951"/>
      <c r="J119" s="527">
        <f t="shared" si="42"/>
        <v>0</v>
      </c>
      <c r="L119" s="341"/>
      <c r="M119" s="213">
        <f t="shared" si="43"/>
        <v>0</v>
      </c>
      <c r="O119" s="341"/>
      <c r="P119" s="951"/>
      <c r="Q119" s="1696"/>
      <c r="R119" s="527">
        <f t="shared" si="44"/>
        <v>0</v>
      </c>
      <c r="S119" s="938"/>
      <c r="T119" s="341"/>
      <c r="U119" s="1696"/>
      <c r="V119" s="951"/>
      <c r="W119" s="527"/>
      <c r="Y119" s="341"/>
      <c r="Z119" s="951"/>
      <c r="AA119" s="1696"/>
      <c r="AB119" s="6509">
        <f t="shared" si="45"/>
        <v>0</v>
      </c>
      <c r="AC119" s="938"/>
      <c r="AD119" s="341"/>
      <c r="AE119" s="1696"/>
      <c r="AF119" s="951"/>
      <c r="AG119" s="527"/>
      <c r="AI119" s="24"/>
      <c r="AJ119" s="341"/>
      <c r="AK119" s="951"/>
      <c r="AL119" s="1696"/>
      <c r="AM119" s="6509">
        <f t="shared" si="46"/>
        <v>0</v>
      </c>
      <c r="AN119" s="938"/>
      <c r="AO119" s="341"/>
      <c r="AP119" s="1696"/>
      <c r="AQ119" s="951"/>
      <c r="AR119" s="24"/>
      <c r="AT119" s="341"/>
      <c r="AU119" s="951"/>
      <c r="AV119" s="1696"/>
      <c r="AW119" s="6509">
        <f t="shared" si="47"/>
        <v>0</v>
      </c>
      <c r="AX119" s="938"/>
      <c r="AY119" s="341"/>
      <c r="AZ119" s="1696"/>
      <c r="BA119" s="951"/>
      <c r="BB119" s="6509">
        <f t="shared" si="48"/>
        <v>0</v>
      </c>
      <c r="BC119" s="24"/>
      <c r="BD119" s="938"/>
      <c r="BE119" s="341"/>
      <c r="BF119" s="1696"/>
      <c r="BG119" s="951"/>
      <c r="BH119" s="6509">
        <f t="shared" si="49"/>
        <v>0</v>
      </c>
    </row>
    <row r="120" spans="1:60" x14ac:dyDescent="0.35">
      <c r="A120" s="310"/>
      <c r="B120" s="310"/>
      <c r="F120" s="106"/>
      <c r="H120" s="106"/>
      <c r="I120" s="106"/>
      <c r="J120" s="558"/>
      <c r="L120" s="106"/>
      <c r="M120" s="312"/>
      <c r="O120" s="847"/>
      <c r="P120" s="847"/>
      <c r="Q120" s="847"/>
      <c r="R120" s="937"/>
      <c r="S120" s="938"/>
      <c r="T120" s="847"/>
      <c r="U120" s="847"/>
      <c r="V120" s="847"/>
      <c r="W120" s="937"/>
      <c r="Y120" s="847"/>
      <c r="Z120" s="847"/>
      <c r="AA120" s="847"/>
      <c r="AB120" s="6503"/>
      <c r="AC120" s="938"/>
      <c r="AD120" s="847"/>
      <c r="AE120" s="847"/>
      <c r="AF120" s="847"/>
      <c r="AG120" s="937"/>
      <c r="AJ120" s="847"/>
      <c r="AK120" s="847"/>
      <c r="AL120" s="847"/>
      <c r="AM120" s="6503"/>
      <c r="AN120" s="938"/>
      <c r="AO120" s="847"/>
      <c r="AP120" s="847"/>
      <c r="AQ120" s="847"/>
      <c r="AT120" s="847"/>
      <c r="AU120" s="847"/>
      <c r="AV120" s="847"/>
      <c r="AW120" s="6503"/>
      <c r="AX120" s="938"/>
      <c r="AY120" s="847"/>
      <c r="AZ120" s="847"/>
      <c r="BA120" s="847"/>
      <c r="BB120" s="6503"/>
      <c r="BD120" s="938"/>
      <c r="BE120" s="847"/>
      <c r="BF120" s="847"/>
      <c r="BG120" s="847"/>
      <c r="BH120" s="6503"/>
    </row>
    <row r="121" spans="1:60" x14ac:dyDescent="0.35">
      <c r="A121" s="9167" t="s">
        <v>988</v>
      </c>
      <c r="B121" s="139" t="s">
        <v>989</v>
      </c>
      <c r="C121" s="348"/>
      <c r="D121" s="49"/>
      <c r="E121" s="141"/>
      <c r="F121" s="227"/>
      <c r="G121" s="141"/>
      <c r="H121" s="102"/>
      <c r="I121" s="103"/>
      <c r="J121" s="228"/>
      <c r="K121" s="141"/>
      <c r="L121" s="102"/>
      <c r="M121" s="268"/>
      <c r="N121" s="141"/>
      <c r="O121" s="773"/>
      <c r="P121" s="774"/>
      <c r="Q121" s="774"/>
      <c r="R121" s="776"/>
      <c r="S121" s="892"/>
      <c r="T121" s="773"/>
      <c r="U121" s="774"/>
      <c r="V121" s="774"/>
      <c r="W121" s="776"/>
      <c r="X121" s="141"/>
      <c r="Y121" s="773"/>
      <c r="Z121" s="774"/>
      <c r="AA121" s="774"/>
      <c r="AB121" s="6436"/>
      <c r="AC121" s="892"/>
      <c r="AD121" s="773"/>
      <c r="AE121" s="774"/>
      <c r="AF121" s="774"/>
      <c r="AG121" s="776"/>
      <c r="AH121" s="141"/>
      <c r="AJ121" s="773"/>
      <c r="AK121" s="774"/>
      <c r="AL121" s="774"/>
      <c r="AM121" s="6436"/>
      <c r="AN121" s="892"/>
      <c r="AO121" s="773"/>
      <c r="AP121" s="774"/>
      <c r="AQ121" s="776"/>
      <c r="AS121" s="141"/>
      <c r="AT121" s="773"/>
      <c r="AU121" s="774"/>
      <c r="AV121" s="774"/>
      <c r="AW121" s="6436"/>
      <c r="AX121" s="892"/>
      <c r="AY121" s="773"/>
      <c r="AZ121" s="774"/>
      <c r="BA121" s="774"/>
      <c r="BB121" s="6436"/>
      <c r="BD121" s="892"/>
      <c r="BE121" s="773"/>
      <c r="BF121" s="774"/>
      <c r="BG121" s="774"/>
      <c r="BH121" s="6436"/>
    </row>
    <row r="122" spans="1:60" x14ac:dyDescent="0.35">
      <c r="A122" s="9168"/>
      <c r="B122" s="6082"/>
      <c r="C122"/>
      <c r="D122" s="110" t="s">
        <v>990</v>
      </c>
      <c r="F122" s="349">
        <f>SUM(F47:F54)-SUM(F58:F60)</f>
        <v>489.791</v>
      </c>
      <c r="G122" s="350"/>
      <c r="H122" s="351">
        <f>SUM(H47:H54)-SUM(H58:H60)</f>
        <v>755.73765225600005</v>
      </c>
      <c r="I122" s="352">
        <f>SUM(I47:I54)-SUM(I58:I60)</f>
        <v>748.87921918200004</v>
      </c>
      <c r="J122" s="246"/>
      <c r="K122" s="350"/>
      <c r="L122" s="351">
        <f>SUM(L47:L54)-SUM(L58:L60)</f>
        <v>879.78797784700009</v>
      </c>
      <c r="M122" s="353">
        <f>SUM(M47:M54)-SUM(M58:M60)</f>
        <v>925.91979897900001</v>
      </c>
      <c r="O122" s="6510">
        <f>SUM(O48:O56)-SUM(O58:O60)</f>
        <v>889164.68890700012</v>
      </c>
      <c r="P122" s="6510">
        <f>SUM(P48:P56)-SUM(P58:P60)</f>
        <v>863174</v>
      </c>
      <c r="Q122" s="6511"/>
      <c r="R122" s="6596"/>
      <c r="S122" s="6511"/>
      <c r="T122" s="6510">
        <f>SUM(T48:T56)-SUM(T58:T60)</f>
        <v>1178869</v>
      </c>
      <c r="U122" s="6511"/>
      <c r="V122" s="6511">
        <f>SUM(V48:V56)-SUM(V58:V60)</f>
        <v>1015185.1619771611</v>
      </c>
      <c r="W122" s="6596"/>
      <c r="Y122" s="6510">
        <f>SUM(Y48:Y56)-SUM(Y58:Y60)</f>
        <v>1178869</v>
      </c>
      <c r="Z122" s="6511">
        <f>SUM(Z48:Z56)-SUM(Z58:Z60)</f>
        <v>1056388.8</v>
      </c>
      <c r="AA122" s="6511"/>
      <c r="AB122" s="6512"/>
      <c r="AC122" s="6511"/>
      <c r="AD122" s="6510">
        <f>SUM(AD48:AD56)-SUM(AD58:AD60)</f>
        <v>1025786.1</v>
      </c>
      <c r="AE122" s="6511"/>
      <c r="AF122" s="6511">
        <f>SUM(AF48:AF56)-SUM(AF58:AF60)</f>
        <v>1014244.4217654724</v>
      </c>
      <c r="AG122" s="6596"/>
      <c r="AJ122" s="6510">
        <f>SUM(AJ48:AJ56)-SUM(AJ58:AJ60)</f>
        <v>1025786.1</v>
      </c>
      <c r="AK122" s="6511">
        <f>SUM(AK48:AK56)-SUM(AK58:AK60)</f>
        <v>990847.71700000006</v>
      </c>
      <c r="AL122" s="6511"/>
      <c r="AM122" s="6512"/>
      <c r="AN122" s="6511"/>
      <c r="AO122" s="6510">
        <f>SUM(AO48:AO56)-SUM(AO58:AO60)</f>
        <v>1191472.0630049999</v>
      </c>
      <c r="AP122" s="6511"/>
      <c r="AQ122" s="6596">
        <f>SUM(AQ48:AQ56)-SUM(AQ58:AQ60)</f>
        <v>1141832.4595189178</v>
      </c>
      <c r="AT122" s="6510">
        <f>SUM(AT48:AT56)-SUM(AT58:AT60)</f>
        <v>1246698.9010549998</v>
      </c>
      <c r="AU122" s="6511">
        <f>SUM(AU48:AU56)-SUM(AU58:AU60)</f>
        <v>1214097.6659032349</v>
      </c>
      <c r="AV122" s="6511"/>
      <c r="AW122" s="6512"/>
      <c r="AX122" s="6511"/>
      <c r="AY122" s="6510">
        <f>SUM(AY48:AY56)-SUM(AY58:AY60)</f>
        <v>1299252.5983059998</v>
      </c>
      <c r="AZ122" s="6511"/>
      <c r="BA122" s="6511">
        <f>SUM(BA48:BA56)-SUM(BA58:BA60)</f>
        <v>1286344.7690117767</v>
      </c>
      <c r="BB122" s="6512"/>
      <c r="BD122" s="6511"/>
      <c r="BE122" s="6510">
        <f>SUM(BE48:BE56)-SUM(BE58:BE60)</f>
        <v>1358024.273575</v>
      </c>
      <c r="BF122" s="6511"/>
      <c r="BG122" s="6511">
        <f>SUM(BG48:BG56)-SUM(BG58:BG60)</f>
        <v>1349293.8467525886</v>
      </c>
      <c r="BH122" s="6512"/>
    </row>
    <row r="123" spans="1:60" x14ac:dyDescent="0.35">
      <c r="A123" s="9168"/>
      <c r="B123" s="6082"/>
      <c r="C123"/>
      <c r="D123" s="110" t="s">
        <v>944</v>
      </c>
      <c r="F123" s="349">
        <f>SUM(F63:F84)</f>
        <v>0</v>
      </c>
      <c r="G123" s="350"/>
      <c r="H123" s="351">
        <f>SUM(H63:H84)</f>
        <v>0</v>
      </c>
      <c r="I123" s="352">
        <f>SUM(I63:I84)</f>
        <v>0</v>
      </c>
      <c r="J123" s="246"/>
      <c r="K123" s="350"/>
      <c r="L123" s="351">
        <f>SUM(L63:L84)</f>
        <v>0</v>
      </c>
      <c r="M123" s="353">
        <f>SUM(M63:M84)</f>
        <v>0</v>
      </c>
      <c r="O123" s="6510">
        <f>SUM(O63:O84)</f>
        <v>11085.672999999997</v>
      </c>
      <c r="P123" s="6511">
        <f>SUM(P63:P84)</f>
        <v>11085.672999999997</v>
      </c>
      <c r="Q123" s="6511"/>
      <c r="R123" s="6596"/>
      <c r="S123" s="6511"/>
      <c r="T123" s="6510">
        <f>SUM(T63:T84)</f>
        <v>11085.672999999997</v>
      </c>
      <c r="U123" s="6511"/>
      <c r="V123" s="6511">
        <f>SUM(V63:V84)</f>
        <v>11085.672999999997</v>
      </c>
      <c r="W123" s="6596"/>
      <c r="Y123" s="6510">
        <f>SUM(Y63:Y84)</f>
        <v>10628.613613</v>
      </c>
      <c r="Z123" s="6511">
        <f>SUM(Z63:Z84)</f>
        <v>10628.613613</v>
      </c>
      <c r="AA123" s="6511"/>
      <c r="AB123" s="6512"/>
      <c r="AC123" s="6511"/>
      <c r="AD123" s="6510">
        <f>SUM(AD63:AD84)</f>
        <v>11772.860257999999</v>
      </c>
      <c r="AE123" s="6511"/>
      <c r="AF123" s="6511">
        <f>SUM(AF63:AF84)</f>
        <v>11772.860257999999</v>
      </c>
      <c r="AG123" s="6596"/>
      <c r="AJ123" s="6510">
        <f>SUM(AJ63:AJ84)</f>
        <v>11772.860257999999</v>
      </c>
      <c r="AK123" s="6511">
        <f>SUM(AK63:AK84)</f>
        <v>11772.860257999999</v>
      </c>
      <c r="AL123" s="6511"/>
      <c r="AM123" s="6512"/>
      <c r="AN123" s="6511"/>
      <c r="AO123" s="6510">
        <f>SUM(AO63:AO84)</f>
        <v>8776.671604000001</v>
      </c>
      <c r="AP123" s="6511"/>
      <c r="AQ123" s="6596">
        <f>SUM(AQ63:AQ84)</f>
        <v>8776.671604000001</v>
      </c>
      <c r="AT123" s="6510">
        <f>SUM(AT63:AT72)+SUM(AT76:AT82)</f>
        <v>22263.391189999998</v>
      </c>
      <c r="AU123" s="6511">
        <f>SUM(AU63:AU72)+SUM(AU76:AU82)</f>
        <v>22188.704134258998</v>
      </c>
      <c r="AV123" s="6511"/>
      <c r="AW123" s="6512"/>
      <c r="AX123" s="6511"/>
      <c r="AY123" s="6510">
        <f>SUM(AY63:AY72)+SUM(AY76:AY82)</f>
        <v>23778.278866999997</v>
      </c>
      <c r="AZ123" s="6511"/>
      <c r="BA123" s="6511">
        <f>SUM(BA63:BA72)+SUM(BA76:BA82)</f>
        <v>23726.159177237998</v>
      </c>
      <c r="BB123" s="6512"/>
      <c r="BD123" s="6511"/>
      <c r="BE123" s="6510">
        <f>SUM(BE63:BE73)+SUM(BE75:BE84)</f>
        <v>28960.788419</v>
      </c>
      <c r="BF123" s="6511"/>
      <c r="BG123" s="6511">
        <f>SUM(BG63:BG73)+SUM(BG75:BG84)</f>
        <v>28417.651060955999</v>
      </c>
      <c r="BH123" s="6512"/>
    </row>
    <row r="124" spans="1:60" x14ac:dyDescent="0.35">
      <c r="A124" s="9168"/>
      <c r="B124" s="6082"/>
      <c r="C124"/>
      <c r="D124" s="110" t="s">
        <v>991</v>
      </c>
      <c r="F124" s="349">
        <f>SUM(F86:F93)*F40</f>
        <v>0</v>
      </c>
      <c r="G124" s="350"/>
      <c r="H124" s="351">
        <f>SUM(H86:H93)*H40</f>
        <v>0</v>
      </c>
      <c r="I124" s="352">
        <f>SUM(I86:I93)*I40</f>
        <v>0</v>
      </c>
      <c r="J124" s="246"/>
      <c r="K124" s="350"/>
      <c r="L124" s="351">
        <f>SUM(L86:L93)*L40</f>
        <v>0</v>
      </c>
      <c r="M124" s="353">
        <f>SUM(M86:M93)*M40</f>
        <v>0</v>
      </c>
      <c r="O124" s="6510">
        <f>SUM(O86:O93)*O40</f>
        <v>0</v>
      </c>
      <c r="P124" s="6511">
        <f>SUM(P86:P93)*P40</f>
        <v>0</v>
      </c>
      <c r="Q124" s="6511"/>
      <c r="R124" s="6596"/>
      <c r="S124" s="6511"/>
      <c r="T124" s="6510">
        <f>SUM(T86:T93)*T40</f>
        <v>0</v>
      </c>
      <c r="U124" s="6511"/>
      <c r="V124" s="6511">
        <f>SUM(V86:V93)*V40</f>
        <v>0</v>
      </c>
      <c r="W124" s="6596"/>
      <c r="Y124" s="6510">
        <f>SUM(Y86:Y93)*Y40</f>
        <v>0</v>
      </c>
      <c r="Z124" s="6511">
        <f>SUM(Z86:Z93)*Z40</f>
        <v>0</v>
      </c>
      <c r="AA124" s="6511"/>
      <c r="AB124" s="6512"/>
      <c r="AC124" s="6511"/>
      <c r="AD124" s="6510">
        <f>SUM(AD86:AD93)*AD40</f>
        <v>0</v>
      </c>
      <c r="AE124" s="6511"/>
      <c r="AF124" s="6511">
        <f>SUM(AF86:AF93)*AF40</f>
        <v>0</v>
      </c>
      <c r="AG124" s="6596"/>
      <c r="AJ124" s="6510">
        <f>SUM(AJ86:AJ93)*AJ40</f>
        <v>0</v>
      </c>
      <c r="AK124" s="6511">
        <f>SUM(AK86:AK93)*AK40</f>
        <v>0</v>
      </c>
      <c r="AL124" s="6511"/>
      <c r="AM124" s="6512"/>
      <c r="AN124" s="6511"/>
      <c r="AO124" s="6510">
        <f>SUM(AO86:AO93)*AO40</f>
        <v>0</v>
      </c>
      <c r="AP124" s="6511"/>
      <c r="AQ124" s="6596">
        <f>SUM(AQ86:AQ93)*AQ40</f>
        <v>0</v>
      </c>
      <c r="AT124" s="6510">
        <f>SUM(AT86:AT93)*AT40</f>
        <v>0</v>
      </c>
      <c r="AU124" s="6511">
        <f>SUM(AU86:AU93)*AU40</f>
        <v>0</v>
      </c>
      <c r="AV124" s="6511"/>
      <c r="AW124" s="6512"/>
      <c r="AX124" s="6511"/>
      <c r="AY124" s="6510">
        <f>SUM(AY86:AY93)*AY40</f>
        <v>0</v>
      </c>
      <c r="AZ124" s="6511"/>
      <c r="BA124" s="6511">
        <f>SUM(BA86:BA93)*BA40</f>
        <v>0</v>
      </c>
      <c r="BB124" s="6512"/>
      <c r="BD124" s="6511"/>
      <c r="BE124" s="6510">
        <f>SUM(BE86:BE93)*BE40</f>
        <v>0</v>
      </c>
      <c r="BF124" s="6511"/>
      <c r="BG124" s="6511">
        <f>SUM(BG86:BG93)*BG40</f>
        <v>0</v>
      </c>
      <c r="BH124" s="6512"/>
    </row>
    <row r="125" spans="1:60" x14ac:dyDescent="0.35">
      <c r="A125" s="9168"/>
      <c r="B125" s="6082"/>
      <c r="C125"/>
      <c r="D125" s="110" t="s">
        <v>979</v>
      </c>
      <c r="F125" s="349">
        <f>F95</f>
        <v>0</v>
      </c>
      <c r="G125" s="350"/>
      <c r="H125" s="351">
        <f>H95</f>
        <v>0</v>
      </c>
      <c r="I125" s="352">
        <f>I95</f>
        <v>0</v>
      </c>
      <c r="J125" s="246"/>
      <c r="K125" s="350"/>
      <c r="L125" s="351">
        <f>L95</f>
        <v>0</v>
      </c>
      <c r="M125" s="353">
        <f>M95</f>
        <v>0</v>
      </c>
      <c r="O125" s="6510">
        <f>SUM(O96:O97)</f>
        <v>0</v>
      </c>
      <c r="P125" s="6511">
        <f>P97</f>
        <v>0</v>
      </c>
      <c r="Q125" s="6511"/>
      <c r="R125" s="6596"/>
      <c r="S125" s="6511"/>
      <c r="T125" s="6510">
        <f>T97</f>
        <v>0</v>
      </c>
      <c r="U125" s="6511"/>
      <c r="V125" s="6511">
        <f>V97</f>
        <v>0</v>
      </c>
      <c r="W125" s="6596"/>
      <c r="Y125" s="6510">
        <f t="shared" ref="Y125:Z125" si="50">Y97</f>
        <v>0</v>
      </c>
      <c r="Z125" s="6511">
        <f t="shared" si="50"/>
        <v>0</v>
      </c>
      <c r="AA125" s="6511"/>
      <c r="AB125" s="6512"/>
      <c r="AC125" s="6511"/>
      <c r="AD125" s="6510">
        <f>AD97</f>
        <v>0</v>
      </c>
      <c r="AE125" s="6511"/>
      <c r="AF125" s="6511">
        <f>AF97</f>
        <v>0</v>
      </c>
      <c r="AG125" s="6596"/>
      <c r="AJ125" s="6510">
        <f t="shared" ref="AJ125:AK125" si="51">AJ97</f>
        <v>0</v>
      </c>
      <c r="AK125" s="6511">
        <f t="shared" si="51"/>
        <v>0</v>
      </c>
      <c r="AL125" s="6511"/>
      <c r="AM125" s="6512"/>
      <c r="AN125" s="6511"/>
      <c r="AO125" s="6510">
        <f>AO97</f>
        <v>0</v>
      </c>
      <c r="AP125" s="6511"/>
      <c r="AQ125" s="6596">
        <f>AQ97</f>
        <v>0</v>
      </c>
      <c r="AT125" s="6510">
        <f>SUM(AT95:AT97)</f>
        <v>15120.108924998156</v>
      </c>
      <c r="AU125" s="6511">
        <f>SUM(AU95:AU97)</f>
        <v>14832.246505315728</v>
      </c>
      <c r="AV125" s="6511"/>
      <c r="AW125" s="6512"/>
      <c r="AX125" s="6511"/>
      <c r="AY125" s="6510">
        <f>SUM(AY95:AY97)</f>
        <v>17624.320969</v>
      </c>
      <c r="AZ125" s="6511"/>
      <c r="BA125" s="6511">
        <f>SUM(BA95:BA97)</f>
        <v>17288.78240214429</v>
      </c>
      <c r="BB125" s="6512"/>
      <c r="BD125" s="6511"/>
      <c r="BE125" s="6510">
        <f>SUM(BE95:BE97)</f>
        <v>17678.884339524127</v>
      </c>
      <c r="BF125" s="6511"/>
      <c r="BG125" s="6511">
        <f>SUM(BG95:BG97)</f>
        <v>16656.220588243377</v>
      </c>
      <c r="BH125" s="6512"/>
    </row>
    <row r="126" spans="1:60" x14ac:dyDescent="0.35">
      <c r="A126" s="9168"/>
      <c r="B126" s="6082"/>
      <c r="C126"/>
      <c r="D126" s="356" t="s">
        <v>992</v>
      </c>
      <c r="E126" s="143"/>
      <c r="F126" s="357">
        <f>SUM(F122:F125)</f>
        <v>489.791</v>
      </c>
      <c r="G126" s="358"/>
      <c r="H126" s="359">
        <f>SUM(H122:H125)</f>
        <v>755.73765225600005</v>
      </c>
      <c r="I126" s="360">
        <f>SUM(I122:I125)</f>
        <v>748.87921918200004</v>
      </c>
      <c r="J126" s="361"/>
      <c r="K126" s="358"/>
      <c r="L126" s="359">
        <f>SUM(L122:L125)</f>
        <v>879.78797784700009</v>
      </c>
      <c r="M126" s="362">
        <f>SUM(M122:M125)</f>
        <v>925.91979897900001</v>
      </c>
      <c r="N126" s="143"/>
      <c r="O126" s="6513">
        <f>SUM(O122:O125)</f>
        <v>900250.36190700007</v>
      </c>
      <c r="P126" s="6514">
        <f>SUM(P122:P125)</f>
        <v>874259.67299999995</v>
      </c>
      <c r="Q126" s="6514"/>
      <c r="R126" s="5975"/>
      <c r="S126" s="6514"/>
      <c r="T126" s="6513">
        <f>SUM(T122:T125)</f>
        <v>1189954.673</v>
      </c>
      <c r="U126" s="6514"/>
      <c r="V126" s="6514">
        <f>SUM(V122:V125)</f>
        <v>1026270.834977161</v>
      </c>
      <c r="W126" s="5975"/>
      <c r="X126" s="143"/>
      <c r="Y126" s="6513">
        <f t="shared" ref="Y126:Z126" si="52">SUM(Y122:Y125)</f>
        <v>1189497.6136129999</v>
      </c>
      <c r="Z126" s="6514">
        <f t="shared" si="52"/>
        <v>1067017.413613</v>
      </c>
      <c r="AA126" s="6514"/>
      <c r="AB126" s="6515"/>
      <c r="AC126" s="6514"/>
      <c r="AD126" s="6513">
        <f>SUM(AD122:AD125)</f>
        <v>1037558.9602579999</v>
      </c>
      <c r="AE126" s="6514"/>
      <c r="AF126" s="6514">
        <f>SUM(AF122:AF125)</f>
        <v>1026017.2820234724</v>
      </c>
      <c r="AG126" s="5975"/>
      <c r="AH126" s="143"/>
      <c r="AJ126" s="6513">
        <f t="shared" ref="AJ126:AK126" si="53">SUM(AJ122:AJ125)</f>
        <v>1037558.9602579999</v>
      </c>
      <c r="AK126" s="6514">
        <f t="shared" si="53"/>
        <v>1002620.577258</v>
      </c>
      <c r="AL126" s="6514"/>
      <c r="AM126" s="6515"/>
      <c r="AN126" s="6514"/>
      <c r="AO126" s="6513">
        <f>SUM(AO122:AO125)</f>
        <v>1200248.7346089999</v>
      </c>
      <c r="AP126" s="6514"/>
      <c r="AQ126" s="5975">
        <f>SUM(AQ122:AQ125)</f>
        <v>1150609.1311229179</v>
      </c>
      <c r="AS126" s="143"/>
      <c r="AT126" s="6513">
        <f t="shared" ref="AT126:AU126" si="54">SUM(AT122:AT125)</f>
        <v>1284082.4011699981</v>
      </c>
      <c r="AU126" s="6514">
        <f t="shared" si="54"/>
        <v>1251118.6165428094</v>
      </c>
      <c r="AV126" s="6514"/>
      <c r="AW126" s="6515"/>
      <c r="AX126" s="6514"/>
      <c r="AY126" s="6513">
        <f t="shared" ref="AY126" si="55">SUM(AY122:AY125)</f>
        <v>1340655.1981419998</v>
      </c>
      <c r="AZ126" s="6514"/>
      <c r="BA126" s="6514">
        <f t="shared" ref="BA126" si="56">SUM(BA122:BA125)</f>
        <v>1327359.7105911588</v>
      </c>
      <c r="BB126" s="6515"/>
      <c r="BD126" s="6514"/>
      <c r="BE126" s="6513">
        <f t="shared" ref="BE126" si="57">SUM(BE122:BE125)</f>
        <v>1404663.9463335243</v>
      </c>
      <c r="BF126" s="6514"/>
      <c r="BG126" s="6514">
        <f t="shared" ref="BG126" si="58">SUM(BG122:BG125)</f>
        <v>1394367.718401788</v>
      </c>
      <c r="BH126" s="6515"/>
    </row>
    <row r="127" spans="1:60" ht="15.5" x14ac:dyDescent="0.35">
      <c r="A127" s="9168"/>
      <c r="B127" s="6082"/>
      <c r="C127"/>
      <c r="D127" s="365" t="s">
        <v>993</v>
      </c>
      <c r="F127" s="559">
        <f>F126/(F25+F26)</f>
        <v>0.28484501308519916</v>
      </c>
      <c r="G127" s="560"/>
      <c r="H127" s="561">
        <f>H126/(H25+H26)</f>
        <v>0.24213047938485202</v>
      </c>
      <c r="I127" s="562">
        <f>I126/(I25+I26)</f>
        <v>0.24980960010074055</v>
      </c>
      <c r="J127" s="563"/>
      <c r="K127" s="560"/>
      <c r="L127" s="561">
        <f>L126/(L25+L26)</f>
        <v>0.23293917706240572</v>
      </c>
      <c r="M127" s="563">
        <f>M126/(M25+M26)</f>
        <v>0.25190298418777379</v>
      </c>
      <c r="O127" s="6516">
        <f>O126/SUM(O25:O29)</f>
        <v>0.23835694932537269</v>
      </c>
      <c r="P127" s="1733">
        <f>P126/SUM(P25:P29)</f>
        <v>0.23784848409826698</v>
      </c>
      <c r="Q127" s="1733"/>
      <c r="R127" s="6597"/>
      <c r="S127" s="1733"/>
      <c r="T127" s="6516">
        <f>T126/SUM(T25:T29)</f>
        <v>0.28939320726189466</v>
      </c>
      <c r="U127" s="1733"/>
      <c r="V127" s="1733">
        <f>V126/SUM(V25:V29)</f>
        <v>0.25681624365570666</v>
      </c>
      <c r="W127" s="6597"/>
      <c r="Y127" s="6516">
        <f>Y126/SUM(Y25:Y29)</f>
        <v>0.28416092059555659</v>
      </c>
      <c r="Z127" s="1733">
        <f>Z126/SUM(Z25:Z29)</f>
        <v>0.26561222085357961</v>
      </c>
      <c r="AA127" s="1733"/>
      <c r="AB127" s="6517"/>
      <c r="AC127" s="1733"/>
      <c r="AD127" s="6516">
        <f>AD126/SUM(AD25:AD29)</f>
        <v>0.22847332469759346</v>
      </c>
      <c r="AE127" s="1733"/>
      <c r="AF127" s="1733">
        <f>AF126/SUM(AF25:AF29)</f>
        <v>0.24056567535548098</v>
      </c>
      <c r="AG127" s="6597"/>
      <c r="AJ127" s="6516">
        <f>AJ126/SUM(AJ25:AJ29)</f>
        <v>0.22847332469759346</v>
      </c>
      <c r="AK127" s="1733">
        <f>AK126/SUM(AK25:AK29)</f>
        <v>0.24020547070938761</v>
      </c>
      <c r="AL127" s="1733"/>
      <c r="AM127" s="6517"/>
      <c r="AN127" s="1733"/>
      <c r="AO127" s="6516">
        <f>AO126/SUM(AO25:AO29)</f>
        <v>0.26258856457677882</v>
      </c>
      <c r="AP127" s="7987"/>
      <c r="AQ127" s="6597">
        <f>AQ126/SUM(AQ25:AQ29)</f>
        <v>0.24329915094078447</v>
      </c>
      <c r="AT127" s="6516">
        <f>AT126/SUM(AT25:AT30)</f>
        <v>0.24651010771305101</v>
      </c>
      <c r="AU127" s="7987">
        <f>AU126/SUM(AU25:AU30)</f>
        <v>0.25310836165531436</v>
      </c>
      <c r="AV127" s="1733"/>
      <c r="AW127" s="6517"/>
      <c r="AX127" s="1733"/>
      <c r="AY127" s="6516">
        <f>AY126/SUM(AY25:AY30)</f>
        <v>0.24392109962847194</v>
      </c>
      <c r="AZ127" s="7987"/>
      <c r="BA127" s="7987">
        <f>BA126/SUM(BA25:BA30)</f>
        <v>0.26126317747706712</v>
      </c>
      <c r="BB127" s="6517"/>
      <c r="BD127" s="1733"/>
      <c r="BE127" s="6516">
        <f>BE126/SUM(BE25:BE30)</f>
        <v>0.23626062945025134</v>
      </c>
      <c r="BF127" s="7987"/>
      <c r="BG127" s="7987">
        <f>BG126/SUM(BG25:BG30)</f>
        <v>0.25379365472084381</v>
      </c>
      <c r="BH127" s="6517"/>
    </row>
    <row r="128" spans="1:60" x14ac:dyDescent="0.35">
      <c r="A128" s="9168"/>
      <c r="B128" s="371"/>
      <c r="C128" s="372"/>
      <c r="D128" s="296" t="s">
        <v>994</v>
      </c>
      <c r="E128" s="374"/>
      <c r="F128" s="393"/>
      <c r="G128" s="392"/>
      <c r="H128" s="394"/>
      <c r="I128" s="395"/>
      <c r="J128" s="229"/>
      <c r="K128" s="392"/>
      <c r="L128" s="394"/>
      <c r="M128" s="229"/>
      <c r="O128" s="566">
        <f>O48+O52+O55+SUM(O63:O72)+O96</f>
        <v>803675.31228900002</v>
      </c>
      <c r="P128" s="567">
        <f>P48+P52+P55+SUM(P63:P72)+P96</f>
        <v>824338.98899999994</v>
      </c>
      <c r="Q128" s="1733"/>
      <c r="R128" s="6597"/>
      <c r="S128" s="1733"/>
      <c r="T128" s="571">
        <f>T48+T52+T55+SUM(T63:T72)+T96</f>
        <v>958074.98899999994</v>
      </c>
      <c r="U128" s="1733"/>
      <c r="V128" s="567">
        <f>V48+V52+V55+SUM(V63:V72)+V96</f>
        <v>975945.49735258229</v>
      </c>
      <c r="W128" s="6597"/>
      <c r="Y128" s="566">
        <f>Y48+Y52+Y55+SUM(Y63:Y72)+Y96</f>
        <v>958561.58990200004</v>
      </c>
      <c r="Z128" s="567">
        <f>Z48+Z52+Z55+SUM(Z63:Z72)+Z96</f>
        <v>889133.18990200013</v>
      </c>
      <c r="AA128" s="1733"/>
      <c r="AB128" s="6517"/>
      <c r="AC128" s="1733"/>
      <c r="AD128" s="571">
        <f>AD48+AD52+AD55+SUM(AD63:AD72)+AD96</f>
        <v>948604.30160699994</v>
      </c>
      <c r="AE128" s="1733"/>
      <c r="AF128" s="567">
        <f>AF48+AF52+AF55+SUM(AF63:AF72)+AF96</f>
        <v>944720.40724272677</v>
      </c>
      <c r="AG128" s="6597"/>
      <c r="AJ128" s="566">
        <f>AJ48+AJ52+AJ55+SUM(AJ63:AJ72)+AJ96</f>
        <v>948604.30160699994</v>
      </c>
      <c r="AK128" s="567">
        <f>AK48+AK52+AK55+SUM(AK63:AK72)+AK96</f>
        <v>916314.88160700002</v>
      </c>
      <c r="AL128" s="1733"/>
      <c r="AM128" s="6517"/>
      <c r="AN128" s="1733"/>
      <c r="AO128" s="571">
        <f>AO48+AO52+AO55+SUM(AO63:AO72)+AO96</f>
        <v>1095163.6447420001</v>
      </c>
      <c r="AP128" s="7987"/>
      <c r="AQ128" s="5632">
        <f>AQ48+AQ52+AQ55+SUM(AQ63:AQ72)+AQ96</f>
        <v>1057859.2003762939</v>
      </c>
      <c r="AT128" s="566">
        <f>AT48+AT52+AT55+SUM(AT63:AT72)+AT96</f>
        <v>1120401.708328</v>
      </c>
      <c r="AU128" s="567">
        <f>AU48+AU52+AU55+SUM(AU63:AU72)+AU96</f>
        <v>1113922.7771680001</v>
      </c>
      <c r="AV128" s="1733"/>
      <c r="AW128" s="6517"/>
      <c r="AX128" s="1733"/>
      <c r="AY128" s="571">
        <f>AY48+AY52+AY55+SUM(AY63:AY72)+AY96</f>
        <v>1150520.0553749998</v>
      </c>
      <c r="AZ128" s="7987"/>
      <c r="BA128" s="3192">
        <f>BA48+BA52+BA55+SUM(BA63:BA72)+BA96</f>
        <v>1204509.041924</v>
      </c>
      <c r="BB128" s="6517"/>
      <c r="BD128" s="1733"/>
      <c r="BE128" s="571">
        <f>BE48+BE52+BE55+SUM(BE63:BE73)+BE96</f>
        <v>1228703.9850129997</v>
      </c>
      <c r="BF128" s="7987"/>
      <c r="BG128" s="3192">
        <f>BG48+BG52+BG55+SUM(BG63:BG73)+BG96</f>
        <v>1235872.7428234234</v>
      </c>
      <c r="BH128" s="6517"/>
    </row>
    <row r="129" spans="1:60" x14ac:dyDescent="0.35">
      <c r="A129" s="9168"/>
      <c r="B129" s="58"/>
      <c r="C129" s="390"/>
      <c r="D129" s="59" t="s">
        <v>995</v>
      </c>
      <c r="E129" s="392"/>
      <c r="F129" s="393"/>
      <c r="G129" s="392"/>
      <c r="H129" s="394"/>
      <c r="I129" s="395"/>
      <c r="J129" s="229"/>
      <c r="K129" s="392"/>
      <c r="L129" s="394"/>
      <c r="M129" s="229"/>
      <c r="O129" s="5153">
        <f>(O126-O128)/(O26+O27+O28+O29)</f>
        <v>6.5213754890944733E-2</v>
      </c>
      <c r="P129" s="5154">
        <f>(P126-P128)/(P26+P27+P28+P29)</f>
        <v>3.6425161619846776E-2</v>
      </c>
      <c r="Q129" s="6518"/>
      <c r="R129" s="6598"/>
      <c r="S129" s="6518"/>
      <c r="T129" s="5155">
        <f>(T126-T128)/(T26+T27+T28+T29)</f>
        <v>0.14107231255801206</v>
      </c>
      <c r="U129" s="6518"/>
      <c r="V129" s="5154">
        <f>(V126-V128)/(V26+V27+V28+V29)</f>
        <v>3.315158596276728E-2</v>
      </c>
      <c r="W129" s="6598"/>
      <c r="Y129" s="5153">
        <f>(Y126-Y128)/(Y26+Y27+Y28+Y29)</f>
        <v>0.13064209068903088</v>
      </c>
      <c r="Z129" s="5154">
        <f>(Z126-Z128)/(Z26+Z27+Z28+Z29)</f>
        <v>0.11094188830672311</v>
      </c>
      <c r="AA129" s="6518"/>
      <c r="AB129" s="6519"/>
      <c r="AC129" s="6518"/>
      <c r="AD129" s="5155">
        <f>(AD126-AD128)/(AD26+AD27+AD28+AD29)</f>
        <v>4.6217017738278326E-2</v>
      </c>
      <c r="AE129" s="6518"/>
      <c r="AF129" s="5154">
        <f>(AF126-AF128)/(AF26+AF27+AF28+AF29)</f>
        <v>4.9171438016205223E-2</v>
      </c>
      <c r="AG129" s="6598"/>
      <c r="AJ129" s="5153">
        <f>(AJ126-AJ128)/(AJ26+AJ27+AJ28+AJ29)</f>
        <v>4.6217017738278326E-2</v>
      </c>
      <c r="AK129" s="5154">
        <f>(AK126-AK128)/(AK26+AK27+AK28+AK29)</f>
        <v>6.1378966511375983E-2</v>
      </c>
      <c r="AL129" s="6518"/>
      <c r="AM129" s="6519"/>
      <c r="AN129" s="6518"/>
      <c r="AO129" s="5155">
        <f>(AO126-AO128)/(AO26+AO27+AO28+AO29)</f>
        <v>5.7328787132761884E-2</v>
      </c>
      <c r="AP129" s="7988"/>
      <c r="AQ129" s="6599">
        <f>(AQ126-AQ128)/(AQ26+AQ27+AQ28+AQ29)</f>
        <v>5.0599386107785076E-2</v>
      </c>
      <c r="AT129" s="5156">
        <f>(AT126-AT128)/(AT26+AT27+AT28+AT29+AT30)</f>
        <v>6.637105706832637E-2</v>
      </c>
      <c r="AU129" s="5154">
        <f>(AU126-AU128)/(AU26+AU27+AU28+AU29+AU30)</f>
        <v>6.3220517047758149E-2</v>
      </c>
      <c r="AV129" s="6518"/>
      <c r="AW129" s="6519"/>
      <c r="AX129" s="6518"/>
      <c r="AY129" s="5155">
        <f>(AY126-AY128)/(AY26+AY27+AY28+AY29+AY30)</f>
        <v>7.2153463895630751E-2</v>
      </c>
      <c r="AZ129" s="7988"/>
      <c r="BA129" s="5840">
        <f>(BA126-BA128)/(BA26+BA27+BA28+BA29+BA30)</f>
        <v>5.6398883739997026E-2</v>
      </c>
      <c r="BB129" s="6519"/>
      <c r="BC129" t="s">
        <v>1587</v>
      </c>
      <c r="BD129" s="6518"/>
      <c r="BE129" s="5155">
        <f>(BE126-BE128)/(BE26+BE27+BE28+BE29+BE30)</f>
        <v>6.9770008453816243E-2</v>
      </c>
      <c r="BF129" s="7988"/>
      <c r="BG129" s="5840">
        <f>(BG126-BG128)/(BG26+BG27+BG28+BG29+BG30)</f>
        <v>8.3186362031367603E-2</v>
      </c>
      <c r="BH129" s="6519"/>
    </row>
    <row r="130" spans="1:60" x14ac:dyDescent="0.35">
      <c r="A130" s="9168"/>
      <c r="B130" s="58"/>
      <c r="C130" s="390"/>
      <c r="D130" s="59" t="s">
        <v>996</v>
      </c>
      <c r="E130" s="392"/>
      <c r="F130" s="393"/>
      <c r="G130" s="392"/>
      <c r="H130" s="394"/>
      <c r="I130" s="395"/>
      <c r="J130" s="229"/>
      <c r="K130" s="392"/>
      <c r="L130" s="394"/>
      <c r="M130" s="229"/>
      <c r="O130" s="5156">
        <f>O128/O25</f>
        <v>0.35003280151959931</v>
      </c>
      <c r="P130" s="5154">
        <f>P128/P25</f>
        <v>0.35759976965122331</v>
      </c>
      <c r="Q130" s="6518"/>
      <c r="R130" s="6598"/>
      <c r="S130" s="6518"/>
      <c r="T130" s="5155">
        <f>T128/T25</f>
        <v>0.38816719181484094</v>
      </c>
      <c r="U130" s="6518"/>
      <c r="V130" s="5154">
        <f>V128/V25</f>
        <v>0.39382942413117095</v>
      </c>
      <c r="W130" s="6598"/>
      <c r="Y130" s="5156">
        <f>Y128/Y25</f>
        <v>0.39637827808874004</v>
      </c>
      <c r="Z130" s="5154">
        <f>Z128/Z25</f>
        <v>0.36835412623332509</v>
      </c>
      <c r="AA130" s="6518"/>
      <c r="AB130" s="6519"/>
      <c r="AC130" s="6518"/>
      <c r="AD130" s="5155">
        <f>AD128/AD25</f>
        <v>0.36253967987179597</v>
      </c>
      <c r="AE130" s="6518"/>
      <c r="AF130" s="5154">
        <f>AF128/AF25</f>
        <v>0.3617284329356894</v>
      </c>
      <c r="AG130" s="6598"/>
      <c r="AJ130" s="5156">
        <f>AJ128/AJ25</f>
        <v>0.36253967987179597</v>
      </c>
      <c r="AK130" s="5154">
        <f>AK128/AK25</f>
        <v>0.33105053219287817</v>
      </c>
      <c r="AL130" s="6518"/>
      <c r="AM130" s="6519"/>
      <c r="AN130" s="6518"/>
      <c r="AO130" s="5155">
        <f>AO128/AO25</f>
        <v>0.40001460308504111</v>
      </c>
      <c r="AP130" s="7988"/>
      <c r="AQ130" s="6599">
        <f>AQ128/AQ25</f>
        <v>0.36526140769033938</v>
      </c>
      <c r="AT130" s="5156">
        <f>AT128/AT25</f>
        <v>0.40847340709759744</v>
      </c>
      <c r="AU130" s="5154">
        <f>AU128/AU25</f>
        <v>0.40171761591402505</v>
      </c>
      <c r="AV130" s="6518"/>
      <c r="AW130" s="6519"/>
      <c r="AX130" s="6518"/>
      <c r="AY130" s="5155">
        <f>AY128/AY25</f>
        <v>0.40212274304898993</v>
      </c>
      <c r="AZ130" s="7988"/>
      <c r="BA130" s="5840">
        <f>BA128/BA25</f>
        <v>0.41501879265548014</v>
      </c>
      <c r="BB130" s="6519"/>
      <c r="BD130" s="6518"/>
      <c r="BE130" s="5155">
        <f>BE128/BE25</f>
        <v>0.3589133566083425</v>
      </c>
      <c r="BF130" s="7988"/>
      <c r="BG130" s="5840">
        <f>BG128/BG25</f>
        <v>0.34436935544567082</v>
      </c>
      <c r="BH130" s="6519"/>
    </row>
    <row r="131" spans="1:60" x14ac:dyDescent="0.35">
      <c r="A131" s="9168"/>
      <c r="B131" s="58"/>
      <c r="C131" s="390"/>
      <c r="D131" s="1736"/>
      <c r="E131" s="392"/>
      <c r="F131" s="393"/>
      <c r="G131" s="392"/>
      <c r="H131" s="394"/>
      <c r="I131" s="395"/>
      <c r="J131" s="229"/>
      <c r="K131" s="392"/>
      <c r="L131" s="394"/>
      <c r="M131" s="229"/>
      <c r="O131" s="394"/>
      <c r="P131" s="395"/>
      <c r="Q131" s="6518"/>
      <c r="R131" s="6598"/>
      <c r="S131" s="6518"/>
      <c r="T131" s="396"/>
      <c r="U131" s="6518"/>
      <c r="V131" s="395"/>
      <c r="W131" s="6598"/>
      <c r="Y131" s="394"/>
      <c r="Z131" s="395"/>
      <c r="AA131" s="6518"/>
      <c r="AB131" s="6519"/>
      <c r="AC131" s="6518"/>
      <c r="AD131" s="396"/>
      <c r="AE131" s="6518"/>
      <c r="AF131" s="395"/>
      <c r="AG131" s="6598"/>
      <c r="AJ131" s="394"/>
      <c r="AK131" s="395"/>
      <c r="AL131" s="6518"/>
      <c r="AM131" s="6519"/>
      <c r="AN131" s="6518"/>
      <c r="AO131" s="396"/>
      <c r="AP131" s="7988"/>
      <c r="AQ131" s="977"/>
      <c r="AT131" s="394"/>
      <c r="AU131" s="395"/>
      <c r="AV131" s="6518"/>
      <c r="AW131" s="6519"/>
      <c r="AX131" s="6518"/>
      <c r="AY131" s="396"/>
      <c r="AZ131" s="7988"/>
      <c r="BA131" s="390"/>
      <c r="BB131" s="6519"/>
      <c r="BD131" s="6518"/>
      <c r="BE131" s="396"/>
      <c r="BF131" s="7988"/>
      <c r="BG131" s="390"/>
      <c r="BH131" s="6519"/>
    </row>
    <row r="132" spans="1:60" x14ac:dyDescent="0.35">
      <c r="A132" s="9168"/>
      <c r="B132" s="58"/>
      <c r="C132" s="390"/>
      <c r="D132" s="296" t="s">
        <v>997</v>
      </c>
      <c r="E132" s="392"/>
      <c r="F132" s="375">
        <f>F126/F12</f>
        <v>0.3279704031070042</v>
      </c>
      <c r="G132" s="564"/>
      <c r="H132" s="377">
        <f>H126/H12</f>
        <v>0.28882429574868151</v>
      </c>
      <c r="I132" s="378">
        <f>I126/I12</f>
        <v>0.29847716986129935</v>
      </c>
      <c r="J132" s="565"/>
      <c r="K132" s="564"/>
      <c r="L132" s="377">
        <f>L126/L12</f>
        <v>0.29183267915447642</v>
      </c>
      <c r="M132" s="565">
        <f>M126/M12</f>
        <v>0.29864527124854856</v>
      </c>
      <c r="O132" s="377">
        <f>O126/O12</f>
        <v>0.2986103097741144</v>
      </c>
      <c r="P132" s="378">
        <f>P126/P12</f>
        <v>0.28198286446910076</v>
      </c>
      <c r="Q132" s="6518"/>
      <c r="R132" s="6598"/>
      <c r="S132" s="6518"/>
      <c r="T132" s="380">
        <f>T126/T12</f>
        <v>0.37034457725679071</v>
      </c>
      <c r="U132" s="6518"/>
      <c r="V132" s="378">
        <f>V126/V12</f>
        <v>0.31058346910660306</v>
      </c>
      <c r="W132" s="6598"/>
      <c r="Y132" s="377">
        <f>Y126/Y12</f>
        <v>0.36802624102379256</v>
      </c>
      <c r="Z132" s="378">
        <f>Z126/Z12</f>
        <v>0.34016112395211678</v>
      </c>
      <c r="AA132" s="6518"/>
      <c r="AB132" s="6519"/>
      <c r="AC132" s="6518"/>
      <c r="AD132" s="380">
        <f>AD126/AD12</f>
        <v>0.29939846423765065</v>
      </c>
      <c r="AE132" s="6518"/>
      <c r="AF132" s="378">
        <f>AF126/AF12</f>
        <v>0.30506291721851098</v>
      </c>
      <c r="AG132" s="6598"/>
      <c r="AJ132" s="377">
        <f>AJ126/AJ12</f>
        <v>0.29939846423765065</v>
      </c>
      <c r="AK132" s="378">
        <f>AK126/AK12</f>
        <v>0.31283920886800692</v>
      </c>
      <c r="AL132" s="6518"/>
      <c r="AM132" s="6519"/>
      <c r="AN132" s="6518"/>
      <c r="AO132" s="380">
        <f>AO126/AO12</f>
        <v>0.34076677491596158</v>
      </c>
      <c r="AP132" s="7988"/>
      <c r="AQ132" s="6600">
        <f>AQ126/AQ12</f>
        <v>0.35323325702293468</v>
      </c>
      <c r="AT132" s="377">
        <f>AT126/AT12</f>
        <v>0.36456828152007215</v>
      </c>
      <c r="AU132" s="378">
        <f>AU126/AU12</f>
        <v>0.36186689898270652</v>
      </c>
      <c r="AV132" s="6518"/>
      <c r="AW132" s="6519"/>
      <c r="AX132" s="6518"/>
      <c r="AY132" s="380">
        <f>AY126/AY12</f>
        <v>0.34750905885118843</v>
      </c>
      <c r="AZ132" s="7988"/>
      <c r="BA132" s="6520">
        <f>BA126/BA12</f>
        <v>0.35460560765953164</v>
      </c>
      <c r="BB132" s="6519"/>
      <c r="BD132" s="6518"/>
      <c r="BE132" s="380">
        <f>BE126/BE12</f>
        <v>0.37743549718764086</v>
      </c>
      <c r="BF132" s="7988"/>
      <c r="BG132" s="6520">
        <f>BG126/BG12</f>
        <v>0.35715471386536923</v>
      </c>
      <c r="BH132" s="6519"/>
    </row>
    <row r="133" spans="1:60" x14ac:dyDescent="0.35">
      <c r="A133" s="9168"/>
      <c r="B133" s="58"/>
      <c r="C133" s="390"/>
      <c r="D133" s="296" t="s">
        <v>998</v>
      </c>
      <c r="E133" s="392"/>
      <c r="F133" s="425"/>
      <c r="G133" s="426"/>
      <c r="H133" s="427">
        <f>H126-SUM(H100:H108)</f>
        <v>748.78720199436043</v>
      </c>
      <c r="I133" s="428">
        <f>I126-SUM(I100:I108)</f>
        <v>742.57299724561449</v>
      </c>
      <c r="J133" s="429"/>
      <c r="K133" s="426"/>
      <c r="L133" s="427">
        <f>L126-SUM(L100:L108)</f>
        <v>870.40100557400012</v>
      </c>
      <c r="M133" s="890">
        <f>M126-SUM(M100:M108)</f>
        <v>917.40902452406442</v>
      </c>
      <c r="O133" s="427">
        <f>O126-SUM(O100:O108)</f>
        <v>900250.36190700007</v>
      </c>
      <c r="P133" s="428">
        <f>P126-SUM(P100:P108)</f>
        <v>858139.67299999995</v>
      </c>
      <c r="Q133" s="6518"/>
      <c r="R133" s="6598"/>
      <c r="S133" s="6518"/>
      <c r="T133" s="430">
        <f>T126-SUM(T100:T108)</f>
        <v>1180579.673</v>
      </c>
      <c r="U133" s="6518"/>
      <c r="V133" s="428">
        <f>V126-SUM(V100:V108)</f>
        <v>1016895.834977161</v>
      </c>
      <c r="W133" s="6598"/>
      <c r="Y133" s="427">
        <f t="shared" ref="Y133:Z133" si="59">Y126-SUM(Y100:Y108)</f>
        <v>1181597.6136129999</v>
      </c>
      <c r="Z133" s="428">
        <f t="shared" si="59"/>
        <v>1059117.413613</v>
      </c>
      <c r="AA133" s="6518"/>
      <c r="AB133" s="6519"/>
      <c r="AC133" s="6518"/>
      <c r="AD133" s="430">
        <f>AD126-SUM(AD100:AD108)</f>
        <v>1021354.260258</v>
      </c>
      <c r="AE133" s="6518"/>
      <c r="AF133" s="428">
        <f>AF126-SUM(AF100:AF108)</f>
        <v>1009812.5820234724</v>
      </c>
      <c r="AG133" s="6598"/>
      <c r="AJ133" s="427">
        <f t="shared" ref="AJ133:AK133" si="60">AJ126-SUM(AJ100:AJ108)</f>
        <v>1021354.260258</v>
      </c>
      <c r="AK133" s="428">
        <f t="shared" si="60"/>
        <v>986415.87725800008</v>
      </c>
      <c r="AL133" s="6518"/>
      <c r="AM133" s="6519"/>
      <c r="AN133" s="6518"/>
      <c r="AO133" s="430">
        <f>AO126-SUM(AO100:AO108)</f>
        <v>1179248.7346089999</v>
      </c>
      <c r="AP133" s="7988"/>
      <c r="AQ133" s="6601">
        <f>AQ126-SUM(AQ100:AQ108)</f>
        <v>1129609.1311229179</v>
      </c>
      <c r="AT133" s="427">
        <f>AT126-SUM(AT100:AT108)-AT50</f>
        <v>1263570.5492079982</v>
      </c>
      <c r="AU133" s="428">
        <f>AU126-SUM(AU100:AU108)-AU50</f>
        <v>1231472.3694835748</v>
      </c>
      <c r="AV133" s="6518"/>
      <c r="AW133" s="6519"/>
      <c r="AX133" s="6518"/>
      <c r="AY133" s="430">
        <f>AY126-SUM(AY100:AY108)-AY50</f>
        <v>1316080.3346259997</v>
      </c>
      <c r="AZ133" s="7988"/>
      <c r="BA133" s="6521">
        <f>BA126-SUM(BA100:BA108)-BA50</f>
        <v>1303821.9120063824</v>
      </c>
      <c r="BB133" s="6519"/>
      <c r="BC133" t="s">
        <v>1588</v>
      </c>
      <c r="BD133" s="6518"/>
      <c r="BE133" s="430">
        <f>BE126-SUM(BE100:BE108)-BE50</f>
        <v>1376663.9463335243</v>
      </c>
      <c r="BF133" s="7988"/>
      <c r="BG133" s="6521">
        <f>BG126-SUM(BG100:BG108)-BG50</f>
        <v>1366367.718401788</v>
      </c>
      <c r="BH133" s="6519"/>
    </row>
    <row r="134" spans="1:60" x14ac:dyDescent="0.35">
      <c r="A134" s="9168"/>
      <c r="B134" s="58"/>
      <c r="C134" s="390"/>
      <c r="D134" s="296" t="s">
        <v>999</v>
      </c>
      <c r="E134" s="392"/>
      <c r="F134" s="393"/>
      <c r="G134" s="392"/>
      <c r="H134" s="5156">
        <f>H133/H12</f>
        <v>0.28616800504255924</v>
      </c>
      <c r="I134" s="5154">
        <f>I133/I12</f>
        <v>0.29596372947214605</v>
      </c>
      <c r="J134" s="229"/>
      <c r="K134" s="392"/>
      <c r="L134" s="5156">
        <f>L133/L12</f>
        <v>0.28871894569078183</v>
      </c>
      <c r="M134" s="909">
        <f>M133/M12</f>
        <v>0.29590021433494529</v>
      </c>
      <c r="O134" s="5156">
        <f>O133/O12</f>
        <v>0.2986103097741144</v>
      </c>
      <c r="P134" s="5154">
        <f>P133/P12</f>
        <v>0.27678353535027739</v>
      </c>
      <c r="Q134" s="6518"/>
      <c r="R134" s="6598"/>
      <c r="S134" s="6518"/>
      <c r="T134" s="5155">
        <f>T133/T12</f>
        <v>0.36742683552211675</v>
      </c>
      <c r="U134" s="6518"/>
      <c r="V134" s="5154">
        <f>V133/V12</f>
        <v>0.3077462842976445</v>
      </c>
      <c r="W134" s="6598"/>
      <c r="Y134" s="5156">
        <f>Y133/Y12</f>
        <v>0.36558200971906807</v>
      </c>
      <c r="Z134" s="5154">
        <f>Z133/Z12</f>
        <v>0.33764263377104053</v>
      </c>
      <c r="AA134" s="6518"/>
      <c r="AB134" s="6519"/>
      <c r="AC134" s="6518"/>
      <c r="AD134" s="5155">
        <f>AD133/AD12</f>
        <v>0.29472242896711004</v>
      </c>
      <c r="AE134" s="6518"/>
      <c r="AF134" s="5154">
        <f>AF133/AF12</f>
        <v>0.30024481800979058</v>
      </c>
      <c r="AG134" s="6598"/>
      <c r="AJ134" s="5156">
        <f>AJ133/AJ12</f>
        <v>0.29472242896711004</v>
      </c>
      <c r="AK134" s="5154">
        <f>AK133/AK12</f>
        <v>0.30778299354295591</v>
      </c>
      <c r="AL134" s="6518"/>
      <c r="AM134" s="6519"/>
      <c r="AN134" s="6518"/>
      <c r="AO134" s="5155">
        <f>AO133/AO12</f>
        <v>0.33480459218925668</v>
      </c>
      <c r="AP134" s="7988"/>
      <c r="AQ134" s="6599">
        <f>AQ133/AQ12</f>
        <v>0.3467863253961691</v>
      </c>
      <c r="AT134" s="5156"/>
      <c r="AU134" s="5154"/>
      <c r="AV134" s="6518"/>
      <c r="AW134" s="6519"/>
      <c r="AX134" s="6518"/>
      <c r="AY134" s="5155"/>
      <c r="AZ134" s="7988"/>
      <c r="BA134" s="5840"/>
      <c r="BB134" s="6519"/>
      <c r="BD134" s="6518"/>
      <c r="BE134" s="5155"/>
      <c r="BF134" s="7988"/>
      <c r="BG134" s="5840"/>
      <c r="BH134" s="6519"/>
    </row>
    <row r="135" spans="1:60" x14ac:dyDescent="0.35">
      <c r="A135" s="9168"/>
      <c r="B135" s="58"/>
      <c r="C135" s="390"/>
      <c r="D135" s="1736"/>
      <c r="E135" s="392"/>
      <c r="F135" s="393"/>
      <c r="G135" s="392"/>
      <c r="H135" s="394"/>
      <c r="I135" s="395"/>
      <c r="J135" s="229"/>
      <c r="K135" s="392"/>
      <c r="L135" s="394"/>
      <c r="M135" s="229"/>
      <c r="O135" s="394"/>
      <c r="P135" s="395"/>
      <c r="Q135" s="6514"/>
      <c r="R135" s="5975"/>
      <c r="S135" s="6514"/>
      <c r="T135" s="396"/>
      <c r="U135" s="6514"/>
      <c r="V135" s="395"/>
      <c r="W135" s="5975"/>
      <c r="Y135" s="394"/>
      <c r="Z135" s="395"/>
      <c r="AA135" s="6514"/>
      <c r="AB135" s="6515"/>
      <c r="AC135" s="6514"/>
      <c r="AD135" s="396"/>
      <c r="AE135" s="6514"/>
      <c r="AF135" s="395"/>
      <c r="AG135" s="5975"/>
      <c r="AJ135" s="394"/>
      <c r="AK135" s="395"/>
      <c r="AL135" s="6514"/>
      <c r="AM135" s="6515"/>
      <c r="AN135" s="6514"/>
      <c r="AO135" s="396"/>
      <c r="AP135" s="6514"/>
      <c r="AQ135" s="977"/>
      <c r="AT135" s="394"/>
      <c r="AU135" s="395"/>
      <c r="AV135" s="6514"/>
      <c r="AW135" s="6515"/>
      <c r="AX135" s="6514"/>
      <c r="AY135" s="396"/>
      <c r="AZ135" s="6514"/>
      <c r="BA135" s="390"/>
      <c r="BB135" s="6515"/>
      <c r="BD135" s="6514"/>
      <c r="BE135" s="396"/>
      <c r="BF135" s="6514"/>
      <c r="BG135" s="390"/>
      <c r="BH135" s="6515"/>
    </row>
    <row r="136" spans="1:60" x14ac:dyDescent="0.35">
      <c r="A136" s="9168"/>
      <c r="B136" s="58"/>
      <c r="C136" s="390"/>
      <c r="D136" s="1758" t="s">
        <v>1000</v>
      </c>
      <c r="E136" s="424"/>
      <c r="F136" s="393"/>
      <c r="G136" s="392"/>
      <c r="H136" s="394"/>
      <c r="I136" s="395"/>
      <c r="J136" s="229"/>
      <c r="K136" s="392"/>
      <c r="L136" s="394"/>
      <c r="M136" s="431"/>
      <c r="O136" s="4121"/>
      <c r="P136" s="2969">
        <f>SUM(P111:P119)/P126</f>
        <v>0.40766377657224961</v>
      </c>
      <c r="Q136" s="1733"/>
      <c r="R136" s="6598"/>
      <c r="S136" s="1733"/>
      <c r="T136" s="2968">
        <f>SUM(T111:T119)/T126</f>
        <v>0.41838736491099943</v>
      </c>
      <c r="U136" s="1733"/>
      <c r="V136" s="2969">
        <f>SUM(V111:V119)/V126</f>
        <v>0.48511755672281148</v>
      </c>
      <c r="W136" s="6598"/>
      <c r="Y136" s="4121">
        <f t="shared" ref="Y136:Z136" si="61">SUM(Y111:Y119)/Y126</f>
        <v>0.41854812847230999</v>
      </c>
      <c r="Z136" s="2969">
        <f t="shared" si="61"/>
        <v>0.45950665260448043</v>
      </c>
      <c r="AA136" s="1733"/>
      <c r="AB136" s="6519"/>
      <c r="AC136" s="1733"/>
      <c r="AD136" s="2968">
        <f>SUM(AD111:AD119)/AD126</f>
        <v>0.39502237048589917</v>
      </c>
      <c r="AE136" s="1733"/>
      <c r="AF136" s="2969">
        <f>SUM(AF111:AF119)/AF126</f>
        <v>0.39946598091573238</v>
      </c>
      <c r="AG136" s="6598"/>
      <c r="AJ136" s="4121">
        <f t="shared" ref="AJ136" si="62">SUM(AJ111:AJ119)/AJ126</f>
        <v>0.39502237048589917</v>
      </c>
      <c r="AK136" s="2969"/>
      <c r="AL136" s="1733"/>
      <c r="AM136" s="6519"/>
      <c r="AN136" s="1733"/>
      <c r="AO136" s="2968">
        <f>SUM(AO111:AO119)/AO126</f>
        <v>0.37888913096679555</v>
      </c>
      <c r="AP136" s="7987"/>
      <c r="AQ136" s="6602"/>
      <c r="AT136" s="4121"/>
      <c r="AU136" s="2969"/>
      <c r="AV136" s="1733"/>
      <c r="AW136" s="6519"/>
      <c r="AX136" s="1733"/>
      <c r="AY136" s="2968"/>
      <c r="AZ136" s="7987"/>
      <c r="BA136" s="6522"/>
      <c r="BB136" s="6519"/>
      <c r="BD136" s="1733"/>
      <c r="BE136" s="2968"/>
      <c r="BF136" s="7987"/>
      <c r="BG136" s="6522"/>
      <c r="BH136" s="6519"/>
    </row>
    <row r="137" spans="1:60" x14ac:dyDescent="0.35">
      <c r="A137" s="9169"/>
      <c r="B137" s="85"/>
      <c r="C137" s="432"/>
      <c r="D137" s="1758" t="s">
        <v>1001</v>
      </c>
      <c r="E137" s="274"/>
      <c r="F137" s="434"/>
      <c r="G137" s="435"/>
      <c r="H137" s="436"/>
      <c r="I137" s="437"/>
      <c r="J137" s="573"/>
      <c r="K137" s="435"/>
      <c r="L137" s="436"/>
      <c r="M137" s="574"/>
      <c r="O137" s="436"/>
      <c r="P137" s="437">
        <f>P111/P128</f>
        <v>0.41391588236523413</v>
      </c>
      <c r="Q137" s="1605"/>
      <c r="R137" s="1576"/>
      <c r="T137" s="439">
        <f>T111/T128</f>
        <v>0.39959293833522674</v>
      </c>
      <c r="U137" s="1605"/>
      <c r="V137" s="437">
        <f>V111/V128</f>
        <v>0.39227600418109254</v>
      </c>
      <c r="W137" s="1576"/>
      <c r="Y137" s="436">
        <f t="shared" ref="Y137:Z137" si="63">Y111/Y128</f>
        <v>0.39939009035313028</v>
      </c>
      <c r="Z137" s="437">
        <f t="shared" si="63"/>
        <v>0.42726815770072896</v>
      </c>
      <c r="AA137" s="1605"/>
      <c r="AB137" s="6442"/>
      <c r="AD137" s="439">
        <f>AD111/AD128</f>
        <v>0.41929000250810688</v>
      </c>
      <c r="AE137" s="1605"/>
      <c r="AF137" s="437">
        <f>AF111/AF128</f>
        <v>0.42101376973622279</v>
      </c>
      <c r="AG137" s="1576"/>
      <c r="AJ137" s="436">
        <f t="shared" ref="AJ137" si="64">AJ111/AJ128</f>
        <v>0.41929000250810688</v>
      </c>
      <c r="AK137" s="437"/>
      <c r="AL137" s="1605"/>
      <c r="AM137" s="6442"/>
      <c r="AO137" s="439">
        <f>AO111/AO128</f>
        <v>0.40481393089380896</v>
      </c>
      <c r="AP137" s="1605"/>
      <c r="AQ137" s="1767"/>
      <c r="AT137" s="436"/>
      <c r="AU137" s="437"/>
      <c r="AV137" s="1605"/>
      <c r="AW137" s="6442"/>
      <c r="AY137" s="439"/>
      <c r="AZ137" s="1605"/>
      <c r="BA137" s="3217"/>
      <c r="BB137" s="6442"/>
      <c r="BE137" s="439"/>
      <c r="BF137" s="1605"/>
      <c r="BG137" s="3217"/>
      <c r="BH137" s="6442"/>
    </row>
    <row r="138" spans="1:60" s="462" customFormat="1" ht="12" x14ac:dyDescent="0.3">
      <c r="C138" s="456"/>
      <c r="D138" s="5"/>
      <c r="E138" s="456"/>
      <c r="F138" s="456"/>
      <c r="G138" s="456"/>
      <c r="H138" s="459"/>
      <c r="I138" s="459"/>
      <c r="J138" s="7"/>
      <c r="K138" s="456"/>
      <c r="N138" s="456"/>
      <c r="T138" s="456"/>
      <c r="U138" s="456"/>
      <c r="V138" s="456"/>
      <c r="W138" s="456"/>
      <c r="X138" s="456"/>
      <c r="AB138" s="711"/>
      <c r="AD138" s="456"/>
      <c r="AE138" s="456"/>
      <c r="AF138" s="456"/>
      <c r="AG138" s="456"/>
      <c r="AH138" s="456"/>
      <c r="AM138" s="711"/>
      <c r="AO138" s="456"/>
      <c r="AP138" s="456"/>
      <c r="AQ138" s="456"/>
      <c r="AS138" s="456"/>
      <c r="AW138" s="711"/>
      <c r="AY138" s="456"/>
      <c r="AZ138" s="456"/>
      <c r="BA138" s="456"/>
      <c r="BB138" s="711"/>
      <c r="BE138" s="456"/>
      <c r="BF138" s="456"/>
      <c r="BG138" s="456"/>
      <c r="BH138" s="711"/>
    </row>
    <row r="139" spans="1:60" s="462" customFormat="1" ht="12" x14ac:dyDescent="0.3">
      <c r="A139" s="576" t="s">
        <v>582</v>
      </c>
      <c r="B139" s="576"/>
      <c r="C139" s="456"/>
      <c r="D139" s="5"/>
      <c r="E139" s="456"/>
      <c r="F139" s="456"/>
      <c r="G139" s="456"/>
      <c r="H139" s="459"/>
      <c r="I139" s="459"/>
      <c r="J139" s="7"/>
      <c r="K139" s="456"/>
      <c r="N139" s="456"/>
      <c r="T139" s="456"/>
      <c r="U139" s="456"/>
      <c r="V139" s="456"/>
      <c r="W139" s="456"/>
      <c r="X139" s="456"/>
      <c r="AB139" s="711"/>
      <c r="AD139" s="456"/>
      <c r="AE139" s="456"/>
      <c r="AF139" s="456"/>
      <c r="AG139" s="456"/>
      <c r="AH139" s="456"/>
      <c r="AM139" s="711"/>
      <c r="AO139" s="456"/>
      <c r="AP139" s="456"/>
      <c r="AQ139" s="456"/>
      <c r="AS139" s="456"/>
      <c r="AW139" s="711"/>
      <c r="AY139" s="456"/>
      <c r="AZ139" s="456"/>
      <c r="BA139" s="456"/>
      <c r="BB139" s="711"/>
      <c r="BE139" s="456"/>
      <c r="BF139" s="456"/>
      <c r="BG139" s="456"/>
      <c r="BH139" s="711"/>
    </row>
    <row r="140" spans="1:60" s="462" customFormat="1" ht="12" customHeight="1" x14ac:dyDescent="0.35">
      <c r="A140" s="463">
        <v>1</v>
      </c>
      <c r="B140" s="464">
        <f>AI23</f>
        <v>0</v>
      </c>
      <c r="D140" s="465"/>
      <c r="E140" s="466"/>
      <c r="F140" s="466"/>
      <c r="G140" s="466"/>
      <c r="H140" s="466"/>
      <c r="I140" s="466"/>
      <c r="J140" s="467"/>
      <c r="K140" s="466"/>
      <c r="L140" s="466"/>
      <c r="M140" s="466"/>
      <c r="N140" s="456"/>
      <c r="O140" s="1"/>
      <c r="P140" s="1"/>
      <c r="Q140" s="1"/>
      <c r="R140" s="1"/>
      <c r="S140" s="1"/>
      <c r="T140" s="1"/>
      <c r="U140" s="1"/>
      <c r="V140" s="1"/>
      <c r="W140" s="1"/>
      <c r="X140" s="456"/>
      <c r="Y140" s="1"/>
      <c r="Z140" s="1"/>
      <c r="AA140" s="1"/>
      <c r="AB140" s="6523"/>
      <c r="AC140" s="1"/>
      <c r="AD140" s="1"/>
      <c r="AE140" s="1"/>
      <c r="AF140" s="1"/>
      <c r="AG140" s="1"/>
      <c r="AH140" s="456"/>
      <c r="AI140" s="577"/>
      <c r="AJ140" s="1"/>
      <c r="AK140" s="1"/>
      <c r="AL140" s="1"/>
      <c r="AM140" s="6523"/>
      <c r="AN140" s="1"/>
      <c r="AO140" s="1"/>
      <c r="AP140" s="1"/>
      <c r="AQ140" s="1"/>
      <c r="AR140" s="577"/>
      <c r="AS140" s="456"/>
      <c r="AT140" s="1"/>
      <c r="AU140" s="1"/>
      <c r="AV140" s="1"/>
      <c r="AW140" s="6523"/>
      <c r="AX140" s="1"/>
      <c r="AY140" s="1"/>
      <c r="AZ140" s="1"/>
      <c r="BA140" s="1"/>
      <c r="BB140" s="6523"/>
      <c r="BC140" s="577"/>
      <c r="BD140" s="1"/>
      <c r="BE140" s="1"/>
      <c r="BF140" s="1"/>
      <c r="BG140" s="1"/>
      <c r="BH140" s="6523"/>
    </row>
    <row r="141" spans="1:60" s="462" customFormat="1" x14ac:dyDescent="0.35">
      <c r="A141" s="468">
        <v>2</v>
      </c>
      <c r="B141" s="469" t="str">
        <f>AI26</f>
        <v>y compris dépenses post-crise</v>
      </c>
      <c r="D141" s="5"/>
      <c r="E141" s="456"/>
      <c r="F141" s="456"/>
      <c r="G141" s="456"/>
      <c r="H141" s="459"/>
      <c r="I141" s="459"/>
      <c r="J141" s="7"/>
      <c r="K141" s="456"/>
      <c r="N141" s="456"/>
      <c r="O141" s="1"/>
      <c r="P141" s="1"/>
      <c r="Q141" s="1"/>
      <c r="R141" s="1"/>
      <c r="S141" s="1"/>
      <c r="T141" s="1"/>
      <c r="U141" s="1"/>
      <c r="V141" s="1"/>
      <c r="W141" s="1"/>
      <c r="X141" s="456"/>
      <c r="Y141" s="1"/>
      <c r="Z141" s="1"/>
      <c r="AA141" s="1"/>
      <c r="AB141" s="6523"/>
      <c r="AC141" s="1"/>
      <c r="AD141" s="1"/>
      <c r="AE141" s="1"/>
      <c r="AF141" s="1"/>
      <c r="AG141" s="1"/>
      <c r="AH141" s="456"/>
      <c r="AI141" s="577"/>
      <c r="AJ141" s="1"/>
      <c r="AK141" s="1"/>
      <c r="AL141" s="1"/>
      <c r="AM141" s="6523"/>
      <c r="AN141" s="1"/>
      <c r="AO141" s="1"/>
      <c r="AP141" s="1"/>
      <c r="AQ141" s="1"/>
      <c r="AR141" s="577"/>
      <c r="AS141" s="456"/>
      <c r="AT141" s="1"/>
      <c r="AU141" s="1"/>
      <c r="AV141" s="1"/>
      <c r="AW141" s="6523"/>
      <c r="AX141" s="1"/>
      <c r="AY141" s="1"/>
      <c r="AZ141" s="1"/>
      <c r="BA141" s="1"/>
      <c r="BB141" s="6523"/>
      <c r="BC141" s="577"/>
      <c r="BD141" s="1"/>
      <c r="BE141" s="1"/>
      <c r="BF141" s="1"/>
      <c r="BG141" s="1"/>
      <c r="BH141" s="6523"/>
    </row>
    <row r="142" spans="1:60" s="462" customFormat="1" x14ac:dyDescent="0.35">
      <c r="A142" s="468"/>
      <c r="B142" s="469"/>
      <c r="D142" s="5"/>
      <c r="E142" s="456"/>
      <c r="F142" s="456"/>
      <c r="G142" s="456"/>
      <c r="H142" s="459"/>
      <c r="I142" s="459"/>
      <c r="J142" s="7"/>
      <c r="K142" s="456"/>
      <c r="N142" s="456"/>
      <c r="O142" s="1"/>
      <c r="P142" s="1"/>
      <c r="Q142" s="1"/>
      <c r="R142" s="1"/>
      <c r="S142" s="1"/>
      <c r="T142" s="1"/>
      <c r="U142" s="1"/>
      <c r="V142" s="1"/>
      <c r="W142" s="1"/>
      <c r="X142" s="456"/>
      <c r="Y142" s="1"/>
      <c r="Z142" s="1"/>
      <c r="AA142" s="1"/>
      <c r="AB142" s="6523"/>
      <c r="AC142" s="1"/>
      <c r="AD142" s="1"/>
      <c r="AE142" s="1"/>
      <c r="AF142" s="1"/>
      <c r="AG142" s="1"/>
      <c r="AH142" s="456"/>
      <c r="AI142" s="577"/>
      <c r="AJ142" s="1"/>
      <c r="AK142" s="1"/>
      <c r="AL142" s="1"/>
      <c r="AM142" s="6523"/>
      <c r="AN142" s="1"/>
      <c r="AO142" s="1"/>
      <c r="AP142" s="1"/>
      <c r="AQ142" s="1"/>
      <c r="AR142" s="577"/>
      <c r="AS142" s="456"/>
      <c r="AT142" s="1"/>
      <c r="AU142" s="1"/>
      <c r="AV142" s="1"/>
      <c r="AW142" s="6523"/>
      <c r="AX142" s="1"/>
      <c r="AY142" s="1"/>
      <c r="AZ142" s="1"/>
      <c r="BA142" s="1"/>
      <c r="BB142" s="6523"/>
      <c r="BC142" s="577"/>
      <c r="BD142" s="1"/>
      <c r="BE142" s="1"/>
      <c r="BF142" s="1"/>
      <c r="BG142" s="1"/>
      <c r="BH142" s="6523"/>
    </row>
    <row r="143" spans="1:60" s="462" customFormat="1" x14ac:dyDescent="0.35">
      <c r="A143" s="468"/>
      <c r="B143" s="469"/>
      <c r="D143" s="5"/>
      <c r="E143" s="456"/>
      <c r="F143" s="456"/>
      <c r="G143" s="456"/>
      <c r="H143" s="459"/>
      <c r="I143" s="459"/>
      <c r="J143" s="7"/>
      <c r="K143" s="456"/>
      <c r="N143" s="456"/>
      <c r="O143" s="1"/>
      <c r="P143" s="1"/>
      <c r="Q143" s="1"/>
      <c r="R143" s="1"/>
      <c r="S143" s="1"/>
      <c r="T143" s="1"/>
      <c r="U143" s="1"/>
      <c r="V143" s="1"/>
      <c r="W143" s="1"/>
      <c r="X143" s="456"/>
      <c r="Y143" s="1"/>
      <c r="Z143" s="1"/>
      <c r="AA143" s="1"/>
      <c r="AB143" s="6523"/>
      <c r="AC143" s="1"/>
      <c r="AD143" s="1"/>
      <c r="AE143" s="1"/>
      <c r="AF143" s="1"/>
      <c r="AG143" s="1"/>
      <c r="AH143" s="456"/>
      <c r="AI143" s="577"/>
      <c r="AJ143" s="1"/>
      <c r="AK143" s="1"/>
      <c r="AL143" s="1"/>
      <c r="AM143" s="6523"/>
      <c r="AN143" s="1"/>
      <c r="AO143" s="1"/>
      <c r="AP143" s="1"/>
      <c r="AQ143" s="1"/>
      <c r="AR143" s="577"/>
      <c r="AS143" s="456"/>
      <c r="AT143" s="1"/>
      <c r="AU143" s="1"/>
      <c r="AV143" s="1"/>
      <c r="AW143" s="6523"/>
      <c r="AX143" s="1"/>
      <c r="AY143" s="1"/>
      <c r="AZ143" s="1"/>
      <c r="BA143" s="1"/>
      <c r="BB143" s="6523"/>
      <c r="BC143" s="577"/>
      <c r="BD143" s="1"/>
      <c r="BE143" s="1"/>
      <c r="BF143" s="1"/>
      <c r="BG143" s="1"/>
      <c r="BH143" s="6523"/>
    </row>
    <row r="144" spans="1:60" s="462" customFormat="1" x14ac:dyDescent="0.35">
      <c r="A144" s="468"/>
      <c r="B144" s="469"/>
      <c r="D144" s="5"/>
      <c r="E144" s="456"/>
      <c r="F144" s="456"/>
      <c r="G144" s="456"/>
      <c r="H144" s="459"/>
      <c r="I144" s="459"/>
      <c r="J144" s="7"/>
      <c r="K144" s="456"/>
      <c r="N144" s="456"/>
      <c r="O144" s="1"/>
      <c r="P144" s="1"/>
      <c r="Q144" s="1"/>
      <c r="R144" s="1"/>
      <c r="S144" s="1"/>
      <c r="T144" s="1"/>
      <c r="U144" s="1"/>
      <c r="V144" s="1"/>
      <c r="W144" s="1"/>
      <c r="X144" s="456"/>
      <c r="Y144" s="1"/>
      <c r="Z144" s="1"/>
      <c r="AA144" s="1"/>
      <c r="AB144" s="6523"/>
      <c r="AC144" s="1"/>
      <c r="AD144" s="1"/>
      <c r="AE144" s="1"/>
      <c r="AF144" s="1"/>
      <c r="AG144" s="1"/>
      <c r="AH144" s="456"/>
      <c r="AI144" s="577"/>
      <c r="AJ144" s="1"/>
      <c r="AK144" s="1"/>
      <c r="AL144" s="1"/>
      <c r="AM144" s="6523"/>
      <c r="AN144" s="1"/>
      <c r="AO144" s="1"/>
      <c r="AP144" s="1"/>
      <c r="AQ144" s="1"/>
      <c r="AR144" s="577"/>
      <c r="AS144" s="456"/>
      <c r="AT144" s="1"/>
      <c r="AU144" s="1"/>
      <c r="AV144" s="1"/>
      <c r="AW144" s="6523"/>
      <c r="AX144" s="1"/>
      <c r="AY144" s="1"/>
      <c r="AZ144" s="1"/>
      <c r="BA144" s="1"/>
      <c r="BB144" s="6523"/>
      <c r="BC144" s="577"/>
      <c r="BD144" s="1"/>
      <c r="BE144" s="1"/>
      <c r="BF144" s="1"/>
      <c r="BG144" s="1"/>
      <c r="BH144" s="6523"/>
    </row>
    <row r="145" spans="1:60" s="462" customFormat="1" ht="12" x14ac:dyDescent="0.3">
      <c r="A145" s="468"/>
      <c r="B145" s="469"/>
      <c r="D145" s="5"/>
      <c r="E145" s="456"/>
      <c r="F145" s="456"/>
      <c r="G145" s="456"/>
      <c r="H145" s="459"/>
      <c r="I145" s="459"/>
      <c r="J145" s="7"/>
      <c r="K145" s="456"/>
      <c r="N145" s="456"/>
      <c r="T145" s="456"/>
      <c r="U145" s="456"/>
      <c r="V145" s="456"/>
      <c r="W145" s="456"/>
      <c r="X145" s="456"/>
      <c r="AB145" s="711"/>
      <c r="AD145" s="456"/>
      <c r="AE145" s="456"/>
      <c r="AF145" s="456"/>
      <c r="AG145" s="456"/>
      <c r="AH145" s="456"/>
      <c r="AI145" s="577"/>
      <c r="AM145" s="711"/>
      <c r="AO145" s="456"/>
      <c r="AP145" s="456"/>
      <c r="AQ145" s="456"/>
      <c r="AR145" s="577"/>
      <c r="AS145" s="456"/>
      <c r="AW145" s="711"/>
      <c r="AY145" s="456"/>
      <c r="AZ145" s="456"/>
      <c r="BA145" s="456"/>
      <c r="BB145" s="711"/>
      <c r="BC145" s="577"/>
      <c r="BE145" s="456"/>
      <c r="BF145" s="456"/>
      <c r="BG145" s="456"/>
      <c r="BH145" s="711"/>
    </row>
    <row r="146" spans="1:60" s="462" customFormat="1" ht="12" x14ac:dyDescent="0.3">
      <c r="A146" s="468"/>
      <c r="B146" s="469"/>
      <c r="D146" s="5"/>
      <c r="E146" s="456"/>
      <c r="F146" s="456"/>
      <c r="G146" s="456"/>
      <c r="H146" s="459"/>
      <c r="I146" s="459"/>
      <c r="J146" s="7"/>
      <c r="K146" s="456"/>
      <c r="N146" s="456"/>
      <c r="T146" s="456"/>
      <c r="U146" s="456"/>
      <c r="V146" s="456"/>
      <c r="W146" s="456"/>
      <c r="X146" s="456"/>
      <c r="AB146" s="711"/>
      <c r="AD146" s="456"/>
      <c r="AE146" s="456"/>
      <c r="AF146" s="456"/>
      <c r="AG146" s="456"/>
      <c r="AH146" s="456"/>
      <c r="AI146" s="577"/>
      <c r="AM146" s="711"/>
      <c r="AO146" s="456"/>
      <c r="AP146" s="456"/>
      <c r="AQ146" s="456"/>
      <c r="AR146" s="577"/>
      <c r="AS146" s="456"/>
      <c r="AW146" s="711"/>
      <c r="AY146" s="456"/>
      <c r="AZ146" s="456"/>
      <c r="BA146" s="456"/>
      <c r="BB146" s="711"/>
      <c r="BC146" s="577"/>
      <c r="BE146" s="456"/>
      <c r="BF146" s="456"/>
      <c r="BG146" s="456"/>
      <c r="BH146" s="711"/>
    </row>
    <row r="147" spans="1:60" s="462" customFormat="1" ht="12" x14ac:dyDescent="0.3">
      <c r="A147" s="468"/>
      <c r="B147" s="469"/>
      <c r="D147" s="5"/>
      <c r="E147" s="456"/>
      <c r="F147" s="456"/>
      <c r="G147" s="456"/>
      <c r="H147" s="459"/>
      <c r="I147" s="459"/>
      <c r="J147" s="7"/>
      <c r="K147" s="456"/>
      <c r="N147" s="456"/>
      <c r="T147" s="456"/>
      <c r="U147" s="456"/>
      <c r="V147" s="456"/>
      <c r="W147" s="456"/>
      <c r="X147" s="456"/>
      <c r="AB147" s="711"/>
      <c r="AD147" s="456"/>
      <c r="AE147" s="456"/>
      <c r="AF147" s="456"/>
      <c r="AG147" s="456"/>
      <c r="AH147" s="456"/>
      <c r="AI147" s="577"/>
      <c r="AM147" s="711"/>
      <c r="AO147" s="456"/>
      <c r="AP147" s="456"/>
      <c r="AQ147" s="456"/>
      <c r="AR147" s="577"/>
      <c r="AS147" s="456"/>
      <c r="AW147" s="711"/>
      <c r="AY147" s="456"/>
      <c r="AZ147" s="456"/>
      <c r="BA147" s="456"/>
      <c r="BB147" s="711"/>
      <c r="BC147" s="577"/>
      <c r="BE147" s="456"/>
      <c r="BF147" s="456"/>
      <c r="BG147" s="456"/>
      <c r="BH147" s="711"/>
    </row>
    <row r="148" spans="1:60" s="462" customFormat="1" ht="12" x14ac:dyDescent="0.3">
      <c r="A148" s="468"/>
      <c r="B148" s="469"/>
      <c r="D148" s="5"/>
      <c r="E148" s="456"/>
      <c r="F148" s="456"/>
      <c r="G148" s="456"/>
      <c r="H148" s="459"/>
      <c r="I148" s="459"/>
      <c r="J148" s="7"/>
      <c r="K148" s="456"/>
      <c r="N148" s="456"/>
      <c r="T148" s="456"/>
      <c r="U148" s="456"/>
      <c r="V148" s="456"/>
      <c r="W148" s="456"/>
      <c r="X148" s="456"/>
      <c r="AB148" s="711"/>
      <c r="AD148" s="456"/>
      <c r="AE148" s="456"/>
      <c r="AF148" s="456"/>
      <c r="AG148" s="456"/>
      <c r="AH148" s="456"/>
      <c r="AI148" s="577"/>
      <c r="AM148" s="711"/>
      <c r="AO148" s="456"/>
      <c r="AP148" s="456"/>
      <c r="AQ148" s="456"/>
      <c r="AR148" s="577"/>
      <c r="AS148" s="456"/>
      <c r="AW148" s="711"/>
      <c r="AY148" s="456"/>
      <c r="AZ148" s="456"/>
      <c r="BA148" s="456"/>
      <c r="BB148" s="711"/>
      <c r="BC148" s="577"/>
      <c r="BE148" s="456"/>
      <c r="BF148" s="456"/>
      <c r="BG148" s="456"/>
      <c r="BH148" s="711"/>
    </row>
    <row r="149" spans="1:60" s="462" customFormat="1" ht="12" x14ac:dyDescent="0.3">
      <c r="A149" s="468"/>
      <c r="B149" s="469"/>
      <c r="D149" s="5"/>
      <c r="E149" s="456"/>
      <c r="F149" s="456"/>
      <c r="G149" s="456"/>
      <c r="H149" s="459"/>
      <c r="I149" s="459"/>
      <c r="J149" s="7"/>
      <c r="K149" s="456"/>
      <c r="N149" s="456"/>
      <c r="T149" s="456"/>
      <c r="U149" s="456"/>
      <c r="V149" s="456"/>
      <c r="W149" s="456"/>
      <c r="X149" s="456"/>
      <c r="AB149" s="711"/>
      <c r="AD149" s="456"/>
      <c r="AE149" s="456"/>
      <c r="AF149" s="456"/>
      <c r="AG149" s="456"/>
      <c r="AH149" s="456"/>
      <c r="AI149" s="577"/>
      <c r="AM149" s="711"/>
      <c r="AO149" s="456"/>
      <c r="AP149" s="456"/>
      <c r="AQ149" s="456"/>
      <c r="AR149" s="577"/>
      <c r="AS149" s="456"/>
      <c r="AW149" s="711"/>
      <c r="AY149" s="456"/>
      <c r="AZ149" s="456"/>
      <c r="BA149" s="456"/>
      <c r="BB149" s="711"/>
      <c r="BC149" s="577"/>
      <c r="BE149" s="456"/>
      <c r="BF149" s="456"/>
      <c r="BG149" s="456"/>
      <c r="BH149" s="711"/>
    </row>
    <row r="150" spans="1:60" s="462" customFormat="1" ht="12" x14ac:dyDescent="0.3">
      <c r="A150" s="468"/>
      <c r="B150" s="469"/>
      <c r="D150" s="5"/>
      <c r="E150" s="456"/>
      <c r="F150" s="456"/>
      <c r="G150" s="456"/>
      <c r="H150" s="459"/>
      <c r="I150" s="459"/>
      <c r="J150" s="7"/>
      <c r="K150" s="456"/>
      <c r="N150" s="456"/>
      <c r="T150" s="456"/>
      <c r="U150" s="456"/>
      <c r="V150" s="456"/>
      <c r="W150" s="456"/>
      <c r="X150" s="456"/>
      <c r="AB150" s="711"/>
      <c r="AD150" s="456"/>
      <c r="AE150" s="456"/>
      <c r="AF150" s="456"/>
      <c r="AG150" s="456"/>
      <c r="AH150" s="456"/>
      <c r="AI150" s="577"/>
      <c r="AM150" s="711"/>
      <c r="AO150" s="456"/>
      <c r="AP150" s="456"/>
      <c r="AQ150" s="456"/>
      <c r="AR150" s="577"/>
      <c r="AS150" s="456"/>
      <c r="AW150" s="711"/>
      <c r="AY150" s="456"/>
      <c r="AZ150" s="456"/>
      <c r="BA150" s="456"/>
      <c r="BB150" s="711"/>
      <c r="BC150" s="577"/>
      <c r="BE150" s="456"/>
      <c r="BF150" s="456"/>
      <c r="BG150" s="456"/>
      <c r="BH150" s="711"/>
    </row>
    <row r="151" spans="1:60" s="462" customFormat="1" ht="12" x14ac:dyDescent="0.3">
      <c r="A151" s="468"/>
      <c r="B151" s="469"/>
      <c r="D151" s="5"/>
      <c r="E151" s="456"/>
      <c r="F151" s="456"/>
      <c r="G151" s="456"/>
      <c r="H151" s="459"/>
      <c r="I151" s="459"/>
      <c r="J151" s="7"/>
      <c r="K151" s="456"/>
      <c r="N151" s="456"/>
      <c r="T151" s="456"/>
      <c r="U151" s="456"/>
      <c r="V151" s="456"/>
      <c r="W151" s="456"/>
      <c r="X151" s="456"/>
      <c r="AB151" s="711"/>
      <c r="AD151" s="456"/>
      <c r="AE151" s="456"/>
      <c r="AF151" s="456"/>
      <c r="AG151" s="456"/>
      <c r="AH151" s="456"/>
      <c r="AI151" s="577"/>
      <c r="AM151" s="711"/>
      <c r="AO151" s="456"/>
      <c r="AP151" s="456"/>
      <c r="AQ151" s="456"/>
      <c r="AR151" s="577"/>
      <c r="AS151" s="456"/>
      <c r="AW151" s="711"/>
      <c r="AY151" s="456"/>
      <c r="AZ151" s="456"/>
      <c r="BA151" s="456"/>
      <c r="BB151" s="711"/>
      <c r="BC151" s="577"/>
      <c r="BE151" s="456"/>
      <c r="BF151" s="456"/>
      <c r="BG151" s="456"/>
      <c r="BH151" s="711"/>
    </row>
    <row r="152" spans="1:60" s="462" customFormat="1" ht="12" x14ac:dyDescent="0.3">
      <c r="A152" s="468"/>
      <c r="B152" s="469"/>
      <c r="D152" s="5"/>
      <c r="E152" s="456"/>
      <c r="F152" s="456"/>
      <c r="G152" s="456"/>
      <c r="H152" s="459"/>
      <c r="I152" s="459"/>
      <c r="J152" s="7"/>
      <c r="K152" s="456"/>
      <c r="N152" s="456"/>
      <c r="T152" s="456"/>
      <c r="U152" s="456"/>
      <c r="V152" s="456"/>
      <c r="W152" s="456"/>
      <c r="X152" s="456"/>
      <c r="AB152" s="711"/>
      <c r="AD152" s="456"/>
      <c r="AE152" s="456"/>
      <c r="AF152" s="456"/>
      <c r="AG152" s="456"/>
      <c r="AH152" s="456"/>
      <c r="AI152" s="577"/>
      <c r="AM152" s="711"/>
      <c r="AO152" s="456"/>
      <c r="AP152" s="456"/>
      <c r="AQ152" s="456"/>
      <c r="AR152" s="577"/>
      <c r="AS152" s="456"/>
      <c r="AW152" s="711"/>
      <c r="AY152" s="456"/>
      <c r="AZ152" s="456"/>
      <c r="BA152" s="456"/>
      <c r="BB152" s="711"/>
      <c r="BC152" s="577"/>
      <c r="BE152" s="456"/>
      <c r="BF152" s="456"/>
      <c r="BG152" s="456"/>
      <c r="BH152" s="711"/>
    </row>
    <row r="153" spans="1:60" s="462" customFormat="1" ht="12" x14ac:dyDescent="0.3">
      <c r="A153" s="468"/>
      <c r="B153" s="469"/>
      <c r="D153" s="5"/>
      <c r="E153" s="456"/>
      <c r="F153" s="456"/>
      <c r="G153" s="456"/>
      <c r="H153" s="459"/>
      <c r="I153" s="459"/>
      <c r="J153" s="7"/>
      <c r="K153" s="456"/>
      <c r="N153" s="456"/>
      <c r="T153" s="456"/>
      <c r="U153" s="456"/>
      <c r="V153" s="456"/>
      <c r="W153" s="456"/>
      <c r="X153" s="456"/>
      <c r="AB153" s="711"/>
      <c r="AD153" s="456"/>
      <c r="AE153" s="456"/>
      <c r="AF153" s="456"/>
      <c r="AG153" s="456"/>
      <c r="AH153" s="456"/>
      <c r="AI153" s="577"/>
      <c r="AM153" s="711"/>
      <c r="AO153" s="456"/>
      <c r="AP153" s="456"/>
      <c r="AQ153" s="456"/>
      <c r="AR153" s="577"/>
      <c r="AS153" s="456"/>
      <c r="AW153" s="711"/>
      <c r="AY153" s="456"/>
      <c r="AZ153" s="456"/>
      <c r="BA153" s="456"/>
      <c r="BB153" s="711"/>
      <c r="BC153" s="577"/>
      <c r="BE153" s="456"/>
      <c r="BF153" s="456"/>
      <c r="BG153" s="456"/>
      <c r="BH153" s="711"/>
    </row>
    <row r="154" spans="1:60" s="462" customFormat="1" ht="12" x14ac:dyDescent="0.3">
      <c r="A154" s="455" t="s">
        <v>1002</v>
      </c>
      <c r="B154" s="455"/>
      <c r="C154" s="456"/>
      <c r="D154" s="5"/>
      <c r="E154" s="456"/>
      <c r="F154" s="456"/>
      <c r="G154" s="456"/>
      <c r="H154" s="459"/>
      <c r="I154" s="459"/>
      <c r="J154" s="7"/>
      <c r="K154" s="456"/>
      <c r="N154" s="456"/>
      <c r="T154" s="456"/>
      <c r="U154" s="456"/>
      <c r="V154" s="456"/>
      <c r="W154" s="456"/>
      <c r="X154" s="456"/>
      <c r="AB154" s="711"/>
      <c r="AD154" s="456"/>
      <c r="AE154" s="456"/>
      <c r="AF154" s="456"/>
      <c r="AG154" s="456"/>
      <c r="AH154" s="456"/>
      <c r="AI154" s="577"/>
      <c r="AM154" s="711"/>
      <c r="AO154" s="456"/>
      <c r="AP154" s="456"/>
      <c r="AQ154" s="456"/>
      <c r="AR154" s="577"/>
      <c r="AS154" s="456"/>
      <c r="AW154" s="711"/>
      <c r="AY154" s="456"/>
      <c r="AZ154" s="456"/>
      <c r="BA154" s="456"/>
      <c r="BB154" s="711"/>
      <c r="BC154" s="577"/>
      <c r="BE154" s="456"/>
      <c r="BF154" s="456"/>
      <c r="BG154" s="456"/>
      <c r="BH154" s="711"/>
    </row>
    <row r="155" spans="1:60" s="462" customFormat="1" ht="93" customHeight="1" x14ac:dyDescent="0.3">
      <c r="A155" s="9170"/>
      <c r="B155" s="9171"/>
      <c r="C155" s="9171"/>
      <c r="D155" s="9171"/>
      <c r="E155" s="9171"/>
      <c r="F155" s="9171"/>
      <c r="G155" s="9171"/>
      <c r="H155" s="9171"/>
      <c r="I155" s="9171"/>
      <c r="J155" s="9171"/>
      <c r="K155" s="9171"/>
      <c r="L155" s="9171"/>
      <c r="M155" s="9172"/>
      <c r="N155" s="456"/>
      <c r="T155" s="456"/>
      <c r="U155" s="456"/>
      <c r="V155" s="456"/>
      <c r="W155" s="456"/>
      <c r="X155" s="456"/>
      <c r="AB155" s="711"/>
      <c r="AD155" s="456"/>
      <c r="AE155" s="456"/>
      <c r="AF155" s="456"/>
      <c r="AG155" s="456"/>
      <c r="AH155" s="456"/>
      <c r="AI155" s="577"/>
      <c r="AM155" s="711"/>
      <c r="AO155" s="456"/>
      <c r="AP155" s="456"/>
      <c r="AQ155" s="456"/>
      <c r="AR155" s="577"/>
      <c r="AS155" s="456"/>
      <c r="AW155" s="711"/>
      <c r="AY155" s="456"/>
      <c r="AZ155" s="456"/>
      <c r="BA155" s="456"/>
      <c r="BB155" s="711"/>
      <c r="BC155" s="577"/>
      <c r="BE155" s="456"/>
      <c r="BF155" s="456"/>
      <c r="BG155" s="456"/>
      <c r="BH155" s="711"/>
    </row>
  </sheetData>
  <mergeCells count="53">
    <mergeCell ref="A121:A137"/>
    <mergeCell ref="A155:M155"/>
    <mergeCell ref="BD1:BG1"/>
    <mergeCell ref="BE4:BG4"/>
    <mergeCell ref="BE5:BG5"/>
    <mergeCell ref="BE7:BG7"/>
    <mergeCell ref="A10:A43"/>
    <mergeCell ref="Y1:AF1"/>
    <mergeCell ref="AJ1:AQ1"/>
    <mergeCell ref="F1:M1"/>
    <mergeCell ref="O1:V1"/>
    <mergeCell ref="H4:J4"/>
    <mergeCell ref="L4:M4"/>
    <mergeCell ref="O4:R4"/>
    <mergeCell ref="AT1:BA1"/>
    <mergeCell ref="H5:J5"/>
    <mergeCell ref="L5:M5"/>
    <mergeCell ref="O5:R5"/>
    <mergeCell ref="T5:V5"/>
    <mergeCell ref="A110:A119"/>
    <mergeCell ref="BC4:BC5"/>
    <mergeCell ref="AT5:AW5"/>
    <mergeCell ref="AY5:BA5"/>
    <mergeCell ref="AO7:AQ7"/>
    <mergeCell ref="Y10:Z10"/>
    <mergeCell ref="AT10:AU10"/>
    <mergeCell ref="Y7:AB7"/>
    <mergeCell ref="Y4:AB4"/>
    <mergeCell ref="Y5:AB5"/>
    <mergeCell ref="AY7:BA7"/>
    <mergeCell ref="AT4:AW4"/>
    <mergeCell ref="AY4:BA4"/>
    <mergeCell ref="T7:V7"/>
    <mergeCell ref="AT11:AU11"/>
    <mergeCell ref="AD4:AF4"/>
    <mergeCell ref="AI4:AI5"/>
    <mergeCell ref="AJ4:AM4"/>
    <mergeCell ref="AO4:AQ4"/>
    <mergeCell ref="AR4:AR5"/>
    <mergeCell ref="AT7:AW7"/>
    <mergeCell ref="AD5:AF5"/>
    <mergeCell ref="AJ5:AM5"/>
    <mergeCell ref="AO5:AQ5"/>
    <mergeCell ref="AD7:AF7"/>
    <mergeCell ref="AJ7:AM7"/>
    <mergeCell ref="T4:V4"/>
    <mergeCell ref="O10:P10"/>
    <mergeCell ref="A45:A108"/>
    <mergeCell ref="H7:I7"/>
    <mergeCell ref="J7:J8"/>
    <mergeCell ref="L7:M7"/>
    <mergeCell ref="O7:R7"/>
    <mergeCell ref="L45:M45"/>
  </mergeCells>
  <phoneticPr fontId="120" type="noConversion"/>
  <hyperlinks>
    <hyperlink ref="Q10" r:id="rId1" xr:uid="{94D3FB91-BF34-4FAA-832A-0763B28845CA}"/>
    <hyperlink ref="O110" r:id="rId2" xr:uid="{7D641D46-D415-490A-9C7F-B50FD4BC04CE}"/>
    <hyperlink ref="O99" r:id="rId3" xr:uid="{0C4A86D5-A338-41DD-B56B-2F0A9C934251}"/>
    <hyperlink ref="O85" r:id="rId4" xr:uid="{CA560629-2025-4965-AAC4-640B2CA126D4}"/>
    <hyperlink ref="AF10" r:id="rId5" xr:uid="{B923707E-FD7E-427D-8E33-7F489E054235}"/>
    <hyperlink ref="AZ10" r:id="rId6" xr:uid="{31139C5D-FC7D-4031-9DE3-92039F359752}"/>
  </hyperlinks>
  <pageMargins left="0.23622047244094491" right="0.23622047244094491" top="0.35433070866141736" bottom="0.35433070866141736" header="0.31496062992125984" footer="0.31496062992125984"/>
  <pageSetup paperSize="9" scale="35" orientation="portrait" horizontalDpi="4294967293" r:id="rId7"/>
  <headerFooter>
    <oddFooter>&amp;R&amp;1#&amp;"Calibri"&amp;12&amp;K000000Official Use</oddFooter>
  </headerFooter>
  <legacyDrawing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I117"/>
  <sheetViews>
    <sheetView topLeftCell="A41" zoomScale="85" zoomScaleNormal="85" workbookViewId="0">
      <pane xSplit="4" topLeftCell="AX1" activePane="topRight" state="frozen"/>
      <selection pane="topRight" activeCell="BD87" sqref="BD87"/>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 customWidth="1"/>
    <col min="22" max="22" width="21.6328125" customWidth="1"/>
    <col min="23" max="23" width="1.6328125" style="1" customWidth="1"/>
    <col min="24" max="26" width="21.6328125" style="6" customWidth="1"/>
    <col min="27" max="27" width="11.81640625" style="7" customWidth="1"/>
    <col min="28" max="28" width="1.6328125" style="1" customWidth="1"/>
    <col min="29" max="29" width="21.6328125" customWidth="1"/>
    <col min="30" max="30" width="23" customWidth="1"/>
    <col min="31" max="31" width="21.6328125" customWidth="1"/>
    <col min="32" max="32" width="8.453125" style="7" customWidth="1"/>
    <col min="33" max="33" width="1.6328125" style="1" customWidth="1"/>
    <col min="34" max="34" width="21.6328125" customWidth="1"/>
    <col min="35" max="35" width="23" customWidth="1"/>
    <col min="36" max="36" width="21.6328125" customWidth="1"/>
    <col min="37" max="37" width="13.1796875" style="7" customWidth="1"/>
    <col min="38" max="38" width="1.6328125" style="1" customWidth="1"/>
    <col min="39" max="41" width="21.6328125" style="6" customWidth="1"/>
    <col min="42" max="42" width="11.81640625" style="7" customWidth="1"/>
    <col min="43" max="43" width="1.6328125" style="1" customWidth="1"/>
    <col min="44" max="44" width="21.6328125" customWidth="1"/>
    <col min="45" max="45" width="23" customWidth="1"/>
    <col min="46" max="46" width="21.6328125" customWidth="1"/>
    <col min="47" max="47" width="8.453125" style="7" customWidth="1"/>
    <col min="48" max="48" width="1.6328125" style="1" customWidth="1"/>
    <col min="49" max="51" width="21.6328125" style="6" customWidth="1"/>
    <col min="52" max="52" width="11.81640625" style="7" customWidth="1"/>
    <col min="53" max="53" width="1.6328125" style="1" customWidth="1"/>
    <col min="54" max="54" width="21.6328125" customWidth="1"/>
    <col min="55" max="55" width="23" customWidth="1"/>
    <col min="56" max="56" width="21.6328125" customWidth="1"/>
    <col min="57" max="57" width="4.453125" style="7" customWidth="1"/>
    <col min="58" max="58" width="55" customWidth="1"/>
  </cols>
  <sheetData>
    <row r="1" spans="1:61" ht="31" x14ac:dyDescent="0.7">
      <c r="F1" s="9118" t="s">
        <v>394</v>
      </c>
      <c r="G1" s="9119"/>
      <c r="H1" s="9119"/>
      <c r="I1" s="9119"/>
      <c r="J1" s="9119"/>
      <c r="K1" s="9119"/>
      <c r="L1" s="9119"/>
      <c r="M1" s="9120"/>
      <c r="O1" s="9121" t="s">
        <v>395</v>
      </c>
      <c r="P1" s="9122"/>
      <c r="Q1" s="9122"/>
      <c r="R1" s="9122"/>
      <c r="S1" s="9122"/>
      <c r="T1" s="9122"/>
      <c r="U1" s="9122"/>
      <c r="V1" s="9123"/>
      <c r="X1" s="9312" t="s">
        <v>396</v>
      </c>
      <c r="Y1" s="9313"/>
      <c r="Z1" s="9313"/>
      <c r="AA1" s="9313"/>
      <c r="AB1" s="9313"/>
      <c r="AC1" s="9313"/>
      <c r="AD1" s="9313"/>
      <c r="AE1" s="9317"/>
      <c r="AF1" s="1537"/>
      <c r="AH1" s="9312" t="s">
        <v>397</v>
      </c>
      <c r="AI1" s="9313"/>
      <c r="AJ1" s="9313"/>
      <c r="AK1" s="7814"/>
      <c r="AM1" s="9314" t="s">
        <v>398</v>
      </c>
      <c r="AN1" s="9315"/>
      <c r="AO1" s="9315"/>
      <c r="AP1" s="9315"/>
      <c r="AQ1" s="9315"/>
      <c r="AR1" s="9315"/>
      <c r="AS1" s="9315"/>
      <c r="AT1" s="9316"/>
      <c r="AU1" s="1537"/>
      <c r="AW1" s="9184" t="s">
        <v>399</v>
      </c>
      <c r="AX1" s="9185"/>
      <c r="AY1" s="9185"/>
      <c r="AZ1" s="9185"/>
      <c r="BA1" s="9185"/>
      <c r="BB1" s="9185"/>
      <c r="BC1" s="9185"/>
      <c r="BD1" s="9186"/>
      <c r="BE1" s="470"/>
      <c r="BF1" s="7814"/>
      <c r="BG1" s="7814"/>
      <c r="BH1" s="7814"/>
      <c r="BI1" s="7958"/>
    </row>
    <row r="2" spans="1:61" ht="21" x14ac:dyDescent="0.5">
      <c r="B2" s="1" t="s">
        <v>9</v>
      </c>
      <c r="C2" s="4" t="s">
        <v>29</v>
      </c>
      <c r="H2"/>
    </row>
    <row r="4" spans="1:61"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H4" s="9130" t="s">
        <v>402</v>
      </c>
      <c r="AI4" s="9131"/>
      <c r="AJ4" s="9132"/>
      <c r="AM4" s="9130" t="s">
        <v>403</v>
      </c>
      <c r="AN4" s="9131"/>
      <c r="AO4" s="9131"/>
      <c r="AP4" s="9132"/>
      <c r="AR4" s="9130" t="s">
        <v>402</v>
      </c>
      <c r="AS4" s="9131"/>
      <c r="AT4" s="9132"/>
      <c r="AW4" s="9130" t="s">
        <v>403</v>
      </c>
      <c r="AX4" s="9131"/>
      <c r="AY4" s="9131"/>
      <c r="AZ4" s="9132"/>
      <c r="BB4" s="9130" t="s">
        <v>402</v>
      </c>
      <c r="BC4" s="9131"/>
      <c r="BD4" s="9132"/>
      <c r="BF4" s="9180" t="s">
        <v>404</v>
      </c>
    </row>
    <row r="5" spans="1:61" x14ac:dyDescent="0.35">
      <c r="B5" s="1" t="s">
        <v>406</v>
      </c>
      <c r="C5" s="11">
        <v>2006</v>
      </c>
      <c r="F5" s="4579">
        <v>2011</v>
      </c>
      <c r="G5" s="12"/>
      <c r="H5" s="9138">
        <v>2014</v>
      </c>
      <c r="I5" s="9139"/>
      <c r="J5" s="9140"/>
      <c r="K5" s="12"/>
      <c r="L5" s="9138">
        <v>2015</v>
      </c>
      <c r="M5" s="9140"/>
      <c r="O5" s="9138">
        <v>2015</v>
      </c>
      <c r="P5" s="9139"/>
      <c r="Q5" s="9139"/>
      <c r="R5" s="9140"/>
      <c r="S5" s="12"/>
      <c r="T5" s="9138">
        <v>2016</v>
      </c>
      <c r="U5" s="9139"/>
      <c r="V5" s="9140"/>
      <c r="X5" s="9138">
        <v>2016</v>
      </c>
      <c r="Y5" s="9139"/>
      <c r="Z5" s="9139"/>
      <c r="AA5" s="9140"/>
      <c r="AB5" s="12"/>
      <c r="AC5" s="9138">
        <v>2017</v>
      </c>
      <c r="AD5" s="9139"/>
      <c r="AE5" s="9140"/>
      <c r="AF5" s="7678"/>
      <c r="AH5" s="9138">
        <v>2018</v>
      </c>
      <c r="AI5" s="9139"/>
      <c r="AJ5" s="9140"/>
      <c r="AK5" s="7678"/>
      <c r="AM5" s="9138">
        <v>2018</v>
      </c>
      <c r="AN5" s="9139"/>
      <c r="AO5" s="9139"/>
      <c r="AP5" s="9140"/>
      <c r="AQ5" s="12"/>
      <c r="AR5" s="9138">
        <v>2019</v>
      </c>
      <c r="AS5" s="9139"/>
      <c r="AT5" s="9140"/>
      <c r="AU5" s="7678"/>
      <c r="AW5" s="9138">
        <v>2019</v>
      </c>
      <c r="AX5" s="9139"/>
      <c r="AY5" s="9139"/>
      <c r="AZ5" s="9140"/>
      <c r="BA5" s="12"/>
      <c r="BB5" s="9138">
        <v>2020</v>
      </c>
      <c r="BC5" s="9139"/>
      <c r="BD5" s="9140"/>
      <c r="BE5" s="3218"/>
      <c r="BF5" s="9181"/>
    </row>
    <row r="6" spans="1:61" x14ac:dyDescent="0.35">
      <c r="C6"/>
      <c r="F6" s="6"/>
      <c r="L6" s="14"/>
      <c r="T6" s="14"/>
      <c r="U6" s="14"/>
      <c r="AC6" s="14"/>
      <c r="AD6" s="14"/>
      <c r="AH6" s="14"/>
      <c r="AI6" s="14"/>
      <c r="AR6" s="14"/>
      <c r="AS6" s="14"/>
      <c r="BB6" s="14"/>
      <c r="BC6" s="14"/>
      <c r="BF6" s="6"/>
    </row>
    <row r="7" spans="1:61" ht="12.75" customHeight="1" x14ac:dyDescent="0.35">
      <c r="B7" s="1" t="s">
        <v>101</v>
      </c>
      <c r="C7" s="15" t="s">
        <v>1589</v>
      </c>
      <c r="D7" s="2" t="s">
        <v>417</v>
      </c>
      <c r="F7" s="4580" t="s">
        <v>1590</v>
      </c>
      <c r="H7" s="9173" t="s">
        <v>1590</v>
      </c>
      <c r="I7" s="9173"/>
      <c r="J7" s="9147" t="s">
        <v>419</v>
      </c>
      <c r="L7" s="9149" t="s">
        <v>1590</v>
      </c>
      <c r="M7" s="9151"/>
      <c r="O7" s="9173" t="s">
        <v>1591</v>
      </c>
      <c r="P7" s="9173"/>
      <c r="Q7" s="16"/>
      <c r="R7" s="9147" t="s">
        <v>419</v>
      </c>
      <c r="T7" s="9149" t="s">
        <v>1591</v>
      </c>
      <c r="U7" s="9150"/>
      <c r="V7" s="9151"/>
      <c r="X7" s="9173" t="s">
        <v>1591</v>
      </c>
      <c r="Y7" s="9173"/>
      <c r="Z7" s="16"/>
      <c r="AA7" s="9147" t="s">
        <v>419</v>
      </c>
      <c r="AC7" s="9149" t="s">
        <v>1591</v>
      </c>
      <c r="AD7" s="9150"/>
      <c r="AE7" s="9151"/>
      <c r="AF7" s="9147" t="s">
        <v>419</v>
      </c>
      <c r="AH7" s="9149" t="s">
        <v>1591</v>
      </c>
      <c r="AI7" s="9150"/>
      <c r="AJ7" s="9151"/>
      <c r="AK7" s="9147" t="s">
        <v>419</v>
      </c>
      <c r="AM7" s="9173" t="s">
        <v>1591</v>
      </c>
      <c r="AN7" s="9173"/>
      <c r="AO7" s="16"/>
      <c r="AP7" s="9147" t="s">
        <v>419</v>
      </c>
      <c r="AR7" s="9149" t="s">
        <v>1591</v>
      </c>
      <c r="AS7" s="9150"/>
      <c r="AT7" s="9151"/>
      <c r="AU7" s="9147" t="s">
        <v>419</v>
      </c>
      <c r="AW7" s="9173" t="s">
        <v>1591</v>
      </c>
      <c r="AX7" s="9173"/>
      <c r="AY7" s="16"/>
      <c r="AZ7" s="9147" t="s">
        <v>419</v>
      </c>
      <c r="BB7" s="9149" t="s">
        <v>1591</v>
      </c>
      <c r="BC7" s="9150"/>
      <c r="BD7" s="9151"/>
      <c r="BE7" s="7815"/>
      <c r="BF7" s="18"/>
    </row>
    <row r="8" spans="1:61" ht="51.75" customHeight="1" x14ac:dyDescent="0.35">
      <c r="B8" s="1" t="s">
        <v>420</v>
      </c>
      <c r="C8" s="19" t="s">
        <v>589</v>
      </c>
      <c r="F8" s="20" t="s">
        <v>96</v>
      </c>
      <c r="H8" s="20" t="s">
        <v>423</v>
      </c>
      <c r="I8" s="20" t="s">
        <v>96</v>
      </c>
      <c r="J8" s="9148"/>
      <c r="L8" s="21" t="s">
        <v>423</v>
      </c>
      <c r="M8" s="20" t="s">
        <v>96</v>
      </c>
      <c r="O8" s="20" t="s">
        <v>424</v>
      </c>
      <c r="P8" s="20" t="s">
        <v>96</v>
      </c>
      <c r="Q8" s="22" t="s">
        <v>425</v>
      </c>
      <c r="R8" s="9148"/>
      <c r="T8" s="21" t="s">
        <v>424</v>
      </c>
      <c r="U8" s="22" t="s">
        <v>425</v>
      </c>
      <c r="V8" s="20" t="s">
        <v>96</v>
      </c>
      <c r="X8" s="20" t="s">
        <v>424</v>
      </c>
      <c r="Y8" s="20" t="s">
        <v>96</v>
      </c>
      <c r="Z8" s="22" t="s">
        <v>425</v>
      </c>
      <c r="AA8" s="9148"/>
      <c r="AC8" s="21" t="s">
        <v>424</v>
      </c>
      <c r="AD8" s="22" t="s">
        <v>425</v>
      </c>
      <c r="AE8" s="20" t="s">
        <v>96</v>
      </c>
      <c r="AF8" s="9148"/>
      <c r="AH8" s="21" t="s">
        <v>424</v>
      </c>
      <c r="AI8" s="22" t="s">
        <v>425</v>
      </c>
      <c r="AJ8" s="20" t="s">
        <v>96</v>
      </c>
      <c r="AK8" s="9148"/>
      <c r="AM8" s="20" t="s">
        <v>424</v>
      </c>
      <c r="AN8" s="20" t="s">
        <v>96</v>
      </c>
      <c r="AO8" s="22" t="s">
        <v>425</v>
      </c>
      <c r="AP8" s="9148"/>
      <c r="AR8" s="21" t="s">
        <v>424</v>
      </c>
      <c r="AS8" s="22" t="s">
        <v>425</v>
      </c>
      <c r="AT8" s="20" t="s">
        <v>96</v>
      </c>
      <c r="AU8" s="9148"/>
      <c r="AW8" s="20" t="s">
        <v>424</v>
      </c>
      <c r="AX8" s="20" t="s">
        <v>96</v>
      </c>
      <c r="AY8" s="22" t="s">
        <v>425</v>
      </c>
      <c r="AZ8" s="9148"/>
      <c r="BB8" s="21" t="s">
        <v>424</v>
      </c>
      <c r="BC8" s="22" t="s">
        <v>425</v>
      </c>
      <c r="BD8" s="20" t="s">
        <v>96</v>
      </c>
      <c r="BE8" s="7815"/>
      <c r="BF8" s="24"/>
    </row>
    <row r="9" spans="1:61" x14ac:dyDescent="0.35">
      <c r="C9"/>
      <c r="E9"/>
      <c r="F9"/>
      <c r="G9"/>
      <c r="H9"/>
      <c r="I9"/>
      <c r="J9" s="25"/>
      <c r="K9"/>
      <c r="N9"/>
      <c r="O9"/>
      <c r="P9"/>
      <c r="Q9"/>
      <c r="R9" s="25"/>
      <c r="S9"/>
      <c r="W9"/>
      <c r="X9"/>
      <c r="Y9"/>
      <c r="Z9"/>
      <c r="AA9" s="25"/>
      <c r="AB9"/>
      <c r="AF9" s="25"/>
      <c r="AG9"/>
      <c r="AK9" s="25"/>
      <c r="AL9"/>
      <c r="AM9"/>
      <c r="AN9"/>
      <c r="AO9"/>
      <c r="AP9" s="25"/>
      <c r="AQ9"/>
      <c r="AU9" s="25"/>
      <c r="AV9"/>
      <c r="AW9"/>
      <c r="AX9"/>
      <c r="AY9"/>
      <c r="AZ9" s="25"/>
      <c r="BA9"/>
      <c r="BE9" s="25"/>
    </row>
    <row r="10" spans="1:61" ht="33.25" customHeight="1" x14ac:dyDescent="0.35">
      <c r="A10" s="9167" t="s">
        <v>426</v>
      </c>
      <c r="B10" s="5368"/>
      <c r="C10" s="5369" t="s">
        <v>427</v>
      </c>
      <c r="D10" s="580" t="s">
        <v>428</v>
      </c>
      <c r="E10" s="30"/>
      <c r="F10" s="4581"/>
      <c r="G10"/>
      <c r="H10" s="31" t="s">
        <v>1592</v>
      </c>
      <c r="I10" s="31" t="s">
        <v>1593</v>
      </c>
      <c r="J10" s="32"/>
      <c r="K10" s="33"/>
      <c r="L10" s="31" t="s">
        <v>1594</v>
      </c>
      <c r="M10" s="31" t="s">
        <v>1595</v>
      </c>
      <c r="N10" s="33"/>
      <c r="O10" s="9155" t="s">
        <v>1593</v>
      </c>
      <c r="P10" s="9156"/>
      <c r="Q10" s="3219" t="s">
        <v>1596</v>
      </c>
      <c r="R10" s="32"/>
      <c r="S10" s="33"/>
      <c r="T10" s="31" t="s">
        <v>1597</v>
      </c>
      <c r="U10" s="5370" t="s">
        <v>1598</v>
      </c>
      <c r="V10" s="36" t="s">
        <v>1597</v>
      </c>
      <c r="W10" s="33"/>
      <c r="X10" s="9155" t="s">
        <v>1597</v>
      </c>
      <c r="Y10" s="9156"/>
      <c r="Z10" s="5370" t="s">
        <v>1598</v>
      </c>
      <c r="AA10" s="32"/>
      <c r="AB10" s="33"/>
      <c r="AC10" s="31" t="s">
        <v>1599</v>
      </c>
      <c r="AD10" s="5370"/>
      <c r="AE10" s="36" t="s">
        <v>1599</v>
      </c>
      <c r="AF10" s="32"/>
      <c r="AG10" s="33"/>
      <c r="AH10" s="31" t="s">
        <v>1600</v>
      </c>
      <c r="AI10" s="473" t="s">
        <v>1601</v>
      </c>
      <c r="AJ10" s="36" t="s">
        <v>1600</v>
      </c>
      <c r="AK10" s="32"/>
      <c r="AL10" s="33"/>
      <c r="AM10" s="9155" t="s">
        <v>1600</v>
      </c>
      <c r="AN10" s="9156"/>
      <c r="AO10" s="473" t="s">
        <v>1602</v>
      </c>
      <c r="AP10" s="32"/>
      <c r="AQ10" s="33"/>
      <c r="AR10" s="31" t="s">
        <v>1603</v>
      </c>
      <c r="AS10" s="473" t="s">
        <v>1604</v>
      </c>
      <c r="AT10" s="36" t="s">
        <v>1603</v>
      </c>
      <c r="AU10" s="32"/>
      <c r="AV10" s="33"/>
      <c r="AW10" s="9155" t="s">
        <v>1603</v>
      </c>
      <c r="AX10" s="9156"/>
      <c r="AY10" s="473" t="s">
        <v>1605</v>
      </c>
      <c r="AZ10" s="32"/>
      <c r="BA10" s="33"/>
      <c r="BB10" s="31" t="s">
        <v>1606</v>
      </c>
      <c r="BC10" s="473" t="s">
        <v>1604</v>
      </c>
      <c r="BD10" s="36" t="s">
        <v>1607</v>
      </c>
      <c r="BE10" s="7816"/>
      <c r="BF10" s="39"/>
    </row>
    <row r="11" spans="1:61" ht="12.75" customHeight="1" x14ac:dyDescent="0.35">
      <c r="A11" s="9168"/>
      <c r="B11" s="3678" t="s">
        <v>451</v>
      </c>
      <c r="C11" s="3679"/>
      <c r="D11" s="585"/>
      <c r="E11" s="43"/>
      <c r="F11" s="44"/>
      <c r="G11"/>
      <c r="H11" s="5371"/>
      <c r="I11" s="5372"/>
      <c r="J11" s="47"/>
      <c r="K11" s="48"/>
      <c r="L11" s="5371"/>
      <c r="M11" s="49"/>
      <c r="N11" s="50"/>
      <c r="O11" s="5371"/>
      <c r="P11" s="5372"/>
      <c r="Q11" s="474" t="s">
        <v>1608</v>
      </c>
      <c r="R11" s="47"/>
      <c r="S11" s="48"/>
      <c r="T11" s="5371"/>
      <c r="U11" s="474" t="s">
        <v>1609</v>
      </c>
      <c r="V11" s="5373"/>
      <c r="W11" s="43"/>
      <c r="X11" s="5371"/>
      <c r="Y11" s="5372"/>
      <c r="Z11" s="474" t="s">
        <v>1609</v>
      </c>
      <c r="AA11" s="47"/>
      <c r="AB11" s="48"/>
      <c r="AC11" s="5371"/>
      <c r="AD11" s="474" t="s">
        <v>1609</v>
      </c>
      <c r="AE11" s="5373"/>
      <c r="AF11" s="47"/>
      <c r="AG11" s="43"/>
      <c r="AH11" s="5371"/>
      <c r="AI11" s="474" t="s">
        <v>1610</v>
      </c>
      <c r="AJ11" s="5373"/>
      <c r="AK11" s="47"/>
      <c r="AL11" s="43"/>
      <c r="AM11" s="5371"/>
      <c r="AN11" s="5372"/>
      <c r="AO11" s="474" t="s">
        <v>1611</v>
      </c>
      <c r="AP11" s="47"/>
      <c r="AQ11" s="48"/>
      <c r="AR11" s="5371"/>
      <c r="AS11" s="474" t="s">
        <v>1611</v>
      </c>
      <c r="AT11" s="5373"/>
      <c r="AU11" s="47"/>
      <c r="AV11" s="43"/>
      <c r="AW11" s="5371"/>
      <c r="AX11" s="5372"/>
      <c r="AY11" s="474" t="s">
        <v>1611</v>
      </c>
      <c r="AZ11" s="47"/>
      <c r="BA11" s="48"/>
      <c r="BB11" s="5371"/>
      <c r="BC11" s="474" t="s">
        <v>1611</v>
      </c>
      <c r="BD11" s="5373"/>
      <c r="BE11" s="883"/>
      <c r="BF11" s="18"/>
    </row>
    <row r="12" spans="1:61" x14ac:dyDescent="0.35">
      <c r="A12" s="9168"/>
      <c r="B12" s="1478"/>
      <c r="C12" s="1396" t="s">
        <v>1612</v>
      </c>
      <c r="D12" s="197">
        <v>1</v>
      </c>
      <c r="F12" s="61"/>
      <c r="G12"/>
      <c r="H12" s="1272">
        <v>9945.6299999999992</v>
      </c>
      <c r="I12" s="1273">
        <v>10603.21</v>
      </c>
      <c r="J12" s="476">
        <f>IF(H12=0,0,I12/H12)</f>
        <v>1.0661174807427987</v>
      </c>
      <c r="K12" s="65"/>
      <c r="L12" s="1272">
        <v>11148.23</v>
      </c>
      <c r="M12" s="619">
        <f>10820.32*12/11</f>
        <v>11803.985454545455</v>
      </c>
      <c r="N12" s="67"/>
      <c r="O12" s="5374">
        <f>L12</f>
        <v>11148.23</v>
      </c>
      <c r="P12" s="5375">
        <v>11879.91</v>
      </c>
      <c r="Q12" s="53" t="s">
        <v>1613</v>
      </c>
      <c r="R12" s="476">
        <f>IF(O12=0,0,P12/O12)</f>
        <v>1.0656319433667947</v>
      </c>
      <c r="S12" s="65"/>
      <c r="T12" s="1409">
        <v>13538.13</v>
      </c>
      <c r="U12" s="53" t="s">
        <v>1613</v>
      </c>
      <c r="V12" s="5376">
        <v>14202.07</v>
      </c>
      <c r="X12" s="5374">
        <v>13538.13</v>
      </c>
      <c r="Y12" s="5375">
        <v>14202.07</v>
      </c>
      <c r="Z12" s="53" t="s">
        <v>1613</v>
      </c>
      <c r="AA12" s="476">
        <f>IF(X12=0,0,Y12/X12)</f>
        <v>1.0490422237044554</v>
      </c>
      <c r="AB12" s="65"/>
      <c r="AC12" s="1409">
        <v>15649.9</v>
      </c>
      <c r="AD12" s="53" t="s">
        <v>1614</v>
      </c>
      <c r="AE12" s="5376">
        <v>16648.27</v>
      </c>
      <c r="AF12" s="476">
        <f>IF(AC12=0,0,AE12/AC12)</f>
        <v>1.0637940178531493</v>
      </c>
      <c r="AH12" s="1409">
        <v>17640.2</v>
      </c>
      <c r="AI12" s="53" t="s">
        <v>1614</v>
      </c>
      <c r="AJ12" s="5376">
        <v>19743.13</v>
      </c>
      <c r="AK12" s="476">
        <f>IF(AH12=0,0,AJ12/AH12)</f>
        <v>1.1192123672067211</v>
      </c>
      <c r="AM12" s="6277">
        <v>17640.2</v>
      </c>
      <c r="AN12" s="6278">
        <v>19743.13</v>
      </c>
      <c r="AO12" s="53" t="s">
        <v>1614</v>
      </c>
      <c r="AP12" s="476">
        <f>IF(AM12=0,0,AN12/AM12)</f>
        <v>1.1192123672067211</v>
      </c>
      <c r="AQ12" s="65"/>
      <c r="AR12" s="3692">
        <v>19786.259999999998</v>
      </c>
      <c r="AS12" s="53" t="s">
        <v>1614</v>
      </c>
      <c r="AT12" s="3696">
        <v>24749.47</v>
      </c>
      <c r="AU12" s="476">
        <f>IF(AR12=0,0,AT12/AR12)</f>
        <v>1.2508412403354652</v>
      </c>
      <c r="AW12" s="6277">
        <v>19786.259999999998</v>
      </c>
      <c r="AX12" s="6278">
        <v>24749.47</v>
      </c>
      <c r="AY12" s="53" t="s">
        <v>1614</v>
      </c>
      <c r="AZ12" s="476">
        <f>IF(AW12=0,0,AX12/AW12)</f>
        <v>1.2508412403354652</v>
      </c>
      <c r="BA12" s="65"/>
      <c r="BB12" s="3692">
        <v>24092.67</v>
      </c>
      <c r="BC12" s="53" t="s">
        <v>1614</v>
      </c>
      <c r="BD12" s="3696">
        <f>19281.25*12/11</f>
        <v>21034.090909090908</v>
      </c>
      <c r="BE12" s="7765"/>
      <c r="BF12" s="26" t="s">
        <v>1615</v>
      </c>
    </row>
    <row r="13" spans="1:61" x14ac:dyDescent="0.35">
      <c r="A13" s="9168"/>
      <c r="B13" s="1478"/>
      <c r="C13" s="5377" t="s">
        <v>462</v>
      </c>
      <c r="D13" s="197">
        <v>2</v>
      </c>
      <c r="F13" s="61"/>
      <c r="G13"/>
      <c r="H13" s="1272">
        <v>3460</v>
      </c>
      <c r="I13" s="1273">
        <v>4311.25</v>
      </c>
      <c r="J13" s="73">
        <f>IF(H13=0,0,I13/H13)</f>
        <v>1.2460260115606936</v>
      </c>
      <c r="K13" s="65"/>
      <c r="L13" s="1272">
        <v>3687</v>
      </c>
      <c r="M13" s="619">
        <f>1230.45*12/11</f>
        <v>1342.3090909090911</v>
      </c>
      <c r="N13" s="67"/>
      <c r="O13" s="5374">
        <f>300+537</f>
        <v>837</v>
      </c>
      <c r="P13" s="5375">
        <f>141.78+1478.94</f>
        <v>1620.72</v>
      </c>
      <c r="Q13" s="53" t="s">
        <v>1616</v>
      </c>
      <c r="R13" s="73">
        <f>IF(O13=0,0,P13/O13)</f>
        <v>1.9363440860215053</v>
      </c>
      <c r="S13" s="65"/>
      <c r="T13" s="1409">
        <f>203+541.99</f>
        <v>744.99</v>
      </c>
      <c r="U13" s="53" t="s">
        <v>1616</v>
      </c>
      <c r="V13" s="5376">
        <f>220.91+541.99</f>
        <v>762.9</v>
      </c>
      <c r="X13" s="5374">
        <f>203+541.99</f>
        <v>744.99</v>
      </c>
      <c r="Y13" s="5375">
        <f>220.91+541.99</f>
        <v>762.9</v>
      </c>
      <c r="Z13" s="53" t="s">
        <v>1616</v>
      </c>
      <c r="AA13" s="73">
        <f>IF(X13=0,0,Y13/X13)</f>
        <v>1.0240405911488744</v>
      </c>
      <c r="AB13" s="65"/>
      <c r="AC13" s="1409">
        <f>250+599.84</f>
        <v>849.84</v>
      </c>
      <c r="AD13" s="53" t="s">
        <v>1616</v>
      </c>
      <c r="AE13" s="5376">
        <f>317.57+599.84</f>
        <v>917.41000000000008</v>
      </c>
      <c r="AF13" s="476">
        <f t="shared" ref="AF13:AF15" si="0">IF(AC13=0,0,AE13/AC13)</f>
        <v>1.0795090840628825</v>
      </c>
      <c r="AH13" s="1409">
        <v>841.1</v>
      </c>
      <c r="AI13" s="53" t="s">
        <v>1616</v>
      </c>
      <c r="AJ13" s="5376">
        <v>803.51</v>
      </c>
      <c r="AK13" s="476">
        <f t="shared" ref="AK13:AK15" si="1">IF(AH13=0,0,AJ13/AH13)</f>
        <v>0.95530852455118298</v>
      </c>
      <c r="AM13" s="6277">
        <f>125+591.1</f>
        <v>716.1</v>
      </c>
      <c r="AN13" s="6278">
        <f>167.53+591.1</f>
        <v>758.63</v>
      </c>
      <c r="AO13" s="53" t="s">
        <v>1617</v>
      </c>
      <c r="AP13" s="73">
        <f>IF(AM13=0,0,AN13/AM13)</f>
        <v>1.0593911464879207</v>
      </c>
      <c r="AQ13" s="65"/>
      <c r="AR13" s="3692">
        <f>125+1064.75</f>
        <v>1189.75</v>
      </c>
      <c r="AS13" s="53" t="s">
        <v>1617</v>
      </c>
      <c r="AT13" s="3696">
        <f>168.4+1064.75</f>
        <v>1233.1500000000001</v>
      </c>
      <c r="AU13" s="476">
        <f t="shared" ref="AU13:AU15" si="2">IF(AR13=0,0,AT13/AR13)</f>
        <v>1.0364782517335576</v>
      </c>
      <c r="AW13" s="6277">
        <v>1189.75</v>
      </c>
      <c r="AX13" s="6278">
        <f>168.4+1064.75</f>
        <v>1233.1500000000001</v>
      </c>
      <c r="AY13" s="53" t="s">
        <v>1617</v>
      </c>
      <c r="AZ13" s="73">
        <f>IF(AW13=0,0,AX13/AW13)</f>
        <v>1.0364782517335576</v>
      </c>
      <c r="BA13" s="65"/>
      <c r="BB13" s="3692">
        <f>162+958.28</f>
        <v>1120.28</v>
      </c>
      <c r="BC13" s="53" t="s">
        <v>1617</v>
      </c>
      <c r="BD13" s="3696">
        <f>(211.62+878.42)*12/11</f>
        <v>1189.1345454545453</v>
      </c>
      <c r="BE13" s="7765"/>
      <c r="BF13" s="26" t="s">
        <v>1618</v>
      </c>
    </row>
    <row r="14" spans="1:61" x14ac:dyDescent="0.35">
      <c r="A14" s="9168"/>
      <c r="B14" s="3700"/>
      <c r="C14" s="3701" t="s">
        <v>465</v>
      </c>
      <c r="D14" s="197"/>
      <c r="F14" s="77"/>
      <c r="G14"/>
      <c r="H14" s="5378"/>
      <c r="I14" s="5379"/>
      <c r="J14" s="73"/>
      <c r="K14" s="80"/>
      <c r="L14" s="5378"/>
      <c r="M14" s="619"/>
      <c r="N14" s="67"/>
      <c r="O14" s="5380">
        <f>3150-537</f>
        <v>2613</v>
      </c>
      <c r="P14" s="5381">
        <f>2398.42-1478.94</f>
        <v>919.48</v>
      </c>
      <c r="Q14" s="120" t="s">
        <v>1619</v>
      </c>
      <c r="R14" s="73"/>
      <c r="S14" s="80"/>
      <c r="T14" s="5382">
        <f>3871.35-541.99</f>
        <v>3329.3599999999997</v>
      </c>
      <c r="U14" s="120" t="s">
        <v>1619</v>
      </c>
      <c r="V14" s="5383">
        <f>2121-541.99</f>
        <v>1579.01</v>
      </c>
      <c r="X14" s="5380">
        <f>3871.35-541.99</f>
        <v>3329.3599999999997</v>
      </c>
      <c r="Y14" s="5381">
        <f>2121-541.99</f>
        <v>1579.01</v>
      </c>
      <c r="Z14" s="120" t="s">
        <v>1619</v>
      </c>
      <c r="AA14" s="73"/>
      <c r="AB14" s="80"/>
      <c r="AC14" s="5382">
        <f>4284.56-599.44</f>
        <v>3685.1200000000003</v>
      </c>
      <c r="AD14" s="120" t="s">
        <v>1620</v>
      </c>
      <c r="AE14" s="5383">
        <f>3520.9-599.84</f>
        <v>2921.06</v>
      </c>
      <c r="AF14" s="476">
        <f t="shared" si="0"/>
        <v>0.79266346821813116</v>
      </c>
      <c r="AH14" s="5382">
        <f>4546.94-591.1</f>
        <v>3955.8399999999997</v>
      </c>
      <c r="AI14" s="120" t="s">
        <v>1620</v>
      </c>
      <c r="AJ14" s="5383">
        <f>2960.85-591.1</f>
        <v>2369.75</v>
      </c>
      <c r="AK14" s="476">
        <f t="shared" si="1"/>
        <v>0.59905102329720117</v>
      </c>
      <c r="AM14" s="6279">
        <f>125+3955.84</f>
        <v>4080.84</v>
      </c>
      <c r="AN14" s="6280">
        <f>44.88+2397.38</f>
        <v>2442.2600000000002</v>
      </c>
      <c r="AO14" s="53" t="s">
        <v>1621</v>
      </c>
      <c r="AP14" s="73"/>
      <c r="AQ14" s="80"/>
      <c r="AR14" s="3703">
        <f>125+4259.02</f>
        <v>4384.0200000000004</v>
      </c>
      <c r="AS14" s="120" t="s">
        <v>1621</v>
      </c>
      <c r="AT14" s="3708">
        <f>259.89+2938.19</f>
        <v>3198.08</v>
      </c>
      <c r="AU14" s="476">
        <f t="shared" si="2"/>
        <v>0.72948572314907312</v>
      </c>
      <c r="AW14" s="6279">
        <v>4384.0200000000004</v>
      </c>
      <c r="AX14" s="6280">
        <f>259.89+2938.19</f>
        <v>3198.08</v>
      </c>
      <c r="AY14" s="53" t="s">
        <v>1621</v>
      </c>
      <c r="AZ14" s="73"/>
      <c r="BA14" s="80"/>
      <c r="BB14" s="3703">
        <f>88+5094.91</f>
        <v>5182.91</v>
      </c>
      <c r="BC14" s="120" t="s">
        <v>1621</v>
      </c>
      <c r="BD14" s="3708">
        <f>(113.26+2571.81)*12/11</f>
        <v>2929.167272727273</v>
      </c>
      <c r="BE14" s="7765"/>
      <c r="BF14" s="26"/>
    </row>
    <row r="15" spans="1:61" x14ac:dyDescent="0.35">
      <c r="A15" s="9168"/>
      <c r="B15" s="1518"/>
      <c r="C15" s="1416" t="s">
        <v>466</v>
      </c>
      <c r="D15" s="209"/>
      <c r="F15" s="88"/>
      <c r="G15"/>
      <c r="H15" s="1291">
        <f>SUM(H12:H13)</f>
        <v>13405.63</v>
      </c>
      <c r="I15" s="1292">
        <f>SUM(I12:I13)</f>
        <v>14914.46</v>
      </c>
      <c r="J15" s="91">
        <f>IF(H15=0,0,I15/H15)</f>
        <v>1.1125519651071976</v>
      </c>
      <c r="K15" s="80"/>
      <c r="L15" s="1291">
        <f>SUM(L12:L13)</f>
        <v>14835.23</v>
      </c>
      <c r="M15" s="628">
        <f>SUM(M12:M13)</f>
        <v>13146.294545454546</v>
      </c>
      <c r="N15" s="43"/>
      <c r="O15" s="5384">
        <f>SUM(O12:O14)</f>
        <v>14598.23</v>
      </c>
      <c r="P15" s="5385">
        <f>SUM(P12:P14)</f>
        <v>14420.109999999999</v>
      </c>
      <c r="Q15" s="138"/>
      <c r="R15" s="91">
        <f>IF(O15=0,0,P15/O15)</f>
        <v>0.98779852077957386</v>
      </c>
      <c r="S15" s="80"/>
      <c r="T15" s="5386">
        <f>SUM(T12:T14)</f>
        <v>17612.48</v>
      </c>
      <c r="U15" s="1777"/>
      <c r="V15" s="5387">
        <f>SUM(V12:V14)</f>
        <v>16543.98</v>
      </c>
      <c r="W15" s="43"/>
      <c r="X15" s="5384">
        <f>SUM(X12:X14)</f>
        <v>17612.48</v>
      </c>
      <c r="Y15" s="5385">
        <f>SUM(Y12:Y14)</f>
        <v>16543.98</v>
      </c>
      <c r="Z15" s="138"/>
      <c r="AA15" s="91">
        <f>IF(X15=0,0,Y15/X15)</f>
        <v>0.93933279129344649</v>
      </c>
      <c r="AB15" s="80"/>
      <c r="AC15" s="5386">
        <f>SUM(AC12:AC14)</f>
        <v>20184.859999999997</v>
      </c>
      <c r="AD15" s="1777"/>
      <c r="AE15" s="5387">
        <f>SUM(AE12:AE14)</f>
        <v>20486.740000000002</v>
      </c>
      <c r="AF15" s="476">
        <f t="shared" si="0"/>
        <v>1.0149557638745081</v>
      </c>
      <c r="AG15" s="43"/>
      <c r="AH15" s="5386">
        <f>SUM(AH12:AH14)</f>
        <v>22437.14</v>
      </c>
      <c r="AI15" s="1777"/>
      <c r="AJ15" s="5387">
        <f>SUM(AJ12:AJ14)</f>
        <v>22916.39</v>
      </c>
      <c r="AK15" s="476">
        <f t="shared" si="1"/>
        <v>1.0213596741830733</v>
      </c>
      <c r="AL15" s="43"/>
      <c r="AM15" s="6281">
        <f>SUM(AM12:AM14)</f>
        <v>22437.14</v>
      </c>
      <c r="AN15" s="6282">
        <f>SUM(AN12:AN14)</f>
        <v>22944.020000000004</v>
      </c>
      <c r="AO15" s="138"/>
      <c r="AP15" s="91">
        <f>IF(AM15=0,0,AN15/AM15)</f>
        <v>1.0225911145538158</v>
      </c>
      <c r="AQ15" s="80"/>
      <c r="AR15" s="6283">
        <f>SUM(AR12:AR14)</f>
        <v>25360.03</v>
      </c>
      <c r="AS15" s="1777"/>
      <c r="AT15" s="6284">
        <f>SUM(AT12:AT14)</f>
        <v>29180.700000000004</v>
      </c>
      <c r="AU15" s="476">
        <f t="shared" si="2"/>
        <v>1.1506571561626704</v>
      </c>
      <c r="AV15" s="43"/>
      <c r="AW15" s="6281">
        <f>SUM(AW12:AW14)</f>
        <v>25360.03</v>
      </c>
      <c r="AX15" s="6282">
        <f>SUM(AX12:AX14)</f>
        <v>29180.700000000004</v>
      </c>
      <c r="AY15" s="138"/>
      <c r="AZ15" s="91">
        <f>IF(AW15=0,0,AX15/AW15)</f>
        <v>1.1506571561626704</v>
      </c>
      <c r="BA15" s="80"/>
      <c r="BB15" s="6283">
        <f>SUM(BB12:BB14)</f>
        <v>30395.859999999997</v>
      </c>
      <c r="BC15" s="1777"/>
      <c r="BD15" s="6284">
        <f>SUM(BD12:BD14)</f>
        <v>25152.392727272727</v>
      </c>
      <c r="BE15" s="7765"/>
      <c r="BF15" s="24"/>
    </row>
    <row r="16" spans="1:61" ht="13.75" customHeight="1" x14ac:dyDescent="0.35">
      <c r="A16" s="9168"/>
      <c r="B16" s="100" t="s">
        <v>468</v>
      </c>
      <c r="C16" s="49"/>
      <c r="D16" s="585"/>
      <c r="E16" s="43"/>
      <c r="F16" s="101"/>
      <c r="G16"/>
      <c r="H16" s="1375"/>
      <c r="I16" s="653"/>
      <c r="J16" s="104"/>
      <c r="K16" s="43"/>
      <c r="L16" s="1375"/>
      <c r="M16" s="1377"/>
      <c r="O16" s="102"/>
      <c r="P16" s="106"/>
      <c r="Q16" s="474" t="s">
        <v>1608</v>
      </c>
      <c r="R16" s="104"/>
      <c r="S16" s="43"/>
      <c r="T16" s="102"/>
      <c r="U16" s="103"/>
      <c r="V16" s="105"/>
      <c r="X16" s="102"/>
      <c r="Y16" s="103"/>
      <c r="Z16" s="474"/>
      <c r="AA16" s="104"/>
      <c r="AB16" s="43"/>
      <c r="AC16" s="102"/>
      <c r="AD16" s="103"/>
      <c r="AE16" s="105"/>
      <c r="AF16" s="6908"/>
      <c r="AH16" s="102"/>
      <c r="AI16" s="103"/>
      <c r="AJ16" s="105"/>
      <c r="AK16" s="104"/>
      <c r="AM16" s="102"/>
      <c r="AN16" s="103"/>
      <c r="AO16" s="474"/>
      <c r="AP16" s="104"/>
      <c r="AQ16" s="43"/>
      <c r="AR16" s="102"/>
      <c r="AS16" s="103"/>
      <c r="AT16" s="105"/>
      <c r="AU16" s="104"/>
      <c r="AW16" s="102"/>
      <c r="AX16" s="103"/>
      <c r="AY16" s="474"/>
      <c r="AZ16" s="104"/>
      <c r="BA16" s="43"/>
      <c r="BB16" s="102"/>
      <c r="BC16" s="103"/>
      <c r="BD16" s="105"/>
      <c r="BE16" s="73"/>
      <c r="BF16" s="18"/>
    </row>
    <row r="17" spans="1:58" x14ac:dyDescent="0.35">
      <c r="A17" s="9168"/>
      <c r="B17" s="6082"/>
      <c r="C17" s="110" t="s">
        <v>1622</v>
      </c>
      <c r="D17" s="197"/>
      <c r="F17" s="5388"/>
      <c r="G17"/>
      <c r="H17" s="593">
        <v>8268.7000000000007</v>
      </c>
      <c r="I17" s="636">
        <v>7715.8</v>
      </c>
      <c r="J17" s="476">
        <f>IF(H17=0,0,I17/H17)</f>
        <v>0.93313338251478462</v>
      </c>
      <c r="L17" s="593">
        <v>9275.7000000000007</v>
      </c>
      <c r="M17" s="1352">
        <f>L17*J17</f>
        <v>8655.4653161923889</v>
      </c>
      <c r="O17" s="112">
        <f>9275.16-O21</f>
        <v>8998.7800000000007</v>
      </c>
      <c r="P17" s="115">
        <f>8544.57-P21</f>
        <v>8325.1</v>
      </c>
      <c r="Q17" s="57" t="s">
        <v>1623</v>
      </c>
      <c r="R17" s="476">
        <f>IF(O17=0,0,P17/O17)</f>
        <v>0.92513651850584189</v>
      </c>
      <c r="T17" s="200">
        <f>11156.99-T21</f>
        <v>10820.51</v>
      </c>
      <c r="U17" s="57" t="s">
        <v>1623</v>
      </c>
      <c r="V17" s="273">
        <f>9990.09-V21</f>
        <v>9655.1200000000008</v>
      </c>
      <c r="X17" s="2755">
        <f>11156.99-X22</f>
        <v>11156.99</v>
      </c>
      <c r="Y17" s="3748">
        <f>9990.09-Y22</f>
        <v>9990.09</v>
      </c>
      <c r="Z17" s="57" t="s">
        <v>1623</v>
      </c>
      <c r="AA17" s="476">
        <f>IF(X17=0,0,Y17/X17)</f>
        <v>0.89541085902201223</v>
      </c>
      <c r="AC17" s="2755">
        <v>13050.686</v>
      </c>
      <c r="AD17" s="57" t="s">
        <v>1623</v>
      </c>
      <c r="AE17" s="3750">
        <v>12043.72</v>
      </c>
      <c r="AF17" s="3333">
        <f>IF(AC17=0,0,AE17/AC17)</f>
        <v>0.92284191037927044</v>
      </c>
      <c r="AH17" s="2755">
        <v>14830.69</v>
      </c>
      <c r="AI17" s="57" t="s">
        <v>1623</v>
      </c>
      <c r="AJ17" s="3750">
        <v>12075.67</v>
      </c>
      <c r="AK17" s="476">
        <f>IF(AH17=0,0,AJ17/AH17)</f>
        <v>0.81423521090387563</v>
      </c>
      <c r="AM17" s="2755">
        <f>15218.17-AM21</f>
        <v>14830.69</v>
      </c>
      <c r="AN17" s="3748">
        <f>13296.95-AN21</f>
        <v>12911.69</v>
      </c>
      <c r="AO17" s="57" t="s">
        <v>1623</v>
      </c>
      <c r="AP17" s="476">
        <f>IF(AM17=0,0,AN17/AM17)</f>
        <v>0.87060615520923168</v>
      </c>
      <c r="AR17" s="4987">
        <f>16827.28-AR21</f>
        <v>16302.189999999999</v>
      </c>
      <c r="AS17" s="57" t="s">
        <v>1623</v>
      </c>
      <c r="AT17" s="6285">
        <f>15239.43-AT21</f>
        <v>14797.93</v>
      </c>
      <c r="AU17" s="476">
        <f>IF(AR17=0,0,AT17/AR17)</f>
        <v>0.90772650791090037</v>
      </c>
      <c r="AW17" s="2755">
        <f>16827.28-AW21</f>
        <v>16302.189999999999</v>
      </c>
      <c r="AX17" s="3748">
        <f>15239.43-AX21</f>
        <v>14797.93</v>
      </c>
      <c r="AY17" s="57" t="s">
        <v>1623</v>
      </c>
      <c r="AZ17" s="476">
        <f>IF(AW17=0,0,AX17/AW17)</f>
        <v>0.90772650791090037</v>
      </c>
      <c r="BB17" s="4987">
        <f>18036.88-BB21</f>
        <v>17494.8</v>
      </c>
      <c r="BC17" s="57" t="s">
        <v>1623</v>
      </c>
      <c r="BD17" s="6285">
        <f>14637*12/11-BD21</f>
        <v>15499.069090909092</v>
      </c>
      <c r="BE17" s="7765"/>
      <c r="BF17" s="26"/>
    </row>
    <row r="18" spans="1:58" x14ac:dyDescent="0.35">
      <c r="A18" s="9168"/>
      <c r="B18" s="6082"/>
      <c r="C18" s="110" t="s">
        <v>1624</v>
      </c>
      <c r="D18" s="197"/>
      <c r="F18" s="5389"/>
      <c r="G18"/>
      <c r="H18" s="598">
        <v>4996</v>
      </c>
      <c r="I18" s="599">
        <v>5590.72</v>
      </c>
      <c r="J18" s="476">
        <f>IF(H18=0,0,I18/H18)</f>
        <v>1.1190392313851081</v>
      </c>
      <c r="L18" s="598">
        <v>5323.5</v>
      </c>
      <c r="M18" s="1352">
        <f>L18*J18</f>
        <v>5957.2053482786232</v>
      </c>
      <c r="O18" s="114">
        <v>5323.5</v>
      </c>
      <c r="P18" s="115">
        <v>5290.34</v>
      </c>
      <c r="Q18" s="57" t="s">
        <v>1625</v>
      </c>
      <c r="R18" s="476">
        <f>IF(O18=0,0,P18/O18)</f>
        <v>0.99377101530947687</v>
      </c>
      <c r="T18" s="200">
        <v>5796.35</v>
      </c>
      <c r="U18" s="57" t="s">
        <v>1625</v>
      </c>
      <c r="V18" s="273">
        <v>3785.29</v>
      </c>
      <c r="X18" s="117"/>
      <c r="Y18" s="115"/>
      <c r="Z18" s="57"/>
      <c r="AA18" s="476"/>
      <c r="AC18" s="117"/>
      <c r="AD18" s="57"/>
      <c r="AE18" s="3265"/>
      <c r="AF18" s="3333"/>
      <c r="AH18" s="117"/>
      <c r="AI18" s="57"/>
      <c r="AJ18" s="3265"/>
      <c r="AK18" s="476"/>
      <c r="AM18" s="117"/>
      <c r="AN18" s="115"/>
      <c r="AO18" s="57"/>
      <c r="AP18" s="476">
        <f>IF(AM18=0,0,AN18/AM18)</f>
        <v>0</v>
      </c>
      <c r="AR18" s="4987"/>
      <c r="AS18" s="57"/>
      <c r="AT18" s="6285"/>
      <c r="AU18" s="476">
        <f>IF(AR18=0,0,AT18/AR18)</f>
        <v>0</v>
      </c>
      <c r="AW18" s="117"/>
      <c r="AX18" s="115"/>
      <c r="AY18" s="57"/>
      <c r="AZ18" s="476">
        <f>IF(AW18=0,0,AX18/AW18)</f>
        <v>0</v>
      </c>
      <c r="BB18" s="4987"/>
      <c r="BC18" s="57"/>
      <c r="BD18" s="6285"/>
      <c r="BE18" s="7765"/>
      <c r="BF18" s="26"/>
    </row>
    <row r="19" spans="1:58" x14ac:dyDescent="0.35">
      <c r="A19" s="9168"/>
      <c r="B19" s="6082"/>
      <c r="C19" s="110" t="s">
        <v>1626</v>
      </c>
      <c r="D19" s="197"/>
      <c r="F19" s="5389"/>
      <c r="G19"/>
      <c r="H19" s="598"/>
      <c r="I19" s="599"/>
      <c r="J19" s="476"/>
      <c r="L19" s="598"/>
      <c r="M19" s="1352"/>
      <c r="O19" s="114"/>
      <c r="P19" s="115"/>
      <c r="Q19" s="57"/>
      <c r="R19" s="476"/>
      <c r="T19" s="200"/>
      <c r="U19" s="57"/>
      <c r="V19" s="273"/>
      <c r="X19" s="6286">
        <v>1925</v>
      </c>
      <c r="Y19" s="6287">
        <v>1632.5</v>
      </c>
      <c r="Z19" s="6" t="s">
        <v>1627</v>
      </c>
      <c r="AA19" s="476">
        <f>IF(X19=0,0,Y19/X19)</f>
        <v>0.84805194805194806</v>
      </c>
      <c r="AC19" s="6286">
        <v>2183.6999999999998</v>
      </c>
      <c r="AD19" t="s">
        <v>1627</v>
      </c>
      <c r="AE19" s="7959">
        <v>1686.38</v>
      </c>
      <c r="AF19" s="5546">
        <f>IF(AC19=0,0,AE19/AC19)</f>
        <v>0.77225809406053958</v>
      </c>
      <c r="AH19" s="6286">
        <v>2925.8</v>
      </c>
      <c r="AI19" t="s">
        <v>1627</v>
      </c>
      <c r="AJ19" s="7959">
        <v>2741.66</v>
      </c>
      <c r="AK19" s="476">
        <f>IF(AH19=0,0,AJ19/AH19)</f>
        <v>0.93706336728416151</v>
      </c>
      <c r="AM19" s="6286">
        <v>2925.8</v>
      </c>
      <c r="AN19" s="6287">
        <v>2741.66</v>
      </c>
      <c r="AO19" s="57" t="s">
        <v>1627</v>
      </c>
      <c r="AP19" s="476"/>
      <c r="AR19" s="4987">
        <v>2708.03</v>
      </c>
      <c r="AS19" t="s">
        <v>1627</v>
      </c>
      <c r="AT19" s="6285">
        <v>2968.85</v>
      </c>
      <c r="AW19" s="6286">
        <v>2708.03</v>
      </c>
      <c r="AX19" s="6287">
        <v>2968.85</v>
      </c>
      <c r="AY19" s="57" t="s">
        <v>1627</v>
      </c>
      <c r="AZ19" s="476"/>
      <c r="BB19" s="4987">
        <v>5889.86</v>
      </c>
      <c r="BC19" t="s">
        <v>1627</v>
      </c>
      <c r="BD19" s="6285">
        <f>4113.02*12/11</f>
        <v>4486.9309090909092</v>
      </c>
      <c r="BE19" s="7765"/>
      <c r="BF19" s="26"/>
    </row>
    <row r="20" spans="1:58" x14ac:dyDescent="0.35">
      <c r="A20" s="9168"/>
      <c r="B20" s="6082"/>
      <c r="C20" s="110" t="s">
        <v>1628</v>
      </c>
      <c r="D20" s="197"/>
      <c r="F20" s="5389"/>
      <c r="G20"/>
      <c r="H20" s="598"/>
      <c r="I20" s="599"/>
      <c r="J20" s="476"/>
      <c r="L20" s="598"/>
      <c r="M20" s="1352"/>
      <c r="O20" s="114"/>
      <c r="P20" s="115"/>
      <c r="Q20" s="57"/>
      <c r="R20" s="476"/>
      <c r="T20" s="200"/>
      <c r="U20" s="57"/>
      <c r="V20" s="273"/>
      <c r="X20" s="6286">
        <v>3871.35</v>
      </c>
      <c r="Y20" s="6287">
        <v>2152.79</v>
      </c>
      <c r="Z20" s="6" t="s">
        <v>1629</v>
      </c>
      <c r="AA20" s="476">
        <f>IF(X20=0,0,Y20/X20)</f>
        <v>0.5560825035194441</v>
      </c>
      <c r="AC20" s="6286">
        <v>4284.5600000000004</v>
      </c>
      <c r="AD20" t="s">
        <v>1629</v>
      </c>
      <c r="AE20" s="7959">
        <v>3520.9</v>
      </c>
      <c r="AF20" s="3333">
        <f>IF(AC21=0,0,AE21/AC21)</f>
        <v>0.97513804084256028</v>
      </c>
      <c r="AH20" s="6286">
        <v>4546.9399999999996</v>
      </c>
      <c r="AI20" t="s">
        <v>1629</v>
      </c>
      <c r="AJ20" s="7959">
        <v>2988.49</v>
      </c>
      <c r="AK20" s="476">
        <f>IF(AH21=0,0,AJ21/AH21)</f>
        <v>0.99427067203468555</v>
      </c>
      <c r="AM20" s="6286">
        <v>4546.9399999999996</v>
      </c>
      <c r="AN20" s="6287">
        <v>2988.48</v>
      </c>
      <c r="AO20" s="57" t="s">
        <v>1629</v>
      </c>
      <c r="AP20" s="476"/>
      <c r="AR20" s="4987">
        <v>5323.77</v>
      </c>
      <c r="AS20" t="s">
        <v>1629</v>
      </c>
      <c r="AT20" s="6285">
        <v>4002.94</v>
      </c>
      <c r="AU20" s="476"/>
      <c r="AW20" s="6286">
        <v>5323.77</v>
      </c>
      <c r="AX20" s="6287">
        <v>4002.94</v>
      </c>
      <c r="AY20" s="57" t="s">
        <v>1629</v>
      </c>
      <c r="AZ20" s="476"/>
      <c r="BB20" s="4987">
        <v>6053.19</v>
      </c>
      <c r="BC20" t="s">
        <v>1629</v>
      </c>
      <c r="BD20" s="6285">
        <f>3450.23*12/11</f>
        <v>3763.8872727272728</v>
      </c>
      <c r="BE20" s="7765"/>
      <c r="BF20" s="26"/>
    </row>
    <row r="21" spans="1:58" x14ac:dyDescent="0.35">
      <c r="A21" s="9168"/>
      <c r="B21" s="6082"/>
      <c r="C21" s="121" t="s">
        <v>634</v>
      </c>
      <c r="D21" s="197"/>
      <c r="F21" s="5389"/>
      <c r="G21"/>
      <c r="H21" s="598"/>
      <c r="I21" s="599"/>
      <c r="J21" s="476"/>
      <c r="L21" s="598"/>
      <c r="M21" s="1352"/>
      <c r="O21" s="114">
        <v>276.38</v>
      </c>
      <c r="P21" s="115">
        <v>219.47</v>
      </c>
      <c r="Q21" s="57" t="s">
        <v>1630</v>
      </c>
      <c r="R21" s="476"/>
      <c r="T21" s="200">
        <v>336.48</v>
      </c>
      <c r="U21" s="57" t="s">
        <v>1630</v>
      </c>
      <c r="V21" s="273">
        <v>334.97</v>
      </c>
      <c r="X21" s="2747">
        <v>336.48</v>
      </c>
      <c r="Y21" s="3748">
        <v>334.97</v>
      </c>
      <c r="Z21" s="57" t="s">
        <v>1630</v>
      </c>
      <c r="AA21" s="476">
        <f>IF(X21=0,0,Y21/X21)</f>
        <v>0.99551236329053738</v>
      </c>
      <c r="AC21" s="2747">
        <v>342.29</v>
      </c>
      <c r="AD21" s="57" t="s">
        <v>1630</v>
      </c>
      <c r="AE21" s="3750">
        <v>333.78</v>
      </c>
      <c r="AF21" s="3333">
        <f>IF(AC22=0,0,AE22/AC22)</f>
        <v>0</v>
      </c>
      <c r="AH21" s="2747">
        <v>387.48</v>
      </c>
      <c r="AI21" s="57" t="s">
        <v>1630</v>
      </c>
      <c r="AJ21" s="3750">
        <v>385.26</v>
      </c>
      <c r="AK21" s="476">
        <f>IF(AH22=0,0,AJ22/AH22)</f>
        <v>0</v>
      </c>
      <c r="AM21" s="2747">
        <v>387.48</v>
      </c>
      <c r="AN21" s="3748">
        <v>385.26</v>
      </c>
      <c r="AO21" s="57" t="s">
        <v>1630</v>
      </c>
      <c r="AP21" s="476">
        <f>IF(AM21=0,0,AN21/AM21)</f>
        <v>0.99427067203468555</v>
      </c>
      <c r="AR21" s="4987">
        <v>525.09</v>
      </c>
      <c r="AS21" s="57" t="s">
        <v>1630</v>
      </c>
      <c r="AT21" s="6285">
        <v>441.5</v>
      </c>
      <c r="AU21" s="476">
        <f>IF(AR22=0,0,AT22/AR22)</f>
        <v>0</v>
      </c>
      <c r="AW21" s="2747">
        <v>525.09</v>
      </c>
      <c r="AX21" s="3748">
        <v>441.5</v>
      </c>
      <c r="AY21" s="57" t="s">
        <v>1630</v>
      </c>
      <c r="AZ21" s="476">
        <f>IF(AW21=0,0,AX21/AW21)</f>
        <v>0.84080824239654151</v>
      </c>
      <c r="BB21" s="4987">
        <v>542.08000000000004</v>
      </c>
      <c r="BC21" s="57" t="s">
        <v>1630</v>
      </c>
      <c r="BD21" s="6285">
        <f>429.52*12/11</f>
        <v>468.56727272727272</v>
      </c>
      <c r="BE21" s="7765"/>
      <c r="BF21" s="26"/>
    </row>
    <row r="22" spans="1:58" x14ac:dyDescent="0.35">
      <c r="A22" s="9168"/>
      <c r="B22" s="6082"/>
      <c r="C22" s="121" t="s">
        <v>478</v>
      </c>
      <c r="D22" s="197"/>
      <c r="F22" s="4612"/>
      <c r="H22" s="598"/>
      <c r="I22" s="599"/>
      <c r="J22" s="476">
        <f>IF(H22=0,0,I22/H22)</f>
        <v>0</v>
      </c>
      <c r="L22" s="598"/>
      <c r="M22" s="619"/>
      <c r="N22" s="141"/>
      <c r="O22" s="114"/>
      <c r="P22" s="123"/>
      <c r="Q22" s="127"/>
      <c r="R22" s="476">
        <f>IF(O22=0,0,P22/O22)</f>
        <v>0</v>
      </c>
      <c r="T22" s="198"/>
      <c r="U22" s="106"/>
      <c r="V22" s="482"/>
      <c r="W22" s="141"/>
      <c r="X22" s="117"/>
      <c r="Y22" s="115"/>
      <c r="Z22" s="57"/>
      <c r="AA22" s="476"/>
      <c r="AC22" s="117"/>
      <c r="AD22" s="57"/>
      <c r="AE22" s="3265"/>
      <c r="AF22" s="3333"/>
      <c r="AG22" s="141"/>
      <c r="AH22" s="117"/>
      <c r="AI22" s="57"/>
      <c r="AJ22" s="3265"/>
      <c r="AK22" s="476"/>
      <c r="AL22" s="141"/>
      <c r="AM22" s="117"/>
      <c r="AN22" s="115"/>
      <c r="AO22" s="57"/>
      <c r="AP22" s="476">
        <f>IF(AM22=0,0,AN22/AM22)</f>
        <v>0</v>
      </c>
      <c r="AR22" s="4987"/>
      <c r="AS22" s="57"/>
      <c r="AT22" s="6285"/>
      <c r="AU22" s="476">
        <f>IF(AR23=0,0,AT23/AR23)</f>
        <v>0.89348519736048149</v>
      </c>
      <c r="AV22" s="141"/>
      <c r="AW22" s="117"/>
      <c r="AX22" s="115"/>
      <c r="AY22" s="57"/>
      <c r="AZ22" s="476">
        <f>IF(AW22=0,0,AX22/AW22)</f>
        <v>0</v>
      </c>
      <c r="BB22" s="4987"/>
      <c r="BC22" s="57"/>
      <c r="BD22" s="6285"/>
      <c r="BE22" s="7765"/>
      <c r="BF22" s="26"/>
    </row>
    <row r="23" spans="1:58" x14ac:dyDescent="0.35">
      <c r="A23" s="9168"/>
      <c r="B23" s="128"/>
      <c r="C23" s="129" t="s">
        <v>479</v>
      </c>
      <c r="D23" s="209"/>
      <c r="F23" s="3932"/>
      <c r="H23" s="602">
        <f>SUM(H17:H22)</f>
        <v>13264.7</v>
      </c>
      <c r="I23" s="603">
        <f>SUM(I17:I22)</f>
        <v>13306.52</v>
      </c>
      <c r="J23" s="484">
        <f>IF(H23=0,0,I23/H23)</f>
        <v>1.003152728670833</v>
      </c>
      <c r="L23" s="602">
        <f>SUM(L17:L22)</f>
        <v>14599.2</v>
      </c>
      <c r="M23" s="628">
        <f>SUM(M17:M22)</f>
        <v>14612.670664471012</v>
      </c>
      <c r="O23" s="1781">
        <f>SUM(O17:O22)</f>
        <v>14598.66</v>
      </c>
      <c r="P23" s="1782">
        <f>SUM(P17:P22)</f>
        <v>13834.91</v>
      </c>
      <c r="Q23" s="98" t="s">
        <v>1631</v>
      </c>
      <c r="R23" s="484">
        <f>IF(O23=0,0,P23/O23)</f>
        <v>0.94768355451801745</v>
      </c>
      <c r="T23" s="1783">
        <f>SUM(T17:T22)</f>
        <v>16953.34</v>
      </c>
      <c r="U23" s="98" t="s">
        <v>1631</v>
      </c>
      <c r="V23" s="1784">
        <f>SUM(V17:V22)</f>
        <v>13775.38</v>
      </c>
      <c r="X23" s="6288">
        <f>SUM(X17:X22)</f>
        <v>17289.82</v>
      </c>
      <c r="Y23" s="6289">
        <f>SUM(Y17:Y22)</f>
        <v>14110.35</v>
      </c>
      <c r="Z23" s="98" t="s">
        <v>1631</v>
      </c>
      <c r="AA23" s="484">
        <f>IF(X23=0,0,Y23/X23)</f>
        <v>0.81610739730083948</v>
      </c>
      <c r="AC23" s="6288">
        <f>SUM(AC17:AC22)</f>
        <v>19861.236000000001</v>
      </c>
      <c r="AD23" s="98" t="s">
        <v>1631</v>
      </c>
      <c r="AE23" s="7960">
        <f>SUM(AE17:AE22)</f>
        <v>17584.78</v>
      </c>
      <c r="AF23" s="3334">
        <f t="shared" ref="AF23" si="3">IF(AC23=0,0,AE23/AC23)</f>
        <v>0.88538195709471446</v>
      </c>
      <c r="AH23" s="6288">
        <f>SUM(AH17:AH22)</f>
        <v>22690.91</v>
      </c>
      <c r="AI23" s="98" t="s">
        <v>1631</v>
      </c>
      <c r="AJ23" s="7960">
        <f>SUM(AJ17:AJ22)</f>
        <v>18191.079999999998</v>
      </c>
      <c r="AK23" s="476">
        <f t="shared" ref="AK23" si="4">IF(AH23=0,0,AJ23/AH23)</f>
        <v>0.80169019223997617</v>
      </c>
      <c r="AM23" s="6288">
        <f>SUM(AM17:AM22)</f>
        <v>22690.91</v>
      </c>
      <c r="AN23" s="6289">
        <f>SUM(AN17:AN22)</f>
        <v>19027.09</v>
      </c>
      <c r="AO23" s="98" t="s">
        <v>1631</v>
      </c>
      <c r="AP23" s="484">
        <f>IF(AM23=0,0,AN23/AM23)</f>
        <v>0.8385335801869559</v>
      </c>
      <c r="AR23" s="4997">
        <f>SUM(AR17:AR22)</f>
        <v>24859.079999999998</v>
      </c>
      <c r="AS23" s="98" t="s">
        <v>1631</v>
      </c>
      <c r="AT23" s="6290">
        <f>SUM(AT17:AT22)</f>
        <v>22211.219999999998</v>
      </c>
      <c r="AU23" s="476">
        <f t="shared" ref="AU23" si="5">IF(AR23=0,0,AT23/AR23)</f>
        <v>0.89348519736048149</v>
      </c>
      <c r="AW23" s="6288">
        <f>SUM(AW17:AW22)</f>
        <v>24859.079999999998</v>
      </c>
      <c r="AX23" s="6289">
        <f>SUM(AX17:AX22)</f>
        <v>22211.219999999998</v>
      </c>
      <c r="AY23" s="98" t="s">
        <v>1631</v>
      </c>
      <c r="AZ23" s="484">
        <f>IF(AW23=0,0,AX23/AW23)</f>
        <v>0.89348519736048149</v>
      </c>
      <c r="BB23" s="4997">
        <f>SUM(BB17:BB22)</f>
        <v>29979.93</v>
      </c>
      <c r="BC23" s="98" t="s">
        <v>1631</v>
      </c>
      <c r="BD23" s="6290">
        <f>SUM(BD17:BD22)</f>
        <v>24218.454545454544</v>
      </c>
      <c r="BE23" s="7765"/>
      <c r="BF23" s="24"/>
    </row>
    <row r="24" spans="1:58" x14ac:dyDescent="0.35">
      <c r="A24" s="9168"/>
      <c r="B24" s="139" t="s">
        <v>480</v>
      </c>
      <c r="C24" s="49"/>
      <c r="D24" s="184"/>
      <c r="E24" s="141"/>
      <c r="F24" s="142"/>
      <c r="G24" s="143"/>
      <c r="H24" s="1322"/>
      <c r="I24" s="1127"/>
      <c r="J24" s="486"/>
      <c r="K24" s="141"/>
      <c r="L24" s="1324"/>
      <c r="M24" s="1325"/>
      <c r="O24" s="144"/>
      <c r="P24" s="145"/>
      <c r="Q24" s="145"/>
      <c r="R24" s="486"/>
      <c r="S24" s="141"/>
      <c r="T24" s="151"/>
      <c r="U24" s="145"/>
      <c r="V24" s="148"/>
      <c r="X24" s="144"/>
      <c r="Y24" s="145"/>
      <c r="Z24" s="145"/>
      <c r="AA24" s="486"/>
      <c r="AB24" s="141"/>
      <c r="AC24" s="151"/>
      <c r="AD24" s="145"/>
      <c r="AE24" s="148"/>
      <c r="AF24" s="486"/>
      <c r="AH24" s="151"/>
      <c r="AI24" s="145"/>
      <c r="AJ24" s="148"/>
      <c r="AK24" s="486"/>
      <c r="AM24" s="6291"/>
      <c r="AN24" s="150"/>
      <c r="AO24" s="145"/>
      <c r="AP24" s="486"/>
      <c r="AQ24" s="141"/>
      <c r="AR24" s="151"/>
      <c r="AS24" s="145"/>
      <c r="AT24" s="148"/>
      <c r="AU24" s="486"/>
      <c r="AW24" s="6291"/>
      <c r="AX24" s="150"/>
      <c r="AY24" s="145"/>
      <c r="AZ24" s="486"/>
      <c r="BA24" s="141"/>
      <c r="BB24" s="151"/>
      <c r="BC24" s="145"/>
      <c r="BD24" s="148"/>
      <c r="BE24" s="5363"/>
      <c r="BF24" s="18"/>
    </row>
    <row r="25" spans="1:58" x14ac:dyDescent="0.35">
      <c r="A25" s="9168"/>
      <c r="B25" s="6082"/>
      <c r="C25" s="110" t="s">
        <v>483</v>
      </c>
      <c r="D25" s="197"/>
      <c r="F25" s="61"/>
      <c r="H25" s="595">
        <v>3782.87</v>
      </c>
      <c r="I25" s="594">
        <v>3755.47</v>
      </c>
      <c r="J25" s="476">
        <f>IF(H25=0,0,I25/H25)</f>
        <v>0.99275682220113293</v>
      </c>
      <c r="L25" s="607">
        <v>4566.41</v>
      </c>
      <c r="M25" s="1352">
        <f>3702.67*12/11</f>
        <v>4039.2763636363638</v>
      </c>
      <c r="O25" s="117"/>
      <c r="P25" s="115"/>
      <c r="Q25" s="127" t="s">
        <v>639</v>
      </c>
      <c r="R25" s="476">
        <f>IF(O25=0,0,P25/O25)</f>
        <v>0</v>
      </c>
      <c r="T25" s="200"/>
      <c r="U25" s="57"/>
      <c r="V25" s="273"/>
      <c r="X25" s="117"/>
      <c r="Y25" s="115"/>
      <c r="Z25" s="127" t="s">
        <v>639</v>
      </c>
      <c r="AA25" s="476">
        <f>IF(X25=0,0,Y25/X25)</f>
        <v>0</v>
      </c>
      <c r="AC25" s="200"/>
      <c r="AD25" s="57"/>
      <c r="AE25" s="273"/>
      <c r="AF25" s="476">
        <f>IF(AC25=0,0,AD25/AC25)</f>
        <v>0</v>
      </c>
      <c r="AH25" s="200"/>
      <c r="AI25" s="57"/>
      <c r="AJ25" s="273"/>
      <c r="AK25" s="476">
        <f>IF(AH25=0,0,AI25/AH25)</f>
        <v>0</v>
      </c>
      <c r="AM25" s="117"/>
      <c r="AN25" s="115"/>
      <c r="AO25" s="127"/>
      <c r="AP25" s="476">
        <f>IF(AM25=0,0,AN25/AM25)</f>
        <v>0</v>
      </c>
      <c r="AR25" s="200"/>
      <c r="AS25" s="57"/>
      <c r="AT25" s="273"/>
      <c r="AU25" s="476">
        <f>IF(AR25=0,0,AS25/AR25)</f>
        <v>0</v>
      </c>
      <c r="AW25" s="117"/>
      <c r="AX25" s="115"/>
      <c r="AY25" s="127"/>
      <c r="AZ25" s="476">
        <f>IF(AW25=0,0,AX25/AW25)</f>
        <v>0</v>
      </c>
      <c r="BB25" s="200"/>
      <c r="BC25" s="57"/>
      <c r="BD25" s="273"/>
      <c r="BE25" s="7765"/>
      <c r="BF25" s="26"/>
    </row>
    <row r="26" spans="1:58" x14ac:dyDescent="0.35">
      <c r="A26" s="9168"/>
      <c r="B26" s="6082"/>
      <c r="C26" s="110" t="s">
        <v>1632</v>
      </c>
      <c r="D26" s="197"/>
      <c r="F26" s="61"/>
      <c r="H26" s="595"/>
      <c r="I26" s="594"/>
      <c r="J26" s="476">
        <f>IF(H26=0,0,I26/H26)</f>
        <v>0</v>
      </c>
      <c r="L26" s="607"/>
      <c r="M26" s="1352">
        <f>L26*J26</f>
        <v>0</v>
      </c>
      <c r="O26" s="117">
        <f>L28</f>
        <v>0</v>
      </c>
      <c r="P26" s="115"/>
      <c r="Q26" s="127"/>
      <c r="R26" s="476">
        <f>IF(O26=0,0,P26/O26)</f>
        <v>0</v>
      </c>
      <c r="T26" s="200"/>
      <c r="U26" s="57"/>
      <c r="V26" s="273"/>
      <c r="X26" s="117"/>
      <c r="Y26" s="115"/>
      <c r="Z26" s="127"/>
      <c r="AA26" s="476">
        <f>IF(X26=0,0,Y26/X26)</f>
        <v>0</v>
      </c>
      <c r="AC26" s="200"/>
      <c r="AD26" s="57"/>
      <c r="AE26" s="273"/>
      <c r="AF26" s="476">
        <f>IF(AC26=0,0,AD26/AC26)</f>
        <v>0</v>
      </c>
      <c r="AH26" s="200"/>
      <c r="AI26" s="57"/>
      <c r="AJ26" s="273"/>
      <c r="AK26" s="476">
        <f>IF(AH26=0,0,AI26/AH26)</f>
        <v>0</v>
      </c>
      <c r="AM26" s="117"/>
      <c r="AN26" s="115"/>
      <c r="AO26" s="127"/>
      <c r="AP26" s="476">
        <f>IF(AM26=0,0,AN26/AM26)</f>
        <v>0</v>
      </c>
      <c r="AR26" s="200"/>
      <c r="AS26" s="57"/>
      <c r="AT26" s="273"/>
      <c r="AU26" s="476">
        <f>IF(AR26=0,0,AS26/AR26)</f>
        <v>0</v>
      </c>
      <c r="AW26" s="117"/>
      <c r="AX26" s="115"/>
      <c r="AY26" s="127"/>
      <c r="AZ26" s="476">
        <f>IF(AW26=0,0,AX26/AW26)</f>
        <v>0</v>
      </c>
      <c r="BB26" s="200"/>
      <c r="BC26" s="57"/>
      <c r="BD26" s="273"/>
      <c r="BE26" s="7765"/>
      <c r="BF26" s="26"/>
    </row>
    <row r="27" spans="1:58" x14ac:dyDescent="0.35">
      <c r="A27" s="9168"/>
      <c r="B27" s="6082"/>
      <c r="C27" s="110" t="s">
        <v>490</v>
      </c>
      <c r="D27" s="197"/>
      <c r="F27" s="61"/>
      <c r="H27" s="595"/>
      <c r="I27" s="594"/>
      <c r="J27" s="476">
        <f>IF(H27=0,0,I27/H27)</f>
        <v>0</v>
      </c>
      <c r="L27" s="607"/>
      <c r="M27" s="1352">
        <f>L27*J27</f>
        <v>0</v>
      </c>
      <c r="N27" s="176"/>
      <c r="O27" s="117">
        <f>L29</f>
        <v>0</v>
      </c>
      <c r="P27" s="115"/>
      <c r="Q27" s="127"/>
      <c r="R27" s="476">
        <f>IF(O27=0,0,P27/O27)</f>
        <v>0</v>
      </c>
      <c r="T27" s="198"/>
      <c r="U27" s="106"/>
      <c r="V27" s="482"/>
      <c r="W27" s="176"/>
      <c r="X27" s="117"/>
      <c r="Y27" s="115"/>
      <c r="Z27" s="127"/>
      <c r="AA27" s="476">
        <f>IF(X27=0,0,Y27/X27)</f>
        <v>0</v>
      </c>
      <c r="AC27" s="198"/>
      <c r="AD27" s="106"/>
      <c r="AE27" s="482"/>
      <c r="AF27" s="476">
        <f>IF(AC27=0,0,AD27/AC27)</f>
        <v>0</v>
      </c>
      <c r="AG27" s="176"/>
      <c r="AH27" s="198"/>
      <c r="AI27" s="106"/>
      <c r="AJ27" s="482"/>
      <c r="AK27" s="476">
        <f>IF(AH27=0,0,AI27/AH27)</f>
        <v>0</v>
      </c>
      <c r="AL27" s="176"/>
      <c r="AM27" s="117"/>
      <c r="AN27" s="115"/>
      <c r="AO27" s="127"/>
      <c r="AP27" s="476">
        <f>IF(AM27=0,0,AN27/AM27)</f>
        <v>0</v>
      </c>
      <c r="AR27" s="198"/>
      <c r="AS27" s="106"/>
      <c r="AT27" s="482"/>
      <c r="AU27" s="476">
        <f>IF(AR27=0,0,AS27/AR27)</f>
        <v>0</v>
      </c>
      <c r="AV27" s="176"/>
      <c r="AW27" s="117"/>
      <c r="AX27" s="115"/>
      <c r="AY27" s="127"/>
      <c r="AZ27" s="476">
        <f>IF(AW27=0,0,AX27/AW27)</f>
        <v>0</v>
      </c>
      <c r="BB27" s="198"/>
      <c r="BC27" s="106"/>
      <c r="BD27" s="482"/>
      <c r="BE27" s="7765"/>
      <c r="BF27" s="26"/>
    </row>
    <row r="28" spans="1:58" x14ac:dyDescent="0.35">
      <c r="A28" s="9168"/>
      <c r="B28" s="6082"/>
      <c r="C28" s="161" t="s">
        <v>497</v>
      </c>
      <c r="D28" s="610"/>
      <c r="F28" s="77"/>
      <c r="H28" s="612"/>
      <c r="I28" s="613"/>
      <c r="J28" s="476">
        <f>IF(H28=0,0,I28/H28)</f>
        <v>0</v>
      </c>
      <c r="L28" s="4805"/>
      <c r="M28" s="1352">
        <f>L28*J28</f>
        <v>0</v>
      </c>
      <c r="O28" s="164"/>
      <c r="P28" s="165"/>
      <c r="Q28" s="106"/>
      <c r="R28" s="476">
        <f>IF(O28=0,0,P28/O28)</f>
        <v>0</v>
      </c>
      <c r="T28" s="1783"/>
      <c r="U28" s="98"/>
      <c r="V28" s="1784"/>
      <c r="X28" s="164"/>
      <c r="Y28" s="165"/>
      <c r="Z28" s="106"/>
      <c r="AA28" s="476">
        <f>IF(X28=0,0,Y28/X28)</f>
        <v>0</v>
      </c>
      <c r="AC28" s="1783"/>
      <c r="AD28" s="98"/>
      <c r="AE28" s="1784"/>
      <c r="AF28" s="476">
        <f>IF(AC28=0,0,AD28/AC28)</f>
        <v>0</v>
      </c>
      <c r="AH28" s="1783"/>
      <c r="AI28" s="98"/>
      <c r="AJ28" s="1784"/>
      <c r="AK28" s="476">
        <f>IF(AH28=0,0,AI28/AH28)</f>
        <v>0</v>
      </c>
      <c r="AM28" s="164"/>
      <c r="AN28" s="165"/>
      <c r="AO28" s="106"/>
      <c r="AP28" s="476">
        <f>IF(AM28=0,0,AN28/AM28)</f>
        <v>0</v>
      </c>
      <c r="AR28" s="1783"/>
      <c r="AS28" s="98"/>
      <c r="AT28" s="1784"/>
      <c r="AU28" s="476">
        <f>IF(AR28=0,0,AS28/AR28)</f>
        <v>0</v>
      </c>
      <c r="AW28" s="164"/>
      <c r="AX28" s="165"/>
      <c r="AY28" s="106"/>
      <c r="AZ28" s="476">
        <f>IF(AW28=0,0,AX28/AW28)</f>
        <v>0</v>
      </c>
      <c r="BB28" s="1783"/>
      <c r="BC28" s="98"/>
      <c r="BD28" s="1784"/>
      <c r="BE28" s="7765"/>
      <c r="BF28" s="26"/>
    </row>
    <row r="29" spans="1:58" x14ac:dyDescent="0.35">
      <c r="A29" s="9168"/>
      <c r="B29" s="128"/>
      <c r="C29" s="129" t="s">
        <v>499</v>
      </c>
      <c r="D29" s="209"/>
      <c r="F29" s="491"/>
      <c r="G29" s="170"/>
      <c r="H29" s="5390">
        <f>IF(H26=0,0,(H27-H28)/H26)</f>
        <v>0</v>
      </c>
      <c r="I29" s="5391">
        <f>IF(I26=0,0,(I27-I28)/I26)</f>
        <v>0</v>
      </c>
      <c r="J29" s="494"/>
      <c r="K29" s="170"/>
      <c r="L29" s="5392">
        <f>IF(L26=0,0,L27/L26)</f>
        <v>0</v>
      </c>
      <c r="M29" s="5393">
        <f>IF(M26=0,0,M27/M26)</f>
        <v>0</v>
      </c>
      <c r="O29" s="492">
        <f>IF(O26=0,0,(O27-O28)/O26)</f>
        <v>0</v>
      </c>
      <c r="P29" s="497"/>
      <c r="Q29" s="497"/>
      <c r="R29" s="494"/>
      <c r="S29" s="170"/>
      <c r="T29" s="495">
        <f>IF(T26=0,0,T27/T26)</f>
        <v>0</v>
      </c>
      <c r="U29" s="497"/>
      <c r="V29" s="496">
        <f>IF(V26=0,0,V27/V26)</f>
        <v>0</v>
      </c>
      <c r="X29" s="492">
        <f>IF(X26=0,0,X27/X26)</f>
        <v>0</v>
      </c>
      <c r="Y29" s="497"/>
      <c r="Z29" s="497"/>
      <c r="AA29" s="494"/>
      <c r="AB29" s="170"/>
      <c r="AC29" s="495">
        <f>IF(AC26=0,0,AC27/AC26)</f>
        <v>0</v>
      </c>
      <c r="AD29" s="497"/>
      <c r="AE29" s="496">
        <f>IF(AE26=0,0,AE27/AE26)</f>
        <v>0</v>
      </c>
      <c r="AF29" s="494"/>
      <c r="AH29" s="495">
        <f>IF(AH26=0,0,AH27/AH26)</f>
        <v>0</v>
      </c>
      <c r="AI29" s="497"/>
      <c r="AJ29" s="496">
        <f>IF(AJ26=0,0,AJ27/AJ26)</f>
        <v>0</v>
      </c>
      <c r="AK29" s="494"/>
      <c r="AM29" s="492">
        <f>IF(AM26=0,0,AM27/AM26)</f>
        <v>0</v>
      </c>
      <c r="AN29" s="497">
        <f>IF(AN26=0,0,AN27/AN26)</f>
        <v>0</v>
      </c>
      <c r="AO29" s="497"/>
      <c r="AP29" s="494"/>
      <c r="AQ29" s="170"/>
      <c r="AR29" s="495">
        <f>IF(AR26=0,0,AR27/AR26)</f>
        <v>0</v>
      </c>
      <c r="AS29" s="497"/>
      <c r="AT29" s="496">
        <f>IF(AT26=0,0,AT27/AT26)</f>
        <v>0</v>
      </c>
      <c r="AU29" s="494"/>
      <c r="AW29" s="492">
        <f>IF(AW26=0,0,AW27/AW26)</f>
        <v>0</v>
      </c>
      <c r="AX29" s="497">
        <f>IF(AX26=0,0,AX27/AX26)</f>
        <v>0</v>
      </c>
      <c r="AY29" s="497"/>
      <c r="AZ29" s="494"/>
      <c r="BA29" s="170"/>
      <c r="BB29" s="495">
        <f>IF(BB26=0,0,BB27/BB26)</f>
        <v>0</v>
      </c>
      <c r="BC29" s="497"/>
      <c r="BD29" s="496">
        <f>IF(BD26=0,0,BD27/BD26)</f>
        <v>0</v>
      </c>
      <c r="BE29" s="203"/>
      <c r="BF29" s="24"/>
    </row>
    <row r="30" spans="1:58" ht="27.75" customHeight="1" x14ac:dyDescent="0.35">
      <c r="A30" s="9168"/>
      <c r="B30" s="139" t="s">
        <v>501</v>
      </c>
      <c r="C30" s="831"/>
      <c r="D30" s="197"/>
      <c r="F30" s="832"/>
      <c r="H30" s="833"/>
      <c r="I30" s="834"/>
      <c r="J30" s="869"/>
      <c r="L30" s="5394"/>
      <c r="M30" s="1325"/>
      <c r="N30" s="30"/>
      <c r="O30" s="838"/>
      <c r="P30" s="839"/>
      <c r="Q30" s="839"/>
      <c r="R30" s="840"/>
      <c r="S30" s="170"/>
      <c r="T30" s="836"/>
      <c r="U30" s="834"/>
      <c r="V30" s="837"/>
      <c r="W30" s="30"/>
      <c r="X30" s="838"/>
      <c r="Y30" s="839"/>
      <c r="Z30" s="839"/>
      <c r="AA30" s="840"/>
      <c r="AB30" s="170"/>
      <c r="AC30" s="836"/>
      <c r="AD30" s="834"/>
      <c r="AE30" s="837"/>
      <c r="AF30" s="840"/>
      <c r="AG30" s="30"/>
      <c r="AH30" s="836"/>
      <c r="AI30" s="834"/>
      <c r="AJ30" s="837"/>
      <c r="AK30" s="840"/>
      <c r="AL30" s="30"/>
      <c r="AM30" s="838"/>
      <c r="AN30" s="839"/>
      <c r="AO30" s="839"/>
      <c r="AP30" s="840"/>
      <c r="AQ30" s="170"/>
      <c r="AR30" s="836"/>
      <c r="AS30" s="834"/>
      <c r="AT30" s="837"/>
      <c r="AU30" s="840"/>
      <c r="AV30" s="30"/>
      <c r="AW30" s="838"/>
      <c r="AX30" s="839"/>
      <c r="AY30" s="839"/>
      <c r="AZ30" s="840"/>
      <c r="BA30" s="170"/>
      <c r="BB30" s="836"/>
      <c r="BC30" s="834"/>
      <c r="BD30" s="837"/>
      <c r="BE30" s="203"/>
      <c r="BF30" s="3315"/>
    </row>
    <row r="31" spans="1:58" x14ac:dyDescent="0.35">
      <c r="A31" s="9168"/>
      <c r="B31" s="6082"/>
      <c r="C31" s="121" t="s">
        <v>11</v>
      </c>
      <c r="D31" s="197"/>
      <c r="F31" s="5395"/>
      <c r="H31" s="112">
        <v>375.33</v>
      </c>
      <c r="I31" s="647">
        <v>476.68</v>
      </c>
      <c r="J31" s="246">
        <f>IF(H31=0,0,I31/H31)</f>
        <v>1.2700290411104895</v>
      </c>
      <c r="L31" s="112"/>
      <c r="M31" s="3254">
        <f>L31*J31</f>
        <v>0</v>
      </c>
      <c r="N31" s="143"/>
      <c r="O31" s="200"/>
      <c r="P31" s="201"/>
      <c r="Q31" s="5396" t="s">
        <v>639</v>
      </c>
      <c r="R31" s="835"/>
      <c r="S31" s="170"/>
      <c r="T31" s="198"/>
      <c r="U31" s="106"/>
      <c r="V31" s="482"/>
      <c r="W31" s="143"/>
      <c r="X31" s="200"/>
      <c r="Y31" s="201"/>
      <c r="Z31" s="5396" t="s">
        <v>639</v>
      </c>
      <c r="AA31" s="835"/>
      <c r="AB31" s="170"/>
      <c r="AC31" s="198"/>
      <c r="AD31" s="106"/>
      <c r="AE31" s="482"/>
      <c r="AF31" s="835"/>
      <c r="AG31" s="143"/>
      <c r="AH31" s="198"/>
      <c r="AI31" s="106"/>
      <c r="AJ31" s="482"/>
      <c r="AK31" s="835"/>
      <c r="AL31" s="143"/>
      <c r="AM31" s="200"/>
      <c r="AN31" s="201"/>
      <c r="AO31" s="5396"/>
      <c r="AP31" s="835"/>
      <c r="AQ31" s="170"/>
      <c r="AR31" s="198"/>
      <c r="AS31" s="106"/>
      <c r="AT31" s="482"/>
      <c r="AU31" s="835"/>
      <c r="AV31" s="143"/>
      <c r="AW31" s="200"/>
      <c r="AX31" s="201"/>
      <c r="AY31" s="5396"/>
      <c r="AZ31" s="835"/>
      <c r="BA31" s="170"/>
      <c r="BB31" s="198"/>
      <c r="BC31" s="106"/>
      <c r="BD31" s="482"/>
      <c r="BE31" s="203"/>
      <c r="BF31" s="1788"/>
    </row>
    <row r="32" spans="1:58" ht="15.25" customHeight="1" x14ac:dyDescent="0.35">
      <c r="A32" s="9169"/>
      <c r="B32" s="844"/>
      <c r="C32" s="208" t="s">
        <v>502</v>
      </c>
      <c r="D32" s="209"/>
      <c r="F32" s="5397"/>
      <c r="H32" s="217"/>
      <c r="I32" s="3391"/>
      <c r="J32" s="494"/>
      <c r="K32" s="834"/>
      <c r="L32" s="131"/>
      <c r="M32" s="3264"/>
      <c r="O32" s="214"/>
      <c r="P32" s="215"/>
      <c r="Q32" s="216"/>
      <c r="R32" s="484">
        <f>IF(O32=0,0,P32/O32)</f>
        <v>0</v>
      </c>
      <c r="T32" s="1783"/>
      <c r="U32" s="98"/>
      <c r="V32" s="1784"/>
      <c r="X32" s="214"/>
      <c r="Y32" s="215"/>
      <c r="Z32" s="216"/>
      <c r="AA32" s="484">
        <f>IF(X32=0,0,Y32/X32)</f>
        <v>0</v>
      </c>
      <c r="AC32" s="1783"/>
      <c r="AD32" s="98"/>
      <c r="AE32" s="1784"/>
      <c r="AF32" s="484">
        <f>IF(AC32=0,0,AD32/AC32)</f>
        <v>0</v>
      </c>
      <c r="AH32" s="1783"/>
      <c r="AI32" s="98"/>
      <c r="AJ32" s="1784"/>
      <c r="AK32" s="484">
        <f>IF(AH32=0,0,AI32/AH32)</f>
        <v>0</v>
      </c>
      <c r="AM32" s="214"/>
      <c r="AN32" s="215"/>
      <c r="AO32" s="216"/>
      <c r="AP32" s="484">
        <f>IF(AM32=0,0,AN32/AM32)</f>
        <v>0</v>
      </c>
      <c r="AR32" s="1783"/>
      <c r="AS32" s="98"/>
      <c r="AT32" s="1784"/>
      <c r="AU32" s="484">
        <f>IF(AR32=0,0,AS32/AR32)</f>
        <v>0</v>
      </c>
      <c r="AW32" s="214"/>
      <c r="AX32" s="215"/>
      <c r="AY32" s="216"/>
      <c r="AZ32" s="484">
        <f>IF(AW32=0,0,AX32/AW32)</f>
        <v>0</v>
      </c>
      <c r="BB32" s="1783"/>
      <c r="BC32" s="98"/>
      <c r="BD32" s="1784"/>
      <c r="BE32" s="7765"/>
      <c r="BF32" s="1789"/>
    </row>
    <row r="33" spans="1:58" x14ac:dyDescent="0.35">
      <c r="A33" s="220"/>
      <c r="B33" s="220"/>
      <c r="F33" s="106"/>
      <c r="H33" s="645"/>
      <c r="I33" s="645"/>
      <c r="J33" s="645"/>
      <c r="K33" s="645"/>
      <c r="L33" s="645"/>
      <c r="M33" s="1256"/>
      <c r="O33" s="106"/>
      <c r="P33" s="106"/>
      <c r="Q33" s="106"/>
      <c r="R33" s="221"/>
      <c r="T33" s="106"/>
      <c r="U33" s="106"/>
      <c r="X33" s="106"/>
      <c r="Y33" s="106"/>
      <c r="Z33" s="106"/>
      <c r="AA33" s="221"/>
      <c r="AC33" s="106"/>
      <c r="AD33" s="106"/>
      <c r="AF33" s="221"/>
      <c r="AH33" s="106"/>
      <c r="AI33" s="106"/>
      <c r="AK33" s="221"/>
      <c r="AM33" s="106"/>
      <c r="AN33" s="106"/>
      <c r="AO33" s="106"/>
      <c r="AP33" s="221"/>
      <c r="AR33" s="106"/>
      <c r="AS33" s="106"/>
      <c r="AU33" s="221"/>
      <c r="AW33" s="106"/>
      <c r="AX33" s="106"/>
      <c r="AY33" s="106"/>
      <c r="AZ33" s="221"/>
      <c r="BB33" s="106"/>
      <c r="BC33" s="106"/>
      <c r="BE33" s="221"/>
    </row>
    <row r="34" spans="1:58" ht="42.25" customHeight="1" x14ac:dyDescent="0.35">
      <c r="A34" s="8316" t="s">
        <v>503</v>
      </c>
      <c r="B34" s="27"/>
      <c r="C34" s="28" t="s">
        <v>427</v>
      </c>
      <c r="D34" s="585" t="s">
        <v>428</v>
      </c>
      <c r="E34" s="30"/>
      <c r="F34" s="4644"/>
      <c r="G34" s="223"/>
      <c r="H34" s="5398" t="s">
        <v>1633</v>
      </c>
      <c r="I34" s="5398" t="s">
        <v>1634</v>
      </c>
      <c r="J34" s="5399"/>
      <c r="K34" s="138"/>
      <c r="L34" s="5398" t="s">
        <v>1634</v>
      </c>
      <c r="M34" s="5398" t="s">
        <v>1634</v>
      </c>
      <c r="O34" s="9155" t="s">
        <v>1635</v>
      </c>
      <c r="P34" s="9156"/>
      <c r="Q34" s="5158" t="s">
        <v>1636</v>
      </c>
      <c r="R34" s="224"/>
      <c r="S34" s="223"/>
      <c r="T34" s="31" t="s">
        <v>1635</v>
      </c>
      <c r="U34" s="5158" t="s">
        <v>1636</v>
      </c>
      <c r="V34" s="36" t="s">
        <v>1635</v>
      </c>
      <c r="X34" s="9155" t="s">
        <v>1635</v>
      </c>
      <c r="Y34" s="9156"/>
      <c r="Z34" s="5158" t="s">
        <v>1636</v>
      </c>
      <c r="AA34" s="224"/>
      <c r="AB34" s="223"/>
      <c r="AC34" s="31"/>
      <c r="AD34" s="5158" t="s">
        <v>1637</v>
      </c>
      <c r="AE34" s="36"/>
      <c r="AF34" s="224"/>
      <c r="AH34" s="31"/>
      <c r="AI34" s="5158" t="s">
        <v>1638</v>
      </c>
      <c r="AJ34" s="36"/>
      <c r="AK34" s="224"/>
      <c r="AM34" s="31" t="s">
        <v>1639</v>
      </c>
      <c r="AN34" s="3651"/>
      <c r="AO34" s="6292" t="s">
        <v>1640</v>
      </c>
      <c r="AP34" s="224"/>
      <c r="AQ34" s="223"/>
      <c r="AR34" s="31" t="s">
        <v>1641</v>
      </c>
      <c r="AS34" s="6292" t="s">
        <v>1640</v>
      </c>
      <c r="AT34" s="36"/>
      <c r="AU34" s="224"/>
      <c r="AW34" s="9155" t="s">
        <v>1642</v>
      </c>
      <c r="AX34" s="9156"/>
      <c r="AY34" s="6292" t="s">
        <v>1640</v>
      </c>
      <c r="AZ34" s="224"/>
      <c r="BA34" s="223"/>
      <c r="BB34" s="31" t="s">
        <v>1643</v>
      </c>
      <c r="BC34" s="6292" t="s">
        <v>1640</v>
      </c>
      <c r="BD34" s="36" t="s">
        <v>1644</v>
      </c>
      <c r="BE34" s="7817"/>
      <c r="BF34" s="39"/>
    </row>
    <row r="35" spans="1:58" x14ac:dyDescent="0.35">
      <c r="A35" s="8317"/>
      <c r="B35" s="141" t="s">
        <v>514</v>
      </c>
      <c r="C35"/>
      <c r="D35" s="184"/>
      <c r="E35" s="143"/>
      <c r="F35" s="227"/>
      <c r="G35" s="143"/>
      <c r="H35" s="5400" t="s">
        <v>1645</v>
      </c>
      <c r="I35" s="5400" t="s">
        <v>1645</v>
      </c>
      <c r="J35" s="228"/>
      <c r="K35" s="143"/>
      <c r="L35" s="5400" t="s">
        <v>1645</v>
      </c>
      <c r="M35" s="5400" t="s">
        <v>1645</v>
      </c>
      <c r="O35" s="102"/>
      <c r="P35" s="103"/>
      <c r="Q35" s="106"/>
      <c r="R35" s="228"/>
      <c r="S35" s="143"/>
      <c r="T35" s="102"/>
      <c r="U35" s="103"/>
      <c r="V35" s="49"/>
      <c r="X35" s="102"/>
      <c r="Y35" s="103"/>
      <c r="Z35" s="106"/>
      <c r="AA35" s="228"/>
      <c r="AB35" s="143"/>
      <c r="AC35" s="102"/>
      <c r="AD35" s="103"/>
      <c r="AE35" s="49"/>
      <c r="AF35" s="228"/>
      <c r="AH35" s="102"/>
      <c r="AI35" s="103"/>
      <c r="AJ35" s="49"/>
      <c r="AK35" s="228"/>
      <c r="AM35" s="517" t="s">
        <v>1646</v>
      </c>
      <c r="AN35" s="103"/>
      <c r="AO35" s="106"/>
      <c r="AP35" s="228"/>
      <c r="AQ35" s="143"/>
      <c r="AR35" s="102"/>
      <c r="AS35" s="103"/>
      <c r="AT35" s="49"/>
      <c r="AU35" s="228"/>
      <c r="AW35" s="517"/>
      <c r="AX35" s="103"/>
      <c r="AY35" s="106"/>
      <c r="AZ35" s="228"/>
      <c r="BA35" s="143"/>
      <c r="BB35" s="102"/>
      <c r="BC35" s="103"/>
      <c r="BD35" s="49"/>
      <c r="BE35" s="246"/>
      <c r="BF35" s="18"/>
    </row>
    <row r="36" spans="1:58" x14ac:dyDescent="0.35">
      <c r="A36" s="8317"/>
      <c r="B36" s="240"/>
      <c r="C36" s="240" t="s">
        <v>1647</v>
      </c>
      <c r="D36" s="197">
        <v>3</v>
      </c>
      <c r="F36" s="5388"/>
      <c r="H36" s="593">
        <v>1383.5</v>
      </c>
      <c r="I36" s="636">
        <v>1250.4000000000001</v>
      </c>
      <c r="J36" s="476">
        <f>IF(H36=0,0,I36/H36)</f>
        <v>0.90379472352728596</v>
      </c>
      <c r="L36" s="593">
        <v>1678</v>
      </c>
      <c r="M36" s="1352">
        <v>1509</v>
      </c>
      <c r="N36" s="143"/>
      <c r="O36" s="112">
        <v>1583.3</v>
      </c>
      <c r="P36" s="115">
        <v>1493.1</v>
      </c>
      <c r="Q36" s="57" t="s">
        <v>1648</v>
      </c>
      <c r="R36" s="476">
        <f>IF(O36=0,0,P36/O36)</f>
        <v>0.94303037958693869</v>
      </c>
      <c r="T36" s="112">
        <v>2029.8</v>
      </c>
      <c r="U36" s="57" t="s">
        <v>1648</v>
      </c>
      <c r="V36" s="1794">
        <v>1908</v>
      </c>
      <c r="W36" s="143"/>
      <c r="X36" s="112">
        <v>2029.8</v>
      </c>
      <c r="Y36" s="115">
        <v>1908</v>
      </c>
      <c r="Z36" s="57" t="s">
        <v>1648</v>
      </c>
      <c r="AA36" s="476">
        <f>IF(X36=0,0,Y36/X36)</f>
        <v>0.93999408808749629</v>
      </c>
      <c r="AC36" s="254">
        <v>2383.6729999999998</v>
      </c>
      <c r="AD36" s="57" t="s">
        <v>1649</v>
      </c>
      <c r="AE36" s="254">
        <v>2164.0990000000002</v>
      </c>
      <c r="AF36" s="476">
        <f>IF(AC36=0,0,AE36/AC36)</f>
        <v>0.9078841770662337</v>
      </c>
      <c r="AG36" s="143"/>
      <c r="AH36" s="112">
        <v>2705.4569999999999</v>
      </c>
      <c r="AI36" s="57" t="s">
        <v>1650</v>
      </c>
      <c r="AJ36" s="1794">
        <v>2153.2570000000001</v>
      </c>
      <c r="AK36" s="476">
        <f>IF(AH36=0,0,AJ36/AH36)</f>
        <v>0.79589400238111352</v>
      </c>
      <c r="AL36" s="143"/>
      <c r="AM36" s="2755">
        <v>2705.4569999999999</v>
      </c>
      <c r="AN36" s="3748">
        <v>2153.2570000000001</v>
      </c>
      <c r="AO36" s="57" t="s">
        <v>1651</v>
      </c>
      <c r="AP36" s="476">
        <f>IF(AM36=0,0,AN36/AM36)</f>
        <v>0.79589400238111352</v>
      </c>
      <c r="AR36" s="2755">
        <v>2949.6039999999998</v>
      </c>
      <c r="AS36" s="57" t="s">
        <v>1649</v>
      </c>
      <c r="AT36" s="6293">
        <v>2689.6860000000001</v>
      </c>
      <c r="AU36" s="476">
        <f>IF(AR36=0,0,AT36/AR36)</f>
        <v>0.91188037445026526</v>
      </c>
      <c r="AV36" s="143"/>
      <c r="AW36" s="2755">
        <v>2949.6039999999998</v>
      </c>
      <c r="AX36" s="3748">
        <v>2689.6860000000001</v>
      </c>
      <c r="AY36" s="57" t="s">
        <v>1651</v>
      </c>
      <c r="AZ36" s="476">
        <f>IF(AW36=0,0,AX36/AW36)</f>
        <v>0.91188037445026526</v>
      </c>
      <c r="BB36" s="2755">
        <v>3207.22</v>
      </c>
      <c r="BC36" s="57" t="s">
        <v>1649</v>
      </c>
      <c r="BD36" s="6293">
        <f>2548.593*12/11</f>
        <v>2780.2832727272726</v>
      </c>
      <c r="BE36" s="7765"/>
      <c r="BF36" s="26" t="s">
        <v>1652</v>
      </c>
    </row>
    <row r="37" spans="1:58" x14ac:dyDescent="0.35">
      <c r="A37" s="8317"/>
      <c r="B37" s="240"/>
      <c r="C37" s="240" t="s">
        <v>1653</v>
      </c>
      <c r="D37" s="197"/>
      <c r="F37" s="61"/>
      <c r="H37" s="595"/>
      <c r="I37" s="594"/>
      <c r="J37" s="476">
        <f>IF(H37=0,0,I37/H37)</f>
        <v>0</v>
      </c>
      <c r="L37" s="595"/>
      <c r="M37" s="1352">
        <f>L37*J37</f>
        <v>0</v>
      </c>
      <c r="O37" s="112">
        <v>35</v>
      </c>
      <c r="P37" s="115">
        <v>28</v>
      </c>
      <c r="Q37" s="57" t="s">
        <v>1648</v>
      </c>
      <c r="R37" s="476">
        <f>IF(O37=0,0,P37/O37)</f>
        <v>0.8</v>
      </c>
      <c r="T37" s="112">
        <v>40</v>
      </c>
      <c r="U37" s="57" t="s">
        <v>1648</v>
      </c>
      <c r="V37" s="1009">
        <v>37.1</v>
      </c>
      <c r="X37" s="112">
        <v>40</v>
      </c>
      <c r="Y37" s="115">
        <v>37.1</v>
      </c>
      <c r="Z37" s="57" t="s">
        <v>1648</v>
      </c>
      <c r="AA37" s="476">
        <f>IF(X37=0,0,Y37/X37)</f>
        <v>0.92749999999999999</v>
      </c>
      <c r="AC37" s="112"/>
      <c r="AD37" s="57"/>
      <c r="AE37" s="1009"/>
      <c r="AF37" s="476">
        <f>IF(AC37=0,0,AE37/AC37)</f>
        <v>0</v>
      </c>
      <c r="AH37" s="112"/>
      <c r="AI37" s="57"/>
      <c r="AJ37" s="1009"/>
      <c r="AK37" s="476">
        <f>IF(AH37=0,0,AJ37/AH37)</f>
        <v>0</v>
      </c>
      <c r="AM37" s="2755">
        <v>732.55100000000004</v>
      </c>
      <c r="AN37" s="5004">
        <f>AM37*(AN19+AN20)/(AM19+AM20)</f>
        <v>561.72431894325234</v>
      </c>
      <c r="AO37" s="57" t="s">
        <v>1654</v>
      </c>
      <c r="AP37" s="476">
        <f>IF(AM37=0,0,AN37/AM37)</f>
        <v>0.7668057499658758</v>
      </c>
      <c r="AR37" s="2755">
        <v>712.06600000000003</v>
      </c>
      <c r="AS37" s="57" t="s">
        <v>1654</v>
      </c>
      <c r="AT37" s="6294">
        <f>AR37*(AT19+AT20)/(AR19+AR20)</f>
        <v>618.08991983615124</v>
      </c>
      <c r="AU37" s="476">
        <f>IF(AR37=0,0,AT37/AR37)</f>
        <v>0.86802335715530754</v>
      </c>
      <c r="AW37" s="2755">
        <v>712.06600000000003</v>
      </c>
      <c r="AX37" s="5004">
        <f>AW37*(AX19+AX20)/(AW19+AW20)</f>
        <v>618.08991983615124</v>
      </c>
      <c r="AY37" s="57" t="s">
        <v>1655</v>
      </c>
      <c r="AZ37" s="476">
        <f>IF(AW37=0,0,AX37/AW37)</f>
        <v>0.86802335715530754</v>
      </c>
      <c r="BB37" s="2755">
        <v>530.91</v>
      </c>
      <c r="BC37" s="57" t="s">
        <v>1656</v>
      </c>
      <c r="BD37" s="6294">
        <f>BB37*(BD19+BD20)/(BB19+BB20)</f>
        <v>366.77748823869035</v>
      </c>
      <c r="BE37" s="7765"/>
      <c r="BF37" s="26"/>
    </row>
    <row r="38" spans="1:58" x14ac:dyDescent="0.35">
      <c r="A38" s="8317"/>
      <c r="B38" s="241"/>
      <c r="C38" s="241" t="s">
        <v>534</v>
      </c>
      <c r="D38" s="197"/>
      <c r="F38" s="77"/>
      <c r="H38" s="1172"/>
      <c r="I38" s="644"/>
      <c r="J38" s="476">
        <f>IF(H38=0,0,I38/H38)</f>
        <v>0</v>
      </c>
      <c r="L38" s="1172"/>
      <c r="M38" s="1352">
        <f>L38*J38</f>
        <v>0</v>
      </c>
      <c r="O38" s="117"/>
      <c r="P38" s="115"/>
      <c r="Q38" s="106"/>
      <c r="R38" s="476">
        <f>IF(O38=0,0,P38/O38)</f>
        <v>0</v>
      </c>
      <c r="T38" s="117"/>
      <c r="U38" s="106"/>
      <c r="V38" s="1009"/>
      <c r="X38" s="117"/>
      <c r="Y38" s="115"/>
      <c r="Z38" s="106"/>
      <c r="AA38" s="476">
        <f>IF(X38=0,0,Y38/X38)</f>
        <v>0</v>
      </c>
      <c r="AC38" s="117"/>
      <c r="AD38" s="106"/>
      <c r="AE38" s="1009"/>
      <c r="AF38" s="476">
        <f>IF(AC38=0,0,AD38/AC38)</f>
        <v>0</v>
      </c>
      <c r="AH38" s="117"/>
      <c r="AI38" s="106"/>
      <c r="AJ38" s="1009"/>
      <c r="AK38" s="476">
        <f>IF(AH38=0,0,AI38/AH38)</f>
        <v>0</v>
      </c>
      <c r="AM38" s="117"/>
      <c r="AN38" s="115"/>
      <c r="AO38" s="106"/>
      <c r="AP38" s="476">
        <f>IF(AM38=0,0,AN38/AM38)</f>
        <v>0</v>
      </c>
      <c r="AR38" s="117"/>
      <c r="AS38" s="106"/>
      <c r="AT38" s="1009"/>
      <c r="AU38" s="476">
        <f>IF(AR38=0,0,AS38/AR38)</f>
        <v>0</v>
      </c>
      <c r="AW38" s="117"/>
      <c r="AX38" s="115"/>
      <c r="AY38" s="106"/>
      <c r="AZ38" s="476">
        <f>IF(AW38=0,0,AX38/AW38)</f>
        <v>0</v>
      </c>
      <c r="BB38" s="117"/>
      <c r="BC38" s="106"/>
      <c r="BD38" s="1009"/>
      <c r="BE38" s="7765"/>
      <c r="BF38" s="26"/>
    </row>
    <row r="39" spans="1:58" x14ac:dyDescent="0.35">
      <c r="A39" s="8317"/>
      <c r="B39" s="241"/>
      <c r="C39" s="241" t="s">
        <v>536</v>
      </c>
      <c r="D39" s="197"/>
      <c r="F39" s="77"/>
      <c r="H39" s="1172"/>
      <c r="I39" s="644"/>
      <c r="J39" s="476">
        <f>IF(H39=0,0,I39/H39)</f>
        <v>0</v>
      </c>
      <c r="L39" s="1172"/>
      <c r="M39" s="1352">
        <f>L39*J39</f>
        <v>0</v>
      </c>
      <c r="O39" s="242"/>
      <c r="P39" s="115"/>
      <c r="Q39" s="106"/>
      <c r="R39" s="476">
        <f>IF(O39=0,0,P39/O39)</f>
        <v>0</v>
      </c>
      <c r="T39" s="242"/>
      <c r="U39" s="106"/>
      <c r="V39" s="1795"/>
      <c r="X39" s="242"/>
      <c r="Y39" s="115"/>
      <c r="Z39" s="106"/>
      <c r="AA39" s="476">
        <f>IF(X39=0,0,Y39/X39)</f>
        <v>0</v>
      </c>
      <c r="AC39" s="242"/>
      <c r="AD39" s="106"/>
      <c r="AE39" s="1795"/>
      <c r="AF39" s="476">
        <f>IF(AC39=0,0,AD39/AC39)</f>
        <v>0</v>
      </c>
      <c r="AH39" s="242"/>
      <c r="AI39" s="106"/>
      <c r="AJ39" s="1795"/>
      <c r="AK39" s="476">
        <f>IF(AH39=0,0,AI39/AH39)</f>
        <v>0</v>
      </c>
      <c r="AM39" s="242"/>
      <c r="AN39" s="115"/>
      <c r="AO39" s="106"/>
      <c r="AP39" s="476">
        <f>IF(AM39=0,0,AN39/AM39)</f>
        <v>0</v>
      </c>
      <c r="AR39" s="242"/>
      <c r="AS39" s="106"/>
      <c r="AT39" s="1795"/>
      <c r="AU39" s="476">
        <f>IF(AR39=0,0,AS39/AR39)</f>
        <v>0</v>
      </c>
      <c r="AW39" s="242"/>
      <c r="AX39" s="115"/>
      <c r="AY39" s="106"/>
      <c r="AZ39" s="476">
        <f>IF(AW39=0,0,AX39/AW39)</f>
        <v>0</v>
      </c>
      <c r="BB39" s="242"/>
      <c r="BC39" s="106"/>
      <c r="BD39" s="1795"/>
      <c r="BE39" s="7765"/>
      <c r="BF39" s="26"/>
    </row>
    <row r="40" spans="1:58" x14ac:dyDescent="0.35">
      <c r="A40" s="8317"/>
      <c r="B40" s="141" t="s">
        <v>531</v>
      </c>
      <c r="C40"/>
      <c r="D40" s="197"/>
      <c r="E40" s="143"/>
      <c r="F40" s="168"/>
      <c r="G40" s="143"/>
      <c r="H40" s="1361"/>
      <c r="I40" s="645"/>
      <c r="J40" s="246"/>
      <c r="K40" s="143"/>
      <c r="L40" s="1361"/>
      <c r="M40" s="1362"/>
      <c r="N40" s="143"/>
      <c r="O40" s="245"/>
      <c r="P40" s="106"/>
      <c r="Q40" s="106"/>
      <c r="R40" s="246"/>
      <c r="S40" s="143"/>
      <c r="T40" s="245"/>
      <c r="U40" s="106"/>
      <c r="V40" s="247"/>
      <c r="W40" s="143"/>
      <c r="X40" s="245"/>
      <c r="Y40" s="106"/>
      <c r="Z40" s="106"/>
      <c r="AA40" s="246"/>
      <c r="AB40" s="143"/>
      <c r="AC40" s="245"/>
      <c r="AD40" s="106"/>
      <c r="AE40" s="247"/>
      <c r="AF40" s="246"/>
      <c r="AG40" s="143"/>
      <c r="AH40" s="245"/>
      <c r="AI40" s="106"/>
      <c r="AJ40" s="247"/>
      <c r="AK40" s="246"/>
      <c r="AL40" s="143"/>
      <c r="AM40" s="245"/>
      <c r="AN40" s="106"/>
      <c r="AO40" s="106"/>
      <c r="AP40" s="246"/>
      <c r="AQ40" s="143"/>
      <c r="AR40" s="245"/>
      <c r="AS40" s="106"/>
      <c r="AT40" s="247"/>
      <c r="AU40" s="246"/>
      <c r="AV40" s="143"/>
      <c r="AW40" s="245"/>
      <c r="AX40" s="106"/>
      <c r="AY40" s="106"/>
      <c r="AZ40" s="246"/>
      <c r="BA40" s="143"/>
      <c r="BB40" s="245"/>
      <c r="BC40" s="106"/>
      <c r="BD40" s="247"/>
      <c r="BE40" s="246"/>
      <c r="BF40" s="18"/>
    </row>
    <row r="41" spans="1:58" ht="24.75" customHeight="1" x14ac:dyDescent="0.35">
      <c r="A41" s="8317"/>
      <c r="B41" s="240"/>
      <c r="C41" s="240" t="s">
        <v>532</v>
      </c>
      <c r="D41" s="197"/>
      <c r="F41" s="4608"/>
      <c r="H41" s="593"/>
      <c r="I41" s="636"/>
      <c r="J41" s="476">
        <f>IF(H41=0,0,I41/H41)</f>
        <v>0</v>
      </c>
      <c r="L41" s="593"/>
      <c r="M41" s="1352">
        <f>L41*J41</f>
        <v>0</v>
      </c>
      <c r="O41" s="248"/>
      <c r="P41" s="233"/>
      <c r="Q41" s="106"/>
      <c r="R41" s="476">
        <f>R36</f>
        <v>0.94303037958693869</v>
      </c>
      <c r="T41" s="112"/>
      <c r="U41" s="106"/>
      <c r="V41" s="111"/>
      <c r="X41" s="248"/>
      <c r="Y41" s="233"/>
      <c r="Z41" s="106"/>
      <c r="AA41" s="476">
        <f>AA36</f>
        <v>0.93999408808749629</v>
      </c>
      <c r="AC41" s="112"/>
      <c r="AD41" s="106"/>
      <c r="AE41" s="111"/>
      <c r="AF41" s="476">
        <f>AF36</f>
        <v>0.9078841770662337</v>
      </c>
      <c r="AH41" s="112"/>
      <c r="AI41" s="106"/>
      <c r="AJ41" s="111"/>
      <c r="AK41" s="476">
        <f>AK36</f>
        <v>0.79589400238111352</v>
      </c>
      <c r="AM41" s="248"/>
      <c r="AN41" s="233"/>
      <c r="AO41" s="106"/>
      <c r="AP41" s="476">
        <f>AP36</f>
        <v>0.79589400238111352</v>
      </c>
      <c r="AR41" s="112"/>
      <c r="AS41" s="106"/>
      <c r="AT41" s="1034"/>
      <c r="AU41" s="476">
        <f>AU36</f>
        <v>0.91188037445026526</v>
      </c>
      <c r="AW41" s="248"/>
      <c r="AX41" s="233"/>
      <c r="AY41" s="106"/>
      <c r="AZ41" s="476">
        <f>AZ36</f>
        <v>0.91188037445026526</v>
      </c>
      <c r="BB41" s="112"/>
      <c r="BC41" s="106"/>
      <c r="BD41" s="1034"/>
      <c r="BE41" s="7765"/>
      <c r="BF41" s="26"/>
    </row>
    <row r="42" spans="1:58" x14ac:dyDescent="0.35">
      <c r="A42" s="8317"/>
      <c r="B42" s="240"/>
      <c r="C42" s="240" t="s">
        <v>533</v>
      </c>
      <c r="D42" s="197"/>
      <c r="F42" s="61"/>
      <c r="H42" s="595"/>
      <c r="I42" s="594"/>
      <c r="J42" s="476">
        <f>IF(H42=0,0,I42/H42)</f>
        <v>0</v>
      </c>
      <c r="L42" s="595"/>
      <c r="M42" s="1352">
        <f>L42*J42</f>
        <v>0</v>
      </c>
      <c r="O42" s="200"/>
      <c r="P42" s="201"/>
      <c r="Q42" s="106"/>
      <c r="R42" s="476">
        <f>IF(O42=0,0,P42/O42)</f>
        <v>0</v>
      </c>
      <c r="T42" s="117"/>
      <c r="U42" s="106"/>
      <c r="V42" s="155"/>
      <c r="X42" s="200"/>
      <c r="Y42" s="201"/>
      <c r="Z42" s="106"/>
      <c r="AA42" s="476">
        <f>IF(X42=0,0,Y42/X42)</f>
        <v>0</v>
      </c>
      <c r="AC42" s="117"/>
      <c r="AD42" s="106"/>
      <c r="AE42" s="155"/>
      <c r="AF42" s="476">
        <f>IF(AC42=0,0,AD42/AC42)</f>
        <v>0</v>
      </c>
      <c r="AH42" s="117"/>
      <c r="AI42" s="106"/>
      <c r="AJ42" s="155"/>
      <c r="AK42" s="476">
        <f>IF(AH42=0,0,AI42/AH42)</f>
        <v>0</v>
      </c>
      <c r="AM42" s="200"/>
      <c r="AN42" s="201"/>
      <c r="AO42" s="106"/>
      <c r="AP42" s="476">
        <f>IF(AM42=0,0,AN42/AM42)</f>
        <v>0</v>
      </c>
      <c r="AR42" s="117"/>
      <c r="AS42" s="106"/>
      <c r="AT42" s="273"/>
      <c r="AU42" s="476">
        <f>IF(AR42=0,0,AS42/AR42)</f>
        <v>0</v>
      </c>
      <c r="AW42" s="200"/>
      <c r="AX42" s="201"/>
      <c r="AY42" s="106"/>
      <c r="AZ42" s="476">
        <f>IF(AW42=0,0,AX42/AW42)</f>
        <v>0</v>
      </c>
      <c r="BB42" s="117"/>
      <c r="BC42" s="106"/>
      <c r="BD42" s="273"/>
      <c r="BE42" s="7765"/>
      <c r="BF42" s="26"/>
    </row>
    <row r="43" spans="1:58" x14ac:dyDescent="0.35">
      <c r="A43" s="8317"/>
      <c r="B43" s="250"/>
      <c r="C43" s="250" t="s">
        <v>534</v>
      </c>
      <c r="D43" s="209"/>
      <c r="F43" s="88"/>
      <c r="H43" s="1172"/>
      <c r="I43" s="644"/>
      <c r="J43" s="476">
        <f>IF(H43=0,0,I43/H43)</f>
        <v>0</v>
      </c>
      <c r="L43" s="602"/>
      <c r="M43" s="1364">
        <f>L43*J43</f>
        <v>0</v>
      </c>
      <c r="O43" s="164"/>
      <c r="P43" s="215"/>
      <c r="Q43" s="216"/>
      <c r="R43" s="476">
        <f>IF(O43=0,0,P43/O43)</f>
        <v>0</v>
      </c>
      <c r="T43" s="131"/>
      <c r="U43" s="216"/>
      <c r="V43" s="130"/>
      <c r="X43" s="164"/>
      <c r="Y43" s="215"/>
      <c r="Z43" s="216"/>
      <c r="AA43" s="476">
        <f>IF(X43=0,0,Y43/X43)</f>
        <v>0</v>
      </c>
      <c r="AC43" s="131"/>
      <c r="AD43" s="216"/>
      <c r="AE43" s="130"/>
      <c r="AF43" s="476">
        <f>IF(AC43=0,0,AD43/AC43)</f>
        <v>0</v>
      </c>
      <c r="AH43" s="131"/>
      <c r="AI43" s="216"/>
      <c r="AJ43" s="130"/>
      <c r="AK43" s="476">
        <f>IF(AH43=0,0,AI43/AH43)</f>
        <v>0</v>
      </c>
      <c r="AM43" s="164"/>
      <c r="AN43" s="215"/>
      <c r="AO43" s="216"/>
      <c r="AP43" s="476">
        <f>IF(AM43=0,0,AN43/AM43)</f>
        <v>0</v>
      </c>
      <c r="AR43" s="131"/>
      <c r="AS43" s="216"/>
      <c r="AT43" s="658"/>
      <c r="AU43" s="476">
        <f>IF(AR43=0,0,AS43/AR43)</f>
        <v>0</v>
      </c>
      <c r="AW43" s="164"/>
      <c r="AX43" s="215"/>
      <c r="AY43" s="216"/>
      <c r="AZ43" s="476">
        <f>IF(AW43=0,0,AX43/AW43)</f>
        <v>0</v>
      </c>
      <c r="BB43" s="131"/>
      <c r="BC43" s="216"/>
      <c r="BD43" s="658"/>
      <c r="BE43" s="7765"/>
      <c r="BF43" s="24"/>
    </row>
    <row r="44" spans="1:58" x14ac:dyDescent="0.35">
      <c r="A44" s="8317"/>
      <c r="B44" s="141" t="s">
        <v>535</v>
      </c>
      <c r="C44" s="141"/>
      <c r="D44" s="197"/>
      <c r="E44" s="143"/>
      <c r="F44" s="227"/>
      <c r="G44" s="143"/>
      <c r="H44" s="1375"/>
      <c r="I44" s="653"/>
      <c r="J44" s="516"/>
      <c r="K44" s="143"/>
      <c r="L44" s="1361"/>
      <c r="M44" s="1362"/>
      <c r="O44" s="102"/>
      <c r="P44" s="103"/>
      <c r="Q44" s="106"/>
      <c r="R44" s="516"/>
      <c r="S44" s="143"/>
      <c r="T44" s="245"/>
      <c r="U44" s="106"/>
      <c r="V44" s="168"/>
      <c r="X44" s="102"/>
      <c r="Y44" s="103"/>
      <c r="Z44" s="106"/>
      <c r="AA44" s="516"/>
      <c r="AB44" s="143"/>
      <c r="AC44" s="245"/>
      <c r="AD44" s="106"/>
      <c r="AE44" s="168"/>
      <c r="AF44" s="516"/>
      <c r="AH44" s="245"/>
      <c r="AI44" s="106"/>
      <c r="AJ44" s="168"/>
      <c r="AK44" s="516"/>
      <c r="AM44" s="102"/>
      <c r="AN44" s="103"/>
      <c r="AO44" s="106"/>
      <c r="AP44" s="516"/>
      <c r="AQ44" s="143"/>
      <c r="AR44" s="245"/>
      <c r="AS44" s="106"/>
      <c r="AT44" s="105"/>
      <c r="AU44" s="516"/>
      <c r="AW44" s="102"/>
      <c r="AX44" s="103"/>
      <c r="AY44" s="106"/>
      <c r="AZ44" s="516"/>
      <c r="BA44" s="143"/>
      <c r="BB44" s="245"/>
      <c r="BC44" s="106"/>
      <c r="BD44" s="105"/>
      <c r="BE44" s="267"/>
      <c r="BF44" s="26"/>
    </row>
    <row r="45" spans="1:58" x14ac:dyDescent="0.35">
      <c r="A45" s="8317"/>
      <c r="B45" s="240"/>
      <c r="C45" s="240" t="s">
        <v>532</v>
      </c>
      <c r="D45" s="197"/>
      <c r="F45" s="4608"/>
      <c r="H45" s="593"/>
      <c r="I45" s="636"/>
      <c r="J45" s="476">
        <f t="shared" ref="J45:J51" si="6">IF(H45=0,0,I45/H45)</f>
        <v>0</v>
      </c>
      <c r="L45" s="593"/>
      <c r="M45" s="1352">
        <f t="shared" ref="M45:M51" si="7">L45*J45</f>
        <v>0</v>
      </c>
      <c r="O45" s="117">
        <f>L49</f>
        <v>0</v>
      </c>
      <c r="P45" s="233"/>
      <c r="Q45" s="106"/>
      <c r="R45" s="476">
        <f t="shared" ref="R45:R51" si="8">IF(O45=0,0,P45/O45)</f>
        <v>0</v>
      </c>
      <c r="T45" s="112"/>
      <c r="U45" s="106"/>
      <c r="V45" s="111"/>
      <c r="X45" s="117"/>
      <c r="Y45" s="233"/>
      <c r="Z45" s="106"/>
      <c r="AA45" s="476">
        <f t="shared" ref="AA45:AA51" si="9">IF(X45=0,0,Y45/X45)</f>
        <v>0</v>
      </c>
      <c r="AC45" s="112"/>
      <c r="AD45" s="106"/>
      <c r="AE45" s="111"/>
      <c r="AF45" s="476">
        <f t="shared" ref="AF45:AF51" si="10">IF(AC45=0,0,AD45/AC45)</f>
        <v>0</v>
      </c>
      <c r="AH45" s="112"/>
      <c r="AI45" s="106"/>
      <c r="AJ45" s="111"/>
      <c r="AK45" s="476">
        <f t="shared" ref="AK45:AK51" si="11">IF(AH45=0,0,AI45/AH45)</f>
        <v>0</v>
      </c>
      <c r="AM45" s="117"/>
      <c r="AN45" s="233"/>
      <c r="AO45" s="106"/>
      <c r="AP45" s="476">
        <f t="shared" ref="AP45:AP51" si="12">IF(AM45=0,0,AN45/AM45)</f>
        <v>0</v>
      </c>
      <c r="AR45" s="112"/>
      <c r="AS45" s="106"/>
      <c r="AT45" s="1034"/>
      <c r="AU45" s="476">
        <f t="shared" ref="AU45:AU51" si="13">IF(AR45=0,0,AS45/AR45)</f>
        <v>0</v>
      </c>
      <c r="AW45" s="117"/>
      <c r="AX45" s="233"/>
      <c r="AY45" s="106"/>
      <c r="AZ45" s="476">
        <f t="shared" ref="AZ45:AZ51" si="14">IF(AW45=0,0,AX45/AW45)</f>
        <v>0</v>
      </c>
      <c r="BB45" s="112"/>
      <c r="BC45" s="106"/>
      <c r="BD45" s="1034"/>
      <c r="BE45" s="7765"/>
      <c r="BF45" s="257"/>
    </row>
    <row r="46" spans="1:58" x14ac:dyDescent="0.35">
      <c r="A46" s="8317"/>
      <c r="B46" s="240"/>
      <c r="C46" s="240" t="s">
        <v>533</v>
      </c>
      <c r="D46" s="197"/>
      <c r="F46" s="61"/>
      <c r="H46" s="595"/>
      <c r="I46" s="594"/>
      <c r="J46" s="476">
        <f t="shared" si="6"/>
        <v>0</v>
      </c>
      <c r="L46" s="595"/>
      <c r="M46" s="1352">
        <f t="shared" si="7"/>
        <v>0</v>
      </c>
      <c r="O46" s="117"/>
      <c r="P46" s="201"/>
      <c r="Q46" s="106"/>
      <c r="R46" s="476">
        <f t="shared" si="8"/>
        <v>0</v>
      </c>
      <c r="T46" s="112"/>
      <c r="U46" s="106"/>
      <c r="V46" s="111"/>
      <c r="X46" s="117"/>
      <c r="Y46" s="201"/>
      <c r="Z46" s="106"/>
      <c r="AA46" s="476">
        <f t="shared" si="9"/>
        <v>0</v>
      </c>
      <c r="AC46" s="112"/>
      <c r="AD46" s="106"/>
      <c r="AE46" s="111"/>
      <c r="AF46" s="476">
        <f t="shared" si="10"/>
        <v>0</v>
      </c>
      <c r="AH46" s="112"/>
      <c r="AI46" s="106"/>
      <c r="AJ46" s="111"/>
      <c r="AK46" s="476">
        <f t="shared" si="11"/>
        <v>0</v>
      </c>
      <c r="AM46" s="117"/>
      <c r="AN46" s="201"/>
      <c r="AO46" s="106"/>
      <c r="AP46" s="476">
        <f t="shared" si="12"/>
        <v>0</v>
      </c>
      <c r="AR46" s="112"/>
      <c r="AS46" s="106"/>
      <c r="AT46" s="1034"/>
      <c r="AU46" s="476">
        <f t="shared" si="13"/>
        <v>0</v>
      </c>
      <c r="AW46" s="117"/>
      <c r="AX46" s="201"/>
      <c r="AY46" s="106"/>
      <c r="AZ46" s="476">
        <f t="shared" si="14"/>
        <v>0</v>
      </c>
      <c r="BB46" s="112"/>
      <c r="BC46" s="106"/>
      <c r="BD46" s="1034"/>
      <c r="BE46" s="7765"/>
      <c r="BF46" s="26"/>
    </row>
    <row r="47" spans="1:58" x14ac:dyDescent="0.35">
      <c r="A47" s="8317"/>
      <c r="B47" s="240"/>
      <c r="C47" s="240" t="s">
        <v>534</v>
      </c>
      <c r="D47" s="197"/>
      <c r="F47" s="61"/>
      <c r="H47" s="595"/>
      <c r="I47" s="594"/>
      <c r="J47" s="476">
        <f t="shared" si="6"/>
        <v>0</v>
      </c>
      <c r="L47" s="595"/>
      <c r="M47" s="1352">
        <f t="shared" si="7"/>
        <v>0</v>
      </c>
      <c r="O47" s="117"/>
      <c r="P47" s="233"/>
      <c r="Q47" s="106"/>
      <c r="R47" s="476">
        <f t="shared" si="8"/>
        <v>0</v>
      </c>
      <c r="T47" s="117"/>
      <c r="U47" s="106"/>
      <c r="V47" s="155"/>
      <c r="X47" s="117"/>
      <c r="Y47" s="233"/>
      <c r="Z47" s="106"/>
      <c r="AA47" s="476">
        <f t="shared" si="9"/>
        <v>0</v>
      </c>
      <c r="AC47" s="117"/>
      <c r="AD47" s="106"/>
      <c r="AE47" s="155"/>
      <c r="AF47" s="476">
        <f t="shared" si="10"/>
        <v>0</v>
      </c>
      <c r="AH47" s="117"/>
      <c r="AI47" s="106"/>
      <c r="AJ47" s="155"/>
      <c r="AK47" s="476">
        <f t="shared" si="11"/>
        <v>0</v>
      </c>
      <c r="AM47" s="117"/>
      <c r="AN47" s="233"/>
      <c r="AO47" s="106"/>
      <c r="AP47" s="476">
        <f t="shared" si="12"/>
        <v>0</v>
      </c>
      <c r="AR47" s="117"/>
      <c r="AS47" s="106"/>
      <c r="AT47" s="273"/>
      <c r="AU47" s="476">
        <f t="shared" si="13"/>
        <v>0</v>
      </c>
      <c r="AW47" s="117"/>
      <c r="AX47" s="233"/>
      <c r="AY47" s="106"/>
      <c r="AZ47" s="476">
        <f t="shared" si="14"/>
        <v>0</v>
      </c>
      <c r="BB47" s="117"/>
      <c r="BC47" s="106"/>
      <c r="BD47" s="273"/>
      <c r="BE47" s="7765"/>
      <c r="BF47" s="26"/>
    </row>
    <row r="48" spans="1:58" x14ac:dyDescent="0.35">
      <c r="A48" s="8317"/>
      <c r="B48" s="240"/>
      <c r="C48" s="240" t="s">
        <v>536</v>
      </c>
      <c r="D48" s="197"/>
      <c r="F48" s="61"/>
      <c r="H48" s="595"/>
      <c r="I48" s="594"/>
      <c r="J48" s="476">
        <f t="shared" si="6"/>
        <v>0</v>
      </c>
      <c r="L48" s="595"/>
      <c r="M48" s="1352">
        <f t="shared" si="7"/>
        <v>0</v>
      </c>
      <c r="N48" s="141"/>
      <c r="O48" s="117"/>
      <c r="P48" s="201"/>
      <c r="Q48" s="106"/>
      <c r="R48" s="476">
        <f t="shared" si="8"/>
        <v>0</v>
      </c>
      <c r="T48" s="117"/>
      <c r="U48" s="106"/>
      <c r="V48" s="155"/>
      <c r="W48" s="141"/>
      <c r="X48" s="117"/>
      <c r="Y48" s="201"/>
      <c r="Z48" s="106"/>
      <c r="AA48" s="476">
        <f t="shared" si="9"/>
        <v>0</v>
      </c>
      <c r="AC48" s="117"/>
      <c r="AD48" s="106"/>
      <c r="AE48" s="155"/>
      <c r="AF48" s="476">
        <f t="shared" si="10"/>
        <v>0</v>
      </c>
      <c r="AG48" s="141"/>
      <c r="AH48" s="117"/>
      <c r="AI48" s="106"/>
      <c r="AJ48" s="155"/>
      <c r="AK48" s="476">
        <f t="shared" si="11"/>
        <v>0</v>
      </c>
      <c r="AL48" s="141"/>
      <c r="AM48" s="117"/>
      <c r="AN48" s="201"/>
      <c r="AO48" s="106"/>
      <c r="AP48" s="476">
        <f t="shared" si="12"/>
        <v>0</v>
      </c>
      <c r="AR48" s="117"/>
      <c r="AS48" s="106"/>
      <c r="AT48" s="273"/>
      <c r="AU48" s="476">
        <f t="shared" si="13"/>
        <v>0</v>
      </c>
      <c r="AV48" s="141"/>
      <c r="AW48" s="117"/>
      <c r="AX48" s="201"/>
      <c r="AY48" s="106"/>
      <c r="AZ48" s="476">
        <f t="shared" si="14"/>
        <v>0</v>
      </c>
      <c r="BB48" s="117"/>
      <c r="BC48" s="106"/>
      <c r="BD48" s="273"/>
      <c r="BE48" s="7765"/>
      <c r="BF48" s="26"/>
    </row>
    <row r="49" spans="1:58" x14ac:dyDescent="0.35">
      <c r="A49" s="8317"/>
      <c r="B49" s="240"/>
      <c r="C49" s="240" t="s">
        <v>537</v>
      </c>
      <c r="D49" s="197"/>
      <c r="F49" s="61"/>
      <c r="H49" s="595"/>
      <c r="I49" s="594"/>
      <c r="J49" s="476">
        <f t="shared" si="6"/>
        <v>0</v>
      </c>
      <c r="L49" s="595"/>
      <c r="M49" s="1352">
        <f t="shared" si="7"/>
        <v>0</v>
      </c>
      <c r="O49" s="117"/>
      <c r="P49" s="233"/>
      <c r="Q49" s="106"/>
      <c r="R49" s="476">
        <f t="shared" si="8"/>
        <v>0</v>
      </c>
      <c r="T49" s="117"/>
      <c r="U49" s="106"/>
      <c r="V49" s="155"/>
      <c r="X49" s="117"/>
      <c r="Y49" s="233"/>
      <c r="Z49" s="106"/>
      <c r="AA49" s="476">
        <f t="shared" si="9"/>
        <v>0</v>
      </c>
      <c r="AC49" s="117"/>
      <c r="AD49" s="106"/>
      <c r="AE49" s="155"/>
      <c r="AF49" s="476">
        <f t="shared" si="10"/>
        <v>0</v>
      </c>
      <c r="AH49" s="117"/>
      <c r="AI49" s="106"/>
      <c r="AJ49" s="155"/>
      <c r="AK49" s="476">
        <f t="shared" si="11"/>
        <v>0</v>
      </c>
      <c r="AM49" s="117"/>
      <c r="AN49" s="233"/>
      <c r="AO49" s="106"/>
      <c r="AP49" s="476">
        <f t="shared" si="12"/>
        <v>0</v>
      </c>
      <c r="AR49" s="117"/>
      <c r="AS49" s="106"/>
      <c r="AT49" s="273"/>
      <c r="AU49" s="476">
        <f t="shared" si="13"/>
        <v>0</v>
      </c>
      <c r="AW49" s="117"/>
      <c r="AX49" s="233"/>
      <c r="AY49" s="106"/>
      <c r="AZ49" s="476">
        <f t="shared" si="14"/>
        <v>0</v>
      </c>
      <c r="BB49" s="117"/>
      <c r="BC49" s="106"/>
      <c r="BD49" s="273"/>
      <c r="BE49" s="7765"/>
      <c r="BF49" s="26"/>
    </row>
    <row r="50" spans="1:58" x14ac:dyDescent="0.35">
      <c r="A50" s="8317"/>
      <c r="B50" s="240"/>
      <c r="C50" s="240" t="s">
        <v>538</v>
      </c>
      <c r="D50" s="197"/>
      <c r="F50" s="61"/>
      <c r="H50" s="595"/>
      <c r="I50" s="594"/>
      <c r="J50" s="476">
        <f t="shared" si="6"/>
        <v>0</v>
      </c>
      <c r="L50" s="595"/>
      <c r="M50" s="1352">
        <f t="shared" si="7"/>
        <v>0</v>
      </c>
      <c r="O50" s="117"/>
      <c r="P50" s="201"/>
      <c r="Q50" s="106"/>
      <c r="R50" s="476">
        <f t="shared" si="8"/>
        <v>0</v>
      </c>
      <c r="T50" s="117"/>
      <c r="U50" s="106"/>
      <c r="V50" s="155"/>
      <c r="X50" s="117"/>
      <c r="Y50" s="201"/>
      <c r="Z50" s="106"/>
      <c r="AA50" s="476">
        <f t="shared" si="9"/>
        <v>0</v>
      </c>
      <c r="AC50" s="117"/>
      <c r="AD50" s="106"/>
      <c r="AE50" s="155"/>
      <c r="AF50" s="476">
        <f t="shared" si="10"/>
        <v>0</v>
      </c>
      <c r="AH50" s="117"/>
      <c r="AI50" s="106"/>
      <c r="AJ50" s="155"/>
      <c r="AK50" s="476">
        <f t="shared" si="11"/>
        <v>0</v>
      </c>
      <c r="AM50" s="117"/>
      <c r="AN50" s="201"/>
      <c r="AO50" s="106"/>
      <c r="AP50" s="476">
        <f t="shared" si="12"/>
        <v>0</v>
      </c>
      <c r="AR50" s="117"/>
      <c r="AS50" s="106"/>
      <c r="AT50" s="273"/>
      <c r="AU50" s="476">
        <f t="shared" si="13"/>
        <v>0</v>
      </c>
      <c r="AW50" s="117"/>
      <c r="AX50" s="201"/>
      <c r="AY50" s="106"/>
      <c r="AZ50" s="476">
        <f t="shared" si="14"/>
        <v>0</v>
      </c>
      <c r="BB50" s="117"/>
      <c r="BC50" s="106"/>
      <c r="BD50" s="273"/>
      <c r="BE50" s="7765"/>
      <c r="BF50" s="26"/>
    </row>
    <row r="51" spans="1:58" x14ac:dyDescent="0.35">
      <c r="A51" s="8317"/>
      <c r="B51" s="241"/>
      <c r="C51" s="241" t="s">
        <v>539</v>
      </c>
      <c r="D51" s="209"/>
      <c r="F51" s="88"/>
      <c r="H51" s="602"/>
      <c r="I51" s="603"/>
      <c r="J51" s="484">
        <f t="shared" si="6"/>
        <v>0</v>
      </c>
      <c r="L51" s="1172"/>
      <c r="M51" s="1352">
        <f t="shared" si="7"/>
        <v>0</v>
      </c>
      <c r="O51" s="131"/>
      <c r="P51" s="132"/>
      <c r="Q51" s="216"/>
      <c r="R51" s="484">
        <f t="shared" si="8"/>
        <v>0</v>
      </c>
      <c r="T51" s="242"/>
      <c r="U51" s="216"/>
      <c r="V51" s="163"/>
      <c r="X51" s="131"/>
      <c r="Y51" s="132"/>
      <c r="Z51" s="216"/>
      <c r="AA51" s="484">
        <f t="shared" si="9"/>
        <v>0</v>
      </c>
      <c r="AC51" s="242"/>
      <c r="AD51" s="216"/>
      <c r="AE51" s="163"/>
      <c r="AF51" s="484">
        <f t="shared" si="10"/>
        <v>0</v>
      </c>
      <c r="AH51" s="242"/>
      <c r="AI51" s="216"/>
      <c r="AJ51" s="163"/>
      <c r="AK51" s="484">
        <f t="shared" si="11"/>
        <v>0</v>
      </c>
      <c r="AM51" s="131"/>
      <c r="AN51" s="132"/>
      <c r="AO51" s="216"/>
      <c r="AP51" s="484">
        <f t="shared" si="12"/>
        <v>0</v>
      </c>
      <c r="AR51" s="242"/>
      <c r="AS51" s="216"/>
      <c r="AT51" s="276"/>
      <c r="AU51" s="484">
        <f t="shared" si="13"/>
        <v>0</v>
      </c>
      <c r="AW51" s="131"/>
      <c r="AX51" s="132"/>
      <c r="AY51" s="216"/>
      <c r="AZ51" s="484">
        <f t="shared" si="14"/>
        <v>0</v>
      </c>
      <c r="BB51" s="242"/>
      <c r="BC51" s="216"/>
      <c r="BD51" s="276"/>
      <c r="BE51" s="7765"/>
      <c r="BF51" s="26"/>
    </row>
    <row r="52" spans="1:58" x14ac:dyDescent="0.35">
      <c r="A52" s="8317"/>
      <c r="B52" s="271" t="s">
        <v>540</v>
      </c>
      <c r="C52" s="271"/>
      <c r="D52" s="184"/>
      <c r="E52" s="141"/>
      <c r="F52" s="227"/>
      <c r="G52" s="141"/>
      <c r="H52" s="1361"/>
      <c r="I52" s="645"/>
      <c r="J52" s="518"/>
      <c r="K52" s="141"/>
      <c r="L52" s="1375"/>
      <c r="M52" s="1317"/>
      <c r="O52" s="245"/>
      <c r="P52" s="106"/>
      <c r="Q52" s="106"/>
      <c r="R52" s="518"/>
      <c r="S52" s="141"/>
      <c r="T52" s="102"/>
      <c r="U52" s="106"/>
      <c r="V52" s="227"/>
      <c r="X52" s="245"/>
      <c r="Y52" s="106"/>
      <c r="Z52" s="106"/>
      <c r="AA52" s="518"/>
      <c r="AB52" s="141"/>
      <c r="AC52" s="102"/>
      <c r="AD52" s="106"/>
      <c r="AE52" s="227"/>
      <c r="AF52" s="518"/>
      <c r="AH52" s="102"/>
      <c r="AI52" s="106"/>
      <c r="AJ52" s="227"/>
      <c r="AK52" s="518"/>
      <c r="AM52" s="245"/>
      <c r="AN52" s="106"/>
      <c r="AO52" s="106"/>
      <c r="AP52" s="518"/>
      <c r="AQ52" s="141"/>
      <c r="AR52" s="102"/>
      <c r="AS52" s="106"/>
      <c r="AT52" s="105"/>
      <c r="AU52" s="518"/>
      <c r="AW52" s="245"/>
      <c r="AX52" s="106"/>
      <c r="AY52" s="106"/>
      <c r="AZ52" s="518"/>
      <c r="BA52" s="141"/>
      <c r="BB52" s="102"/>
      <c r="BC52" s="106"/>
      <c r="BD52" s="105"/>
      <c r="BE52" s="267"/>
      <c r="BF52" s="18"/>
    </row>
    <row r="53" spans="1:58" x14ac:dyDescent="0.35">
      <c r="A53" s="8317"/>
      <c r="B53" s="240"/>
      <c r="C53" s="240" t="s">
        <v>1657</v>
      </c>
      <c r="D53" s="197"/>
      <c r="F53" s="4608"/>
      <c r="H53" s="593">
        <v>1050</v>
      </c>
      <c r="I53" s="636">
        <v>974.8</v>
      </c>
      <c r="J53" s="476">
        <f>IF(H53=0,0,I53/H53)</f>
        <v>0.92838095238095231</v>
      </c>
      <c r="L53" s="593">
        <v>1284</v>
      </c>
      <c r="M53" s="1352">
        <f>1204</f>
        <v>1204</v>
      </c>
      <c r="O53" s="112"/>
      <c r="P53" s="233"/>
      <c r="Q53" s="106" t="s">
        <v>639</v>
      </c>
      <c r="R53" s="476">
        <f t="shared" ref="R53:R60" si="15">IF(O53=0,0,P53/O53)</f>
        <v>0</v>
      </c>
      <c r="T53" s="112"/>
      <c r="U53" s="106" t="s">
        <v>639</v>
      </c>
      <c r="V53" s="111"/>
      <c r="X53" s="112"/>
      <c r="Y53" s="233"/>
      <c r="Z53" s="106" t="s">
        <v>639</v>
      </c>
      <c r="AA53" s="476">
        <f t="shared" ref="AA53:AA60" si="16">IF(X53=0,0,Y53/X53)</f>
        <v>0</v>
      </c>
      <c r="AC53" s="112"/>
      <c r="AD53" s="106" t="s">
        <v>639</v>
      </c>
      <c r="AE53" s="111"/>
      <c r="AF53" s="476">
        <f t="shared" ref="AF53:AF60" si="17">IF(AC53=0,0,AD53/AC53)</f>
        <v>0</v>
      </c>
      <c r="AH53" s="112"/>
      <c r="AI53" s="106" t="s">
        <v>639</v>
      </c>
      <c r="AJ53" s="111"/>
      <c r="AK53" s="476">
        <f t="shared" ref="AK53:AK60" si="18">IF(AH53=0,0,AI53/AH53)</f>
        <v>0</v>
      </c>
      <c r="AM53" s="112"/>
      <c r="AN53" s="233"/>
      <c r="AO53" s="106" t="s">
        <v>639</v>
      </c>
      <c r="AP53" s="476">
        <f t="shared" ref="AP53:AP60" si="19">IF(AM53=0,0,AN53/AM53)</f>
        <v>0</v>
      </c>
      <c r="AR53" s="112"/>
      <c r="AS53" s="106" t="s">
        <v>639</v>
      </c>
      <c r="AT53" s="1034"/>
      <c r="AU53" s="476">
        <f t="shared" ref="AU53:AU60" si="20">IF(AR53=0,0,AS53/AR53)</f>
        <v>0</v>
      </c>
      <c r="AW53" s="112"/>
      <c r="AX53" s="233"/>
      <c r="AY53" s="106" t="s">
        <v>639</v>
      </c>
      <c r="AZ53" s="476">
        <f t="shared" ref="AZ53:AZ60" si="21">IF(AW53=0,0,AX53/AW53)</f>
        <v>0</v>
      </c>
      <c r="BB53" s="112"/>
      <c r="BC53" s="106" t="s">
        <v>639</v>
      </c>
      <c r="BD53" s="1034"/>
      <c r="BE53" s="7765"/>
      <c r="BF53" s="26"/>
    </row>
    <row r="54" spans="1:58" x14ac:dyDescent="0.35">
      <c r="A54" s="8317"/>
      <c r="B54" s="240"/>
      <c r="C54" s="240" t="s">
        <v>533</v>
      </c>
      <c r="D54" s="197"/>
      <c r="F54" s="61"/>
      <c r="H54" s="595"/>
      <c r="I54" s="594"/>
      <c r="J54" s="476">
        <f>IF(H54=0,0,I54/H54)</f>
        <v>0</v>
      </c>
      <c r="L54" s="593"/>
      <c r="M54" s="1352"/>
      <c r="O54" s="117"/>
      <c r="P54" s="201"/>
      <c r="Q54" s="106"/>
      <c r="R54" s="476">
        <f t="shared" si="15"/>
        <v>0</v>
      </c>
      <c r="T54" s="117"/>
      <c r="U54" s="106"/>
      <c r="V54" s="155"/>
      <c r="X54" s="117"/>
      <c r="Y54" s="201"/>
      <c r="Z54" s="106"/>
      <c r="AA54" s="476">
        <f t="shared" si="16"/>
        <v>0</v>
      </c>
      <c r="AC54" s="117"/>
      <c r="AD54" s="106"/>
      <c r="AE54" s="155"/>
      <c r="AF54" s="476">
        <f t="shared" si="17"/>
        <v>0</v>
      </c>
      <c r="AH54" s="117"/>
      <c r="AI54" s="106"/>
      <c r="AJ54" s="155"/>
      <c r="AK54" s="476">
        <f t="shared" si="18"/>
        <v>0</v>
      </c>
      <c r="AM54" s="117"/>
      <c r="AN54" s="201"/>
      <c r="AO54" s="106"/>
      <c r="AP54" s="476">
        <f t="shared" si="19"/>
        <v>0</v>
      </c>
      <c r="AR54" s="117"/>
      <c r="AS54" s="106"/>
      <c r="AT54" s="273"/>
      <c r="AU54" s="476">
        <f t="shared" si="20"/>
        <v>0</v>
      </c>
      <c r="AW54" s="117"/>
      <c r="AX54" s="201"/>
      <c r="AY54" s="106"/>
      <c r="AZ54" s="476">
        <f t="shared" si="21"/>
        <v>0</v>
      </c>
      <c r="BB54" s="117"/>
      <c r="BC54" s="106"/>
      <c r="BD54" s="273"/>
      <c r="BE54" s="7765"/>
      <c r="BF54" s="26"/>
    </row>
    <row r="55" spans="1:58" x14ac:dyDescent="0.35">
      <c r="A55" s="8317"/>
      <c r="B55" s="240"/>
      <c r="C55" s="240" t="s">
        <v>534</v>
      </c>
      <c r="D55" s="197"/>
      <c r="F55" s="77"/>
      <c r="H55" s="1172"/>
      <c r="I55" s="644"/>
      <c r="J55" s="476">
        <f>IF(H55=0,0,I55/H55)</f>
        <v>0</v>
      </c>
      <c r="L55" s="1172"/>
      <c r="M55" s="1352"/>
      <c r="O55" s="242"/>
      <c r="P55" s="233"/>
      <c r="Q55" s="106"/>
      <c r="R55" s="476">
        <f t="shared" si="15"/>
        <v>0</v>
      </c>
      <c r="T55" s="242"/>
      <c r="U55" s="106"/>
      <c r="V55" s="163"/>
      <c r="X55" s="242"/>
      <c r="Y55" s="233"/>
      <c r="Z55" s="106"/>
      <c r="AA55" s="476">
        <f t="shared" si="16"/>
        <v>0</v>
      </c>
      <c r="AC55" s="242"/>
      <c r="AD55" s="106"/>
      <c r="AE55" s="163"/>
      <c r="AF55" s="476">
        <f t="shared" si="17"/>
        <v>0</v>
      </c>
      <c r="AH55" s="242"/>
      <c r="AI55" s="106"/>
      <c r="AJ55" s="163"/>
      <c r="AK55" s="476">
        <f t="shared" si="18"/>
        <v>0</v>
      </c>
      <c r="AM55" s="242"/>
      <c r="AN55" s="233"/>
      <c r="AO55" s="106"/>
      <c r="AP55" s="476">
        <f t="shared" si="19"/>
        <v>0</v>
      </c>
      <c r="AR55" s="242"/>
      <c r="AS55" s="106"/>
      <c r="AT55" s="276"/>
      <c r="AU55" s="476">
        <f t="shared" si="20"/>
        <v>0</v>
      </c>
      <c r="AW55" s="242"/>
      <c r="AX55" s="233"/>
      <c r="AY55" s="106"/>
      <c r="AZ55" s="476">
        <f t="shared" si="21"/>
        <v>0</v>
      </c>
      <c r="BB55" s="242"/>
      <c r="BC55" s="106"/>
      <c r="BD55" s="276"/>
      <c r="BE55" s="7765"/>
      <c r="BF55" s="26"/>
    </row>
    <row r="56" spans="1:58" x14ac:dyDescent="0.35">
      <c r="A56" s="8317"/>
      <c r="B56" s="240"/>
      <c r="C56" s="240" t="s">
        <v>536</v>
      </c>
      <c r="D56" s="197"/>
      <c r="F56" s="77"/>
      <c r="H56" s="1172"/>
      <c r="I56" s="644"/>
      <c r="J56" s="476">
        <f>IF(H56=0,0,I56/H56)</f>
        <v>0</v>
      </c>
      <c r="L56" s="1172"/>
      <c r="M56" s="1352"/>
      <c r="O56" s="242"/>
      <c r="P56" s="201"/>
      <c r="Q56" s="106"/>
      <c r="R56" s="476">
        <f t="shared" si="15"/>
        <v>0</v>
      </c>
      <c r="T56" s="242"/>
      <c r="U56" s="106"/>
      <c r="V56" s="163"/>
      <c r="X56" s="242"/>
      <c r="Y56" s="201"/>
      <c r="Z56" s="106"/>
      <c r="AA56" s="476">
        <f t="shared" si="16"/>
        <v>0</v>
      </c>
      <c r="AC56" s="242"/>
      <c r="AD56" s="106"/>
      <c r="AE56" s="163"/>
      <c r="AF56" s="476">
        <f t="shared" si="17"/>
        <v>0</v>
      </c>
      <c r="AH56" s="242"/>
      <c r="AI56" s="106"/>
      <c r="AJ56" s="163"/>
      <c r="AK56" s="476">
        <f t="shared" si="18"/>
        <v>0</v>
      </c>
      <c r="AM56" s="242"/>
      <c r="AN56" s="201"/>
      <c r="AO56" s="106"/>
      <c r="AP56" s="476">
        <f t="shared" si="19"/>
        <v>0</v>
      </c>
      <c r="AR56" s="242"/>
      <c r="AS56" s="106"/>
      <c r="AT56" s="276"/>
      <c r="AU56" s="476">
        <f t="shared" si="20"/>
        <v>0</v>
      </c>
      <c r="AW56" s="242"/>
      <c r="AX56" s="201"/>
      <c r="AY56" s="106"/>
      <c r="AZ56" s="476">
        <f t="shared" si="21"/>
        <v>0</v>
      </c>
      <c r="BB56" s="242"/>
      <c r="BC56" s="106"/>
      <c r="BD56" s="276"/>
      <c r="BE56" s="7765"/>
      <c r="BF56" s="26"/>
    </row>
    <row r="57" spans="1:58" x14ac:dyDescent="0.35">
      <c r="A57" s="8317"/>
      <c r="B57" s="240"/>
      <c r="C57" s="240" t="s">
        <v>537</v>
      </c>
      <c r="D57" s="197"/>
      <c r="F57" s="77"/>
      <c r="H57" s="1172"/>
      <c r="I57" s="644"/>
      <c r="J57" s="476">
        <f>IF(H57=0,0,I57/H57)</f>
        <v>0</v>
      </c>
      <c r="L57" s="1172"/>
      <c r="M57" s="1352"/>
      <c r="N57" s="143"/>
      <c r="O57" s="242"/>
      <c r="P57" s="233"/>
      <c r="Q57" s="106"/>
      <c r="R57" s="476">
        <f t="shared" si="15"/>
        <v>0</v>
      </c>
      <c r="T57" s="242"/>
      <c r="U57" s="106"/>
      <c r="V57" s="163"/>
      <c r="W57" s="143"/>
      <c r="X57" s="242"/>
      <c r="Y57" s="233"/>
      <c r="Z57" s="106"/>
      <c r="AA57" s="476">
        <f t="shared" si="16"/>
        <v>0</v>
      </c>
      <c r="AC57" s="242"/>
      <c r="AD57" s="106"/>
      <c r="AE57" s="163"/>
      <c r="AF57" s="476">
        <f t="shared" si="17"/>
        <v>0</v>
      </c>
      <c r="AG57" s="143"/>
      <c r="AH57" s="242"/>
      <c r="AI57" s="106"/>
      <c r="AJ57" s="163"/>
      <c r="AK57" s="476">
        <f t="shared" si="18"/>
        <v>0</v>
      </c>
      <c r="AL57" s="143"/>
      <c r="AM57" s="242"/>
      <c r="AN57" s="233"/>
      <c r="AO57" s="106"/>
      <c r="AP57" s="476">
        <f t="shared" si="19"/>
        <v>0</v>
      </c>
      <c r="AR57" s="242"/>
      <c r="AS57" s="106"/>
      <c r="AT57" s="276"/>
      <c r="AU57" s="476">
        <f t="shared" si="20"/>
        <v>0</v>
      </c>
      <c r="AV57" s="143"/>
      <c r="AW57" s="242"/>
      <c r="AX57" s="233"/>
      <c r="AY57" s="106"/>
      <c r="AZ57" s="476">
        <f t="shared" si="21"/>
        <v>0</v>
      </c>
      <c r="BB57" s="242"/>
      <c r="BC57" s="106"/>
      <c r="BD57" s="276"/>
      <c r="BE57" s="7765"/>
      <c r="BF57" s="26"/>
    </row>
    <row r="58" spans="1:58" x14ac:dyDescent="0.35">
      <c r="A58" s="8317"/>
      <c r="B58" s="240"/>
      <c r="C58" s="240" t="s">
        <v>538</v>
      </c>
      <c r="D58" s="197"/>
      <c r="F58" s="77"/>
      <c r="H58" s="1172"/>
      <c r="I58" s="644"/>
      <c r="J58" s="476"/>
      <c r="L58" s="1172"/>
      <c r="M58" s="1352"/>
      <c r="O58" s="242"/>
      <c r="P58" s="201"/>
      <c r="Q58" s="106"/>
      <c r="R58" s="476">
        <f t="shared" si="15"/>
        <v>0</v>
      </c>
      <c r="T58" s="242"/>
      <c r="U58" s="106"/>
      <c r="V58" s="163"/>
      <c r="X58" s="242"/>
      <c r="Y58" s="201"/>
      <c r="Z58" s="106"/>
      <c r="AA58" s="476">
        <f t="shared" si="16"/>
        <v>0</v>
      </c>
      <c r="AC58" s="242"/>
      <c r="AD58" s="106"/>
      <c r="AE58" s="163"/>
      <c r="AF58" s="476">
        <f t="shared" si="17"/>
        <v>0</v>
      </c>
      <c r="AH58" s="242"/>
      <c r="AI58" s="106"/>
      <c r="AJ58" s="163"/>
      <c r="AK58" s="476">
        <f t="shared" si="18"/>
        <v>0</v>
      </c>
      <c r="AM58" s="242"/>
      <c r="AN58" s="201"/>
      <c r="AO58" s="106"/>
      <c r="AP58" s="476">
        <f t="shared" si="19"/>
        <v>0</v>
      </c>
      <c r="AR58" s="242"/>
      <c r="AS58" s="106"/>
      <c r="AT58" s="276"/>
      <c r="AU58" s="476">
        <f t="shared" si="20"/>
        <v>0</v>
      </c>
      <c r="AW58" s="242"/>
      <c r="AX58" s="201"/>
      <c r="AY58" s="106"/>
      <c r="AZ58" s="476">
        <f t="shared" si="21"/>
        <v>0</v>
      </c>
      <c r="BB58" s="242"/>
      <c r="BC58" s="106"/>
      <c r="BD58" s="276"/>
      <c r="BE58" s="7765"/>
      <c r="BF58" s="26"/>
    </row>
    <row r="59" spans="1:58" x14ac:dyDescent="0.35">
      <c r="A59" s="8317"/>
      <c r="B59" s="240"/>
      <c r="C59" s="240" t="s">
        <v>539</v>
      </c>
      <c r="D59" s="197"/>
      <c r="F59" s="77"/>
      <c r="H59" s="1172"/>
      <c r="I59" s="644"/>
      <c r="J59" s="476">
        <f>IF(H59=0,0,I59/H59)</f>
        <v>0</v>
      </c>
      <c r="L59" s="1172"/>
      <c r="M59" s="1352"/>
      <c r="O59" s="242"/>
      <c r="P59" s="201"/>
      <c r="Q59" s="106"/>
      <c r="R59" s="476">
        <f t="shared" si="15"/>
        <v>0</v>
      </c>
      <c r="T59" s="242"/>
      <c r="U59" s="106"/>
      <c r="V59" s="163"/>
      <c r="X59" s="242"/>
      <c r="Y59" s="201"/>
      <c r="Z59" s="106"/>
      <c r="AA59" s="476">
        <f t="shared" si="16"/>
        <v>0</v>
      </c>
      <c r="AC59" s="242"/>
      <c r="AD59" s="106"/>
      <c r="AE59" s="163"/>
      <c r="AF59" s="476">
        <f t="shared" si="17"/>
        <v>0</v>
      </c>
      <c r="AH59" s="242"/>
      <c r="AI59" s="106"/>
      <c r="AJ59" s="163"/>
      <c r="AK59" s="476">
        <f t="shared" si="18"/>
        <v>0</v>
      </c>
      <c r="AM59" s="242"/>
      <c r="AN59" s="201"/>
      <c r="AO59" s="106"/>
      <c r="AP59" s="476">
        <f t="shared" si="19"/>
        <v>0</v>
      </c>
      <c r="AR59" s="242"/>
      <c r="AS59" s="106"/>
      <c r="AT59" s="276"/>
      <c r="AU59" s="476">
        <f t="shared" si="20"/>
        <v>0</v>
      </c>
      <c r="AW59" s="242"/>
      <c r="AX59" s="201"/>
      <c r="AY59" s="106"/>
      <c r="AZ59" s="476">
        <f t="shared" si="21"/>
        <v>0</v>
      </c>
      <c r="BB59" s="242"/>
      <c r="BC59" s="106"/>
      <c r="BD59" s="276"/>
      <c r="BE59" s="7765"/>
      <c r="BF59" s="26"/>
    </row>
    <row r="60" spans="1:58" ht="15.25" customHeight="1" x14ac:dyDescent="0.35">
      <c r="A60" s="8317"/>
      <c r="B60" s="250"/>
      <c r="C60" s="250" t="s">
        <v>704</v>
      </c>
      <c r="D60" s="209"/>
      <c r="F60" s="88"/>
      <c r="H60" s="1172"/>
      <c r="I60" s="644"/>
      <c r="J60" s="476">
        <f>IF(H60=0,0,I60/H60)</f>
        <v>0</v>
      </c>
      <c r="L60" s="1172"/>
      <c r="M60" s="1352"/>
      <c r="N60" s="143"/>
      <c r="O60" s="242"/>
      <c r="P60" s="201"/>
      <c r="Q60" s="216"/>
      <c r="R60" s="476">
        <f t="shared" si="15"/>
        <v>0</v>
      </c>
      <c r="T60" s="242"/>
      <c r="U60" s="216"/>
      <c r="V60" s="163"/>
      <c r="W60" s="143"/>
      <c r="X60" s="242"/>
      <c r="Y60" s="201"/>
      <c r="Z60" s="216"/>
      <c r="AA60" s="476">
        <f t="shared" si="16"/>
        <v>0</v>
      </c>
      <c r="AC60" s="242"/>
      <c r="AD60" s="216"/>
      <c r="AE60" s="163"/>
      <c r="AF60" s="476">
        <f t="shared" si="17"/>
        <v>0</v>
      </c>
      <c r="AG60" s="143"/>
      <c r="AH60" s="242"/>
      <c r="AI60" s="216"/>
      <c r="AJ60" s="163"/>
      <c r="AK60" s="476">
        <f t="shared" si="18"/>
        <v>0</v>
      </c>
      <c r="AL60" s="143"/>
      <c r="AM60" s="242"/>
      <c r="AN60" s="201"/>
      <c r="AO60" s="216"/>
      <c r="AP60" s="476">
        <f t="shared" si="19"/>
        <v>0</v>
      </c>
      <c r="AR60" s="242"/>
      <c r="AS60" s="216"/>
      <c r="AT60" s="276"/>
      <c r="AU60" s="476">
        <f t="shared" si="20"/>
        <v>0</v>
      </c>
      <c r="AV60" s="143"/>
      <c r="AW60" s="242"/>
      <c r="AX60" s="201"/>
      <c r="AY60" s="216"/>
      <c r="AZ60" s="476">
        <f t="shared" si="21"/>
        <v>0</v>
      </c>
      <c r="BB60" s="242"/>
      <c r="BC60" s="216"/>
      <c r="BD60" s="276"/>
      <c r="BE60" s="7765"/>
      <c r="BF60" s="24"/>
    </row>
    <row r="61" spans="1:58" x14ac:dyDescent="0.35">
      <c r="A61" s="8317"/>
      <c r="B61" s="271" t="s">
        <v>1658</v>
      </c>
      <c r="C61" s="271"/>
      <c r="D61" s="184"/>
      <c r="E61" s="143"/>
      <c r="F61" s="227"/>
      <c r="G61" s="143"/>
      <c r="H61" s="1375"/>
      <c r="I61" s="653"/>
      <c r="J61" s="228"/>
      <c r="K61" s="143"/>
      <c r="L61" s="1375"/>
      <c r="M61" s="1317"/>
      <c r="O61" s="102"/>
      <c r="P61" s="103"/>
      <c r="Q61" s="106"/>
      <c r="R61" s="228"/>
      <c r="S61" s="143"/>
      <c r="T61" s="102"/>
      <c r="U61" s="106"/>
      <c r="V61" s="227"/>
      <c r="X61" s="102"/>
      <c r="Y61" s="103"/>
      <c r="Z61" s="106"/>
      <c r="AA61" s="228"/>
      <c r="AB61" s="143"/>
      <c r="AC61" s="102"/>
      <c r="AD61" s="106"/>
      <c r="AE61" s="227"/>
      <c r="AF61" s="228"/>
      <c r="AH61" s="102"/>
      <c r="AI61" s="106"/>
      <c r="AJ61" s="227"/>
      <c r="AK61" s="228"/>
      <c r="AM61" s="102"/>
      <c r="AN61" s="103"/>
      <c r="AO61" s="106"/>
      <c r="AP61" s="228"/>
      <c r="AQ61" s="143"/>
      <c r="AR61" s="102"/>
      <c r="AS61" s="106"/>
      <c r="AT61" s="105"/>
      <c r="AU61" s="228"/>
      <c r="AW61" s="102"/>
      <c r="AX61" s="103"/>
      <c r="AY61" s="106"/>
      <c r="AZ61" s="228"/>
      <c r="BA61" s="143"/>
      <c r="BB61" s="102"/>
      <c r="BC61" s="106"/>
      <c r="BD61" s="105"/>
      <c r="BE61" s="246"/>
      <c r="BF61" s="18"/>
    </row>
    <row r="62" spans="1:58" x14ac:dyDescent="0.35">
      <c r="A62" s="8317"/>
      <c r="B62" s="272"/>
      <c r="C62" s="272" t="s">
        <v>553</v>
      </c>
      <c r="D62" s="197"/>
      <c r="F62" s="61"/>
      <c r="H62" s="595"/>
      <c r="I62" s="594"/>
      <c r="J62" s="476">
        <f>IF(H62=0,0,I62/H62)</f>
        <v>0</v>
      </c>
      <c r="L62" s="595"/>
      <c r="M62" s="1352"/>
      <c r="O62" s="117"/>
      <c r="P62" s="201"/>
      <c r="Q62" s="106"/>
      <c r="R62" s="476">
        <f>IF(O62=0,0,P62/O62)</f>
        <v>0</v>
      </c>
      <c r="T62" s="117"/>
      <c r="U62" s="106"/>
      <c r="V62" s="155"/>
      <c r="X62" s="117"/>
      <c r="Y62" s="201"/>
      <c r="Z62" s="106"/>
      <c r="AA62" s="476">
        <f>IF(X62=0,0,Y62/X62)</f>
        <v>0</v>
      </c>
      <c r="AC62" s="117"/>
      <c r="AD62" s="106"/>
      <c r="AE62" s="155"/>
      <c r="AF62" s="476">
        <f>IF(AC62=0,0,AD62/AC62)</f>
        <v>0</v>
      </c>
      <c r="AH62" s="117"/>
      <c r="AI62" s="106"/>
      <c r="AJ62" s="155"/>
      <c r="AK62" s="476">
        <f>IF(AH62=0,0,AI62/AH62)</f>
        <v>0</v>
      </c>
      <c r="AM62" s="117"/>
      <c r="AN62" s="201"/>
      <c r="AO62" s="106"/>
      <c r="AP62" s="476">
        <f>IF(AM62=0,0,AN62/AM62)</f>
        <v>0</v>
      </c>
      <c r="AR62" s="117"/>
      <c r="AS62" s="106"/>
      <c r="AT62" s="273"/>
      <c r="AU62" s="476">
        <f>IF(AR62=0,0,AS62/AR62)</f>
        <v>0</v>
      </c>
      <c r="AW62" s="117"/>
      <c r="AX62" s="201"/>
      <c r="AY62" s="106"/>
      <c r="AZ62" s="476">
        <f>IF(AW62=0,0,AX62/AW62)</f>
        <v>0</v>
      </c>
      <c r="BB62" s="117"/>
      <c r="BC62" s="106"/>
      <c r="BD62" s="273"/>
      <c r="BE62" s="7765"/>
      <c r="BF62" s="26"/>
    </row>
    <row r="63" spans="1:58" x14ac:dyDescent="0.35">
      <c r="A63" s="8317"/>
      <c r="B63" s="274"/>
      <c r="C63" s="272" t="s">
        <v>554</v>
      </c>
      <c r="D63" s="197"/>
      <c r="F63" s="77"/>
      <c r="H63" s="1172"/>
      <c r="I63" s="644"/>
      <c r="J63" s="476">
        <f>IF(H63=0,0,I63/H63)</f>
        <v>0</v>
      </c>
      <c r="L63" s="1172"/>
      <c r="M63" s="1352"/>
      <c r="O63" s="242"/>
      <c r="P63" s="201"/>
      <c r="Q63" s="106"/>
      <c r="R63" s="476">
        <f>IF(O63=0,0,P63/O63)</f>
        <v>0</v>
      </c>
      <c r="T63" s="242"/>
      <c r="U63" s="106"/>
      <c r="V63" s="163"/>
      <c r="X63" s="242"/>
      <c r="Y63" s="201"/>
      <c r="Z63" s="106"/>
      <c r="AA63" s="476">
        <f>IF(X63=0,0,Y63/X63)</f>
        <v>0</v>
      </c>
      <c r="AC63" s="242"/>
      <c r="AD63" s="106"/>
      <c r="AE63" s="163"/>
      <c r="AF63" s="476">
        <f>IF(AC63=0,0,AD63/AC63)</f>
        <v>0</v>
      </c>
      <c r="AH63" s="242"/>
      <c r="AI63" s="106"/>
      <c r="AJ63" s="163"/>
      <c r="AK63" s="476">
        <f>IF(AH63=0,0,AI63/AH63)</f>
        <v>0</v>
      </c>
      <c r="AM63" s="242"/>
      <c r="AN63" s="201"/>
      <c r="AO63" s="106"/>
      <c r="AP63" s="476">
        <f>IF(AM63=0,0,AN63/AM63)</f>
        <v>0</v>
      </c>
      <c r="AR63" s="242"/>
      <c r="AS63" s="106"/>
      <c r="AT63" s="276"/>
      <c r="AU63" s="476">
        <f>IF(AR63=0,0,AS63/AR63)</f>
        <v>0</v>
      </c>
      <c r="AW63" s="242"/>
      <c r="AX63" s="201"/>
      <c r="AY63" s="106"/>
      <c r="AZ63" s="476">
        <f>IF(AW63=0,0,AX63/AW63)</f>
        <v>0</v>
      </c>
      <c r="BB63" s="242"/>
      <c r="BC63" s="106"/>
      <c r="BD63" s="276"/>
      <c r="BE63" s="7765"/>
      <c r="BF63" s="26"/>
    </row>
    <row r="64" spans="1:58" x14ac:dyDescent="0.35">
      <c r="A64" s="8317"/>
      <c r="B64" s="277"/>
      <c r="C64" s="277" t="s">
        <v>555</v>
      </c>
      <c r="D64" s="209"/>
      <c r="F64" s="4679"/>
      <c r="G64" s="666"/>
      <c r="H64" s="1381"/>
      <c r="I64" s="5401"/>
      <c r="J64" s="476">
        <f>IF(H64=0,0,I64/H64)</f>
        <v>0</v>
      </c>
      <c r="L64" s="1381"/>
      <c r="M64" s="1382"/>
      <c r="O64" s="283"/>
      <c r="P64" s="201"/>
      <c r="Q64" s="3329"/>
      <c r="R64" s="476">
        <f>IF(O64=0,0,P64/O64)</f>
        <v>0</v>
      </c>
      <c r="T64" s="283"/>
      <c r="U64" s="3329"/>
      <c r="V64" s="665"/>
      <c r="X64" s="283"/>
      <c r="Y64" s="201"/>
      <c r="Z64" s="3329"/>
      <c r="AA64" s="476">
        <f>IF(X64=0,0,Y64/X64)</f>
        <v>0</v>
      </c>
      <c r="AC64" s="283"/>
      <c r="AD64" s="3329"/>
      <c r="AE64" s="665"/>
      <c r="AF64" s="476">
        <f>IF(AC64=0,0,AD64/AC64)</f>
        <v>0</v>
      </c>
      <c r="AH64" s="283"/>
      <c r="AI64" s="3329"/>
      <c r="AJ64" s="665"/>
      <c r="AK64" s="476">
        <f>IF(AH64=0,0,AI64/AH64)</f>
        <v>0</v>
      </c>
      <c r="AM64" s="283"/>
      <c r="AN64" s="201"/>
      <c r="AO64" s="3329"/>
      <c r="AP64" s="476">
        <f>IF(AM64=0,0,AN64/AM64)</f>
        <v>0</v>
      </c>
      <c r="AR64" s="283"/>
      <c r="AS64" s="3329"/>
      <c r="AT64" s="285"/>
      <c r="AU64" s="476">
        <f>IF(AR64=0,0,AS64/AR64)</f>
        <v>0</v>
      </c>
      <c r="AW64" s="283"/>
      <c r="AX64" s="201"/>
      <c r="AY64" s="3329"/>
      <c r="AZ64" s="476">
        <f>IF(AW64=0,0,AX64/AW64)</f>
        <v>0</v>
      </c>
      <c r="BB64" s="283"/>
      <c r="BC64" s="3329"/>
      <c r="BD64" s="285"/>
      <c r="BE64" s="7765"/>
      <c r="BF64" s="24"/>
    </row>
    <row r="65" spans="1:58" x14ac:dyDescent="0.35">
      <c r="A65" s="8317"/>
      <c r="B65" s="3806" t="s">
        <v>556</v>
      </c>
      <c r="C65" s="3807"/>
      <c r="D65" s="184"/>
      <c r="E65" s="143"/>
      <c r="F65" s="3808"/>
      <c r="G65" s="290"/>
      <c r="H65" s="5402"/>
      <c r="I65" s="5403"/>
      <c r="J65" s="293"/>
      <c r="L65" s="5402"/>
      <c r="M65" s="1317"/>
      <c r="O65" s="3809"/>
      <c r="P65" s="3810"/>
      <c r="Q65" s="106"/>
      <c r="R65" s="293"/>
      <c r="T65" s="3809"/>
      <c r="U65" s="106"/>
      <c r="V65" s="3808"/>
      <c r="X65" s="3809"/>
      <c r="Y65" s="3810"/>
      <c r="Z65" s="106"/>
      <c r="AA65" s="293"/>
      <c r="AC65" s="3809"/>
      <c r="AD65" s="106"/>
      <c r="AE65" s="3808"/>
      <c r="AF65" s="293"/>
      <c r="AH65" s="3809"/>
      <c r="AI65" s="106"/>
      <c r="AJ65" s="3808"/>
      <c r="AK65" s="293"/>
      <c r="AM65" s="3809"/>
      <c r="AN65" s="3810"/>
      <c r="AO65" s="106"/>
      <c r="AP65" s="293"/>
      <c r="AR65" s="3809"/>
      <c r="AS65" s="106"/>
      <c r="AT65" s="3811"/>
      <c r="AU65" s="293"/>
      <c r="AW65" s="3809"/>
      <c r="AX65" s="3810"/>
      <c r="AY65" s="106"/>
      <c r="AZ65" s="293"/>
      <c r="BB65" s="3809"/>
      <c r="BC65" s="106"/>
      <c r="BD65" s="3811"/>
      <c r="BE65" s="246"/>
      <c r="BF65" s="18"/>
    </row>
    <row r="66" spans="1:58" x14ac:dyDescent="0.35">
      <c r="A66" s="8317"/>
      <c r="B66" s="1395"/>
      <c r="C66" s="1396" t="s">
        <v>532</v>
      </c>
      <c r="D66" s="197"/>
      <c r="F66" s="1397"/>
      <c r="G66" s="272"/>
      <c r="H66" s="1400"/>
      <c r="I66" s="5404"/>
      <c r="J66" s="523">
        <f>IF(H66=0,0,I66/H66)</f>
        <v>0</v>
      </c>
      <c r="L66" s="1400"/>
      <c r="M66" s="1352">
        <f>L66*J66</f>
        <v>0</v>
      </c>
      <c r="N66" s="141"/>
      <c r="O66" s="1398"/>
      <c r="P66" s="5405"/>
      <c r="Q66" s="332"/>
      <c r="R66" s="523">
        <f>IF(O66=0,0,P66/O66)</f>
        <v>0</v>
      </c>
      <c r="T66" s="1398"/>
      <c r="U66" s="332"/>
      <c r="V66" s="1397"/>
      <c r="W66" s="141"/>
      <c r="X66" s="1398"/>
      <c r="Y66" s="5405"/>
      <c r="Z66" s="332"/>
      <c r="AA66" s="523">
        <f>IF(X66=0,0,Y66/X66)</f>
        <v>0</v>
      </c>
      <c r="AC66" s="1398"/>
      <c r="AD66" s="332"/>
      <c r="AE66" s="1397"/>
      <c r="AF66" s="523">
        <f>IF(AC66=0,0,AD66/AC66)</f>
        <v>0</v>
      </c>
      <c r="AG66" s="141"/>
      <c r="AH66" s="1398"/>
      <c r="AI66" s="332"/>
      <c r="AJ66" s="1397"/>
      <c r="AK66" s="523">
        <f>IF(AH66=0,0,AI66/AH66)</f>
        <v>0</v>
      </c>
      <c r="AL66" s="141"/>
      <c r="AM66" s="1398"/>
      <c r="AN66" s="5405"/>
      <c r="AO66" s="332"/>
      <c r="AP66" s="523">
        <f>IF(AM66=0,0,AN66/AM66)</f>
        <v>0</v>
      </c>
      <c r="AR66" s="1398"/>
      <c r="AS66" s="332"/>
      <c r="AT66" s="6295"/>
      <c r="AU66" s="523">
        <f>IF(AR66=0,0,AS66/AR66)</f>
        <v>0</v>
      </c>
      <c r="AV66" s="141"/>
      <c r="AW66" s="1398"/>
      <c r="AX66" s="5405"/>
      <c r="AY66" s="332"/>
      <c r="AZ66" s="523">
        <f>IF(AW66=0,0,AX66/AW66)</f>
        <v>0</v>
      </c>
      <c r="BB66" s="1398"/>
      <c r="BC66" s="332"/>
      <c r="BD66" s="6295"/>
      <c r="BE66" s="7765"/>
      <c r="BF66" s="26"/>
    </row>
    <row r="67" spans="1:58" x14ac:dyDescent="0.35">
      <c r="A67" s="8317"/>
      <c r="B67" s="1395"/>
      <c r="C67" s="1396" t="s">
        <v>533</v>
      </c>
      <c r="D67" s="197"/>
      <c r="F67" s="1408"/>
      <c r="G67" s="272"/>
      <c r="H67" s="1272"/>
      <c r="I67" s="1273"/>
      <c r="J67" s="523">
        <f>IF(H67=0,0,I67/H67)</f>
        <v>0</v>
      </c>
      <c r="L67" s="1272"/>
      <c r="M67" s="1352">
        <f>L67*J67</f>
        <v>0</v>
      </c>
      <c r="O67" s="1409"/>
      <c r="P67" s="5406"/>
      <c r="Q67" s="106"/>
      <c r="R67" s="523">
        <f>IF(O67=0,0,P67/O67)</f>
        <v>0</v>
      </c>
      <c r="T67" s="1409"/>
      <c r="U67" s="106"/>
      <c r="V67" s="1408"/>
      <c r="X67" s="1409"/>
      <c r="Y67" s="5406"/>
      <c r="Z67" s="106"/>
      <c r="AA67" s="523">
        <f>IF(X67=0,0,Y67/X67)</f>
        <v>0</v>
      </c>
      <c r="AC67" s="1409"/>
      <c r="AD67" s="106"/>
      <c r="AE67" s="1408"/>
      <c r="AF67" s="523">
        <f>IF(AC67=0,0,AD67/AC67)</f>
        <v>0</v>
      </c>
      <c r="AH67" s="1409"/>
      <c r="AI67" s="106"/>
      <c r="AJ67" s="1408"/>
      <c r="AK67" s="523">
        <f>IF(AH67=0,0,AI67/AH67)</f>
        <v>0</v>
      </c>
      <c r="AM67" s="1409"/>
      <c r="AN67" s="5406"/>
      <c r="AO67" s="106"/>
      <c r="AP67" s="523">
        <f>IF(AM67=0,0,AN67/AM67)</f>
        <v>0</v>
      </c>
      <c r="AR67" s="1409"/>
      <c r="AS67" s="106"/>
      <c r="AT67" s="6296"/>
      <c r="AU67" s="523">
        <f>IF(AR67=0,0,AS67/AR67)</f>
        <v>0</v>
      </c>
      <c r="AW67" s="1409"/>
      <c r="AX67" s="5406"/>
      <c r="AY67" s="106"/>
      <c r="AZ67" s="523">
        <f>IF(AW67=0,0,AX67/AW67)</f>
        <v>0</v>
      </c>
      <c r="BB67" s="1409"/>
      <c r="BC67" s="106"/>
      <c r="BD67" s="6296"/>
      <c r="BE67" s="7765"/>
      <c r="BF67" s="26"/>
    </row>
    <row r="68" spans="1:58" x14ac:dyDescent="0.35">
      <c r="A68" s="8317"/>
      <c r="B68" s="1414"/>
      <c r="C68" s="1396" t="s">
        <v>534</v>
      </c>
      <c r="D68" s="197"/>
      <c r="F68" s="1408"/>
      <c r="G68" s="272"/>
      <c r="H68" s="1272"/>
      <c r="I68" s="1273"/>
      <c r="J68" s="523">
        <f>IF(H68=0,0,I68/H68)</f>
        <v>0</v>
      </c>
      <c r="L68" s="1272"/>
      <c r="M68" s="1352">
        <f>L68*J68</f>
        <v>0</v>
      </c>
      <c r="O68" s="1409"/>
      <c r="P68" s="5406"/>
      <c r="Q68" s="106"/>
      <c r="R68" s="523">
        <f>IF(O68=0,0,P68/O68)</f>
        <v>0</v>
      </c>
      <c r="T68" s="1409"/>
      <c r="U68" s="106"/>
      <c r="V68" s="1408"/>
      <c r="X68" s="1409"/>
      <c r="Y68" s="5406"/>
      <c r="Z68" s="106"/>
      <c r="AA68" s="523">
        <f>IF(X68=0,0,Y68/X68)</f>
        <v>0</v>
      </c>
      <c r="AC68" s="1409"/>
      <c r="AD68" s="106"/>
      <c r="AE68" s="1408"/>
      <c r="AF68" s="523">
        <f>IF(AC68=0,0,AD68/AC68)</f>
        <v>0</v>
      </c>
      <c r="AH68" s="1409"/>
      <c r="AI68" s="106"/>
      <c r="AJ68" s="1408"/>
      <c r="AK68" s="523">
        <f>IF(AH68=0,0,AI68/AH68)</f>
        <v>0</v>
      </c>
      <c r="AM68" s="1409"/>
      <c r="AN68" s="5406"/>
      <c r="AO68" s="106"/>
      <c r="AP68" s="523">
        <f>IF(AM68=0,0,AN68/AM68)</f>
        <v>0</v>
      </c>
      <c r="AR68" s="1409"/>
      <c r="AS68" s="106"/>
      <c r="AT68" s="6296"/>
      <c r="AU68" s="523">
        <f>IF(AR68=0,0,AS68/AR68)</f>
        <v>0</v>
      </c>
      <c r="AW68" s="1409"/>
      <c r="AX68" s="5406"/>
      <c r="AY68" s="106"/>
      <c r="AZ68" s="523">
        <f>IF(AW68=0,0,AX68/AW68)</f>
        <v>0</v>
      </c>
      <c r="BB68" s="1409"/>
      <c r="BC68" s="106"/>
      <c r="BD68" s="6296"/>
      <c r="BE68" s="7765"/>
      <c r="BF68" s="26"/>
    </row>
    <row r="69" spans="1:58" x14ac:dyDescent="0.35">
      <c r="A69" s="8318"/>
      <c r="B69" s="1415"/>
      <c r="C69" s="1416" t="s">
        <v>536</v>
      </c>
      <c r="D69" s="209"/>
      <c r="F69" s="1417"/>
      <c r="G69" s="274"/>
      <c r="H69" s="1291"/>
      <c r="I69" s="1292"/>
      <c r="J69" s="527">
        <f>IF(H69=0,0,I69/H69)</f>
        <v>0</v>
      </c>
      <c r="L69" s="1291"/>
      <c r="M69" s="1364">
        <f>L69*J69</f>
        <v>0</v>
      </c>
      <c r="O69" s="1418"/>
      <c r="P69" s="5407"/>
      <c r="Q69" s="216"/>
      <c r="R69" s="527">
        <f>IF(O69=0,0,P69/O69)</f>
        <v>0</v>
      </c>
      <c r="T69" s="1418"/>
      <c r="U69" s="216"/>
      <c r="V69" s="1417"/>
      <c r="X69" s="1418"/>
      <c r="Y69" s="5407"/>
      <c r="Z69" s="216"/>
      <c r="AA69" s="527">
        <f>IF(X69=0,0,Y69/X69)</f>
        <v>0</v>
      </c>
      <c r="AC69" s="1418"/>
      <c r="AD69" s="216"/>
      <c r="AE69" s="1417"/>
      <c r="AF69" s="527">
        <f>IF(AC69=0,0,AD69/AC69)</f>
        <v>0</v>
      </c>
      <c r="AH69" s="1418"/>
      <c r="AI69" s="216"/>
      <c r="AJ69" s="1417"/>
      <c r="AK69" s="527">
        <f>IF(AH69=0,0,AI69/AH69)</f>
        <v>0</v>
      </c>
      <c r="AM69" s="1418"/>
      <c r="AN69" s="5407"/>
      <c r="AO69" s="216"/>
      <c r="AP69" s="527">
        <f>IF(AM69=0,0,AN69/AM69)</f>
        <v>0</v>
      </c>
      <c r="AR69" s="1418"/>
      <c r="AS69" s="216"/>
      <c r="AT69" s="6297"/>
      <c r="AU69" s="527">
        <f>IF(AR69=0,0,AS69/AR69)</f>
        <v>0</v>
      </c>
      <c r="AW69" s="1418"/>
      <c r="AX69" s="5407"/>
      <c r="AY69" s="216"/>
      <c r="AZ69" s="527">
        <f>IF(AW69=0,0,AX69/AW69)</f>
        <v>0</v>
      </c>
      <c r="BB69" s="1418"/>
      <c r="BC69" s="216"/>
      <c r="BD69" s="6297"/>
      <c r="BE69" s="7765"/>
      <c r="BF69" s="24"/>
    </row>
    <row r="70" spans="1:58" x14ac:dyDescent="0.35">
      <c r="A70" s="310"/>
      <c r="B70" s="310"/>
      <c r="F70" s="106"/>
      <c r="H70" s="645"/>
      <c r="I70" s="645"/>
      <c r="J70" s="558"/>
      <c r="L70" s="645"/>
      <c r="M70" s="1423"/>
      <c r="O70" s="106"/>
      <c r="P70" s="106"/>
      <c r="Q70" s="106"/>
      <c r="R70" s="558"/>
      <c r="T70" s="106"/>
      <c r="U70" s="106"/>
      <c r="V70" s="312"/>
      <c r="X70" s="106"/>
      <c r="Y70" s="106"/>
      <c r="Z70" s="106"/>
      <c r="AA70" s="558"/>
      <c r="AC70" s="106"/>
      <c r="AD70" s="106"/>
      <c r="AE70" s="312"/>
      <c r="AF70" s="558"/>
      <c r="AH70" s="106"/>
      <c r="AI70" s="106"/>
      <c r="AJ70" s="312"/>
      <c r="AK70" s="558"/>
      <c r="AM70" s="106"/>
      <c r="AN70" s="106"/>
      <c r="AO70" s="106"/>
      <c r="AP70" s="558"/>
      <c r="AR70" s="106"/>
      <c r="AS70" s="106"/>
      <c r="AT70" s="312"/>
      <c r="AU70" s="558"/>
      <c r="AW70" s="106"/>
      <c r="AX70" s="106"/>
      <c r="AY70" s="106"/>
      <c r="AZ70" s="558"/>
      <c r="BB70" s="106"/>
      <c r="BC70" s="106"/>
      <c r="BD70" s="312"/>
      <c r="BE70" s="7818"/>
    </row>
    <row r="71" spans="1:58" ht="14.5" customHeight="1" x14ac:dyDescent="0.35">
      <c r="A71" s="9159" t="s">
        <v>559</v>
      </c>
      <c r="B71" s="939" t="s">
        <v>560</v>
      </c>
      <c r="C71" s="940"/>
      <c r="D71" s="184"/>
      <c r="F71" s="316"/>
      <c r="G71" s="290"/>
      <c r="H71" s="317"/>
      <c r="I71" s="1687"/>
      <c r="J71" s="293"/>
      <c r="L71" s="317"/>
      <c r="M71" s="268"/>
      <c r="O71" s="317"/>
      <c r="P71" s="1687"/>
      <c r="Q71" s="3726" t="s">
        <v>1115</v>
      </c>
      <c r="R71" s="293"/>
      <c r="T71" s="317"/>
      <c r="U71" s="3726" t="s">
        <v>1115</v>
      </c>
      <c r="V71" s="323"/>
      <c r="X71" s="317"/>
      <c r="Y71" s="1687"/>
      <c r="Z71" s="3726" t="s">
        <v>1115</v>
      </c>
      <c r="AA71" s="293"/>
      <c r="AC71" s="317"/>
      <c r="AD71" s="3726" t="s">
        <v>1115</v>
      </c>
      <c r="AE71" s="323"/>
      <c r="AF71" s="293"/>
      <c r="AH71" s="317"/>
      <c r="AI71" s="3726" t="s">
        <v>1115</v>
      </c>
      <c r="AJ71" s="323"/>
      <c r="AK71" s="293"/>
      <c r="AM71" s="317"/>
      <c r="AN71" s="1687"/>
      <c r="AO71" s="3726" t="s">
        <v>1115</v>
      </c>
      <c r="AP71" s="293"/>
      <c r="AR71" s="317"/>
      <c r="AS71" s="3726" t="s">
        <v>1115</v>
      </c>
      <c r="AT71" s="323"/>
      <c r="AU71" s="293"/>
      <c r="AW71" s="317"/>
      <c r="AX71" s="1687"/>
      <c r="AY71" s="3726" t="s">
        <v>1115</v>
      </c>
      <c r="AZ71" s="293"/>
      <c r="BB71" s="317"/>
      <c r="BC71" s="3726" t="s">
        <v>1115</v>
      </c>
      <c r="BD71" s="323"/>
      <c r="BE71" s="246"/>
      <c r="BF71" s="18"/>
    </row>
    <row r="72" spans="1:58" x14ac:dyDescent="0.35">
      <c r="A72" s="9160"/>
      <c r="B72" s="944"/>
      <c r="C72" s="945" t="s">
        <v>562</v>
      </c>
      <c r="D72" s="197"/>
      <c r="F72" s="327"/>
      <c r="G72" s="272"/>
      <c r="H72" s="325"/>
      <c r="I72" s="946"/>
      <c r="J72" s="523"/>
      <c r="L72" s="325"/>
      <c r="M72" s="157"/>
      <c r="O72" s="325"/>
      <c r="P72" s="947"/>
      <c r="Q72" s="332"/>
      <c r="R72" s="523">
        <f t="shared" ref="R72:R80" si="22">IF(O72=0,0,P72/O72)</f>
        <v>0</v>
      </c>
      <c r="T72" s="325"/>
      <c r="U72" s="332"/>
      <c r="V72" s="333"/>
      <c r="X72" s="325"/>
      <c r="Y72" s="947"/>
      <c r="Z72" s="332"/>
      <c r="AA72" s="523">
        <f t="shared" ref="AA72:AA80" si="23">IF(X72=0,0,Y72/X72)</f>
        <v>0</v>
      </c>
      <c r="AC72" s="325"/>
      <c r="AD72" s="332"/>
      <c r="AE72" s="333"/>
      <c r="AF72" s="523">
        <f t="shared" ref="AF72:AF80" si="24">IF(AC72=0,0,AD72/AC72)</f>
        <v>0</v>
      </c>
      <c r="AH72" s="325"/>
      <c r="AI72" s="332"/>
      <c r="AJ72" s="333"/>
      <c r="AK72" s="523">
        <f t="shared" ref="AK72:AK80" si="25">IF(AH72=0,0,AI72/AH72)</f>
        <v>0</v>
      </c>
      <c r="AM72" s="325"/>
      <c r="AN72" s="947"/>
      <c r="AO72" s="332"/>
      <c r="AP72" s="523">
        <f t="shared" ref="AP72:AP80" si="26">IF(AM72=0,0,AN72/AM72)</f>
        <v>0</v>
      </c>
      <c r="AR72" s="325"/>
      <c r="AS72" s="332"/>
      <c r="AT72" s="333"/>
      <c r="AU72" s="523">
        <f t="shared" ref="AU72:AU80" si="27">IF(AR72=0,0,AS72/AR72)</f>
        <v>0</v>
      </c>
      <c r="AW72" s="325"/>
      <c r="AX72" s="947"/>
      <c r="AY72" s="332"/>
      <c r="AZ72" s="523">
        <f t="shared" ref="AZ72:AZ80" si="28">IF(AW72=0,0,AX72/AW72)</f>
        <v>0</v>
      </c>
      <c r="BB72" s="325"/>
      <c r="BC72" s="332"/>
      <c r="BD72" s="333"/>
      <c r="BE72" s="7765"/>
      <c r="BF72" s="26"/>
    </row>
    <row r="73" spans="1:58" x14ac:dyDescent="0.35">
      <c r="A73" s="9160"/>
      <c r="B73" s="944"/>
      <c r="C73" s="945" t="s">
        <v>565</v>
      </c>
      <c r="D73" s="197"/>
      <c r="F73" s="336"/>
      <c r="G73" s="272"/>
      <c r="H73" s="330"/>
      <c r="I73" s="948"/>
      <c r="J73" s="523"/>
      <c r="L73" s="330"/>
      <c r="M73" s="157"/>
      <c r="O73" s="330"/>
      <c r="P73" s="331"/>
      <c r="Q73" s="106"/>
      <c r="R73" s="523">
        <f t="shared" si="22"/>
        <v>0</v>
      </c>
      <c r="T73" s="330"/>
      <c r="U73" s="106"/>
      <c r="V73" s="333"/>
      <c r="X73" s="330"/>
      <c r="Y73" s="331"/>
      <c r="Z73" s="106"/>
      <c r="AA73" s="523">
        <f t="shared" si="23"/>
        <v>0</v>
      </c>
      <c r="AC73" s="330"/>
      <c r="AD73" s="106"/>
      <c r="AE73" s="333"/>
      <c r="AF73" s="523">
        <f t="shared" si="24"/>
        <v>0</v>
      </c>
      <c r="AH73" s="330"/>
      <c r="AI73" s="106"/>
      <c r="AJ73" s="333"/>
      <c r="AK73" s="523">
        <f t="shared" si="25"/>
        <v>0</v>
      </c>
      <c r="AM73" s="330"/>
      <c r="AN73" s="331"/>
      <c r="AO73" s="106"/>
      <c r="AP73" s="523">
        <f t="shared" si="26"/>
        <v>0</v>
      </c>
      <c r="AR73" s="330"/>
      <c r="AS73" s="106"/>
      <c r="AT73" s="333"/>
      <c r="AU73" s="523">
        <f t="shared" si="27"/>
        <v>0</v>
      </c>
      <c r="AW73" s="330"/>
      <c r="AX73" s="331"/>
      <c r="AY73" s="106"/>
      <c r="AZ73" s="523">
        <f t="shared" si="28"/>
        <v>0</v>
      </c>
      <c r="BB73" s="330"/>
      <c r="BC73" s="106"/>
      <c r="BD73" s="333"/>
      <c r="BE73" s="7765"/>
      <c r="BF73" s="26"/>
    </row>
    <row r="74" spans="1:58" x14ac:dyDescent="0.35">
      <c r="A74" s="9160"/>
      <c r="B74" s="944"/>
      <c r="C74" s="945"/>
      <c r="D74" s="197"/>
      <c r="F74" s="336"/>
      <c r="G74" s="272"/>
      <c r="H74" s="330"/>
      <c r="I74" s="948"/>
      <c r="J74" s="523"/>
      <c r="L74" s="330"/>
      <c r="M74" s="157"/>
      <c r="O74" s="330"/>
      <c r="P74" s="331"/>
      <c r="Q74" s="106"/>
      <c r="R74" s="523">
        <f t="shared" si="22"/>
        <v>0</v>
      </c>
      <c r="T74" s="330"/>
      <c r="U74" s="106"/>
      <c r="V74" s="333"/>
      <c r="X74" s="330"/>
      <c r="Y74" s="331"/>
      <c r="Z74" s="106"/>
      <c r="AA74" s="523">
        <f t="shared" si="23"/>
        <v>0</v>
      </c>
      <c r="AC74" s="330"/>
      <c r="AD74" s="106"/>
      <c r="AE74" s="333"/>
      <c r="AF74" s="523">
        <f t="shared" si="24"/>
        <v>0</v>
      </c>
      <c r="AH74" s="330"/>
      <c r="AI74" s="106"/>
      <c r="AJ74" s="333"/>
      <c r="AK74" s="523">
        <f t="shared" si="25"/>
        <v>0</v>
      </c>
      <c r="AM74" s="330"/>
      <c r="AN74" s="331"/>
      <c r="AO74" s="106"/>
      <c r="AP74" s="523">
        <f t="shared" si="26"/>
        <v>0</v>
      </c>
      <c r="AR74" s="330"/>
      <c r="AS74" s="106"/>
      <c r="AT74" s="333"/>
      <c r="AU74" s="523">
        <f t="shared" si="27"/>
        <v>0</v>
      </c>
      <c r="AW74" s="330"/>
      <c r="AX74" s="331"/>
      <c r="AY74" s="106"/>
      <c r="AZ74" s="523">
        <f t="shared" si="28"/>
        <v>0</v>
      </c>
      <c r="BB74" s="330"/>
      <c r="BC74" s="106"/>
      <c r="BD74" s="333"/>
      <c r="BE74" s="7765"/>
      <c r="BF74" s="26"/>
    </row>
    <row r="75" spans="1:58" x14ac:dyDescent="0.35">
      <c r="A75" s="9160"/>
      <c r="B75" s="944"/>
      <c r="C75" s="945"/>
      <c r="D75" s="197"/>
      <c r="F75" s="336"/>
      <c r="G75" s="272"/>
      <c r="H75" s="330"/>
      <c r="I75" s="948"/>
      <c r="J75" s="523"/>
      <c r="L75" s="330"/>
      <c r="M75" s="157"/>
      <c r="O75" s="330"/>
      <c r="P75" s="331"/>
      <c r="Q75" s="106"/>
      <c r="R75" s="523">
        <f t="shared" si="22"/>
        <v>0</v>
      </c>
      <c r="T75" s="330"/>
      <c r="U75" s="106"/>
      <c r="V75" s="333"/>
      <c r="X75" s="330"/>
      <c r="Y75" s="331"/>
      <c r="Z75" s="106"/>
      <c r="AA75" s="523">
        <f t="shared" si="23"/>
        <v>0</v>
      </c>
      <c r="AC75" s="330"/>
      <c r="AD75" s="106"/>
      <c r="AE75" s="333"/>
      <c r="AF75" s="523">
        <f t="shared" si="24"/>
        <v>0</v>
      </c>
      <c r="AH75" s="330"/>
      <c r="AI75" s="106"/>
      <c r="AJ75" s="333"/>
      <c r="AK75" s="523">
        <f t="shared" si="25"/>
        <v>0</v>
      </c>
      <c r="AM75" s="330"/>
      <c r="AN75" s="331"/>
      <c r="AO75" s="106"/>
      <c r="AP75" s="523">
        <f t="shared" si="26"/>
        <v>0</v>
      </c>
      <c r="AR75" s="330"/>
      <c r="AS75" s="106"/>
      <c r="AT75" s="333"/>
      <c r="AU75" s="523">
        <f t="shared" si="27"/>
        <v>0</v>
      </c>
      <c r="AW75" s="330"/>
      <c r="AX75" s="331"/>
      <c r="AY75" s="106"/>
      <c r="AZ75" s="523">
        <f t="shared" si="28"/>
        <v>0</v>
      </c>
      <c r="BB75" s="330"/>
      <c r="BC75" s="106"/>
      <c r="BD75" s="333"/>
      <c r="BE75" s="7765"/>
      <c r="BF75" s="26"/>
    </row>
    <row r="76" spans="1:58" x14ac:dyDescent="0.35">
      <c r="A76" s="9160"/>
      <c r="B76" s="944"/>
      <c r="C76" s="945" t="s">
        <v>1659</v>
      </c>
      <c r="D76" s="197"/>
      <c r="F76" s="336"/>
      <c r="G76" s="272"/>
      <c r="H76" s="330"/>
      <c r="I76" s="948"/>
      <c r="J76" s="523"/>
      <c r="L76" s="330"/>
      <c r="M76" s="157"/>
      <c r="O76" s="330"/>
      <c r="P76" s="331"/>
      <c r="Q76" s="106"/>
      <c r="R76" s="523">
        <f t="shared" si="22"/>
        <v>0</v>
      </c>
      <c r="T76" s="330"/>
      <c r="U76" s="106"/>
      <c r="V76" s="333"/>
      <c r="X76" s="330"/>
      <c r="Y76" s="331"/>
      <c r="Z76" s="106"/>
      <c r="AA76" s="523">
        <f t="shared" si="23"/>
        <v>0</v>
      </c>
      <c r="AC76" s="330"/>
      <c r="AD76" s="106"/>
      <c r="AE76" s="333"/>
      <c r="AF76" s="523">
        <f t="shared" si="24"/>
        <v>0</v>
      </c>
      <c r="AH76" s="330"/>
      <c r="AI76" s="106"/>
      <c r="AJ76" s="333"/>
      <c r="AK76" s="523">
        <f t="shared" si="25"/>
        <v>0</v>
      </c>
      <c r="AM76" s="330"/>
      <c r="AN76" s="331"/>
      <c r="AO76" s="106"/>
      <c r="AP76" s="523">
        <f t="shared" si="26"/>
        <v>0</v>
      </c>
      <c r="AR76" s="330"/>
      <c r="AS76" s="106"/>
      <c r="AT76" s="333"/>
      <c r="AU76" s="523">
        <f t="shared" si="27"/>
        <v>0</v>
      </c>
      <c r="AW76" s="330"/>
      <c r="AX76" s="331"/>
      <c r="AY76" s="106"/>
      <c r="AZ76" s="523">
        <f t="shared" si="28"/>
        <v>0</v>
      </c>
      <c r="BB76" s="330"/>
      <c r="BC76" s="106"/>
      <c r="BD76" s="333"/>
      <c r="BE76" s="7765"/>
      <c r="BF76" s="26"/>
    </row>
    <row r="77" spans="1:58" x14ac:dyDescent="0.35">
      <c r="A77" s="9160"/>
      <c r="B77" s="944"/>
      <c r="C77" s="945" t="s">
        <v>1660</v>
      </c>
      <c r="D77" s="197"/>
      <c r="F77" s="336"/>
      <c r="G77" s="272"/>
      <c r="H77" s="330"/>
      <c r="I77" s="948"/>
      <c r="J77" s="523"/>
      <c r="L77" s="330"/>
      <c r="M77" s="157"/>
      <c r="O77" s="330"/>
      <c r="P77" s="331"/>
      <c r="Q77" s="106"/>
      <c r="R77" s="523">
        <f t="shared" si="22"/>
        <v>0</v>
      </c>
      <c r="T77" s="330"/>
      <c r="U77" s="106"/>
      <c r="V77" s="333"/>
      <c r="X77" s="330"/>
      <c r="Y77" s="331"/>
      <c r="Z77" s="106"/>
      <c r="AA77" s="523">
        <f t="shared" si="23"/>
        <v>0</v>
      </c>
      <c r="AC77" s="330"/>
      <c r="AD77" s="106"/>
      <c r="AE77" s="333"/>
      <c r="AF77" s="523">
        <f t="shared" si="24"/>
        <v>0</v>
      </c>
      <c r="AH77" s="330"/>
      <c r="AI77" s="106"/>
      <c r="AJ77" s="333"/>
      <c r="AK77" s="523">
        <f t="shared" si="25"/>
        <v>0</v>
      </c>
      <c r="AM77" s="330"/>
      <c r="AN77" s="331"/>
      <c r="AO77" s="106"/>
      <c r="AP77" s="523">
        <f t="shared" si="26"/>
        <v>0</v>
      </c>
      <c r="AR77" s="330"/>
      <c r="AS77" s="106"/>
      <c r="AT77" s="333"/>
      <c r="AU77" s="523">
        <f t="shared" si="27"/>
        <v>0</v>
      </c>
      <c r="AW77" s="330"/>
      <c r="AX77" s="331"/>
      <c r="AY77" s="106"/>
      <c r="AZ77" s="523">
        <f t="shared" si="28"/>
        <v>0</v>
      </c>
      <c r="BB77" s="330"/>
      <c r="BC77" s="106"/>
      <c r="BD77" s="333"/>
      <c r="BE77" s="7765"/>
      <c r="BF77" s="26"/>
    </row>
    <row r="78" spans="1:58" x14ac:dyDescent="0.35">
      <c r="A78" s="9160"/>
      <c r="B78" s="944"/>
      <c r="C78" s="945"/>
      <c r="D78" s="197"/>
      <c r="F78" s="336"/>
      <c r="G78" s="272"/>
      <c r="H78" s="330"/>
      <c r="I78" s="948"/>
      <c r="J78" s="523"/>
      <c r="L78" s="330"/>
      <c r="M78" s="157"/>
      <c r="O78" s="330"/>
      <c r="P78" s="331"/>
      <c r="Q78" s="106"/>
      <c r="R78" s="523">
        <f t="shared" si="22"/>
        <v>0</v>
      </c>
      <c r="T78" s="330"/>
      <c r="U78" s="106"/>
      <c r="V78" s="333"/>
      <c r="X78" s="330"/>
      <c r="Y78" s="331"/>
      <c r="Z78" s="106"/>
      <c r="AA78" s="523">
        <f t="shared" si="23"/>
        <v>0</v>
      </c>
      <c r="AC78" s="330"/>
      <c r="AD78" s="106"/>
      <c r="AE78" s="333"/>
      <c r="AF78" s="523">
        <f t="shared" si="24"/>
        <v>0</v>
      </c>
      <c r="AH78" s="330"/>
      <c r="AI78" s="106"/>
      <c r="AJ78" s="333"/>
      <c r="AK78" s="523">
        <f t="shared" si="25"/>
        <v>0</v>
      </c>
      <c r="AM78" s="330"/>
      <c r="AN78" s="331"/>
      <c r="AO78" s="106"/>
      <c r="AP78" s="523">
        <f t="shared" si="26"/>
        <v>0</v>
      </c>
      <c r="AR78" s="330"/>
      <c r="AS78" s="106"/>
      <c r="AT78" s="333"/>
      <c r="AU78" s="523">
        <f t="shared" si="27"/>
        <v>0</v>
      </c>
      <c r="AW78" s="330"/>
      <c r="AX78" s="331"/>
      <c r="AY78" s="106"/>
      <c r="AZ78" s="523">
        <f t="shared" si="28"/>
        <v>0</v>
      </c>
      <c r="BB78" s="330"/>
      <c r="BC78" s="106"/>
      <c r="BD78" s="333"/>
      <c r="BE78" s="7765"/>
      <c r="BF78" s="26"/>
    </row>
    <row r="79" spans="1:58" x14ac:dyDescent="0.35">
      <c r="A79" s="9160"/>
      <c r="B79" s="944"/>
      <c r="C79" s="945"/>
      <c r="D79" s="197"/>
      <c r="F79" s="336"/>
      <c r="G79" s="272"/>
      <c r="H79" s="330"/>
      <c r="I79" s="948"/>
      <c r="J79" s="523"/>
      <c r="L79" s="330"/>
      <c r="M79" s="157"/>
      <c r="O79" s="330"/>
      <c r="P79" s="331"/>
      <c r="Q79" s="106"/>
      <c r="R79" s="523">
        <f t="shared" si="22"/>
        <v>0</v>
      </c>
      <c r="T79" s="330"/>
      <c r="U79" s="106"/>
      <c r="V79" s="333"/>
      <c r="X79" s="330"/>
      <c r="Y79" s="331"/>
      <c r="Z79" s="106"/>
      <c r="AA79" s="523">
        <f t="shared" si="23"/>
        <v>0</v>
      </c>
      <c r="AC79" s="330"/>
      <c r="AD79" s="106"/>
      <c r="AE79" s="333"/>
      <c r="AF79" s="523">
        <f t="shared" si="24"/>
        <v>0</v>
      </c>
      <c r="AH79" s="330"/>
      <c r="AI79" s="106"/>
      <c r="AJ79" s="333"/>
      <c r="AK79" s="523">
        <f t="shared" si="25"/>
        <v>0</v>
      </c>
      <c r="AM79" s="330"/>
      <c r="AN79" s="331"/>
      <c r="AO79" s="106"/>
      <c r="AP79" s="523">
        <f t="shared" si="26"/>
        <v>0</v>
      </c>
      <c r="AR79" s="330"/>
      <c r="AS79" s="106"/>
      <c r="AT79" s="333"/>
      <c r="AU79" s="523">
        <f t="shared" si="27"/>
        <v>0</v>
      </c>
      <c r="AW79" s="330"/>
      <c r="AX79" s="331"/>
      <c r="AY79" s="106"/>
      <c r="AZ79" s="523">
        <f t="shared" si="28"/>
        <v>0</v>
      </c>
      <c r="BB79" s="330"/>
      <c r="BC79" s="106"/>
      <c r="BD79" s="333"/>
      <c r="BE79" s="7765"/>
      <c r="BF79" s="26"/>
    </row>
    <row r="80" spans="1:58" x14ac:dyDescent="0.35">
      <c r="A80" s="9161"/>
      <c r="B80" s="949"/>
      <c r="C80" s="950" t="s">
        <v>10</v>
      </c>
      <c r="D80" s="209"/>
      <c r="F80" s="343"/>
      <c r="G80" s="274"/>
      <c r="H80" s="341"/>
      <c r="I80" s="951"/>
      <c r="J80" s="527"/>
      <c r="L80" s="341"/>
      <c r="M80" s="213"/>
      <c r="O80" s="341"/>
      <c r="P80" s="952"/>
      <c r="Q80" s="216"/>
      <c r="R80" s="527">
        <f t="shared" si="22"/>
        <v>0</v>
      </c>
      <c r="T80" s="341"/>
      <c r="U80" s="216"/>
      <c r="V80" s="347"/>
      <c r="X80" s="341"/>
      <c r="Y80" s="952"/>
      <c r="Z80" s="216"/>
      <c r="AA80" s="527">
        <f t="shared" si="23"/>
        <v>0</v>
      </c>
      <c r="AC80" s="341"/>
      <c r="AD80" s="216"/>
      <c r="AE80" s="347"/>
      <c r="AF80" s="527">
        <f t="shared" si="24"/>
        <v>0</v>
      </c>
      <c r="AH80" s="341"/>
      <c r="AI80" s="216"/>
      <c r="AJ80" s="347"/>
      <c r="AK80" s="527">
        <f t="shared" si="25"/>
        <v>0</v>
      </c>
      <c r="AM80" s="341"/>
      <c r="AN80" s="952"/>
      <c r="AO80" s="216"/>
      <c r="AP80" s="527">
        <f t="shared" si="26"/>
        <v>0</v>
      </c>
      <c r="AR80" s="341"/>
      <c r="AS80" s="216"/>
      <c r="AT80" s="347"/>
      <c r="AU80" s="527">
        <f t="shared" si="27"/>
        <v>0</v>
      </c>
      <c r="AW80" s="341"/>
      <c r="AX80" s="952"/>
      <c r="AY80" s="216"/>
      <c r="AZ80" s="527">
        <f t="shared" si="28"/>
        <v>0</v>
      </c>
      <c r="BB80" s="341"/>
      <c r="BC80" s="216"/>
      <c r="BD80" s="347"/>
      <c r="BE80" s="7765"/>
      <c r="BF80" s="24"/>
    </row>
    <row r="81" spans="1:58" x14ac:dyDescent="0.35">
      <c r="A81" s="310"/>
      <c r="B81" s="310"/>
      <c r="F81" s="106"/>
      <c r="H81" s="645"/>
      <c r="I81" s="645"/>
      <c r="J81" s="558"/>
      <c r="L81" s="645"/>
      <c r="M81" s="1423"/>
      <c r="O81" s="106"/>
      <c r="P81" s="106"/>
      <c r="Q81" s="106"/>
      <c r="R81" s="558"/>
      <c r="T81" s="106"/>
      <c r="U81" s="106"/>
      <c r="V81" s="312"/>
      <c r="X81" s="106"/>
      <c r="Y81" s="106"/>
      <c r="Z81" s="106"/>
      <c r="AA81" s="558"/>
      <c r="AC81" s="106"/>
      <c r="AD81" s="106"/>
      <c r="AE81" s="312"/>
      <c r="AF81" s="558"/>
      <c r="AH81" s="106"/>
      <c r="AI81" s="106"/>
      <c r="AJ81" s="312"/>
      <c r="AK81" s="558"/>
      <c r="AM81" s="106"/>
      <c r="AN81" s="106"/>
      <c r="AO81" s="106"/>
      <c r="AP81" s="558"/>
      <c r="AR81" s="106"/>
      <c r="AS81" s="106"/>
      <c r="AT81" s="312"/>
      <c r="AU81" s="558"/>
      <c r="AW81" s="106"/>
      <c r="AX81" s="106"/>
      <c r="AY81" s="106"/>
      <c r="AZ81" s="558"/>
      <c r="BB81" s="106"/>
      <c r="BC81" s="106"/>
      <c r="BD81" s="312"/>
      <c r="BE81" s="7818"/>
    </row>
    <row r="82" spans="1:58" ht="14.5" customHeight="1" x14ac:dyDescent="0.35">
      <c r="A82" s="9167" t="s">
        <v>566</v>
      </c>
      <c r="B82" s="139" t="s">
        <v>567</v>
      </c>
      <c r="C82" s="348"/>
      <c r="D82" s="49"/>
      <c r="E82" s="141"/>
      <c r="F82" s="227"/>
      <c r="G82" s="141"/>
      <c r="H82" s="1375"/>
      <c r="I82" s="653"/>
      <c r="J82" s="228"/>
      <c r="K82" s="141"/>
      <c r="L82" s="1375"/>
      <c r="M82" s="1317"/>
      <c r="N82" s="143"/>
      <c r="O82" s="102"/>
      <c r="P82" s="103"/>
      <c r="Q82" s="103"/>
      <c r="R82" s="228"/>
      <c r="S82" s="141"/>
      <c r="T82" s="102"/>
      <c r="U82" s="103"/>
      <c r="V82" s="268"/>
      <c r="W82" s="143"/>
      <c r="X82" s="102"/>
      <c r="Y82" s="103"/>
      <c r="Z82" s="103"/>
      <c r="AA82" s="228"/>
      <c r="AB82" s="141"/>
      <c r="AC82" s="102"/>
      <c r="AD82" s="103"/>
      <c r="AE82" s="268"/>
      <c r="AF82" s="228"/>
      <c r="AG82" s="143"/>
      <c r="AH82" s="102"/>
      <c r="AI82" s="103"/>
      <c r="AJ82" s="268"/>
      <c r="AK82" s="228"/>
      <c r="AL82" s="143"/>
      <c r="AM82" s="102"/>
      <c r="AN82" s="103"/>
      <c r="AO82" s="103"/>
      <c r="AP82" s="228"/>
      <c r="AQ82" s="141"/>
      <c r="AR82" s="102"/>
      <c r="AS82" s="103"/>
      <c r="AT82" s="268"/>
      <c r="AU82" s="228"/>
      <c r="AV82" s="143"/>
      <c r="AW82" s="102"/>
      <c r="AX82" s="103"/>
      <c r="AY82" s="103"/>
      <c r="AZ82" s="228"/>
      <c r="BA82" s="141"/>
      <c r="BB82" s="102"/>
      <c r="BC82" s="103"/>
      <c r="BD82" s="268"/>
      <c r="BE82" s="221"/>
    </row>
    <row r="83" spans="1:58" x14ac:dyDescent="0.35">
      <c r="A83" s="9168"/>
      <c r="B83" s="6082"/>
      <c r="C83"/>
      <c r="D83" s="110" t="s">
        <v>568</v>
      </c>
      <c r="F83" s="349">
        <f>SUM(F36:F38)-SUM(F41:F43)</f>
        <v>0</v>
      </c>
      <c r="G83" s="350"/>
      <c r="H83" s="354">
        <f>SUM(H36:H38)-SUM(H41:H43)</f>
        <v>1383.5</v>
      </c>
      <c r="I83" s="355">
        <f>SUM(I36:I38)-SUM(I41:I43)</f>
        <v>1250.4000000000001</v>
      </c>
      <c r="J83" s="246"/>
      <c r="K83" s="350"/>
      <c r="L83" s="354">
        <f>SUM(L36:L38)-SUM(L41:L43)</f>
        <v>1678</v>
      </c>
      <c r="M83" s="1201">
        <f>SUM(M36:M38)-SUM(M41:M43)</f>
        <v>1509</v>
      </c>
      <c r="O83" s="351">
        <f>SUM(O36:O39)-SUM(O41:O43)</f>
        <v>1618.3</v>
      </c>
      <c r="P83" s="352">
        <f>SUM(P36:P39)-SUM(P41:P43)</f>
        <v>1521.1</v>
      </c>
      <c r="Q83" s="352"/>
      <c r="R83" s="246"/>
      <c r="S83" s="350"/>
      <c r="T83" s="351">
        <f>SUM(T36:T39)-SUM(T41:T43)</f>
        <v>2069.8000000000002</v>
      </c>
      <c r="U83" s="352"/>
      <c r="V83" s="353">
        <f>SUM(V36:V39)-SUM(V41:V43)</f>
        <v>1945.1</v>
      </c>
      <c r="X83" s="351">
        <f>SUM(X36:X39)-SUM(X41:X43)</f>
        <v>2069.8000000000002</v>
      </c>
      <c r="Y83" s="352">
        <f>SUM(Y36:Y39)-SUM(Y41:Y43)</f>
        <v>1945.1</v>
      </c>
      <c r="Z83" s="352"/>
      <c r="AA83" s="246"/>
      <c r="AB83" s="350"/>
      <c r="AC83" s="351">
        <f>SUM(AC36:AC39)-SUM(AC41:AC43)</f>
        <v>2383.6729999999998</v>
      </c>
      <c r="AD83" s="352"/>
      <c r="AE83" s="353">
        <f>SUM(AE36:AE39)-SUM(AE41:AE43)</f>
        <v>2164.0990000000002</v>
      </c>
      <c r="AF83" s="246"/>
      <c r="AH83" s="351">
        <f>SUM(AH36:AH39)-SUM(AH41:AH43)</f>
        <v>2705.4569999999999</v>
      </c>
      <c r="AI83" s="352"/>
      <c r="AJ83" s="353">
        <f>SUM(AJ36:AJ39)-SUM(AJ41:AJ43)</f>
        <v>2153.2570000000001</v>
      </c>
      <c r="AK83" s="246"/>
      <c r="AM83" s="351">
        <f>SUM(AM36:AM39)-SUM(AM41:AM43)</f>
        <v>3438.0079999999998</v>
      </c>
      <c r="AN83" s="352">
        <f>SUM(AN36:AN39)-SUM(AN41:AN43)</f>
        <v>2714.9813189432525</v>
      </c>
      <c r="AO83" s="352"/>
      <c r="AP83" s="246"/>
      <c r="AQ83" s="350"/>
      <c r="AR83" s="351">
        <f>SUM(AR36:AR39)-SUM(AR41:AR43)</f>
        <v>3661.67</v>
      </c>
      <c r="AS83" s="352"/>
      <c r="AT83" s="353">
        <f>SUM(AT36:AT39)-SUM(AT41:AT43)</f>
        <v>3307.7759198361514</v>
      </c>
      <c r="AU83" s="246"/>
      <c r="AW83" s="351">
        <f>SUM(AW36:AW39)-SUM(AW41:AW43)</f>
        <v>3661.67</v>
      </c>
      <c r="AX83" s="352">
        <f>SUM(AX36:AX39)-SUM(AX41:AX43)</f>
        <v>3307.7759198361514</v>
      </c>
      <c r="AY83" s="352"/>
      <c r="AZ83" s="246"/>
      <c r="BA83" s="350"/>
      <c r="BB83" s="351">
        <f>SUM(BB36:BB39)-SUM(BB41:BB43)</f>
        <v>3738.1299999999997</v>
      </c>
      <c r="BC83" s="352"/>
      <c r="BD83" s="353">
        <f>SUM(BD36:BD39)-SUM(BD41:BD43)</f>
        <v>3147.0607609659628</v>
      </c>
      <c r="BE83" s="221"/>
    </row>
    <row r="84" spans="1:58" x14ac:dyDescent="0.35">
      <c r="A84" s="9168"/>
      <c r="B84" s="6082"/>
      <c r="C84"/>
      <c r="D84" s="110" t="s">
        <v>569</v>
      </c>
      <c r="F84" s="349">
        <f>SUM(F45:F51)</f>
        <v>0</v>
      </c>
      <c r="G84" s="350"/>
      <c r="H84" s="354">
        <f>SUM(H45:H51)</f>
        <v>0</v>
      </c>
      <c r="I84" s="355">
        <f>SUM(I45:I51)</f>
        <v>0</v>
      </c>
      <c r="J84" s="246"/>
      <c r="K84" s="350"/>
      <c r="L84" s="354">
        <f>SUM(L45:L51)</f>
        <v>0</v>
      </c>
      <c r="M84" s="1201">
        <f>SUM(M45:M51)</f>
        <v>0</v>
      </c>
      <c r="O84" s="351">
        <f>SUM(O45:O51)</f>
        <v>0</v>
      </c>
      <c r="P84" s="352">
        <f>SUM(P45:P51)</f>
        <v>0</v>
      </c>
      <c r="Q84" s="352"/>
      <c r="R84" s="246"/>
      <c r="S84" s="350"/>
      <c r="T84" s="351">
        <f>SUM(T45:T51)</f>
        <v>0</v>
      </c>
      <c r="U84" s="352"/>
      <c r="V84" s="353">
        <f>SUM(V45:V51)</f>
        <v>0</v>
      </c>
      <c r="X84" s="351">
        <f>SUM(X45:X51)</f>
        <v>0</v>
      </c>
      <c r="Y84" s="352">
        <f>SUM(Y45:Y51)</f>
        <v>0</v>
      </c>
      <c r="Z84" s="352"/>
      <c r="AA84" s="246"/>
      <c r="AB84" s="350"/>
      <c r="AC84" s="351">
        <f>SUM(AC45:AC51)</f>
        <v>0</v>
      </c>
      <c r="AD84" s="352"/>
      <c r="AE84" s="353">
        <f>SUM(AE45:AE51)</f>
        <v>0</v>
      </c>
      <c r="AF84" s="246"/>
      <c r="AH84" s="351">
        <f>SUM(AH45:AH51)</f>
        <v>0</v>
      </c>
      <c r="AI84" s="352"/>
      <c r="AJ84" s="353">
        <f>SUM(AJ45:AJ51)</f>
        <v>0</v>
      </c>
      <c r="AK84" s="246"/>
      <c r="AM84" s="351">
        <f>SUM(AM45:AM51)</f>
        <v>0</v>
      </c>
      <c r="AN84" s="352">
        <f>SUM(AN45:AN51)</f>
        <v>0</v>
      </c>
      <c r="AO84" s="352"/>
      <c r="AP84" s="246"/>
      <c r="AQ84" s="350"/>
      <c r="AR84" s="351">
        <f>SUM(AR45:AR51)</f>
        <v>0</v>
      </c>
      <c r="AS84" s="352"/>
      <c r="AT84" s="353">
        <f>SUM(AT45:AT51)</f>
        <v>0</v>
      </c>
      <c r="AU84" s="246"/>
      <c r="AW84" s="351">
        <f>SUM(AW45:AW51)</f>
        <v>0</v>
      </c>
      <c r="AX84" s="352">
        <f>SUM(AX45:AX51)</f>
        <v>0</v>
      </c>
      <c r="AY84" s="352"/>
      <c r="AZ84" s="246"/>
      <c r="BA84" s="350"/>
      <c r="BB84" s="351">
        <f>SUM(BB45:BB51)</f>
        <v>0</v>
      </c>
      <c r="BC84" s="352"/>
      <c r="BD84" s="353">
        <f>SUM(BD45:BD51)</f>
        <v>0</v>
      </c>
      <c r="BE84" s="221"/>
    </row>
    <row r="85" spans="1:58" x14ac:dyDescent="0.35">
      <c r="A85" s="9168"/>
      <c r="B85" s="6082"/>
      <c r="C85"/>
      <c r="D85" s="110" t="s">
        <v>570</v>
      </c>
      <c r="F85" s="349">
        <f>SUM(F53:F60)*F29</f>
        <v>0</v>
      </c>
      <c r="G85" s="350"/>
      <c r="H85" s="354">
        <f>SUM(H53:H60)*H29</f>
        <v>0</v>
      </c>
      <c r="I85" s="355">
        <f>SUM(I53:I60)*I29</f>
        <v>0</v>
      </c>
      <c r="J85" s="246"/>
      <c r="K85" s="350"/>
      <c r="L85" s="354">
        <f>SUM(L53:L60)*L29</f>
        <v>0</v>
      </c>
      <c r="M85" s="1201">
        <f>SUM(M53:M60)*M29</f>
        <v>0</v>
      </c>
      <c r="O85" s="351">
        <f>SUM(O53:O60)*O29</f>
        <v>0</v>
      </c>
      <c r="P85" s="352">
        <f>SUM(P53:P60)*P29</f>
        <v>0</v>
      </c>
      <c r="Q85" s="352"/>
      <c r="R85" s="246"/>
      <c r="S85" s="350"/>
      <c r="T85" s="351">
        <f>SUM(T53:T60)*T29</f>
        <v>0</v>
      </c>
      <c r="U85" s="352"/>
      <c r="V85" s="353">
        <f>SUM(V53:V60)*V29</f>
        <v>0</v>
      </c>
      <c r="X85" s="351">
        <f>SUM(X53:X60)*X29</f>
        <v>0</v>
      </c>
      <c r="Y85" s="352">
        <f>SUM(Y53:Y60)*Y29</f>
        <v>0</v>
      </c>
      <c r="Z85" s="352"/>
      <c r="AA85" s="246"/>
      <c r="AB85" s="350"/>
      <c r="AC85" s="351">
        <f>SUM(AC53:AC60)*AC29</f>
        <v>0</v>
      </c>
      <c r="AD85" s="352"/>
      <c r="AE85" s="353">
        <f>SUM(AE53:AE60)*AE29</f>
        <v>0</v>
      </c>
      <c r="AF85" s="246"/>
      <c r="AH85" s="351">
        <f>SUM(AH53:AH60)*AH29</f>
        <v>0</v>
      </c>
      <c r="AI85" s="352"/>
      <c r="AJ85" s="353">
        <f>SUM(AJ53:AJ60)*AJ29</f>
        <v>0</v>
      </c>
      <c r="AK85" s="246"/>
      <c r="AM85" s="351">
        <f>SUM(AM53:AM60)*AM29</f>
        <v>0</v>
      </c>
      <c r="AN85" s="352">
        <f>SUM(AN53:AN60)*AN29</f>
        <v>0</v>
      </c>
      <c r="AO85" s="352"/>
      <c r="AP85" s="246"/>
      <c r="AQ85" s="350"/>
      <c r="AR85" s="351">
        <f>SUM(AR53:AR60)*AR29</f>
        <v>0</v>
      </c>
      <c r="AS85" s="352"/>
      <c r="AT85" s="353">
        <f>SUM(AT53:AT60)*AT29</f>
        <v>0</v>
      </c>
      <c r="AU85" s="246"/>
      <c r="AW85" s="351">
        <f>SUM(AW53:AW60)*AW29</f>
        <v>0</v>
      </c>
      <c r="AX85" s="352">
        <f>SUM(AX53:AX60)*AX29</f>
        <v>0</v>
      </c>
      <c r="AY85" s="352"/>
      <c r="AZ85" s="246"/>
      <c r="BA85" s="350"/>
      <c r="BB85" s="351">
        <f>SUM(BB53:BB60)*BB29</f>
        <v>0</v>
      </c>
      <c r="BC85" s="352"/>
      <c r="BD85" s="353">
        <f>SUM(BD53:BD60)*BD29</f>
        <v>0</v>
      </c>
      <c r="BE85" s="221"/>
    </row>
    <row r="86" spans="1:58" x14ac:dyDescent="0.35">
      <c r="A86" s="9168"/>
      <c r="B86" s="6082"/>
      <c r="C86"/>
      <c r="D86" s="110" t="s">
        <v>552</v>
      </c>
      <c r="F86" s="349">
        <f>F62</f>
        <v>0</v>
      </c>
      <c r="G86" s="350"/>
      <c r="H86" s="354">
        <f>H62</f>
        <v>0</v>
      </c>
      <c r="I86" s="355">
        <f>I62</f>
        <v>0</v>
      </c>
      <c r="J86" s="246"/>
      <c r="K86" s="350"/>
      <c r="L86" s="354">
        <f>L62</f>
        <v>0</v>
      </c>
      <c r="M86" s="1201">
        <f>M62</f>
        <v>0</v>
      </c>
      <c r="O86" s="351">
        <f>O62+O63</f>
        <v>0</v>
      </c>
      <c r="P86" s="352">
        <f>P62+P63</f>
        <v>0</v>
      </c>
      <c r="Q86" s="352"/>
      <c r="R86" s="246"/>
      <c r="S86" s="350"/>
      <c r="T86" s="351">
        <f>T62+T63</f>
        <v>0</v>
      </c>
      <c r="U86" s="352"/>
      <c r="V86" s="353">
        <f>V62+V63</f>
        <v>0</v>
      </c>
      <c r="X86" s="351">
        <f>X62+X63</f>
        <v>0</v>
      </c>
      <c r="Y86" s="352">
        <f>Y62+Y63</f>
        <v>0</v>
      </c>
      <c r="Z86" s="352"/>
      <c r="AA86" s="246"/>
      <c r="AB86" s="350"/>
      <c r="AC86" s="351">
        <f>AC62+AC63</f>
        <v>0</v>
      </c>
      <c r="AD86" s="352"/>
      <c r="AE86" s="353">
        <f>AE62+AE63</f>
        <v>0</v>
      </c>
      <c r="AF86" s="246"/>
      <c r="AH86" s="351">
        <f>AH62+AH63</f>
        <v>0</v>
      </c>
      <c r="AI86" s="352"/>
      <c r="AJ86" s="353">
        <f>AJ62+AJ63</f>
        <v>0</v>
      </c>
      <c r="AK86" s="246"/>
      <c r="AM86" s="351">
        <f>AM62+AM63</f>
        <v>0</v>
      </c>
      <c r="AN86" s="352">
        <f>AN62+AN63</f>
        <v>0</v>
      </c>
      <c r="AO86" s="352"/>
      <c r="AP86" s="246"/>
      <c r="AQ86" s="350"/>
      <c r="AR86" s="351">
        <f>AR62+AR63</f>
        <v>0</v>
      </c>
      <c r="AS86" s="352"/>
      <c r="AT86" s="353">
        <f>AT62+AT63</f>
        <v>0</v>
      </c>
      <c r="AU86" s="246"/>
      <c r="AW86" s="351">
        <f>AW62+AW63</f>
        <v>0</v>
      </c>
      <c r="AX86" s="352">
        <f>AX62+AX63</f>
        <v>0</v>
      </c>
      <c r="AY86" s="352"/>
      <c r="AZ86" s="246"/>
      <c r="BA86" s="350"/>
      <c r="BB86" s="351">
        <f>BB62+BB63</f>
        <v>0</v>
      </c>
      <c r="BC86" s="352"/>
      <c r="BD86" s="353">
        <f>BD62+BD63</f>
        <v>0</v>
      </c>
      <c r="BE86" s="221"/>
    </row>
    <row r="87" spans="1:58" x14ac:dyDescent="0.35">
      <c r="A87" s="9168"/>
      <c r="B87" s="6082"/>
      <c r="C87"/>
      <c r="D87" s="356" t="s">
        <v>571</v>
      </c>
      <c r="E87" s="143"/>
      <c r="F87" s="357">
        <f>SUM(F83:F86)</f>
        <v>0</v>
      </c>
      <c r="G87" s="358"/>
      <c r="H87" s="363">
        <f>SUM(H83:H86)</f>
        <v>1383.5</v>
      </c>
      <c r="I87" s="364">
        <f>SUM(I83:I86)</f>
        <v>1250.4000000000001</v>
      </c>
      <c r="J87" s="361"/>
      <c r="K87" s="358"/>
      <c r="L87" s="363">
        <f>SUM(L83:L86)</f>
        <v>1678</v>
      </c>
      <c r="M87" s="1202">
        <f>SUM(M83:M86)</f>
        <v>1509</v>
      </c>
      <c r="O87" s="359">
        <f>SUM(O83:O86)</f>
        <v>1618.3</v>
      </c>
      <c r="P87" s="360">
        <f>SUM(P83:P86)</f>
        <v>1521.1</v>
      </c>
      <c r="Q87" s="360"/>
      <c r="R87" s="361"/>
      <c r="S87" s="358"/>
      <c r="T87" s="359">
        <f>SUM(T83:T86)</f>
        <v>2069.8000000000002</v>
      </c>
      <c r="U87" s="360"/>
      <c r="V87" s="362">
        <f>SUM(V83:V86)</f>
        <v>1945.1</v>
      </c>
      <c r="X87" s="359">
        <f>SUM(X83:X86)</f>
        <v>2069.8000000000002</v>
      </c>
      <c r="Y87" s="360">
        <f>SUM(Y83:Y86)</f>
        <v>1945.1</v>
      </c>
      <c r="Z87" s="360"/>
      <c r="AA87" s="361"/>
      <c r="AB87" s="358"/>
      <c r="AC87" s="359">
        <f>SUM(AC83:AC86)</f>
        <v>2383.6729999999998</v>
      </c>
      <c r="AD87" s="360"/>
      <c r="AE87" s="362">
        <f>SUM(AE83:AE86)</f>
        <v>2164.0990000000002</v>
      </c>
      <c r="AF87" s="361"/>
      <c r="AH87" s="359">
        <f>SUM(AH83:AH86)</f>
        <v>2705.4569999999999</v>
      </c>
      <c r="AI87" s="360"/>
      <c r="AJ87" s="362">
        <f>SUM(AJ83:AJ86)</f>
        <v>2153.2570000000001</v>
      </c>
      <c r="AK87" s="361"/>
      <c r="AM87" s="359">
        <f>SUM(AM83:AM86)</f>
        <v>3438.0079999999998</v>
      </c>
      <c r="AN87" s="360">
        <f>SUM(AN83:AN86)</f>
        <v>2714.9813189432525</v>
      </c>
      <c r="AO87" s="360"/>
      <c r="AP87" s="361"/>
      <c r="AQ87" s="358"/>
      <c r="AR87" s="359">
        <f>SUM(AR83:AR86)</f>
        <v>3661.67</v>
      </c>
      <c r="AS87" s="360"/>
      <c r="AT87" s="362">
        <f>SUM(AT83:AT86)</f>
        <v>3307.7759198361514</v>
      </c>
      <c r="AU87" s="361"/>
      <c r="AW87" s="359">
        <f>SUM(AW83:AW86)</f>
        <v>3661.67</v>
      </c>
      <c r="AX87" s="360">
        <f>SUM(AX83:AX86)</f>
        <v>3307.7759198361514</v>
      </c>
      <c r="AY87" s="360"/>
      <c r="AZ87" s="361"/>
      <c r="BA87" s="358"/>
      <c r="BB87" s="359">
        <f>SUM(BB83:BB86)</f>
        <v>3738.1299999999997</v>
      </c>
      <c r="BC87" s="360"/>
      <c r="BD87" s="362">
        <f>SUM(BD83:BD86)</f>
        <v>3147.0607609659628</v>
      </c>
      <c r="BE87" s="3621"/>
    </row>
    <row r="88" spans="1:58" s="462" customFormat="1" ht="15.5" x14ac:dyDescent="0.35">
      <c r="A88" s="9168"/>
      <c r="B88" s="6082"/>
      <c r="C88"/>
      <c r="D88" s="356" t="s">
        <v>572</v>
      </c>
      <c r="E88" s="1"/>
      <c r="F88" s="559" t="e">
        <f>F87/(F17+F18)</f>
        <v>#DIV/0!</v>
      </c>
      <c r="G88" s="560"/>
      <c r="H88" s="561">
        <f>H87/(H17+H18)</f>
        <v>0.10429938106402707</v>
      </c>
      <c r="I88" s="562">
        <f>I87/(I17+I18)</f>
        <v>9.396897160189141E-2</v>
      </c>
      <c r="J88" s="563"/>
      <c r="K88" s="560"/>
      <c r="L88" s="561">
        <f>L87/(L17+L18)</f>
        <v>0.11493780481122252</v>
      </c>
      <c r="M88" s="563">
        <f>M87/(M17+M18)</f>
        <v>0.10326654412796395</v>
      </c>
      <c r="N88" s="456"/>
      <c r="O88" s="561">
        <f>O87/SUM(O17:O20)</f>
        <v>0.11299178622398109</v>
      </c>
      <c r="P88" s="562">
        <f>P87/SUM(P17:P20)</f>
        <v>0.11171875459037679</v>
      </c>
      <c r="Q88" s="562"/>
      <c r="R88" s="563"/>
      <c r="S88" s="560"/>
      <c r="T88" s="561">
        <f>T87/SUM(T17:T20)</f>
        <v>0.1245602358086907</v>
      </c>
      <c r="U88" s="562"/>
      <c r="V88" s="563">
        <f>V87/SUM(V17:V20)</f>
        <v>0.14472028755075181</v>
      </c>
      <c r="W88" s="456"/>
      <c r="X88" s="563">
        <f t="shared" ref="X88:Y88" si="29">X87/SUM(X17:X20)</f>
        <v>0.12208803692959619</v>
      </c>
      <c r="Y88" s="563">
        <f t="shared" si="29"/>
        <v>0.1412011864645476</v>
      </c>
      <c r="Z88" s="562"/>
      <c r="AA88" s="563"/>
      <c r="AB88" s="560"/>
      <c r="AC88" s="563">
        <f>AC87/SUM(AC17:AC20)</f>
        <v>0.12212098952474175</v>
      </c>
      <c r="AD88" s="562"/>
      <c r="AE88" s="563">
        <f>AE87/SUM(AE17:AE20)</f>
        <v>0.12544774215987481</v>
      </c>
      <c r="AF88" s="563"/>
      <c r="AG88" s="456"/>
      <c r="AH88" s="563">
        <f>AH87/SUM(AH17:AH20)</f>
        <v>0.12130228399847018</v>
      </c>
      <c r="AI88" s="562"/>
      <c r="AJ88" s="563">
        <f>AJ87/SUM(AJ17:AJ20)</f>
        <v>0.12092995436323629</v>
      </c>
      <c r="AK88" s="563"/>
      <c r="AL88" s="456"/>
      <c r="AM88" s="6298">
        <f>AM87/SUM(AM17:AM20)</f>
        <v>0.15414705271790033</v>
      </c>
      <c r="AN88" s="3412">
        <f>AN87/SUM(AN17:AN20)</f>
        <v>0.14563920596546864</v>
      </c>
      <c r="AO88" s="562"/>
      <c r="AP88" s="563"/>
      <c r="AQ88" s="560"/>
      <c r="AR88" s="561">
        <f>AR87/SUM(AR17:AR20)</f>
        <v>0.15047552826314139</v>
      </c>
      <c r="AS88" s="3412"/>
      <c r="AT88" s="563">
        <f>AT87/SUM(AT17:AT20)</f>
        <v>0.15194388902733483</v>
      </c>
      <c r="AU88" s="563"/>
      <c r="AV88" s="456"/>
      <c r="AW88" s="6298">
        <f>AW87/SUM(AW17:AW20)</f>
        <v>0.15047552826314139</v>
      </c>
      <c r="AX88" s="3412">
        <f>AX87/SUM(AX17:AX20)</f>
        <v>0.15194388902733483</v>
      </c>
      <c r="AY88" s="562"/>
      <c r="AZ88" s="563"/>
      <c r="BA88" s="560"/>
      <c r="BB88" s="561">
        <f>BB87/SUM(BB17:BB20)</f>
        <v>0.12698379806949217</v>
      </c>
      <c r="BC88" s="3412"/>
      <c r="BD88" s="563">
        <f>BD87/SUM(BD17:BD20)</f>
        <v>0.13250845045398721</v>
      </c>
      <c r="BE88" s="369"/>
      <c r="BF88"/>
    </row>
    <row r="89" spans="1:58" s="462" customFormat="1" x14ac:dyDescent="0.35">
      <c r="A89" s="9168"/>
      <c r="B89" s="1478"/>
      <c r="C89" s="1479"/>
      <c r="D89" s="1451" t="s">
        <v>573</v>
      </c>
      <c r="E89" s="392"/>
      <c r="F89" s="5408"/>
      <c r="G89" s="1505"/>
      <c r="H89" s="1503"/>
      <c r="I89" s="1504"/>
      <c r="J89" s="890"/>
      <c r="K89" s="1505"/>
      <c r="L89" s="1506"/>
      <c r="M89" s="247"/>
      <c r="N89" s="2974"/>
      <c r="O89" s="5409">
        <f>O36</f>
        <v>1583.3</v>
      </c>
      <c r="P89" s="5409">
        <f>P36</f>
        <v>1493.1</v>
      </c>
      <c r="Q89" s="5410"/>
      <c r="R89" s="5411"/>
      <c r="S89" s="5412"/>
      <c r="T89" s="5409">
        <f>T36</f>
        <v>2029.8</v>
      </c>
      <c r="U89" s="5410"/>
      <c r="V89" s="5413">
        <f>V36</f>
        <v>1908</v>
      </c>
      <c r="W89" s="456"/>
      <c r="X89" s="5409">
        <f t="shared" ref="X89:Y89" si="30">X36</f>
        <v>2029.8</v>
      </c>
      <c r="Y89" s="5409">
        <f t="shared" si="30"/>
        <v>1908</v>
      </c>
      <c r="Z89" s="5410"/>
      <c r="AA89" s="5411"/>
      <c r="AB89" s="5412"/>
      <c r="AC89" s="5409">
        <f>AC36</f>
        <v>2383.6729999999998</v>
      </c>
      <c r="AD89" s="5410"/>
      <c r="AE89" s="5413">
        <f>AE36</f>
        <v>2164.0990000000002</v>
      </c>
      <c r="AF89" s="5411"/>
      <c r="AG89" s="456"/>
      <c r="AH89" s="5409">
        <f>AH36</f>
        <v>2705.4569999999999</v>
      </c>
      <c r="AI89" s="5410"/>
      <c r="AJ89" s="5413">
        <f>AJ36</f>
        <v>2153.2570000000001</v>
      </c>
      <c r="AK89" s="5411"/>
      <c r="AL89" s="456"/>
      <c r="AM89" s="5409">
        <f>AM36</f>
        <v>2705.4569999999999</v>
      </c>
      <c r="AN89" s="6299">
        <f>AN36</f>
        <v>2153.2570000000001</v>
      </c>
      <c r="AO89" s="5410"/>
      <c r="AP89" s="5411"/>
      <c r="AQ89" s="5412"/>
      <c r="AR89" s="6300">
        <f>AR36</f>
        <v>2949.6039999999998</v>
      </c>
      <c r="AS89" s="7819"/>
      <c r="AT89" s="6301">
        <f>AT36</f>
        <v>2689.6860000000001</v>
      </c>
      <c r="AU89" s="5411"/>
      <c r="AV89" s="456"/>
      <c r="AW89" s="5409">
        <f>AW36</f>
        <v>2949.6039999999998</v>
      </c>
      <c r="AX89" s="6299">
        <f>AX36</f>
        <v>2689.6860000000001</v>
      </c>
      <c r="AY89" s="5410"/>
      <c r="AZ89" s="5411"/>
      <c r="BA89" s="5412"/>
      <c r="BB89" s="6300">
        <f>BB36</f>
        <v>3207.22</v>
      </c>
      <c r="BC89" s="7819"/>
      <c r="BD89" s="6301">
        <f>BD36</f>
        <v>2780.2832727272726</v>
      </c>
      <c r="BE89" s="1808"/>
      <c r="BF89"/>
    </row>
    <row r="90" spans="1:58" s="972" customFormat="1" x14ac:dyDescent="0.35">
      <c r="A90" s="9168"/>
      <c r="B90" s="1463"/>
      <c r="C90" s="1464"/>
      <c r="D90" s="1465" t="s">
        <v>574</v>
      </c>
      <c r="E90" s="961"/>
      <c r="F90" s="1466"/>
      <c r="G90" s="963"/>
      <c r="H90" s="1468"/>
      <c r="I90" s="1469"/>
      <c r="J90" s="966"/>
      <c r="K90" s="963"/>
      <c r="L90" s="1468"/>
      <c r="M90" s="247"/>
      <c r="N90" s="963"/>
      <c r="O90" s="1468">
        <f t="shared" ref="O90:P90" si="31">O37+O39</f>
        <v>35</v>
      </c>
      <c r="P90" s="1469">
        <f t="shared" si="31"/>
        <v>28</v>
      </c>
      <c r="Q90" s="968"/>
      <c r="R90" s="966"/>
      <c r="S90" s="963"/>
      <c r="T90" s="1473">
        <f t="shared" ref="T90" si="32">T37+T39</f>
        <v>40</v>
      </c>
      <c r="U90" s="970"/>
      <c r="V90" s="1475">
        <f t="shared" ref="V90" si="33">V37+V39</f>
        <v>37.1</v>
      </c>
      <c r="W90" s="971"/>
      <c r="X90" s="1468">
        <f t="shared" ref="X90:Y90" si="34">X37+X39</f>
        <v>40</v>
      </c>
      <c r="Y90" s="1469">
        <f t="shared" si="34"/>
        <v>37.1</v>
      </c>
      <c r="Z90" s="968"/>
      <c r="AA90" s="966"/>
      <c r="AB90" s="963"/>
      <c r="AC90" s="1473">
        <f t="shared" ref="AC90" si="35">AC37+AC39</f>
        <v>0</v>
      </c>
      <c r="AD90" s="970"/>
      <c r="AE90" s="5414">
        <f t="shared" ref="AE90" si="36">AE37+AE39</f>
        <v>0</v>
      </c>
      <c r="AF90" s="966"/>
      <c r="AG90" s="5415"/>
      <c r="AH90" s="1473">
        <f t="shared" ref="AH90" si="37">AH37+AH39</f>
        <v>0</v>
      </c>
      <c r="AI90" s="970"/>
      <c r="AJ90" s="5414">
        <f t="shared" ref="AJ90" si="38">AJ37+AJ39</f>
        <v>0</v>
      </c>
      <c r="AK90" s="966"/>
      <c r="AL90" s="971"/>
      <c r="AM90" s="1468">
        <f t="shared" ref="AM90:AN90" si="39">AM37+AM39</f>
        <v>732.55100000000004</v>
      </c>
      <c r="AN90" s="1469">
        <f t="shared" si="39"/>
        <v>561.72431894325234</v>
      </c>
      <c r="AO90" s="968"/>
      <c r="AP90" s="966"/>
      <c r="AQ90" s="963"/>
      <c r="AR90" s="1473">
        <f t="shared" ref="AR90" si="40">AR37+AR39</f>
        <v>712.06600000000003</v>
      </c>
      <c r="AS90" s="7820"/>
      <c r="AT90" s="6302">
        <f t="shared" ref="AT90" si="41">AT37+AT39</f>
        <v>618.08991983615124</v>
      </c>
      <c r="AU90" s="966"/>
      <c r="AV90" s="5415"/>
      <c r="AW90" s="1468">
        <f t="shared" ref="AW90:AX90" si="42">AW37+AW39</f>
        <v>712.06600000000003</v>
      </c>
      <c r="AX90" s="1469">
        <f t="shared" si="42"/>
        <v>618.08991983615124</v>
      </c>
      <c r="AY90" s="968"/>
      <c r="AZ90" s="966"/>
      <c r="BA90" s="963"/>
      <c r="BB90" s="1473">
        <f t="shared" ref="BB90" si="43">BB37+BB39</f>
        <v>530.91</v>
      </c>
      <c r="BC90" s="7820"/>
      <c r="BD90" s="6302">
        <f t="shared" ref="BD90" si="44">BD37+BD39</f>
        <v>366.77748823869035</v>
      </c>
      <c r="BE90" s="1472"/>
    </row>
    <row r="91" spans="1:58" s="462" customFormat="1" ht="12" customHeight="1" x14ac:dyDescent="0.35">
      <c r="A91" s="9168"/>
      <c r="B91" s="1449"/>
      <c r="C91" s="1450"/>
      <c r="D91" s="1451" t="s">
        <v>575</v>
      </c>
      <c r="E91" s="374"/>
      <c r="F91" s="5416"/>
      <c r="G91" s="958"/>
      <c r="H91" s="5417"/>
      <c r="I91" s="5418"/>
      <c r="J91" s="5419"/>
      <c r="K91" s="958"/>
      <c r="L91" s="5420"/>
      <c r="M91" s="247"/>
      <c r="N91" s="456"/>
      <c r="O91" s="5417">
        <f>(O87-O89)/SUM(O18:O20)</f>
        <v>6.5746219592373442E-3</v>
      </c>
      <c r="P91" s="5418">
        <f>(P87-P89)/SUM(P18:P20)</f>
        <v>5.2926654997599394E-3</v>
      </c>
      <c r="Q91" s="3622"/>
      <c r="R91" s="5419"/>
      <c r="S91" s="958"/>
      <c r="T91" s="5420">
        <f>(T87-T89)/SUM(T18:T20)</f>
        <v>6.9008945284532892E-3</v>
      </c>
      <c r="U91" s="3622"/>
      <c r="V91" s="5421">
        <f>(V87-V89)/SUM(V18:V20)</f>
        <v>9.8010984627333458E-3</v>
      </c>
      <c r="W91" s="456"/>
      <c r="X91" s="5421">
        <f t="shared" ref="X91:Y91" si="45">(X87-X89)/SUM(X18:X20)</f>
        <v>6.9008945284532892E-3</v>
      </c>
      <c r="Y91" s="5421">
        <f t="shared" si="45"/>
        <v>9.8010984627333458E-3</v>
      </c>
      <c r="Z91" s="3622"/>
      <c r="AA91" s="5419"/>
      <c r="AB91" s="958"/>
      <c r="AC91" s="5421">
        <f>(AC87-AC89)/SUM(AC18:AC20)</f>
        <v>0</v>
      </c>
      <c r="AD91" s="3622"/>
      <c r="AE91" s="5421">
        <f>(AE87-AE89)/SUM(AE18:AE20)</f>
        <v>0</v>
      </c>
      <c r="AF91" s="5419"/>
      <c r="AG91" s="456"/>
      <c r="AH91" s="5421">
        <f>(AH87-AH89)/SUM(AH18:AH20)</f>
        <v>0</v>
      </c>
      <c r="AI91" s="3622"/>
      <c r="AJ91" s="5421">
        <f>(AJ87-AJ89)/SUM(AJ18:AJ20)</f>
        <v>0</v>
      </c>
      <c r="AK91" s="5419"/>
      <c r="AL91" s="456"/>
      <c r="AM91" s="5417">
        <f>(AM87-AM89)/SUM(AM18:AM20)</f>
        <v>9.8029772212066782E-2</v>
      </c>
      <c r="AN91" s="5418">
        <f>(AN87-AN89)/SUM(AN18:AN20)</f>
        <v>9.802977221206681E-2</v>
      </c>
      <c r="AO91" s="3622"/>
      <c r="AP91" s="5419"/>
      <c r="AQ91" s="958"/>
      <c r="AR91" s="5420">
        <f>(AR87-AR89)/SUM(AR18:AR20)</f>
        <v>8.8655843023979705E-2</v>
      </c>
      <c r="AS91" s="7821"/>
      <c r="AT91" s="6303">
        <f>(AT87-AT89)/SUM(AT18:AT20)</f>
        <v>8.8655843023979677E-2</v>
      </c>
      <c r="AU91" s="5419"/>
      <c r="AV91" s="456"/>
      <c r="AW91" s="5417">
        <f>(AW87-AW89)/SUM(AW18:AW20)</f>
        <v>8.8655843023979705E-2</v>
      </c>
      <c r="AX91" s="5418">
        <f>(AX87-AX89)/SUM(AX18:AX20)</f>
        <v>8.8655843023979677E-2</v>
      </c>
      <c r="AY91" s="3622"/>
      <c r="AZ91" s="5419"/>
      <c r="BA91" s="958"/>
      <c r="BB91" s="5420">
        <f>(BB87-BB89)/SUM(BB18:BB20)</f>
        <v>4.4453468753794037E-2</v>
      </c>
      <c r="BC91" s="7821"/>
      <c r="BD91" s="6303">
        <f>(BD87-BD89)/SUM(BD18:BD20)</f>
        <v>4.445346875379403E-2</v>
      </c>
      <c r="BE91" s="1820"/>
      <c r="BF91"/>
    </row>
    <row r="92" spans="1:58" s="462" customFormat="1" ht="12" customHeight="1" x14ac:dyDescent="0.35">
      <c r="A92" s="9168"/>
      <c r="B92" s="1478"/>
      <c r="C92" s="1479"/>
      <c r="D92" s="1451" t="s">
        <v>576</v>
      </c>
      <c r="E92" s="392"/>
      <c r="F92" s="5422"/>
      <c r="G92" s="5423"/>
      <c r="H92" s="5424"/>
      <c r="I92" s="5425"/>
      <c r="J92" s="5426"/>
      <c r="K92" s="5423"/>
      <c r="L92" s="5427"/>
      <c r="M92" s="247"/>
      <c r="N92" s="456"/>
      <c r="O92" s="5424">
        <f>O89/O17</f>
        <v>0.17594607268985349</v>
      </c>
      <c r="P92" s="5425">
        <f>P89/P17</f>
        <v>0.17934919700664254</v>
      </c>
      <c r="Q92" s="5428"/>
      <c r="R92" s="5426"/>
      <c r="S92" s="5423"/>
      <c r="T92" s="5427">
        <f>T89/T17</f>
        <v>0.18758820055616601</v>
      </c>
      <c r="U92" s="5428"/>
      <c r="V92" s="5429">
        <f>V89/V17</f>
        <v>0.19761535848337461</v>
      </c>
      <c r="W92" s="456"/>
      <c r="X92" s="5424">
        <f t="shared" ref="X92:Y92" si="46">X89/X17</f>
        <v>0.18193078957675859</v>
      </c>
      <c r="Y92" s="5425">
        <f t="shared" si="46"/>
        <v>0.19098927036693364</v>
      </c>
      <c r="Z92" s="5428"/>
      <c r="AA92" s="5426"/>
      <c r="AB92" s="5423"/>
      <c r="AC92" s="5427">
        <f>AC89/AC17</f>
        <v>0.18264733363441582</v>
      </c>
      <c r="AD92" s="5428"/>
      <c r="AE92" s="5430">
        <f>AE89/AE17</f>
        <v>0.17968692397365602</v>
      </c>
      <c r="AF92" s="5426"/>
      <c r="AG92" s="456"/>
      <c r="AH92" s="5427">
        <f>AH89/AH17</f>
        <v>0.18242286771552771</v>
      </c>
      <c r="AI92" s="5428"/>
      <c r="AJ92" s="5430">
        <f>AJ89/AJ17</f>
        <v>0.17831366706774862</v>
      </c>
      <c r="AK92" s="5426"/>
      <c r="AL92" s="456"/>
      <c r="AM92" s="5424">
        <f>AM89/AM17</f>
        <v>0.18242286771552771</v>
      </c>
      <c r="AN92" s="5425">
        <f>AN89/AN17</f>
        <v>0.16676802184686901</v>
      </c>
      <c r="AO92" s="5428"/>
      <c r="AP92" s="5426"/>
      <c r="AQ92" s="5423"/>
      <c r="AR92" s="5427">
        <f>AR89/AR17</f>
        <v>0.18093299121161022</v>
      </c>
      <c r="AS92" s="7822"/>
      <c r="AT92" s="5430">
        <f>AT89/AT17</f>
        <v>0.18176096251300014</v>
      </c>
      <c r="AU92" s="5426"/>
      <c r="AV92" s="456"/>
      <c r="AW92" s="5424">
        <f>AW89/AW17</f>
        <v>0.18093299121161022</v>
      </c>
      <c r="AX92" s="5425">
        <f>AX89/AX17</f>
        <v>0.18176096251300014</v>
      </c>
      <c r="AY92" s="5428"/>
      <c r="AZ92" s="5426"/>
      <c r="BA92" s="5423"/>
      <c r="BB92" s="5427">
        <f>BB89/BB17</f>
        <v>0.18332418775864828</v>
      </c>
      <c r="BC92" s="7822"/>
      <c r="BD92" s="5430">
        <f>BD89/BD17</f>
        <v>0.17938388792382601</v>
      </c>
      <c r="BE92" s="7823"/>
      <c r="BF92"/>
    </row>
    <row r="93" spans="1:58" s="462" customFormat="1" ht="12" customHeight="1" x14ac:dyDescent="0.35">
      <c r="A93" s="9168"/>
      <c r="B93" s="1478"/>
      <c r="C93" s="1479"/>
      <c r="D93" s="1451"/>
      <c r="E93" s="392"/>
      <c r="F93" s="5422"/>
      <c r="G93" s="5423"/>
      <c r="H93" s="5424"/>
      <c r="I93" s="5425"/>
      <c r="J93" s="5426"/>
      <c r="K93" s="5423"/>
      <c r="L93" s="5427"/>
      <c r="M93" s="229"/>
      <c r="N93" s="456"/>
      <c r="O93" s="1489"/>
      <c r="P93" s="5431"/>
      <c r="Q93"/>
      <c r="R93" s="229"/>
      <c r="S93" s="392"/>
      <c r="T93" s="5432"/>
      <c r="U93"/>
      <c r="V93" s="5433"/>
      <c r="W93" s="456"/>
      <c r="X93" s="1489"/>
      <c r="Y93" s="5431"/>
      <c r="Z93"/>
      <c r="AA93" s="229"/>
      <c r="AB93" s="392"/>
      <c r="AC93" s="5432"/>
      <c r="AD93"/>
      <c r="AE93" s="3894"/>
      <c r="AF93" s="229"/>
      <c r="AG93" s="456"/>
      <c r="AH93" s="5432"/>
      <c r="AI93"/>
      <c r="AJ93" s="3894"/>
      <c r="AK93" s="229"/>
      <c r="AL93" s="456"/>
      <c r="AM93" s="1489"/>
      <c r="AN93" s="5431"/>
      <c r="AO93"/>
      <c r="AP93" s="229"/>
      <c r="AQ93" s="392"/>
      <c r="AR93" s="5432"/>
      <c r="AS93"/>
      <c r="AT93" s="3894"/>
      <c r="AU93" s="229"/>
      <c r="AV93" s="456"/>
      <c r="AW93" s="1489"/>
      <c r="AX93" s="5431"/>
      <c r="AY93"/>
      <c r="AZ93" s="229"/>
      <c r="BA93" s="392"/>
      <c r="BB93" s="5432"/>
      <c r="BC93"/>
      <c r="BD93" s="3894"/>
      <c r="BE93"/>
      <c r="BF93"/>
    </row>
    <row r="94" spans="1:58" s="462" customFormat="1" ht="12" customHeight="1" x14ac:dyDescent="0.35">
      <c r="A94" s="9168"/>
      <c r="B94" s="1478"/>
      <c r="C94" s="1479"/>
      <c r="D94" s="1451" t="s">
        <v>577</v>
      </c>
      <c r="E94" s="392"/>
      <c r="F94" s="5422"/>
      <c r="G94" s="5423"/>
      <c r="H94" s="5424"/>
      <c r="I94" s="5425"/>
      <c r="J94" s="5426"/>
      <c r="K94" s="5423"/>
      <c r="L94" s="5427"/>
      <c r="M94" s="229"/>
      <c r="N94" s="456"/>
      <c r="O94" s="1481">
        <f>O87/O12</f>
        <v>0.14516205711579327</v>
      </c>
      <c r="P94" s="5425">
        <f>P87/P12</f>
        <v>0.12803969053637612</v>
      </c>
      <c r="Q94" s="5428"/>
      <c r="R94" s="5426"/>
      <c r="S94" s="5423"/>
      <c r="T94" s="5427">
        <f>T87/T12</f>
        <v>0.15288669853221976</v>
      </c>
      <c r="U94" s="5428"/>
      <c r="V94" s="5429">
        <f>V87/V12</f>
        <v>0.1369589081028329</v>
      </c>
      <c r="W94" s="456"/>
      <c r="X94" s="1481">
        <f t="shared" ref="X94:Y94" si="47">X87/X12</f>
        <v>0.15288669853221976</v>
      </c>
      <c r="Y94" s="5425">
        <f t="shared" si="47"/>
        <v>0.1369589081028329</v>
      </c>
      <c r="Z94" s="5428"/>
      <c r="AA94" s="5426"/>
      <c r="AB94" s="5423"/>
      <c r="AC94" s="5427">
        <f>AC87/AC12</f>
        <v>0.15231234704375107</v>
      </c>
      <c r="AD94" s="5428"/>
      <c r="AE94" s="5430">
        <f>AE87/AE12</f>
        <v>0.12998942232436164</v>
      </c>
      <c r="AF94" s="5426"/>
      <c r="AG94" s="456"/>
      <c r="AH94" s="5427">
        <f>AH87/AH12</f>
        <v>0.15336883935556284</v>
      </c>
      <c r="AI94" s="5428"/>
      <c r="AJ94" s="5430">
        <f>AJ87/AJ12</f>
        <v>0.10906360845519429</v>
      </c>
      <c r="AK94" s="5426"/>
      <c r="AL94" s="456"/>
      <c r="AM94" s="1481">
        <f>AM87/AM12</f>
        <v>0.19489620299089577</v>
      </c>
      <c r="AN94" s="5425">
        <f>AN87/AN12</f>
        <v>0.13751524297025103</v>
      </c>
      <c r="AO94" s="5428"/>
      <c r="AP94" s="5426"/>
      <c r="AQ94" s="5423"/>
      <c r="AR94" s="5427">
        <f>AR87/AR12</f>
        <v>0.18506124957419948</v>
      </c>
      <c r="AS94" s="7822"/>
      <c r="AT94" s="5430">
        <f>AT87/AT12</f>
        <v>0.13365037392057896</v>
      </c>
      <c r="AU94" s="5426"/>
      <c r="AV94" s="456"/>
      <c r="AW94" s="1481">
        <f>AW87/AW12</f>
        <v>0.18506124957419948</v>
      </c>
      <c r="AX94" s="5425">
        <f>AX87/AX12</f>
        <v>0.13365037392057896</v>
      </c>
      <c r="AY94" s="5428"/>
      <c r="AZ94" s="5426"/>
      <c r="BA94" s="5423"/>
      <c r="BB94" s="5427">
        <f>BB87/BB12</f>
        <v>0.15515631932865889</v>
      </c>
      <c r="BC94" s="7822"/>
      <c r="BD94" s="5430">
        <f>BD87/BD12</f>
        <v>0.14961715125067787</v>
      </c>
      <c r="BE94" s="7823"/>
      <c r="BF94"/>
    </row>
    <row r="95" spans="1:58" s="462" customFormat="1" ht="12" customHeight="1" x14ac:dyDescent="0.35">
      <c r="A95" s="9168"/>
      <c r="B95" s="1478"/>
      <c r="C95" s="1479"/>
      <c r="D95" s="1396" t="s">
        <v>578</v>
      </c>
      <c r="E95" s="392"/>
      <c r="F95" s="1480"/>
      <c r="G95" s="392"/>
      <c r="H95" s="1489"/>
      <c r="I95" s="5431"/>
      <c r="J95" s="229"/>
      <c r="K95" s="392"/>
      <c r="L95" s="5432"/>
      <c r="M95" s="229"/>
      <c r="N95" s="456"/>
      <c r="O95" s="1489"/>
      <c r="P95" s="5431"/>
      <c r="Q95"/>
      <c r="R95" s="229"/>
      <c r="S95" s="392"/>
      <c r="T95" s="5432"/>
      <c r="U95"/>
      <c r="V95" s="5433"/>
      <c r="W95" s="456"/>
      <c r="X95" s="1489"/>
      <c r="Y95" s="5431"/>
      <c r="Z95"/>
      <c r="AA95" s="229"/>
      <c r="AB95" s="392"/>
      <c r="AC95" s="5432"/>
      <c r="AD95"/>
      <c r="AE95" s="3894"/>
      <c r="AF95" s="229"/>
      <c r="AG95" s="456"/>
      <c r="AH95" s="5432"/>
      <c r="AI95"/>
      <c r="AJ95" s="3894"/>
      <c r="AK95" s="229"/>
      <c r="AL95" s="456"/>
      <c r="AM95" s="1489"/>
      <c r="AN95" s="5431"/>
      <c r="AO95"/>
      <c r="AP95" s="229"/>
      <c r="AQ95" s="392"/>
      <c r="AR95" s="5432"/>
      <c r="AS95"/>
      <c r="AT95" s="3894"/>
      <c r="AU95" s="229"/>
      <c r="AV95" s="456"/>
      <c r="AW95" s="1489"/>
      <c r="AX95" s="5431"/>
      <c r="AY95"/>
      <c r="AZ95" s="229"/>
      <c r="BA95" s="392"/>
      <c r="BB95" s="5432"/>
      <c r="BC95"/>
      <c r="BD95" s="3894"/>
      <c r="BE95"/>
      <c r="BF95"/>
    </row>
    <row r="96" spans="1:58" s="462" customFormat="1" ht="12" customHeight="1" x14ac:dyDescent="0.35">
      <c r="A96" s="9168"/>
      <c r="B96" s="1478"/>
      <c r="C96" s="1479"/>
      <c r="D96" s="1451" t="s">
        <v>579</v>
      </c>
      <c r="E96" s="392"/>
      <c r="F96" s="1480"/>
      <c r="G96" s="392"/>
      <c r="H96" s="1489"/>
      <c r="I96" s="5431"/>
      <c r="J96" s="229"/>
      <c r="K96" s="392"/>
      <c r="L96" s="5432"/>
      <c r="M96" s="229"/>
      <c r="N96" s="456"/>
      <c r="O96" s="1489"/>
      <c r="P96" s="5431"/>
      <c r="Q96"/>
      <c r="R96" s="229"/>
      <c r="S96" s="392"/>
      <c r="T96" s="5432"/>
      <c r="U96"/>
      <c r="V96" s="5433"/>
      <c r="W96" s="456"/>
      <c r="X96" s="1489"/>
      <c r="Y96" s="5431"/>
      <c r="Z96"/>
      <c r="AA96" s="229"/>
      <c r="AB96" s="392"/>
      <c r="AC96" s="5432"/>
      <c r="AD96"/>
      <c r="AE96" s="3894"/>
      <c r="AF96" s="229"/>
      <c r="AG96" s="456"/>
      <c r="AH96" s="5432"/>
      <c r="AI96"/>
      <c r="AJ96" s="3894"/>
      <c r="AK96" s="229"/>
      <c r="AL96" s="456"/>
      <c r="AM96" s="1489"/>
      <c r="AN96" s="5431"/>
      <c r="AO96"/>
      <c r="AP96" s="229"/>
      <c r="AQ96" s="392"/>
      <c r="AR96" s="5432"/>
      <c r="AS96"/>
      <c r="AT96" s="3894"/>
      <c r="AU96" s="229"/>
      <c r="AV96" s="456"/>
      <c r="AW96" s="1489"/>
      <c r="AX96" s="5431"/>
      <c r="AY96"/>
      <c r="AZ96" s="229"/>
      <c r="BA96" s="392"/>
      <c r="BB96" s="5432"/>
      <c r="BC96"/>
      <c r="BD96" s="3894"/>
      <c r="BE96"/>
      <c r="BF96"/>
    </row>
    <row r="97" spans="1:58" s="462" customFormat="1" ht="12" customHeight="1" x14ac:dyDescent="0.35">
      <c r="A97" s="9168"/>
      <c r="B97" s="1478"/>
      <c r="C97" s="1479"/>
      <c r="D97" s="1451"/>
      <c r="E97" s="392"/>
      <c r="F97" s="1480"/>
      <c r="G97" s="392"/>
      <c r="H97" s="1489"/>
      <c r="I97" s="5431"/>
      <c r="J97" s="229"/>
      <c r="K97" s="392"/>
      <c r="L97" s="5432"/>
      <c r="M97" s="229"/>
      <c r="N97" s="456"/>
      <c r="O97" s="1489"/>
      <c r="P97" s="5431"/>
      <c r="Q97"/>
      <c r="R97" s="229"/>
      <c r="S97" s="392"/>
      <c r="T97" s="5432"/>
      <c r="U97"/>
      <c r="V97" s="5433"/>
      <c r="W97" s="456"/>
      <c r="X97" s="1489"/>
      <c r="Y97" s="5431"/>
      <c r="Z97"/>
      <c r="AA97" s="229"/>
      <c r="AB97" s="392"/>
      <c r="AC97" s="5432"/>
      <c r="AD97"/>
      <c r="AE97" s="3894"/>
      <c r="AF97" s="229"/>
      <c r="AG97" s="456"/>
      <c r="AH97" s="5432"/>
      <c r="AI97"/>
      <c r="AJ97" s="3894"/>
      <c r="AK97" s="229"/>
      <c r="AL97" s="456"/>
      <c r="AM97" s="1489"/>
      <c r="AN97" s="5431"/>
      <c r="AO97"/>
      <c r="AP97" s="229"/>
      <c r="AQ97" s="392"/>
      <c r="AR97" s="5432"/>
      <c r="AS97"/>
      <c r="AT97" s="3894"/>
      <c r="AU97" s="229"/>
      <c r="AV97" s="456"/>
      <c r="AW97" s="1489"/>
      <c r="AX97" s="5431"/>
      <c r="AY97"/>
      <c r="AZ97" s="229"/>
      <c r="BA97" s="392"/>
      <c r="BB97" s="5432"/>
      <c r="BC97"/>
      <c r="BD97" s="3894"/>
      <c r="BE97"/>
      <c r="BF97"/>
    </row>
    <row r="98" spans="1:58" s="462" customFormat="1" x14ac:dyDescent="0.35">
      <c r="A98" s="9168"/>
      <c r="B98" s="1478"/>
      <c r="C98" s="1479"/>
      <c r="D98" s="1510" t="s">
        <v>580</v>
      </c>
      <c r="E98" s="424"/>
      <c r="F98" s="5434"/>
      <c r="G98" s="982"/>
      <c r="H98" s="5435"/>
      <c r="I98" s="5436"/>
      <c r="J98" s="246"/>
      <c r="K98" s="982"/>
      <c r="L98" s="5437"/>
      <c r="M98" s="1233"/>
      <c r="N98" s="456"/>
      <c r="O98" s="5435"/>
      <c r="P98" s="5436"/>
      <c r="Q98" s="985"/>
      <c r="R98" s="246"/>
      <c r="S98" s="982"/>
      <c r="T98" s="5437"/>
      <c r="U98" s="985"/>
      <c r="V98" s="5438"/>
      <c r="W98" s="456"/>
      <c r="X98" s="5435"/>
      <c r="Y98" s="5436"/>
      <c r="Z98" s="985"/>
      <c r="AA98" s="246"/>
      <c r="AB98" s="982"/>
      <c r="AC98" s="5437"/>
      <c r="AD98" s="985"/>
      <c r="AE98" s="5439"/>
      <c r="AF98" s="246"/>
      <c r="AG98" s="456"/>
      <c r="AH98" s="5437"/>
      <c r="AI98" s="985"/>
      <c r="AJ98" s="5439"/>
      <c r="AK98" s="246"/>
      <c r="AL98" s="456"/>
      <c r="AM98" s="5435"/>
      <c r="AN98" s="5436"/>
      <c r="AO98" s="985"/>
      <c r="AP98" s="246"/>
      <c r="AQ98" s="982"/>
      <c r="AR98" s="5437"/>
      <c r="AS98" s="985"/>
      <c r="AT98" s="5439"/>
      <c r="AU98" s="246"/>
      <c r="AV98" s="456"/>
      <c r="AW98" s="5435"/>
      <c r="AX98" s="5436"/>
      <c r="AY98" s="985"/>
      <c r="AZ98" s="246"/>
      <c r="BA98" s="982"/>
      <c r="BB98" s="5437"/>
      <c r="BC98" s="985"/>
      <c r="BD98" s="5439"/>
      <c r="BE98" s="221"/>
      <c r="BF98"/>
    </row>
    <row r="99" spans="1:58" s="462" customFormat="1" x14ac:dyDescent="0.35">
      <c r="A99" s="9169"/>
      <c r="B99" s="1518"/>
      <c r="C99" s="1519"/>
      <c r="D99" s="1416" t="s">
        <v>581</v>
      </c>
      <c r="E99" s="274"/>
      <c r="F99" s="5440"/>
      <c r="G99" s="460"/>
      <c r="H99" s="5441"/>
      <c r="I99" s="5442"/>
      <c r="J99" s="988"/>
      <c r="K99" s="460"/>
      <c r="L99" s="5443"/>
      <c r="M99" s="5444"/>
      <c r="N99" s="456"/>
      <c r="O99" s="5441"/>
      <c r="P99" s="5442"/>
      <c r="Q99" s="989"/>
      <c r="R99" s="988"/>
      <c r="S99" s="460"/>
      <c r="T99" s="5443"/>
      <c r="U99" s="989"/>
      <c r="V99" s="5445"/>
      <c r="W99" s="456"/>
      <c r="X99" s="5441"/>
      <c r="Y99" s="5442"/>
      <c r="Z99" s="989"/>
      <c r="AA99" s="988"/>
      <c r="AB99" s="460"/>
      <c r="AC99" s="5443"/>
      <c r="AD99" s="989"/>
      <c r="AE99" s="5446"/>
      <c r="AF99" s="988"/>
      <c r="AG99" s="456"/>
      <c r="AH99" s="5443"/>
      <c r="AI99" s="989"/>
      <c r="AJ99" s="5446"/>
      <c r="AK99" s="988"/>
      <c r="AL99" s="456"/>
      <c r="AM99" s="5441"/>
      <c r="AN99" s="5442"/>
      <c r="AO99" s="989"/>
      <c r="AP99" s="988"/>
      <c r="AQ99" s="460"/>
      <c r="AR99" s="5443"/>
      <c r="AS99" s="989"/>
      <c r="AT99" s="5446"/>
      <c r="AU99" s="988"/>
      <c r="AV99" s="456"/>
      <c r="AW99" s="5441"/>
      <c r="AX99" s="5442"/>
      <c r="AY99" s="989"/>
      <c r="AZ99" s="988"/>
      <c r="BA99" s="460"/>
      <c r="BB99" s="5443"/>
      <c r="BC99" s="989"/>
      <c r="BD99" s="5446"/>
      <c r="BE99" s="1824"/>
      <c r="BF99"/>
    </row>
    <row r="100" spans="1:58" s="449" customFormat="1" ht="15.5" x14ac:dyDescent="0.35">
      <c r="C100" s="450"/>
      <c r="D100" s="450"/>
      <c r="E100" s="450"/>
      <c r="F100" s="451"/>
      <c r="G100" s="450"/>
      <c r="H100" s="451"/>
      <c r="I100" s="451"/>
      <c r="J100" s="452"/>
      <c r="K100" s="450"/>
      <c r="L100" s="451"/>
      <c r="M100" s="451"/>
      <c r="N100" s="453"/>
      <c r="O100" s="451">
        <f t="shared" ref="O100:P100" si="48">((O87-O89)/O87)</f>
        <v>2.1627633936847308E-2</v>
      </c>
      <c r="P100" s="451">
        <f t="shared" si="48"/>
        <v>1.8407731247123794E-2</v>
      </c>
      <c r="Q100" s="454"/>
      <c r="R100" s="454"/>
      <c r="S100" s="454"/>
      <c r="T100" s="451">
        <f t="shared" ref="T100" si="49">((T87-T89)/T87)</f>
        <v>1.9325538699391354E-2</v>
      </c>
      <c r="U100" s="454"/>
      <c r="V100" s="451">
        <f t="shared" ref="V100" si="50">((V87-V89)/V87)</f>
        <v>1.9073569482288784E-2</v>
      </c>
      <c r="W100" s="454"/>
      <c r="X100" s="451">
        <f t="shared" ref="X100:Y100" si="51">((X87-X89)/X87)</f>
        <v>1.9325538699391354E-2</v>
      </c>
      <c r="Y100" s="451">
        <f t="shared" si="51"/>
        <v>1.9073569482288784E-2</v>
      </c>
      <c r="Z100" s="454"/>
      <c r="AA100" s="454"/>
      <c r="AB100" s="454"/>
      <c r="AC100" s="451">
        <f t="shared" ref="AC100" si="52">((AC87-AC89)/AC87)</f>
        <v>0</v>
      </c>
      <c r="AD100" s="454"/>
      <c r="AE100" s="451">
        <f t="shared" ref="AE100" si="53">((AE87-AE89)/AE87)</f>
        <v>0</v>
      </c>
      <c r="AF100" s="454"/>
      <c r="AG100" s="1536"/>
      <c r="AH100" s="451">
        <f t="shared" ref="AH100" si="54">((AH87-AH89)/AH87)</f>
        <v>0</v>
      </c>
      <c r="AI100" s="454"/>
      <c r="AJ100" s="451">
        <f t="shared" ref="AJ100" si="55">((AJ87-AJ89)/AJ87)</f>
        <v>0</v>
      </c>
      <c r="AK100" s="454"/>
      <c r="AL100" s="454"/>
      <c r="AM100" s="451">
        <f t="shared" ref="AM100:AN100" si="56">((AM87-AM89)/AM87)</f>
        <v>0.21307425695344512</v>
      </c>
      <c r="AN100" s="451">
        <f t="shared" si="56"/>
        <v>0.20689804199532816</v>
      </c>
      <c r="AO100" s="454"/>
      <c r="AP100" s="454"/>
      <c r="AQ100" s="454"/>
      <c r="AR100" s="451">
        <f t="shared" ref="AR100" si="57">((AR87-AR89)/AR87)</f>
        <v>0.19446482069656748</v>
      </c>
      <c r="AS100" s="454"/>
      <c r="AT100" s="451">
        <f t="shared" ref="AT100" si="58">((AT87-AT89)/AT87)</f>
        <v>0.1868596709134904</v>
      </c>
      <c r="AU100" s="454"/>
      <c r="AV100" s="1536"/>
      <c r="AW100" s="451">
        <f t="shared" ref="AW100:AX100" si="59">((AW87-AW89)/AW87)</f>
        <v>0.19446482069656748</v>
      </c>
      <c r="AX100" s="451">
        <f t="shared" si="59"/>
        <v>0.1868596709134904</v>
      </c>
      <c r="AY100" s="454"/>
      <c r="AZ100" s="454"/>
      <c r="BA100" s="454"/>
      <c r="BB100" s="451">
        <f t="shared" ref="BB100" si="60">((BB87-BB89)/BB87)</f>
        <v>0.14202555823366225</v>
      </c>
      <c r="BC100" s="454"/>
      <c r="BD100" s="451">
        <f t="shared" ref="BD100" si="61">((BD87-BD89)/BD87)</f>
        <v>0.11654604600837484</v>
      </c>
      <c r="BE100" s="1536"/>
    </row>
    <row r="101" spans="1:58" s="462" customFormat="1" ht="15.25" customHeight="1" x14ac:dyDescent="0.35">
      <c r="A101" s="455" t="s">
        <v>582</v>
      </c>
      <c r="B101" s="455"/>
      <c r="C101" s="456"/>
      <c r="D101" s="456"/>
      <c r="E101" s="457"/>
      <c r="F101" s="458"/>
      <c r="G101" s="456"/>
      <c r="H101" s="458"/>
      <c r="I101" s="458"/>
      <c r="J101" s="459"/>
      <c r="K101" s="456"/>
      <c r="L101" s="458"/>
      <c r="M101" s="458"/>
      <c r="N101" s="460"/>
      <c r="O101" s="458" t="str">
        <f>IF(O89+O90=O87,"ok","erreur total")</f>
        <v>ok</v>
      </c>
      <c r="P101" s="458" t="str">
        <f>IF(P89+P90=P87,"ok","erreur total")</f>
        <v>ok</v>
      </c>
      <c r="Q101" s="461"/>
      <c r="R101" s="461"/>
      <c r="S101" s="461"/>
      <c r="T101" s="458" t="str">
        <f>IF(T89+T90=T87,"ok","erreur total")</f>
        <v>ok</v>
      </c>
      <c r="U101" s="458"/>
      <c r="V101" s="458" t="str">
        <f>IF(V89+V90=V87,"ok","erreur total")</f>
        <v>ok</v>
      </c>
      <c r="W101" s="461"/>
      <c r="X101" s="458" t="str">
        <f>IF(X89+X90=X87,"ok","erreur total")</f>
        <v>ok</v>
      </c>
      <c r="Y101" s="458" t="str">
        <f>IF(Y89+Y90=Y87,"ok","erreur total")</f>
        <v>ok</v>
      </c>
      <c r="Z101" s="461"/>
      <c r="AA101" s="461"/>
      <c r="AB101" s="461"/>
      <c r="AC101" s="458" t="str">
        <f>IF(AC89+AC90=AC87,"ok","erreur total")</f>
        <v>ok</v>
      </c>
      <c r="AD101" s="458"/>
      <c r="AE101" s="458" t="str">
        <f>IF(AE89+AE90=AE87,"ok","erreur total")</f>
        <v>ok</v>
      </c>
      <c r="AF101" s="461"/>
      <c r="AG101" s="461"/>
      <c r="AH101" s="458" t="str">
        <f>IF(AH89+AH90=AH87,"ok","erreur total")</f>
        <v>ok</v>
      </c>
      <c r="AI101" s="458"/>
      <c r="AJ101" s="458" t="str">
        <f>IF(AJ89+AJ90=AJ87,"ok","erreur total")</f>
        <v>ok</v>
      </c>
      <c r="AK101" s="461"/>
      <c r="AL101" s="461"/>
      <c r="AM101" s="458" t="str">
        <f>IF(AM89+AM90=AM87,"ok","erreur total")</f>
        <v>ok</v>
      </c>
      <c r="AN101" s="458" t="str">
        <f>IF(AN89+AN90=AN87,"ok","erreur total")</f>
        <v>ok</v>
      </c>
      <c r="AO101" s="461"/>
      <c r="AP101" s="461"/>
      <c r="AQ101" s="461"/>
      <c r="AR101" s="458" t="str">
        <f>IF(AR89+AR90=AR87,"ok","erreur total")</f>
        <v>ok</v>
      </c>
      <c r="AS101" s="458"/>
      <c r="AT101" s="458" t="str">
        <f>IF(AT89+AT90=AT87,"ok","erreur total")</f>
        <v>ok</v>
      </c>
      <c r="AU101" s="461"/>
      <c r="AV101" s="461"/>
      <c r="AW101" s="458" t="str">
        <f>IF(AW89+AW90=AW87,"ok","erreur total")</f>
        <v>ok</v>
      </c>
      <c r="AX101" s="458" t="str">
        <f>IF(AX89+AX90=AX87,"ok","erreur total")</f>
        <v>ok</v>
      </c>
      <c r="AY101" s="461"/>
      <c r="AZ101" s="461"/>
      <c r="BA101" s="461"/>
      <c r="BB101" s="458" t="str">
        <f>IF(BB89+BB90=BB87,"ok","erreur total")</f>
        <v>ok</v>
      </c>
      <c r="BC101" s="458"/>
      <c r="BD101" s="458" t="str">
        <f>IF(BD89+BD90=BD87,"ok","erreur total")</f>
        <v>ok</v>
      </c>
      <c r="BE101" s="461"/>
      <c r="BF101"/>
    </row>
    <row r="102" spans="1:58" s="462" customFormat="1" ht="12" x14ac:dyDescent="0.3">
      <c r="A102" s="463">
        <v>1</v>
      </c>
      <c r="B102" s="464" t="str">
        <f>BF12</f>
        <v>Domestic revenues</v>
      </c>
      <c r="D102" s="709"/>
      <c r="E102" s="466"/>
      <c r="F102" s="466"/>
      <c r="G102" s="466"/>
      <c r="H102" s="466"/>
      <c r="I102" s="466"/>
      <c r="J102" s="467"/>
      <c r="K102" s="466"/>
      <c r="L102" s="466"/>
      <c r="M102" s="466"/>
      <c r="N102" s="456"/>
      <c r="O102" s="466"/>
      <c r="P102" s="466"/>
      <c r="Q102" s="466"/>
      <c r="R102" s="467"/>
      <c r="S102" s="466"/>
      <c r="T102" s="466"/>
      <c r="U102" s="466"/>
      <c r="V102" s="466"/>
      <c r="W102" s="456"/>
      <c r="X102" s="466"/>
      <c r="Y102" s="466"/>
      <c r="Z102" s="466"/>
      <c r="AA102" s="467"/>
      <c r="AB102" s="466"/>
      <c r="AC102" s="466"/>
      <c r="AD102" s="466"/>
      <c r="AE102" s="466"/>
      <c r="AF102" s="467"/>
      <c r="AG102" s="456"/>
      <c r="AH102" s="466"/>
      <c r="AI102" s="466"/>
      <c r="AJ102" s="466"/>
      <c r="AK102" s="467"/>
      <c r="AL102" s="456"/>
      <c r="AM102" s="466"/>
      <c r="AN102" s="466"/>
      <c r="AO102" s="466"/>
      <c r="AP102" s="467"/>
      <c r="AQ102" s="466"/>
      <c r="AR102" s="466"/>
      <c r="AS102" s="466"/>
      <c r="AT102" s="466"/>
      <c r="AU102" s="467"/>
      <c r="AV102" s="456"/>
      <c r="AW102" s="466"/>
      <c r="AX102" s="466"/>
      <c r="AY102" s="466"/>
      <c r="AZ102" s="467"/>
      <c r="BA102" s="466"/>
      <c r="BB102" s="466"/>
      <c r="BC102" s="466"/>
      <c r="BD102" s="466"/>
      <c r="BE102" s="467"/>
      <c r="BF102" s="577"/>
    </row>
    <row r="103" spans="1:58" s="462" customFormat="1" ht="12" x14ac:dyDescent="0.3">
      <c r="A103" s="468">
        <v>2</v>
      </c>
      <c r="B103" s="469" t="str">
        <f>BF13</f>
        <v>for the 2015 exercise: row Technical assistance (projects) in the TOFE</v>
      </c>
      <c r="D103" s="2"/>
      <c r="E103" s="456"/>
      <c r="F103" s="456"/>
      <c r="G103" s="456"/>
      <c r="H103" s="459"/>
      <c r="I103" s="459"/>
      <c r="J103" s="7"/>
      <c r="K103" s="456"/>
      <c r="N103" s="456"/>
      <c r="O103" s="459"/>
      <c r="P103" s="459"/>
      <c r="Q103" s="459"/>
      <c r="R103" s="7"/>
      <c r="S103" s="456"/>
      <c r="W103" s="456"/>
      <c r="X103" s="459"/>
      <c r="Y103" s="459"/>
      <c r="Z103" s="459"/>
      <c r="AA103" s="7"/>
      <c r="AB103" s="456"/>
      <c r="AF103" s="7"/>
      <c r="AG103" s="456"/>
      <c r="AK103" s="7"/>
      <c r="AL103" s="456"/>
      <c r="AM103" s="459"/>
      <c r="AN103" s="459"/>
      <c r="AO103" s="459"/>
      <c r="AP103" s="7"/>
      <c r="AQ103" s="456"/>
      <c r="AU103" s="7"/>
      <c r="AV103" s="456"/>
      <c r="AW103" s="459"/>
      <c r="AX103" s="459"/>
      <c r="AY103" s="459"/>
      <c r="AZ103" s="7"/>
      <c r="BA103" s="456"/>
      <c r="BE103" s="7"/>
      <c r="BF103" s="577"/>
    </row>
    <row r="104" spans="1:58" s="462" customFormat="1" ht="12" x14ac:dyDescent="0.3">
      <c r="A104" s="463">
        <v>3</v>
      </c>
      <c r="B104" s="469" t="str">
        <f>BF36</f>
        <v>All central &amp; POE expenditures</v>
      </c>
      <c r="D104" s="2"/>
      <c r="E104" s="456"/>
      <c r="F104" s="456"/>
      <c r="G104" s="456"/>
      <c r="H104" s="459"/>
      <c r="I104" s="459"/>
      <c r="J104" s="7"/>
      <c r="K104" s="456"/>
      <c r="N104" s="456"/>
      <c r="O104" s="459"/>
      <c r="P104" s="459"/>
      <c r="Q104" s="459"/>
      <c r="R104" s="7"/>
      <c r="S104" s="456"/>
      <c r="W104" s="456"/>
      <c r="X104" s="459"/>
      <c r="Y104" s="459"/>
      <c r="Z104" s="459"/>
      <c r="AA104" s="7"/>
      <c r="AB104" s="456"/>
      <c r="AF104" s="7"/>
      <c r="AG104" s="456"/>
      <c r="AK104" s="7"/>
      <c r="AL104" s="456"/>
      <c r="AM104" s="459"/>
      <c r="AN104" s="459"/>
      <c r="AO104" s="459"/>
      <c r="AP104" s="7"/>
      <c r="AQ104" s="456"/>
      <c r="AU104" s="7"/>
      <c r="AV104" s="456"/>
      <c r="AW104" s="459"/>
      <c r="AX104" s="459"/>
      <c r="AY104" s="459"/>
      <c r="AZ104" s="7"/>
      <c r="BA104" s="456"/>
      <c r="BE104" s="7"/>
      <c r="BF104" s="577"/>
    </row>
    <row r="105" spans="1:58" s="462" customFormat="1" ht="12" x14ac:dyDescent="0.3">
      <c r="A105" s="468"/>
      <c r="B105" s="469"/>
      <c r="D105" s="2"/>
      <c r="E105" s="456"/>
      <c r="F105" s="456"/>
      <c r="G105" s="456"/>
      <c r="H105" s="459"/>
      <c r="I105" s="459"/>
      <c r="J105" s="7"/>
      <c r="K105" s="456"/>
      <c r="N105" s="456"/>
      <c r="O105" s="459"/>
      <c r="P105" s="459"/>
      <c r="Q105" s="459"/>
      <c r="R105" s="7"/>
      <c r="S105" s="456"/>
      <c r="W105" s="456"/>
      <c r="X105" s="459"/>
      <c r="Y105" s="459"/>
      <c r="Z105" s="459"/>
      <c r="AA105" s="7"/>
      <c r="AB105" s="456"/>
      <c r="AF105" s="7"/>
      <c r="AG105" s="456"/>
      <c r="AK105" s="7"/>
      <c r="AL105" s="456"/>
      <c r="AM105" s="459"/>
      <c r="AN105" s="459"/>
      <c r="AO105" s="459"/>
      <c r="AP105" s="7"/>
      <c r="AQ105" s="456"/>
      <c r="AU105" s="7"/>
      <c r="AV105" s="456"/>
      <c r="AW105" s="459"/>
      <c r="AX105" s="459"/>
      <c r="AY105" s="459"/>
      <c r="AZ105" s="7"/>
      <c r="BA105" s="456"/>
      <c r="BE105" s="7"/>
      <c r="BF105" s="577"/>
    </row>
    <row r="106" spans="1:58" s="462" customFormat="1" ht="12" x14ac:dyDescent="0.3">
      <c r="A106" s="468"/>
      <c r="B106" s="469"/>
      <c r="D106" s="2"/>
      <c r="E106" s="456"/>
      <c r="F106" s="456"/>
      <c r="G106" s="456"/>
      <c r="H106" s="459"/>
      <c r="I106" s="459"/>
      <c r="J106" s="7"/>
      <c r="K106" s="456"/>
      <c r="N106" s="456"/>
      <c r="O106" s="459"/>
      <c r="P106" s="459"/>
      <c r="Q106" s="459"/>
      <c r="R106" s="7"/>
      <c r="S106" s="456"/>
      <c r="W106" s="456"/>
      <c r="X106" s="459"/>
      <c r="Y106" s="459"/>
      <c r="Z106" s="459"/>
      <c r="AA106" s="7"/>
      <c r="AB106" s="456"/>
      <c r="AF106" s="7"/>
      <c r="AG106" s="456"/>
      <c r="AK106" s="7"/>
      <c r="AL106" s="456"/>
      <c r="AM106" s="459"/>
      <c r="AN106" s="459"/>
      <c r="AO106" s="459"/>
      <c r="AP106" s="7"/>
      <c r="AQ106" s="456"/>
      <c r="AU106" s="7"/>
      <c r="AV106" s="456"/>
      <c r="AW106" s="459"/>
      <c r="AX106" s="459"/>
      <c r="AY106" s="459"/>
      <c r="AZ106" s="7"/>
      <c r="BA106" s="456"/>
      <c r="BE106" s="7"/>
      <c r="BF106" s="577"/>
    </row>
    <row r="107" spans="1:58" s="462" customFormat="1" ht="12" x14ac:dyDescent="0.3">
      <c r="A107" s="468"/>
      <c r="B107" s="469"/>
      <c r="D107" s="2"/>
      <c r="E107" s="456"/>
      <c r="F107" s="456"/>
      <c r="G107" s="456"/>
      <c r="H107" s="459"/>
      <c r="I107" s="459"/>
      <c r="J107" s="7"/>
      <c r="K107" s="456"/>
      <c r="N107" s="456"/>
      <c r="O107" s="459"/>
      <c r="P107" s="459"/>
      <c r="Q107" s="459"/>
      <c r="R107" s="7"/>
      <c r="S107" s="456"/>
      <c r="W107" s="456"/>
      <c r="X107" s="459"/>
      <c r="Y107" s="459"/>
      <c r="Z107" s="459"/>
      <c r="AA107" s="7"/>
      <c r="AB107" s="456"/>
      <c r="AF107" s="7"/>
      <c r="AG107" s="456"/>
      <c r="AK107" s="7"/>
      <c r="AL107" s="456"/>
      <c r="AM107" s="459"/>
      <c r="AN107" s="459"/>
      <c r="AO107" s="459"/>
      <c r="AP107" s="7"/>
      <c r="AQ107" s="456"/>
      <c r="AU107" s="7"/>
      <c r="AV107" s="456"/>
      <c r="AW107" s="459"/>
      <c r="AX107" s="459"/>
      <c r="AY107" s="459"/>
      <c r="AZ107" s="7"/>
      <c r="BA107" s="456"/>
      <c r="BE107" s="7"/>
      <c r="BF107" s="577"/>
    </row>
    <row r="108" spans="1:58" s="462" customFormat="1" ht="12" x14ac:dyDescent="0.3">
      <c r="A108" s="468"/>
      <c r="B108" s="469"/>
      <c r="D108" s="2"/>
      <c r="E108" s="456"/>
      <c r="F108" s="456"/>
      <c r="G108" s="456"/>
      <c r="H108" s="459"/>
      <c r="I108" s="459"/>
      <c r="J108" s="7"/>
      <c r="K108" s="456"/>
      <c r="N108" s="456"/>
      <c r="O108" s="459"/>
      <c r="P108" s="459"/>
      <c r="Q108" s="459"/>
      <c r="R108" s="7"/>
      <c r="S108" s="456"/>
      <c r="W108" s="456"/>
      <c r="X108" s="459"/>
      <c r="Y108" s="459"/>
      <c r="Z108" s="459"/>
      <c r="AA108" s="7"/>
      <c r="AB108" s="456"/>
      <c r="AF108" s="7"/>
      <c r="AG108" s="456"/>
      <c r="AK108" s="7"/>
      <c r="AL108" s="456"/>
      <c r="AM108" s="459"/>
      <c r="AN108" s="459"/>
      <c r="AO108" s="459"/>
      <c r="AP108" s="7"/>
      <c r="AQ108" s="456"/>
      <c r="AU108" s="7"/>
      <c r="AV108" s="456"/>
      <c r="AW108" s="459"/>
      <c r="AX108" s="459"/>
      <c r="AY108" s="459"/>
      <c r="AZ108" s="7"/>
      <c r="BA108" s="456"/>
      <c r="BE108" s="7"/>
      <c r="BF108" s="577"/>
    </row>
    <row r="109" spans="1:58" s="462" customFormat="1" ht="12" x14ac:dyDescent="0.3">
      <c r="A109" s="468"/>
      <c r="B109" s="469"/>
      <c r="D109" s="2"/>
      <c r="E109" s="456"/>
      <c r="F109" s="456"/>
      <c r="G109" s="456"/>
      <c r="H109" s="459"/>
      <c r="I109" s="459"/>
      <c r="J109" s="7"/>
      <c r="K109" s="456"/>
      <c r="N109" s="456"/>
      <c r="O109" s="459"/>
      <c r="P109" s="459"/>
      <c r="Q109" s="459"/>
      <c r="R109" s="7"/>
      <c r="S109" s="456"/>
      <c r="W109" s="456"/>
      <c r="X109" s="459"/>
      <c r="Y109" s="459"/>
      <c r="Z109" s="459"/>
      <c r="AA109" s="7"/>
      <c r="AB109" s="456"/>
      <c r="AF109" s="7"/>
      <c r="AG109" s="456"/>
      <c r="AK109" s="7"/>
      <c r="AL109" s="456"/>
      <c r="AM109" s="459"/>
      <c r="AN109" s="459"/>
      <c r="AO109" s="459"/>
      <c r="AP109" s="7"/>
      <c r="AQ109" s="456"/>
      <c r="AU109" s="7"/>
      <c r="AV109" s="456"/>
      <c r="AW109" s="459"/>
      <c r="AX109" s="459"/>
      <c r="AY109" s="459"/>
      <c r="AZ109" s="7"/>
      <c r="BA109" s="456"/>
      <c r="BE109" s="7"/>
      <c r="BF109" s="577"/>
    </row>
    <row r="110" spans="1:58" s="462" customFormat="1" ht="12" x14ac:dyDescent="0.3">
      <c r="A110" s="468"/>
      <c r="B110" s="469"/>
      <c r="D110" s="2"/>
      <c r="E110" s="456"/>
      <c r="F110" s="456"/>
      <c r="G110" s="456"/>
      <c r="H110" s="459"/>
      <c r="I110" s="459"/>
      <c r="J110" s="7"/>
      <c r="K110" s="456"/>
      <c r="N110" s="456"/>
      <c r="O110" s="459"/>
      <c r="P110" s="459"/>
      <c r="Q110" s="459"/>
      <c r="R110" s="7"/>
      <c r="S110" s="456"/>
      <c r="W110" s="456"/>
      <c r="X110" s="459"/>
      <c r="Y110" s="459"/>
      <c r="Z110" s="459"/>
      <c r="AA110" s="7"/>
      <c r="AB110" s="456"/>
      <c r="AF110" s="7"/>
      <c r="AG110" s="456"/>
      <c r="AK110" s="7"/>
      <c r="AL110" s="456"/>
      <c r="AM110" s="459"/>
      <c r="AN110" s="459"/>
      <c r="AO110" s="459"/>
      <c r="AP110" s="7"/>
      <c r="AQ110" s="456"/>
      <c r="AU110" s="7"/>
      <c r="AV110" s="456"/>
      <c r="AW110" s="459"/>
      <c r="AX110" s="459"/>
      <c r="AY110" s="459"/>
      <c r="AZ110" s="7"/>
      <c r="BA110" s="456"/>
      <c r="BE110" s="7"/>
      <c r="BF110" s="577"/>
    </row>
    <row r="111" spans="1:58" s="462" customFormat="1" ht="12" x14ac:dyDescent="0.3">
      <c r="A111" s="468"/>
      <c r="B111" s="469"/>
      <c r="D111" s="2"/>
      <c r="E111" s="456"/>
      <c r="F111" s="456"/>
      <c r="G111" s="456"/>
      <c r="H111" s="459"/>
      <c r="I111" s="459"/>
      <c r="J111" s="7"/>
      <c r="K111" s="456"/>
      <c r="N111" s="456"/>
      <c r="O111" s="459"/>
      <c r="P111" s="459"/>
      <c r="Q111" s="459"/>
      <c r="R111" s="7"/>
      <c r="S111" s="456"/>
      <c r="W111" s="456"/>
      <c r="X111" s="459"/>
      <c r="Y111" s="459"/>
      <c r="Z111" s="459"/>
      <c r="AA111" s="7"/>
      <c r="AB111" s="456"/>
      <c r="AF111" s="7"/>
      <c r="AG111" s="456"/>
      <c r="AK111" s="7"/>
      <c r="AL111" s="456"/>
      <c r="AM111" s="459"/>
      <c r="AN111" s="459"/>
      <c r="AO111" s="459"/>
      <c r="AP111" s="7"/>
      <c r="AQ111" s="456"/>
      <c r="AU111" s="7"/>
      <c r="AV111" s="456"/>
      <c r="AW111" s="459"/>
      <c r="AX111" s="459"/>
      <c r="AY111" s="459"/>
      <c r="AZ111" s="7"/>
      <c r="BA111" s="456"/>
      <c r="BE111" s="7"/>
      <c r="BF111" s="577"/>
    </row>
    <row r="112" spans="1:58" s="462" customFormat="1" ht="93" customHeight="1" x14ac:dyDescent="0.3">
      <c r="A112" s="468"/>
      <c r="B112" s="469"/>
      <c r="D112" s="2"/>
      <c r="E112" s="456"/>
      <c r="F112" s="456"/>
      <c r="G112" s="456"/>
      <c r="H112" s="459"/>
      <c r="I112" s="459"/>
      <c r="J112" s="7"/>
      <c r="K112" s="456"/>
      <c r="N112" s="456"/>
      <c r="O112" s="459"/>
      <c r="P112" s="459"/>
      <c r="Q112" s="459"/>
      <c r="R112" s="7"/>
      <c r="S112" s="456"/>
      <c r="W112" s="456"/>
      <c r="X112" s="459"/>
      <c r="Y112" s="459"/>
      <c r="Z112" s="459"/>
      <c r="AA112" s="7"/>
      <c r="AB112" s="456"/>
      <c r="AF112" s="7"/>
      <c r="AG112" s="456"/>
      <c r="AK112" s="7"/>
      <c r="AL112" s="456"/>
      <c r="AM112" s="459"/>
      <c r="AN112" s="459"/>
      <c r="AO112" s="459"/>
      <c r="AP112" s="7"/>
      <c r="AQ112" s="456"/>
      <c r="AU112" s="7"/>
      <c r="AV112" s="456"/>
      <c r="AW112" s="459"/>
      <c r="AX112" s="459"/>
      <c r="AY112" s="459"/>
      <c r="AZ112" s="7"/>
      <c r="BA112" s="456"/>
      <c r="BE112" s="7"/>
      <c r="BF112" s="577"/>
    </row>
    <row r="113" spans="1:58" x14ac:dyDescent="0.35">
      <c r="A113" s="468"/>
      <c r="B113" s="469"/>
      <c r="C113" s="462"/>
      <c r="E113" s="456"/>
      <c r="F113" s="456"/>
      <c r="G113" s="456"/>
      <c r="H113" s="459"/>
      <c r="I113" s="459"/>
      <c r="K113" s="456"/>
      <c r="L113" s="462"/>
      <c r="M113" s="462"/>
      <c r="O113" s="459"/>
      <c r="P113" s="459"/>
      <c r="Q113" s="459"/>
      <c r="S113" s="456"/>
      <c r="T113" s="462"/>
      <c r="U113" s="462"/>
      <c r="V113" s="462"/>
      <c r="X113" s="459"/>
      <c r="Y113" s="459"/>
      <c r="Z113" s="459"/>
      <c r="AB113" s="456"/>
      <c r="AC113" s="462"/>
      <c r="AD113" s="462"/>
      <c r="AE113" s="462"/>
      <c r="AH113" s="462"/>
      <c r="AI113" s="462"/>
      <c r="AJ113" s="462"/>
      <c r="AM113" s="459"/>
      <c r="AN113" s="459"/>
      <c r="AO113" s="459"/>
      <c r="AQ113" s="456"/>
      <c r="AR113" s="462"/>
      <c r="AS113" s="462"/>
      <c r="AT113" s="462"/>
      <c r="AW113" s="459"/>
      <c r="AX113" s="459"/>
      <c r="AY113" s="459"/>
      <c r="BA113" s="456"/>
      <c r="BB113" s="462"/>
      <c r="BC113" s="462"/>
      <c r="BD113" s="462"/>
      <c r="BF113" s="577"/>
    </row>
    <row r="114" spans="1:58" x14ac:dyDescent="0.35">
      <c r="A114" s="468"/>
      <c r="B114" s="469"/>
      <c r="C114" s="462"/>
      <c r="E114" s="456"/>
      <c r="F114" s="456"/>
      <c r="G114" s="456"/>
      <c r="H114" s="459"/>
      <c r="I114" s="459"/>
      <c r="K114" s="456"/>
      <c r="L114" s="462"/>
      <c r="M114" s="462"/>
      <c r="O114" s="459"/>
      <c r="P114" s="459"/>
      <c r="Q114" s="459"/>
      <c r="S114" s="456"/>
      <c r="T114" s="462"/>
      <c r="U114" s="462"/>
      <c r="V114" s="462"/>
      <c r="X114" s="459"/>
      <c r="Y114" s="459"/>
      <c r="Z114" s="459"/>
      <c r="AB114" s="456"/>
      <c r="AC114" s="462"/>
      <c r="AD114" s="462"/>
      <c r="AE114" s="462"/>
      <c r="AH114" s="462"/>
      <c r="AI114" s="462"/>
      <c r="AJ114" s="462"/>
      <c r="AM114" s="459"/>
      <c r="AN114" s="459"/>
      <c r="AO114" s="459"/>
      <c r="AQ114" s="456"/>
      <c r="AR114" s="462"/>
      <c r="AS114" s="462"/>
      <c r="AT114" s="462"/>
      <c r="AW114" s="459"/>
      <c r="AX114" s="459"/>
      <c r="AY114" s="459"/>
      <c r="BA114" s="456"/>
      <c r="BB114" s="462"/>
      <c r="BC114" s="462"/>
      <c r="BD114" s="462"/>
      <c r="BF114" s="577"/>
    </row>
    <row r="115" spans="1:58" x14ac:dyDescent="0.35">
      <c r="A115" s="468"/>
      <c r="B115" s="469"/>
      <c r="C115" s="462"/>
      <c r="E115" s="456"/>
      <c r="F115" s="456"/>
      <c r="G115" s="456"/>
      <c r="H115" s="459"/>
      <c r="I115" s="459"/>
      <c r="K115" s="456"/>
      <c r="L115" s="462"/>
      <c r="M115" s="462"/>
      <c r="O115" s="459"/>
      <c r="P115" s="459"/>
      <c r="Q115" s="459"/>
      <c r="S115" s="456"/>
      <c r="T115" s="462"/>
      <c r="U115" s="462"/>
      <c r="V115" s="462"/>
      <c r="X115" s="459"/>
      <c r="Y115" s="459"/>
      <c r="Z115" s="459"/>
      <c r="AB115" s="456"/>
      <c r="AC115" s="462"/>
      <c r="AD115" s="462"/>
      <c r="AE115" s="462"/>
      <c r="AH115" s="462"/>
      <c r="AI115" s="462"/>
      <c r="AJ115" s="462"/>
      <c r="AM115" s="459"/>
      <c r="AN115" s="459"/>
      <c r="AO115" s="459"/>
      <c r="AQ115" s="456"/>
      <c r="AR115" s="462"/>
      <c r="AS115" s="462"/>
      <c r="AT115" s="462"/>
      <c r="AW115" s="459"/>
      <c r="AX115" s="459"/>
      <c r="AY115" s="459"/>
      <c r="BA115" s="456"/>
      <c r="BB115" s="462"/>
      <c r="BC115" s="462"/>
      <c r="BD115" s="462"/>
      <c r="BF115" s="577"/>
    </row>
    <row r="116" spans="1:58" x14ac:dyDescent="0.35">
      <c r="A116" s="455" t="s">
        <v>583</v>
      </c>
      <c r="B116" s="455"/>
      <c r="C116" s="456"/>
      <c r="E116" s="456"/>
      <c r="F116" s="456"/>
      <c r="G116" s="456"/>
      <c r="H116" s="459"/>
      <c r="I116" s="459"/>
      <c r="K116" s="456"/>
      <c r="L116" s="462"/>
      <c r="M116" s="462"/>
      <c r="O116" s="459"/>
      <c r="P116" s="459"/>
      <c r="Q116" s="459"/>
      <c r="S116" s="456"/>
      <c r="T116" s="462"/>
      <c r="U116" s="462"/>
      <c r="V116" s="462"/>
      <c r="X116" s="459"/>
      <c r="Y116" s="459"/>
      <c r="Z116" s="459"/>
      <c r="AB116" s="456"/>
      <c r="AC116" s="462"/>
      <c r="AD116" s="462"/>
      <c r="AE116" s="462"/>
      <c r="AH116" s="462"/>
      <c r="AI116" s="462"/>
      <c r="AJ116" s="462"/>
      <c r="AM116" s="459"/>
      <c r="AN116" s="459"/>
      <c r="AO116" s="459"/>
      <c r="AQ116" s="456"/>
      <c r="AR116" s="462"/>
      <c r="AS116" s="462"/>
      <c r="AT116" s="462"/>
      <c r="AW116" s="459"/>
      <c r="AX116" s="459"/>
      <c r="AY116" s="459"/>
      <c r="BA116" s="456"/>
      <c r="BB116" s="462"/>
      <c r="BC116" s="462"/>
      <c r="BD116" s="462"/>
      <c r="BF116" s="577"/>
    </row>
    <row r="117" spans="1:58" ht="14.5" customHeight="1" x14ac:dyDescent="0.35">
      <c r="A117" s="9170" t="s">
        <v>1661</v>
      </c>
      <c r="B117" s="9171"/>
      <c r="C117" s="9171"/>
      <c r="D117" s="9171"/>
      <c r="E117" s="9171"/>
      <c r="F117" s="9171"/>
      <c r="G117" s="9171"/>
      <c r="H117" s="9171"/>
      <c r="I117" s="9171"/>
      <c r="J117" s="9171"/>
      <c r="K117" s="9171"/>
      <c r="L117" s="9171"/>
      <c r="M117" s="9172"/>
      <c r="O117" s="3299"/>
      <c r="P117" s="3299"/>
      <c r="Q117" s="3299"/>
      <c r="R117" s="3299"/>
      <c r="S117" s="2978"/>
      <c r="T117" s="2978"/>
      <c r="U117" s="2978"/>
      <c r="V117" s="2978"/>
      <c r="X117" s="3299"/>
      <c r="Y117" s="3299"/>
      <c r="Z117" s="3299"/>
      <c r="AA117" s="3299"/>
      <c r="AB117" s="2978"/>
      <c r="AC117" s="2978"/>
      <c r="AD117" s="2978"/>
      <c r="AE117" s="2978"/>
      <c r="AF117" s="3299"/>
      <c r="AH117" s="2978"/>
      <c r="AI117" s="2978"/>
      <c r="AJ117" s="2978"/>
      <c r="AK117" s="3299"/>
      <c r="AM117" s="3299"/>
      <c r="AN117" s="3299"/>
      <c r="AO117" s="3299"/>
      <c r="AP117" s="3299"/>
      <c r="AQ117" s="2978"/>
      <c r="AR117" s="2978"/>
      <c r="AS117" s="2978"/>
      <c r="AT117" s="2978"/>
      <c r="AU117" s="3299"/>
      <c r="AW117" s="3299"/>
      <c r="AX117" s="3299"/>
      <c r="AY117" s="3299"/>
      <c r="AZ117" s="3299"/>
      <c r="BA117" s="2978"/>
      <c r="BB117" s="2978"/>
      <c r="BC117" s="2978"/>
      <c r="BD117" s="2978"/>
      <c r="BE117" s="7731"/>
      <c r="BF117" s="577"/>
    </row>
  </sheetData>
  <mergeCells count="59">
    <mergeCell ref="AW7:AX7"/>
    <mergeCell ref="AZ7:AZ8"/>
    <mergeCell ref="BB7:BD7"/>
    <mergeCell ref="AW10:AX10"/>
    <mergeCell ref="AW34:AX34"/>
    <mergeCell ref="AW1:BD1"/>
    <mergeCell ref="AW4:AZ4"/>
    <mergeCell ref="BB4:BD4"/>
    <mergeCell ref="BF4:BF5"/>
    <mergeCell ref="AW5:AZ5"/>
    <mergeCell ref="BB5:BD5"/>
    <mergeCell ref="L5:M5"/>
    <mergeCell ref="O5:R5"/>
    <mergeCell ref="T5:V5"/>
    <mergeCell ref="F1:M1"/>
    <mergeCell ref="O1:V1"/>
    <mergeCell ref="X1:AE1"/>
    <mergeCell ref="H4:J4"/>
    <mergeCell ref="L4:M4"/>
    <mergeCell ref="O4:R4"/>
    <mergeCell ref="T4:V4"/>
    <mergeCell ref="X4:AA4"/>
    <mergeCell ref="AC4:AE4"/>
    <mergeCell ref="X5:AA5"/>
    <mergeCell ref="AC5:AE5"/>
    <mergeCell ref="AH5:AJ5"/>
    <mergeCell ref="AK7:AK8"/>
    <mergeCell ref="H7:I7"/>
    <mergeCell ref="J7:J8"/>
    <mergeCell ref="L7:M7"/>
    <mergeCell ref="O7:P7"/>
    <mergeCell ref="R7:R8"/>
    <mergeCell ref="T7:V7"/>
    <mergeCell ref="X7:Y7"/>
    <mergeCell ref="AA7:AA8"/>
    <mergeCell ref="AC7:AE7"/>
    <mergeCell ref="AF7:AF8"/>
    <mergeCell ref="AH7:AJ7"/>
    <mergeCell ref="H5:J5"/>
    <mergeCell ref="AU7:AU8"/>
    <mergeCell ref="AM10:AN10"/>
    <mergeCell ref="A82:A99"/>
    <mergeCell ref="A117:M117"/>
    <mergeCell ref="A10:A32"/>
    <mergeCell ref="O10:P10"/>
    <mergeCell ref="X10:Y10"/>
    <mergeCell ref="O34:P34"/>
    <mergeCell ref="X34:Y34"/>
    <mergeCell ref="A71:A80"/>
    <mergeCell ref="AM5:AP5"/>
    <mergeCell ref="AR5:AT5"/>
    <mergeCell ref="AM7:AN7"/>
    <mergeCell ref="AP7:AP8"/>
    <mergeCell ref="AR7:AT7"/>
    <mergeCell ref="AH4:AJ4"/>
    <mergeCell ref="AH1:AJ1"/>
    <mergeCell ref="AM1:AT1"/>
    <mergeCell ref="AM4:AP4"/>
    <mergeCell ref="AR4:AT4"/>
  </mergeCells>
  <hyperlinks>
    <hyperlink ref="U10" r:id="rId1" xr:uid="{C089D4B4-CDF5-4C61-9C03-B39EA88D5F93}"/>
    <hyperlink ref="Q10" r:id="rId2" xr:uid="{41480426-EE26-400C-A983-2DAE96C0B822}"/>
    <hyperlink ref="Z10" r:id="rId3" xr:uid="{B6C44AB5-B7E7-44E4-94BD-795113390385}"/>
    <hyperlink ref="AI10" r:id="rId4" xr:uid="{8B8D3D54-DF0E-4032-8C63-0CC02D079163}"/>
    <hyperlink ref="AS10" r:id="rId5" xr:uid="{88ABAD48-2E2A-4D46-8087-BBAB34DC2E79}"/>
    <hyperlink ref="AO10" r:id="rId6" xr:uid="{6DCAF064-06FB-458F-92C0-A7E8C22B535D}"/>
    <hyperlink ref="AO34" r:id="rId7" xr:uid="{8C5A125F-21B6-4E42-BAA8-67F96328A8E9}"/>
    <hyperlink ref="AS34" r:id="rId8" xr:uid="{81896D08-E68A-473A-98D0-1C3DDDD6F97E}"/>
    <hyperlink ref="BC10" r:id="rId9" xr:uid="{52AC37CD-4CAD-457B-893C-A0464282F738}"/>
    <hyperlink ref="AY10" r:id="rId10" xr:uid="{3D58D1E4-7957-4CC8-A327-832D3B5DF462}"/>
    <hyperlink ref="AY34" r:id="rId11" xr:uid="{9BD06CED-51A6-4CBC-96DF-7E29A200B728}"/>
    <hyperlink ref="BC34" r:id="rId12" xr:uid="{A7A990D2-4CFC-45F9-81E0-259578B3C5C5}"/>
  </hyperlinks>
  <pageMargins left="0.7" right="0.7" top="0.75" bottom="0.75" header="0.3" footer="0.3"/>
  <pageSetup orientation="portrait" r:id="rId13"/>
  <headerFooter>
    <oddFooter>&amp;R&amp;1#&amp;"Calibri"&amp;12&amp;K000000Official Use</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K110"/>
  <sheetViews>
    <sheetView zoomScale="80" zoomScaleNormal="80" workbookViewId="0">
      <pane xSplit="4" topLeftCell="AY1" activePane="topRight" state="frozen"/>
      <selection activeCell="A15" sqref="A15"/>
      <selection pane="topRight" activeCell="BH6" sqref="BH6"/>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5" width="18.6328125" customWidth="1"/>
    <col min="16" max="16" width="18.36328125" customWidth="1"/>
    <col min="17" max="17" width="20.36328125" customWidth="1"/>
    <col min="18" max="18" width="8.36328125" customWidth="1"/>
    <col min="19" max="19" width="1.6328125" style="1" customWidth="1"/>
    <col min="20" max="22" width="21.6328125" customWidth="1"/>
    <col min="23" max="23" width="1.6328125" style="1" customWidth="1"/>
    <col min="24" max="24" width="18.6328125" customWidth="1"/>
    <col min="25" max="25" width="18.36328125" customWidth="1"/>
    <col min="26" max="26" width="6.453125" customWidth="1"/>
    <col min="27" max="27" width="8.36328125" customWidth="1"/>
    <col min="28" max="28" width="1.6328125" style="1" customWidth="1"/>
    <col min="29" max="29" width="21.6328125" customWidth="1"/>
    <col min="30" max="30" width="4.81640625" customWidth="1"/>
    <col min="31" max="31" width="21.6328125" customWidth="1"/>
    <col min="32" max="32" width="1.6328125" style="1" customWidth="1"/>
    <col min="33" max="33" width="9" customWidth="1"/>
    <col min="34" max="34" width="1.81640625" customWidth="1"/>
    <col min="35" max="35" width="18.1796875" customWidth="1"/>
    <col min="36" max="36" width="19.81640625" customWidth="1"/>
    <col min="37" max="37" width="10.81640625" customWidth="1"/>
    <col min="38" max="38" width="16.1796875" customWidth="1"/>
    <col min="39" max="39" width="1.36328125" customWidth="1"/>
    <col min="40" max="40" width="17.453125" customWidth="1"/>
    <col min="41" max="41" width="11.6328125" customWidth="1"/>
    <col min="42" max="42" width="19.81640625" customWidth="1"/>
    <col min="43" max="43" width="1.453125" customWidth="1"/>
    <col min="44" max="45" width="19.81640625" customWidth="1"/>
    <col min="46" max="46" width="36.36328125" customWidth="1"/>
    <col min="47" max="47" width="11.453125" customWidth="1"/>
    <col min="48" max="48" width="1.36328125" customWidth="1"/>
    <col min="49" max="49" width="19.6328125" customWidth="1"/>
    <col min="50" max="50" width="35.81640625" customWidth="1"/>
    <col min="51" max="51" width="19.81640625" customWidth="1"/>
    <col min="52" max="52" width="10.453125" customWidth="1"/>
    <col min="53" max="54" width="19.81640625" customWidth="1"/>
    <col min="55" max="55" width="36.36328125" customWidth="1"/>
    <col min="56" max="56" width="11.453125" customWidth="1"/>
    <col min="57" max="57" width="1.36328125" customWidth="1"/>
    <col min="58" max="58" width="19.6328125" customWidth="1"/>
    <col min="59" max="59" width="35.81640625" customWidth="1"/>
    <col min="60" max="60" width="19.81640625" customWidth="1"/>
    <col min="61" max="61" width="1.453125" customWidth="1"/>
    <col min="62" max="63" width="39.81640625" customWidth="1"/>
  </cols>
  <sheetData>
    <row r="1" spans="1:63" s="470" customFormat="1" ht="31" x14ac:dyDescent="0.7">
      <c r="B1" s="1"/>
      <c r="C1" s="1"/>
      <c r="F1" s="9118" t="s">
        <v>823</v>
      </c>
      <c r="G1" s="9119"/>
      <c r="H1" s="9119"/>
      <c r="I1" s="9119"/>
      <c r="J1" s="9119"/>
      <c r="K1" s="9119"/>
      <c r="L1" s="9119"/>
      <c r="M1" s="9120"/>
      <c r="N1" s="710"/>
      <c r="O1" s="9121" t="s">
        <v>824</v>
      </c>
      <c r="P1" s="9122"/>
      <c r="Q1" s="9122"/>
      <c r="R1" s="9122"/>
      <c r="S1" s="9122"/>
      <c r="T1" s="9122"/>
      <c r="U1" s="9122"/>
      <c r="V1" s="9123"/>
      <c r="W1" s="710"/>
      <c r="X1" s="9319" t="s">
        <v>825</v>
      </c>
      <c r="Y1" s="9320"/>
      <c r="Z1" s="9320"/>
      <c r="AA1" s="9320"/>
      <c r="AB1" s="9320"/>
      <c r="AC1" s="9320"/>
      <c r="AD1" s="9320"/>
      <c r="AE1" s="9321"/>
      <c r="AF1" s="710"/>
      <c r="AG1" s="1537"/>
      <c r="AI1" s="9309" t="s">
        <v>826</v>
      </c>
      <c r="AJ1" s="9310"/>
      <c r="AK1" s="9310"/>
      <c r="AL1" s="9310"/>
      <c r="AM1" s="9310"/>
      <c r="AN1" s="9310"/>
      <c r="AO1" s="9310"/>
      <c r="AP1" s="9311"/>
      <c r="AQ1" s="710"/>
      <c r="AR1" s="9195" t="s">
        <v>827</v>
      </c>
      <c r="AS1" s="9196"/>
      <c r="AT1" s="9196"/>
      <c r="AU1" s="9196"/>
      <c r="AV1" s="9196"/>
      <c r="AW1" s="9196"/>
      <c r="AX1" s="9196"/>
      <c r="AY1" s="9197"/>
      <c r="AZ1" s="710"/>
      <c r="BA1" s="9115" t="s">
        <v>828</v>
      </c>
      <c r="BB1" s="9116"/>
      <c r="BC1" s="9116"/>
      <c r="BD1" s="9116"/>
      <c r="BE1" s="9116"/>
      <c r="BF1" s="9116"/>
      <c r="BG1" s="9116"/>
      <c r="BH1" s="9117"/>
      <c r="BI1" s="710"/>
      <c r="BJ1" s="1537"/>
      <c r="BK1" s="1537"/>
    </row>
    <row r="2" spans="1:63" ht="21" x14ac:dyDescent="0.5">
      <c r="B2" s="1" t="s">
        <v>829</v>
      </c>
      <c r="C2" s="4" t="s">
        <v>1662</v>
      </c>
      <c r="H2"/>
      <c r="AM2" s="1"/>
      <c r="AQ2" s="1"/>
      <c r="AV2" s="1"/>
      <c r="AZ2" s="1"/>
      <c r="BE2" s="1"/>
      <c r="BI2" s="1"/>
    </row>
    <row r="3" spans="1:63" x14ac:dyDescent="0.35">
      <c r="AM3" s="1"/>
      <c r="AQ3" s="1"/>
      <c r="AV3" s="1"/>
      <c r="AZ3" s="1"/>
      <c r="BE3" s="1"/>
      <c r="BI3" s="1"/>
    </row>
    <row r="4" spans="1:63" s="8" customFormat="1" ht="15.25" customHeight="1" x14ac:dyDescent="0.35">
      <c r="D4" s="471"/>
      <c r="F4" s="8326" t="s">
        <v>830</v>
      </c>
      <c r="H4" s="9130" t="s">
        <v>831</v>
      </c>
      <c r="I4" s="9131"/>
      <c r="J4" s="9132"/>
      <c r="L4" s="9130" t="s">
        <v>832</v>
      </c>
      <c r="M4" s="9132"/>
      <c r="O4" s="9318" t="s">
        <v>1663</v>
      </c>
      <c r="P4" s="9318"/>
      <c r="Q4" s="9318"/>
      <c r="R4" s="9318"/>
      <c r="T4" s="9318" t="s">
        <v>1664</v>
      </c>
      <c r="U4" s="9318"/>
      <c r="V4" s="9318"/>
      <c r="X4" s="9318" t="s">
        <v>833</v>
      </c>
      <c r="Y4" s="9318"/>
      <c r="Z4" s="9318"/>
      <c r="AA4" s="9318"/>
      <c r="AC4" s="9318" t="s">
        <v>832</v>
      </c>
      <c r="AD4" s="9318"/>
      <c r="AE4" s="9318"/>
      <c r="AG4" s="9180" t="s">
        <v>404</v>
      </c>
      <c r="AI4" s="9318" t="s">
        <v>833</v>
      </c>
      <c r="AJ4" s="9318"/>
      <c r="AK4" s="9318"/>
      <c r="AL4" s="9318"/>
      <c r="AN4" s="9318" t="s">
        <v>832</v>
      </c>
      <c r="AO4" s="9318"/>
      <c r="AP4" s="9318"/>
      <c r="AR4" s="9318" t="s">
        <v>833</v>
      </c>
      <c r="AS4" s="9318"/>
      <c r="AT4" s="9318"/>
      <c r="AU4" s="9318"/>
      <c r="AW4" s="9318" t="s">
        <v>832</v>
      </c>
      <c r="AX4" s="9318"/>
      <c r="AY4" s="9318"/>
      <c r="BA4" s="9318" t="s">
        <v>833</v>
      </c>
      <c r="BB4" s="9318"/>
      <c r="BC4" s="9318"/>
      <c r="BD4" s="9318"/>
      <c r="BF4" s="9318" t="s">
        <v>832</v>
      </c>
      <c r="BG4" s="9318"/>
      <c r="BH4" s="9318"/>
      <c r="BJ4" s="9180" t="s">
        <v>404</v>
      </c>
      <c r="BK4" s="9180" t="s">
        <v>404</v>
      </c>
    </row>
    <row r="5" spans="1:63" x14ac:dyDescent="0.35">
      <c r="B5" s="1" t="s">
        <v>835</v>
      </c>
      <c r="C5" s="11">
        <v>2006</v>
      </c>
      <c r="F5" s="8324"/>
      <c r="G5" s="12"/>
      <c r="H5" s="9138">
        <v>2014</v>
      </c>
      <c r="I5" s="9139"/>
      <c r="J5" s="9140"/>
      <c r="K5" s="12"/>
      <c r="L5" s="9138">
        <v>2015</v>
      </c>
      <c r="M5" s="9140"/>
      <c r="O5" s="9234">
        <v>2015</v>
      </c>
      <c r="P5" s="9234"/>
      <c r="Q5" s="9234"/>
      <c r="R5" s="9234"/>
      <c r="T5" s="9234">
        <v>2016</v>
      </c>
      <c r="U5" s="9234"/>
      <c r="V5" s="9234"/>
      <c r="X5" s="9234">
        <v>2016</v>
      </c>
      <c r="Y5" s="9234"/>
      <c r="Z5" s="9234"/>
      <c r="AA5" s="9234"/>
      <c r="AC5" s="9234">
        <v>2017</v>
      </c>
      <c r="AD5" s="9234"/>
      <c r="AE5" s="9234"/>
      <c r="AG5" s="9181"/>
      <c r="AI5" s="9234">
        <v>2017</v>
      </c>
      <c r="AJ5" s="9234"/>
      <c r="AK5" s="9234"/>
      <c r="AL5" s="9234"/>
      <c r="AM5" s="1"/>
      <c r="AN5" s="9234">
        <v>2018</v>
      </c>
      <c r="AO5" s="9234"/>
      <c r="AP5" s="9234"/>
      <c r="AQ5" s="1"/>
      <c r="AR5" s="9234">
        <v>2018</v>
      </c>
      <c r="AS5" s="9234"/>
      <c r="AT5" s="9234"/>
      <c r="AU5" s="9234"/>
      <c r="AV5" s="1"/>
      <c r="AW5" s="9234">
        <v>2019</v>
      </c>
      <c r="AX5" s="9234"/>
      <c r="AY5" s="9234"/>
      <c r="AZ5" s="1"/>
      <c r="BA5" s="9234">
        <v>2019</v>
      </c>
      <c r="BB5" s="9234"/>
      <c r="BC5" s="9234"/>
      <c r="BD5" s="9234"/>
      <c r="BE5" s="1"/>
      <c r="BF5" s="9234">
        <v>2020</v>
      </c>
      <c r="BG5" s="9234"/>
      <c r="BH5" s="9234"/>
      <c r="BI5" s="1"/>
      <c r="BJ5" s="9181"/>
      <c r="BK5" s="9181"/>
    </row>
    <row r="6" spans="1:63" x14ac:dyDescent="0.35">
      <c r="C6"/>
      <c r="F6" s="6"/>
      <c r="L6" s="14"/>
      <c r="AG6" s="6"/>
      <c r="AM6" s="1"/>
      <c r="AQ6" s="1"/>
      <c r="AV6" s="1"/>
      <c r="AZ6" s="1"/>
      <c r="BE6" s="1"/>
      <c r="BI6" s="1"/>
      <c r="BJ6" s="6"/>
      <c r="BK6" s="6"/>
    </row>
    <row r="7" spans="1:63" ht="12.75" customHeight="1" x14ac:dyDescent="0.35">
      <c r="B7" s="1" t="s">
        <v>836</v>
      </c>
      <c r="C7" s="15" t="s">
        <v>837</v>
      </c>
      <c r="D7" s="5" t="s">
        <v>417</v>
      </c>
      <c r="F7" s="8322"/>
      <c r="H7" s="9173" t="s">
        <v>1120</v>
      </c>
      <c r="I7" s="9173"/>
      <c r="J7" s="9147" t="s">
        <v>839</v>
      </c>
      <c r="L7" s="9173" t="s">
        <v>1120</v>
      </c>
      <c r="M7" s="9173"/>
      <c r="O7" s="9173" t="s">
        <v>840</v>
      </c>
      <c r="P7" s="9173"/>
      <c r="Q7" s="9173"/>
      <c r="R7" s="9173"/>
      <c r="T7" s="9173" t="s">
        <v>840</v>
      </c>
      <c r="U7" s="9173"/>
      <c r="V7" s="9173"/>
      <c r="X7" s="9173" t="s">
        <v>840</v>
      </c>
      <c r="Y7" s="9173"/>
      <c r="Z7" s="9173"/>
      <c r="AA7" s="9173"/>
      <c r="AC7" s="9173" t="s">
        <v>840</v>
      </c>
      <c r="AD7" s="9173"/>
      <c r="AE7" s="9173"/>
      <c r="AG7" s="18"/>
      <c r="AI7" s="9173" t="s">
        <v>840</v>
      </c>
      <c r="AJ7" s="9173"/>
      <c r="AK7" s="9173"/>
      <c r="AL7" s="9173"/>
      <c r="AM7" s="1"/>
      <c r="AN7" s="9173" t="s">
        <v>840</v>
      </c>
      <c r="AO7" s="9173"/>
      <c r="AP7" s="9173"/>
      <c r="AQ7" s="1"/>
      <c r="AR7" s="9173" t="s">
        <v>840</v>
      </c>
      <c r="AS7" s="9173"/>
      <c r="AT7" s="9173"/>
      <c r="AU7" s="9173"/>
      <c r="AV7" s="1"/>
      <c r="AW7" s="9173" t="s">
        <v>840</v>
      </c>
      <c r="AX7" s="9173"/>
      <c r="AY7" s="9173"/>
      <c r="AZ7" s="1"/>
      <c r="BA7" s="9173" t="s">
        <v>840</v>
      </c>
      <c r="BB7" s="9173"/>
      <c r="BC7" s="9173"/>
      <c r="BD7" s="9173"/>
      <c r="BE7" s="1"/>
      <c r="BF7" s="9173" t="s">
        <v>840</v>
      </c>
      <c r="BG7" s="9173"/>
      <c r="BH7" s="9173"/>
      <c r="BI7" s="1"/>
      <c r="BJ7" s="18"/>
      <c r="BK7" s="18"/>
    </row>
    <row r="8" spans="1:63" ht="36" x14ac:dyDescent="0.35">
      <c r="B8" s="1" t="s">
        <v>841</v>
      </c>
      <c r="C8" s="19" t="s">
        <v>1121</v>
      </c>
      <c r="F8" s="20" t="s">
        <v>843</v>
      </c>
      <c r="H8" s="21" t="s">
        <v>844</v>
      </c>
      <c r="I8" s="20" t="s">
        <v>843</v>
      </c>
      <c r="J8" s="9148"/>
      <c r="L8" s="21" t="s">
        <v>844</v>
      </c>
      <c r="M8" s="20" t="s">
        <v>843</v>
      </c>
      <c r="O8" s="34" t="s">
        <v>424</v>
      </c>
      <c r="P8" s="34" t="s">
        <v>845</v>
      </c>
      <c r="Q8" s="34" t="s">
        <v>1665</v>
      </c>
      <c r="R8" s="20"/>
      <c r="T8" s="720" t="s">
        <v>424</v>
      </c>
      <c r="U8" s="511" t="s">
        <v>846</v>
      </c>
      <c r="V8" s="720" t="s">
        <v>847</v>
      </c>
      <c r="X8" s="34" t="s">
        <v>424</v>
      </c>
      <c r="Y8" s="34" t="s">
        <v>845</v>
      </c>
      <c r="Z8" s="34" t="s">
        <v>1666</v>
      </c>
      <c r="AA8" s="20"/>
      <c r="AC8" s="720" t="s">
        <v>424</v>
      </c>
      <c r="AD8" s="511" t="s">
        <v>846</v>
      </c>
      <c r="AE8" s="720" t="s">
        <v>847</v>
      </c>
      <c r="AG8" s="24"/>
      <c r="AI8" s="34" t="s">
        <v>424</v>
      </c>
      <c r="AJ8" s="34" t="s">
        <v>845</v>
      </c>
      <c r="AK8" s="34" t="s">
        <v>1666</v>
      </c>
      <c r="AL8" s="20"/>
      <c r="AM8" s="1"/>
      <c r="AN8" s="720" t="s">
        <v>424</v>
      </c>
      <c r="AO8" s="511" t="s">
        <v>846</v>
      </c>
      <c r="AP8" s="720" t="s">
        <v>847</v>
      </c>
      <c r="AQ8" s="1"/>
      <c r="AR8" s="34" t="s">
        <v>424</v>
      </c>
      <c r="AS8" s="34" t="s">
        <v>845</v>
      </c>
      <c r="AT8" s="34" t="s">
        <v>1666</v>
      </c>
      <c r="AU8" s="20"/>
      <c r="AV8" s="1"/>
      <c r="AW8" s="720" t="s">
        <v>424</v>
      </c>
      <c r="AX8" s="511" t="s">
        <v>846</v>
      </c>
      <c r="AY8" s="720" t="s">
        <v>847</v>
      </c>
      <c r="AZ8" s="7961"/>
      <c r="BA8" s="34" t="s">
        <v>424</v>
      </c>
      <c r="BB8" s="34" t="s">
        <v>845</v>
      </c>
      <c r="BC8" s="34" t="s">
        <v>1666</v>
      </c>
      <c r="BD8" s="20"/>
      <c r="BE8" s="1"/>
      <c r="BF8" s="720" t="s">
        <v>424</v>
      </c>
      <c r="BG8" s="511" t="s">
        <v>846</v>
      </c>
      <c r="BH8" s="720" t="s">
        <v>847</v>
      </c>
      <c r="BI8" s="1"/>
      <c r="BJ8" s="24"/>
      <c r="BK8" s="24"/>
    </row>
    <row r="9" spans="1:63" x14ac:dyDescent="0.35">
      <c r="C9"/>
      <c r="E9"/>
      <c r="F9"/>
      <c r="G9"/>
      <c r="H9"/>
      <c r="I9"/>
      <c r="J9" s="25"/>
      <c r="K9"/>
      <c r="N9"/>
      <c r="S9"/>
      <c r="W9"/>
      <c r="AB9"/>
      <c r="AF9"/>
    </row>
    <row r="10" spans="1:63" ht="33.25" customHeight="1" x14ac:dyDescent="0.35">
      <c r="A10" s="9167" t="s">
        <v>854</v>
      </c>
      <c r="B10" s="27"/>
      <c r="C10" s="28" t="s">
        <v>427</v>
      </c>
      <c r="D10" s="29" t="s">
        <v>428</v>
      </c>
      <c r="E10" s="30"/>
      <c r="F10" s="31"/>
      <c r="G10"/>
      <c r="H10" s="31" t="s">
        <v>1303</v>
      </c>
      <c r="I10" s="31" t="s">
        <v>1667</v>
      </c>
      <c r="J10" s="32"/>
      <c r="K10" s="33"/>
      <c r="L10" s="31" t="s">
        <v>856</v>
      </c>
      <c r="M10" s="34" t="s">
        <v>857</v>
      </c>
      <c r="N10" s="33"/>
      <c r="O10" s="31" t="s">
        <v>1668</v>
      </c>
      <c r="P10" s="31" t="s">
        <v>1669</v>
      </c>
      <c r="Q10" s="34"/>
      <c r="R10" s="32" t="s">
        <v>865</v>
      </c>
      <c r="S10" s="30"/>
      <c r="T10" s="36" t="s">
        <v>1670</v>
      </c>
      <c r="U10" s="34"/>
      <c r="V10" s="36"/>
      <c r="W10" s="33"/>
      <c r="X10" s="31" t="s">
        <v>1671</v>
      </c>
      <c r="Y10" s="31" t="s">
        <v>1672</v>
      </c>
      <c r="Z10" s="34"/>
      <c r="AA10" s="32" t="s">
        <v>1673</v>
      </c>
      <c r="AB10" s="30"/>
      <c r="AC10" s="36" t="s">
        <v>1671</v>
      </c>
      <c r="AD10" s="34"/>
      <c r="AE10" s="36"/>
      <c r="AF10" s="33"/>
      <c r="AG10" s="39"/>
      <c r="AI10" s="31" t="s">
        <v>1671</v>
      </c>
      <c r="AJ10" s="31" t="s">
        <v>1672</v>
      </c>
      <c r="AK10" s="34"/>
      <c r="AL10" s="32" t="s">
        <v>1673</v>
      </c>
      <c r="AM10" s="30"/>
      <c r="AN10" s="36" t="s">
        <v>1312</v>
      </c>
      <c r="AO10" s="34"/>
      <c r="AP10" s="36"/>
      <c r="AQ10" s="33"/>
      <c r="AR10" s="36" t="s">
        <v>1674</v>
      </c>
      <c r="AS10" s="31" t="s">
        <v>1674</v>
      </c>
      <c r="AT10" s="3375" t="s">
        <v>1675</v>
      </c>
      <c r="AU10" s="32" t="s">
        <v>1673</v>
      </c>
      <c r="AV10" s="30"/>
      <c r="AW10" s="36" t="s">
        <v>1676</v>
      </c>
      <c r="AX10" s="3375" t="s">
        <v>1675</v>
      </c>
      <c r="AY10" s="36" t="s">
        <v>1676</v>
      </c>
      <c r="AZ10" s="32" t="s">
        <v>1673</v>
      </c>
      <c r="BA10" s="36" t="s">
        <v>1677</v>
      </c>
      <c r="BB10" s="31" t="s">
        <v>1676</v>
      </c>
      <c r="BC10" s="3375" t="s">
        <v>1675</v>
      </c>
      <c r="BD10" s="32" t="s">
        <v>1673</v>
      </c>
      <c r="BE10" s="30"/>
      <c r="BF10" s="36" t="s">
        <v>1678</v>
      </c>
      <c r="BG10" s="3375" t="s">
        <v>1679</v>
      </c>
      <c r="BH10" s="36" t="s">
        <v>1678</v>
      </c>
      <c r="BI10" s="33"/>
      <c r="BJ10" s="39"/>
      <c r="BK10" s="39"/>
    </row>
    <row r="11" spans="1:63" ht="12.75" customHeight="1" x14ac:dyDescent="0.35">
      <c r="A11" s="9168"/>
      <c r="B11" s="40" t="s">
        <v>870</v>
      </c>
      <c r="C11" s="41"/>
      <c r="D11" s="42"/>
      <c r="E11" s="43"/>
      <c r="F11" s="44"/>
      <c r="G11"/>
      <c r="H11" s="45"/>
      <c r="I11" s="46"/>
      <c r="J11" s="47"/>
      <c r="K11" s="48"/>
      <c r="L11" s="45"/>
      <c r="M11" s="49"/>
      <c r="N11" s="50"/>
      <c r="O11" s="45"/>
      <c r="P11" s="46"/>
      <c r="R11" s="47"/>
      <c r="S11" s="50"/>
      <c r="T11" s="45"/>
      <c r="V11" s="738"/>
      <c r="W11" s="43"/>
      <c r="X11" s="45"/>
      <c r="Y11" s="46"/>
      <c r="AA11" s="47"/>
      <c r="AB11" s="50"/>
      <c r="AC11" s="45"/>
      <c r="AE11" s="738"/>
      <c r="AF11" s="43"/>
      <c r="AG11" s="18"/>
      <c r="AI11" s="45"/>
      <c r="AJ11" s="46"/>
      <c r="AL11" s="47"/>
      <c r="AM11" s="50"/>
      <c r="AN11" s="45"/>
      <c r="AP11" s="738"/>
      <c r="AQ11" s="43"/>
      <c r="AR11" s="1375"/>
      <c r="AS11" s="54"/>
      <c r="AT11" s="1147" t="s">
        <v>1680</v>
      </c>
      <c r="AU11" s="4155"/>
      <c r="AV11" s="6304"/>
      <c r="AW11" s="6305" t="s">
        <v>1681</v>
      </c>
      <c r="AX11" s="6" t="s">
        <v>1393</v>
      </c>
      <c r="AY11" s="6306" t="s">
        <v>1682</v>
      </c>
      <c r="AZ11" s="43"/>
      <c r="BA11" s="1375" t="s">
        <v>1681</v>
      </c>
      <c r="BB11" s="54" t="s">
        <v>1683</v>
      </c>
      <c r="BC11" s="1147" t="s">
        <v>1684</v>
      </c>
      <c r="BD11" s="4155"/>
      <c r="BE11" s="6304"/>
      <c r="BF11" s="6305" t="s">
        <v>1685</v>
      </c>
      <c r="BG11" s="6" t="s">
        <v>1686</v>
      </c>
      <c r="BH11" s="6306" t="s">
        <v>1682</v>
      </c>
      <c r="BI11" s="43"/>
      <c r="BJ11" s="18"/>
      <c r="BK11" s="18"/>
    </row>
    <row r="12" spans="1:63" x14ac:dyDescent="0.35">
      <c r="A12" s="9168"/>
      <c r="B12" s="58"/>
      <c r="C12" s="59" t="s">
        <v>872</v>
      </c>
      <c r="D12" s="60"/>
      <c r="F12" s="61"/>
      <c r="G12"/>
      <c r="H12" s="61">
        <v>2703000</v>
      </c>
      <c r="I12" s="63"/>
      <c r="J12" s="476">
        <f>IF(H12=0,0,I12/H12)</f>
        <v>0</v>
      </c>
      <c r="K12" s="65"/>
      <c r="L12" s="63">
        <v>3022483</v>
      </c>
      <c r="M12" s="66">
        <f>L12*J12</f>
        <v>0</v>
      </c>
      <c r="N12" s="67"/>
      <c r="O12" s="63">
        <v>3022483</v>
      </c>
      <c r="P12" s="63"/>
      <c r="Q12" s="106"/>
      <c r="R12" s="476">
        <f>IF(O12=0,0,P12/O12)</f>
        <v>0</v>
      </c>
      <c r="S12" s="67"/>
      <c r="T12" s="71">
        <v>2986500</v>
      </c>
      <c r="U12" s="106"/>
      <c r="V12" s="998">
        <f>R12*T12</f>
        <v>0</v>
      </c>
      <c r="X12" s="3626">
        <v>2986500</v>
      </c>
      <c r="Y12" s="5306">
        <v>2838300</v>
      </c>
      <c r="Z12" s="3016"/>
      <c r="AA12" s="476">
        <f>IF(X12=0,0,Y12/X12)</f>
        <v>0.95037669512807632</v>
      </c>
      <c r="AB12" s="67"/>
      <c r="AC12" s="2992">
        <v>3143300</v>
      </c>
      <c r="AD12" s="5249"/>
      <c r="AE12" s="5307">
        <v>3057100</v>
      </c>
      <c r="AG12" s="26"/>
      <c r="AI12" s="5308">
        <f>AI14-AI13</f>
        <v>3143300</v>
      </c>
      <c r="AJ12" s="5309">
        <v>3057100</v>
      </c>
      <c r="AK12" s="3016"/>
      <c r="AL12" s="476">
        <f>IF(AI12=0,0,AJ12/AI12)</f>
        <v>0.97257659148029141</v>
      </c>
      <c r="AM12" s="67"/>
      <c r="AN12" s="2996">
        <f>AN14-AN13</f>
        <v>3175000</v>
      </c>
      <c r="AO12" s="5249"/>
      <c r="AP12" s="5310">
        <f>AL12*AN12</f>
        <v>3087930.6779499254</v>
      </c>
      <c r="AQ12" s="1"/>
      <c r="AR12" s="298">
        <v>3175</v>
      </c>
      <c r="AS12" s="1988">
        <v>3453.9</v>
      </c>
      <c r="AT12" s="3016"/>
      <c r="AU12" s="476">
        <f>IF(AR12=0,0,AS12/AR12)</f>
        <v>1.0878425196850394</v>
      </c>
      <c r="AV12" s="67"/>
      <c r="AW12" s="68">
        <v>3657</v>
      </c>
      <c r="AX12" s="645"/>
      <c r="AY12" s="4682">
        <f>2439.7*4/3</f>
        <v>3252.9333333333329</v>
      </c>
      <c r="AZ12" s="476">
        <f>IF(AW12=0,0,AY12/AW12)</f>
        <v>0.88950870476711319</v>
      </c>
      <c r="BA12" s="298">
        <v>3846</v>
      </c>
      <c r="BB12" s="1988">
        <v>3517.1</v>
      </c>
      <c r="BC12" s="3016"/>
      <c r="BD12" s="476">
        <f>IF(BA12=0,0,BB12/BA12)</f>
        <v>0.91448257930317212</v>
      </c>
      <c r="BE12" s="67"/>
      <c r="BF12" s="68">
        <v>2848.5</v>
      </c>
      <c r="BG12" s="645"/>
      <c r="BH12" s="4682">
        <f>2320.9*4/3</f>
        <v>3094.5333333333333</v>
      </c>
      <c r="BI12" s="1"/>
      <c r="BJ12" s="26"/>
      <c r="BK12" s="26"/>
    </row>
    <row r="13" spans="1:63" x14ac:dyDescent="0.35">
      <c r="A13" s="9168"/>
      <c r="B13" s="58"/>
      <c r="C13" s="59" t="s">
        <v>878</v>
      </c>
      <c r="D13" s="60"/>
      <c r="F13" s="61"/>
      <c r="G13"/>
      <c r="H13" s="61">
        <v>609000</v>
      </c>
      <c r="I13" s="63"/>
      <c r="J13" s="73">
        <f t="shared" ref="J13:J14" si="0">IF(H13=0,0,I13/H13)</f>
        <v>0</v>
      </c>
      <c r="K13" s="65"/>
      <c r="L13" s="63">
        <v>724117</v>
      </c>
      <c r="M13" s="66">
        <f t="shared" ref="M13:M14" si="1">L13*J13</f>
        <v>0</v>
      </c>
      <c r="N13" s="67"/>
      <c r="O13" s="63">
        <v>724117</v>
      </c>
      <c r="P13" s="63"/>
      <c r="Q13" s="106"/>
      <c r="R13" s="73">
        <f t="shared" ref="R13:R14" si="2">IF(O13=0,0,P13/O13)</f>
        <v>0</v>
      </c>
      <c r="S13" s="67"/>
      <c r="T13" s="71">
        <v>1248200</v>
      </c>
      <c r="U13" s="106"/>
      <c r="V13" s="998">
        <f t="shared" ref="V13:V14" si="3">R13*T13</f>
        <v>0</v>
      </c>
      <c r="X13" s="3626">
        <v>1248200</v>
      </c>
      <c r="Y13" s="5306">
        <v>791200</v>
      </c>
      <c r="Z13" s="106"/>
      <c r="AA13" s="73">
        <f t="shared" ref="AA13:AA14" si="4">IF(X13=0,0,Y13/X13)</f>
        <v>0.63387277679859</v>
      </c>
      <c r="AB13" s="67"/>
      <c r="AC13" s="2992">
        <v>1230500</v>
      </c>
      <c r="AD13" s="106"/>
      <c r="AE13" s="5307">
        <v>1394800</v>
      </c>
      <c r="AG13" s="26"/>
      <c r="AI13" s="5308">
        <v>1230500</v>
      </c>
      <c r="AJ13" s="5309">
        <v>1394800</v>
      </c>
      <c r="AK13" s="106"/>
      <c r="AL13" s="73">
        <f t="shared" ref="AL13:AL14" si="5">IF(AI13=0,0,AJ13/AI13)</f>
        <v>1.1335229581470947</v>
      </c>
      <c r="AM13" s="67"/>
      <c r="AN13" s="2996">
        <v>1338500</v>
      </c>
      <c r="AO13" s="106"/>
      <c r="AP13" s="5310">
        <f>AN13*AL13</f>
        <v>1517220.4794798864</v>
      </c>
      <c r="AQ13" s="1"/>
      <c r="AR13" s="298">
        <v>1338.5</v>
      </c>
      <c r="AS13" s="1988">
        <v>1477.4</v>
      </c>
      <c r="AT13" s="106"/>
      <c r="AU13" s="73">
        <f t="shared" ref="AU13:AU14" si="6">IF(AR13=0,0,AS13/AR13)</f>
        <v>1.1037728800896527</v>
      </c>
      <c r="AV13" s="67"/>
      <c r="AW13" s="68">
        <v>1555</v>
      </c>
      <c r="AX13" s="645"/>
      <c r="AY13" s="4682">
        <f>1345*4/3</f>
        <v>1793.3333333333333</v>
      </c>
      <c r="AZ13" s="476">
        <f t="shared" ref="AZ13:AZ39" si="7">IF(AW13=0,0,AY13/AW13)</f>
        <v>1.1532690246516613</v>
      </c>
      <c r="BA13" s="298">
        <f>747+100+270</f>
        <v>1117</v>
      </c>
      <c r="BB13" s="1988">
        <f>772.2+133.3+183.3</f>
        <v>1088.8</v>
      </c>
      <c r="BC13" s="106" t="s">
        <v>1687</v>
      </c>
      <c r="BD13" s="73">
        <f t="shared" ref="BD13:BD14" si="8">IF(BA13=0,0,BB13/BA13)</f>
        <v>0.97475380483437779</v>
      </c>
      <c r="BE13" s="67"/>
      <c r="BF13" s="68">
        <f>582+102+331.2</f>
        <v>1015.2</v>
      </c>
      <c r="BG13" s="645"/>
      <c r="BH13" s="4682">
        <f>(333.5+22.4+52.7)*4/3</f>
        <v>544.79999999999995</v>
      </c>
      <c r="BI13" s="1"/>
      <c r="BJ13" s="26"/>
      <c r="BK13" s="26"/>
    </row>
    <row r="14" spans="1:63" x14ac:dyDescent="0.35">
      <c r="A14" s="9168"/>
      <c r="B14" s="85"/>
      <c r="C14" s="86" t="s">
        <v>882</v>
      </c>
      <c r="D14" s="87"/>
      <c r="F14" s="88"/>
      <c r="G14"/>
      <c r="H14" s="89">
        <f>SUM(H12:H13)</f>
        <v>3312000</v>
      </c>
      <c r="I14" s="90"/>
      <c r="J14" s="91">
        <f t="shared" si="0"/>
        <v>0</v>
      </c>
      <c r="K14" s="80"/>
      <c r="L14" s="89">
        <f>SUM(L12:L13)</f>
        <v>3746600</v>
      </c>
      <c r="M14" s="92">
        <f t="shared" si="1"/>
        <v>0</v>
      </c>
      <c r="N14" s="67"/>
      <c r="O14" s="78">
        <f>SUM(O12:O13)</f>
        <v>3746600</v>
      </c>
      <c r="P14" s="79">
        <v>3700891</v>
      </c>
      <c r="Q14" s="106"/>
      <c r="R14" s="73">
        <f t="shared" si="2"/>
        <v>0.98779987188384133</v>
      </c>
      <c r="S14" s="67"/>
      <c r="T14" s="760">
        <f>SUM(T12:T13)</f>
        <v>4234700</v>
      </c>
      <c r="U14" s="106"/>
      <c r="V14" s="999">
        <f t="shared" si="3"/>
        <v>4183036.1174665028</v>
      </c>
      <c r="X14" s="5311">
        <f>SUM(X12:X13)</f>
        <v>4234700</v>
      </c>
      <c r="Y14" s="5312">
        <f>SUM(Y12:Y13)</f>
        <v>3629500</v>
      </c>
      <c r="Z14" s="106"/>
      <c r="AA14" s="73">
        <f t="shared" si="4"/>
        <v>0.85708550782818149</v>
      </c>
      <c r="AB14" s="67"/>
      <c r="AC14" s="5313">
        <f>SUM(AC12:AC13)</f>
        <v>4373800</v>
      </c>
      <c r="AD14" s="106"/>
      <c r="AE14" s="5314">
        <f>SUM(AE12:AE13)</f>
        <v>4451900</v>
      </c>
      <c r="AG14" s="24"/>
      <c r="AI14" s="5315">
        <v>4373800</v>
      </c>
      <c r="AJ14" s="5316">
        <f>4451.9*1000</f>
        <v>4451900</v>
      </c>
      <c r="AK14" s="106"/>
      <c r="AL14" s="73">
        <f t="shared" si="5"/>
        <v>1.017856326306644</v>
      </c>
      <c r="AM14" s="67"/>
      <c r="AN14" s="3027">
        <v>4513500</v>
      </c>
      <c r="AO14" s="106"/>
      <c r="AP14" s="5317">
        <f>AN14*AL14</f>
        <v>4594094.5287850378</v>
      </c>
      <c r="AQ14" s="1"/>
      <c r="AR14" s="2726">
        <f>AR12+AR13</f>
        <v>4513.5</v>
      </c>
      <c r="AS14" s="2729">
        <f>AS12+AS13</f>
        <v>4931.3</v>
      </c>
      <c r="AT14" s="6307"/>
      <c r="AU14" s="91">
        <f t="shared" si="6"/>
        <v>1.092566744211809</v>
      </c>
      <c r="AV14" s="67"/>
      <c r="AW14" s="6308">
        <f>AW12+AW13</f>
        <v>5212</v>
      </c>
      <c r="AX14" s="2721"/>
      <c r="AY14" s="6309">
        <f>AY12+AY13</f>
        <v>5046.2666666666664</v>
      </c>
      <c r="AZ14" s="476">
        <f t="shared" si="7"/>
        <v>0.96820158608339724</v>
      </c>
      <c r="BA14" s="2726">
        <f>BA12+BA13</f>
        <v>4963</v>
      </c>
      <c r="BB14" s="2729">
        <f>BB12+BB13</f>
        <v>4605.8999999999996</v>
      </c>
      <c r="BC14" s="6307"/>
      <c r="BD14" s="91">
        <f t="shared" si="8"/>
        <v>0.92804755188394106</v>
      </c>
      <c r="BE14" s="67"/>
      <c r="BF14" s="6308">
        <f>BF12+BF13</f>
        <v>3863.7</v>
      </c>
      <c r="BG14" s="2721"/>
      <c r="BH14" s="6309">
        <f>BH12+BH13</f>
        <v>3639.333333333333</v>
      </c>
      <c r="BI14" s="1"/>
      <c r="BJ14" s="24"/>
      <c r="BK14" s="24"/>
    </row>
    <row r="15" spans="1:63" x14ac:dyDescent="0.35">
      <c r="A15" s="9168"/>
      <c r="B15" s="100" t="s">
        <v>883</v>
      </c>
      <c r="C15" s="49"/>
      <c r="D15" s="42"/>
      <c r="E15" s="43"/>
      <c r="F15" s="101"/>
      <c r="G15"/>
      <c r="H15" s="102"/>
      <c r="I15" s="103"/>
      <c r="J15" s="104"/>
      <c r="K15" s="43"/>
      <c r="L15" s="102"/>
      <c r="M15" s="105"/>
      <c r="N15" s="43"/>
      <c r="O15" s="102"/>
      <c r="P15" s="103"/>
      <c r="Q15" s="103"/>
      <c r="R15" s="104"/>
      <c r="S15" s="43"/>
      <c r="T15" s="102"/>
      <c r="U15" s="103"/>
      <c r="V15" s="105"/>
      <c r="W15" s="43"/>
      <c r="X15" s="102"/>
      <c r="Y15" s="103"/>
      <c r="Z15" s="103"/>
      <c r="AA15" s="104"/>
      <c r="AB15" s="43"/>
      <c r="AC15" s="102"/>
      <c r="AD15" s="103"/>
      <c r="AE15" s="105"/>
      <c r="AF15" s="43"/>
      <c r="AG15" s="18"/>
      <c r="AI15" s="102"/>
      <c r="AJ15" s="103"/>
      <c r="AK15" s="103"/>
      <c r="AL15" s="104"/>
      <c r="AM15" s="43"/>
      <c r="AN15" s="102"/>
      <c r="AO15" s="103"/>
      <c r="AP15" s="105"/>
      <c r="AQ15" s="43"/>
      <c r="AR15" s="6310" t="s">
        <v>1688</v>
      </c>
      <c r="AS15" s="6311" t="s">
        <v>1689</v>
      </c>
      <c r="AT15" s="2819" t="s">
        <v>1690</v>
      </c>
      <c r="AU15" s="73"/>
      <c r="AV15" s="43"/>
      <c r="AW15" s="2737"/>
      <c r="AX15" s="2828" t="s">
        <v>1691</v>
      </c>
      <c r="AY15" s="2830"/>
      <c r="AZ15" s="476"/>
      <c r="BA15" s="6310" t="s">
        <v>1688</v>
      </c>
      <c r="BB15" s="6311" t="s">
        <v>1692</v>
      </c>
      <c r="BC15" s="6847" t="s">
        <v>1693</v>
      </c>
      <c r="BD15" s="73"/>
      <c r="BE15" s="43"/>
      <c r="BF15" s="2737"/>
      <c r="BG15" s="2828" t="s">
        <v>1694</v>
      </c>
      <c r="BH15" s="2830"/>
      <c r="BI15" s="43"/>
      <c r="BJ15" s="6312"/>
      <c r="BK15" s="6312"/>
    </row>
    <row r="16" spans="1:63" x14ac:dyDescent="0.35">
      <c r="A16" s="9168"/>
      <c r="B16" s="6082"/>
      <c r="C16" s="110" t="s">
        <v>885</v>
      </c>
      <c r="D16" s="60"/>
      <c r="F16" s="111"/>
      <c r="G16"/>
      <c r="H16" s="112">
        <v>2009200</v>
      </c>
      <c r="I16" s="1351">
        <f>I19-I17-I18</f>
        <v>2893280</v>
      </c>
      <c r="J16" s="476">
        <f t="shared" ref="J16:J19" si="9">IF(H16=0,0,I16/H16)</f>
        <v>1.4400159267370098</v>
      </c>
      <c r="L16" s="112">
        <v>2159900</v>
      </c>
      <c r="M16" s="5318">
        <f>M19-M17-M18</f>
        <v>3264191</v>
      </c>
      <c r="O16" s="112">
        <v>2159900</v>
      </c>
      <c r="P16" s="1351"/>
      <c r="Q16" s="106"/>
      <c r="R16" s="476">
        <f>IF(O16=0,0,P16/O16)</f>
        <v>0</v>
      </c>
      <c r="T16" s="248">
        <v>1981100</v>
      </c>
      <c r="U16" s="5319" t="s">
        <v>1695</v>
      </c>
      <c r="V16" s="1034">
        <f t="shared" ref="V16:V19" si="10">R16*T16</f>
        <v>0</v>
      </c>
      <c r="X16" s="3164">
        <v>1981100</v>
      </c>
      <c r="Y16" s="5320">
        <v>2341300</v>
      </c>
      <c r="Z16" s="106"/>
      <c r="AA16" s="476">
        <f>IF(X16=0,0,Y16/X16)</f>
        <v>1.1818181818181819</v>
      </c>
      <c r="AC16" s="3015">
        <v>2059300</v>
      </c>
      <c r="AD16" s="5249"/>
      <c r="AE16" s="5321">
        <v>2152700</v>
      </c>
      <c r="AG16" s="26"/>
      <c r="AI16" s="3176">
        <v>2059400</v>
      </c>
      <c r="AJ16" s="5322">
        <v>2152700</v>
      </c>
      <c r="AK16" s="106"/>
      <c r="AL16" s="476">
        <f>IF(AI16=0,0,AJ16/AI16)</f>
        <v>1.0453044576090122</v>
      </c>
      <c r="AM16" s="1"/>
      <c r="AN16" s="3020">
        <v>2194992</v>
      </c>
      <c r="AO16" s="5249" t="s">
        <v>1696</v>
      </c>
      <c r="AP16" s="5323">
        <f>AN16*AL16</f>
        <v>2294434.922016121</v>
      </c>
      <c r="AQ16" s="1"/>
      <c r="AR16" s="2748">
        <v>2324.6999999999998</v>
      </c>
      <c r="AS16" s="2751">
        <v>2185.4</v>
      </c>
      <c r="AT16" s="2819"/>
      <c r="AU16" s="476">
        <f>IF(AR16=0,0,AS16/AR16)</f>
        <v>0.94007828967178575</v>
      </c>
      <c r="AV16" s="1"/>
      <c r="AW16" s="6313">
        <f>2451+0</f>
        <v>2451</v>
      </c>
      <c r="AX16" s="2719" t="s">
        <v>1697</v>
      </c>
      <c r="AY16" s="6314">
        <f>(1732.4+117.4)*4/3</f>
        <v>2466.4</v>
      </c>
      <c r="AZ16" s="476">
        <f t="shared" si="7"/>
        <v>1.0062831497348022</v>
      </c>
      <c r="BA16" s="2748">
        <v>2551.1</v>
      </c>
      <c r="BB16" s="2751">
        <v>2600.6999999999998</v>
      </c>
      <c r="BC16" s="2819"/>
      <c r="BD16" s="476">
        <f>IF(BA16=0,0,BB16/BA16)</f>
        <v>1.0194425933910862</v>
      </c>
      <c r="BE16" s="1"/>
      <c r="BF16" s="6313">
        <v>2266.9</v>
      </c>
      <c r="BG16" s="2719"/>
      <c r="BH16" s="6314">
        <f>(1682.3+117.4)*4/3</f>
        <v>2399.6</v>
      </c>
      <c r="BI16" s="1"/>
      <c r="BJ16" s="4761" t="s">
        <v>1099</v>
      </c>
      <c r="BK16" s="4761" t="s">
        <v>1099</v>
      </c>
    </row>
    <row r="17" spans="1:63" x14ac:dyDescent="0.35">
      <c r="A17" s="9168"/>
      <c r="B17" s="6082"/>
      <c r="C17" s="110" t="s">
        <v>1168</v>
      </c>
      <c r="D17" s="60"/>
      <c r="F17" s="111"/>
      <c r="G17"/>
      <c r="H17" s="112">
        <v>1000000</v>
      </c>
      <c r="I17" s="1351"/>
      <c r="J17" s="1562">
        <f t="shared" si="9"/>
        <v>0</v>
      </c>
      <c r="K17" s="374"/>
      <c r="L17" s="112">
        <v>1150000</v>
      </c>
      <c r="M17" s="5318"/>
      <c r="O17" s="112">
        <v>1150000</v>
      </c>
      <c r="P17" s="1351"/>
      <c r="Q17" s="106"/>
      <c r="R17" s="1562">
        <f t="shared" ref="R17:R18" si="11">IF(O17=0,0,P17/O17)</f>
        <v>0</v>
      </c>
      <c r="T17" s="248">
        <v>1525800</v>
      </c>
      <c r="U17" s="3389"/>
      <c r="V17" s="1034">
        <f t="shared" si="10"/>
        <v>0</v>
      </c>
      <c r="X17" s="3164">
        <v>1525800</v>
      </c>
      <c r="Y17" s="5320">
        <v>1514600</v>
      </c>
      <c r="Z17" s="106"/>
      <c r="AA17" s="1562">
        <f t="shared" ref="AA17:AA18" si="12">IF(X17=0,0,Y17/X17)</f>
        <v>0.99265958841263602</v>
      </c>
      <c r="AC17" s="3015">
        <v>1587000</v>
      </c>
      <c r="AD17" s="106"/>
      <c r="AE17" s="5321">
        <v>1485000</v>
      </c>
      <c r="AG17" s="26"/>
      <c r="AI17" s="3176">
        <v>1586900</v>
      </c>
      <c r="AJ17" s="5322">
        <v>1485000</v>
      </c>
      <c r="AK17" s="106"/>
      <c r="AL17" s="1562">
        <f t="shared" ref="AL17:AL18" si="13">IF(AI17=0,0,AJ17/AI17)</f>
        <v>0.93578675404877432</v>
      </c>
      <c r="AM17" s="1"/>
      <c r="AN17" s="3020">
        <f>AN19-AN18-AN16</f>
        <v>1291508</v>
      </c>
      <c r="AO17" s="106" t="s">
        <v>1698</v>
      </c>
      <c r="AP17" s="5323">
        <f>AN17*AL17</f>
        <v>1208576.0791480243</v>
      </c>
      <c r="AQ17" s="1"/>
      <c r="AR17" s="2748">
        <v>1310.5</v>
      </c>
      <c r="AS17" s="2751">
        <v>953.1</v>
      </c>
      <c r="AT17" s="2819"/>
      <c r="AU17" s="1562">
        <f t="shared" ref="AU17:AU18" si="14">IF(AR17=0,0,AS17/AR17)</f>
        <v>0.72727966425028612</v>
      </c>
      <c r="AV17" s="1"/>
      <c r="AW17" s="6313">
        <v>1478</v>
      </c>
      <c r="AX17" s="2719"/>
      <c r="AY17" s="6314">
        <f>903*4/3</f>
        <v>1204</v>
      </c>
      <c r="AZ17" s="476">
        <f t="shared" si="7"/>
        <v>0.81461434370771313</v>
      </c>
      <c r="BA17" s="2748">
        <v>1478</v>
      </c>
      <c r="BB17" s="2751">
        <v>1492.2</v>
      </c>
      <c r="BC17" s="2819"/>
      <c r="BD17" s="1562">
        <f t="shared" ref="BD17:BD18" si="15">IF(BA17=0,0,BB17/BA17)</f>
        <v>1.0096075778078484</v>
      </c>
      <c r="BE17" s="1"/>
      <c r="BF17" s="6313">
        <v>1268.2</v>
      </c>
      <c r="BG17" s="2719"/>
      <c r="BH17" s="6314">
        <f>699*4/3</f>
        <v>932</v>
      </c>
      <c r="BI17" s="1"/>
      <c r="BJ17" s="6315"/>
      <c r="BK17" s="6315"/>
    </row>
    <row r="18" spans="1:63" x14ac:dyDescent="0.35">
      <c r="A18" s="9168"/>
      <c r="B18" s="6082"/>
      <c r="C18" s="110" t="s">
        <v>1169</v>
      </c>
      <c r="D18" s="60"/>
      <c r="F18" s="163"/>
      <c r="G18" s="1569"/>
      <c r="H18" s="242">
        <f>104400+198400</f>
        <v>302800</v>
      </c>
      <c r="I18" s="3985">
        <f>H18</f>
        <v>302800</v>
      </c>
      <c r="J18" s="1570">
        <f t="shared" si="9"/>
        <v>1</v>
      </c>
      <c r="K18" s="274"/>
      <c r="L18" s="242">
        <f>109500+327200</f>
        <v>436700</v>
      </c>
      <c r="M18" s="5318">
        <f>L18</f>
        <v>436700</v>
      </c>
      <c r="O18" s="242">
        <f>109500+327200</f>
        <v>436700</v>
      </c>
      <c r="P18" s="3985"/>
      <c r="Q18" s="106"/>
      <c r="R18" s="1570">
        <f t="shared" si="11"/>
        <v>0</v>
      </c>
      <c r="T18" s="164">
        <v>727800</v>
      </c>
      <c r="U18" s="3389"/>
      <c r="V18" s="276">
        <f t="shared" si="10"/>
        <v>0</v>
      </c>
      <c r="X18" s="3166">
        <v>727800</v>
      </c>
      <c r="Y18" s="5324">
        <v>595600</v>
      </c>
      <c r="Z18" s="106"/>
      <c r="AA18" s="1570">
        <f t="shared" si="12"/>
        <v>0.8183566913987359</v>
      </c>
      <c r="AC18" s="3026">
        <v>727500</v>
      </c>
      <c r="AD18" s="106"/>
      <c r="AE18" s="5325">
        <v>726100</v>
      </c>
      <c r="AG18" s="26"/>
      <c r="AI18" s="5315">
        <v>727500</v>
      </c>
      <c r="AJ18" s="5326">
        <v>726100</v>
      </c>
      <c r="AK18" s="106"/>
      <c r="AL18" s="1570">
        <f t="shared" si="13"/>
        <v>0.99807560137457041</v>
      </c>
      <c r="AM18" s="1"/>
      <c r="AN18" s="3027">
        <v>1027000</v>
      </c>
      <c r="AO18" s="106" t="s">
        <v>1699</v>
      </c>
      <c r="AP18" s="5317">
        <f>AN18*AL18</f>
        <v>1025023.6426116838</v>
      </c>
      <c r="AQ18" s="1"/>
      <c r="AR18" s="2763">
        <v>1054.3</v>
      </c>
      <c r="AS18" s="2765">
        <v>1031.0999999999999</v>
      </c>
      <c r="AT18" s="2819"/>
      <c r="AU18" s="1570">
        <f t="shared" si="14"/>
        <v>0.97799487811818264</v>
      </c>
      <c r="AV18" s="1"/>
      <c r="AW18" s="2799">
        <v>1283</v>
      </c>
      <c r="AX18" s="2721"/>
      <c r="AY18" s="2802">
        <f>722.7*4/3</f>
        <v>963.6</v>
      </c>
      <c r="AZ18" s="476">
        <f t="shared" si="7"/>
        <v>0.75105222135619643</v>
      </c>
      <c r="BA18" s="2763">
        <v>1380.4</v>
      </c>
      <c r="BB18" s="2765">
        <v>1033.9000000000001</v>
      </c>
      <c r="BC18" s="6217" t="s">
        <v>1700</v>
      </c>
      <c r="BD18" s="1570">
        <f t="shared" si="15"/>
        <v>0.7489858012170385</v>
      </c>
      <c r="BE18" s="1"/>
      <c r="BF18" s="2799">
        <v>874</v>
      </c>
      <c r="BG18" s="2721"/>
      <c r="BH18" s="2802">
        <f>577.5*4/3</f>
        <v>770</v>
      </c>
      <c r="BI18" s="1"/>
      <c r="BJ18" s="26"/>
      <c r="BK18" s="26"/>
    </row>
    <row r="19" spans="1:63" x14ac:dyDescent="0.35">
      <c r="A19" s="9168"/>
      <c r="B19" s="128"/>
      <c r="C19" s="129" t="s">
        <v>903</v>
      </c>
      <c r="D19" s="87"/>
      <c r="F19" s="130"/>
      <c r="G19" s="235"/>
      <c r="H19" s="131">
        <f>SUM(H16:H18)</f>
        <v>3312000</v>
      </c>
      <c r="I19" s="132">
        <v>3196080</v>
      </c>
      <c r="J19" s="484">
        <f t="shared" si="9"/>
        <v>0.96499999999999997</v>
      </c>
      <c r="L19" s="131">
        <f>SUM(L16:L18)</f>
        <v>3746600</v>
      </c>
      <c r="M19" s="485">
        <v>3700891</v>
      </c>
      <c r="O19" s="131">
        <f>SUM(O16:O18)</f>
        <v>3746600</v>
      </c>
      <c r="P19" s="132"/>
      <c r="Q19" s="216"/>
      <c r="R19" s="484">
        <f>IF(O19=0,0,P19/O19)</f>
        <v>0</v>
      </c>
      <c r="T19" s="214">
        <f>SUM(T16:T18)</f>
        <v>4234700</v>
      </c>
      <c r="U19" s="212"/>
      <c r="V19" s="658">
        <f t="shared" si="10"/>
        <v>0</v>
      </c>
      <c r="X19" s="1781">
        <f>SUM(X16:X18)</f>
        <v>4234700</v>
      </c>
      <c r="Y19" s="1782">
        <f>SUM(Y16:Y18)</f>
        <v>4451500</v>
      </c>
      <c r="Z19" s="216"/>
      <c r="AA19" s="484">
        <f>IF(X19=0,0,Y19/X19)</f>
        <v>1.0511960705598979</v>
      </c>
      <c r="AC19" s="1783">
        <f>SUM(AC16:AC18)</f>
        <v>4373800</v>
      </c>
      <c r="AD19" s="216"/>
      <c r="AE19" s="1784">
        <f>SUM(AE16:AE18)</f>
        <v>4363800</v>
      </c>
      <c r="AG19" s="24"/>
      <c r="AI19" s="3006">
        <v>4373800</v>
      </c>
      <c r="AJ19" s="5327">
        <v>4363800</v>
      </c>
      <c r="AK19" s="216"/>
      <c r="AL19" s="484">
        <f>IF(AI19=0,0,AJ19/AI19)</f>
        <v>0.9977136586035027</v>
      </c>
      <c r="AM19" s="1"/>
      <c r="AN19" s="3007">
        <v>4513500</v>
      </c>
      <c r="AO19" s="216" t="s">
        <v>1701</v>
      </c>
      <c r="AP19" s="5328">
        <f>SUM(AP16:AP18)</f>
        <v>4528034.6437758291</v>
      </c>
      <c r="AQ19" s="1"/>
      <c r="AR19" s="2769">
        <f>AR18+AR17+AR16</f>
        <v>4689.5</v>
      </c>
      <c r="AS19" s="2771">
        <f>AS18+AS17+AS16</f>
        <v>4169.6000000000004</v>
      </c>
      <c r="AT19" s="6307"/>
      <c r="AU19" s="484">
        <f>IF(AR19=0,0,AS19/AR19)</f>
        <v>0.8891353022710311</v>
      </c>
      <c r="AV19" s="1"/>
      <c r="AW19" s="6316">
        <f>SUM(AW16:AW18)</f>
        <v>5212</v>
      </c>
      <c r="AX19" s="2732"/>
      <c r="AY19" s="6317">
        <f>SUM(AY16:AY18)</f>
        <v>4634</v>
      </c>
      <c r="AZ19" s="476">
        <f t="shared" si="7"/>
        <v>0.88910207214121262</v>
      </c>
      <c r="BA19" s="2769">
        <f>SUM(BA16:BA18)</f>
        <v>5409.5</v>
      </c>
      <c r="BB19" s="2771">
        <f>SUM(BB16:BB18)</f>
        <v>5126.7999999999993</v>
      </c>
      <c r="BC19" s="6307"/>
      <c r="BD19" s="484">
        <f>IF(BA19=0,0,BB19/BA19)</f>
        <v>0.9477400868841851</v>
      </c>
      <c r="BE19" s="1"/>
      <c r="BF19" s="6316">
        <f>SUM(BF16:BF18)</f>
        <v>4409.1000000000004</v>
      </c>
      <c r="BG19" s="2732"/>
      <c r="BH19" s="6317">
        <f>SUM(BH16:BH18)</f>
        <v>4101.6000000000004</v>
      </c>
      <c r="BI19" s="1"/>
      <c r="BJ19" s="24"/>
      <c r="BK19" s="24"/>
    </row>
    <row r="20" spans="1:63" ht="15.25" customHeight="1" x14ac:dyDescent="0.35">
      <c r="A20" s="9168"/>
      <c r="B20" s="139" t="s">
        <v>904</v>
      </c>
      <c r="C20" s="49"/>
      <c r="D20" s="140"/>
      <c r="E20" s="141"/>
      <c r="F20" s="1578"/>
      <c r="G20" s="1579"/>
      <c r="H20" s="1580"/>
      <c r="I20" s="150"/>
      <c r="J20" s="486"/>
      <c r="K20" s="141"/>
      <c r="L20" s="147"/>
      <c r="M20" s="148"/>
      <c r="N20" s="141"/>
      <c r="O20" s="5003"/>
      <c r="P20" s="5329"/>
      <c r="Q20" s="106"/>
      <c r="R20" s="5330"/>
      <c r="S20" s="141"/>
      <c r="T20" s="5003"/>
      <c r="U20" s="312"/>
      <c r="V20" s="4915"/>
      <c r="W20" s="141"/>
      <c r="X20" s="5003"/>
      <c r="Y20" s="5331" t="s">
        <v>1702</v>
      </c>
      <c r="Z20" s="106"/>
      <c r="AA20" s="5330"/>
      <c r="AB20" s="141"/>
      <c r="AC20" s="5003"/>
      <c r="AD20" s="312"/>
      <c r="AE20" s="4915"/>
      <c r="AF20" s="141"/>
      <c r="AG20" s="18"/>
      <c r="AI20" s="5003"/>
      <c r="AJ20" s="5331" t="s">
        <v>1702</v>
      </c>
      <c r="AK20" s="106"/>
      <c r="AL20" s="5330"/>
      <c r="AM20" s="141"/>
      <c r="AN20" s="5003"/>
      <c r="AO20" s="312"/>
      <c r="AP20" s="4915"/>
      <c r="AQ20" s="141"/>
      <c r="AR20" s="5696" t="s">
        <v>1688</v>
      </c>
      <c r="AS20" s="6318" t="s">
        <v>1689</v>
      </c>
      <c r="AT20" s="2819" t="s">
        <v>1690</v>
      </c>
      <c r="AU20" s="5330"/>
      <c r="AV20" s="141"/>
      <c r="AW20" s="6319"/>
      <c r="AX20" s="6218" t="s">
        <v>1703</v>
      </c>
      <c r="AY20" s="6320"/>
      <c r="AZ20" s="476"/>
      <c r="BA20" s="5696"/>
      <c r="BB20" s="6318"/>
      <c r="BC20" s="2819" t="s">
        <v>1703</v>
      </c>
      <c r="BD20" s="5330"/>
      <c r="BE20" s="141"/>
      <c r="BF20" s="6319"/>
      <c r="BG20" s="6218" t="s">
        <v>1703</v>
      </c>
      <c r="BH20" s="6320"/>
      <c r="BI20" s="141"/>
      <c r="BJ20" s="652" t="s">
        <v>1704</v>
      </c>
      <c r="BK20" s="652" t="s">
        <v>1704</v>
      </c>
    </row>
    <row r="21" spans="1:63" x14ac:dyDescent="0.35">
      <c r="A21" s="9168"/>
      <c r="B21" s="6082"/>
      <c r="C21" s="110" t="s">
        <v>905</v>
      </c>
      <c r="D21" s="60"/>
      <c r="F21" s="155"/>
      <c r="G21" s="235"/>
      <c r="H21" s="117"/>
      <c r="I21" s="115"/>
      <c r="J21" s="476">
        <f t="shared" ref="J21:J24" si="16">IF(H21=0,0,I21/H21)</f>
        <v>0</v>
      </c>
      <c r="L21" s="156"/>
      <c r="M21" s="157">
        <f t="shared" ref="M21:M24" si="17">L21*J21</f>
        <v>0</v>
      </c>
      <c r="O21" s="156"/>
      <c r="P21" s="115"/>
      <c r="Q21" s="106"/>
      <c r="R21" s="476">
        <f>IF(O21=0,0,P21/O21)</f>
        <v>0</v>
      </c>
      <c r="T21" s="159"/>
      <c r="U21" s="57" t="s">
        <v>1705</v>
      </c>
      <c r="V21" s="1009">
        <f t="shared" ref="V21:V24" si="18">R21*T21</f>
        <v>0</v>
      </c>
      <c r="X21" s="5332">
        <f>Y21*(AC21/AE21)</f>
        <v>960285.29653191066</v>
      </c>
      <c r="Y21" s="3546">
        <v>937300</v>
      </c>
      <c r="Z21" s="3016"/>
      <c r="AA21" s="476">
        <f>IF(X21=0,0,Y21/X21)</f>
        <v>0.97606409614421619</v>
      </c>
      <c r="AC21" s="3168">
        <v>998500</v>
      </c>
      <c r="AD21" s="57"/>
      <c r="AE21" s="5333">
        <v>974600</v>
      </c>
      <c r="AG21" s="26"/>
      <c r="AI21" s="5332">
        <f>AJ21*(AN21/AP21)</f>
        <v>998500.00000000012</v>
      </c>
      <c r="AJ21" s="5309">
        <v>974600</v>
      </c>
      <c r="AK21" s="3016"/>
      <c r="AL21" s="476">
        <f>IF(AI21=0,0,AJ21/AI21)</f>
        <v>0.97606409614421619</v>
      </c>
      <c r="AM21" s="1"/>
      <c r="AN21" s="5334">
        <v>998500</v>
      </c>
      <c r="AO21" s="57"/>
      <c r="AP21" s="5335">
        <v>974600</v>
      </c>
      <c r="AQ21" s="1"/>
      <c r="AR21" s="6321">
        <v>1017.2</v>
      </c>
      <c r="AS21" s="2796">
        <v>1007.4</v>
      </c>
      <c r="AT21" s="2819"/>
      <c r="AU21" s="476">
        <f>IF(AR21=0,0,AS21/AR21)</f>
        <v>0.99036570979158467</v>
      </c>
      <c r="AV21" s="1"/>
      <c r="AW21" s="6322">
        <v>1032</v>
      </c>
      <c r="AX21" s="2719"/>
      <c r="AY21" s="6323">
        <f>742.9*4/3</f>
        <v>990.5333333333333</v>
      </c>
      <c r="AZ21" s="476">
        <f t="shared" si="7"/>
        <v>0.95981912144702841</v>
      </c>
      <c r="BA21" s="6321">
        <v>1032.2</v>
      </c>
      <c r="BB21" s="2796">
        <v>1016.9</v>
      </c>
      <c r="BC21" s="2819"/>
      <c r="BD21" s="476">
        <f>IF(BA21=0,0,BB21/BA21)</f>
        <v>0.9851772912226312</v>
      </c>
      <c r="BE21" s="1"/>
      <c r="BF21" s="6322">
        <v>1042.9000000000001</v>
      </c>
      <c r="BG21" s="2719"/>
      <c r="BH21" s="6323">
        <f>771*4/3</f>
        <v>1028</v>
      </c>
      <c r="BI21" s="1"/>
      <c r="BJ21" s="26"/>
      <c r="BK21" s="26"/>
    </row>
    <row r="22" spans="1:63" x14ac:dyDescent="0.35">
      <c r="A22" s="9168"/>
      <c r="B22" s="6082"/>
      <c r="C22" s="110" t="s">
        <v>907</v>
      </c>
      <c r="D22" s="60"/>
      <c r="F22" s="155"/>
      <c r="G22" s="235"/>
      <c r="H22" s="117"/>
      <c r="I22" s="115"/>
      <c r="J22" s="476">
        <f t="shared" si="16"/>
        <v>0</v>
      </c>
      <c r="L22" s="156"/>
      <c r="M22" s="157">
        <f t="shared" si="17"/>
        <v>0</v>
      </c>
      <c r="O22" s="156"/>
      <c r="P22" s="115"/>
      <c r="Q22" s="106"/>
      <c r="R22" s="476">
        <f t="shared" ref="R22:R23" si="19">IF(O22=0,0,P22/O22)</f>
        <v>0</v>
      </c>
      <c r="T22" s="159"/>
      <c r="U22" s="312"/>
      <c r="V22" s="1009">
        <f t="shared" si="18"/>
        <v>0</v>
      </c>
      <c r="X22" s="156"/>
      <c r="Y22" s="115"/>
      <c r="Z22" s="106"/>
      <c r="AA22" s="476">
        <f t="shared" ref="AA22:AA23" si="20">IF(X22=0,0,Y22/X22)</f>
        <v>0</v>
      </c>
      <c r="AC22" s="159"/>
      <c r="AD22" s="312"/>
      <c r="AE22" s="1009"/>
      <c r="AG22" s="26"/>
      <c r="AI22" s="156"/>
      <c r="AJ22" s="115"/>
      <c r="AK22" s="106"/>
      <c r="AL22" s="476">
        <f t="shared" ref="AL22:AL23" si="21">IF(AI22=0,0,AJ22/AI22)</f>
        <v>0</v>
      </c>
      <c r="AM22" s="1"/>
      <c r="AN22" s="159"/>
      <c r="AO22" s="312"/>
      <c r="AP22" s="1009"/>
      <c r="AQ22" s="1"/>
      <c r="AR22" s="6321">
        <v>964.3</v>
      </c>
      <c r="AS22" s="2796">
        <v>956</v>
      </c>
      <c r="AT22" s="2819"/>
      <c r="AU22" s="476">
        <f t="shared" ref="AU22:AU23" si="22">IF(AR22=0,0,AS22/AR22)</f>
        <v>0.99139272010785029</v>
      </c>
      <c r="AV22" s="1"/>
      <c r="AW22" s="6322"/>
      <c r="AX22" s="6324"/>
      <c r="AY22" s="6325"/>
      <c r="AZ22" s="476">
        <f t="shared" si="7"/>
        <v>0</v>
      </c>
      <c r="BA22" s="6321"/>
      <c r="BB22" s="2796"/>
      <c r="BC22" s="2819"/>
      <c r="BD22" s="476">
        <f t="shared" ref="BD22:BD23" si="23">IF(BA22=0,0,BB22/BA22)</f>
        <v>0</v>
      </c>
      <c r="BE22" s="1"/>
      <c r="BF22" s="6322"/>
      <c r="BG22" s="6324"/>
      <c r="BH22" s="6325"/>
      <c r="BI22" s="1"/>
      <c r="BJ22" s="26"/>
      <c r="BK22" s="26"/>
    </row>
    <row r="23" spans="1:63" x14ac:dyDescent="0.35">
      <c r="A23" s="9168"/>
      <c r="B23" s="6082"/>
      <c r="C23" s="110" t="s">
        <v>908</v>
      </c>
      <c r="D23" s="60"/>
      <c r="F23" s="155"/>
      <c r="G23" s="235"/>
      <c r="H23" s="117">
        <v>155000</v>
      </c>
      <c r="I23" s="115"/>
      <c r="J23" s="476">
        <f t="shared" si="16"/>
        <v>0</v>
      </c>
      <c r="L23" s="156">
        <v>183000</v>
      </c>
      <c r="M23" s="157">
        <f t="shared" si="17"/>
        <v>0</v>
      </c>
      <c r="O23" s="156">
        <v>183000</v>
      </c>
      <c r="P23" s="115"/>
      <c r="Q23" s="106"/>
      <c r="R23" s="476">
        <f t="shared" si="19"/>
        <v>0</v>
      </c>
      <c r="T23" s="159">
        <v>194000</v>
      </c>
      <c r="U23" s="312" t="s">
        <v>1706</v>
      </c>
      <c r="V23" s="1009">
        <f t="shared" si="18"/>
        <v>0</v>
      </c>
      <c r="X23" s="3169">
        <v>194000</v>
      </c>
      <c r="Y23" s="5336">
        <f>Y21*(AC23/AC21)</f>
        <v>192435.15272909365</v>
      </c>
      <c r="Z23" s="3016"/>
      <c r="AA23" s="476">
        <f t="shared" si="20"/>
        <v>0.99193377695409102</v>
      </c>
      <c r="AC23" s="3168">
        <v>205000</v>
      </c>
      <c r="AD23" s="312"/>
      <c r="AE23" s="5335">
        <f>AE21*(AC23/AC21)</f>
        <v>200093.13970956433</v>
      </c>
      <c r="AG23" s="26"/>
      <c r="AI23" s="3170">
        <v>205000</v>
      </c>
      <c r="AJ23" s="5336">
        <f>AJ21*(AN23/AN21)</f>
        <v>203997.39609414121</v>
      </c>
      <c r="AK23" s="3016"/>
      <c r="AL23" s="476">
        <f t="shared" si="21"/>
        <v>0.99510924923971322</v>
      </c>
      <c r="AM23" s="1"/>
      <c r="AN23" s="5337">
        <v>209000</v>
      </c>
      <c r="AO23" s="312"/>
      <c r="AP23" s="5335">
        <f>AP21*(AN23/AN21)</f>
        <v>203997.39609414121</v>
      </c>
      <c r="AQ23" s="1"/>
      <c r="AR23" s="6321">
        <v>202.6</v>
      </c>
      <c r="AS23" s="2796">
        <v>202.6</v>
      </c>
      <c r="AT23" s="2819"/>
      <c r="AU23" s="476">
        <f t="shared" si="22"/>
        <v>1</v>
      </c>
      <c r="AV23" s="1"/>
      <c r="AW23" s="6322">
        <v>216.15799999999999</v>
      </c>
      <c r="AX23" s="6326" t="s">
        <v>1707</v>
      </c>
      <c r="AY23" s="6327">
        <f>AW23*AU23</f>
        <v>216.15799999999999</v>
      </c>
      <c r="AZ23" s="476">
        <f t="shared" si="7"/>
        <v>1</v>
      </c>
      <c r="BA23" s="607">
        <v>216.15799999999999</v>
      </c>
      <c r="BB23" s="2796"/>
      <c r="BC23" s="6217" t="s">
        <v>1707</v>
      </c>
      <c r="BD23" s="476">
        <f t="shared" si="23"/>
        <v>0</v>
      </c>
      <c r="BE23" s="1"/>
      <c r="BF23" s="6322">
        <v>222.68600000000001</v>
      </c>
      <c r="BG23" s="6326" t="s">
        <v>1708</v>
      </c>
      <c r="BH23" s="6327">
        <f>BF23*BD23</f>
        <v>0</v>
      </c>
      <c r="BI23" s="1"/>
      <c r="BJ23" s="26"/>
      <c r="BK23" s="26"/>
    </row>
    <row r="24" spans="1:63" ht="20.25" customHeight="1" x14ac:dyDescent="0.35">
      <c r="A24" s="9168"/>
      <c r="B24" s="6082"/>
      <c r="C24" s="161" t="s">
        <v>910</v>
      </c>
      <c r="D24" s="162"/>
      <c r="F24" s="163"/>
      <c r="G24" s="235"/>
      <c r="H24" s="164">
        <v>38000</v>
      </c>
      <c r="I24" s="165"/>
      <c r="J24" s="476">
        <f t="shared" si="16"/>
        <v>0</v>
      </c>
      <c r="L24" s="166">
        <v>39000</v>
      </c>
      <c r="M24" s="157">
        <f t="shared" si="17"/>
        <v>0</v>
      </c>
      <c r="O24" s="166">
        <v>39000</v>
      </c>
      <c r="P24" s="165"/>
      <c r="Q24" s="312"/>
      <c r="R24" s="476">
        <f>IF(O24=0,0,P24/O24)</f>
        <v>0</v>
      </c>
      <c r="T24" s="166">
        <v>45000</v>
      </c>
      <c r="U24" s="312" t="s">
        <v>1709</v>
      </c>
      <c r="V24" s="1795">
        <f t="shared" si="18"/>
        <v>0</v>
      </c>
      <c r="X24" s="5338">
        <v>45000</v>
      </c>
      <c r="Y24" s="5339">
        <f>Y21*(AC24/AC21)</f>
        <v>51628.943415122689</v>
      </c>
      <c r="Z24" s="3041"/>
      <c r="AA24" s="476">
        <f>IF(X24=0,0,Y24/X24)</f>
        <v>1.1473098536693931</v>
      </c>
      <c r="AC24" s="5338">
        <v>55000</v>
      </c>
      <c r="AD24" s="312"/>
      <c r="AE24" s="5340">
        <f>AE21*(AC24/AC21)</f>
        <v>53683.525287931901</v>
      </c>
      <c r="AG24" s="26"/>
      <c r="AI24" s="5338"/>
      <c r="AJ24" s="5339">
        <f>AJ21*(AN24/AN21)</f>
        <v>0</v>
      </c>
      <c r="AK24" s="3041"/>
      <c r="AL24" s="476">
        <f>IF(AI24=0,0,AJ24/AI24)</f>
        <v>0</v>
      </c>
      <c r="AM24" s="1"/>
      <c r="AN24" s="5338"/>
      <c r="AO24" s="312"/>
      <c r="AP24" s="5340">
        <f>AP21*(AN24/AN21)</f>
        <v>0</v>
      </c>
      <c r="AQ24" s="1"/>
      <c r="AR24" s="6328"/>
      <c r="AS24" s="6329"/>
      <c r="AT24" s="6218"/>
      <c r="AU24" s="476">
        <f>IF(AR24=0,0,AS24/AR24)</f>
        <v>0</v>
      </c>
      <c r="AV24" s="1"/>
      <c r="AW24" s="6328"/>
      <c r="AX24" s="6324"/>
      <c r="AY24" s="6330"/>
      <c r="AZ24" s="476">
        <f t="shared" si="7"/>
        <v>0</v>
      </c>
      <c r="BA24" s="6328"/>
      <c r="BB24" s="2796"/>
      <c r="BC24" s="6218"/>
      <c r="BD24" s="476">
        <f>IF(BA24=0,0,BB24/BA24)</f>
        <v>0</v>
      </c>
      <c r="BE24" s="1"/>
      <c r="BF24" s="6328"/>
      <c r="BG24" s="6324"/>
      <c r="BH24" s="6330"/>
      <c r="BI24" s="1"/>
      <c r="BJ24" s="26"/>
      <c r="BK24" s="26"/>
    </row>
    <row r="25" spans="1:63" ht="36" x14ac:dyDescent="0.35">
      <c r="A25" s="9168"/>
      <c r="B25" s="128"/>
      <c r="C25" s="129" t="s">
        <v>914</v>
      </c>
      <c r="D25" s="87"/>
      <c r="F25" s="491">
        <f>IF(F22=0,0,(F23-F24)/F22)</f>
        <v>0</v>
      </c>
      <c r="G25" s="170"/>
      <c r="H25" s="492">
        <f t="shared" ref="H25:I25" si="24">IF(H22=0,0,(H23-H24)/H22)</f>
        <v>0</v>
      </c>
      <c r="I25" s="493">
        <f t="shared" si="24"/>
        <v>0</v>
      </c>
      <c r="J25" s="494"/>
      <c r="K25" s="170"/>
      <c r="L25" s="495">
        <f>IF(L22=0,0,L23/L22)</f>
        <v>0</v>
      </c>
      <c r="M25" s="496">
        <f>IF(M22=0,0,M23/M22)</f>
        <v>0</v>
      </c>
      <c r="N25" s="176"/>
      <c r="O25" s="3467">
        <f>IF(O22=0,0,O23/O22)</f>
        <v>0</v>
      </c>
      <c r="P25" s="3466"/>
      <c r="Q25" s="5341"/>
      <c r="R25" s="835"/>
      <c r="S25" s="176"/>
      <c r="T25" s="3467"/>
      <c r="U25" s="5341"/>
      <c r="V25" s="5342"/>
      <c r="W25" s="176"/>
      <c r="X25" s="3467">
        <f>IF(X22=0,0,X23/X22)</f>
        <v>0</v>
      </c>
      <c r="Y25" s="3466"/>
      <c r="Z25" s="5341"/>
      <c r="AA25" s="835"/>
      <c r="AB25" s="176"/>
      <c r="AC25" s="3467"/>
      <c r="AD25" s="5341"/>
      <c r="AE25" s="5342"/>
      <c r="AF25" s="176"/>
      <c r="AG25" s="24"/>
      <c r="AI25" s="3467">
        <f>IF(AI22=0,0,AI23/AI22)</f>
        <v>0</v>
      </c>
      <c r="AJ25" s="3466"/>
      <c r="AK25" s="5341"/>
      <c r="AL25" s="835"/>
      <c r="AM25" s="176"/>
      <c r="AN25" s="3467"/>
      <c r="AO25" s="5341"/>
      <c r="AP25" s="5342"/>
      <c r="AQ25" s="176"/>
      <c r="AR25" s="6331">
        <f>AR23/AR16</f>
        <v>8.7151030240461141E-2</v>
      </c>
      <c r="AS25" s="6332">
        <f>AS23/AS16</f>
        <v>9.270614075226502E-2</v>
      </c>
      <c r="AT25" s="6333" t="s">
        <v>1710</v>
      </c>
      <c r="AU25" s="835"/>
      <c r="AV25" s="176"/>
      <c r="AW25" s="6331">
        <f>AW23/AW16</f>
        <v>8.8191758465932274E-2</v>
      </c>
      <c r="AX25" s="6333" t="s">
        <v>1710</v>
      </c>
      <c r="AY25" s="6334">
        <f>AW25</f>
        <v>8.8191758465932274E-2</v>
      </c>
      <c r="AZ25" s="476">
        <f t="shared" si="7"/>
        <v>1</v>
      </c>
      <c r="BA25" s="6331">
        <f>BA23/BA16</f>
        <v>8.4731292383677631E-2</v>
      </c>
      <c r="BB25" s="7824">
        <f>BA25</f>
        <v>8.4731292383677631E-2</v>
      </c>
      <c r="BC25" s="6333" t="s">
        <v>1710</v>
      </c>
      <c r="BD25" s="835"/>
      <c r="BE25" s="176"/>
      <c r="BF25" s="6331">
        <f>BA79/SUM(BA30:BA39)</f>
        <v>7.5191440941000082E-2</v>
      </c>
      <c r="BG25" s="6333" t="s">
        <v>1710</v>
      </c>
      <c r="BH25" s="6334">
        <f>BF25</f>
        <v>7.5191440941000082E-2</v>
      </c>
      <c r="BI25" s="176"/>
      <c r="BJ25" s="24"/>
      <c r="BK25" s="24"/>
    </row>
    <row r="26" spans="1:63" x14ac:dyDescent="0.35">
      <c r="A26" s="9169"/>
      <c r="B26" s="499" t="s">
        <v>915</v>
      </c>
      <c r="C26" s="500"/>
      <c r="D26" s="501"/>
      <c r="F26" s="502"/>
      <c r="H26" s="503"/>
      <c r="I26" s="504"/>
      <c r="J26" s="505">
        <f>IF(H26=0,0,I26/H26)</f>
        <v>0</v>
      </c>
      <c r="L26" s="503"/>
      <c r="M26" s="506">
        <f t="shared" ref="M26" si="25">L26*J26</f>
        <v>0</v>
      </c>
      <c r="O26" s="503"/>
      <c r="P26" s="504"/>
      <c r="Q26" s="3052"/>
      <c r="R26" s="505"/>
      <c r="T26" s="1024"/>
      <c r="U26" s="3052"/>
      <c r="V26" s="1030"/>
      <c r="X26" s="503"/>
      <c r="Y26" s="504"/>
      <c r="Z26" s="3052"/>
      <c r="AA26" s="505"/>
      <c r="AC26" s="1024"/>
      <c r="AD26" s="3052"/>
      <c r="AE26" s="1030"/>
      <c r="AG26" s="509"/>
      <c r="AI26" s="503"/>
      <c r="AJ26" s="504"/>
      <c r="AK26" s="3052"/>
      <c r="AL26" s="505"/>
      <c r="AM26" s="1"/>
      <c r="AN26" s="1024"/>
      <c r="AO26" s="3052"/>
      <c r="AP26" s="1030"/>
      <c r="AQ26" s="1"/>
      <c r="AR26" s="503"/>
      <c r="AS26" s="504"/>
      <c r="AT26" s="3052"/>
      <c r="AU26" s="505"/>
      <c r="AV26" s="1"/>
      <c r="AW26" s="1024"/>
      <c r="AX26" s="3052"/>
      <c r="AY26" s="1030"/>
      <c r="AZ26" s="476">
        <f t="shared" si="7"/>
        <v>0</v>
      </c>
      <c r="BA26" s="503"/>
      <c r="BB26" s="504"/>
      <c r="BC26" s="3052"/>
      <c r="BD26" s="505"/>
      <c r="BE26" s="1"/>
      <c r="BF26" s="1024"/>
      <c r="BG26" s="3052"/>
      <c r="BH26" s="1030"/>
      <c r="BI26" s="1"/>
      <c r="BJ26" s="509"/>
      <c r="BK26" s="509"/>
    </row>
    <row r="27" spans="1:63" x14ac:dyDescent="0.35">
      <c r="A27" s="220"/>
      <c r="B27" s="220"/>
      <c r="F27" s="106"/>
      <c r="H27" s="106"/>
      <c r="I27" s="106"/>
      <c r="J27" s="221"/>
      <c r="L27" s="106"/>
      <c r="O27" s="106"/>
      <c r="P27" s="106"/>
      <c r="R27" s="221"/>
      <c r="T27" s="106"/>
      <c r="V27" s="106"/>
      <c r="X27" s="106"/>
      <c r="Y27" s="106"/>
      <c r="AA27" s="221"/>
      <c r="AC27" s="106"/>
      <c r="AE27" s="106"/>
      <c r="AI27" s="106"/>
      <c r="AJ27" s="106"/>
      <c r="AL27" s="221"/>
      <c r="AM27" s="1"/>
      <c r="AN27" s="106"/>
      <c r="AP27" s="106"/>
      <c r="AQ27" s="1"/>
      <c r="AR27" s="106"/>
      <c r="AS27" s="106"/>
      <c r="AU27" s="221"/>
      <c r="AV27" s="1"/>
      <c r="AW27" s="106"/>
      <c r="AY27" s="106"/>
      <c r="AZ27" s="476">
        <f t="shared" si="7"/>
        <v>0</v>
      </c>
      <c r="BA27" s="106"/>
      <c r="BB27" s="106"/>
      <c r="BD27" s="221"/>
      <c r="BE27" s="1"/>
      <c r="BF27" s="106"/>
      <c r="BH27" s="106"/>
      <c r="BI27" s="1"/>
    </row>
    <row r="28" spans="1:63" ht="27.75" customHeight="1" x14ac:dyDescent="0.35">
      <c r="A28" s="9167" t="s">
        <v>916</v>
      </c>
      <c r="B28" s="27"/>
      <c r="C28" s="28" t="s">
        <v>427</v>
      </c>
      <c r="D28" s="42" t="s">
        <v>428</v>
      </c>
      <c r="E28" s="30"/>
      <c r="F28" s="31"/>
      <c r="G28" s="510"/>
      <c r="H28" s="31"/>
      <c r="I28" s="31"/>
      <c r="J28" s="224"/>
      <c r="K28" s="223"/>
      <c r="L28" s="222"/>
      <c r="M28" s="511"/>
      <c r="N28" s="30"/>
      <c r="O28" s="31" t="s">
        <v>1711</v>
      </c>
      <c r="P28" s="31" t="s">
        <v>1669</v>
      </c>
      <c r="Q28" s="511"/>
      <c r="R28" s="1347"/>
      <c r="S28" s="30"/>
      <c r="T28" s="31" t="s">
        <v>1712</v>
      </c>
      <c r="U28" s="511"/>
      <c r="V28" s="31"/>
      <c r="W28" s="30"/>
      <c r="X28" s="31" t="s">
        <v>1671</v>
      </c>
      <c r="Y28" s="31" t="s">
        <v>1713</v>
      </c>
      <c r="Z28" s="511"/>
      <c r="AA28" s="1347"/>
      <c r="AB28" s="30"/>
      <c r="AC28" s="31" t="s">
        <v>1671</v>
      </c>
      <c r="AD28" s="511"/>
      <c r="AE28" s="31" t="s">
        <v>1713</v>
      </c>
      <c r="AF28" s="30"/>
      <c r="AG28" s="39"/>
      <c r="AI28" s="31" t="s">
        <v>1671</v>
      </c>
      <c r="AJ28" s="31" t="s">
        <v>1713</v>
      </c>
      <c r="AK28" s="511"/>
      <c r="AL28" s="1347"/>
      <c r="AM28" s="30"/>
      <c r="AN28" s="31" t="s">
        <v>1312</v>
      </c>
      <c r="AO28" s="511"/>
      <c r="AP28" s="31" t="s">
        <v>1713</v>
      </c>
      <c r="AQ28" s="30"/>
      <c r="AR28" s="9155" t="s">
        <v>1674</v>
      </c>
      <c r="AS28" s="9156"/>
      <c r="AT28" s="511"/>
      <c r="AU28" s="1347"/>
      <c r="AV28" s="30"/>
      <c r="AW28" s="31" t="s">
        <v>1714</v>
      </c>
      <c r="AX28" s="4767" t="s">
        <v>1704</v>
      </c>
      <c r="AY28" s="472" t="s">
        <v>1715</v>
      </c>
      <c r="AZ28" s="476"/>
      <c r="BA28" s="31" t="s">
        <v>1714</v>
      </c>
      <c r="BB28" s="3651" t="s">
        <v>1716</v>
      </c>
      <c r="BC28" s="511"/>
      <c r="BD28" s="4767" t="s">
        <v>1704</v>
      </c>
      <c r="BE28" s="30"/>
      <c r="BF28" s="31" t="s">
        <v>1137</v>
      </c>
      <c r="BG28" s="4767" t="s">
        <v>1717</v>
      </c>
      <c r="BH28" s="472" t="s">
        <v>1715</v>
      </c>
      <c r="BI28" s="30"/>
      <c r="BJ28" s="39"/>
      <c r="BK28" s="39"/>
    </row>
    <row r="29" spans="1:63" x14ac:dyDescent="0.35">
      <c r="A29" s="9168"/>
      <c r="B29" s="141" t="s">
        <v>925</v>
      </c>
      <c r="C29"/>
      <c r="D29" s="140"/>
      <c r="E29" s="143"/>
      <c r="F29" s="227"/>
      <c r="G29" s="143"/>
      <c r="H29" s="102"/>
      <c r="I29" s="103"/>
      <c r="J29" s="228"/>
      <c r="K29" s="143"/>
      <c r="L29" s="102"/>
      <c r="M29" s="229"/>
      <c r="N29" s="143"/>
      <c r="O29" s="102"/>
      <c r="P29" s="103"/>
      <c r="Q29" s="348"/>
      <c r="R29" s="228"/>
      <c r="S29" s="143"/>
      <c r="T29" s="102"/>
      <c r="U29" s="348"/>
      <c r="V29" s="105"/>
      <c r="W29" s="143"/>
      <c r="X29" s="102"/>
      <c r="Y29" s="103"/>
      <c r="Z29" s="348"/>
      <c r="AA29" s="228"/>
      <c r="AB29" s="143"/>
      <c r="AC29" s="102"/>
      <c r="AD29" s="348"/>
      <c r="AE29" s="105"/>
      <c r="AF29" s="143"/>
      <c r="AG29" s="18"/>
      <c r="AI29" s="102"/>
      <c r="AJ29" s="103"/>
      <c r="AK29" s="348"/>
      <c r="AL29" s="228"/>
      <c r="AM29" s="143"/>
      <c r="AN29" s="102"/>
      <c r="AO29" s="348"/>
      <c r="AP29" s="105"/>
      <c r="AQ29" s="143"/>
      <c r="AR29" s="102" t="s">
        <v>1688</v>
      </c>
      <c r="AS29" s="103" t="s">
        <v>1718</v>
      </c>
      <c r="AT29" s="348" t="s">
        <v>1719</v>
      </c>
      <c r="AU29" s="228"/>
      <c r="AV29" s="143"/>
      <c r="AW29" s="7718" t="s">
        <v>1146</v>
      </c>
      <c r="AX29" s="652"/>
      <c r="AY29" s="105"/>
      <c r="AZ29" s="476"/>
      <c r="BA29" s="102" t="s">
        <v>1146</v>
      </c>
      <c r="BB29" s="103"/>
      <c r="BC29" s="348" t="s">
        <v>1719</v>
      </c>
      <c r="BD29" s="228"/>
      <c r="BE29" s="143"/>
      <c r="BF29" s="7718" t="s">
        <v>1146</v>
      </c>
      <c r="BG29" s="652"/>
      <c r="BH29" s="105"/>
      <c r="BI29" s="143"/>
      <c r="BJ29" s="18"/>
      <c r="BK29" s="18"/>
    </row>
    <row r="30" spans="1:63" x14ac:dyDescent="0.35">
      <c r="A30" s="9168"/>
      <c r="B30" s="232"/>
      <c r="C30" s="232" t="s">
        <v>1720</v>
      </c>
      <c r="D30" s="60"/>
      <c r="F30" s="111"/>
      <c r="H30" s="112">
        <f>153970+20610</f>
        <v>174580</v>
      </c>
      <c r="I30" s="113">
        <v>166754</v>
      </c>
      <c r="J30" s="476">
        <f>IF(H30=0,0,I30/H30)</f>
        <v>0.95517241379310347</v>
      </c>
      <c r="L30" s="112">
        <f>165073+23510</f>
        <v>188583</v>
      </c>
      <c r="M30" s="611">
        <v>184443</v>
      </c>
      <c r="O30" s="112">
        <f>165073</f>
        <v>165073</v>
      </c>
      <c r="P30" s="113">
        <v>162696</v>
      </c>
      <c r="R30" s="476">
        <f>IF(O30=0,0,P30/O30)</f>
        <v>0.9856003101658054</v>
      </c>
      <c r="T30" s="248">
        <v>184610</v>
      </c>
      <c r="V30" s="1034">
        <f t="shared" ref="V30:V39" si="26">R30*T30</f>
        <v>181951.67325970932</v>
      </c>
      <c r="X30" s="3164">
        <v>184610</v>
      </c>
      <c r="Y30" s="5343">
        <f>X30*R30</f>
        <v>181951.67325970932</v>
      </c>
      <c r="AA30" s="476">
        <f>IF(X30=0,0,Y30/X30)</f>
        <v>0.98560031016580529</v>
      </c>
      <c r="AC30" s="3015">
        <v>200067</v>
      </c>
      <c r="AE30" s="5344">
        <f>AC30*R30</f>
        <v>197186.09725394219</v>
      </c>
      <c r="AG30" s="26"/>
      <c r="AI30" s="5883">
        <v>200676</v>
      </c>
      <c r="AJ30" s="5343"/>
      <c r="AL30" s="476">
        <f>IF(AI30=0,0,AJ30/AI30)</f>
        <v>0</v>
      </c>
      <c r="AM30" s="1"/>
      <c r="AN30" s="5883">
        <v>187925</v>
      </c>
      <c r="AO30" t="s">
        <v>1721</v>
      </c>
      <c r="AP30" s="1034"/>
      <c r="AQ30" s="1"/>
      <c r="AR30" s="2748">
        <v>185.7</v>
      </c>
      <c r="AS30" s="2751">
        <v>184.1</v>
      </c>
      <c r="AU30" s="476">
        <f>IF(AR30=0,0,AS30/AR30)</f>
        <v>0.99138395261173939</v>
      </c>
      <c r="AV30" s="1"/>
      <c r="AW30" s="2748">
        <v>196.81299999999999</v>
      </c>
      <c r="AY30" s="619">
        <f>AW30*AU30</f>
        <v>195.11724986537425</v>
      </c>
      <c r="AZ30" s="476">
        <f t="shared" si="7"/>
        <v>0.99138395261173939</v>
      </c>
      <c r="BA30" s="2748">
        <v>196.81299999999999</v>
      </c>
      <c r="BB30" s="2751"/>
      <c r="BD30" s="476">
        <f>IF(BA30=0,0,BB30/BA30)</f>
        <v>0</v>
      </c>
      <c r="BE30" s="1"/>
      <c r="BF30" s="2748">
        <v>235.315394</v>
      </c>
      <c r="BG30" t="s">
        <v>1722</v>
      </c>
      <c r="BH30" s="7962">
        <f>BF30*AZ30</f>
        <v>233.28790541410879</v>
      </c>
      <c r="BI30" s="1"/>
      <c r="BJ30" s="26" t="s">
        <v>1723</v>
      </c>
      <c r="BK30" s="26" t="s">
        <v>1723</v>
      </c>
    </row>
    <row r="31" spans="1:63" x14ac:dyDescent="0.35">
      <c r="A31" s="9168"/>
      <c r="B31" s="232"/>
      <c r="C31" s="232" t="s">
        <v>1724</v>
      </c>
      <c r="D31" s="60"/>
      <c r="F31" s="111"/>
      <c r="H31" s="5345" t="s">
        <v>1725</v>
      </c>
      <c r="I31" s="113"/>
      <c r="J31" s="476"/>
      <c r="L31" s="112"/>
      <c r="M31" s="611"/>
      <c r="O31" s="112">
        <v>23510</v>
      </c>
      <c r="P31" s="113">
        <v>21747</v>
      </c>
      <c r="R31" s="476">
        <f t="shared" ref="R31:R39" si="27">IF(O31=0,0,P31/O31)</f>
        <v>0.92501063377286263</v>
      </c>
      <c r="T31" s="248">
        <v>21550</v>
      </c>
      <c r="V31" s="1034">
        <f t="shared" si="26"/>
        <v>19933.979157805188</v>
      </c>
      <c r="X31" s="3164">
        <v>21550</v>
      </c>
      <c r="Y31" s="5343">
        <f t="shared" ref="Y31:Y39" si="28">X31*R31</f>
        <v>19933.979157805188</v>
      </c>
      <c r="AA31" s="476">
        <f t="shared" ref="AA31:AA34" si="29">IF(X31=0,0,Y31/X31)</f>
        <v>0.92501063377286252</v>
      </c>
      <c r="AC31" s="3015">
        <v>22056</v>
      </c>
      <c r="AE31" s="5344">
        <f t="shared" ref="AE31:AE39" si="30">AC31*R31</f>
        <v>20402.034538494259</v>
      </c>
      <c r="AG31" s="26"/>
      <c r="AI31" s="5883">
        <v>22056</v>
      </c>
      <c r="AJ31" s="5343"/>
      <c r="AL31" s="476">
        <f t="shared" ref="AL31:AL34" si="31">IF(AI31=0,0,AJ31/AI31)</f>
        <v>0</v>
      </c>
      <c r="AM31" s="1"/>
      <c r="AN31" s="5883">
        <v>22628</v>
      </c>
      <c r="AP31" s="1034"/>
      <c r="AQ31" s="1"/>
      <c r="AR31" s="2748">
        <v>17.600000000000001</v>
      </c>
      <c r="AS31" s="2751">
        <v>14.5</v>
      </c>
      <c r="AU31" s="476">
        <f t="shared" ref="AU31:AU34" si="32">IF(AR31=0,0,AS31/AR31)</f>
        <v>0.82386363636363624</v>
      </c>
      <c r="AV31" s="1"/>
      <c r="AW31" s="2748">
        <v>25.518000000000001</v>
      </c>
      <c r="AY31" s="619">
        <f t="shared" ref="AY31:AY39" si="33">AW31*AU31</f>
        <v>21.023352272727269</v>
      </c>
      <c r="AZ31" s="476">
        <f t="shared" si="7"/>
        <v>0.82386363636363624</v>
      </c>
      <c r="BA31" s="2748">
        <v>25.518000000000001</v>
      </c>
      <c r="BB31" s="2751"/>
      <c r="BD31" s="476">
        <f t="shared" ref="BD31:BD34" si="34">IF(BA31=0,0,BB31/BA31)</f>
        <v>0</v>
      </c>
      <c r="BE31" s="1"/>
      <c r="BF31" s="2748"/>
      <c r="BH31" s="7962">
        <f t="shared" ref="BH31:BH39" si="35">BF31*AZ31</f>
        <v>0</v>
      </c>
      <c r="BI31" s="1"/>
      <c r="BJ31" s="26"/>
      <c r="BK31" s="26"/>
    </row>
    <row r="32" spans="1:63" x14ac:dyDescent="0.35">
      <c r="A32" s="9168"/>
      <c r="B32" s="232"/>
      <c r="C32" s="232" t="s">
        <v>1726</v>
      </c>
      <c r="D32" s="60"/>
      <c r="F32" s="155"/>
      <c r="H32" s="117">
        <f>211837+20791</f>
        <v>232628</v>
      </c>
      <c r="I32" s="115">
        <v>226252</v>
      </c>
      <c r="J32" s="476">
        <f>IF(H32=0,0,I32/H32)</f>
        <v>0.97259143353336652</v>
      </c>
      <c r="L32" s="117">
        <f>226978+24500</f>
        <v>251478</v>
      </c>
      <c r="M32" s="611">
        <v>244488</v>
      </c>
      <c r="O32" s="117">
        <v>226978</v>
      </c>
      <c r="P32" s="115">
        <v>221735</v>
      </c>
      <c r="R32" s="476">
        <f t="shared" si="27"/>
        <v>0.97690084501581653</v>
      </c>
      <c r="T32" s="200">
        <v>224444</v>
      </c>
      <c r="V32" s="1034">
        <f t="shared" si="26"/>
        <v>219259.53325872993</v>
      </c>
      <c r="X32" s="3164">
        <v>224444</v>
      </c>
      <c r="Y32" s="5343">
        <f t="shared" si="28"/>
        <v>219259.53325872993</v>
      </c>
      <c r="AA32" s="476">
        <f t="shared" si="29"/>
        <v>0.97690084501581653</v>
      </c>
      <c r="AC32" s="3039">
        <v>295383</v>
      </c>
      <c r="AE32" s="5344">
        <f t="shared" si="30"/>
        <v>288559.90230330691</v>
      </c>
      <c r="AG32" s="26"/>
      <c r="AI32" s="5883">
        <v>295383</v>
      </c>
      <c r="AJ32" s="5343"/>
      <c r="AL32" s="476">
        <f t="shared" si="31"/>
        <v>0</v>
      </c>
      <c r="AM32" s="1"/>
      <c r="AN32" s="5883">
        <v>344526</v>
      </c>
      <c r="AP32" s="1034"/>
      <c r="AQ32" s="1"/>
      <c r="AR32" s="2748">
        <v>335.3</v>
      </c>
      <c r="AS32" s="2751">
        <v>332.5</v>
      </c>
      <c r="AU32" s="476">
        <f t="shared" si="32"/>
        <v>0.99164926931106467</v>
      </c>
      <c r="AV32" s="1"/>
      <c r="AW32" s="2748">
        <v>369.37200000000001</v>
      </c>
      <c r="AY32" s="619">
        <f t="shared" si="33"/>
        <v>366.2874739039666</v>
      </c>
      <c r="AZ32" s="476">
        <f t="shared" si="7"/>
        <v>0.99164926931106467</v>
      </c>
      <c r="BA32" s="2748">
        <v>369.37200000000001</v>
      </c>
      <c r="BB32" s="2751"/>
      <c r="BD32" s="476">
        <f t="shared" si="34"/>
        <v>0</v>
      </c>
      <c r="BE32" s="1"/>
      <c r="BF32" s="2748">
        <v>406.27</v>
      </c>
      <c r="BG32" t="s">
        <v>1727</v>
      </c>
      <c r="BH32" s="7962">
        <f t="shared" si="35"/>
        <v>402.8773486430062</v>
      </c>
      <c r="BI32" s="1"/>
      <c r="BJ32" s="26" t="s">
        <v>1728</v>
      </c>
      <c r="BK32" s="26" t="s">
        <v>1728</v>
      </c>
    </row>
    <row r="33" spans="1:63" x14ac:dyDescent="0.35">
      <c r="A33" s="9168"/>
      <c r="B33" s="232"/>
      <c r="C33" s="232" t="s">
        <v>1729</v>
      </c>
      <c r="D33" s="60"/>
      <c r="F33" s="163"/>
      <c r="H33" s="5345" t="s">
        <v>1725</v>
      </c>
      <c r="I33" s="243"/>
      <c r="J33" s="476"/>
      <c r="L33" s="242"/>
      <c r="M33" s="611"/>
      <c r="O33" s="242">
        <v>24500</v>
      </c>
      <c r="P33" s="243">
        <v>22753</v>
      </c>
      <c r="R33" s="476">
        <f t="shared" si="27"/>
        <v>0.9286938775510204</v>
      </c>
      <c r="T33" s="164">
        <v>21624</v>
      </c>
      <c r="V33" s="1034">
        <f t="shared" si="26"/>
        <v>20082.076408163266</v>
      </c>
      <c r="X33" s="3164">
        <v>21624</v>
      </c>
      <c r="Y33" s="5343">
        <f t="shared" si="28"/>
        <v>20082.076408163266</v>
      </c>
      <c r="AA33" s="476">
        <f t="shared" si="29"/>
        <v>0.9286938775510204</v>
      </c>
      <c r="AC33" s="3026">
        <v>23614</v>
      </c>
      <c r="AE33" s="5344">
        <f t="shared" si="30"/>
        <v>21930.177224489795</v>
      </c>
      <c r="AG33" s="26"/>
      <c r="AI33" s="5883">
        <v>23614</v>
      </c>
      <c r="AJ33" s="5343"/>
      <c r="AL33" s="476">
        <f t="shared" si="31"/>
        <v>0</v>
      </c>
      <c r="AM33" s="1"/>
      <c r="AN33" s="5883">
        <v>20686</v>
      </c>
      <c r="AP33" s="1034"/>
      <c r="AQ33" s="1"/>
      <c r="AR33" s="2748">
        <v>8.5</v>
      </c>
      <c r="AS33" s="2751">
        <v>5.9</v>
      </c>
      <c r="AU33" s="476">
        <f t="shared" si="32"/>
        <v>0.69411764705882362</v>
      </c>
      <c r="AV33" s="1"/>
      <c r="AW33" s="2748">
        <v>18.234000000000002</v>
      </c>
      <c r="AY33" s="619">
        <f t="shared" si="33"/>
        <v>12.656541176470592</v>
      </c>
      <c r="AZ33" s="476">
        <f t="shared" si="7"/>
        <v>0.69411764705882362</v>
      </c>
      <c r="BA33" s="2748">
        <v>18.234000000000002</v>
      </c>
      <c r="BB33" s="2751"/>
      <c r="BD33" s="476">
        <f t="shared" si="34"/>
        <v>0</v>
      </c>
      <c r="BE33" s="1"/>
      <c r="BF33" s="2748"/>
      <c r="BH33" s="7962">
        <f t="shared" si="35"/>
        <v>0</v>
      </c>
      <c r="BI33" s="1"/>
      <c r="BJ33" s="26"/>
      <c r="BK33" s="26"/>
    </row>
    <row r="34" spans="1:63" x14ac:dyDescent="0.35">
      <c r="A34" s="9168"/>
      <c r="B34" s="232"/>
      <c r="C34" s="232" t="s">
        <v>1730</v>
      </c>
      <c r="D34" s="60"/>
      <c r="F34" s="163"/>
      <c r="H34" s="242">
        <f>32884+16368</f>
        <v>49252</v>
      </c>
      <c r="I34" s="243">
        <v>46997</v>
      </c>
      <c r="J34" s="476">
        <f>IF(H34=0,0,I34/H34)</f>
        <v>0.95421505725655809</v>
      </c>
      <c r="L34" s="242">
        <f>34644+17300</f>
        <v>51944</v>
      </c>
      <c r="M34" s="611">
        <v>49565</v>
      </c>
      <c r="O34" s="242">
        <v>34644</v>
      </c>
      <c r="P34" s="243">
        <v>33147</v>
      </c>
      <c r="R34" s="476">
        <f t="shared" si="27"/>
        <v>0.95678905438171113</v>
      </c>
      <c r="T34" s="164">
        <v>34304</v>
      </c>
      <c r="V34" s="1034">
        <f t="shared" si="26"/>
        <v>32821.691721510222</v>
      </c>
      <c r="X34" s="3164">
        <v>34304</v>
      </c>
      <c r="Y34" s="5343">
        <f t="shared" si="28"/>
        <v>32821.691721510222</v>
      </c>
      <c r="AA34" s="476">
        <f t="shared" si="29"/>
        <v>0.95678905438171125</v>
      </c>
      <c r="AC34" s="3026">
        <v>42084</v>
      </c>
      <c r="AE34" s="5344">
        <f t="shared" si="30"/>
        <v>40265.510564599928</v>
      </c>
      <c r="AG34" s="26"/>
      <c r="AI34" s="5883">
        <v>42084</v>
      </c>
      <c r="AJ34" s="5343"/>
      <c r="AL34" s="476">
        <f t="shared" si="31"/>
        <v>0</v>
      </c>
      <c r="AM34" s="1"/>
      <c r="AN34" s="5883">
        <v>39861</v>
      </c>
      <c r="AP34" s="1034"/>
      <c r="AQ34" s="1"/>
      <c r="AR34" s="2748">
        <v>39</v>
      </c>
      <c r="AS34" s="2751">
        <v>38.6</v>
      </c>
      <c r="AU34" s="476">
        <f t="shared" si="32"/>
        <v>0.98974358974358978</v>
      </c>
      <c r="AV34" s="1"/>
      <c r="AW34" s="2748">
        <v>37.323999999999998</v>
      </c>
      <c r="AY34" s="619">
        <f t="shared" si="33"/>
        <v>36.941189743589746</v>
      </c>
      <c r="AZ34" s="476">
        <f t="shared" si="7"/>
        <v>0.98974358974358989</v>
      </c>
      <c r="BA34" s="2748">
        <v>37.323999999999998</v>
      </c>
      <c r="BB34" s="2751"/>
      <c r="BD34" s="476">
        <f t="shared" si="34"/>
        <v>0</v>
      </c>
      <c r="BE34" s="1"/>
      <c r="BF34" s="2748">
        <v>65.227999999999994</v>
      </c>
      <c r="BG34" t="s">
        <v>1731</v>
      </c>
      <c r="BH34" s="7962">
        <f t="shared" si="35"/>
        <v>64.55899487179488</v>
      </c>
      <c r="BI34" s="1"/>
      <c r="BJ34" s="26" t="s">
        <v>1732</v>
      </c>
      <c r="BK34" s="26" t="s">
        <v>1732</v>
      </c>
    </row>
    <row r="35" spans="1:63" x14ac:dyDescent="0.35">
      <c r="A35" s="9168"/>
      <c r="B35" s="232"/>
      <c r="C35" s="232" t="s">
        <v>1733</v>
      </c>
      <c r="D35" s="60"/>
      <c r="F35" s="163"/>
      <c r="H35" s="5345" t="s">
        <v>1725</v>
      </c>
      <c r="I35" s="243"/>
      <c r="J35" s="476"/>
      <c r="L35" s="242"/>
      <c r="M35" s="611"/>
      <c r="O35" s="242">
        <v>17300</v>
      </c>
      <c r="P35" s="243">
        <v>16418</v>
      </c>
      <c r="R35" s="476">
        <f>IF(O35=0,0,P35/O35)</f>
        <v>0.94901734104046243</v>
      </c>
      <c r="T35" s="164">
        <v>13340</v>
      </c>
      <c r="V35" s="1034">
        <f t="shared" si="26"/>
        <v>12659.891329479769</v>
      </c>
      <c r="X35" s="3164">
        <v>13340</v>
      </c>
      <c r="Y35" s="5343">
        <f t="shared" si="28"/>
        <v>12659.891329479769</v>
      </c>
      <c r="AA35" s="476">
        <f>IF(X35=0,0,Y35/X35)</f>
        <v>0.94901734104046243</v>
      </c>
      <c r="AC35" s="3026">
        <v>25570</v>
      </c>
      <c r="AE35" s="5344">
        <f t="shared" si="30"/>
        <v>24266.373410404623</v>
      </c>
      <c r="AG35" s="26"/>
      <c r="AI35" s="5883">
        <v>25570</v>
      </c>
      <c r="AJ35" s="5343"/>
      <c r="AL35" s="476">
        <f>IF(AI35=0,0,AJ35/AI35)</f>
        <v>0</v>
      </c>
      <c r="AM35" s="1"/>
      <c r="AN35" s="5883">
        <v>21450</v>
      </c>
      <c r="AP35" s="1034"/>
      <c r="AQ35" s="1"/>
      <c r="AR35" s="2748">
        <v>32.9</v>
      </c>
      <c r="AS35" s="2751">
        <v>9.1999999999999993</v>
      </c>
      <c r="AU35" s="476">
        <f>IF(AR35=0,0,AS35/AR35)</f>
        <v>0.2796352583586626</v>
      </c>
      <c r="AV35" s="1"/>
      <c r="AW35" s="2748">
        <v>24.776</v>
      </c>
      <c r="AY35" s="619">
        <f t="shared" si="33"/>
        <v>6.9282431610942243</v>
      </c>
      <c r="AZ35" s="476">
        <f t="shared" si="7"/>
        <v>0.2796352583586626</v>
      </c>
      <c r="BA35" s="2748">
        <v>24.776</v>
      </c>
      <c r="BB35" s="2751"/>
      <c r="BD35" s="476">
        <f>IF(BA35=0,0,BB35/BA35)</f>
        <v>0</v>
      </c>
      <c r="BE35" s="1"/>
      <c r="BF35" s="2748"/>
      <c r="BH35" s="7962">
        <f t="shared" si="35"/>
        <v>0</v>
      </c>
      <c r="BI35" s="1"/>
      <c r="BJ35" s="26"/>
      <c r="BK35" s="26"/>
    </row>
    <row r="36" spans="1:63" x14ac:dyDescent="0.35">
      <c r="A36" s="9168"/>
      <c r="B36" s="232"/>
      <c r="C36" s="232" t="s">
        <v>1734</v>
      </c>
      <c r="D36" s="60"/>
      <c r="F36" s="163"/>
      <c r="H36" s="242">
        <v>9046</v>
      </c>
      <c r="I36" s="243">
        <v>8591</v>
      </c>
      <c r="J36" s="476"/>
      <c r="L36" s="242">
        <v>9868</v>
      </c>
      <c r="M36" s="611">
        <v>9399</v>
      </c>
      <c r="O36" s="242">
        <v>6168</v>
      </c>
      <c r="P36" s="243">
        <v>6082</v>
      </c>
      <c r="R36" s="476">
        <f t="shared" si="27"/>
        <v>0.98605706874189369</v>
      </c>
      <c r="T36" s="164">
        <v>6422</v>
      </c>
      <c r="V36" s="1034">
        <f t="shared" si="26"/>
        <v>6332.4584954604416</v>
      </c>
      <c r="X36" s="3164">
        <v>6422</v>
      </c>
      <c r="Y36" s="5343">
        <f t="shared" si="28"/>
        <v>6332.4584954604416</v>
      </c>
      <c r="AA36" s="476">
        <f t="shared" ref="AA36:AA39" si="36">IF(X36=0,0,Y36/X36)</f>
        <v>0.98605706874189369</v>
      </c>
      <c r="AC36" s="3026">
        <v>11205</v>
      </c>
      <c r="AE36" s="5344">
        <f t="shared" si="30"/>
        <v>11048.769455252919</v>
      </c>
      <c r="AG36" s="26"/>
      <c r="AI36" s="5883">
        <v>11205</v>
      </c>
      <c r="AJ36" s="5343"/>
      <c r="AL36" s="476">
        <f t="shared" ref="AL36:AL39" si="37">IF(AI36=0,0,AJ36/AI36)</f>
        <v>0</v>
      </c>
      <c r="AM36" s="1"/>
      <c r="AN36" s="5883">
        <v>12215</v>
      </c>
      <c r="AP36" s="1034"/>
      <c r="AQ36" s="1"/>
      <c r="AR36" s="2748">
        <v>12.1</v>
      </c>
      <c r="AS36" s="2751">
        <v>11.9</v>
      </c>
      <c r="AU36" s="476">
        <f t="shared" ref="AU36:AU39" si="38">IF(AR36=0,0,AS36/AR36)</f>
        <v>0.98347107438016534</v>
      </c>
      <c r="AV36" s="1"/>
      <c r="AW36" s="2748">
        <v>11.776</v>
      </c>
      <c r="AY36" s="619">
        <f t="shared" si="33"/>
        <v>11.581355371900827</v>
      </c>
      <c r="AZ36" s="476">
        <f t="shared" si="7"/>
        <v>0.98347107438016534</v>
      </c>
      <c r="BA36" s="2748">
        <v>11.776</v>
      </c>
      <c r="BB36" s="2751"/>
      <c r="BD36" s="476">
        <f t="shared" ref="BD36:BD39" si="39">IF(BA36=0,0,BB36/BA36)</f>
        <v>0</v>
      </c>
      <c r="BE36" s="1"/>
      <c r="BF36" s="2748">
        <v>23.236999999999998</v>
      </c>
      <c r="BG36" t="s">
        <v>1735</v>
      </c>
      <c r="BH36" s="7962">
        <f t="shared" si="35"/>
        <v>22.8529173553719</v>
      </c>
      <c r="BI36" s="1"/>
      <c r="BJ36" s="26" t="s">
        <v>1736</v>
      </c>
      <c r="BK36" s="26" t="s">
        <v>1736</v>
      </c>
    </row>
    <row r="37" spans="1:63" x14ac:dyDescent="0.35">
      <c r="A37" s="9168"/>
      <c r="B37" s="232"/>
      <c r="C37" s="232" t="s">
        <v>1737</v>
      </c>
      <c r="D37" s="60"/>
      <c r="F37" s="163"/>
      <c r="H37" s="5345" t="s">
        <v>1725</v>
      </c>
      <c r="I37" s="243"/>
      <c r="J37" s="476"/>
      <c r="L37" s="242"/>
      <c r="M37" s="611"/>
      <c r="O37" s="242">
        <v>3700</v>
      </c>
      <c r="P37" s="243">
        <v>3318</v>
      </c>
      <c r="R37" s="476">
        <f t="shared" si="27"/>
        <v>0.89675675675675681</v>
      </c>
      <c r="T37" s="164">
        <v>2850</v>
      </c>
      <c r="V37" s="1034">
        <f t="shared" si="26"/>
        <v>2555.7567567567571</v>
      </c>
      <c r="X37" s="3164">
        <v>2850</v>
      </c>
      <c r="Y37" s="5343">
        <f t="shared" si="28"/>
        <v>2555.7567567567571</v>
      </c>
      <c r="AA37" s="476">
        <f t="shared" si="36"/>
        <v>0.89675675675675692</v>
      </c>
      <c r="AC37" s="3026">
        <v>2960</v>
      </c>
      <c r="AE37" s="5344">
        <f t="shared" si="30"/>
        <v>2654.4</v>
      </c>
      <c r="AG37" s="26"/>
      <c r="AI37" s="5883">
        <v>2960</v>
      </c>
      <c r="AJ37" s="5343"/>
      <c r="AL37" s="476">
        <f t="shared" si="37"/>
        <v>0</v>
      </c>
      <c r="AM37" s="1"/>
      <c r="AN37" s="5883">
        <v>2960</v>
      </c>
      <c r="AP37" s="1034"/>
      <c r="AQ37" s="1"/>
      <c r="AR37" s="2748">
        <v>3.1</v>
      </c>
      <c r="AS37" s="2751">
        <v>3</v>
      </c>
      <c r="AU37" s="476">
        <f t="shared" si="38"/>
        <v>0.96774193548387089</v>
      </c>
      <c r="AV37" s="1"/>
      <c r="AW37" s="2748">
        <v>3.4710000000000001</v>
      </c>
      <c r="AY37" s="619">
        <f t="shared" si="33"/>
        <v>3.359032258064516</v>
      </c>
      <c r="AZ37" s="476">
        <f t="shared" si="7"/>
        <v>0.96774193548387089</v>
      </c>
      <c r="BA37" s="2748">
        <v>3.4710000000000001</v>
      </c>
      <c r="BB37" s="2751"/>
      <c r="BD37" s="476">
        <f t="shared" si="39"/>
        <v>0</v>
      </c>
      <c r="BE37" s="1"/>
      <c r="BF37" s="2748"/>
      <c r="BH37" s="7962">
        <f t="shared" si="35"/>
        <v>0</v>
      </c>
      <c r="BI37" s="1"/>
      <c r="BJ37" s="26"/>
      <c r="BK37" s="26"/>
    </row>
    <row r="38" spans="1:63" x14ac:dyDescent="0.35">
      <c r="A38" s="9168"/>
      <c r="B38" s="232"/>
      <c r="C38" s="232" t="s">
        <v>1738</v>
      </c>
      <c r="D38" s="60"/>
      <c r="F38" s="163"/>
      <c r="H38" s="242">
        <v>16477</v>
      </c>
      <c r="I38" s="243">
        <v>15643</v>
      </c>
      <c r="J38" s="476">
        <f>IF(H38=0,0,I38/H38)</f>
        <v>0.94938398980396921</v>
      </c>
      <c r="L38" s="242">
        <v>19185</v>
      </c>
      <c r="M38" s="611">
        <v>18252</v>
      </c>
      <c r="O38" s="242">
        <v>5072</v>
      </c>
      <c r="P38" s="243">
        <v>5005</v>
      </c>
      <c r="R38" s="476">
        <f t="shared" si="27"/>
        <v>0.9867902208201893</v>
      </c>
      <c r="T38" s="164">
        <v>5890</v>
      </c>
      <c r="V38" s="1034">
        <f t="shared" si="26"/>
        <v>5812.194400630915</v>
      </c>
      <c r="X38" s="3164">
        <v>5890</v>
      </c>
      <c r="Y38" s="5343">
        <f t="shared" si="28"/>
        <v>5812.194400630915</v>
      </c>
      <c r="AA38" s="476">
        <f t="shared" si="36"/>
        <v>0.9867902208201893</v>
      </c>
      <c r="AC38" s="3026">
        <v>9766</v>
      </c>
      <c r="AE38" s="5344">
        <f t="shared" si="30"/>
        <v>9636.9932965299686</v>
      </c>
      <c r="AG38" s="26"/>
      <c r="AI38" s="5883">
        <v>9766</v>
      </c>
      <c r="AJ38" s="5343"/>
      <c r="AL38" s="476">
        <f t="shared" si="37"/>
        <v>0</v>
      </c>
      <c r="AM38" s="1"/>
      <c r="AN38" s="5883">
        <v>12814</v>
      </c>
      <c r="AP38" s="1034"/>
      <c r="AQ38" s="1"/>
      <c r="AR38" s="2748">
        <v>12.3</v>
      </c>
      <c r="AS38" s="2751">
        <v>12.2</v>
      </c>
      <c r="AU38" s="476">
        <f t="shared" si="38"/>
        <v>0.99186991869918684</v>
      </c>
      <c r="AV38" s="1"/>
      <c r="AW38" s="2748">
        <v>12.794</v>
      </c>
      <c r="AY38" s="619">
        <f t="shared" si="33"/>
        <v>12.689983739837396</v>
      </c>
      <c r="AZ38" s="476">
        <f t="shared" si="7"/>
        <v>0.99186991869918684</v>
      </c>
      <c r="BA38" s="2748">
        <v>12.794</v>
      </c>
      <c r="BB38" s="2751"/>
      <c r="BD38" s="476">
        <f t="shared" si="39"/>
        <v>0</v>
      </c>
      <c r="BE38" s="1"/>
      <c r="BF38" s="2748">
        <v>19.734000000000002</v>
      </c>
      <c r="BG38" t="s">
        <v>1739</v>
      </c>
      <c r="BH38" s="7962">
        <f t="shared" si="35"/>
        <v>19.573560975609755</v>
      </c>
      <c r="BI38" s="1"/>
      <c r="BJ38" s="26" t="s">
        <v>1740</v>
      </c>
      <c r="BK38" s="26" t="s">
        <v>1740</v>
      </c>
    </row>
    <row r="39" spans="1:63" x14ac:dyDescent="0.35">
      <c r="A39" s="9168"/>
      <c r="B39" s="232"/>
      <c r="C39" s="232" t="s">
        <v>1741</v>
      </c>
      <c r="D39" s="60"/>
      <c r="F39" s="163"/>
      <c r="H39" s="5345" t="s">
        <v>1725</v>
      </c>
      <c r="I39" s="243"/>
      <c r="J39" s="476"/>
      <c r="L39" s="242"/>
      <c r="M39" s="611"/>
      <c r="O39" s="242">
        <v>14113</v>
      </c>
      <c r="P39" s="243">
        <v>13248</v>
      </c>
      <c r="R39" s="476">
        <f t="shared" si="27"/>
        <v>0.93870899170977118</v>
      </c>
      <c r="T39" s="164">
        <v>12834</v>
      </c>
      <c r="V39" s="1034">
        <f t="shared" si="26"/>
        <v>12047.391199603204</v>
      </c>
      <c r="X39" s="3164">
        <v>12834</v>
      </c>
      <c r="Y39" s="5343">
        <f t="shared" si="28"/>
        <v>12047.391199603204</v>
      </c>
      <c r="AA39" s="476">
        <f t="shared" si="36"/>
        <v>0.93870899170977118</v>
      </c>
      <c r="AC39" s="3026">
        <v>8010</v>
      </c>
      <c r="AE39" s="5344">
        <f t="shared" si="30"/>
        <v>7519.0590235952668</v>
      </c>
      <c r="AG39" s="26"/>
      <c r="AI39" s="5883">
        <v>8010</v>
      </c>
      <c r="AJ39" s="5343"/>
      <c r="AL39" s="476">
        <f t="shared" si="37"/>
        <v>0</v>
      </c>
      <c r="AM39" s="1"/>
      <c r="AN39" s="5883">
        <v>7909</v>
      </c>
      <c r="AP39" s="1034"/>
      <c r="AQ39" s="1"/>
      <c r="AR39" s="2748">
        <v>3.9</v>
      </c>
      <c r="AS39" s="2751">
        <v>3.3</v>
      </c>
      <c r="AU39" s="476">
        <f t="shared" si="38"/>
        <v>0.84615384615384615</v>
      </c>
      <c r="AV39" s="1"/>
      <c r="AW39" s="2748">
        <v>7.6879999999999997</v>
      </c>
      <c r="AY39" s="619">
        <f t="shared" si="33"/>
        <v>6.5052307692307689</v>
      </c>
      <c r="AZ39" s="476">
        <f t="shared" si="7"/>
        <v>0.84615384615384615</v>
      </c>
      <c r="BA39" s="2748">
        <v>7.6879999999999997</v>
      </c>
      <c r="BB39" s="2751"/>
      <c r="BD39" s="476">
        <f t="shared" si="39"/>
        <v>0</v>
      </c>
      <c r="BE39" s="1"/>
      <c r="BF39" s="2748"/>
      <c r="BH39" s="7962">
        <f t="shared" si="35"/>
        <v>0</v>
      </c>
      <c r="BI39" s="1"/>
      <c r="BJ39" s="26"/>
      <c r="BK39" s="26"/>
    </row>
    <row r="40" spans="1:63" x14ac:dyDescent="0.35">
      <c r="A40" s="9168"/>
      <c r="B40" s="141" t="s">
        <v>940</v>
      </c>
      <c r="C40"/>
      <c r="D40" s="60"/>
      <c r="E40" s="143"/>
      <c r="F40" s="168"/>
      <c r="G40" s="143"/>
      <c r="H40" s="245"/>
      <c r="I40" s="106"/>
      <c r="J40" s="246"/>
      <c r="K40" s="143"/>
      <c r="L40" s="245"/>
      <c r="M40" s="247"/>
      <c r="N40" s="143"/>
      <c r="O40" s="245"/>
      <c r="P40" s="106"/>
      <c r="Q40" s="254"/>
      <c r="R40" s="246"/>
      <c r="S40" s="143"/>
      <c r="T40" s="245"/>
      <c r="U40" s="254"/>
      <c r="V40" s="66"/>
      <c r="W40" s="143"/>
      <c r="X40" s="245"/>
      <c r="Y40" s="106"/>
      <c r="Z40" s="254"/>
      <c r="AA40" s="246"/>
      <c r="AB40" s="143"/>
      <c r="AC40" s="245"/>
      <c r="AD40" s="254"/>
      <c r="AE40" s="66"/>
      <c r="AF40" s="143"/>
      <c r="AG40" s="26"/>
      <c r="AI40" s="245"/>
      <c r="AJ40" s="106"/>
      <c r="AK40" s="254"/>
      <c r="AL40" s="246"/>
      <c r="AM40" s="143"/>
      <c r="AN40" s="245"/>
      <c r="AO40" s="254"/>
      <c r="AP40" s="66"/>
      <c r="AQ40" s="143"/>
      <c r="AR40" s="245"/>
      <c r="AS40" s="106"/>
      <c r="AT40" s="254"/>
      <c r="AU40" s="246"/>
      <c r="AV40" s="143"/>
      <c r="AW40" s="245"/>
      <c r="AX40" s="254"/>
      <c r="AY40" s="66"/>
      <c r="AZ40" s="476"/>
      <c r="BA40" s="245"/>
      <c r="BB40" s="106"/>
      <c r="BC40" s="254"/>
      <c r="BD40" s="246"/>
      <c r="BE40" s="143"/>
      <c r="BF40" s="245"/>
      <c r="BG40" s="254"/>
      <c r="BH40" s="66"/>
      <c r="BI40" s="143"/>
      <c r="BJ40" s="26"/>
      <c r="BK40" s="26"/>
    </row>
    <row r="41" spans="1:63" x14ac:dyDescent="0.35">
      <c r="A41" s="9168"/>
      <c r="B41" s="232"/>
      <c r="C41" s="232" t="s">
        <v>941</v>
      </c>
      <c r="D41" s="60"/>
      <c r="F41" s="111"/>
      <c r="H41" s="112"/>
      <c r="I41" s="113"/>
      <c r="J41" s="476">
        <f>IF(H41=0,0,I41/H41)</f>
        <v>0</v>
      </c>
      <c r="L41" s="112"/>
      <c r="M41" s="157">
        <f t="shared" ref="M41:M43" si="40">L41*J41</f>
        <v>0</v>
      </c>
      <c r="O41" s="112"/>
      <c r="P41" s="113"/>
      <c r="Q41" s="312"/>
      <c r="R41" s="476">
        <f t="shared" ref="R41:R43" si="41">IF(O41=0,0,P41/O41)</f>
        <v>0</v>
      </c>
      <c r="T41" s="248"/>
      <c r="U41" s="312"/>
      <c r="V41" s="1034">
        <f t="shared" ref="V41:V43" si="42">R41*T41</f>
        <v>0</v>
      </c>
      <c r="X41" s="112"/>
      <c r="Y41" s="113"/>
      <c r="Z41" s="312"/>
      <c r="AA41" s="476"/>
      <c r="AC41" s="248"/>
      <c r="AD41" s="312"/>
      <c r="AE41" s="1034"/>
      <c r="AG41" s="26"/>
      <c r="AI41" s="112"/>
      <c r="AJ41" s="113"/>
      <c r="AK41" s="312"/>
      <c r="AL41" s="476"/>
      <c r="AM41" s="1"/>
      <c r="AN41" s="248"/>
      <c r="AO41" s="312"/>
      <c r="AP41" s="1034"/>
      <c r="AQ41" s="1"/>
      <c r="AR41" s="112"/>
      <c r="AS41" s="113"/>
      <c r="AT41" s="312"/>
      <c r="AU41" s="476"/>
      <c r="AV41" s="1"/>
      <c r="AW41" s="248"/>
      <c r="AX41" s="312"/>
      <c r="AY41" s="1034"/>
      <c r="AZ41" s="476"/>
      <c r="BA41" s="112"/>
      <c r="BB41" s="113"/>
      <c r="BC41" s="312"/>
      <c r="BD41" s="476"/>
      <c r="BE41" s="1"/>
      <c r="BF41" s="248"/>
      <c r="BG41" s="312"/>
      <c r="BH41" s="1034"/>
      <c r="BI41" s="1"/>
      <c r="BJ41" s="26"/>
      <c r="BK41" s="26"/>
    </row>
    <row r="42" spans="1:63" x14ac:dyDescent="0.35">
      <c r="A42" s="9168"/>
      <c r="B42" s="232"/>
      <c r="C42" s="232" t="s">
        <v>942</v>
      </c>
      <c r="D42" s="60"/>
      <c r="F42" s="155"/>
      <c r="H42" s="117"/>
      <c r="I42" s="115"/>
      <c r="J42" s="476">
        <f>IF(H42=0,0,I42/H42)</f>
        <v>0</v>
      </c>
      <c r="L42" s="117"/>
      <c r="M42" s="157">
        <f t="shared" si="40"/>
        <v>0</v>
      </c>
      <c r="O42" s="117"/>
      <c r="P42" s="115"/>
      <c r="Q42" s="312"/>
      <c r="R42" s="476">
        <f t="shared" si="41"/>
        <v>0</v>
      </c>
      <c r="T42" s="200"/>
      <c r="U42" s="312"/>
      <c r="V42" s="273">
        <f t="shared" si="42"/>
        <v>0</v>
      </c>
      <c r="X42" s="117"/>
      <c r="Y42" s="115"/>
      <c r="Z42" s="312"/>
      <c r="AA42" s="476"/>
      <c r="AC42" s="200"/>
      <c r="AD42" s="312"/>
      <c r="AE42" s="273"/>
      <c r="AG42" s="26"/>
      <c r="AI42" s="117"/>
      <c r="AJ42" s="115"/>
      <c r="AK42" s="312"/>
      <c r="AL42" s="476"/>
      <c r="AM42" s="1"/>
      <c r="AN42" s="200"/>
      <c r="AO42" s="312"/>
      <c r="AP42" s="273"/>
      <c r="AQ42" s="1"/>
      <c r="AR42" s="117"/>
      <c r="AS42" s="115"/>
      <c r="AT42" s="312"/>
      <c r="AU42" s="476"/>
      <c r="AV42" s="1"/>
      <c r="AW42" s="200"/>
      <c r="AX42" s="312"/>
      <c r="AY42" s="273"/>
      <c r="AZ42" s="476"/>
      <c r="BA42" s="117"/>
      <c r="BB42" s="115"/>
      <c r="BC42" s="312"/>
      <c r="BD42" s="476"/>
      <c r="BE42" s="1"/>
      <c r="BF42" s="200"/>
      <c r="BG42" s="312"/>
      <c r="BH42" s="273"/>
      <c r="BI42" s="1"/>
      <c r="BJ42" s="26"/>
      <c r="BK42" s="26"/>
    </row>
    <row r="43" spans="1:63" x14ac:dyDescent="0.35">
      <c r="A43" s="9168"/>
      <c r="B43" s="1662"/>
      <c r="C43" s="1662" t="s">
        <v>943</v>
      </c>
      <c r="D43" s="87"/>
      <c r="F43" s="130"/>
      <c r="H43" s="242"/>
      <c r="I43" s="243"/>
      <c r="J43" s="476">
        <f>IF(H43=0,0,I43/H43)</f>
        <v>0</v>
      </c>
      <c r="L43" s="131"/>
      <c r="M43" s="213">
        <f t="shared" si="40"/>
        <v>0</v>
      </c>
      <c r="O43" s="131"/>
      <c r="P43" s="132"/>
      <c r="Q43" s="3054"/>
      <c r="R43" s="484">
        <f t="shared" si="41"/>
        <v>0</v>
      </c>
      <c r="T43" s="214"/>
      <c r="U43" s="3054"/>
      <c r="V43" s="658">
        <f t="shared" si="42"/>
        <v>0</v>
      </c>
      <c r="X43" s="131"/>
      <c r="Y43" s="132"/>
      <c r="Z43" s="3054"/>
      <c r="AA43" s="484"/>
      <c r="AC43" s="214"/>
      <c r="AD43" s="3054"/>
      <c r="AE43" s="658"/>
      <c r="AG43" s="24"/>
      <c r="AI43" s="131"/>
      <c r="AJ43" s="132"/>
      <c r="AK43" s="3054"/>
      <c r="AL43" s="484"/>
      <c r="AM43" s="1"/>
      <c r="AN43" s="214"/>
      <c r="AO43" s="3054"/>
      <c r="AP43" s="658"/>
      <c r="AQ43" s="1"/>
      <c r="AR43" s="131"/>
      <c r="AS43" s="132"/>
      <c r="AT43" s="3054"/>
      <c r="AU43" s="484"/>
      <c r="AV43" s="1"/>
      <c r="AW43" s="214"/>
      <c r="AX43" s="3054"/>
      <c r="AY43" s="658"/>
      <c r="AZ43" s="476"/>
      <c r="BA43" s="131"/>
      <c r="BB43" s="132"/>
      <c r="BC43" s="3054"/>
      <c r="BD43" s="484"/>
      <c r="BE43" s="1"/>
      <c r="BF43" s="214"/>
      <c r="BG43" s="3054"/>
      <c r="BH43" s="658"/>
      <c r="BI43" s="1"/>
      <c r="BJ43" s="24"/>
      <c r="BK43" s="24"/>
    </row>
    <row r="44" spans="1:63" x14ac:dyDescent="0.35">
      <c r="A44" s="9168"/>
      <c r="B44" s="141" t="s">
        <v>944</v>
      </c>
      <c r="C44" s="141"/>
      <c r="D44" s="60"/>
      <c r="E44" s="143"/>
      <c r="F44" s="227"/>
      <c r="G44" s="143"/>
      <c r="H44" s="102"/>
      <c r="I44" s="103"/>
      <c r="J44" s="516"/>
      <c r="K44" s="143"/>
      <c r="L44" s="245"/>
      <c r="M44" s="247"/>
      <c r="N44" s="143"/>
      <c r="O44" s="245"/>
      <c r="P44" s="106"/>
      <c r="Q44" s="254"/>
      <c r="R44" s="518"/>
      <c r="S44" s="143"/>
      <c r="T44" s="245"/>
      <c r="U44" s="254"/>
      <c r="V44" s="106"/>
      <c r="W44" s="143"/>
      <c r="X44" s="245"/>
      <c r="Y44" s="106"/>
      <c r="Z44" s="254"/>
      <c r="AA44" s="518"/>
      <c r="AB44" s="143"/>
      <c r="AC44" s="245"/>
      <c r="AD44" s="254"/>
      <c r="AE44" s="105"/>
      <c r="AF44" s="143"/>
      <c r="AG44" s="26"/>
      <c r="AI44" s="245"/>
      <c r="AJ44" s="106"/>
      <c r="AK44" s="254"/>
      <c r="AL44" s="518"/>
      <c r="AM44" s="143"/>
      <c r="AN44" s="245"/>
      <c r="AO44" s="254"/>
      <c r="AP44" s="105"/>
      <c r="AQ44" s="143"/>
      <c r="AR44" s="245"/>
      <c r="AS44" s="106"/>
      <c r="AT44" s="254"/>
      <c r="AU44" s="518"/>
      <c r="AV44" s="143"/>
      <c r="AW44" s="245"/>
      <c r="AX44" s="254"/>
      <c r="AY44" s="105"/>
      <c r="AZ44" s="476"/>
      <c r="BA44" s="245"/>
      <c r="BB44" s="106"/>
      <c r="BC44" s="254"/>
      <c r="BD44" s="518"/>
      <c r="BE44" s="143"/>
      <c r="BF44" s="245"/>
      <c r="BG44" s="254"/>
      <c r="BH44" s="105"/>
      <c r="BI44" s="143"/>
      <c r="BJ44" s="26"/>
      <c r="BK44" s="26"/>
    </row>
    <row r="45" spans="1:63" ht="24.75" customHeight="1" x14ac:dyDescent="0.35">
      <c r="A45" s="9168"/>
      <c r="B45" s="232"/>
      <c r="C45" s="232" t="s">
        <v>1742</v>
      </c>
      <c r="D45" s="60"/>
      <c r="F45" s="111"/>
      <c r="H45" s="112"/>
      <c r="I45" s="113"/>
      <c r="J45" s="476">
        <f>IF(H45=0,0,I45/H45)</f>
        <v>0</v>
      </c>
      <c r="L45" s="112"/>
      <c r="M45" s="157">
        <f t="shared" ref="M45:M51" si="43">L45*J45</f>
        <v>0</v>
      </c>
      <c r="O45" s="112"/>
      <c r="P45" s="113"/>
      <c r="Q45" s="312"/>
      <c r="R45" s="476">
        <f t="shared" ref="R45:R51" si="44">IF(O45=0,0,P45/O45)</f>
        <v>0</v>
      </c>
      <c r="T45" s="248"/>
      <c r="U45" s="312"/>
      <c r="V45" s="233">
        <f t="shared" ref="V45:V51" si="45">R45*T45</f>
        <v>0</v>
      </c>
      <c r="X45" s="112"/>
      <c r="Y45" s="113"/>
      <c r="Z45" s="312"/>
      <c r="AA45" s="476"/>
      <c r="AC45" s="248"/>
      <c r="AD45" s="312"/>
      <c r="AE45" s="1034"/>
      <c r="AG45" s="257"/>
      <c r="AI45" s="112"/>
      <c r="AJ45" s="113"/>
      <c r="AK45" s="312"/>
      <c r="AL45" s="476"/>
      <c r="AM45" s="1"/>
      <c r="AN45" s="248"/>
      <c r="AO45" s="312"/>
      <c r="AP45" s="1034"/>
      <c r="AQ45" s="1"/>
      <c r="AR45" s="112"/>
      <c r="AS45" s="113"/>
      <c r="AT45" s="312"/>
      <c r="AU45" s="476"/>
      <c r="AV45" s="1"/>
      <c r="AW45" s="248"/>
      <c r="AX45" s="312"/>
      <c r="AY45" s="1034"/>
      <c r="AZ45" s="476"/>
      <c r="BA45" s="112"/>
      <c r="BB45" s="113"/>
      <c r="BC45" s="312"/>
      <c r="BD45" s="476"/>
      <c r="BE45" s="1"/>
      <c r="BF45" s="248"/>
      <c r="BG45" s="312"/>
      <c r="BH45" s="1034"/>
      <c r="BI45" s="1"/>
      <c r="BJ45" s="257"/>
      <c r="BK45" s="257"/>
    </row>
    <row r="46" spans="1:63" x14ac:dyDescent="0.35">
      <c r="A46" s="9168"/>
      <c r="B46" s="232"/>
      <c r="C46" s="232" t="s">
        <v>942</v>
      </c>
      <c r="D46" s="60"/>
      <c r="F46" s="155"/>
      <c r="H46" s="117"/>
      <c r="I46" s="115"/>
      <c r="J46" s="476">
        <f>IF(H46=0,0,I46/H46)</f>
        <v>0</v>
      </c>
      <c r="L46" s="117"/>
      <c r="M46" s="157">
        <f t="shared" si="43"/>
        <v>0</v>
      </c>
      <c r="O46" s="117"/>
      <c r="P46" s="115"/>
      <c r="Q46" s="312"/>
      <c r="R46" s="476">
        <f t="shared" si="44"/>
        <v>0</v>
      </c>
      <c r="T46" s="200"/>
      <c r="U46" s="312"/>
      <c r="V46" s="201">
        <f t="shared" si="45"/>
        <v>0</v>
      </c>
      <c r="X46" s="117"/>
      <c r="Y46" s="115"/>
      <c r="Z46" s="312"/>
      <c r="AA46" s="476"/>
      <c r="AC46" s="200"/>
      <c r="AD46" s="312"/>
      <c r="AE46" s="273"/>
      <c r="AG46" s="26"/>
      <c r="AI46" s="117"/>
      <c r="AJ46" s="115"/>
      <c r="AK46" s="312"/>
      <c r="AL46" s="476"/>
      <c r="AM46" s="1"/>
      <c r="AN46" s="200"/>
      <c r="AO46" s="312"/>
      <c r="AP46" s="273"/>
      <c r="AQ46" s="1"/>
      <c r="AR46" s="117"/>
      <c r="AS46" s="115"/>
      <c r="AT46" s="312"/>
      <c r="AU46" s="476"/>
      <c r="AV46" s="1"/>
      <c r="AW46" s="200"/>
      <c r="AX46" s="312"/>
      <c r="AY46" s="273"/>
      <c r="AZ46" s="476"/>
      <c r="BA46" s="117"/>
      <c r="BB46" s="115"/>
      <c r="BC46" s="312"/>
      <c r="BD46" s="476"/>
      <c r="BE46" s="1"/>
      <c r="BF46" s="200"/>
      <c r="BG46" s="312"/>
      <c r="BH46" s="273"/>
      <c r="BI46" s="1"/>
      <c r="BJ46" s="26"/>
      <c r="BK46" s="26"/>
    </row>
    <row r="47" spans="1:63" x14ac:dyDescent="0.35">
      <c r="A47" s="9168"/>
      <c r="B47" s="232"/>
      <c r="C47" s="232" t="s">
        <v>943</v>
      </c>
      <c r="D47" s="60"/>
      <c r="F47" s="155"/>
      <c r="H47" s="117"/>
      <c r="I47" s="115"/>
      <c r="J47" s="476">
        <f>IF(H47=0,0,I47/H47)</f>
        <v>0</v>
      </c>
      <c r="L47" s="117"/>
      <c r="M47" s="157">
        <f t="shared" si="43"/>
        <v>0</v>
      </c>
      <c r="O47" s="117"/>
      <c r="P47" s="115"/>
      <c r="Q47" s="312"/>
      <c r="R47" s="476">
        <f t="shared" si="44"/>
        <v>0</v>
      </c>
      <c r="T47" s="200"/>
      <c r="U47" s="312"/>
      <c r="V47" s="201">
        <f t="shared" si="45"/>
        <v>0</v>
      </c>
      <c r="X47" s="117"/>
      <c r="Y47" s="115"/>
      <c r="Z47" s="312"/>
      <c r="AA47" s="476"/>
      <c r="AC47" s="200"/>
      <c r="AD47" s="312"/>
      <c r="AE47" s="273"/>
      <c r="AG47" s="26"/>
      <c r="AI47" s="117"/>
      <c r="AJ47" s="115"/>
      <c r="AK47" s="312"/>
      <c r="AL47" s="476"/>
      <c r="AM47" s="1"/>
      <c r="AN47" s="200"/>
      <c r="AO47" s="312"/>
      <c r="AP47" s="273"/>
      <c r="AQ47" s="1"/>
      <c r="AR47" s="117"/>
      <c r="AS47" s="115"/>
      <c r="AT47" s="312"/>
      <c r="AU47" s="476"/>
      <c r="AV47" s="1"/>
      <c r="AW47" s="200"/>
      <c r="AX47" s="312"/>
      <c r="AY47" s="273"/>
      <c r="AZ47" s="476"/>
      <c r="BA47" s="117"/>
      <c r="BB47" s="115"/>
      <c r="BC47" s="312"/>
      <c r="BD47" s="476"/>
      <c r="BE47" s="1"/>
      <c r="BF47" s="200"/>
      <c r="BG47" s="312"/>
      <c r="BH47" s="273"/>
      <c r="BI47" s="1"/>
      <c r="BJ47" s="26"/>
      <c r="BK47" s="26"/>
    </row>
    <row r="48" spans="1:63" x14ac:dyDescent="0.35">
      <c r="A48" s="9168"/>
      <c r="B48" s="232"/>
      <c r="C48" s="232" t="s">
        <v>977</v>
      </c>
      <c r="D48" s="60"/>
      <c r="F48" s="155"/>
      <c r="H48" s="117"/>
      <c r="I48" s="115"/>
      <c r="J48" s="476">
        <f>IF(H48=0,0,I48/H48)</f>
        <v>0</v>
      </c>
      <c r="L48" s="117"/>
      <c r="M48" s="157">
        <f t="shared" si="43"/>
        <v>0</v>
      </c>
      <c r="O48" s="117"/>
      <c r="P48" s="115"/>
      <c r="Q48" s="312"/>
      <c r="R48" s="476">
        <f t="shared" si="44"/>
        <v>0</v>
      </c>
      <c r="T48" s="200"/>
      <c r="U48" s="312"/>
      <c r="V48" s="201">
        <f t="shared" si="45"/>
        <v>0</v>
      </c>
      <c r="X48" s="117"/>
      <c r="Y48" s="115"/>
      <c r="Z48" s="312"/>
      <c r="AA48" s="476"/>
      <c r="AC48" s="200"/>
      <c r="AD48" s="312"/>
      <c r="AE48" s="273"/>
      <c r="AG48" s="26"/>
      <c r="AI48" s="117"/>
      <c r="AJ48" s="115"/>
      <c r="AK48" s="312"/>
      <c r="AL48" s="476"/>
      <c r="AM48" s="1"/>
      <c r="AN48" s="200"/>
      <c r="AO48" s="312"/>
      <c r="AP48" s="273"/>
      <c r="AQ48" s="1"/>
      <c r="AR48" s="117"/>
      <c r="AS48" s="115"/>
      <c r="AT48" s="312"/>
      <c r="AU48" s="476"/>
      <c r="AV48" s="1"/>
      <c r="AW48" s="200"/>
      <c r="AX48" s="312"/>
      <c r="AY48" s="273"/>
      <c r="AZ48" s="476"/>
      <c r="BA48" s="117"/>
      <c r="BB48" s="115"/>
      <c r="BC48" s="312"/>
      <c r="BD48" s="476"/>
      <c r="BE48" s="1"/>
      <c r="BF48" s="200"/>
      <c r="BG48" s="312"/>
      <c r="BH48" s="273"/>
      <c r="BI48" s="1"/>
      <c r="BJ48" s="26"/>
      <c r="BK48" s="26"/>
    </row>
    <row r="49" spans="1:63" x14ac:dyDescent="0.35">
      <c r="A49" s="9168"/>
      <c r="B49" s="232"/>
      <c r="C49" s="232" t="s">
        <v>962</v>
      </c>
      <c r="D49" s="60"/>
      <c r="F49" s="155"/>
      <c r="H49" s="117"/>
      <c r="I49" s="115"/>
      <c r="J49" s="476">
        <f>IF(H49=0,0,I49/H49)</f>
        <v>0</v>
      </c>
      <c r="L49" s="117"/>
      <c r="M49" s="157">
        <f t="shared" si="43"/>
        <v>0</v>
      </c>
      <c r="O49" s="117"/>
      <c r="P49" s="115"/>
      <c r="Q49" s="312"/>
      <c r="R49" s="476">
        <f t="shared" si="44"/>
        <v>0</v>
      </c>
      <c r="T49" s="200"/>
      <c r="U49" s="312"/>
      <c r="V49" s="201">
        <f t="shared" si="45"/>
        <v>0</v>
      </c>
      <c r="X49" s="117"/>
      <c r="Y49" s="115"/>
      <c r="Z49" s="312"/>
      <c r="AA49" s="476"/>
      <c r="AC49" s="200"/>
      <c r="AD49" s="312"/>
      <c r="AE49" s="273"/>
      <c r="AG49" s="26"/>
      <c r="AI49" s="117"/>
      <c r="AJ49" s="115"/>
      <c r="AK49" s="312"/>
      <c r="AL49" s="476"/>
      <c r="AM49" s="1"/>
      <c r="AN49" s="200"/>
      <c r="AO49" s="312"/>
      <c r="AP49" s="273"/>
      <c r="AQ49" s="1"/>
      <c r="AR49" s="117"/>
      <c r="AS49" s="115"/>
      <c r="AT49" s="312"/>
      <c r="AU49" s="476"/>
      <c r="AV49" s="1"/>
      <c r="AW49" s="200"/>
      <c r="AX49" s="312"/>
      <c r="AY49" s="273"/>
      <c r="AZ49" s="476"/>
      <c r="BA49" s="117"/>
      <c r="BB49" s="115"/>
      <c r="BC49" s="312"/>
      <c r="BD49" s="476"/>
      <c r="BE49" s="1"/>
      <c r="BF49" s="200"/>
      <c r="BG49" s="312"/>
      <c r="BH49" s="273"/>
      <c r="BI49" s="1"/>
      <c r="BJ49" s="26"/>
      <c r="BK49" s="26"/>
    </row>
    <row r="50" spans="1:63" x14ac:dyDescent="0.35">
      <c r="A50" s="9168"/>
      <c r="B50" s="232"/>
      <c r="C50" s="232" t="s">
        <v>963</v>
      </c>
      <c r="D50" s="60"/>
      <c r="F50" s="155"/>
      <c r="H50" s="117"/>
      <c r="I50" s="115"/>
      <c r="J50" s="476">
        <f t="shared" ref="J50:J51" si="46">IF(H50=0,0,I50/H50)</f>
        <v>0</v>
      </c>
      <c r="L50" s="117"/>
      <c r="M50" s="157">
        <f t="shared" si="43"/>
        <v>0</v>
      </c>
      <c r="O50" s="117"/>
      <c r="P50" s="115"/>
      <c r="Q50" s="312"/>
      <c r="R50" s="476">
        <f t="shared" si="44"/>
        <v>0</v>
      </c>
      <c r="T50" s="200"/>
      <c r="U50" s="312"/>
      <c r="V50" s="201">
        <f t="shared" si="45"/>
        <v>0</v>
      </c>
      <c r="X50" s="117"/>
      <c r="Y50" s="115"/>
      <c r="Z50" s="312"/>
      <c r="AA50" s="476"/>
      <c r="AC50" s="200"/>
      <c r="AD50" s="312"/>
      <c r="AE50" s="273"/>
      <c r="AG50" s="26"/>
      <c r="AI50" s="117"/>
      <c r="AJ50" s="115"/>
      <c r="AK50" s="312"/>
      <c r="AL50" s="476"/>
      <c r="AM50" s="1"/>
      <c r="AN50" s="200"/>
      <c r="AO50" s="312"/>
      <c r="AP50" s="273"/>
      <c r="AQ50" s="1"/>
      <c r="AR50" s="117"/>
      <c r="AS50" s="115"/>
      <c r="AT50" s="312"/>
      <c r="AU50" s="476"/>
      <c r="AV50" s="1"/>
      <c r="AW50" s="200"/>
      <c r="AX50" s="312"/>
      <c r="AY50" s="273"/>
      <c r="AZ50" s="476"/>
      <c r="BA50" s="117"/>
      <c r="BB50" s="115"/>
      <c r="BC50" s="312"/>
      <c r="BD50" s="476"/>
      <c r="BE50" s="1"/>
      <c r="BF50" s="200"/>
      <c r="BG50" s="312"/>
      <c r="BH50" s="273"/>
      <c r="BI50" s="1"/>
      <c r="BJ50" s="26"/>
      <c r="BK50" s="26"/>
    </row>
    <row r="51" spans="1:63" x14ac:dyDescent="0.35">
      <c r="A51" s="9168"/>
      <c r="B51" s="1654"/>
      <c r="C51" s="1654" t="s">
        <v>964</v>
      </c>
      <c r="D51" s="87"/>
      <c r="F51" s="130"/>
      <c r="H51" s="131"/>
      <c r="I51" s="132"/>
      <c r="J51" s="484">
        <f t="shared" si="46"/>
        <v>0</v>
      </c>
      <c r="L51" s="242"/>
      <c r="M51" s="157">
        <f t="shared" si="43"/>
        <v>0</v>
      </c>
      <c r="O51" s="242"/>
      <c r="P51" s="243"/>
      <c r="Q51" s="312"/>
      <c r="R51" s="476">
        <f t="shared" si="44"/>
        <v>0</v>
      </c>
      <c r="T51" s="164"/>
      <c r="U51" s="312"/>
      <c r="V51" s="244">
        <f t="shared" si="45"/>
        <v>0</v>
      </c>
      <c r="X51" s="242"/>
      <c r="Y51" s="243"/>
      <c r="Z51" s="312"/>
      <c r="AA51" s="476"/>
      <c r="AC51" s="164"/>
      <c r="AD51" s="312"/>
      <c r="AE51" s="658"/>
      <c r="AG51" s="26"/>
      <c r="AI51" s="242"/>
      <c r="AJ51" s="243"/>
      <c r="AK51" s="312"/>
      <c r="AL51" s="476"/>
      <c r="AM51" s="1"/>
      <c r="AN51" s="164"/>
      <c r="AO51" s="312"/>
      <c r="AP51" s="658"/>
      <c r="AQ51" s="1"/>
      <c r="AR51" s="242"/>
      <c r="AS51" s="243"/>
      <c r="AT51" s="312"/>
      <c r="AU51" s="476"/>
      <c r="AV51" s="1"/>
      <c r="AW51" s="164"/>
      <c r="AX51" s="312"/>
      <c r="AY51" s="658"/>
      <c r="AZ51" s="476"/>
      <c r="BA51" s="242"/>
      <c r="BB51" s="243"/>
      <c r="BC51" s="312"/>
      <c r="BD51" s="476"/>
      <c r="BE51" s="1"/>
      <c r="BF51" s="164"/>
      <c r="BG51" s="312"/>
      <c r="BH51" s="658"/>
      <c r="BI51" s="1"/>
      <c r="BJ51" s="26"/>
      <c r="BK51" s="26"/>
    </row>
    <row r="52" spans="1:63" x14ac:dyDescent="0.35">
      <c r="A52" s="9168"/>
      <c r="B52" s="271" t="s">
        <v>965</v>
      </c>
      <c r="C52" s="271"/>
      <c r="D52" s="140"/>
      <c r="E52" s="141"/>
      <c r="F52" s="227"/>
      <c r="G52" s="141"/>
      <c r="H52" s="245"/>
      <c r="I52" s="106"/>
      <c r="J52" s="518"/>
      <c r="K52" s="141"/>
      <c r="L52" s="102"/>
      <c r="M52" s="268"/>
      <c r="N52" s="141"/>
      <c r="O52" s="102"/>
      <c r="P52" s="103"/>
      <c r="Q52" s="2909"/>
      <c r="R52" s="516"/>
      <c r="S52" s="141"/>
      <c r="T52" s="102"/>
      <c r="U52" s="2909"/>
      <c r="V52" s="105"/>
      <c r="W52" s="141"/>
      <c r="X52" s="102"/>
      <c r="Y52" s="103"/>
      <c r="Z52" s="2909"/>
      <c r="AA52" s="516"/>
      <c r="AB52" s="141"/>
      <c r="AC52" s="102"/>
      <c r="AD52" s="2909"/>
      <c r="AE52" s="105"/>
      <c r="AF52" s="141"/>
      <c r="AG52" s="18"/>
      <c r="AI52" s="102"/>
      <c r="AJ52" s="103"/>
      <c r="AK52" s="2909"/>
      <c r="AL52" s="516"/>
      <c r="AM52" s="141"/>
      <c r="AN52" s="102"/>
      <c r="AO52" s="2909"/>
      <c r="AP52" s="105"/>
      <c r="AQ52" s="141"/>
      <c r="AR52" s="102"/>
      <c r="AS52" s="103"/>
      <c r="AT52" s="2909"/>
      <c r="AU52" s="516"/>
      <c r="AV52" s="141"/>
      <c r="AW52" s="102"/>
      <c r="AX52" s="2909"/>
      <c r="AY52" s="105"/>
      <c r="AZ52" s="476"/>
      <c r="BA52" s="102"/>
      <c r="BB52" s="103"/>
      <c r="BC52" s="2909"/>
      <c r="BD52" s="516"/>
      <c r="BE52" s="141"/>
      <c r="BF52" s="102"/>
      <c r="BG52" s="2909"/>
      <c r="BH52" s="105"/>
      <c r="BI52" s="141"/>
      <c r="BJ52" s="18"/>
      <c r="BK52" s="18"/>
    </row>
    <row r="53" spans="1:63" x14ac:dyDescent="0.35">
      <c r="A53" s="9168"/>
      <c r="B53" s="232"/>
      <c r="C53" s="232" t="s">
        <v>1743</v>
      </c>
      <c r="D53" s="60"/>
      <c r="F53" s="111"/>
      <c r="H53" s="112"/>
      <c r="I53" s="113"/>
      <c r="J53" s="476">
        <f t="shared" ref="J53:J60" si="47">IF(H53=0,0,I53/H53)</f>
        <v>0</v>
      </c>
      <c r="L53" s="112"/>
      <c r="M53" s="157">
        <f t="shared" ref="M53:M60" si="48">L53*J53</f>
        <v>0</v>
      </c>
      <c r="O53" s="112"/>
      <c r="P53" s="113"/>
      <c r="Q53" s="312"/>
      <c r="R53" s="476">
        <f t="shared" ref="R53:R60" si="49">IF(O53=0,0,P53/O53)</f>
        <v>0</v>
      </c>
      <c r="T53" s="248"/>
      <c r="U53" s="312"/>
      <c r="V53" s="1034">
        <f t="shared" ref="V53:V60" si="50">R53*T53</f>
        <v>0</v>
      </c>
      <c r="X53" s="112"/>
      <c r="Y53" s="113"/>
      <c r="Z53" s="312"/>
      <c r="AA53" s="476"/>
      <c r="AC53" s="248"/>
      <c r="AD53" s="312"/>
      <c r="AE53" s="1034"/>
      <c r="AG53" s="26"/>
      <c r="AI53" s="112"/>
      <c r="AJ53" s="113"/>
      <c r="AK53" s="312"/>
      <c r="AL53" s="476"/>
      <c r="AM53" s="1"/>
      <c r="AN53" s="248"/>
      <c r="AO53" s="312"/>
      <c r="AP53" s="1034"/>
      <c r="AQ53" s="1"/>
      <c r="AR53" s="112"/>
      <c r="AS53" s="113"/>
      <c r="AT53" s="312"/>
      <c r="AU53" s="476"/>
      <c r="AV53" s="1"/>
      <c r="AW53" s="248"/>
      <c r="AX53" s="312"/>
      <c r="AY53" s="1034"/>
      <c r="AZ53" s="476"/>
      <c r="BA53" s="112"/>
      <c r="BB53" s="113"/>
      <c r="BC53" s="312"/>
      <c r="BD53" s="476"/>
      <c r="BE53" s="1"/>
      <c r="BF53" s="248"/>
      <c r="BG53" s="312"/>
      <c r="BH53" s="1034"/>
      <c r="BI53" s="1"/>
      <c r="BJ53" s="26"/>
      <c r="BK53" s="26"/>
    </row>
    <row r="54" spans="1:63" x14ac:dyDescent="0.35">
      <c r="A54" s="9168"/>
      <c r="B54" s="232"/>
      <c r="C54" s="232" t="s">
        <v>1744</v>
      </c>
      <c r="D54" s="60"/>
      <c r="F54" s="155"/>
      <c r="H54" s="117"/>
      <c r="I54" s="115"/>
      <c r="J54" s="476">
        <f t="shared" si="47"/>
        <v>0</v>
      </c>
      <c r="L54" s="117"/>
      <c r="M54" s="157">
        <f t="shared" si="48"/>
        <v>0</v>
      </c>
      <c r="O54" s="117"/>
      <c r="P54" s="115"/>
      <c r="Q54" s="312"/>
      <c r="R54" s="476">
        <f t="shared" si="49"/>
        <v>0</v>
      </c>
      <c r="T54" s="200"/>
      <c r="U54" s="312"/>
      <c r="V54" s="273">
        <f t="shared" si="50"/>
        <v>0</v>
      </c>
      <c r="X54" s="117"/>
      <c r="Y54" s="115"/>
      <c r="Z54" s="312"/>
      <c r="AA54" s="476"/>
      <c r="AC54" s="200"/>
      <c r="AD54" s="312"/>
      <c r="AE54" s="273"/>
      <c r="AG54" s="26"/>
      <c r="AI54" s="117"/>
      <c r="AJ54" s="115"/>
      <c r="AK54" s="312"/>
      <c r="AL54" s="476"/>
      <c r="AM54" s="1"/>
      <c r="AN54" s="200"/>
      <c r="AO54" s="312"/>
      <c r="AP54" s="273"/>
      <c r="AQ54" s="1"/>
      <c r="AR54" s="117"/>
      <c r="AS54" s="115"/>
      <c r="AT54" s="312"/>
      <c r="AU54" s="476"/>
      <c r="AV54" s="1"/>
      <c r="AW54" s="200"/>
      <c r="AX54" s="312"/>
      <c r="AY54" s="273"/>
      <c r="AZ54" s="476"/>
      <c r="BA54" s="117"/>
      <c r="BB54" s="115"/>
      <c r="BC54" s="312"/>
      <c r="BD54" s="476"/>
      <c r="BE54" s="1"/>
      <c r="BF54" s="200"/>
      <c r="BG54" s="312"/>
      <c r="BH54" s="273"/>
      <c r="BI54" s="1"/>
      <c r="BJ54" s="26"/>
      <c r="BK54" s="26"/>
    </row>
    <row r="55" spans="1:63" x14ac:dyDescent="0.35">
      <c r="A55" s="9168"/>
      <c r="B55" s="232"/>
      <c r="C55" s="232" t="s">
        <v>1745</v>
      </c>
      <c r="D55" s="60"/>
      <c r="F55" s="163"/>
      <c r="H55" s="242"/>
      <c r="I55" s="243"/>
      <c r="J55" s="476">
        <f t="shared" si="47"/>
        <v>0</v>
      </c>
      <c r="L55" s="242"/>
      <c r="M55" s="157">
        <f t="shared" si="48"/>
        <v>0</v>
      </c>
      <c r="O55" s="242"/>
      <c r="P55" s="243"/>
      <c r="Q55" s="312"/>
      <c r="R55" s="476">
        <f t="shared" si="49"/>
        <v>0</v>
      </c>
      <c r="T55" s="164"/>
      <c r="U55" s="312"/>
      <c r="V55" s="276">
        <f t="shared" si="50"/>
        <v>0</v>
      </c>
      <c r="X55" s="242"/>
      <c r="Y55" s="243"/>
      <c r="Z55" s="312"/>
      <c r="AA55" s="476"/>
      <c r="AC55" s="164"/>
      <c r="AD55" s="312"/>
      <c r="AE55" s="276"/>
      <c r="AG55" s="26"/>
      <c r="AI55" s="242"/>
      <c r="AJ55" s="243"/>
      <c r="AK55" s="312"/>
      <c r="AL55" s="476"/>
      <c r="AM55" s="1"/>
      <c r="AN55" s="164"/>
      <c r="AO55" s="312"/>
      <c r="AP55" s="276"/>
      <c r="AQ55" s="1"/>
      <c r="AR55" s="242"/>
      <c r="AS55" s="243"/>
      <c r="AT55" s="312"/>
      <c r="AU55" s="476"/>
      <c r="AV55" s="1"/>
      <c r="AW55" s="164"/>
      <c r="AX55" s="312"/>
      <c r="AY55" s="276"/>
      <c r="AZ55" s="476"/>
      <c r="BA55" s="242"/>
      <c r="BB55" s="243"/>
      <c r="BC55" s="312"/>
      <c r="BD55" s="476"/>
      <c r="BE55" s="1"/>
      <c r="BF55" s="164"/>
      <c r="BG55" s="312"/>
      <c r="BH55" s="276"/>
      <c r="BI55" s="1"/>
      <c r="BJ55" s="26"/>
      <c r="BK55" s="26"/>
    </row>
    <row r="56" spans="1:63" x14ac:dyDescent="0.35">
      <c r="A56" s="9168"/>
      <c r="B56" s="232"/>
      <c r="C56" s="232" t="s">
        <v>977</v>
      </c>
      <c r="D56" s="60"/>
      <c r="F56" s="163"/>
      <c r="H56" s="242"/>
      <c r="I56" s="243"/>
      <c r="J56" s="476">
        <f t="shared" si="47"/>
        <v>0</v>
      </c>
      <c r="L56" s="242"/>
      <c r="M56" s="157">
        <f t="shared" si="48"/>
        <v>0</v>
      </c>
      <c r="O56" s="242"/>
      <c r="P56" s="243"/>
      <c r="Q56" s="312"/>
      <c r="R56" s="476">
        <f t="shared" si="49"/>
        <v>0</v>
      </c>
      <c r="T56" s="164"/>
      <c r="U56" s="312"/>
      <c r="V56" s="276">
        <f t="shared" si="50"/>
        <v>0</v>
      </c>
      <c r="X56" s="242"/>
      <c r="Y56" s="243"/>
      <c r="Z56" s="312"/>
      <c r="AA56" s="476"/>
      <c r="AC56" s="164"/>
      <c r="AD56" s="312"/>
      <c r="AE56" s="276"/>
      <c r="AG56" s="26"/>
      <c r="AI56" s="242"/>
      <c r="AJ56" s="243"/>
      <c r="AK56" s="312"/>
      <c r="AL56" s="476"/>
      <c r="AM56" s="1"/>
      <c r="AN56" s="164"/>
      <c r="AO56" s="312"/>
      <c r="AP56" s="276"/>
      <c r="AQ56" s="1"/>
      <c r="AR56" s="242"/>
      <c r="AS56" s="243"/>
      <c r="AT56" s="312"/>
      <c r="AU56" s="476"/>
      <c r="AV56" s="1"/>
      <c r="AW56" s="164"/>
      <c r="AX56" s="312"/>
      <c r="AY56" s="276"/>
      <c r="AZ56" s="476"/>
      <c r="BA56" s="242"/>
      <c r="BB56" s="243"/>
      <c r="BC56" s="312"/>
      <c r="BD56" s="476"/>
      <c r="BE56" s="1"/>
      <c r="BF56" s="164"/>
      <c r="BG56" s="312"/>
      <c r="BH56" s="276"/>
      <c r="BI56" s="1"/>
      <c r="BJ56" s="26"/>
      <c r="BK56" s="26"/>
    </row>
    <row r="57" spans="1:63" x14ac:dyDescent="0.35">
      <c r="A57" s="9168"/>
      <c r="B57" s="232"/>
      <c r="C57" s="232" t="s">
        <v>962</v>
      </c>
      <c r="D57" s="60"/>
      <c r="F57" s="163"/>
      <c r="H57" s="242"/>
      <c r="I57" s="243"/>
      <c r="J57" s="476">
        <f t="shared" si="47"/>
        <v>0</v>
      </c>
      <c r="L57" s="242"/>
      <c r="M57" s="157">
        <f t="shared" si="48"/>
        <v>0</v>
      </c>
      <c r="O57" s="242"/>
      <c r="P57" s="243"/>
      <c r="Q57" s="312"/>
      <c r="R57" s="476">
        <f t="shared" si="49"/>
        <v>0</v>
      </c>
      <c r="T57" s="164"/>
      <c r="U57" s="312"/>
      <c r="V57" s="276">
        <f t="shared" si="50"/>
        <v>0</v>
      </c>
      <c r="X57" s="242"/>
      <c r="Y57" s="243"/>
      <c r="Z57" s="312"/>
      <c r="AA57" s="476"/>
      <c r="AC57" s="164"/>
      <c r="AD57" s="312"/>
      <c r="AE57" s="276"/>
      <c r="AG57" s="26"/>
      <c r="AI57" s="242"/>
      <c r="AJ57" s="243"/>
      <c r="AK57" s="312"/>
      <c r="AL57" s="476"/>
      <c r="AM57" s="1"/>
      <c r="AN57" s="164"/>
      <c r="AO57" s="312"/>
      <c r="AP57" s="276"/>
      <c r="AQ57" s="1"/>
      <c r="AR57" s="242"/>
      <c r="AS57" s="243"/>
      <c r="AT57" s="312"/>
      <c r="AU57" s="476"/>
      <c r="AV57" s="1"/>
      <c r="AW57" s="164"/>
      <c r="AX57" s="312"/>
      <c r="AY57" s="276"/>
      <c r="AZ57" s="476"/>
      <c r="BA57" s="242"/>
      <c r="BB57" s="243"/>
      <c r="BC57" s="312"/>
      <c r="BD57" s="476"/>
      <c r="BE57" s="1"/>
      <c r="BF57" s="164"/>
      <c r="BG57" s="312"/>
      <c r="BH57" s="276"/>
      <c r="BI57" s="1"/>
      <c r="BJ57" s="26"/>
      <c r="BK57" s="26"/>
    </row>
    <row r="58" spans="1:63" x14ac:dyDescent="0.35">
      <c r="A58" s="9168"/>
      <c r="B58" s="232"/>
      <c r="C58" s="232" t="s">
        <v>963</v>
      </c>
      <c r="D58" s="60"/>
      <c r="F58" s="163"/>
      <c r="H58" s="242"/>
      <c r="I58" s="243"/>
      <c r="J58" s="476"/>
      <c r="L58" s="242"/>
      <c r="M58" s="157"/>
      <c r="O58" s="242"/>
      <c r="P58" s="243"/>
      <c r="Q58" s="312"/>
      <c r="R58" s="476">
        <f t="shared" si="49"/>
        <v>0</v>
      </c>
      <c r="T58" s="164"/>
      <c r="U58" s="312"/>
      <c r="V58" s="276">
        <f t="shared" si="50"/>
        <v>0</v>
      </c>
      <c r="X58" s="242"/>
      <c r="Y58" s="243"/>
      <c r="Z58" s="312"/>
      <c r="AA58" s="476"/>
      <c r="AC58" s="164"/>
      <c r="AD58" s="312"/>
      <c r="AE58" s="276"/>
      <c r="AG58" s="26"/>
      <c r="AI58" s="242"/>
      <c r="AJ58" s="243"/>
      <c r="AK58" s="312"/>
      <c r="AL58" s="476"/>
      <c r="AM58" s="1"/>
      <c r="AN58" s="164"/>
      <c r="AO58" s="312"/>
      <c r="AP58" s="276"/>
      <c r="AQ58" s="1"/>
      <c r="AR58" s="242"/>
      <c r="AS58" s="243"/>
      <c r="AT58" s="312"/>
      <c r="AU58" s="476"/>
      <c r="AV58" s="1"/>
      <c r="AW58" s="164"/>
      <c r="AX58" s="312"/>
      <c r="AY58" s="276"/>
      <c r="AZ58" s="476"/>
      <c r="BA58" s="242"/>
      <c r="BB58" s="243"/>
      <c r="BC58" s="312"/>
      <c r="BD58" s="476"/>
      <c r="BE58" s="1"/>
      <c r="BF58" s="164"/>
      <c r="BG58" s="312"/>
      <c r="BH58" s="276"/>
      <c r="BI58" s="1"/>
      <c r="BJ58" s="26"/>
      <c r="BK58" s="26"/>
    </row>
    <row r="59" spans="1:63" x14ac:dyDescent="0.35">
      <c r="A59" s="9168"/>
      <c r="B59" s="232"/>
      <c r="C59" s="232" t="s">
        <v>964</v>
      </c>
      <c r="D59" s="60"/>
      <c r="F59" s="163"/>
      <c r="H59" s="242"/>
      <c r="I59" s="243"/>
      <c r="J59" s="476">
        <f t="shared" si="47"/>
        <v>0</v>
      </c>
      <c r="L59" s="242"/>
      <c r="M59" s="157">
        <f t="shared" si="48"/>
        <v>0</v>
      </c>
      <c r="O59" s="242"/>
      <c r="P59" s="243"/>
      <c r="Q59" s="312"/>
      <c r="R59" s="476">
        <f t="shared" si="49"/>
        <v>0</v>
      </c>
      <c r="T59" s="164"/>
      <c r="U59" s="312"/>
      <c r="V59" s="276">
        <f t="shared" si="50"/>
        <v>0</v>
      </c>
      <c r="X59" s="242"/>
      <c r="Y59" s="243"/>
      <c r="Z59" s="312"/>
      <c r="AA59" s="476"/>
      <c r="AC59" s="164"/>
      <c r="AD59" s="312"/>
      <c r="AE59" s="276"/>
      <c r="AG59" s="26"/>
      <c r="AI59" s="242"/>
      <c r="AJ59" s="243"/>
      <c r="AK59" s="312"/>
      <c r="AL59" s="476"/>
      <c r="AM59" s="1"/>
      <c r="AN59" s="164"/>
      <c r="AO59" s="312"/>
      <c r="AP59" s="276"/>
      <c r="AQ59" s="1"/>
      <c r="AR59" s="242"/>
      <c r="AS59" s="243"/>
      <c r="AT59" s="312"/>
      <c r="AU59" s="476"/>
      <c r="AV59" s="1"/>
      <c r="AW59" s="164"/>
      <c r="AX59" s="312"/>
      <c r="AY59" s="276"/>
      <c r="AZ59" s="476"/>
      <c r="BA59" s="242"/>
      <c r="BB59" s="243"/>
      <c r="BC59" s="312"/>
      <c r="BD59" s="476"/>
      <c r="BE59" s="1"/>
      <c r="BF59" s="164"/>
      <c r="BG59" s="312"/>
      <c r="BH59" s="276"/>
      <c r="BI59" s="1"/>
      <c r="BJ59" s="26"/>
      <c r="BK59" s="26"/>
    </row>
    <row r="60" spans="1:63" x14ac:dyDescent="0.35">
      <c r="A60" s="9168"/>
      <c r="B60" s="1662"/>
      <c r="C60" s="1662" t="s">
        <v>978</v>
      </c>
      <c r="D60" s="87"/>
      <c r="F60" s="130"/>
      <c r="H60" s="242"/>
      <c r="I60" s="243"/>
      <c r="J60" s="476">
        <f t="shared" si="47"/>
        <v>0</v>
      </c>
      <c r="L60" s="242"/>
      <c r="M60" s="157">
        <f t="shared" si="48"/>
        <v>0</v>
      </c>
      <c r="O60" s="131"/>
      <c r="P60" s="132"/>
      <c r="Q60" s="3054"/>
      <c r="R60" s="484">
        <f t="shared" si="49"/>
        <v>0</v>
      </c>
      <c r="T60" s="214"/>
      <c r="U60" s="3054"/>
      <c r="V60" s="658">
        <f t="shared" si="50"/>
        <v>0</v>
      </c>
      <c r="X60" s="131"/>
      <c r="Y60" s="132"/>
      <c r="Z60" s="3054"/>
      <c r="AA60" s="484"/>
      <c r="AC60" s="214"/>
      <c r="AD60" s="3054"/>
      <c r="AE60" s="658"/>
      <c r="AG60" s="24"/>
      <c r="AI60" s="131"/>
      <c r="AJ60" s="132"/>
      <c r="AK60" s="3054"/>
      <c r="AL60" s="484"/>
      <c r="AM60" s="1"/>
      <c r="AN60" s="214"/>
      <c r="AO60" s="3054"/>
      <c r="AP60" s="658"/>
      <c r="AQ60" s="1"/>
      <c r="AR60" s="131"/>
      <c r="AS60" s="132"/>
      <c r="AT60" s="3054"/>
      <c r="AU60" s="484"/>
      <c r="AV60" s="1"/>
      <c r="AW60" s="214"/>
      <c r="AX60" s="3054"/>
      <c r="AY60" s="658"/>
      <c r="AZ60" s="476"/>
      <c r="BA60" s="131"/>
      <c r="BB60" s="132"/>
      <c r="BC60" s="3054"/>
      <c r="BD60" s="484"/>
      <c r="BE60" s="1"/>
      <c r="BF60" s="214"/>
      <c r="BG60" s="3054"/>
      <c r="BH60" s="658"/>
      <c r="BI60" s="1"/>
      <c r="BJ60" s="24"/>
      <c r="BK60" s="24"/>
    </row>
    <row r="61" spans="1:63" x14ac:dyDescent="0.35">
      <c r="A61" s="9168"/>
      <c r="B61" s="271" t="s">
        <v>979</v>
      </c>
      <c r="C61" s="271"/>
      <c r="D61" s="140"/>
      <c r="E61" s="143"/>
      <c r="F61" s="227"/>
      <c r="G61" s="143"/>
      <c r="H61" s="102"/>
      <c r="I61" s="103"/>
      <c r="J61" s="228"/>
      <c r="K61" s="143"/>
      <c r="L61" s="102"/>
      <c r="M61" s="268"/>
      <c r="N61" s="143"/>
      <c r="O61" s="245"/>
      <c r="P61" s="106"/>
      <c r="Q61" s="254"/>
      <c r="R61" s="246"/>
      <c r="S61" s="143"/>
      <c r="T61" s="245"/>
      <c r="U61" s="254"/>
      <c r="V61" s="106"/>
      <c r="W61" s="143"/>
      <c r="X61" s="245"/>
      <c r="Y61" s="106"/>
      <c r="Z61" s="254"/>
      <c r="AA61" s="246"/>
      <c r="AB61" s="143"/>
      <c r="AC61" s="245"/>
      <c r="AD61" s="254"/>
      <c r="AE61" s="105"/>
      <c r="AF61" s="143"/>
      <c r="AG61" s="18"/>
      <c r="AI61" s="245"/>
      <c r="AJ61" s="106"/>
      <c r="AK61" s="254"/>
      <c r="AL61" s="246"/>
      <c r="AM61" s="143"/>
      <c r="AN61" s="245"/>
      <c r="AO61" s="254"/>
      <c r="AP61" s="105"/>
      <c r="AQ61" s="143"/>
      <c r="AR61" s="245"/>
      <c r="AS61" s="106"/>
      <c r="AT61" s="254"/>
      <c r="AU61" s="246"/>
      <c r="AV61" s="143"/>
      <c r="AW61" s="245"/>
      <c r="AX61" s="254"/>
      <c r="AY61" s="105"/>
      <c r="AZ61" s="476"/>
      <c r="BA61" s="245"/>
      <c r="BB61" s="106"/>
      <c r="BC61" s="254"/>
      <c r="BD61" s="246"/>
      <c r="BE61" s="143"/>
      <c r="BF61" s="245"/>
      <c r="BG61" s="254"/>
      <c r="BH61" s="105"/>
      <c r="BI61" s="143"/>
      <c r="BJ61" s="18"/>
      <c r="BK61" s="18"/>
    </row>
    <row r="62" spans="1:63" x14ac:dyDescent="0.35">
      <c r="A62" s="9168"/>
      <c r="B62" s="272"/>
      <c r="C62" s="272" t="s">
        <v>980</v>
      </c>
      <c r="D62" s="60"/>
      <c r="F62" s="155"/>
      <c r="H62" s="117"/>
      <c r="I62" s="115"/>
      <c r="J62" s="476">
        <f t="shared" ref="J62" si="51">IF(H62=0,0,I62/H62)</f>
        <v>0</v>
      </c>
      <c r="L62" s="117"/>
      <c r="M62" s="157">
        <f>M26*M63</f>
        <v>0</v>
      </c>
      <c r="O62" s="117"/>
      <c r="P62" s="115"/>
      <c r="Q62" s="312"/>
      <c r="R62" s="476">
        <f>IF(O62=0,0,P62/O62)</f>
        <v>0</v>
      </c>
      <c r="T62" s="200"/>
      <c r="U62" s="312"/>
      <c r="V62" s="201"/>
      <c r="X62" s="117"/>
      <c r="Y62" s="115"/>
      <c r="Z62" s="312"/>
      <c r="AA62" s="476"/>
      <c r="AC62" s="200"/>
      <c r="AD62" s="312"/>
      <c r="AE62" s="273"/>
      <c r="AG62" s="26"/>
      <c r="AI62" s="117"/>
      <c r="AJ62" s="115"/>
      <c r="AK62" s="312"/>
      <c r="AL62" s="476"/>
      <c r="AM62" s="1"/>
      <c r="AN62" s="200"/>
      <c r="AO62" s="312"/>
      <c r="AP62" s="273"/>
      <c r="AQ62" s="1"/>
      <c r="AR62" s="117"/>
      <c r="AS62" s="115"/>
      <c r="AT62" s="312"/>
      <c r="AU62" s="476"/>
      <c r="AV62" s="1"/>
      <c r="AW62" s="200"/>
      <c r="AX62" s="312"/>
      <c r="AY62" s="273"/>
      <c r="AZ62" s="476"/>
      <c r="BA62" s="117"/>
      <c r="BB62" s="115"/>
      <c r="BC62" s="312"/>
      <c r="BD62" s="476"/>
      <c r="BE62" s="1"/>
      <c r="BF62" s="200"/>
      <c r="BG62" s="312"/>
      <c r="BH62" s="273"/>
      <c r="BI62" s="1"/>
      <c r="BJ62" s="26"/>
      <c r="BK62" s="26"/>
    </row>
    <row r="63" spans="1:63" x14ac:dyDescent="0.35">
      <c r="A63" s="9168"/>
      <c r="B63" s="277"/>
      <c r="C63" s="277" t="s">
        <v>981</v>
      </c>
      <c r="D63" s="87"/>
      <c r="F63" s="278"/>
      <c r="G63" s="279"/>
      <c r="H63" s="280"/>
      <c r="I63" s="281"/>
      <c r="J63" s="484"/>
      <c r="L63" s="280"/>
      <c r="M63" s="282"/>
      <c r="O63" s="5346"/>
      <c r="P63" s="5347"/>
      <c r="Q63" s="5348"/>
      <c r="R63" s="476"/>
      <c r="T63" s="5349"/>
      <c r="U63" s="5348"/>
      <c r="V63" s="5350">
        <f>R63*T63</f>
        <v>0</v>
      </c>
      <c r="X63" s="5346"/>
      <c r="Y63" s="5347"/>
      <c r="Z63" s="5348"/>
      <c r="AA63" s="476"/>
      <c r="AC63" s="5349"/>
      <c r="AD63" s="5348"/>
      <c r="AE63" s="3090"/>
      <c r="AG63" s="24"/>
      <c r="AI63" s="5346"/>
      <c r="AJ63" s="5347"/>
      <c r="AK63" s="5348"/>
      <c r="AL63" s="476"/>
      <c r="AM63" s="1"/>
      <c r="AN63" s="5349"/>
      <c r="AO63" s="5348"/>
      <c r="AP63" s="3090"/>
      <c r="AQ63" s="1"/>
      <c r="AR63" s="5346"/>
      <c r="AS63" s="5347"/>
      <c r="AT63" s="5348"/>
      <c r="AU63" s="476"/>
      <c r="AV63" s="1"/>
      <c r="AW63" s="5349"/>
      <c r="AX63" s="5348"/>
      <c r="AY63" s="3090"/>
      <c r="AZ63" s="476"/>
      <c r="BA63" s="5346"/>
      <c r="BB63" s="5347"/>
      <c r="BC63" s="5348"/>
      <c r="BD63" s="476"/>
      <c r="BE63" s="1"/>
      <c r="BF63" s="5349"/>
      <c r="BG63" s="5348"/>
      <c r="BH63" s="3090"/>
      <c r="BI63" s="1"/>
      <c r="BJ63" s="24"/>
      <c r="BK63" s="24"/>
    </row>
    <row r="64" spans="1:63" ht="15.25" customHeight="1" x14ac:dyDescent="0.35">
      <c r="A64" s="9168"/>
      <c r="B64" s="287" t="s">
        <v>982</v>
      </c>
      <c r="C64" s="288"/>
      <c r="D64" s="140"/>
      <c r="E64" s="143"/>
      <c r="F64" s="289"/>
      <c r="G64" s="290"/>
      <c r="H64" s="291"/>
      <c r="I64" s="292"/>
      <c r="J64" s="293"/>
      <c r="L64" s="291"/>
      <c r="M64" s="268"/>
      <c r="N64" s="143"/>
      <c r="O64" s="291"/>
      <c r="P64" s="292"/>
      <c r="Q64" s="2909"/>
      <c r="R64" s="293"/>
      <c r="S64" s="143"/>
      <c r="T64" s="291"/>
      <c r="U64" s="2909"/>
      <c r="V64" s="294">
        <f t="shared" ref="V64:V68" si="52">R64*T64</f>
        <v>0</v>
      </c>
      <c r="W64" s="143"/>
      <c r="X64" s="291"/>
      <c r="Y64" s="292"/>
      <c r="Z64" s="2909"/>
      <c r="AA64" s="293"/>
      <c r="AB64" s="143"/>
      <c r="AC64" s="291"/>
      <c r="AD64" s="2909"/>
      <c r="AE64" s="294"/>
      <c r="AF64" s="143"/>
      <c r="AG64" s="18"/>
      <c r="AI64" s="291"/>
      <c r="AJ64" s="292"/>
      <c r="AK64" s="2909"/>
      <c r="AL64" s="293"/>
      <c r="AM64" s="143"/>
      <c r="AN64" s="291"/>
      <c r="AO64" s="2909"/>
      <c r="AP64" s="294"/>
      <c r="AQ64" s="143"/>
      <c r="AR64" s="1388"/>
      <c r="AS64" s="520"/>
      <c r="AT64" s="2909"/>
      <c r="AU64" s="293"/>
      <c r="AV64" s="143"/>
      <c r="AW64" s="1388"/>
      <c r="AX64" s="2909"/>
      <c r="AY64" s="5068"/>
      <c r="AZ64" s="476"/>
      <c r="BA64" s="1388"/>
      <c r="BB64" s="520"/>
      <c r="BC64" s="2909"/>
      <c r="BD64" s="293"/>
      <c r="BE64" s="143"/>
      <c r="BF64" s="1388"/>
      <c r="BG64" s="2909"/>
      <c r="BH64" s="5068"/>
      <c r="BI64" s="143"/>
      <c r="BJ64" s="18"/>
      <c r="BK64" s="18"/>
    </row>
    <row r="65" spans="1:63" x14ac:dyDescent="0.35">
      <c r="A65" s="9168"/>
      <c r="B65" s="295"/>
      <c r="C65" s="522" t="s">
        <v>1743</v>
      </c>
      <c r="D65" s="60"/>
      <c r="F65" s="521"/>
      <c r="G65" s="272"/>
      <c r="H65" s="304">
        <v>5997.5099999999993</v>
      </c>
      <c r="I65" s="522"/>
      <c r="J65" s="523">
        <f t="shared" ref="J65:J68" si="53">IF(H65=0,0,I65/H65)</f>
        <v>0</v>
      </c>
      <c r="L65" s="304">
        <v>8688.4782608695641</v>
      </c>
      <c r="M65" s="157">
        <f t="shared" ref="M65:M68" si="54">L65*J65</f>
        <v>0</v>
      </c>
      <c r="O65" s="304">
        <v>8688.4782608695641</v>
      </c>
      <c r="P65" s="522"/>
      <c r="Q65" s="312"/>
      <c r="R65" s="523">
        <f t="shared" ref="R65:R68" si="55">IF(O65=0,0,P65/O65)</f>
        <v>0</v>
      </c>
      <c r="T65" s="1050"/>
      <c r="U65" s="312"/>
      <c r="V65" s="1051">
        <f t="shared" si="52"/>
        <v>0</v>
      </c>
      <c r="X65" s="304"/>
      <c r="Y65" s="522"/>
      <c r="Z65" s="312"/>
      <c r="AA65" s="523"/>
      <c r="AC65" s="1050"/>
      <c r="AD65" s="312"/>
      <c r="AE65" s="1051"/>
      <c r="AG65" s="26"/>
      <c r="AI65" s="304"/>
      <c r="AJ65" s="522"/>
      <c r="AK65" s="312"/>
      <c r="AL65" s="523"/>
      <c r="AM65" s="1"/>
      <c r="AN65" s="1050"/>
      <c r="AO65" s="312"/>
      <c r="AP65" s="1051"/>
      <c r="AQ65" s="1"/>
      <c r="AR65" s="304"/>
      <c r="AS65" s="522"/>
      <c r="AT65" s="312"/>
      <c r="AU65" s="523"/>
      <c r="AV65" s="1"/>
      <c r="AW65" s="1050"/>
      <c r="AX65" s="312"/>
      <c r="AY65" s="1051"/>
      <c r="AZ65" s="476"/>
      <c r="BA65" s="304"/>
      <c r="BB65" s="522"/>
      <c r="BC65" s="312"/>
      <c r="BD65" s="523"/>
      <c r="BE65" s="1"/>
      <c r="BF65" s="1050"/>
      <c r="BG65" s="312"/>
      <c r="BH65" s="1051"/>
      <c r="BI65" s="1"/>
      <c r="BJ65" s="26"/>
      <c r="BK65" s="26"/>
    </row>
    <row r="66" spans="1:63" x14ac:dyDescent="0.35">
      <c r="A66" s="9168"/>
      <c r="B66" s="295"/>
      <c r="C66" s="63" t="s">
        <v>1744</v>
      </c>
      <c r="D66" s="60"/>
      <c r="F66" s="61"/>
      <c r="G66" s="272"/>
      <c r="H66" s="62">
        <v>6050.1809999999996</v>
      </c>
      <c r="I66" s="63"/>
      <c r="J66" s="523">
        <f t="shared" si="53"/>
        <v>0</v>
      </c>
      <c r="L66" s="62">
        <v>9054.347826086956</v>
      </c>
      <c r="M66" s="157">
        <f t="shared" si="54"/>
        <v>0</v>
      </c>
      <c r="O66" s="62">
        <v>9054.347826086956</v>
      </c>
      <c r="P66" s="63"/>
      <c r="Q66" s="312"/>
      <c r="R66" s="523">
        <f t="shared" si="55"/>
        <v>0</v>
      </c>
      <c r="T66" s="71"/>
      <c r="U66" s="312"/>
      <c r="V66" s="998">
        <f t="shared" si="52"/>
        <v>0</v>
      </c>
      <c r="X66" s="62"/>
      <c r="Y66" s="63"/>
      <c r="Z66" s="312"/>
      <c r="AA66" s="523"/>
      <c r="AC66" s="71"/>
      <c r="AD66" s="312"/>
      <c r="AE66" s="998"/>
      <c r="AG66" s="26"/>
      <c r="AI66" s="62"/>
      <c r="AJ66" s="63"/>
      <c r="AK66" s="312"/>
      <c r="AL66" s="523"/>
      <c r="AM66" s="1"/>
      <c r="AN66" s="71"/>
      <c r="AO66" s="312"/>
      <c r="AP66" s="998"/>
      <c r="AQ66" s="1"/>
      <c r="AR66" s="62"/>
      <c r="AS66" s="63"/>
      <c r="AT66" s="312"/>
      <c r="AU66" s="523"/>
      <c r="AV66" s="1"/>
      <c r="AW66" s="71"/>
      <c r="AX66" s="312"/>
      <c r="AY66" s="998"/>
      <c r="AZ66" s="476"/>
      <c r="BA66" s="62"/>
      <c r="BB66" s="63"/>
      <c r="BC66" s="312"/>
      <c r="BD66" s="523"/>
      <c r="BE66" s="1"/>
      <c r="BF66" s="71"/>
      <c r="BG66" s="312"/>
      <c r="BH66" s="998"/>
      <c r="BI66" s="1"/>
      <c r="BJ66" s="26"/>
      <c r="BK66" s="26"/>
    </row>
    <row r="67" spans="1:63" x14ac:dyDescent="0.35">
      <c r="A67" s="9168"/>
      <c r="B67" s="2948"/>
      <c r="C67" s="63" t="s">
        <v>1745</v>
      </c>
      <c r="D67" s="60"/>
      <c r="F67" s="61"/>
      <c r="G67" s="272"/>
      <c r="H67" s="62"/>
      <c r="I67" s="63"/>
      <c r="J67" s="523">
        <f t="shared" si="53"/>
        <v>0</v>
      </c>
      <c r="L67" s="62"/>
      <c r="M67" s="157">
        <f t="shared" si="54"/>
        <v>0</v>
      </c>
      <c r="O67" s="62"/>
      <c r="P67" s="63"/>
      <c r="Q67" s="312"/>
      <c r="R67" s="523">
        <f t="shared" si="55"/>
        <v>0</v>
      </c>
      <c r="T67" s="71"/>
      <c r="U67" s="312"/>
      <c r="V67" s="998">
        <f t="shared" si="52"/>
        <v>0</v>
      </c>
      <c r="X67" s="62"/>
      <c r="Y67" s="63"/>
      <c r="Z67" s="312"/>
      <c r="AA67" s="523"/>
      <c r="AC67" s="71"/>
      <c r="AD67" s="312"/>
      <c r="AE67" s="998"/>
      <c r="AG67" s="26"/>
      <c r="AI67" s="62"/>
      <c r="AJ67" s="63"/>
      <c r="AK67" s="312"/>
      <c r="AL67" s="523"/>
      <c r="AM67" s="1"/>
      <c r="AN67" s="71"/>
      <c r="AO67" s="312"/>
      <c r="AP67" s="998"/>
      <c r="AQ67" s="1"/>
      <c r="AR67" s="62"/>
      <c r="AS67" s="63"/>
      <c r="AT67" s="312"/>
      <c r="AU67" s="523"/>
      <c r="AV67" s="1"/>
      <c r="AW67" s="71"/>
      <c r="AX67" s="312"/>
      <c r="AY67" s="998"/>
      <c r="AZ67" s="476"/>
      <c r="BA67" s="62"/>
      <c r="BB67" s="63"/>
      <c r="BC67" s="312"/>
      <c r="BD67" s="523"/>
      <c r="BE67" s="1"/>
      <c r="BF67" s="71"/>
      <c r="BG67" s="312"/>
      <c r="BH67" s="998"/>
      <c r="BI67" s="1"/>
      <c r="BJ67" s="26"/>
      <c r="BK67" s="26"/>
    </row>
    <row r="68" spans="1:63" x14ac:dyDescent="0.35">
      <c r="A68" s="9169"/>
      <c r="B68" s="2950"/>
      <c r="C68" s="2951" t="s">
        <v>1288</v>
      </c>
      <c r="D68" s="87"/>
      <c r="F68" s="88"/>
      <c r="G68" s="274"/>
      <c r="H68" s="89"/>
      <c r="I68" s="90"/>
      <c r="J68" s="527">
        <f t="shared" si="53"/>
        <v>0</v>
      </c>
      <c r="L68" s="89"/>
      <c r="M68" s="213">
        <f t="shared" si="54"/>
        <v>0</v>
      </c>
      <c r="O68" s="89"/>
      <c r="P68" s="90"/>
      <c r="Q68" s="3054"/>
      <c r="R68" s="527">
        <f t="shared" si="55"/>
        <v>0</v>
      </c>
      <c r="T68" s="768"/>
      <c r="U68" s="3054"/>
      <c r="V68" s="1002">
        <f t="shared" si="52"/>
        <v>0</v>
      </c>
      <c r="X68" s="89"/>
      <c r="Y68" s="90"/>
      <c r="Z68" s="3054"/>
      <c r="AA68" s="527"/>
      <c r="AC68" s="768"/>
      <c r="AD68" s="3054"/>
      <c r="AE68" s="1002"/>
      <c r="AG68" s="24"/>
      <c r="AI68" s="89"/>
      <c r="AJ68" s="90"/>
      <c r="AK68" s="3054"/>
      <c r="AL68" s="527"/>
      <c r="AM68" s="1"/>
      <c r="AN68" s="768"/>
      <c r="AO68" s="3054"/>
      <c r="AP68" s="1002"/>
      <c r="AQ68" s="1"/>
      <c r="AR68" s="89"/>
      <c r="AS68" s="90"/>
      <c r="AT68" s="3054"/>
      <c r="AU68" s="527"/>
      <c r="AV68" s="1"/>
      <c r="AW68" s="768"/>
      <c r="AX68" s="3054"/>
      <c r="AY68" s="1002"/>
      <c r="AZ68" s="476"/>
      <c r="BA68" s="89"/>
      <c r="BB68" s="90"/>
      <c r="BC68" s="3054"/>
      <c r="BD68" s="527"/>
      <c r="BE68" s="1"/>
      <c r="BF68" s="768"/>
      <c r="BG68" s="3054"/>
      <c r="BH68" s="1002"/>
      <c r="BI68" s="1"/>
      <c r="BJ68" s="24"/>
      <c r="BK68" s="24"/>
    </row>
    <row r="69" spans="1:63" x14ac:dyDescent="0.35">
      <c r="A69" s="5238"/>
      <c r="B69" s="1"/>
      <c r="F69" s="106"/>
      <c r="H69" s="106"/>
      <c r="I69" s="106"/>
      <c r="J69" s="311"/>
      <c r="L69" s="106"/>
      <c r="M69" s="311"/>
      <c r="O69" s="106"/>
      <c r="P69" s="106"/>
      <c r="Q69" s="311"/>
      <c r="R69" s="7709"/>
      <c r="T69" s="106"/>
      <c r="U69" s="311"/>
      <c r="V69" s="106"/>
      <c r="X69" s="106"/>
      <c r="Y69" s="106"/>
      <c r="Z69" s="311"/>
      <c r="AA69" s="7709"/>
      <c r="AC69" s="106"/>
      <c r="AD69" s="311"/>
      <c r="AE69" s="106"/>
      <c r="AI69" s="106"/>
      <c r="AJ69" s="106"/>
      <c r="AK69" s="311"/>
      <c r="AL69" s="7709"/>
      <c r="AM69" s="1"/>
      <c r="AN69" s="106"/>
      <c r="AO69" s="311"/>
      <c r="AP69" s="106"/>
      <c r="AQ69" s="1"/>
      <c r="AR69" s="106"/>
      <c r="AS69" s="106"/>
      <c r="AT69" s="311"/>
      <c r="AU69" s="7709"/>
      <c r="AV69" s="1"/>
      <c r="AW69" s="106"/>
      <c r="AX69" s="311"/>
      <c r="AY69" s="106"/>
      <c r="AZ69" s="476"/>
      <c r="BA69" s="106"/>
      <c r="BB69" s="106"/>
      <c r="BC69" s="311"/>
      <c r="BD69" s="7709"/>
      <c r="BE69" s="1"/>
      <c r="BF69" s="106"/>
      <c r="BG69" s="311"/>
      <c r="BH69" s="106"/>
      <c r="BI69" s="1"/>
    </row>
    <row r="70" spans="1:63" ht="14.5" customHeight="1" x14ac:dyDescent="0.35">
      <c r="A70" s="5238"/>
      <c r="B70" s="5239"/>
      <c r="C70" s="5240"/>
      <c r="D70" s="140"/>
      <c r="E70" s="143"/>
      <c r="F70" s="316"/>
      <c r="G70" s="290"/>
      <c r="H70" s="317"/>
      <c r="I70" s="1687"/>
      <c r="J70" s="293"/>
      <c r="L70" s="1687"/>
      <c r="M70" s="293"/>
      <c r="O70" s="317"/>
      <c r="P70" s="1687"/>
      <c r="Q70" s="293"/>
      <c r="R70" s="7709"/>
      <c r="T70" s="317"/>
      <c r="U70" s="3812"/>
      <c r="V70" s="318"/>
      <c r="X70" s="317"/>
      <c r="Y70" s="1687"/>
      <c r="Z70" s="293"/>
      <c r="AA70" s="7709"/>
      <c r="AC70" s="317"/>
      <c r="AD70" s="3812"/>
      <c r="AE70" s="318"/>
      <c r="AI70" s="317"/>
      <c r="AJ70" s="1687"/>
      <c r="AK70" s="293"/>
      <c r="AL70" s="7709"/>
      <c r="AM70" s="1"/>
      <c r="AN70" s="317"/>
      <c r="AO70" s="3812"/>
      <c r="AP70" s="318"/>
      <c r="AQ70" s="1"/>
      <c r="AR70" s="317"/>
      <c r="AS70" s="1687"/>
      <c r="AT70" s="293"/>
      <c r="AU70" s="7709"/>
      <c r="AV70" s="1"/>
      <c r="AW70" s="317"/>
      <c r="AX70" s="3812"/>
      <c r="AY70" s="318"/>
      <c r="AZ70" s="476"/>
      <c r="BA70" s="317"/>
      <c r="BB70" s="1687"/>
      <c r="BC70" s="293"/>
      <c r="BD70" s="7709"/>
      <c r="BE70" s="1"/>
      <c r="BF70" s="317"/>
      <c r="BG70" s="3812"/>
      <c r="BH70" s="318"/>
      <c r="BI70" s="1"/>
    </row>
    <row r="71" spans="1:63" x14ac:dyDescent="0.35">
      <c r="A71" s="5238"/>
      <c r="B71" s="5241"/>
      <c r="C71" s="5242" t="s">
        <v>1746</v>
      </c>
      <c r="D71" s="60"/>
      <c r="F71" s="327"/>
      <c r="G71" s="272"/>
      <c r="H71" s="325"/>
      <c r="I71" s="946"/>
      <c r="J71" s="297"/>
      <c r="L71" s="946"/>
      <c r="M71" s="297"/>
      <c r="O71" s="325"/>
      <c r="P71" s="946"/>
      <c r="Q71" s="297"/>
      <c r="R71" s="7709"/>
      <c r="T71" s="7825"/>
      <c r="U71" s="3825"/>
      <c r="V71" s="328"/>
      <c r="X71" s="325"/>
      <c r="Y71" s="946"/>
      <c r="Z71" s="297"/>
      <c r="AA71" s="7709"/>
      <c r="AC71" s="7825"/>
      <c r="AD71" s="3825"/>
      <c r="AE71" s="328"/>
      <c r="AI71" s="325"/>
      <c r="AJ71" s="946"/>
      <c r="AK71" s="297"/>
      <c r="AL71" s="7709"/>
      <c r="AM71" s="1"/>
      <c r="AN71" s="7825"/>
      <c r="AO71" s="3825"/>
      <c r="AP71" s="328"/>
      <c r="AQ71" s="1"/>
      <c r="AR71" s="325"/>
      <c r="AS71" s="946"/>
      <c r="AT71" s="297"/>
      <c r="AU71" s="7709"/>
      <c r="AV71" s="1"/>
      <c r="AW71" s="7825"/>
      <c r="AX71" s="3825"/>
      <c r="AY71" s="328"/>
      <c r="AZ71" s="476"/>
      <c r="BA71" s="325"/>
      <c r="BB71" s="946"/>
      <c r="BC71" s="297"/>
      <c r="BD71" s="7709"/>
      <c r="BE71" s="1"/>
      <c r="BF71" s="7825"/>
      <c r="BG71" s="3825"/>
      <c r="BH71" s="328"/>
      <c r="BI71" s="1"/>
    </row>
    <row r="72" spans="1:63" x14ac:dyDescent="0.35">
      <c r="A72" s="5238"/>
      <c r="B72" s="5241"/>
      <c r="C72" s="5242"/>
      <c r="D72" s="60"/>
      <c r="F72" s="5244"/>
      <c r="G72" s="272"/>
      <c r="H72" s="330"/>
      <c r="I72" s="948"/>
      <c r="J72" s="3823"/>
      <c r="L72" s="948"/>
      <c r="M72" s="3823"/>
      <c r="O72" s="330"/>
      <c r="P72" s="948"/>
      <c r="Q72" s="3823"/>
      <c r="R72" s="7709"/>
      <c r="T72" s="750"/>
      <c r="U72" s="3824"/>
      <c r="V72" s="337"/>
      <c r="X72" s="330"/>
      <c r="Y72" s="948"/>
      <c r="Z72" s="3823"/>
      <c r="AA72" s="7709"/>
      <c r="AC72" s="750"/>
      <c r="AD72" s="3824"/>
      <c r="AE72" s="337"/>
      <c r="AI72" s="330"/>
      <c r="AJ72" s="948"/>
      <c r="AK72" s="3823"/>
      <c r="AL72" s="7709"/>
      <c r="AM72" s="1"/>
      <c r="AN72" s="750"/>
      <c r="AO72" s="3824"/>
      <c r="AP72" s="337"/>
      <c r="AQ72" s="1"/>
      <c r="AR72" s="330"/>
      <c r="AS72" s="948"/>
      <c r="AT72" s="3823"/>
      <c r="AU72" s="7709"/>
      <c r="AV72" s="1"/>
      <c r="AW72" s="750"/>
      <c r="AX72" s="3824"/>
      <c r="AY72" s="337"/>
      <c r="AZ72" s="476"/>
      <c r="BA72" s="330"/>
      <c r="BB72" s="948"/>
      <c r="BC72" s="3823"/>
      <c r="BD72" s="7709"/>
      <c r="BE72" s="1"/>
      <c r="BF72" s="750">
        <v>186.987256</v>
      </c>
      <c r="BG72" s="3824" t="s">
        <v>1747</v>
      </c>
      <c r="BH72" s="337"/>
      <c r="BI72" s="1"/>
    </row>
    <row r="73" spans="1:63" x14ac:dyDescent="0.35">
      <c r="A73" s="5238"/>
      <c r="B73" s="5245"/>
      <c r="C73" s="5242"/>
      <c r="D73" s="60"/>
      <c r="F73" s="5244"/>
      <c r="G73" s="272"/>
      <c r="H73" s="330"/>
      <c r="I73" s="948"/>
      <c r="J73" s="3823"/>
      <c r="L73" s="948"/>
      <c r="M73" s="3823"/>
      <c r="O73" s="330"/>
      <c r="P73" s="948"/>
      <c r="Q73" s="3823"/>
      <c r="R73" s="7709"/>
      <c r="T73" s="750"/>
      <c r="U73" s="3824"/>
      <c r="V73" s="337"/>
      <c r="X73" s="330"/>
      <c r="Y73" s="948"/>
      <c r="Z73" s="3823"/>
      <c r="AA73" s="7709"/>
      <c r="AC73" s="750"/>
      <c r="AD73" s="3824"/>
      <c r="AE73" s="337"/>
      <c r="AI73" s="330"/>
      <c r="AJ73" s="948"/>
      <c r="AK73" s="3823"/>
      <c r="AL73" s="7709"/>
      <c r="AM73" s="1"/>
      <c r="AN73" s="750"/>
      <c r="AO73" s="3824"/>
      <c r="AP73" s="337"/>
      <c r="AQ73" s="1"/>
      <c r="AR73" s="330"/>
      <c r="AS73" s="948"/>
      <c r="AT73" s="3823"/>
      <c r="AU73" s="7709"/>
      <c r="AV73" s="1"/>
      <c r="AW73" s="750"/>
      <c r="AX73" s="3824"/>
      <c r="AY73" s="337"/>
      <c r="AZ73" s="476"/>
      <c r="BA73" s="330"/>
      <c r="BB73" s="948"/>
      <c r="BC73" s="3823"/>
      <c r="BD73" s="7709"/>
      <c r="BE73" s="1"/>
      <c r="BF73" s="750"/>
      <c r="BG73" s="3824"/>
      <c r="BH73" s="337"/>
      <c r="BI73" s="1"/>
    </row>
    <row r="74" spans="1:63" x14ac:dyDescent="0.35">
      <c r="A74" s="5238"/>
      <c r="B74" s="5246"/>
      <c r="C74" s="950"/>
      <c r="D74" s="87"/>
      <c r="F74" s="343"/>
      <c r="G74" s="274"/>
      <c r="H74" s="341"/>
      <c r="I74" s="951"/>
      <c r="J74" s="307"/>
      <c r="L74" s="951"/>
      <c r="M74" s="307"/>
      <c r="O74" s="341"/>
      <c r="P74" s="951"/>
      <c r="Q74" s="307"/>
      <c r="R74" s="7709"/>
      <c r="T74" s="769"/>
      <c r="U74" s="3831"/>
      <c r="V74" s="342"/>
      <c r="X74" s="341"/>
      <c r="Y74" s="951"/>
      <c r="Z74" s="307"/>
      <c r="AA74" s="7709"/>
      <c r="AC74" s="769"/>
      <c r="AD74" s="3831"/>
      <c r="AE74" s="342"/>
      <c r="AI74" s="341"/>
      <c r="AJ74" s="951"/>
      <c r="AK74" s="307"/>
      <c r="AL74" s="7709"/>
      <c r="AM74" s="1"/>
      <c r="AN74" s="769"/>
      <c r="AO74" s="3831"/>
      <c r="AP74" s="342"/>
      <c r="AQ74" s="1"/>
      <c r="AR74" s="341"/>
      <c r="AS74" s="951"/>
      <c r="AT74" s="307"/>
      <c r="AU74" s="7709"/>
      <c r="AV74" s="1"/>
      <c r="AW74" s="769"/>
      <c r="AX74" s="3831"/>
      <c r="AY74" s="342"/>
      <c r="AZ74" s="476"/>
      <c r="BA74" s="341"/>
      <c r="BB74" s="951"/>
      <c r="BC74" s="307"/>
      <c r="BD74" s="7709"/>
      <c r="BE74" s="1"/>
      <c r="BF74" s="769"/>
      <c r="BG74" s="3831"/>
      <c r="BH74" s="342"/>
      <c r="BI74" s="1"/>
    </row>
    <row r="75" spans="1:63" x14ac:dyDescent="0.35">
      <c r="A75" s="310"/>
      <c r="B75" s="310"/>
      <c r="F75" s="106"/>
      <c r="H75" s="106"/>
      <c r="I75" s="106"/>
      <c r="J75" s="311"/>
      <c r="L75" s="106"/>
      <c r="M75" s="312"/>
      <c r="O75" s="106"/>
      <c r="P75" s="106"/>
      <c r="Q75" s="312"/>
      <c r="R75" s="558"/>
      <c r="T75" s="106"/>
      <c r="U75" s="312"/>
      <c r="V75" s="106"/>
      <c r="X75" s="106"/>
      <c r="Y75" s="106"/>
      <c r="Z75" s="312"/>
      <c r="AA75" s="558"/>
      <c r="AC75" s="106"/>
      <c r="AD75" s="312"/>
      <c r="AE75" s="106"/>
      <c r="AI75" s="106"/>
      <c r="AJ75" s="106"/>
      <c r="AK75" s="312"/>
      <c r="AL75" s="558"/>
      <c r="AM75" s="1"/>
      <c r="AN75" s="106"/>
      <c r="AO75" s="312"/>
      <c r="AP75" s="106"/>
      <c r="AQ75" s="1"/>
      <c r="AR75" s="106"/>
      <c r="AS75" s="106"/>
      <c r="AT75" s="312"/>
      <c r="AU75" s="558"/>
      <c r="AV75" s="1"/>
      <c r="AW75" s="2819"/>
      <c r="AX75" s="6218"/>
      <c r="AY75" s="2819"/>
      <c r="AZ75" s="476"/>
      <c r="BA75" s="106"/>
      <c r="BB75" s="106"/>
      <c r="BC75" s="312"/>
      <c r="BD75" s="558"/>
      <c r="BE75" s="1"/>
      <c r="BF75" s="2819"/>
      <c r="BG75" s="6218"/>
      <c r="BH75" s="2819"/>
      <c r="BI75" s="1"/>
    </row>
    <row r="76" spans="1:63" x14ac:dyDescent="0.35">
      <c r="A76" s="9167" t="s">
        <v>988</v>
      </c>
      <c r="B76" s="139" t="s">
        <v>989</v>
      </c>
      <c r="C76" s="348"/>
      <c r="D76" s="49"/>
      <c r="E76" s="141"/>
      <c r="F76" s="227"/>
      <c r="G76" s="141"/>
      <c r="H76" s="102"/>
      <c r="I76" s="103"/>
      <c r="J76" s="228"/>
      <c r="K76" s="141"/>
      <c r="L76" s="102"/>
      <c r="M76" s="268"/>
      <c r="N76" s="141"/>
      <c r="O76" s="102"/>
      <c r="P76" s="103"/>
      <c r="Q76" s="2909"/>
      <c r="R76" s="228"/>
      <c r="S76" s="141"/>
      <c r="T76" s="102"/>
      <c r="U76" s="2909"/>
      <c r="V76" s="105"/>
      <c r="W76" s="141"/>
      <c r="X76" s="102"/>
      <c r="Y76" s="103"/>
      <c r="Z76" s="2909"/>
      <c r="AA76" s="228"/>
      <c r="AB76" s="141"/>
      <c r="AC76" s="102"/>
      <c r="AD76" s="2909"/>
      <c r="AE76" s="105"/>
      <c r="AF76" s="141"/>
      <c r="AI76" s="102"/>
      <c r="AJ76" s="103"/>
      <c r="AK76" s="2909"/>
      <c r="AL76" s="228"/>
      <c r="AM76" s="141"/>
      <c r="AN76" s="102"/>
      <c r="AO76" s="2909"/>
      <c r="AP76" s="105"/>
      <c r="AQ76" s="141"/>
      <c r="AR76" s="102"/>
      <c r="AS76" s="103"/>
      <c r="AT76" s="2909"/>
      <c r="AU76" s="228"/>
      <c r="AV76" s="141"/>
      <c r="AW76" s="5696"/>
      <c r="AX76" s="2697"/>
      <c r="AY76" s="6166"/>
      <c r="AZ76" s="476"/>
      <c r="BA76" s="102"/>
      <c r="BB76" s="103"/>
      <c r="BC76" s="2909"/>
      <c r="BD76" s="228"/>
      <c r="BE76" s="141"/>
      <c r="BF76" s="5696"/>
      <c r="BG76" s="2697"/>
      <c r="BH76" s="6166"/>
      <c r="BI76" s="141"/>
    </row>
    <row r="77" spans="1:63" x14ac:dyDescent="0.35">
      <c r="A77" s="9168"/>
      <c r="B77" s="6082"/>
      <c r="C77"/>
      <c r="D77" s="110" t="s">
        <v>990</v>
      </c>
      <c r="F77" s="349">
        <f>SUM(F30:F39)-SUM(F41:F43)</f>
        <v>0</v>
      </c>
      <c r="G77" s="350"/>
      <c r="H77" s="351">
        <f>SUM(H30:H39)-SUM(H41:H43)</f>
        <v>481983</v>
      </c>
      <c r="I77" s="352">
        <f>SUM(I30:I39)-SUM(I41:I43)</f>
        <v>464237</v>
      </c>
      <c r="J77" s="246"/>
      <c r="K77" s="350"/>
      <c r="L77" s="351">
        <f>SUM(L30:L39)-SUM(L41:L43)</f>
        <v>521058</v>
      </c>
      <c r="M77" s="353">
        <f>SUM(M30:M39)-SUM(M41:M43)</f>
        <v>506147</v>
      </c>
      <c r="O77" s="351">
        <f>SUM(O30:O39)-SUM(O41:O43)</f>
        <v>521058</v>
      </c>
      <c r="P77" s="352">
        <f>SUM(P30:P39)-SUM(P41:P43)</f>
        <v>506149</v>
      </c>
      <c r="Q77" s="352"/>
      <c r="R77" s="246"/>
      <c r="T77" s="351">
        <f>SUM(T30:T39)-SUM(T41:T43)</f>
        <v>527868</v>
      </c>
      <c r="U77" s="352"/>
      <c r="V77" s="353">
        <f>SUM(V30:V39)-SUM(V41:V43)</f>
        <v>513456.64598784898</v>
      </c>
      <c r="X77" s="351">
        <f>SUM(X30:X39)-SUM(X41:X43)</f>
        <v>527868</v>
      </c>
      <c r="Y77" s="352">
        <f>SUM(Y30:Y39)-SUM(Y41:Y43)</f>
        <v>513456.64598784898</v>
      </c>
      <c r="Z77" s="352"/>
      <c r="AA77" s="246"/>
      <c r="AC77" s="351">
        <f>SUM(AC30:AC39)-SUM(AC41:AC43)</f>
        <v>640715</v>
      </c>
      <c r="AD77" s="352"/>
      <c r="AE77" s="353">
        <f>SUM(AE30:AE39)-SUM(AE41:AE43)</f>
        <v>623469.31707061583</v>
      </c>
      <c r="AI77" s="351">
        <f>SUM(AI30:AI39)-SUM(AI41:AI43)</f>
        <v>641324</v>
      </c>
      <c r="AJ77" s="352">
        <f>SUM(AJ30:AJ39)-SUM(AJ41:AJ43)</f>
        <v>0</v>
      </c>
      <c r="AK77" s="352"/>
      <c r="AL77" s="246"/>
      <c r="AM77" s="1"/>
      <c r="AN77" s="351">
        <f>SUM(AN30:AN39)-SUM(AN41:AN43)</f>
        <v>672974</v>
      </c>
      <c r="AO77" s="352"/>
      <c r="AP77" s="353">
        <f>SUM(AP30:AP39)-SUM(AP41:AP43)</f>
        <v>0</v>
      </c>
      <c r="AQ77" s="1"/>
      <c r="AR77" s="2829">
        <f>SUM(AR30:AR39)-SUM(AR41:AR43)</f>
        <v>650.4</v>
      </c>
      <c r="AS77" s="2721">
        <f>SUM(AS30:AS39)-SUM(AS41:AS43)</f>
        <v>615.20000000000005</v>
      </c>
      <c r="AT77" s="355"/>
      <c r="AU77" s="1363"/>
      <c r="AV77" s="1270"/>
      <c r="AW77" s="2829">
        <f>SUM(AW30:AW39)-SUM(AW41:AW43)</f>
        <v>707.76599999999985</v>
      </c>
      <c r="AX77" s="2721"/>
      <c r="AY77" s="2872">
        <f>SUM(AY30:AY39)-SUM(AY41:AY43)</f>
        <v>673.08965226225621</v>
      </c>
      <c r="AZ77" s="476">
        <f t="shared" ref="AZ77:AZ92" si="56">IF(AW77=0,0,AY77/AW77)</f>
        <v>0.95100591475467366</v>
      </c>
      <c r="BA77" s="2829">
        <f>SUM(BA30:BA39)-SUM(BA41:BA43)</f>
        <v>707.76599999999985</v>
      </c>
      <c r="BB77" s="2721">
        <f>SUM(BB30:BB39)-SUM(BB41:BB43)</f>
        <v>0</v>
      </c>
      <c r="BC77" s="355"/>
      <c r="BD77" s="1363"/>
      <c r="BE77" s="1270"/>
      <c r="BF77" s="2829">
        <f>SUM(BF30:BF39)-SUM(BF41:BF43)</f>
        <v>749.78439399999991</v>
      </c>
      <c r="BG77" s="2721"/>
      <c r="BH77" s="2872">
        <f>SUM(BH30:BH39)-SUM(BH41:BH43)</f>
        <v>743.1507272598916</v>
      </c>
      <c r="BI77" s="1"/>
    </row>
    <row r="78" spans="1:63" x14ac:dyDescent="0.35">
      <c r="A78" s="9168"/>
      <c r="B78" s="6082"/>
      <c r="C78"/>
      <c r="D78" s="110" t="s">
        <v>944</v>
      </c>
      <c r="F78" s="349">
        <f>SUM(F45:F51)</f>
        <v>0</v>
      </c>
      <c r="G78" s="350"/>
      <c r="H78" s="351">
        <f>SUM(H45:H51)</f>
        <v>0</v>
      </c>
      <c r="I78" s="352">
        <f>SUM(I45:I51)</f>
        <v>0</v>
      </c>
      <c r="J78" s="246"/>
      <c r="K78" s="350"/>
      <c r="L78" s="351">
        <f>SUM(L45:L51)</f>
        <v>0</v>
      </c>
      <c r="M78" s="353">
        <f>SUM(M45:M51)</f>
        <v>0</v>
      </c>
      <c r="O78" s="351">
        <f>SUM(O45:O51)</f>
        <v>0</v>
      </c>
      <c r="P78" s="352">
        <f>SUM(P45:P51)</f>
        <v>0</v>
      </c>
      <c r="Q78" s="352"/>
      <c r="R78" s="246"/>
      <c r="T78" s="351">
        <f>SUM(T45:T51)</f>
        <v>0</v>
      </c>
      <c r="U78" s="352"/>
      <c r="V78" s="353">
        <f>SUM(V45:V51)</f>
        <v>0</v>
      </c>
      <c r="X78" s="351">
        <f>SUM(X45:X51)</f>
        <v>0</v>
      </c>
      <c r="Y78" s="352">
        <f>SUM(Y45:Y51)</f>
        <v>0</v>
      </c>
      <c r="Z78" s="352"/>
      <c r="AA78" s="246"/>
      <c r="AC78" s="351">
        <f>SUM(AC45:AC51)</f>
        <v>0</v>
      </c>
      <c r="AD78" s="352"/>
      <c r="AE78" s="353">
        <f>SUM(AE45:AE51)</f>
        <v>0</v>
      </c>
      <c r="AI78" s="351">
        <f>SUM(AI45:AI51)</f>
        <v>0</v>
      </c>
      <c r="AJ78" s="352">
        <f>SUM(AJ45:AJ51)</f>
        <v>0</v>
      </c>
      <c r="AK78" s="352"/>
      <c r="AL78" s="246"/>
      <c r="AM78" s="1"/>
      <c r="AN78" s="351">
        <f>SUM(AN45:AN51)</f>
        <v>0</v>
      </c>
      <c r="AO78" s="352"/>
      <c r="AP78" s="353">
        <f>SUM(AP45:AP51)</f>
        <v>0</v>
      </c>
      <c r="AQ78" s="1"/>
      <c r="AR78" s="2829">
        <f>SUM(AR45:AR51)</f>
        <v>0</v>
      </c>
      <c r="AS78" s="2721">
        <f>SUM(AS45:AS51)</f>
        <v>0</v>
      </c>
      <c r="AT78" s="355"/>
      <c r="AU78" s="1363"/>
      <c r="AV78" s="1270"/>
      <c r="AW78" s="2829">
        <f>SUM(AW45:AW51)</f>
        <v>0</v>
      </c>
      <c r="AX78" s="2721"/>
      <c r="AY78" s="2872">
        <f>SUM(AY45:AY51)</f>
        <v>0</v>
      </c>
      <c r="AZ78" s="476">
        <f t="shared" si="56"/>
        <v>0</v>
      </c>
      <c r="BA78" s="2829">
        <f>SUM(BA45:BA51)</f>
        <v>0</v>
      </c>
      <c r="BB78" s="2721">
        <f>SUM(BB45:BB51)</f>
        <v>0</v>
      </c>
      <c r="BC78" s="355"/>
      <c r="BD78" s="1363"/>
      <c r="BE78" s="1270"/>
      <c r="BF78" s="2829">
        <f>SUM(BF45:BF51)</f>
        <v>0</v>
      </c>
      <c r="BG78" s="2721"/>
      <c r="BH78" s="2872">
        <f>SUM(BH45:BH51)</f>
        <v>0</v>
      </c>
      <c r="BI78" s="1"/>
    </row>
    <row r="79" spans="1:63" x14ac:dyDescent="0.35">
      <c r="A79" s="9168"/>
      <c r="B79" s="6082"/>
      <c r="C79"/>
      <c r="D79" s="110" t="s">
        <v>991</v>
      </c>
      <c r="F79" s="349">
        <f>SUM(F53:F60)*F25</f>
        <v>0</v>
      </c>
      <c r="G79" s="350"/>
      <c r="H79" s="351">
        <f>SUM(H53:H60)*H25</f>
        <v>0</v>
      </c>
      <c r="I79" s="352">
        <f>SUM(I53:I60)*I25</f>
        <v>0</v>
      </c>
      <c r="J79" s="246"/>
      <c r="K79" s="350"/>
      <c r="L79" s="351">
        <f>SUM(L53:L60)*L25</f>
        <v>0</v>
      </c>
      <c r="M79" s="353">
        <f>SUM(M53:M60)*M25</f>
        <v>0</v>
      </c>
      <c r="O79" s="351">
        <f>SUM(O53:O60)*O25</f>
        <v>0</v>
      </c>
      <c r="P79" s="352">
        <f>SUM(P53:P60)*P25</f>
        <v>0</v>
      </c>
      <c r="Q79" s="352"/>
      <c r="R79" s="246"/>
      <c r="T79" s="351">
        <f>SUM(T53:T60)*T25</f>
        <v>0</v>
      </c>
      <c r="U79" s="352"/>
      <c r="V79" s="353">
        <f>SUM(V53:V60)*V25</f>
        <v>0</v>
      </c>
      <c r="X79" s="351">
        <f>SUM(X53:X60)*X25</f>
        <v>0</v>
      </c>
      <c r="Y79" s="352">
        <f>SUM(Y53:Y60)*Y25</f>
        <v>0</v>
      </c>
      <c r="Z79" s="352"/>
      <c r="AA79" s="246"/>
      <c r="AC79" s="351">
        <f>SUM(AC53:AC60)*AC25</f>
        <v>0</v>
      </c>
      <c r="AD79" s="352"/>
      <c r="AE79" s="353">
        <f>SUM(AE53:AE60)*AE25</f>
        <v>0</v>
      </c>
      <c r="AI79" s="351">
        <f>SUM(AI53:AI60)*AI25</f>
        <v>0</v>
      </c>
      <c r="AJ79" s="352">
        <f>SUM(AJ53:AJ60)*AJ25</f>
        <v>0</v>
      </c>
      <c r="AK79" s="352"/>
      <c r="AL79" s="246"/>
      <c r="AM79" s="1"/>
      <c r="AN79" s="351">
        <f>SUM(AN53:AN60)*AN25</f>
        <v>0</v>
      </c>
      <c r="AO79" s="352"/>
      <c r="AP79" s="353">
        <f>SUM(AP53:AP60)*AP25</f>
        <v>0</v>
      </c>
      <c r="AQ79" s="1"/>
      <c r="AR79" s="2829">
        <f>(AR30+AR32+AR34+AR36+AR38)*AR25</f>
        <v>50.931062072525492</v>
      </c>
      <c r="AS79" s="2721">
        <f>(AS30+AS32+AS34+AS36+AS38)*AS25</f>
        <v>53.704667337787136</v>
      </c>
      <c r="AT79" s="355"/>
      <c r="AU79" s="1363"/>
      <c r="AV79" s="1270"/>
      <c r="AW79" s="2829">
        <f>(AW30+AW32+AW34+AW36+AW38)*AW25</f>
        <v>55.391391465524265</v>
      </c>
      <c r="AX79" s="2721"/>
      <c r="AY79" s="2872">
        <f>(AY30+AY32+AY34+AY36+AY38)*AY25</f>
        <v>54.909710360197131</v>
      </c>
      <c r="AZ79" s="476">
        <f t="shared" si="56"/>
        <v>0.99130404395731897</v>
      </c>
      <c r="BA79" s="2829">
        <f>(BA30+BA32+BA34+BA36+BA38)*BA25</f>
        <v>53.217945389047848</v>
      </c>
      <c r="BB79" s="2721">
        <f>(BB30+BB32+BB34+BB36+BB38)*BB25</f>
        <v>0</v>
      </c>
      <c r="BC79" s="355"/>
      <c r="BD79" s="1363"/>
      <c r="BE79" s="1270"/>
      <c r="BF79" s="2829">
        <f>(BF30+BF32+BF34+BF36+BF38)*BF25</f>
        <v>56.377368979934531</v>
      </c>
      <c r="BG79" s="2721"/>
      <c r="BH79" s="2872">
        <f>(BH30+BH32+BH34+BH36+BH38)*BH25</f>
        <v>55.878574019023397</v>
      </c>
      <c r="BI79" s="1"/>
    </row>
    <row r="80" spans="1:63" x14ac:dyDescent="0.35">
      <c r="A80" s="9168"/>
      <c r="B80" s="6082"/>
      <c r="C80"/>
      <c r="D80" s="110" t="s">
        <v>979</v>
      </c>
      <c r="F80" s="349">
        <f>F62</f>
        <v>0</v>
      </c>
      <c r="G80" s="350"/>
      <c r="H80" s="351">
        <f>H62</f>
        <v>0</v>
      </c>
      <c r="I80" s="352">
        <f>I62</f>
        <v>0</v>
      </c>
      <c r="J80" s="246"/>
      <c r="K80" s="350"/>
      <c r="L80" s="351">
        <f>L62</f>
        <v>0</v>
      </c>
      <c r="M80" s="353">
        <f>M62</f>
        <v>0</v>
      </c>
      <c r="O80" s="351">
        <f>O62</f>
        <v>0</v>
      </c>
      <c r="P80" s="352">
        <f>P62</f>
        <v>0</v>
      </c>
      <c r="Q80" s="352"/>
      <c r="R80" s="246"/>
      <c r="T80" s="351">
        <f>T62</f>
        <v>0</v>
      </c>
      <c r="U80" s="352"/>
      <c r="V80" s="353">
        <f>V62</f>
        <v>0</v>
      </c>
      <c r="X80" s="351">
        <f>X62</f>
        <v>0</v>
      </c>
      <c r="Y80" s="352">
        <f>Y62</f>
        <v>0</v>
      </c>
      <c r="Z80" s="352"/>
      <c r="AA80" s="246"/>
      <c r="AC80" s="351">
        <f>AC62</f>
        <v>0</v>
      </c>
      <c r="AD80" s="352"/>
      <c r="AE80" s="353">
        <f>AE62</f>
        <v>0</v>
      </c>
      <c r="AI80" s="351">
        <f>AI62</f>
        <v>0</v>
      </c>
      <c r="AJ80" s="352">
        <f>AJ62</f>
        <v>0</v>
      </c>
      <c r="AK80" s="352"/>
      <c r="AL80" s="246"/>
      <c r="AM80" s="1"/>
      <c r="AN80" s="351">
        <f>AN62</f>
        <v>0</v>
      </c>
      <c r="AO80" s="352"/>
      <c r="AP80" s="353">
        <f>AP62</f>
        <v>0</v>
      </c>
      <c r="AQ80" s="1"/>
      <c r="AR80" s="2829">
        <f>AR62</f>
        <v>0</v>
      </c>
      <c r="AS80" s="2721">
        <f>AS62</f>
        <v>0</v>
      </c>
      <c r="AT80" s="355"/>
      <c r="AU80" s="1363"/>
      <c r="AV80" s="1270"/>
      <c r="AW80" s="2829">
        <f>AW62</f>
        <v>0</v>
      </c>
      <c r="AX80" s="2721"/>
      <c r="AY80" s="2872">
        <f>AY62</f>
        <v>0</v>
      </c>
      <c r="AZ80" s="476">
        <f t="shared" si="56"/>
        <v>0</v>
      </c>
      <c r="BA80" s="2829">
        <f>BA62</f>
        <v>0</v>
      </c>
      <c r="BB80" s="2721">
        <f>BB62</f>
        <v>0</v>
      </c>
      <c r="BC80" s="355"/>
      <c r="BD80" s="1363"/>
      <c r="BE80" s="1270"/>
      <c r="BF80" s="2829">
        <f>BF62</f>
        <v>0</v>
      </c>
      <c r="BG80" s="2721"/>
      <c r="BH80" s="2872">
        <f>BH62</f>
        <v>0</v>
      </c>
      <c r="BI80" s="1"/>
    </row>
    <row r="81" spans="1:63" x14ac:dyDescent="0.35">
      <c r="A81" s="9168"/>
      <c r="B81" s="6082"/>
      <c r="C81"/>
      <c r="D81" s="356" t="s">
        <v>992</v>
      </c>
      <c r="E81" s="143"/>
      <c r="F81" s="357">
        <f>SUM(F77:F80)</f>
        <v>0</v>
      </c>
      <c r="G81" s="358"/>
      <c r="H81" s="359">
        <f t="shared" ref="H81:I81" si="57">SUM(H77:H80)</f>
        <v>481983</v>
      </c>
      <c r="I81" s="360">
        <f t="shared" si="57"/>
        <v>464237</v>
      </c>
      <c r="J81" s="361"/>
      <c r="K81" s="358"/>
      <c r="L81" s="359">
        <f t="shared" ref="L81:M81" si="58">SUM(L77:L80)</f>
        <v>521058</v>
      </c>
      <c r="M81" s="362">
        <f t="shared" si="58"/>
        <v>506147</v>
      </c>
      <c r="N81" s="143"/>
      <c r="O81" s="359">
        <f t="shared" ref="O81:P81" si="59">SUM(O77:O80)</f>
        <v>521058</v>
      </c>
      <c r="P81" s="360">
        <f t="shared" si="59"/>
        <v>506149</v>
      </c>
      <c r="Q81" s="360"/>
      <c r="R81" s="361"/>
      <c r="S81" s="143"/>
      <c r="T81" s="359">
        <f t="shared" ref="T81:V81" si="60">SUM(T77:T80)</f>
        <v>527868</v>
      </c>
      <c r="U81" s="360"/>
      <c r="V81" s="362">
        <f t="shared" si="60"/>
        <v>513456.64598784898</v>
      </c>
      <c r="W81" s="143"/>
      <c r="X81" s="359">
        <f t="shared" ref="X81:Y81" si="61">SUM(X77:X80)</f>
        <v>527868</v>
      </c>
      <c r="Y81" s="360">
        <f t="shared" si="61"/>
        <v>513456.64598784898</v>
      </c>
      <c r="Z81" s="360"/>
      <c r="AA81" s="361"/>
      <c r="AB81" s="143"/>
      <c r="AC81" s="359">
        <f t="shared" ref="AC81" si="62">SUM(AC77:AC80)</f>
        <v>640715</v>
      </c>
      <c r="AD81" s="360"/>
      <c r="AE81" s="362">
        <f t="shared" ref="AE81" si="63">SUM(AE77:AE80)</f>
        <v>623469.31707061583</v>
      </c>
      <c r="AF81" s="143"/>
      <c r="AI81" s="359">
        <f t="shared" ref="AI81:AJ81" si="64">SUM(AI77:AI80)</f>
        <v>641324</v>
      </c>
      <c r="AJ81" s="360">
        <f t="shared" si="64"/>
        <v>0</v>
      </c>
      <c r="AK81" s="360"/>
      <c r="AL81" s="361"/>
      <c r="AM81" s="143"/>
      <c r="AN81" s="359">
        <f t="shared" ref="AN81" si="65">SUM(AN77:AN80)</f>
        <v>672974</v>
      </c>
      <c r="AO81" s="360"/>
      <c r="AP81" s="362">
        <f t="shared" ref="AP81" si="66">SUM(AP77:AP80)</f>
        <v>0</v>
      </c>
      <c r="AQ81" s="143"/>
      <c r="AR81" s="363">
        <f>SUM(AR77:AR80)</f>
        <v>701.33106207252547</v>
      </c>
      <c r="AS81" s="364">
        <f>SUM(AS77:AS80)</f>
        <v>668.90466733778715</v>
      </c>
      <c r="AT81" s="364"/>
      <c r="AU81" s="1447"/>
      <c r="AV81" s="1321"/>
      <c r="AW81" s="6335">
        <f>SUM(AW77:AW80)</f>
        <v>763.15739146552414</v>
      </c>
      <c r="AX81" s="6336"/>
      <c r="AY81" s="6337">
        <f>SUM(AY77:AY80)</f>
        <v>727.9993626224533</v>
      </c>
      <c r="AZ81" s="476">
        <f t="shared" si="56"/>
        <v>0.95393082837662702</v>
      </c>
      <c r="BA81" s="363">
        <f>SUM(BA77:BA80)</f>
        <v>760.98394538904768</v>
      </c>
      <c r="BB81" s="364">
        <f>SUM(BB77:BB80)</f>
        <v>0</v>
      </c>
      <c r="BC81" s="364"/>
      <c r="BD81" s="1447"/>
      <c r="BE81" s="1321"/>
      <c r="BF81" s="6335">
        <f>SUM(BF77:BF80)</f>
        <v>806.16176297993445</v>
      </c>
      <c r="BG81" s="6336"/>
      <c r="BH81" s="6337">
        <f>SUM(BH77:BH80)</f>
        <v>799.029301278915</v>
      </c>
      <c r="BI81" s="143"/>
    </row>
    <row r="82" spans="1:63" ht="15.5" x14ac:dyDescent="0.35">
      <c r="A82" s="9168"/>
      <c r="B82" s="6082"/>
      <c r="C82"/>
      <c r="D82" s="365" t="s">
        <v>993</v>
      </c>
      <c r="F82" s="559" t="e">
        <f>F81/(F16+F17)</f>
        <v>#DIV/0!</v>
      </c>
      <c r="G82" s="560"/>
      <c r="H82" s="561">
        <f>H81/(H16+H17)</f>
        <v>0.1601698125747707</v>
      </c>
      <c r="I82" s="562">
        <f>I81/(I16+I17)</f>
        <v>0.16045353370569043</v>
      </c>
      <c r="J82" s="563"/>
      <c r="K82" s="560"/>
      <c r="L82" s="561">
        <f>L81/(L16+L17)</f>
        <v>0.15742409136227681</v>
      </c>
      <c r="M82" s="563">
        <f>M81/(M16+M17)</f>
        <v>0.15506047287061328</v>
      </c>
      <c r="O82" s="561">
        <f>O81/(O16+O17)</f>
        <v>0.15742409136227681</v>
      </c>
      <c r="P82" s="562" t="e">
        <f>P81/(P16+P17)</f>
        <v>#DIV/0!</v>
      </c>
      <c r="Q82" s="562"/>
      <c r="R82" s="563"/>
      <c r="T82" s="561">
        <f>T81/(T16+T17)</f>
        <v>0.15052268385183495</v>
      </c>
      <c r="U82" s="562"/>
      <c r="V82" s="563" t="e">
        <f>V81/(V16+V17)</f>
        <v>#DIV/0!</v>
      </c>
      <c r="X82" s="561">
        <f>X81/(X16+X17)</f>
        <v>0.15052268385183495</v>
      </c>
      <c r="Y82" s="562">
        <f>Y81/(Y16+Y17)</f>
        <v>0.13316129722966077</v>
      </c>
      <c r="Z82" s="562"/>
      <c r="AA82" s="563"/>
      <c r="AC82" s="561">
        <f>AC81/(AC16+AC17)</f>
        <v>0.17571647971916737</v>
      </c>
      <c r="AD82" s="562"/>
      <c r="AE82" s="563">
        <f>AE81/(AE16+AE17)</f>
        <v>0.17139107597399891</v>
      </c>
      <c r="AI82" s="561">
        <f>AI81/(AI16+AI17)</f>
        <v>0.17588349834078382</v>
      </c>
      <c r="AJ82" s="562"/>
      <c r="AK82" s="562"/>
      <c r="AL82" s="563"/>
      <c r="AM82" s="1"/>
      <c r="AN82" s="561">
        <f>AN81/(AN16+AN17)</f>
        <v>0.19302280223720064</v>
      </c>
      <c r="AO82" s="562"/>
      <c r="AP82" s="563"/>
      <c r="AQ82" s="1"/>
      <c r="AR82" s="561">
        <f>AR81/(AR16+AR17)</f>
        <v>0.19292777895921145</v>
      </c>
      <c r="AS82" s="562">
        <f>AS81/(AS16+AS17)</f>
        <v>0.21312877723045631</v>
      </c>
      <c r="AT82" s="562"/>
      <c r="AU82" s="563"/>
      <c r="AV82" s="1"/>
      <c r="AW82" s="6338">
        <f>AW81/(AW16+AW17)</f>
        <v>0.19423705560334031</v>
      </c>
      <c r="AX82" s="6339"/>
      <c r="AY82" s="6340">
        <f>AY81/(AY16+AY17)</f>
        <v>0.19834333114168845</v>
      </c>
      <c r="AZ82" s="476">
        <f t="shared" si="56"/>
        <v>1.0211405363698147</v>
      </c>
      <c r="BA82" s="561">
        <f>BA81/(BA16+BA17)</f>
        <v>0.18887194296221183</v>
      </c>
      <c r="BB82" s="562">
        <f>BB81/(BB16+BB17)</f>
        <v>0</v>
      </c>
      <c r="BC82" s="562"/>
      <c r="BD82" s="563"/>
      <c r="BE82" s="1"/>
      <c r="BF82" s="6338">
        <f>BF81/(BF16+BF17)</f>
        <v>0.22804496703910337</v>
      </c>
      <c r="BG82" s="6339"/>
      <c r="BH82" s="6340">
        <f>BH81/(BH16+BH17)</f>
        <v>0.23983350380565344</v>
      </c>
      <c r="BI82" s="1"/>
    </row>
    <row r="83" spans="1:63" x14ac:dyDescent="0.35">
      <c r="A83" s="9168"/>
      <c r="B83" s="3186"/>
      <c r="C83" s="3187"/>
      <c r="D83" s="1741" t="s">
        <v>994</v>
      </c>
      <c r="E83" s="3188"/>
      <c r="F83" s="1713"/>
      <c r="G83" s="570"/>
      <c r="H83" s="566"/>
      <c r="I83" s="567"/>
      <c r="J83" s="569"/>
      <c r="K83" s="570"/>
      <c r="L83" s="566"/>
      <c r="M83" s="569"/>
      <c r="N83" s="570"/>
      <c r="O83" s="566">
        <f>O30+O32+O34+O36+O38</f>
        <v>437935</v>
      </c>
      <c r="P83" s="567"/>
      <c r="Q83" s="568"/>
      <c r="R83" s="569"/>
      <c r="S83" s="570"/>
      <c r="T83" s="571">
        <f>T30+T32+T34+T36+T38</f>
        <v>455670</v>
      </c>
      <c r="U83" s="568"/>
      <c r="V83" s="3190"/>
      <c r="X83" s="566">
        <f>X30+X32+X34+X36+X38</f>
        <v>455670</v>
      </c>
      <c r="Y83" s="567">
        <f>Y30+Y32+Y34+Y36+Y38</f>
        <v>446177.55113604077</v>
      </c>
      <c r="Z83" s="568"/>
      <c r="AA83" s="569"/>
      <c r="AB83" s="570"/>
      <c r="AC83" s="571">
        <f>AC30+AC32+AC34+AC36+AC38</f>
        <v>558505</v>
      </c>
      <c r="AD83" s="568"/>
      <c r="AE83" s="3190">
        <f>AE30+AE32+AE34+AE36+AE38</f>
        <v>546697.27287363191</v>
      </c>
      <c r="AI83" s="566">
        <f>AI30+AI32+AI34+AI36+AI38</f>
        <v>559114</v>
      </c>
      <c r="AJ83" s="567">
        <f>AJ30+AJ32+AJ34+AJ36+AJ38</f>
        <v>0</v>
      </c>
      <c r="AK83" s="568"/>
      <c r="AL83" s="569"/>
      <c r="AM83" s="570"/>
      <c r="AN83" s="571">
        <f>AN30+AN32+AN34+AN36+AN38</f>
        <v>597341</v>
      </c>
      <c r="AO83" s="568"/>
      <c r="AP83" s="3190">
        <f>AP30+AP32+AP34+AP36+AP38</f>
        <v>0</v>
      </c>
      <c r="AQ83" s="1"/>
      <c r="AR83" s="6341">
        <f>AR30+AR32+AR34+AR36+AR38+AR79</f>
        <v>635.33106207252547</v>
      </c>
      <c r="AS83" s="567">
        <f>AS30+AS32+AS34+AS36+AS38+AS79</f>
        <v>633.00466733778717</v>
      </c>
      <c r="AT83" s="6342"/>
      <c r="AU83" s="569"/>
      <c r="AV83" s="570"/>
      <c r="AW83" s="571">
        <f>AW30+AW32+AW34+AW36+AW38+AW79</f>
        <v>683.47039146552413</v>
      </c>
      <c r="AX83" s="568"/>
      <c r="AY83" s="3190">
        <f>AY30+AY32+AY34+AY36+AY38+AY79</f>
        <v>677.52696298486592</v>
      </c>
      <c r="AZ83" s="476">
        <f t="shared" si="56"/>
        <v>0.99130404395731897</v>
      </c>
      <c r="BA83" s="6341">
        <f>BA30+BA32+BA34+BA36+BA38+BA79</f>
        <v>681.29694538904766</v>
      </c>
      <c r="BB83" s="567">
        <f>BB30+BB32+BB34+BB36+BB38+BB79</f>
        <v>0</v>
      </c>
      <c r="BC83" s="6342"/>
      <c r="BD83" s="569"/>
      <c r="BE83" s="570"/>
      <c r="BF83" s="571">
        <f>BF30+BF32+BF34+BF36+BF38+BF79</f>
        <v>806.16176297993445</v>
      </c>
      <c r="BG83" s="568"/>
      <c r="BH83" s="3190">
        <f>BF83*AZ83</f>
        <v>799.15141572577068</v>
      </c>
      <c r="BI83" s="1"/>
    </row>
    <row r="84" spans="1:63" x14ac:dyDescent="0.35">
      <c r="A84" s="9168"/>
      <c r="B84" s="3193"/>
      <c r="C84" s="3194"/>
      <c r="D84" s="3195" t="s">
        <v>995</v>
      </c>
      <c r="E84" s="3196"/>
      <c r="F84" s="3197"/>
      <c r="G84" s="3196"/>
      <c r="H84" s="3198"/>
      <c r="I84" s="3199"/>
      <c r="J84" s="3200"/>
      <c r="K84" s="3196"/>
      <c r="L84" s="3198"/>
      <c r="M84" s="3200"/>
      <c r="N84" s="3196"/>
      <c r="O84" s="3198">
        <f>(O81-O83)/(O17)</f>
        <v>7.2280869565217384E-2</v>
      </c>
      <c r="P84" s="3199"/>
      <c r="Q84" s="3201"/>
      <c r="R84" s="3200"/>
      <c r="S84" s="3196"/>
      <c r="T84" s="5351">
        <f>(T81-T83)/(T17)</f>
        <v>4.7318128195045224E-2</v>
      </c>
      <c r="U84" s="3201"/>
      <c r="V84" s="5352"/>
      <c r="X84" s="3198">
        <f>(X81-X83)/(X17)</f>
        <v>4.7318128195045224E-2</v>
      </c>
      <c r="Y84" s="3199">
        <f>(Y81-Y83)/(Y17)</f>
        <v>4.4420371617462179E-2</v>
      </c>
      <c r="Z84" s="3201"/>
      <c r="AA84" s="3200"/>
      <c r="AB84" s="3196"/>
      <c r="AC84" s="5351">
        <f>(AC81-AC83)/(AC17)</f>
        <v>5.1802142407057342E-2</v>
      </c>
      <c r="AD84" s="3201"/>
      <c r="AE84" s="5352">
        <f>(AE81-AE83)/(AE17)</f>
        <v>5.1698346260595232E-2</v>
      </c>
      <c r="AI84" s="3198"/>
      <c r="AJ84" s="3199"/>
      <c r="AK84" s="3201"/>
      <c r="AL84" s="3200"/>
      <c r="AM84" s="3196"/>
      <c r="AN84" s="5351"/>
      <c r="AO84" s="3201"/>
      <c r="AP84" s="5352"/>
      <c r="AQ84" s="1"/>
      <c r="AR84" s="3198">
        <f>(AR81-AR83)/AR17</f>
        <v>5.0362457077451357E-2</v>
      </c>
      <c r="AS84" s="3199">
        <f>(AS81-AS83)/AS17</f>
        <v>3.7666561745881837E-2</v>
      </c>
      <c r="AT84" s="6343"/>
      <c r="AU84" s="3200"/>
      <c r="AV84" s="3196"/>
      <c r="AW84" s="5351">
        <f>(AW81-AW83)/AW17</f>
        <v>5.3915426251691483E-2</v>
      </c>
      <c r="AX84" s="3201"/>
      <c r="AY84" s="5352">
        <f>(AY81-AY83)/AY17</f>
        <v>4.1920597705637365E-2</v>
      </c>
      <c r="AZ84" s="476">
        <f t="shared" si="56"/>
        <v>0.77752510960297183</v>
      </c>
      <c r="BA84" s="3198">
        <f>(BA81-BA83)/BA17</f>
        <v>5.3915426251691483E-2</v>
      </c>
      <c r="BB84" s="3199">
        <f>(BB81-BB83)/BB17</f>
        <v>0</v>
      </c>
      <c r="BC84" s="6343"/>
      <c r="BD84" s="3200"/>
      <c r="BE84" s="3196"/>
      <c r="BF84" s="5351">
        <f>(BF81-BF83)/BF17</f>
        <v>0</v>
      </c>
      <c r="BG84" s="3201"/>
      <c r="BH84" s="5352">
        <f>(BH81-BH83)/BH17</f>
        <v>-1.3102408460909426E-4</v>
      </c>
      <c r="BI84" s="1"/>
    </row>
    <row r="85" spans="1:63" x14ac:dyDescent="0.35">
      <c r="A85" s="9168"/>
      <c r="B85" s="3193"/>
      <c r="C85" s="3194"/>
      <c r="D85" s="3195" t="s">
        <v>996</v>
      </c>
      <c r="E85" s="3196"/>
      <c r="F85" s="3197"/>
      <c r="G85" s="3196"/>
      <c r="H85" s="3198"/>
      <c r="I85" s="3199"/>
      <c r="J85" s="3200"/>
      <c r="K85" s="3196"/>
      <c r="L85" s="3198"/>
      <c r="M85" s="3200"/>
      <c r="N85" s="3196"/>
      <c r="O85" s="3198">
        <f>O83/O16</f>
        <v>0.20275707208667068</v>
      </c>
      <c r="P85" s="3199"/>
      <c r="Q85" s="3201"/>
      <c r="R85" s="3200"/>
      <c r="S85" s="3196"/>
      <c r="T85" s="5351">
        <f>T83/T16</f>
        <v>0.23000858109131292</v>
      </c>
      <c r="U85" s="3201"/>
      <c r="V85" s="5352"/>
      <c r="X85" s="3198">
        <f>X83/X16</f>
        <v>0.23000858109131292</v>
      </c>
      <c r="Y85" s="3199">
        <f>Y83/Y16</f>
        <v>0.19056829587666713</v>
      </c>
      <c r="Z85" s="3201"/>
      <c r="AA85" s="3200"/>
      <c r="AB85" s="3196"/>
      <c r="AC85" s="5351">
        <f>AC83/AC16</f>
        <v>0.27121109114747732</v>
      </c>
      <c r="AD85" s="3201"/>
      <c r="AE85" s="5352">
        <f>AE83/AE16</f>
        <v>0.25395887623618335</v>
      </c>
      <c r="AI85" s="3198"/>
      <c r="AJ85" s="3199"/>
      <c r="AK85" s="3201"/>
      <c r="AL85" s="3200"/>
      <c r="AM85" s="3196"/>
      <c r="AN85" s="5351"/>
      <c r="AO85" s="3201"/>
      <c r="AP85" s="5352"/>
      <c r="AQ85" s="1"/>
      <c r="AR85" s="3198">
        <f>AR83/AR16</f>
        <v>0.27329593585087347</v>
      </c>
      <c r="AS85" s="3199">
        <f>AS83/AS16</f>
        <v>0.2896516277742231</v>
      </c>
      <c r="AT85" s="6343"/>
      <c r="AU85" s="3200"/>
      <c r="AV85" s="3196"/>
      <c r="AW85" s="5351">
        <f>AW83/AW16</f>
        <v>0.27885368888842271</v>
      </c>
      <c r="AX85" s="3201"/>
      <c r="AY85" s="5352">
        <f>AY83/AY16</f>
        <v>0.27470279070096737</v>
      </c>
      <c r="AZ85" s="476">
        <f t="shared" si="56"/>
        <v>0.98511442253462089</v>
      </c>
      <c r="BA85" s="3198">
        <f>BA83/BA16</f>
        <v>0.26706007031831275</v>
      </c>
      <c r="BB85" s="3199">
        <f>BB83/BB16</f>
        <v>0</v>
      </c>
      <c r="BC85" s="6343"/>
      <c r="BD85" s="3200"/>
      <c r="BE85" s="3196"/>
      <c r="BF85" s="5351">
        <f>BF83/BF16</f>
        <v>0.3556229930653908</v>
      </c>
      <c r="BG85" s="3201"/>
      <c r="BH85" s="5352">
        <f>BH83/BH16</f>
        <v>0.33303526242947606</v>
      </c>
      <c r="BI85" s="1"/>
    </row>
    <row r="86" spans="1:63" x14ac:dyDescent="0.35">
      <c r="A86" s="9168"/>
      <c r="B86" s="3193"/>
      <c r="C86" s="3194"/>
      <c r="D86" s="3202"/>
      <c r="E86" s="3196"/>
      <c r="F86" s="3197"/>
      <c r="G86" s="3196"/>
      <c r="H86" s="3198"/>
      <c r="I86" s="3199"/>
      <c r="J86" s="3200"/>
      <c r="K86" s="3196"/>
      <c r="L86" s="3198"/>
      <c r="M86" s="3200"/>
      <c r="N86" s="3196"/>
      <c r="O86" s="3198"/>
      <c r="P86" s="3199"/>
      <c r="Q86" s="3201"/>
      <c r="R86" s="3200"/>
      <c r="S86" s="3196"/>
      <c r="T86" s="5351"/>
      <c r="U86" s="3201"/>
      <c r="V86" s="5352"/>
      <c r="X86" s="3198"/>
      <c r="Y86" s="3199"/>
      <c r="Z86" s="3201"/>
      <c r="AA86" s="3200"/>
      <c r="AB86" s="3196"/>
      <c r="AC86" s="5351"/>
      <c r="AD86" s="3201"/>
      <c r="AE86" s="5352"/>
      <c r="AI86" s="3198"/>
      <c r="AJ86" s="3199"/>
      <c r="AK86" s="3201"/>
      <c r="AL86" s="3200"/>
      <c r="AM86" s="3196"/>
      <c r="AN86" s="5351"/>
      <c r="AO86" s="3201"/>
      <c r="AP86" s="5352"/>
      <c r="AQ86" s="1"/>
      <c r="AR86" s="3198"/>
      <c r="AS86" s="3199"/>
      <c r="AT86" s="3201"/>
      <c r="AU86" s="3200"/>
      <c r="AV86" s="3196"/>
      <c r="AW86" s="5351"/>
      <c r="AX86" s="3201"/>
      <c r="AY86" s="5352"/>
      <c r="AZ86" s="476">
        <f t="shared" si="56"/>
        <v>0</v>
      </c>
      <c r="BA86" s="3198"/>
      <c r="BB86" s="3199"/>
      <c r="BC86" s="3201"/>
      <c r="BD86" s="3200"/>
      <c r="BE86" s="3196"/>
      <c r="BF86" s="5351"/>
      <c r="BG86" s="3201"/>
      <c r="BH86" s="5352"/>
      <c r="BI86" s="1"/>
    </row>
    <row r="87" spans="1:63" s="462" customFormat="1" x14ac:dyDescent="0.35">
      <c r="A87" s="9168"/>
      <c r="B87" s="3193"/>
      <c r="C87" s="3194"/>
      <c r="D87" s="5353" t="s">
        <v>997</v>
      </c>
      <c r="E87" s="3196"/>
      <c r="F87" s="3197"/>
      <c r="G87" s="3196"/>
      <c r="H87" s="3198">
        <f>H81/H12</f>
        <v>0.17831409544950055</v>
      </c>
      <c r="I87" s="3199"/>
      <c r="J87" s="3200"/>
      <c r="K87" s="3196"/>
      <c r="L87" s="3198">
        <f>L81/L12</f>
        <v>0.17239402173643326</v>
      </c>
      <c r="M87" s="3200"/>
      <c r="N87" s="3196"/>
      <c r="O87" s="3198">
        <f>O81/O12</f>
        <v>0.17239402173643326</v>
      </c>
      <c r="P87" s="3199"/>
      <c r="Q87" s="3201"/>
      <c r="R87" s="3200"/>
      <c r="S87" s="3196"/>
      <c r="T87" s="5351">
        <f>T81/T12</f>
        <v>0.1767513812154696</v>
      </c>
      <c r="U87" s="3201"/>
      <c r="V87" s="5352"/>
      <c r="W87" s="1"/>
      <c r="X87" s="3198">
        <f>X81/X12</f>
        <v>0.1767513812154696</v>
      </c>
      <c r="Y87" s="3199">
        <f>Y81/Y12</f>
        <v>0.18090288059325968</v>
      </c>
      <c r="Z87" s="3201"/>
      <c r="AA87" s="3200"/>
      <c r="AB87" s="3196"/>
      <c r="AC87" s="5351">
        <f>AC81/AC12</f>
        <v>0.20383514141189196</v>
      </c>
      <c r="AD87" s="3201"/>
      <c r="AE87" s="5352">
        <f>AE81/AE12</f>
        <v>0.20394142065049092</v>
      </c>
      <c r="AF87" s="1"/>
      <c r="AG87"/>
      <c r="AH87"/>
      <c r="AI87" s="3198">
        <f>AI81/AI12</f>
        <v>0.20402888683867274</v>
      </c>
      <c r="AJ87" s="3199">
        <f>AJ81/AJ12</f>
        <v>0</v>
      </c>
      <c r="AK87" s="3201"/>
      <c r="AL87" s="3200"/>
      <c r="AM87" s="3196"/>
      <c r="AN87" s="5351">
        <f>AN81/AN12</f>
        <v>0.21196031496062992</v>
      </c>
      <c r="AO87" s="3201"/>
      <c r="AP87" s="5352">
        <f>AP81/AP12</f>
        <v>0</v>
      </c>
      <c r="AQ87" s="1"/>
      <c r="AR87" s="3198">
        <f>AR81/AR12</f>
        <v>0.2208916730937088</v>
      </c>
      <c r="AS87" s="3199">
        <f>AS81/AS12</f>
        <v>0.19366648349338056</v>
      </c>
      <c r="AT87" s="3201"/>
      <c r="AU87" s="3200"/>
      <c r="AV87" s="3196"/>
      <c r="AW87" s="5351">
        <f>AW81/AW12</f>
        <v>0.20868400094764128</v>
      </c>
      <c r="AX87" s="3201"/>
      <c r="AY87" s="5352">
        <f>AY81/AY12</f>
        <v>0.22379781201247695</v>
      </c>
      <c r="AZ87" s="476">
        <f t="shared" si="56"/>
        <v>1.0724243880518072</v>
      </c>
      <c r="BA87" s="3198">
        <f>BA81/BA12</f>
        <v>0.19786374035076643</v>
      </c>
      <c r="BB87" s="3199">
        <f>BB81/BB12</f>
        <v>0</v>
      </c>
      <c r="BC87" s="3201"/>
      <c r="BD87" s="3200"/>
      <c r="BE87" s="3196"/>
      <c r="BF87" s="5351">
        <f>BF81/BF12</f>
        <v>0.28301273055289961</v>
      </c>
      <c r="BG87" s="3201"/>
      <c r="BH87" s="5352">
        <f>BH81/BH12</f>
        <v>0.25820671978938614</v>
      </c>
      <c r="BI87" s="1"/>
      <c r="BJ87"/>
      <c r="BK87"/>
    </row>
    <row r="88" spans="1:63" s="462" customFormat="1" x14ac:dyDescent="0.35">
      <c r="A88" s="9168"/>
      <c r="B88" s="1739"/>
      <c r="C88" s="1740"/>
      <c r="D88" s="1741" t="s">
        <v>998</v>
      </c>
      <c r="E88" s="1742"/>
      <c r="F88" s="2966"/>
      <c r="G88" s="1742"/>
      <c r="H88" s="572">
        <f>H81-SUM(H64:H75)</f>
        <v>469935.30900000001</v>
      </c>
      <c r="I88" s="1993"/>
      <c r="J88" s="247"/>
      <c r="K88" s="1742"/>
      <c r="L88" s="572">
        <f>L81-SUM(L64:L75)</f>
        <v>503315.17391304346</v>
      </c>
      <c r="M88" s="247"/>
      <c r="N88" s="1742"/>
      <c r="O88" s="572">
        <f>O81-SUM(O64:O68)</f>
        <v>503315.17391304346</v>
      </c>
      <c r="P88" s="1993"/>
      <c r="Q88" s="254"/>
      <c r="R88" s="247"/>
      <c r="S88" s="1742"/>
      <c r="T88" s="1994">
        <f>T81-SUM(T64:T68)</f>
        <v>527868</v>
      </c>
      <c r="U88" s="254"/>
      <c r="V88" s="3203"/>
      <c r="W88" s="1"/>
      <c r="X88" s="572">
        <f>X81-SUM(X64:X68)</f>
        <v>527868</v>
      </c>
      <c r="Y88" s="1993">
        <f>Y81-SUM(Y64:Y68)</f>
        <v>513456.64598784898</v>
      </c>
      <c r="Z88" s="254"/>
      <c r="AA88" s="247"/>
      <c r="AB88" s="1742"/>
      <c r="AC88" s="1994">
        <f>AC81-SUM(AC64:AC68)</f>
        <v>640715</v>
      </c>
      <c r="AD88" s="254"/>
      <c r="AE88" s="3203">
        <f>AE81-SUM(AE64:AE68)</f>
        <v>623469.31707061583</v>
      </c>
      <c r="AF88" s="1"/>
      <c r="AG88"/>
      <c r="AH88"/>
      <c r="AI88" s="572">
        <f>AI81-SUM(AI64:AI68)</f>
        <v>641324</v>
      </c>
      <c r="AJ88" s="1993">
        <f>AJ81-SUM(AJ64:AJ68)</f>
        <v>0</v>
      </c>
      <c r="AK88" s="254"/>
      <c r="AL88" s="247"/>
      <c r="AM88" s="1742"/>
      <c r="AN88" s="1994">
        <f>AN81-SUM(AN64:AN68)</f>
        <v>672974</v>
      </c>
      <c r="AO88" s="254"/>
      <c r="AP88" s="3203">
        <f>AP81-SUM(AP64:AP68)</f>
        <v>0</v>
      </c>
      <c r="AQ88" s="1"/>
      <c r="AR88" s="6344"/>
      <c r="AS88" s="6345"/>
      <c r="AT88" s="253"/>
      <c r="AU88" s="247"/>
      <c r="AV88" s="1742"/>
      <c r="AW88" s="1994"/>
      <c r="AX88" s="254"/>
      <c r="AY88" s="3203"/>
      <c r="AZ88" s="476">
        <f t="shared" si="56"/>
        <v>0</v>
      </c>
      <c r="BA88" s="6344"/>
      <c r="BB88" s="6345"/>
      <c r="BC88" s="253"/>
      <c r="BD88" s="247"/>
      <c r="BE88" s="1742"/>
      <c r="BF88" s="1994"/>
      <c r="BG88" s="254"/>
      <c r="BH88" s="3203"/>
      <c r="BI88" s="1"/>
      <c r="BJ88"/>
      <c r="BK88"/>
    </row>
    <row r="89" spans="1:63" s="462" customFormat="1" ht="12" customHeight="1" x14ac:dyDescent="0.35">
      <c r="A89" s="9168"/>
      <c r="B89" s="3193"/>
      <c r="C89" s="3194"/>
      <c r="D89" s="5353" t="s">
        <v>999</v>
      </c>
      <c r="E89" s="3196"/>
      <c r="F89" s="3197"/>
      <c r="G89" s="3196"/>
      <c r="H89" s="3198">
        <f>H88/H12</f>
        <v>0.17385694006659269</v>
      </c>
      <c r="I89" s="3199"/>
      <c r="J89" s="3200"/>
      <c r="K89" s="3196"/>
      <c r="L89" s="3198">
        <f>L88/L12</f>
        <v>0.16652374022055491</v>
      </c>
      <c r="M89" s="3200"/>
      <c r="N89" s="3196"/>
      <c r="O89" s="3198">
        <f>O88/O12</f>
        <v>0.16652374022055491</v>
      </c>
      <c r="P89" s="3199"/>
      <c r="Q89" s="3201"/>
      <c r="R89" s="3200"/>
      <c r="S89" s="3196"/>
      <c r="T89" s="5351">
        <f>T88/T12</f>
        <v>0.1767513812154696</v>
      </c>
      <c r="U89" s="3201"/>
      <c r="V89" s="3202"/>
      <c r="W89" s="1"/>
      <c r="X89" s="3198">
        <f>X88/X12</f>
        <v>0.1767513812154696</v>
      </c>
      <c r="Y89" s="3199">
        <f>Y88/Y12</f>
        <v>0.18090288059325968</v>
      </c>
      <c r="Z89" s="3201"/>
      <c r="AA89" s="3200"/>
      <c r="AB89" s="3196"/>
      <c r="AC89" s="5351">
        <f>AC88/AC12</f>
        <v>0.20383514141189196</v>
      </c>
      <c r="AD89" s="3201"/>
      <c r="AE89" s="3202">
        <f>AE88/AE12</f>
        <v>0.20394142065049092</v>
      </c>
      <c r="AF89" s="1"/>
      <c r="AG89"/>
      <c r="AH89"/>
      <c r="AI89" s="3198">
        <f>AI88/AI12</f>
        <v>0.20402888683867274</v>
      </c>
      <c r="AJ89" s="3199">
        <f>AJ88/AJ12</f>
        <v>0</v>
      </c>
      <c r="AK89" s="3201"/>
      <c r="AL89" s="3200"/>
      <c r="AM89" s="3196"/>
      <c r="AN89" s="5351">
        <f>AN88/AN12</f>
        <v>0.21196031496062992</v>
      </c>
      <c r="AO89" s="3201"/>
      <c r="AP89" s="3202">
        <f>AP88/AP12</f>
        <v>0</v>
      </c>
      <c r="AQ89" s="1"/>
      <c r="AR89" s="6346"/>
      <c r="AS89" s="6347"/>
      <c r="AT89" s="6343"/>
      <c r="AU89" s="3200"/>
      <c r="AV89" s="3196"/>
      <c r="AW89" s="5351"/>
      <c r="AX89" s="3201"/>
      <c r="AY89" s="3202"/>
      <c r="AZ89" s="476">
        <f t="shared" si="56"/>
        <v>0</v>
      </c>
      <c r="BA89" s="6346"/>
      <c r="BB89" s="6347"/>
      <c r="BC89" s="6343"/>
      <c r="BD89" s="3200"/>
      <c r="BE89" s="3196"/>
      <c r="BF89" s="5351"/>
      <c r="BG89" s="3201"/>
      <c r="BH89" s="3202"/>
      <c r="BI89" s="1"/>
      <c r="BJ89"/>
      <c r="BK89"/>
    </row>
    <row r="90" spans="1:63" s="462" customFormat="1" x14ac:dyDescent="0.35">
      <c r="A90" s="9168"/>
      <c r="B90" s="3193"/>
      <c r="C90" s="3194"/>
      <c r="D90" s="3202"/>
      <c r="E90" s="3196"/>
      <c r="F90" s="3197"/>
      <c r="G90" s="3196"/>
      <c r="H90" s="3198"/>
      <c r="I90" s="3199"/>
      <c r="J90" s="3200"/>
      <c r="K90" s="3196"/>
      <c r="L90" s="3198"/>
      <c r="M90" s="3200"/>
      <c r="N90" s="3196"/>
      <c r="O90" s="3198"/>
      <c r="P90" s="3199"/>
      <c r="Q90" s="3201"/>
      <c r="R90" s="3200"/>
      <c r="S90" s="3196"/>
      <c r="T90" s="5354"/>
      <c r="U90" s="3201"/>
      <c r="V90" s="3202"/>
      <c r="W90" s="1"/>
      <c r="X90" s="3198"/>
      <c r="Y90" s="3199"/>
      <c r="Z90" s="3201"/>
      <c r="AA90" s="3200"/>
      <c r="AB90" s="3196"/>
      <c r="AC90" s="5354"/>
      <c r="AD90" s="3201"/>
      <c r="AE90" s="3202"/>
      <c r="AF90" s="1"/>
      <c r="AG90"/>
      <c r="AH90"/>
      <c r="AI90" s="3198"/>
      <c r="AJ90" s="3199"/>
      <c r="AK90" s="3201"/>
      <c r="AL90" s="3200"/>
      <c r="AM90" s="3196"/>
      <c r="AN90" s="5354"/>
      <c r="AO90" s="3201"/>
      <c r="AP90" s="3202"/>
      <c r="AQ90" s="1"/>
      <c r="AR90" s="3198"/>
      <c r="AS90" s="3199"/>
      <c r="AT90" s="3201"/>
      <c r="AU90" s="3200"/>
      <c r="AV90" s="3196"/>
      <c r="AW90" s="5354"/>
      <c r="AX90" s="3201"/>
      <c r="AY90" s="3202"/>
      <c r="AZ90" s="476">
        <f t="shared" si="56"/>
        <v>0</v>
      </c>
      <c r="BA90" s="3198"/>
      <c r="BB90" s="3199"/>
      <c r="BC90" s="3201"/>
      <c r="BD90" s="3200"/>
      <c r="BE90" s="3196"/>
      <c r="BF90" s="5354"/>
      <c r="BG90" s="3201"/>
      <c r="BH90" s="3202"/>
      <c r="BI90" s="1"/>
      <c r="BJ90"/>
      <c r="BK90"/>
    </row>
    <row r="91" spans="1:63" s="462" customFormat="1" x14ac:dyDescent="0.35">
      <c r="A91" s="9168"/>
      <c r="B91" s="3193"/>
      <c r="C91" s="3194"/>
      <c r="D91" s="3204" t="s">
        <v>1000</v>
      </c>
      <c r="E91" s="3205"/>
      <c r="F91" s="3206"/>
      <c r="G91" s="5355"/>
      <c r="H91" s="3207"/>
      <c r="I91" s="3208"/>
      <c r="J91" s="429"/>
      <c r="K91" s="5355"/>
      <c r="L91" s="3207"/>
      <c r="M91" s="429"/>
      <c r="N91" s="5355"/>
      <c r="O91" s="3207"/>
      <c r="P91" s="3208"/>
      <c r="Q91" s="5356"/>
      <c r="R91" s="429"/>
      <c r="S91" s="5355"/>
      <c r="T91" s="3209"/>
      <c r="U91" s="5356"/>
      <c r="V91" s="3210"/>
      <c r="W91" s="1"/>
      <c r="X91" s="3207"/>
      <c r="Y91" s="3208"/>
      <c r="Z91" s="5356"/>
      <c r="AA91" s="429"/>
      <c r="AB91" s="5355"/>
      <c r="AC91" s="3209"/>
      <c r="AD91" s="5356"/>
      <c r="AE91" s="3210"/>
      <c r="AF91" s="1"/>
      <c r="AG91"/>
      <c r="AH91"/>
      <c r="AI91" s="3207"/>
      <c r="AJ91" s="3208"/>
      <c r="AK91" s="5356"/>
      <c r="AL91" s="429"/>
      <c r="AM91" s="5355"/>
      <c r="AN91" s="3209"/>
      <c r="AO91" s="5356"/>
      <c r="AP91" s="3210"/>
      <c r="AQ91" s="1"/>
      <c r="AR91" s="3207"/>
      <c r="AS91" s="3208"/>
      <c r="AT91" s="5356"/>
      <c r="AU91" s="429"/>
      <c r="AV91" s="5355"/>
      <c r="AW91" s="3209"/>
      <c r="AX91" s="5356"/>
      <c r="AY91" s="3210"/>
      <c r="AZ91" s="476">
        <f t="shared" si="56"/>
        <v>0</v>
      </c>
      <c r="BA91" s="3207"/>
      <c r="BB91" s="3208"/>
      <c r="BC91" s="5356"/>
      <c r="BD91" s="429"/>
      <c r="BE91" s="5355"/>
      <c r="BF91" s="3209"/>
      <c r="BG91" s="5356"/>
      <c r="BH91" s="3210"/>
      <c r="BI91" s="1"/>
      <c r="BJ91"/>
      <c r="BK91"/>
    </row>
    <row r="92" spans="1:63" s="462" customFormat="1" x14ac:dyDescent="0.35">
      <c r="A92" s="9169"/>
      <c r="B92" s="3212"/>
      <c r="C92" s="3213"/>
      <c r="D92" s="3204" t="s">
        <v>1001</v>
      </c>
      <c r="E92" s="3214"/>
      <c r="F92" s="434"/>
      <c r="G92" s="5357"/>
      <c r="H92" s="436"/>
      <c r="I92" s="437"/>
      <c r="J92" s="573"/>
      <c r="K92" s="5357"/>
      <c r="L92" s="436"/>
      <c r="M92" s="574"/>
      <c r="N92" s="5357"/>
      <c r="O92" s="436"/>
      <c r="P92" s="437"/>
      <c r="Q92" s="575"/>
      <c r="R92" s="573"/>
      <c r="S92" s="5357"/>
      <c r="T92" s="3215"/>
      <c r="U92" s="575"/>
      <c r="V92" s="3216"/>
      <c r="W92" s="1"/>
      <c r="X92" s="436"/>
      <c r="Y92" s="437"/>
      <c r="Z92" s="575"/>
      <c r="AA92" s="573"/>
      <c r="AB92" s="5357"/>
      <c r="AC92" s="3215"/>
      <c r="AD92" s="575"/>
      <c r="AE92" s="3216"/>
      <c r="AF92" s="1"/>
      <c r="AG92"/>
      <c r="AH92"/>
      <c r="AI92" s="436"/>
      <c r="AJ92" s="437"/>
      <c r="AK92" s="575"/>
      <c r="AL92" s="573"/>
      <c r="AM92" s="5357"/>
      <c r="AN92" s="3215"/>
      <c r="AO92" s="575"/>
      <c r="AP92" s="3216"/>
      <c r="AQ92" s="1"/>
      <c r="AR92" s="436"/>
      <c r="AS92" s="437"/>
      <c r="AT92" s="575"/>
      <c r="AU92" s="573"/>
      <c r="AV92" s="5357"/>
      <c r="AW92" s="3215"/>
      <c r="AX92" s="575"/>
      <c r="AY92" s="3216"/>
      <c r="AZ92" s="476">
        <f t="shared" si="56"/>
        <v>0</v>
      </c>
      <c r="BA92" s="436"/>
      <c r="BB92" s="437"/>
      <c r="BC92" s="575"/>
      <c r="BD92" s="573"/>
      <c r="BE92" s="5357"/>
      <c r="BF92" s="3215"/>
      <c r="BG92" s="575"/>
      <c r="BH92" s="3216"/>
      <c r="BI92" s="1"/>
      <c r="BJ92"/>
      <c r="BK92"/>
    </row>
    <row r="93" spans="1:63" s="462" customFormat="1" ht="12" x14ac:dyDescent="0.3">
      <c r="C93" s="456"/>
      <c r="D93" s="5"/>
      <c r="E93" s="456"/>
      <c r="F93" s="456"/>
      <c r="G93" s="456"/>
      <c r="H93" s="459"/>
      <c r="I93" s="459"/>
      <c r="J93" s="7"/>
      <c r="K93" s="456"/>
      <c r="N93" s="456"/>
      <c r="S93" s="456"/>
      <c r="W93" s="456"/>
      <c r="AB93" s="456"/>
      <c r="AF93" s="456"/>
    </row>
    <row r="94" spans="1:63" s="462" customFormat="1" ht="12" x14ac:dyDescent="0.3">
      <c r="A94" s="576" t="s">
        <v>582</v>
      </c>
      <c r="B94" s="576"/>
      <c r="C94" s="456"/>
      <c r="D94" s="5"/>
      <c r="E94" s="456"/>
      <c r="F94" s="456"/>
      <c r="G94" s="456"/>
      <c r="H94" s="459"/>
      <c r="I94" s="459"/>
      <c r="J94" s="7"/>
      <c r="K94" s="456"/>
      <c r="N94" s="456"/>
      <c r="S94" s="456"/>
      <c r="W94" s="456"/>
      <c r="AB94" s="456"/>
      <c r="AF94" s="456"/>
    </row>
    <row r="95" spans="1:63" s="462" customFormat="1" ht="12" x14ac:dyDescent="0.3">
      <c r="A95" s="463">
        <v>1</v>
      </c>
      <c r="B95" s="464"/>
      <c r="D95" s="465"/>
      <c r="E95" s="466"/>
      <c r="F95" s="466"/>
      <c r="G95" s="466"/>
      <c r="H95" s="466"/>
      <c r="I95" s="466"/>
      <c r="J95" s="467"/>
      <c r="K95" s="466"/>
      <c r="L95" s="466"/>
      <c r="M95" s="466"/>
      <c r="N95" s="456"/>
      <c r="O95" s="466"/>
      <c r="P95" s="466"/>
      <c r="Q95" s="466"/>
      <c r="R95" s="466"/>
      <c r="S95" s="456"/>
      <c r="T95" s="466"/>
      <c r="U95" s="466"/>
      <c r="V95" s="466"/>
      <c r="W95" s="456"/>
      <c r="X95" s="466"/>
      <c r="Y95" s="466"/>
      <c r="Z95" s="466"/>
      <c r="AA95" s="466"/>
      <c r="AB95" s="456"/>
      <c r="AC95" s="466"/>
      <c r="AD95" s="466"/>
      <c r="AE95" s="466"/>
      <c r="AF95" s="456"/>
      <c r="AG95" s="577"/>
    </row>
    <row r="96" spans="1:63" s="462" customFormat="1" ht="12" x14ac:dyDescent="0.3">
      <c r="A96" s="468">
        <v>2</v>
      </c>
      <c r="B96" s="469"/>
      <c r="D96" s="5"/>
      <c r="E96" s="456"/>
      <c r="F96" s="456"/>
      <c r="G96" s="456"/>
      <c r="H96" s="459"/>
      <c r="I96" s="459"/>
      <c r="J96" s="7"/>
      <c r="K96" s="456"/>
      <c r="N96" s="456"/>
      <c r="S96" s="456"/>
      <c r="W96" s="456"/>
      <c r="AB96" s="456"/>
      <c r="AF96" s="456"/>
      <c r="AG96" s="577"/>
    </row>
    <row r="97" spans="1:63" s="462" customFormat="1" ht="12" x14ac:dyDescent="0.3">
      <c r="A97" s="468"/>
      <c r="B97" s="469"/>
      <c r="D97" s="5"/>
      <c r="E97" s="456"/>
      <c r="F97" s="456"/>
      <c r="G97" s="456"/>
      <c r="H97" s="459"/>
      <c r="I97" s="459"/>
      <c r="J97" s="7"/>
      <c r="K97" s="456"/>
      <c r="N97" s="456"/>
      <c r="S97" s="456"/>
      <c r="W97" s="456"/>
      <c r="AB97" s="456"/>
      <c r="AF97" s="456"/>
      <c r="AG97" s="577"/>
    </row>
    <row r="98" spans="1:63" s="462" customFormat="1" ht="12" x14ac:dyDescent="0.3">
      <c r="A98" s="468"/>
      <c r="B98" s="469"/>
      <c r="D98" s="5"/>
      <c r="E98" s="456"/>
      <c r="F98" s="456"/>
      <c r="G98" s="456"/>
      <c r="H98" s="459"/>
      <c r="I98" s="459"/>
      <c r="J98" s="7"/>
      <c r="K98" s="456"/>
      <c r="N98" s="456"/>
      <c r="S98" s="456"/>
      <c r="W98" s="456"/>
      <c r="AB98" s="456"/>
      <c r="AF98" s="456"/>
      <c r="AG98" s="577"/>
    </row>
    <row r="99" spans="1:63" s="462" customFormat="1" ht="12" x14ac:dyDescent="0.3">
      <c r="A99" s="468"/>
      <c r="B99" s="469"/>
      <c r="D99" s="5"/>
      <c r="E99" s="456"/>
      <c r="F99" s="456"/>
      <c r="G99" s="456"/>
      <c r="H99" s="459"/>
      <c r="I99" s="459"/>
      <c r="J99" s="7"/>
      <c r="K99" s="456"/>
      <c r="N99" s="456"/>
      <c r="S99" s="456"/>
      <c r="W99" s="456"/>
      <c r="AB99" s="456"/>
      <c r="AF99" s="456"/>
      <c r="AG99" s="577"/>
    </row>
    <row r="100" spans="1:63" s="462" customFormat="1" ht="12" x14ac:dyDescent="0.3">
      <c r="A100" s="468"/>
      <c r="B100" s="469"/>
      <c r="D100" s="5"/>
      <c r="E100" s="456"/>
      <c r="F100" s="456"/>
      <c r="G100" s="456"/>
      <c r="H100" s="459"/>
      <c r="I100" s="459"/>
      <c r="J100" s="7"/>
      <c r="K100" s="456"/>
      <c r="N100" s="456"/>
      <c r="S100" s="456"/>
      <c r="W100" s="456"/>
      <c r="AB100" s="456"/>
      <c r="AF100" s="456"/>
      <c r="AG100" s="577"/>
    </row>
    <row r="101" spans="1:63" s="462" customFormat="1" ht="12" x14ac:dyDescent="0.3">
      <c r="A101" s="468"/>
      <c r="B101" s="469"/>
      <c r="D101" s="5"/>
      <c r="E101" s="456"/>
      <c r="F101" s="456"/>
      <c r="G101" s="456"/>
      <c r="H101" s="459"/>
      <c r="I101" s="459"/>
      <c r="J101" s="7"/>
      <c r="K101" s="456"/>
      <c r="N101" s="456"/>
      <c r="S101" s="456"/>
      <c r="W101" s="456"/>
      <c r="AB101" s="456"/>
      <c r="AF101" s="456"/>
      <c r="AG101" s="577"/>
    </row>
    <row r="102" spans="1:63" s="462" customFormat="1" ht="12" x14ac:dyDescent="0.3">
      <c r="A102" s="468"/>
      <c r="B102" s="469"/>
      <c r="D102" s="5"/>
      <c r="E102" s="456"/>
      <c r="F102" s="456"/>
      <c r="G102" s="456"/>
      <c r="H102" s="459"/>
      <c r="I102" s="459"/>
      <c r="J102" s="7"/>
      <c r="K102" s="456"/>
      <c r="N102" s="456"/>
      <c r="S102" s="456"/>
      <c r="W102" s="456"/>
      <c r="AB102" s="456"/>
      <c r="AF102" s="456"/>
      <c r="AG102" s="577"/>
    </row>
    <row r="103" spans="1:63" s="462" customFormat="1" ht="12" x14ac:dyDescent="0.3">
      <c r="A103" s="468"/>
      <c r="B103" s="469"/>
      <c r="D103" s="5"/>
      <c r="E103" s="456"/>
      <c r="F103" s="456"/>
      <c r="G103" s="456"/>
      <c r="H103" s="459"/>
      <c r="I103" s="459"/>
      <c r="J103" s="7"/>
      <c r="K103" s="456"/>
      <c r="N103" s="456"/>
      <c r="S103" s="456"/>
      <c r="W103" s="456"/>
      <c r="AB103" s="456"/>
      <c r="AF103" s="456"/>
      <c r="AG103" s="577"/>
    </row>
    <row r="104" spans="1:63" s="462" customFormat="1" ht="93" customHeight="1" x14ac:dyDescent="0.3">
      <c r="A104" s="468"/>
      <c r="B104" s="469"/>
      <c r="D104" s="5"/>
      <c r="E104" s="456"/>
      <c r="F104" s="456"/>
      <c r="G104" s="456"/>
      <c r="H104" s="459"/>
      <c r="I104" s="459"/>
      <c r="J104" s="7"/>
      <c r="K104" s="456"/>
      <c r="N104" s="456"/>
      <c r="S104" s="456"/>
      <c r="W104" s="456"/>
      <c r="AB104" s="456"/>
      <c r="AF104" s="456"/>
      <c r="AG104" s="577"/>
    </row>
    <row r="105" spans="1:63" x14ac:dyDescent="0.35">
      <c r="A105" s="468"/>
      <c r="B105" s="469"/>
      <c r="C105" s="462"/>
      <c r="E105" s="456"/>
      <c r="F105" s="456"/>
      <c r="G105" s="456"/>
      <c r="H105" s="459"/>
      <c r="I105" s="459"/>
      <c r="K105" s="456"/>
      <c r="L105" s="462"/>
      <c r="M105" s="462"/>
      <c r="N105" s="456"/>
      <c r="O105" s="462"/>
      <c r="P105" s="462"/>
      <c r="Q105" s="462"/>
      <c r="R105" s="462"/>
      <c r="S105" s="456"/>
      <c r="T105" s="462"/>
      <c r="U105" s="462"/>
      <c r="V105" s="462"/>
      <c r="W105" s="456"/>
      <c r="X105" s="462"/>
      <c r="Y105" s="462"/>
      <c r="Z105" s="462"/>
      <c r="AA105" s="462"/>
      <c r="AB105" s="456"/>
      <c r="AC105" s="462"/>
      <c r="AD105" s="462"/>
      <c r="AE105" s="462"/>
      <c r="AF105" s="456"/>
      <c r="AG105" s="577"/>
      <c r="AH105" s="462"/>
      <c r="AI105" s="462"/>
      <c r="AJ105" s="462"/>
      <c r="AK105" s="462"/>
      <c r="AL105" s="462"/>
      <c r="AM105" s="462"/>
      <c r="AN105" s="462"/>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c r="BK105" s="462"/>
    </row>
    <row r="106" spans="1:63" x14ac:dyDescent="0.35">
      <c r="A106" s="468"/>
      <c r="B106" s="469"/>
      <c r="C106" s="462"/>
      <c r="E106" s="456"/>
      <c r="F106" s="456"/>
      <c r="G106" s="456"/>
      <c r="H106" s="459"/>
      <c r="I106" s="459"/>
      <c r="K106" s="456"/>
      <c r="L106" s="462"/>
      <c r="M106" s="462"/>
      <c r="N106" s="456"/>
      <c r="O106" s="462"/>
      <c r="P106" s="462"/>
      <c r="Q106" s="462"/>
      <c r="R106" s="462"/>
      <c r="S106" s="456"/>
      <c r="T106" s="462"/>
      <c r="U106" s="462"/>
      <c r="V106" s="462"/>
      <c r="W106" s="456"/>
      <c r="X106" s="462"/>
      <c r="Y106" s="462"/>
      <c r="Z106" s="462"/>
      <c r="AA106" s="462"/>
      <c r="AB106" s="456"/>
      <c r="AC106" s="462"/>
      <c r="AD106" s="462"/>
      <c r="AE106" s="462"/>
      <c r="AF106" s="456"/>
      <c r="AG106" s="577"/>
      <c r="AH106" s="462"/>
      <c r="AI106" s="462"/>
      <c r="AJ106" s="462"/>
      <c r="AK106" s="462"/>
      <c r="AL106" s="462"/>
      <c r="AM106" s="462"/>
      <c r="AN106" s="462"/>
      <c r="AO106" s="462"/>
      <c r="AP106" s="462"/>
      <c r="AQ106" s="462"/>
      <c r="AR106" s="462"/>
      <c r="AS106" s="462"/>
      <c r="AT106" s="462"/>
      <c r="AU106" s="462"/>
      <c r="AV106" s="462"/>
      <c r="AW106" s="462"/>
      <c r="AX106" s="462"/>
      <c r="AY106" s="462"/>
      <c r="AZ106" s="462"/>
      <c r="BA106" s="462"/>
      <c r="BB106" s="462"/>
      <c r="BC106" s="462"/>
      <c r="BD106" s="462"/>
      <c r="BE106" s="462"/>
      <c r="BF106" s="462"/>
      <c r="BG106" s="462"/>
      <c r="BH106" s="462"/>
      <c r="BI106" s="462"/>
      <c r="BJ106" s="462"/>
      <c r="BK106" s="462"/>
    </row>
    <row r="107" spans="1:63" x14ac:dyDescent="0.35">
      <c r="A107" s="468"/>
      <c r="B107" s="469"/>
      <c r="C107" s="462"/>
      <c r="E107" s="456"/>
      <c r="F107" s="456"/>
      <c r="G107" s="456"/>
      <c r="H107" s="459"/>
      <c r="I107" s="459"/>
      <c r="K107" s="456"/>
      <c r="L107" s="462"/>
      <c r="M107" s="462"/>
      <c r="N107" s="456"/>
      <c r="O107" s="462"/>
      <c r="P107" s="462"/>
      <c r="Q107" s="462"/>
      <c r="R107" s="462"/>
      <c r="S107" s="456"/>
      <c r="T107" s="462"/>
      <c r="U107" s="462"/>
      <c r="V107" s="462"/>
      <c r="W107" s="456"/>
      <c r="X107" s="462"/>
      <c r="Y107" s="462"/>
      <c r="Z107" s="462"/>
      <c r="AA107" s="462"/>
      <c r="AB107" s="456"/>
      <c r="AC107" s="462"/>
      <c r="AD107" s="462"/>
      <c r="AE107" s="462"/>
      <c r="AF107" s="456"/>
      <c r="AG107" s="577"/>
      <c r="AH107" s="462"/>
      <c r="AI107" s="462"/>
      <c r="AJ107" s="462"/>
      <c r="AK107" s="462"/>
      <c r="AL107" s="462"/>
      <c r="AM107" s="462"/>
      <c r="AN107" s="462"/>
      <c r="AO107" s="462"/>
      <c r="AP107" s="462"/>
      <c r="AQ107" s="462"/>
      <c r="AR107" s="462"/>
      <c r="AS107" s="462"/>
      <c r="AT107" s="462"/>
      <c r="AU107" s="462"/>
      <c r="AV107" s="462"/>
      <c r="AW107" s="462"/>
      <c r="AX107" s="462"/>
      <c r="AY107" s="462"/>
      <c r="AZ107" s="462"/>
      <c r="BA107" s="462"/>
      <c r="BB107" s="462"/>
      <c r="BC107" s="462"/>
      <c r="BD107" s="462"/>
      <c r="BE107" s="462"/>
      <c r="BF107" s="462"/>
      <c r="BG107" s="462"/>
      <c r="BH107" s="462"/>
      <c r="BI107" s="462"/>
      <c r="BJ107" s="462"/>
      <c r="BK107" s="462"/>
    </row>
    <row r="108" spans="1:63" x14ac:dyDescent="0.35">
      <c r="A108" s="468"/>
      <c r="B108" s="469"/>
      <c r="C108" s="462"/>
      <c r="E108" s="456"/>
      <c r="F108" s="456"/>
      <c r="G108" s="456"/>
      <c r="H108" s="459"/>
      <c r="I108" s="459"/>
      <c r="K108" s="456"/>
      <c r="L108" s="462"/>
      <c r="M108" s="462"/>
      <c r="N108" s="456"/>
      <c r="O108" s="462"/>
      <c r="P108" s="462"/>
      <c r="Q108" s="462"/>
      <c r="R108" s="462"/>
      <c r="S108" s="456"/>
      <c r="T108" s="462"/>
      <c r="U108" s="462"/>
      <c r="V108" s="462"/>
      <c r="W108" s="456"/>
      <c r="X108" s="462"/>
      <c r="Y108" s="462"/>
      <c r="Z108" s="462"/>
      <c r="AA108" s="462"/>
      <c r="AB108" s="456"/>
      <c r="AC108" s="462"/>
      <c r="AD108" s="462"/>
      <c r="AE108" s="462"/>
      <c r="AF108" s="456"/>
      <c r="AG108" s="577"/>
      <c r="AH108" s="462"/>
      <c r="AI108" s="462"/>
      <c r="AJ108" s="462"/>
      <c r="AK108" s="462"/>
      <c r="AL108" s="462"/>
      <c r="AM108" s="462"/>
      <c r="AN108" s="462"/>
      <c r="AO108" s="462"/>
      <c r="AP108" s="462"/>
      <c r="AQ108" s="462"/>
      <c r="AR108" s="462"/>
      <c r="AS108" s="462"/>
      <c r="AT108" s="462"/>
      <c r="AU108" s="462"/>
      <c r="AV108" s="462"/>
      <c r="AW108" s="462"/>
      <c r="AX108" s="462"/>
      <c r="AY108" s="462"/>
      <c r="AZ108" s="462"/>
      <c r="BA108" s="462"/>
      <c r="BB108" s="462"/>
      <c r="BC108" s="462"/>
      <c r="BD108" s="462"/>
      <c r="BE108" s="462"/>
      <c r="BF108" s="462"/>
      <c r="BG108" s="462"/>
      <c r="BH108" s="462"/>
      <c r="BI108" s="462"/>
      <c r="BJ108" s="462"/>
      <c r="BK108" s="462"/>
    </row>
    <row r="109" spans="1:63" x14ac:dyDescent="0.35">
      <c r="A109" s="455" t="s">
        <v>1002</v>
      </c>
      <c r="B109" s="455"/>
      <c r="C109" s="456"/>
      <c r="E109" s="456"/>
      <c r="F109" s="456"/>
      <c r="G109" s="456"/>
      <c r="H109" s="459"/>
      <c r="I109" s="459"/>
      <c r="K109" s="456"/>
      <c r="L109" s="462"/>
      <c r="M109" s="462"/>
      <c r="N109" s="456"/>
      <c r="O109" s="462"/>
      <c r="P109" s="462"/>
      <c r="Q109" s="462"/>
      <c r="R109" s="462"/>
      <c r="S109" s="456"/>
      <c r="T109" s="462"/>
      <c r="U109" s="462"/>
      <c r="V109" s="462"/>
      <c r="W109" s="456"/>
      <c r="X109" s="462"/>
      <c r="Y109" s="462"/>
      <c r="Z109" s="462"/>
      <c r="AA109" s="462"/>
      <c r="AB109" s="456"/>
      <c r="AC109" s="462"/>
      <c r="AD109" s="462"/>
      <c r="AE109" s="462"/>
      <c r="AF109" s="456"/>
      <c r="AG109" s="577"/>
      <c r="AH109" s="462"/>
      <c r="AI109" s="462"/>
      <c r="AJ109" s="462"/>
      <c r="AK109" s="462"/>
      <c r="AL109" s="462"/>
      <c r="AM109" s="462"/>
      <c r="AN109" s="462"/>
      <c r="AO109" s="462"/>
      <c r="AP109" s="462"/>
      <c r="AQ109" s="462"/>
      <c r="AR109" s="462"/>
      <c r="AS109" s="462"/>
      <c r="AT109" s="462"/>
      <c r="AU109" s="462"/>
      <c r="AV109" s="462"/>
      <c r="AW109" s="462"/>
      <c r="AX109" s="462"/>
      <c r="AY109" s="462"/>
      <c r="AZ109" s="462"/>
      <c r="BA109" s="462"/>
      <c r="BB109" s="462"/>
      <c r="BC109" s="462"/>
      <c r="BD109" s="462"/>
      <c r="BE109" s="462"/>
      <c r="BF109" s="462"/>
      <c r="BG109" s="462"/>
      <c r="BH109" s="462"/>
      <c r="BI109" s="462"/>
      <c r="BJ109" s="462"/>
      <c r="BK109" s="462"/>
    </row>
    <row r="110" spans="1:63" x14ac:dyDescent="0.35">
      <c r="A110" s="9170" t="s">
        <v>1748</v>
      </c>
      <c r="B110" s="9171"/>
      <c r="C110" s="9171"/>
      <c r="D110" s="9171"/>
      <c r="E110" s="9171"/>
      <c r="F110" s="9171"/>
      <c r="G110" s="9171"/>
      <c r="H110" s="9171"/>
      <c r="I110" s="9171"/>
      <c r="J110" s="9171"/>
      <c r="K110" s="9171"/>
      <c r="L110" s="9171"/>
      <c r="M110" s="9172"/>
      <c r="N110" s="456"/>
      <c r="O110" s="2978"/>
      <c r="P110" s="2978"/>
      <c r="Q110" s="2978"/>
      <c r="R110" s="2978"/>
      <c r="S110" s="456"/>
      <c r="T110" s="2978"/>
      <c r="U110" s="2978"/>
      <c r="V110" s="2978"/>
      <c r="W110" s="456"/>
      <c r="X110" s="2978"/>
      <c r="Y110" s="2978"/>
      <c r="Z110" s="2978"/>
      <c r="AA110" s="2978"/>
      <c r="AB110" s="456"/>
      <c r="AC110" s="2978"/>
      <c r="AD110" s="2978"/>
      <c r="AE110" s="2978"/>
      <c r="AF110" s="456"/>
      <c r="AG110" s="577"/>
      <c r="AH110" s="462"/>
      <c r="AI110" s="462"/>
      <c r="AJ110" s="462"/>
      <c r="AK110" s="462"/>
      <c r="AL110" s="462"/>
      <c r="AM110" s="462"/>
      <c r="AN110" s="462"/>
      <c r="AO110" s="462"/>
      <c r="AP110" s="462"/>
      <c r="AQ110" s="462"/>
      <c r="AR110" s="462"/>
      <c r="AS110" s="462"/>
      <c r="AT110" s="462"/>
      <c r="AU110" s="462"/>
      <c r="AV110" s="462"/>
      <c r="AW110" s="462"/>
      <c r="AX110" s="462"/>
      <c r="AY110" s="462"/>
      <c r="AZ110" s="462"/>
      <c r="BA110" s="462"/>
      <c r="BB110" s="462"/>
      <c r="BC110" s="462"/>
      <c r="BD110" s="462"/>
      <c r="BE110" s="462"/>
      <c r="BF110" s="462"/>
      <c r="BG110" s="462"/>
      <c r="BH110" s="462"/>
      <c r="BI110" s="462"/>
      <c r="BJ110" s="462"/>
      <c r="BK110" s="462"/>
    </row>
  </sheetData>
  <mergeCells count="51">
    <mergeCell ref="A110:M110"/>
    <mergeCell ref="BA1:BH1"/>
    <mergeCell ref="BA4:BD4"/>
    <mergeCell ref="BF4:BH4"/>
    <mergeCell ref="BA5:BD5"/>
    <mergeCell ref="BF5:BH5"/>
    <mergeCell ref="BA7:BD7"/>
    <mergeCell ref="BF7:BH7"/>
    <mergeCell ref="A28:A68"/>
    <mergeCell ref="X7:AA7"/>
    <mergeCell ref="AC7:AE7"/>
    <mergeCell ref="H7:I7"/>
    <mergeCell ref="J7:J8"/>
    <mergeCell ref="L7:M7"/>
    <mergeCell ref="O7:R7"/>
    <mergeCell ref="T7:V7"/>
    <mergeCell ref="BK4:BK5"/>
    <mergeCell ref="BJ4:BJ5"/>
    <mergeCell ref="AI4:AL4"/>
    <mergeCell ref="F1:M1"/>
    <mergeCell ref="O1:V1"/>
    <mergeCell ref="X1:AE1"/>
    <mergeCell ref="AI1:AP1"/>
    <mergeCell ref="H4:J4"/>
    <mergeCell ref="L4:M4"/>
    <mergeCell ref="O4:R4"/>
    <mergeCell ref="T4:V4"/>
    <mergeCell ref="X4:AA4"/>
    <mergeCell ref="AC4:AE4"/>
    <mergeCell ref="AN4:AP4"/>
    <mergeCell ref="A76:A92"/>
    <mergeCell ref="AR5:AU5"/>
    <mergeCell ref="AW5:AY5"/>
    <mergeCell ref="AN7:AP7"/>
    <mergeCell ref="A10:A26"/>
    <mergeCell ref="AI7:AL7"/>
    <mergeCell ref="H5:J5"/>
    <mergeCell ref="L5:M5"/>
    <mergeCell ref="O5:R5"/>
    <mergeCell ref="T5:V5"/>
    <mergeCell ref="X5:AA5"/>
    <mergeCell ref="AC5:AE5"/>
    <mergeCell ref="AI5:AL5"/>
    <mergeCell ref="AN5:AP5"/>
    <mergeCell ref="AG4:AG5"/>
    <mergeCell ref="AR7:AU7"/>
    <mergeCell ref="AW7:AY7"/>
    <mergeCell ref="AR28:AS28"/>
    <mergeCell ref="AR1:AY1"/>
    <mergeCell ref="AR4:AU4"/>
    <mergeCell ref="AW4:AY4"/>
  </mergeCells>
  <hyperlinks>
    <hyperlink ref="BK20" r:id="rId1" xr:uid="{024ECD8B-4200-45B6-8A9F-D02AC39601BD}"/>
    <hyperlink ref="AT10" r:id="rId2" xr:uid="{A20E8A1D-8710-4728-8744-99325EDA0FEA}"/>
    <hyperlink ref="AX10" r:id="rId3" xr:uid="{491B7AC1-E86F-47D7-A551-8CE426E2A90C}"/>
    <hyperlink ref="BJ20" r:id="rId4" xr:uid="{D124EAB4-6D5A-4289-9097-1C398EC138DD}"/>
    <hyperlink ref="AX28" r:id="rId5" xr:uid="{C8A8E174-6482-4D88-95DE-0BAA456581D4}"/>
    <hyperlink ref="BC10" r:id="rId6" xr:uid="{D2E0B1DE-1BF7-47CD-A9AA-364AFCCEDA29}"/>
    <hyperlink ref="BG10" r:id="rId7" location="223-223-top" xr:uid="{0914E4E0-BA73-4564-BDEB-6EA4002CEE0F}"/>
    <hyperlink ref="BD28" r:id="rId8" xr:uid="{0C1F73AB-5050-431A-A1AA-4330E74D5ECA}"/>
    <hyperlink ref="BG28" r:id="rId9" location="223-648-loi-de-finances-2020" xr:uid="{58227FE6-9453-451F-9B07-266F0F779169}"/>
  </hyperlinks>
  <pageMargins left="0.23622047244094491" right="0.23622047244094491" top="0.35433070866141736" bottom="0.35433070866141736" header="0.31496062992125984" footer="0.31496062992125984"/>
  <pageSetup paperSize="9" scale="47" orientation="portrait" horizontalDpi="4294967293" r:id="rId10"/>
  <headerFooter>
    <oddFooter>&amp;R&amp;1#&amp;"Calibri"&amp;12&amp;K000000Official Use</oddFooter>
  </headerFooter>
  <legacyDrawing r:id="rId1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BA12-B5B9-4751-931A-636721B349C0}">
  <sheetPr>
    <pageSetUpPr fitToPage="1"/>
  </sheetPr>
  <dimension ref="A1:X126"/>
  <sheetViews>
    <sheetView zoomScale="90" zoomScaleNormal="90" workbookViewId="0">
      <selection activeCell="H39" sqref="H39"/>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6" width="1.6328125" style="1" customWidth="1"/>
    <col min="7" max="9" width="21.6328125" customWidth="1"/>
    <col min="10" max="10" width="10.453125" customWidth="1"/>
    <col min="11" max="11" width="1.6328125" style="1" customWidth="1"/>
    <col min="12" max="12" width="22.36328125" customWidth="1"/>
    <col min="13" max="13" width="23.36328125" customWidth="1"/>
    <col min="14" max="14" width="21.453125" customWidth="1"/>
    <col min="15" max="16" width="1.6328125" style="1" customWidth="1"/>
    <col min="17" max="17" width="55" customWidth="1"/>
    <col min="21" max="21" width="10.81640625" customWidth="1"/>
    <col min="22" max="22" width="10.6328125" customWidth="1"/>
  </cols>
  <sheetData>
    <row r="1" spans="1:24" s="470" customFormat="1" ht="31" x14ac:dyDescent="0.7">
      <c r="B1" s="1"/>
      <c r="C1" s="1"/>
      <c r="F1" s="710"/>
      <c r="G1" s="9314" t="s">
        <v>827</v>
      </c>
      <c r="H1" s="9315"/>
      <c r="I1" s="9315"/>
      <c r="J1" s="9315"/>
      <c r="K1" s="9315"/>
      <c r="L1" s="9315"/>
      <c r="M1" s="9315"/>
      <c r="N1" s="9316"/>
      <c r="O1" s="710"/>
      <c r="P1" s="710"/>
      <c r="Q1" s="1537"/>
      <c r="X1" s="455"/>
    </row>
    <row r="2" spans="1:24" ht="21" x14ac:dyDescent="0.5">
      <c r="B2" s="1" t="s">
        <v>829</v>
      </c>
      <c r="C2" s="6087" t="s">
        <v>1749</v>
      </c>
      <c r="D2" s="6088"/>
      <c r="E2" s="1654"/>
      <c r="F2" s="1654"/>
    </row>
    <row r="4" spans="1:24" s="8" customFormat="1" ht="15.25" customHeight="1" x14ac:dyDescent="0.35">
      <c r="D4" s="471"/>
      <c r="G4" s="9198" t="s">
        <v>833</v>
      </c>
      <c r="H4" s="9199"/>
      <c r="I4" s="9199"/>
      <c r="J4" s="9200"/>
      <c r="L4" s="9198" t="s">
        <v>834</v>
      </c>
      <c r="M4" s="9199"/>
      <c r="N4" s="9200"/>
      <c r="Q4" s="9180" t="s">
        <v>404</v>
      </c>
    </row>
    <row r="5" spans="1:24" x14ac:dyDescent="0.35">
      <c r="B5" s="1" t="s">
        <v>835</v>
      </c>
      <c r="C5" s="11">
        <v>2008</v>
      </c>
      <c r="F5" s="12"/>
      <c r="G5" s="9201">
        <v>2018</v>
      </c>
      <c r="H5" s="9202"/>
      <c r="I5" s="9202"/>
      <c r="J5" s="9203"/>
      <c r="K5" s="12"/>
      <c r="L5" s="9201">
        <v>2019</v>
      </c>
      <c r="M5" s="9202"/>
      <c r="N5" s="9203"/>
      <c r="Q5" s="9181"/>
    </row>
    <row r="6" spans="1:24" x14ac:dyDescent="0.35">
      <c r="C6"/>
      <c r="Q6" s="6"/>
    </row>
    <row r="7" spans="1:24" ht="12.75" customHeight="1" x14ac:dyDescent="0.35">
      <c r="B7" s="1" t="s">
        <v>836</v>
      </c>
      <c r="C7" s="15" t="s">
        <v>837</v>
      </c>
      <c r="D7" s="5" t="s">
        <v>417</v>
      </c>
      <c r="G7" s="9204" t="s">
        <v>838</v>
      </c>
      <c r="H7" s="9205"/>
      <c r="I7" s="9205"/>
      <c r="J7" s="9206"/>
      <c r="L7" s="9204" t="s">
        <v>838</v>
      </c>
      <c r="M7" s="9205"/>
      <c r="N7" s="9206"/>
      <c r="Q7" s="18"/>
    </row>
    <row r="8" spans="1:24" x14ac:dyDescent="0.35">
      <c r="B8" s="1" t="s">
        <v>841</v>
      </c>
      <c r="C8" s="19" t="s">
        <v>842</v>
      </c>
      <c r="G8" s="6089" t="s">
        <v>424</v>
      </c>
      <c r="H8" s="6090" t="s">
        <v>845</v>
      </c>
      <c r="I8" s="6090" t="s">
        <v>846</v>
      </c>
      <c r="J8" s="6091"/>
      <c r="L8" s="6089" t="s">
        <v>424</v>
      </c>
      <c r="M8" s="6090" t="s">
        <v>846</v>
      </c>
      <c r="N8" s="6091" t="s">
        <v>847</v>
      </c>
      <c r="Q8" s="24"/>
    </row>
    <row r="9" spans="1:24" x14ac:dyDescent="0.35">
      <c r="C9"/>
      <c r="E9"/>
      <c r="F9"/>
      <c r="K9"/>
      <c r="O9"/>
      <c r="P9"/>
    </row>
    <row r="10" spans="1:24" ht="33.25" customHeight="1" x14ac:dyDescent="0.35">
      <c r="A10" s="9167" t="s">
        <v>854</v>
      </c>
      <c r="B10" s="27"/>
      <c r="C10" s="28" t="s">
        <v>427</v>
      </c>
      <c r="D10" s="29" t="s">
        <v>428</v>
      </c>
      <c r="E10" s="30"/>
      <c r="F10" s="33"/>
      <c r="G10" s="9155" t="s">
        <v>1750</v>
      </c>
      <c r="H10" s="9156"/>
      <c r="I10" s="6092" t="s">
        <v>1751</v>
      </c>
      <c r="J10" s="5158" t="s">
        <v>860</v>
      </c>
      <c r="K10" s="33"/>
      <c r="L10" s="31" t="s">
        <v>1752</v>
      </c>
      <c r="M10" s="3375" t="s">
        <v>1753</v>
      </c>
      <c r="N10" s="472" t="s">
        <v>1754</v>
      </c>
      <c r="O10" s="33"/>
      <c r="P10" s="33"/>
      <c r="Q10" s="39"/>
    </row>
    <row r="11" spans="1:24" ht="12.75" customHeight="1" x14ac:dyDescent="0.35">
      <c r="A11" s="9168"/>
      <c r="B11" s="1845" t="s">
        <v>870</v>
      </c>
      <c r="C11" s="4769"/>
      <c r="D11" s="42"/>
      <c r="E11" s="43"/>
      <c r="F11" s="48"/>
      <c r="G11" s="6093" t="s">
        <v>1755</v>
      </c>
      <c r="H11" s="6094" t="s">
        <v>1756</v>
      </c>
      <c r="I11" s="106" t="s">
        <v>1757</v>
      </c>
      <c r="J11" s="883"/>
      <c r="K11" s="48"/>
      <c r="L11" s="6095" t="s">
        <v>1758</v>
      </c>
      <c r="N11" s="6096"/>
      <c r="O11" s="50"/>
      <c r="P11" s="50"/>
      <c r="Q11" s="18"/>
    </row>
    <row r="12" spans="1:24" x14ac:dyDescent="0.35">
      <c r="A12" s="9168"/>
      <c r="B12" s="58"/>
      <c r="C12" s="59" t="s">
        <v>872</v>
      </c>
      <c r="D12" s="60"/>
      <c r="F12" s="65"/>
      <c r="G12" s="62">
        <v>112952002</v>
      </c>
      <c r="H12" s="63">
        <v>111299934</v>
      </c>
      <c r="I12" t="s">
        <v>1759</v>
      </c>
      <c r="J12" s="476">
        <f>IF(G12=0,0,H12/G12)</f>
        <v>0.98537371652783989</v>
      </c>
      <c r="K12" s="65"/>
      <c r="L12" s="62">
        <v>139941631</v>
      </c>
      <c r="M12" s="106"/>
      <c r="N12" s="3356">
        <f>L12*J12</f>
        <v>137894805.03543758</v>
      </c>
      <c r="O12" s="67"/>
      <c r="P12" s="67"/>
      <c r="Q12" s="26"/>
    </row>
    <row r="13" spans="1:24" x14ac:dyDescent="0.35">
      <c r="A13" s="9168"/>
      <c r="B13" s="58"/>
      <c r="C13" s="59" t="s">
        <v>1760</v>
      </c>
      <c r="D13" s="60"/>
      <c r="F13" s="65"/>
      <c r="G13" s="62">
        <f>32700000+62435889</f>
        <v>95135889</v>
      </c>
      <c r="H13" s="63">
        <f>23878000+61333873</f>
        <v>85211873</v>
      </c>
      <c r="I13" s="57" t="s">
        <v>1761</v>
      </c>
      <c r="J13" s="73">
        <f>IF(G13=0,0,H13/G13)</f>
        <v>0.89568588569136087</v>
      </c>
      <c r="K13" s="65"/>
      <c r="L13" s="62">
        <f>36400000+52288778</f>
        <v>88688778</v>
      </c>
      <c r="M13" s="106"/>
      <c r="N13" s="3356">
        <f t="shared" ref="N13:N14" si="0">L13*J13</f>
        <v>79437286.673814476</v>
      </c>
      <c r="O13" s="67"/>
      <c r="P13" s="67"/>
      <c r="Q13" s="26"/>
    </row>
    <row r="14" spans="1:24" x14ac:dyDescent="0.35">
      <c r="A14" s="9168"/>
      <c r="B14" s="75"/>
      <c r="C14" s="59" t="s">
        <v>1762</v>
      </c>
      <c r="D14" s="60"/>
      <c r="F14" s="80"/>
      <c r="G14" s="78">
        <v>11310000</v>
      </c>
      <c r="H14" s="79">
        <v>7438898</v>
      </c>
      <c r="I14" s="57" t="s">
        <v>1402</v>
      </c>
      <c r="J14" s="73">
        <f>IF(G14=0,0,H14/G14)</f>
        <v>0.65772749778956674</v>
      </c>
      <c r="K14" s="80"/>
      <c r="L14" s="78">
        <v>6210000</v>
      </c>
      <c r="M14" s="106"/>
      <c r="N14" s="3356">
        <f t="shared" si="0"/>
        <v>4084487.7612732095</v>
      </c>
      <c r="O14" s="67"/>
      <c r="P14" s="67"/>
      <c r="Q14" s="26"/>
    </row>
    <row r="15" spans="1:24" x14ac:dyDescent="0.35">
      <c r="A15" s="9168"/>
      <c r="B15" s="85"/>
      <c r="C15" s="86" t="s">
        <v>882</v>
      </c>
      <c r="D15" s="87"/>
      <c r="F15" s="80"/>
      <c r="G15" s="5311">
        <f>SUM(G12:G14)</f>
        <v>219397891</v>
      </c>
      <c r="H15" s="5312">
        <f>SUM(H12:H14)</f>
        <v>203950705</v>
      </c>
      <c r="I15" s="106"/>
      <c r="J15" s="73">
        <f>IF(G15=0,0,H15/G15)</f>
        <v>0.92959282366119012</v>
      </c>
      <c r="K15" s="80"/>
      <c r="L15" s="1776">
        <f>SUM(L12:L14)</f>
        <v>234840409</v>
      </c>
      <c r="M15" s="216"/>
      <c r="N15" s="6097">
        <f>SUM(N12:N14)</f>
        <v>221416579.47052526</v>
      </c>
      <c r="O15" s="67"/>
      <c r="P15" s="67"/>
      <c r="Q15" s="24"/>
    </row>
    <row r="16" spans="1:24" x14ac:dyDescent="0.35">
      <c r="A16" s="9168"/>
      <c r="B16" s="100" t="s">
        <v>883</v>
      </c>
      <c r="C16" s="49"/>
      <c r="D16" s="42"/>
      <c r="E16" s="43"/>
      <c r="F16" s="43"/>
      <c r="G16" s="230" t="s">
        <v>1763</v>
      </c>
      <c r="H16" s="231"/>
      <c r="I16" s="231" t="s">
        <v>1764</v>
      </c>
      <c r="J16" s="104"/>
      <c r="K16" s="43"/>
      <c r="L16" s="6095" t="s">
        <v>1758</v>
      </c>
      <c r="M16" s="106"/>
      <c r="N16" s="106"/>
      <c r="O16" s="43"/>
      <c r="P16" s="43"/>
      <c r="Q16" s="18"/>
    </row>
    <row r="17" spans="1:18" x14ac:dyDescent="0.35">
      <c r="A17" s="9168"/>
      <c r="B17" s="6082"/>
      <c r="C17" s="110" t="s">
        <v>885</v>
      </c>
      <c r="D17" s="60"/>
      <c r="G17" s="112">
        <f>60611599+28532350+25060237</f>
        <v>114204186</v>
      </c>
      <c r="H17" s="647">
        <f>58409643+28044398+24475193</f>
        <v>110929234</v>
      </c>
      <c r="I17" s="57"/>
      <c r="J17" s="476">
        <f>IF(G17=0,0,H17/G17)</f>
        <v>0.97132371312554167</v>
      </c>
      <c r="L17" s="112">
        <f>63473193+35465091+35459641</f>
        <v>134397925</v>
      </c>
      <c r="M17" s="106"/>
      <c r="N17" s="3356">
        <f>L17*J17</f>
        <v>130543891.54736806</v>
      </c>
      <c r="Q17" s="6098"/>
    </row>
    <row r="18" spans="1:18" x14ac:dyDescent="0.35">
      <c r="A18" s="9168"/>
      <c r="B18" s="6082"/>
      <c r="C18" s="110" t="s">
        <v>1168</v>
      </c>
      <c r="D18" s="60"/>
      <c r="F18" s="374"/>
      <c r="G18" s="112"/>
      <c r="H18" s="113"/>
      <c r="I18" s="106"/>
      <c r="J18" s="476">
        <f t="shared" ref="J18:J23" si="1">IF(G18=0,0,H18/G18)</f>
        <v>0</v>
      </c>
      <c r="K18" s="374"/>
      <c r="L18" s="112"/>
      <c r="M18" s="106"/>
      <c r="N18" s="3356"/>
      <c r="Q18" s="26"/>
    </row>
    <row r="19" spans="1:18" x14ac:dyDescent="0.35">
      <c r="A19" s="9168"/>
      <c r="B19" s="6082"/>
      <c r="C19" s="110" t="s">
        <v>1765</v>
      </c>
      <c r="D19" s="60"/>
      <c r="G19" s="112">
        <v>16398544</v>
      </c>
      <c r="H19" s="113">
        <v>12380207</v>
      </c>
      <c r="I19" s="106"/>
      <c r="J19" s="476">
        <f t="shared" si="1"/>
        <v>0.75495769624425191</v>
      </c>
      <c r="L19" s="114">
        <v>22068955</v>
      </c>
      <c r="M19" s="106"/>
      <c r="N19" s="3356">
        <f t="shared" ref="N19:N21" si="2">L19*J19</f>
        <v>16661127.425318064</v>
      </c>
      <c r="Q19" s="26"/>
    </row>
    <row r="20" spans="1:18" x14ac:dyDescent="0.35">
      <c r="A20" s="9168"/>
      <c r="B20" s="6082"/>
      <c r="C20" s="110" t="s">
        <v>1766</v>
      </c>
      <c r="D20" s="60"/>
      <c r="G20" s="114">
        <v>73745889</v>
      </c>
      <c r="H20" s="123">
        <v>68772771</v>
      </c>
      <c r="I20" s="57" t="s">
        <v>1767</v>
      </c>
      <c r="J20" s="476">
        <f t="shared" si="1"/>
        <v>0.93256413249015147</v>
      </c>
      <c r="L20" s="114">
        <v>58498778</v>
      </c>
      <c r="M20" s="106"/>
      <c r="N20" s="3356">
        <f t="shared" si="2"/>
        <v>54553862.157303959</v>
      </c>
      <c r="Q20" s="26"/>
    </row>
    <row r="21" spans="1:18" x14ac:dyDescent="0.35">
      <c r="A21" s="9168"/>
      <c r="B21" s="6082"/>
      <c r="C21" s="110" t="s">
        <v>1768</v>
      </c>
      <c r="D21" s="60"/>
      <c r="F21" s="274"/>
      <c r="G21" s="242">
        <v>6197530</v>
      </c>
      <c r="H21" s="243">
        <v>0</v>
      </c>
      <c r="I21" s="106"/>
      <c r="J21" s="476">
        <f t="shared" si="1"/>
        <v>0</v>
      </c>
      <c r="K21" s="274"/>
      <c r="L21" s="242">
        <v>6403700</v>
      </c>
      <c r="M21" s="106"/>
      <c r="N21" s="3356">
        <f t="shared" si="2"/>
        <v>0</v>
      </c>
      <c r="Q21" s="26"/>
    </row>
    <row r="22" spans="1:18" x14ac:dyDescent="0.35">
      <c r="A22" s="9168"/>
      <c r="B22" s="6082"/>
      <c r="C22" s="110" t="s">
        <v>1769</v>
      </c>
      <c r="D22" s="60"/>
      <c r="G22" s="242">
        <v>25143510</v>
      </c>
      <c r="H22" s="243">
        <v>9085492</v>
      </c>
      <c r="I22" s="106"/>
      <c r="J22" s="476">
        <f t="shared" si="1"/>
        <v>0.36134541279240645</v>
      </c>
      <c r="L22" s="242">
        <v>18567270</v>
      </c>
      <c r="M22" s="106"/>
      <c r="N22" s="3356">
        <f>L22*J22</f>
        <v>6709197.8425780647</v>
      </c>
      <c r="Q22" s="26"/>
    </row>
    <row r="23" spans="1:18" x14ac:dyDescent="0.35">
      <c r="A23" s="9168"/>
      <c r="B23" s="128"/>
      <c r="C23" s="129" t="s">
        <v>903</v>
      </c>
      <c r="D23" s="87"/>
      <c r="G23" s="1781">
        <f>SUM(G17:G22)</f>
        <v>235689659</v>
      </c>
      <c r="H23" s="1782">
        <f>SUM(H17:H22)</f>
        <v>201167704</v>
      </c>
      <c r="I23" s="216"/>
      <c r="J23" s="484">
        <f t="shared" si="1"/>
        <v>0.85352791825287511</v>
      </c>
      <c r="L23" s="3166">
        <f>SUM(L17:L22)</f>
        <v>239936628</v>
      </c>
      <c r="M23" s="106"/>
      <c r="N23" s="6099">
        <f>SUM(N17:N22)</f>
        <v>208468078.97256815</v>
      </c>
      <c r="Q23" s="6100"/>
      <c r="R23" s="1112"/>
    </row>
    <row r="24" spans="1:18" x14ac:dyDescent="0.35">
      <c r="A24" s="9168"/>
      <c r="B24" s="139" t="s">
        <v>904</v>
      </c>
      <c r="C24" s="49"/>
      <c r="D24" s="140"/>
      <c r="E24" s="141"/>
      <c r="F24" s="141"/>
      <c r="G24" s="6101"/>
      <c r="H24" s="5329"/>
      <c r="I24" s="312"/>
      <c r="J24" s="5330"/>
      <c r="K24" s="141"/>
      <c r="L24" s="6095" t="s">
        <v>1758</v>
      </c>
      <c r="M24" s="152"/>
      <c r="N24" s="5219"/>
      <c r="O24" s="141"/>
      <c r="P24" s="141"/>
      <c r="Q24" s="18"/>
    </row>
    <row r="25" spans="1:18" x14ac:dyDescent="0.35">
      <c r="A25" s="9168"/>
      <c r="B25" s="6082"/>
      <c r="C25" s="110" t="s">
        <v>905</v>
      </c>
      <c r="D25" s="60"/>
      <c r="G25" s="156">
        <v>60611599</v>
      </c>
      <c r="H25" s="115">
        <v>58409643</v>
      </c>
      <c r="I25" s="312"/>
      <c r="J25" s="476">
        <f>IF(G25=0,0,H25/G25)</f>
        <v>0.96367104586698005</v>
      </c>
      <c r="L25" s="156">
        <v>63473193</v>
      </c>
      <c r="M25" s="312"/>
      <c r="N25" s="66">
        <f t="shared" ref="N25:N27" si="3">L25*J25</f>
        <v>61167278.282826677</v>
      </c>
      <c r="Q25" s="26"/>
    </row>
    <row r="26" spans="1:18" x14ac:dyDescent="0.35">
      <c r="A26" s="9168"/>
      <c r="B26" s="6082"/>
      <c r="C26" s="110" t="s">
        <v>907</v>
      </c>
      <c r="D26" s="60"/>
      <c r="G26" s="117"/>
      <c r="H26" s="115"/>
      <c r="I26" s="312"/>
      <c r="J26" s="476">
        <f>IF(G26=0,0,H26/G26)</f>
        <v>0</v>
      </c>
      <c r="L26" s="117"/>
      <c r="M26" s="312"/>
      <c r="N26" s="66"/>
      <c r="Q26" s="26"/>
    </row>
    <row r="27" spans="1:18" x14ac:dyDescent="0.35">
      <c r="A27" s="9168"/>
      <c r="B27" s="6082"/>
      <c r="C27" s="110" t="s">
        <v>908</v>
      </c>
      <c r="D27" s="60"/>
      <c r="G27" s="117">
        <f>10000+304000+2500000</f>
        <v>2814000</v>
      </c>
      <c r="H27" s="6102">
        <f>H25*H29</f>
        <v>2711770.3230696819</v>
      </c>
      <c r="I27" s="2990" t="s">
        <v>1770</v>
      </c>
      <c r="J27" s="476">
        <f>IF(G27=0,0,H27/G27)</f>
        <v>0.96367104586698005</v>
      </c>
      <c r="L27" s="117">
        <f>10000+304000+2500000</f>
        <v>2814000</v>
      </c>
      <c r="M27" s="312"/>
      <c r="N27" s="66">
        <f t="shared" si="3"/>
        <v>2711770.3230696819</v>
      </c>
      <c r="Q27" s="26"/>
    </row>
    <row r="28" spans="1:18" x14ac:dyDescent="0.35">
      <c r="A28" s="9168"/>
      <c r="B28" s="6082"/>
      <c r="C28" s="161" t="s">
        <v>910</v>
      </c>
      <c r="D28" s="162"/>
      <c r="G28" s="164"/>
      <c r="H28" s="115"/>
      <c r="I28" s="312"/>
      <c r="J28" s="476">
        <f>IF(G28=0,0,H28/G28)</f>
        <v>0</v>
      </c>
      <c r="L28" s="164"/>
      <c r="M28" s="312"/>
      <c r="N28" s="66"/>
      <c r="Q28" s="26"/>
    </row>
    <row r="29" spans="1:18" x14ac:dyDescent="0.35">
      <c r="A29" s="9168"/>
      <c r="B29" s="128"/>
      <c r="C29" s="129" t="s">
        <v>914</v>
      </c>
      <c r="D29" s="87"/>
      <c r="F29" s="170"/>
      <c r="G29" s="3465">
        <f>G27/G25</f>
        <v>4.6426757360418756E-2</v>
      </c>
      <c r="H29" s="6103">
        <f>G29</f>
        <v>4.6426757360418756E-2</v>
      </c>
      <c r="I29" s="5341"/>
      <c r="J29" s="835"/>
      <c r="K29" s="170"/>
      <c r="L29" s="829">
        <f>L27/L25</f>
        <v>4.4333676423053116E-2</v>
      </c>
      <c r="M29" s="498"/>
      <c r="N29" s="6104">
        <f>N27/N25</f>
        <v>4.4333676423053116E-2</v>
      </c>
      <c r="O29" s="176"/>
      <c r="P29" s="176"/>
      <c r="Q29" s="24"/>
    </row>
    <row r="30" spans="1:18" x14ac:dyDescent="0.35">
      <c r="A30" s="9169"/>
      <c r="B30" s="499" t="s">
        <v>915</v>
      </c>
      <c r="C30" s="500"/>
      <c r="D30" s="501"/>
      <c r="G30" s="503"/>
      <c r="H30" s="504"/>
      <c r="I30" s="3052"/>
      <c r="J30" s="505"/>
      <c r="L30" s="503"/>
      <c r="M30" s="3052"/>
      <c r="N30" s="6105"/>
      <c r="Q30" s="509"/>
    </row>
    <row r="31" spans="1:18" x14ac:dyDescent="0.35">
      <c r="A31" s="220"/>
      <c r="B31" s="220"/>
      <c r="G31" s="106"/>
      <c r="H31" s="106"/>
      <c r="J31" s="221"/>
      <c r="L31" s="106"/>
      <c r="N31" s="106"/>
    </row>
    <row r="32" spans="1:18" ht="27.75" customHeight="1" x14ac:dyDescent="0.35">
      <c r="A32" s="9167" t="s">
        <v>916</v>
      </c>
      <c r="B32" s="27"/>
      <c r="C32" s="28" t="s">
        <v>427</v>
      </c>
      <c r="D32" s="42" t="s">
        <v>428</v>
      </c>
      <c r="E32" s="30"/>
      <c r="F32" s="223"/>
      <c r="G32" s="6106" t="s">
        <v>1771</v>
      </c>
      <c r="H32" s="6107" t="s">
        <v>1772</v>
      </c>
      <c r="I32" s="5364"/>
      <c r="J32" s="224"/>
      <c r="K32" s="223"/>
      <c r="L32" s="6106" t="s">
        <v>1771</v>
      </c>
      <c r="M32" s="511"/>
      <c r="N32" s="472"/>
      <c r="O32" s="30"/>
      <c r="P32" s="30"/>
      <c r="Q32" s="39"/>
    </row>
    <row r="33" spans="1:17" x14ac:dyDescent="0.35">
      <c r="A33" s="9168"/>
      <c r="B33" s="141" t="s">
        <v>1773</v>
      </c>
      <c r="C33"/>
      <c r="D33" s="140"/>
      <c r="E33" s="143"/>
      <c r="F33" s="143"/>
      <c r="G33" s="517"/>
      <c r="H33" s="57" t="s">
        <v>1774</v>
      </c>
      <c r="J33" s="228"/>
      <c r="K33" s="143"/>
      <c r="L33" s="102" t="s">
        <v>1775</v>
      </c>
      <c r="M33" s="348"/>
      <c r="N33" s="105"/>
      <c r="O33" s="143"/>
      <c r="P33" s="143"/>
      <c r="Q33" s="18"/>
    </row>
    <row r="34" spans="1:17" x14ac:dyDescent="0.35">
      <c r="A34" s="9168"/>
      <c r="B34" s="1053"/>
      <c r="C34" s="1053" t="s">
        <v>885</v>
      </c>
      <c r="D34" s="60"/>
      <c r="G34" s="5066">
        <f>3828300+3150000</f>
        <v>6978300</v>
      </c>
      <c r="H34" s="5901">
        <f>4325123+3355861</f>
        <v>7680984</v>
      </c>
      <c r="I34" s="2990" t="s">
        <v>1776</v>
      </c>
      <c r="J34" s="476">
        <f>IF(G34=0,0,H34/G34)</f>
        <v>1.1006955848845708</v>
      </c>
      <c r="L34" s="5066"/>
      <c r="M34" s="312"/>
      <c r="N34" s="6108"/>
      <c r="Q34" s="26"/>
    </row>
    <row r="35" spans="1:17" x14ac:dyDescent="0.35">
      <c r="A35" s="9168"/>
      <c r="B35" s="1053"/>
      <c r="C35" s="1053" t="s">
        <v>1586</v>
      </c>
      <c r="D35" s="60"/>
      <c r="G35" s="6109">
        <v>1966068</v>
      </c>
      <c r="H35" s="5901">
        <v>761672</v>
      </c>
      <c r="I35" s="4901"/>
      <c r="J35" s="476">
        <f t="shared" ref="J35" si="4">IF(G35=0,0,H35/G35)</f>
        <v>0.38740877731594225</v>
      </c>
      <c r="L35" s="6109"/>
      <c r="M35" s="4901"/>
      <c r="N35" s="6110"/>
      <c r="Q35" s="26"/>
    </row>
    <row r="36" spans="1:17" x14ac:dyDescent="0.35">
      <c r="A36" s="9168"/>
      <c r="B36" s="141" t="s">
        <v>925</v>
      </c>
      <c r="C36"/>
      <c r="D36" s="140"/>
      <c r="E36" s="143"/>
      <c r="F36" s="143"/>
      <c r="G36" s="6111" t="s">
        <v>1777</v>
      </c>
      <c r="H36" s="106"/>
      <c r="J36" s="246"/>
      <c r="K36" s="143"/>
      <c r="L36" s="245" t="s">
        <v>1775</v>
      </c>
      <c r="N36" s="66"/>
      <c r="O36" s="143"/>
      <c r="P36" s="143"/>
      <c r="Q36" s="18"/>
    </row>
    <row r="37" spans="1:17" x14ac:dyDescent="0.35">
      <c r="A37" s="9168"/>
      <c r="B37" s="232"/>
      <c r="C37" s="232" t="s">
        <v>1778</v>
      </c>
      <c r="D37" s="60"/>
      <c r="G37" s="112"/>
      <c r="H37" s="6112"/>
      <c r="I37" s="2990"/>
      <c r="J37" s="476">
        <f>IF(G37=0,0,H37/G37)</f>
        <v>0</v>
      </c>
      <c r="L37" s="112"/>
      <c r="M37" s="312"/>
      <c r="N37" s="1780"/>
      <c r="Q37" s="26"/>
    </row>
    <row r="38" spans="1:17" x14ac:dyDescent="0.35">
      <c r="A38" s="9168"/>
      <c r="B38" s="232"/>
      <c r="C38" s="232" t="s">
        <v>1779</v>
      </c>
      <c r="D38" s="60"/>
      <c r="G38" s="112">
        <f>6469640</f>
        <v>6469640</v>
      </c>
      <c r="H38" s="6112">
        <f>G38*H25/G25</f>
        <v>6234604.7451828485</v>
      </c>
      <c r="I38" s="2990"/>
      <c r="J38" s="476">
        <f t="shared" ref="J38:J48" si="5">IF(G38=0,0,H38/G38)</f>
        <v>0.96367104586698005</v>
      </c>
      <c r="L38" s="112"/>
      <c r="M38" s="312"/>
      <c r="N38" s="1780"/>
      <c r="Q38" s="26"/>
    </row>
    <row r="39" spans="1:17" x14ac:dyDescent="0.35">
      <c r="A39" s="9168"/>
      <c r="B39" s="232"/>
      <c r="C39" s="232" t="s">
        <v>1780</v>
      </c>
      <c r="D39" s="60"/>
      <c r="G39" s="112">
        <f>2134800+260000</f>
        <v>2394800</v>
      </c>
      <c r="H39" s="6112">
        <f>G39*H34/G34</f>
        <v>2635945.7866815701</v>
      </c>
      <c r="I39" s="4901" t="s">
        <v>1781</v>
      </c>
      <c r="J39" s="476">
        <f t="shared" si="5"/>
        <v>1.1006955848845708</v>
      </c>
      <c r="L39" s="112">
        <f>6749515+5049800+300000</f>
        <v>12099315</v>
      </c>
      <c r="M39" s="4901" t="s">
        <v>1781</v>
      </c>
      <c r="N39" s="66">
        <f t="shared" ref="N39:N40" si="6">L39*J39</f>
        <v>13317662.600627661</v>
      </c>
      <c r="Q39" s="26"/>
    </row>
    <row r="40" spans="1:17" x14ac:dyDescent="0.35">
      <c r="A40" s="9168"/>
      <c r="B40" s="232"/>
      <c r="C40" s="232" t="s">
        <v>1586</v>
      </c>
      <c r="D40" s="60"/>
      <c r="G40" s="117">
        <f>1618493</f>
        <v>1618493</v>
      </c>
      <c r="H40" s="6102">
        <f>G40*H35/G35</f>
        <v>627018.39422441134</v>
      </c>
      <c r="I40" s="490"/>
      <c r="J40" s="476">
        <f t="shared" si="5"/>
        <v>0.38740877731594225</v>
      </c>
      <c r="L40" s="117">
        <f>1119809+1500000+500000</f>
        <v>3119809</v>
      </c>
      <c r="M40" s="312"/>
      <c r="N40" s="66">
        <f t="shared" si="6"/>
        <v>1208641.3901492725</v>
      </c>
      <c r="Q40" s="26"/>
    </row>
    <row r="41" spans="1:17" x14ac:dyDescent="0.35">
      <c r="A41" s="9168"/>
      <c r="B41" s="232"/>
      <c r="C41" s="232" t="s">
        <v>1782</v>
      </c>
      <c r="D41" s="60"/>
      <c r="G41" s="242"/>
      <c r="H41" s="6113"/>
      <c r="I41" s="312"/>
      <c r="J41" s="476">
        <f t="shared" si="5"/>
        <v>0</v>
      </c>
      <c r="L41" s="242"/>
      <c r="M41" s="312"/>
      <c r="N41" s="66"/>
      <c r="Q41" s="26"/>
    </row>
    <row r="42" spans="1:17" x14ac:dyDescent="0.35">
      <c r="A42" s="9168"/>
      <c r="B42" s="232"/>
      <c r="C42" s="232" t="s">
        <v>1779</v>
      </c>
      <c r="D42" s="60"/>
      <c r="G42" s="242">
        <v>0</v>
      </c>
      <c r="H42" s="6113"/>
      <c r="I42" s="312"/>
      <c r="J42" s="476">
        <f t="shared" si="5"/>
        <v>0</v>
      </c>
      <c r="L42" s="242"/>
      <c r="M42" s="312"/>
      <c r="N42" s="66"/>
      <c r="Q42" s="26"/>
    </row>
    <row r="43" spans="1:17" x14ac:dyDescent="0.35">
      <c r="A43" s="9168"/>
      <c r="B43" s="232"/>
      <c r="C43" s="232" t="s">
        <v>1780</v>
      </c>
      <c r="D43" s="60"/>
      <c r="G43" s="242">
        <v>0</v>
      </c>
      <c r="H43" s="6114"/>
      <c r="I43" s="312"/>
      <c r="J43" s="476">
        <f t="shared" si="5"/>
        <v>0</v>
      </c>
      <c r="L43" s="242">
        <f>14500+5000</f>
        <v>19500</v>
      </c>
      <c r="M43" s="4901" t="s">
        <v>1783</v>
      </c>
      <c r="N43" s="66">
        <f t="shared" ref="N43:N44" si="7">L43*J43</f>
        <v>0</v>
      </c>
      <c r="Q43" s="26"/>
    </row>
    <row r="44" spans="1:17" x14ac:dyDescent="0.35">
      <c r="A44" s="9168"/>
      <c r="B44" s="232"/>
      <c r="C44" s="232" t="s">
        <v>1586</v>
      </c>
      <c r="D44" s="60"/>
      <c r="G44" s="242">
        <v>0</v>
      </c>
      <c r="H44" s="6114"/>
      <c r="I44" s="312"/>
      <c r="J44" s="476">
        <f t="shared" si="5"/>
        <v>0</v>
      </c>
      <c r="L44" s="242">
        <v>0</v>
      </c>
      <c r="M44" s="312"/>
      <c r="N44" s="66">
        <f t="shared" si="7"/>
        <v>0</v>
      </c>
      <c r="Q44" s="26"/>
    </row>
    <row r="45" spans="1:17" x14ac:dyDescent="0.35">
      <c r="A45" s="9168"/>
      <c r="B45" s="232"/>
      <c r="C45" s="232" t="s">
        <v>937</v>
      </c>
      <c r="D45" s="60"/>
      <c r="G45" s="242"/>
      <c r="H45" s="6114"/>
      <c r="I45" s="312"/>
      <c r="J45" s="476">
        <f t="shared" si="5"/>
        <v>0</v>
      </c>
      <c r="L45" s="242"/>
      <c r="M45" s="312"/>
      <c r="N45" s="1780"/>
      <c r="Q45" s="26"/>
    </row>
    <row r="46" spans="1:17" x14ac:dyDescent="0.35">
      <c r="A46" s="9168"/>
      <c r="B46" s="232"/>
      <c r="C46" s="232" t="s">
        <v>1779</v>
      </c>
      <c r="D46" s="60"/>
      <c r="G46" s="242">
        <v>3454023</v>
      </c>
      <c r="H46" s="6114">
        <f>G46*H25/G25</f>
        <v>3328541.9568586037</v>
      </c>
      <c r="I46" s="312"/>
      <c r="J46" s="476">
        <f t="shared" si="5"/>
        <v>0.96367104586697994</v>
      </c>
      <c r="L46" s="242"/>
      <c r="M46" s="312"/>
      <c r="N46" s="1780"/>
      <c r="Q46" s="26"/>
    </row>
    <row r="47" spans="1:17" x14ac:dyDescent="0.35">
      <c r="A47" s="9168"/>
      <c r="B47" s="232"/>
      <c r="C47" s="232" t="s">
        <v>1780</v>
      </c>
      <c r="D47" s="60"/>
      <c r="G47" s="242">
        <f>1351750+2880000</f>
        <v>4231750</v>
      </c>
      <c r="H47" s="6114">
        <f>G47*H34/G34</f>
        <v>4657868.5413352819</v>
      </c>
      <c r="I47" s="4901" t="s">
        <v>1784</v>
      </c>
      <c r="J47" s="476">
        <f t="shared" si="5"/>
        <v>1.1006955848845708</v>
      </c>
      <c r="L47" s="242">
        <f>3605286+1654750+3060000</f>
        <v>8320036</v>
      </c>
      <c r="M47" s="4901" t="s">
        <v>1784</v>
      </c>
      <c r="N47" s="66">
        <f t="shared" ref="N47:N48" si="8">L47*J47</f>
        <v>9157826.8912806846</v>
      </c>
      <c r="Q47" s="26"/>
    </row>
    <row r="48" spans="1:17" x14ac:dyDescent="0.35">
      <c r="A48" s="9168"/>
      <c r="B48" s="232"/>
      <c r="C48" s="232" t="s">
        <v>1586</v>
      </c>
      <c r="D48" s="60"/>
      <c r="G48" s="242">
        <v>347575</v>
      </c>
      <c r="H48" s="6114">
        <f>G48*H35/G35</f>
        <v>134653.60577558863</v>
      </c>
      <c r="I48" s="312"/>
      <c r="J48" s="476">
        <f t="shared" si="5"/>
        <v>0.38740877731594225</v>
      </c>
      <c r="L48" s="242">
        <f>324432+60000</f>
        <v>384432</v>
      </c>
      <c r="M48" s="312"/>
      <c r="N48" s="66">
        <f t="shared" si="8"/>
        <v>148932.33108112231</v>
      </c>
      <c r="Q48" s="26"/>
    </row>
    <row r="49" spans="1:21" x14ac:dyDescent="0.35">
      <c r="A49" s="9168"/>
      <c r="B49" s="141" t="s">
        <v>940</v>
      </c>
      <c r="C49"/>
      <c r="D49" s="60"/>
      <c r="E49" s="143"/>
      <c r="F49" s="143"/>
      <c r="G49" s="245"/>
      <c r="H49" s="106"/>
      <c r="I49" s="254"/>
      <c r="J49" s="246"/>
      <c r="K49" s="143"/>
      <c r="L49" s="245"/>
      <c r="M49" s="254"/>
      <c r="N49" s="66"/>
      <c r="O49" s="143"/>
      <c r="P49" s="143"/>
      <c r="Q49" s="26"/>
      <c r="S49" s="514"/>
      <c r="T49" s="515"/>
      <c r="U49" s="515"/>
    </row>
    <row r="50" spans="1:21" x14ac:dyDescent="0.35">
      <c r="A50" s="9168"/>
      <c r="B50" s="232"/>
      <c r="C50" s="232" t="s">
        <v>941</v>
      </c>
      <c r="D50" s="60"/>
      <c r="G50" s="112"/>
      <c r="H50" s="113"/>
      <c r="I50" s="312"/>
      <c r="J50" s="476">
        <f>IF(G50=0,0,H50/G50)</f>
        <v>0</v>
      </c>
      <c r="L50" s="112"/>
      <c r="M50" s="312"/>
      <c r="N50" s="66"/>
      <c r="Q50" s="26"/>
      <c r="S50" s="514"/>
      <c r="T50" s="515"/>
      <c r="U50" s="515"/>
    </row>
    <row r="51" spans="1:21" x14ac:dyDescent="0.35">
      <c r="A51" s="9168"/>
      <c r="B51" s="232"/>
      <c r="C51" s="232" t="s">
        <v>942</v>
      </c>
      <c r="D51" s="60"/>
      <c r="G51" s="117"/>
      <c r="H51" s="115"/>
      <c r="I51" s="312"/>
      <c r="J51" s="476">
        <f>IF(G51=0,0,H51/G51)</f>
        <v>0</v>
      </c>
      <c r="L51" s="117"/>
      <c r="M51" s="312"/>
      <c r="N51" s="66"/>
      <c r="Q51" s="26"/>
      <c r="S51" s="514"/>
      <c r="T51" s="515"/>
      <c r="U51" s="515"/>
    </row>
    <row r="52" spans="1:21" x14ac:dyDescent="0.35">
      <c r="A52" s="9168"/>
      <c r="B52" s="1662"/>
      <c r="C52" s="1662" t="s">
        <v>943</v>
      </c>
      <c r="D52" s="87"/>
      <c r="G52" s="242"/>
      <c r="H52" s="243"/>
      <c r="I52" s="312"/>
      <c r="J52" s="476">
        <f>IF(G52=0,0,H52/G52)</f>
        <v>0</v>
      </c>
      <c r="L52" s="131"/>
      <c r="M52" s="3054"/>
      <c r="N52" s="92"/>
      <c r="Q52" s="24"/>
      <c r="S52" s="514"/>
      <c r="T52" s="515"/>
      <c r="U52" s="515"/>
    </row>
    <row r="53" spans="1:21" x14ac:dyDescent="0.35">
      <c r="A53" s="9168"/>
      <c r="B53" s="141" t="s">
        <v>944</v>
      </c>
      <c r="C53" s="141"/>
      <c r="D53" s="60"/>
      <c r="E53" s="143"/>
      <c r="F53" s="143"/>
      <c r="G53" s="102"/>
      <c r="H53" s="103"/>
      <c r="I53" s="2909"/>
      <c r="J53" s="516"/>
      <c r="K53" s="143"/>
      <c r="L53" s="245"/>
      <c r="M53" s="254"/>
      <c r="N53" s="105"/>
      <c r="O53" s="143"/>
      <c r="P53" s="143"/>
      <c r="Q53" s="26"/>
    </row>
    <row r="54" spans="1:21" ht="17" customHeight="1" x14ac:dyDescent="0.35">
      <c r="A54" s="9168"/>
      <c r="B54" s="5932"/>
      <c r="C54" s="6115" t="s">
        <v>1785</v>
      </c>
      <c r="D54" s="60"/>
      <c r="G54" s="112"/>
      <c r="H54" s="113"/>
      <c r="I54" s="312"/>
      <c r="J54" s="476">
        <f t="shared" ref="J54:J73" si="9">IF(G54=0,0,H54/G54)</f>
        <v>0</v>
      </c>
      <c r="L54" s="112"/>
      <c r="M54" s="312"/>
      <c r="N54" s="66"/>
      <c r="Q54" s="257"/>
      <c r="T54" s="515"/>
      <c r="U54" s="515"/>
    </row>
    <row r="55" spans="1:21" x14ac:dyDescent="0.35">
      <c r="A55" s="9168"/>
      <c r="B55" s="873"/>
      <c r="C55" s="914" t="s">
        <v>1786</v>
      </c>
      <c r="D55" s="60"/>
      <c r="G55" s="117">
        <f>97700+18689</f>
        <v>116389</v>
      </c>
      <c r="H55" s="6102">
        <f>G55*H$17/G$17</f>
        <v>113051.39564696867</v>
      </c>
      <c r="I55" s="4901" t="s">
        <v>1787</v>
      </c>
      <c r="J55" s="476">
        <f t="shared" si="9"/>
        <v>0.97132371312554167</v>
      </c>
      <c r="L55" s="117">
        <f>122000+0</f>
        <v>122000</v>
      </c>
      <c r="M55" s="4901" t="s">
        <v>1787</v>
      </c>
      <c r="N55" s="66">
        <f t="shared" ref="N55:N62" si="10">L55*J55</f>
        <v>118501.49300131608</v>
      </c>
      <c r="Q55" s="26"/>
    </row>
    <row r="56" spans="1:21" x14ac:dyDescent="0.35">
      <c r="A56" s="9168"/>
      <c r="B56" s="873"/>
      <c r="C56" s="914" t="s">
        <v>1788</v>
      </c>
      <c r="D56" s="60"/>
      <c r="G56" s="117">
        <v>340000</v>
      </c>
      <c r="H56" s="6102">
        <f t="shared" ref="H56:H62" si="11">G56*H$17/G$17</f>
        <v>330250.06246268417</v>
      </c>
      <c r="I56" s="4901" t="s">
        <v>1097</v>
      </c>
      <c r="J56" s="476">
        <f t="shared" si="9"/>
        <v>0.97132371312554167</v>
      </c>
      <c r="L56" s="117">
        <v>44200</v>
      </c>
      <c r="M56" s="4901" t="s">
        <v>1097</v>
      </c>
      <c r="N56" s="66">
        <f t="shared" si="10"/>
        <v>42932.508120148945</v>
      </c>
      <c r="Q56" s="26"/>
    </row>
    <row r="57" spans="1:21" x14ac:dyDescent="0.35">
      <c r="A57" s="9168"/>
      <c r="B57" s="873"/>
      <c r="C57" s="914" t="s">
        <v>1789</v>
      </c>
      <c r="D57" s="60"/>
      <c r="G57" s="117">
        <v>30000</v>
      </c>
      <c r="H57" s="6102">
        <f t="shared" si="11"/>
        <v>29139.711393766251</v>
      </c>
      <c r="I57" s="4901" t="s">
        <v>1790</v>
      </c>
      <c r="J57" s="476">
        <f t="shared" si="9"/>
        <v>0.97132371312554167</v>
      </c>
      <c r="L57" s="117">
        <v>30000</v>
      </c>
      <c r="M57" s="4901" t="s">
        <v>1790</v>
      </c>
      <c r="N57" s="66">
        <f t="shared" si="10"/>
        <v>29139.711393766251</v>
      </c>
      <c r="Q57" s="26"/>
    </row>
    <row r="58" spans="1:21" x14ac:dyDescent="0.35">
      <c r="A58" s="9168"/>
      <c r="B58" s="873"/>
      <c r="C58" s="914" t="s">
        <v>1791</v>
      </c>
      <c r="D58" s="60"/>
      <c r="G58" s="117">
        <v>1750</v>
      </c>
      <c r="H58" s="6102">
        <f t="shared" si="11"/>
        <v>1699.8164979696978</v>
      </c>
      <c r="I58" s="4901" t="s">
        <v>1792</v>
      </c>
      <c r="J58" s="476">
        <f t="shared" si="9"/>
        <v>0.97132371312554167</v>
      </c>
      <c r="L58" s="117">
        <v>499500</v>
      </c>
      <c r="M58" s="4901" t="s">
        <v>1792</v>
      </c>
      <c r="N58" s="66">
        <f t="shared" si="10"/>
        <v>485176.19470620807</v>
      </c>
      <c r="Q58" s="26"/>
    </row>
    <row r="59" spans="1:21" x14ac:dyDescent="0.35">
      <c r="A59" s="9168"/>
      <c r="B59" s="873"/>
      <c r="C59" s="914" t="s">
        <v>1793</v>
      </c>
      <c r="D59" s="60"/>
      <c r="G59" s="117">
        <v>2500</v>
      </c>
      <c r="H59" s="6102">
        <f t="shared" si="11"/>
        <v>2428.3092828138542</v>
      </c>
      <c r="I59" s="4901" t="s">
        <v>1794</v>
      </c>
      <c r="J59" s="476">
        <f t="shared" si="9"/>
        <v>0.97132371312554167</v>
      </c>
      <c r="L59" s="117">
        <v>7500</v>
      </c>
      <c r="M59" s="4901" t="s">
        <v>1794</v>
      </c>
      <c r="N59" s="66">
        <f t="shared" si="10"/>
        <v>7284.9278484415627</v>
      </c>
      <c r="Q59" s="26"/>
    </row>
    <row r="60" spans="1:21" x14ac:dyDescent="0.35">
      <c r="A60" s="9168"/>
      <c r="B60" s="873"/>
      <c r="C60" s="914" t="s">
        <v>1795</v>
      </c>
      <c r="D60" s="60"/>
      <c r="G60" s="242">
        <v>697500</v>
      </c>
      <c r="H60" s="6114">
        <f t="shared" si="11"/>
        <v>677498.28990506532</v>
      </c>
      <c r="I60" s="4901" t="s">
        <v>1582</v>
      </c>
      <c r="J60" s="476">
        <f t="shared" si="9"/>
        <v>0.97132371312554167</v>
      </c>
      <c r="L60" s="242">
        <v>1077500</v>
      </c>
      <c r="M60" s="4901" t="s">
        <v>1582</v>
      </c>
      <c r="N60" s="66">
        <f t="shared" si="10"/>
        <v>1046601.3008927711</v>
      </c>
      <c r="Q60" s="26"/>
    </row>
    <row r="61" spans="1:21" x14ac:dyDescent="0.35">
      <c r="A61" s="9168"/>
      <c r="B61" s="873"/>
      <c r="C61" s="914" t="s">
        <v>1796</v>
      </c>
      <c r="D61" s="60"/>
      <c r="G61" s="242">
        <v>6800</v>
      </c>
      <c r="H61" s="6114">
        <f t="shared" si="11"/>
        <v>6605.0012492536835</v>
      </c>
      <c r="I61" s="4901" t="s">
        <v>1797</v>
      </c>
      <c r="J61" s="476">
        <f t="shared" si="9"/>
        <v>0.97132371312554167</v>
      </c>
      <c r="L61" s="242">
        <v>7300</v>
      </c>
      <c r="M61" s="4901" t="s">
        <v>1797</v>
      </c>
      <c r="N61" s="66">
        <f t="shared" si="10"/>
        <v>7090.6631058164539</v>
      </c>
      <c r="Q61" s="26"/>
    </row>
    <row r="62" spans="1:21" x14ac:dyDescent="0.35">
      <c r="A62" s="9168"/>
      <c r="B62" s="873"/>
      <c r="C62" s="914" t="s">
        <v>1798</v>
      </c>
      <c r="D62" s="60"/>
      <c r="G62" s="242">
        <v>33000</v>
      </c>
      <c r="H62" s="6114">
        <f t="shared" si="11"/>
        <v>32053.682533142874</v>
      </c>
      <c r="I62" s="4901" t="s">
        <v>1797</v>
      </c>
      <c r="J62" s="476">
        <f t="shared" si="9"/>
        <v>0.97132371312554167</v>
      </c>
      <c r="L62" s="242">
        <v>37000</v>
      </c>
      <c r="M62" s="4901" t="s">
        <v>1797</v>
      </c>
      <c r="N62" s="66">
        <f t="shared" si="10"/>
        <v>35938.977385645041</v>
      </c>
      <c r="Q62" s="26"/>
    </row>
    <row r="63" spans="1:21" x14ac:dyDescent="0.35">
      <c r="A63" s="9168"/>
      <c r="B63" s="873"/>
      <c r="C63" s="914"/>
      <c r="D63" s="60"/>
      <c r="G63" s="242"/>
      <c r="H63" s="243"/>
      <c r="I63" s="312"/>
      <c r="J63" s="476"/>
      <c r="L63" s="242"/>
      <c r="M63" s="312"/>
      <c r="N63" s="66"/>
      <c r="Q63" s="26"/>
    </row>
    <row r="64" spans="1:21" x14ac:dyDescent="0.35">
      <c r="A64" s="9168"/>
      <c r="B64" s="873"/>
      <c r="C64" s="6116" t="s">
        <v>1586</v>
      </c>
      <c r="D64" s="60"/>
      <c r="G64" s="242"/>
      <c r="H64" s="243"/>
      <c r="I64" s="312"/>
      <c r="J64" s="476"/>
      <c r="L64" s="242"/>
      <c r="M64" s="312"/>
      <c r="N64" s="66"/>
      <c r="Q64" s="26"/>
    </row>
    <row r="65" spans="1:22" x14ac:dyDescent="0.35">
      <c r="A65" s="9168"/>
      <c r="B65" s="873"/>
      <c r="C65" s="914" t="s">
        <v>1786</v>
      </c>
      <c r="D65" s="60"/>
      <c r="G65" s="242">
        <f>1500+1000</f>
        <v>2500</v>
      </c>
      <c r="H65" s="6114">
        <f>G65*(H$19+H$20)/(G$19+G$20)</f>
        <v>2250.6375407563992</v>
      </c>
      <c r="I65" s="4901" t="s">
        <v>1787</v>
      </c>
      <c r="J65" s="476">
        <f t="shared" si="9"/>
        <v>0.90025501630255966</v>
      </c>
      <c r="L65" s="242">
        <f>9779+19000</f>
        <v>28779</v>
      </c>
      <c r="M65" s="4901" t="s">
        <v>1787</v>
      </c>
      <c r="N65" s="66">
        <f t="shared" ref="N65:N72" si="12">L65*J65</f>
        <v>25908.439114171364</v>
      </c>
      <c r="Q65" s="26"/>
    </row>
    <row r="66" spans="1:22" x14ac:dyDescent="0.35">
      <c r="A66" s="9168"/>
      <c r="B66" s="873"/>
      <c r="C66" s="914" t="s">
        <v>1788</v>
      </c>
      <c r="D66" s="60"/>
      <c r="G66" s="242">
        <v>0</v>
      </c>
      <c r="H66" s="6114">
        <f t="shared" ref="H66:H72" si="13">G66*(H$19+H$20)/(G$19+G$20)</f>
        <v>0</v>
      </c>
      <c r="I66" s="4901" t="s">
        <v>1097</v>
      </c>
      <c r="J66" s="476">
        <f t="shared" si="9"/>
        <v>0</v>
      </c>
      <c r="L66" s="242">
        <v>0</v>
      </c>
      <c r="M66" s="4901" t="s">
        <v>1097</v>
      </c>
      <c r="N66" s="66">
        <f t="shared" si="12"/>
        <v>0</v>
      </c>
      <c r="Q66" s="26"/>
    </row>
    <row r="67" spans="1:22" x14ac:dyDescent="0.35">
      <c r="A67" s="9168"/>
      <c r="B67" s="873"/>
      <c r="C67" s="914" t="s">
        <v>1789</v>
      </c>
      <c r="D67" s="60"/>
      <c r="G67" s="242">
        <v>0</v>
      </c>
      <c r="H67" s="6114">
        <f t="shared" si="13"/>
        <v>0</v>
      </c>
      <c r="I67" s="4901" t="s">
        <v>1790</v>
      </c>
      <c r="J67" s="476">
        <f t="shared" si="9"/>
        <v>0</v>
      </c>
      <c r="L67" s="242">
        <v>0</v>
      </c>
      <c r="M67" s="4901" t="s">
        <v>1790</v>
      </c>
      <c r="N67" s="66">
        <f t="shared" si="12"/>
        <v>0</v>
      </c>
      <c r="Q67" s="26"/>
    </row>
    <row r="68" spans="1:22" x14ac:dyDescent="0.35">
      <c r="A68" s="9168"/>
      <c r="B68" s="873"/>
      <c r="C68" s="914" t="s">
        <v>1791</v>
      </c>
      <c r="D68" s="60"/>
      <c r="G68" s="242">
        <v>0</v>
      </c>
      <c r="H68" s="6114">
        <f t="shared" si="13"/>
        <v>0</v>
      </c>
      <c r="I68" s="4901" t="s">
        <v>1792</v>
      </c>
      <c r="J68" s="476">
        <f t="shared" si="9"/>
        <v>0</v>
      </c>
      <c r="L68" s="242">
        <v>0</v>
      </c>
      <c r="M68" s="4901" t="s">
        <v>1792</v>
      </c>
      <c r="N68" s="66">
        <f t="shared" si="12"/>
        <v>0</v>
      </c>
      <c r="Q68" s="26"/>
    </row>
    <row r="69" spans="1:22" x14ac:dyDescent="0.35">
      <c r="A69" s="9168"/>
      <c r="B69" s="873"/>
      <c r="C69" s="914" t="s">
        <v>1793</v>
      </c>
      <c r="D69" s="60"/>
      <c r="G69" s="242">
        <v>0</v>
      </c>
      <c r="H69" s="6114">
        <f t="shared" si="13"/>
        <v>0</v>
      </c>
      <c r="I69" s="4901" t="s">
        <v>1794</v>
      </c>
      <c r="J69" s="476">
        <f t="shared" si="9"/>
        <v>0</v>
      </c>
      <c r="L69" s="242">
        <v>0</v>
      </c>
      <c r="M69" s="4901" t="s">
        <v>1794</v>
      </c>
      <c r="N69" s="66">
        <f t="shared" si="12"/>
        <v>0</v>
      </c>
      <c r="Q69" s="26"/>
    </row>
    <row r="70" spans="1:22" x14ac:dyDescent="0.35">
      <c r="A70" s="9168"/>
      <c r="B70" s="873"/>
      <c r="C70" s="914" t="s">
        <v>1795</v>
      </c>
      <c r="D70" s="60"/>
      <c r="G70" s="242">
        <v>30000</v>
      </c>
      <c r="H70" s="6114">
        <f t="shared" si="13"/>
        <v>27007.65048907679</v>
      </c>
      <c r="I70" s="4901" t="s">
        <v>1582</v>
      </c>
      <c r="J70" s="476">
        <f t="shared" si="9"/>
        <v>0.90025501630255966</v>
      </c>
      <c r="L70" s="242">
        <v>29244</v>
      </c>
      <c r="M70" s="4901" t="s">
        <v>1582</v>
      </c>
      <c r="N70" s="66">
        <f t="shared" si="12"/>
        <v>26327.057696752054</v>
      </c>
      <c r="Q70" s="26"/>
    </row>
    <row r="71" spans="1:22" x14ac:dyDescent="0.35">
      <c r="A71" s="9168"/>
      <c r="B71" s="873"/>
      <c r="C71" s="914" t="s">
        <v>1796</v>
      </c>
      <c r="D71" s="60"/>
      <c r="G71" s="242">
        <v>0</v>
      </c>
      <c r="H71" s="6114">
        <f t="shared" si="13"/>
        <v>0</v>
      </c>
      <c r="I71" s="4901" t="s">
        <v>1797</v>
      </c>
      <c r="J71" s="476">
        <f t="shared" si="9"/>
        <v>0</v>
      </c>
      <c r="L71" s="242">
        <v>0</v>
      </c>
      <c r="M71" s="4901" t="s">
        <v>1797</v>
      </c>
      <c r="N71" s="66">
        <f t="shared" si="12"/>
        <v>0</v>
      </c>
      <c r="Q71" s="26"/>
    </row>
    <row r="72" spans="1:22" x14ac:dyDescent="0.35">
      <c r="A72" s="9168"/>
      <c r="B72" s="873"/>
      <c r="C72" s="914" t="s">
        <v>1798</v>
      </c>
      <c r="D72" s="60"/>
      <c r="G72" s="242">
        <v>15000</v>
      </c>
      <c r="H72" s="6114">
        <f t="shared" si="13"/>
        <v>13503.825244538395</v>
      </c>
      <c r="I72" s="4901" t="s">
        <v>1797</v>
      </c>
      <c r="J72" s="476">
        <f t="shared" si="9"/>
        <v>0.90025501630255966</v>
      </c>
      <c r="L72" s="242">
        <v>4000</v>
      </c>
      <c r="M72" s="4901" t="s">
        <v>1797</v>
      </c>
      <c r="N72" s="66">
        <f t="shared" si="12"/>
        <v>3601.0200652102385</v>
      </c>
      <c r="Q72" s="26"/>
    </row>
    <row r="73" spans="1:22" x14ac:dyDescent="0.35">
      <c r="A73" s="9168"/>
      <c r="B73" s="895"/>
      <c r="C73" s="917"/>
      <c r="D73" s="87"/>
      <c r="G73" s="131"/>
      <c r="H73" s="132"/>
      <c r="I73" s="3054"/>
      <c r="J73" s="484">
        <f t="shared" si="9"/>
        <v>0</v>
      </c>
      <c r="L73" s="242"/>
      <c r="M73" s="312"/>
      <c r="N73" s="92"/>
      <c r="Q73" s="26"/>
    </row>
    <row r="74" spans="1:22" x14ac:dyDescent="0.35">
      <c r="A74" s="9168"/>
      <c r="B74" s="271" t="s">
        <v>965</v>
      </c>
      <c r="C74" s="271"/>
      <c r="D74" s="140"/>
      <c r="E74" s="141"/>
      <c r="F74" s="141"/>
      <c r="G74" s="245"/>
      <c r="H74" s="106"/>
      <c r="I74" s="254"/>
      <c r="J74" s="518"/>
      <c r="K74" s="141"/>
      <c r="L74" s="102"/>
      <c r="M74" s="2909"/>
      <c r="N74" s="105"/>
      <c r="O74" s="141"/>
      <c r="P74" s="141"/>
      <c r="Q74" s="18"/>
      <c r="U74" s="254"/>
      <c r="V74" s="254"/>
    </row>
    <row r="75" spans="1:22" x14ac:dyDescent="0.35">
      <c r="A75" s="9168"/>
      <c r="B75" s="232"/>
      <c r="C75" s="232" t="s">
        <v>1778</v>
      </c>
      <c r="D75" s="60"/>
      <c r="G75" s="112">
        <v>6469640</v>
      </c>
      <c r="H75" s="6112">
        <f>G75*H$25/G$25</f>
        <v>6234604.7451828485</v>
      </c>
      <c r="I75" s="6117" t="s">
        <v>1799</v>
      </c>
      <c r="J75" s="476">
        <f t="shared" ref="J75:J82" si="14">IF(G75=0,0,H75/G75)</f>
        <v>0.96367104586698005</v>
      </c>
      <c r="L75" s="112">
        <v>6749515</v>
      </c>
      <c r="M75" s="6117" t="s">
        <v>1799</v>
      </c>
      <c r="N75" s="66">
        <f t="shared" ref="N75:N77" si="15">L75*J75</f>
        <v>6504312.1791448696</v>
      </c>
      <c r="Q75" s="26"/>
    </row>
    <row r="76" spans="1:22" x14ac:dyDescent="0.35">
      <c r="A76" s="9168"/>
      <c r="B76" s="232"/>
      <c r="C76" s="232" t="s">
        <v>1782</v>
      </c>
      <c r="D76" s="60"/>
      <c r="G76" s="117">
        <v>0</v>
      </c>
      <c r="H76" s="6112">
        <f t="shared" ref="H76:H77" si="16">G76*H$25/G$25</f>
        <v>0</v>
      </c>
      <c r="I76" s="4901"/>
      <c r="J76" s="476">
        <f t="shared" si="14"/>
        <v>0</v>
      </c>
      <c r="L76" s="117">
        <v>0</v>
      </c>
      <c r="M76" s="4901" t="s">
        <v>1783</v>
      </c>
      <c r="N76" s="66">
        <f t="shared" si="15"/>
        <v>0</v>
      </c>
      <c r="Q76" s="26"/>
    </row>
    <row r="77" spans="1:22" x14ac:dyDescent="0.35">
      <c r="A77" s="9168"/>
      <c r="B77" s="232"/>
      <c r="C77" s="232" t="s">
        <v>937</v>
      </c>
      <c r="D77" s="60"/>
      <c r="G77" s="242">
        <v>3454023</v>
      </c>
      <c r="H77" s="6112">
        <f t="shared" si="16"/>
        <v>3328541.9568586037</v>
      </c>
      <c r="I77" s="4901" t="s">
        <v>1784</v>
      </c>
      <c r="J77" s="476">
        <f t="shared" si="14"/>
        <v>0.96367104586697994</v>
      </c>
      <c r="L77" s="242">
        <v>3605286</v>
      </c>
      <c r="M77" s="4901" t="s">
        <v>1784</v>
      </c>
      <c r="N77" s="66">
        <f t="shared" si="15"/>
        <v>3474309.7302695806</v>
      </c>
      <c r="Q77" s="26"/>
    </row>
    <row r="78" spans="1:22" x14ac:dyDescent="0.35">
      <c r="A78" s="9168"/>
      <c r="B78" s="232"/>
      <c r="C78" s="232" t="s">
        <v>977</v>
      </c>
      <c r="D78" s="60"/>
      <c r="G78" s="242"/>
      <c r="H78" s="3985"/>
      <c r="I78" s="312"/>
      <c r="J78" s="476">
        <f t="shared" si="14"/>
        <v>0</v>
      </c>
      <c r="L78" s="242"/>
      <c r="M78" s="312"/>
      <c r="N78" s="66"/>
      <c r="Q78" s="26"/>
    </row>
    <row r="79" spans="1:22" x14ac:dyDescent="0.35">
      <c r="A79" s="9168"/>
      <c r="B79" s="232"/>
      <c r="C79" s="232" t="s">
        <v>962</v>
      </c>
      <c r="D79" s="60"/>
      <c r="G79" s="242"/>
      <c r="H79" s="3985"/>
      <c r="I79" s="312"/>
      <c r="J79" s="476">
        <f t="shared" si="14"/>
        <v>0</v>
      </c>
      <c r="L79" s="242"/>
      <c r="M79" s="312"/>
      <c r="N79" s="66"/>
      <c r="Q79" s="26"/>
    </row>
    <row r="80" spans="1:22" x14ac:dyDescent="0.35">
      <c r="A80" s="9168"/>
      <c r="B80" s="232"/>
      <c r="C80" s="232" t="s">
        <v>963</v>
      </c>
      <c r="D80" s="60"/>
      <c r="G80" s="242"/>
      <c r="H80" s="3985"/>
      <c r="I80" s="312"/>
      <c r="J80" s="476">
        <f t="shared" si="14"/>
        <v>0</v>
      </c>
      <c r="L80" s="242"/>
      <c r="M80" s="312"/>
      <c r="N80" s="66"/>
      <c r="Q80" s="26"/>
    </row>
    <row r="81" spans="1:17" x14ac:dyDescent="0.35">
      <c r="A81" s="9168"/>
      <c r="B81" s="232"/>
      <c r="C81" s="232" t="s">
        <v>964</v>
      </c>
      <c r="D81" s="60"/>
      <c r="G81" s="242"/>
      <c r="H81" s="3985"/>
      <c r="I81" s="312"/>
      <c r="J81" s="476">
        <f t="shared" si="14"/>
        <v>0</v>
      </c>
      <c r="L81" s="242"/>
      <c r="M81" s="312"/>
      <c r="N81" s="66"/>
      <c r="Q81" s="26"/>
    </row>
    <row r="82" spans="1:17" x14ac:dyDescent="0.35">
      <c r="A82" s="9168"/>
      <c r="B82" s="1662"/>
      <c r="C82" s="1662" t="s">
        <v>978</v>
      </c>
      <c r="D82" s="87"/>
      <c r="G82" s="131"/>
      <c r="H82" s="6118"/>
      <c r="I82" s="3054"/>
      <c r="J82" s="484">
        <f t="shared" si="14"/>
        <v>0</v>
      </c>
      <c r="L82" s="131"/>
      <c r="M82" s="3054"/>
      <c r="N82" s="92"/>
      <c r="Q82" s="24"/>
    </row>
    <row r="83" spans="1:17" x14ac:dyDescent="0.35">
      <c r="A83" s="9168"/>
      <c r="B83" s="271" t="s">
        <v>979</v>
      </c>
      <c r="C83" s="271"/>
      <c r="D83" s="140"/>
      <c r="E83" s="143"/>
      <c r="F83" s="143"/>
      <c r="G83" s="245"/>
      <c r="H83" s="106"/>
      <c r="I83" s="254"/>
      <c r="J83" s="246"/>
      <c r="K83" s="143"/>
      <c r="L83" s="245"/>
      <c r="M83" s="254"/>
      <c r="N83" s="106"/>
      <c r="O83" s="143"/>
      <c r="P83" s="143"/>
      <c r="Q83" s="18"/>
    </row>
    <row r="84" spans="1:17" x14ac:dyDescent="0.35">
      <c r="A84" s="9168"/>
      <c r="B84" s="272"/>
      <c r="C84" s="272" t="s">
        <v>980</v>
      </c>
      <c r="D84" s="60"/>
      <c r="G84" s="117"/>
      <c r="H84" s="115"/>
      <c r="I84" s="312"/>
      <c r="J84" s="476">
        <f>IF(G84=0,0,H84/G84)</f>
        <v>0</v>
      </c>
      <c r="L84" s="117"/>
      <c r="M84" s="312"/>
      <c r="N84" s="3082"/>
      <c r="Q84" s="26"/>
    </row>
    <row r="85" spans="1:17" x14ac:dyDescent="0.35">
      <c r="A85" s="9168"/>
      <c r="B85" s="277"/>
      <c r="C85" s="277" t="s">
        <v>981</v>
      </c>
      <c r="D85" s="87"/>
      <c r="G85" s="5346"/>
      <c r="H85" s="5347"/>
      <c r="I85" s="5348"/>
      <c r="J85" s="476"/>
      <c r="L85" s="5346"/>
      <c r="M85" s="5348"/>
      <c r="N85" s="6119"/>
      <c r="Q85" s="24"/>
    </row>
    <row r="86" spans="1:17" ht="15.25" customHeight="1" x14ac:dyDescent="0.35">
      <c r="A86" s="9168"/>
      <c r="B86" s="139" t="s">
        <v>1800</v>
      </c>
      <c r="C86" s="908"/>
      <c r="D86" s="140"/>
      <c r="E86" s="143"/>
      <c r="G86" s="312" t="s">
        <v>1801</v>
      </c>
      <c r="H86" s="520"/>
      <c r="I86" s="2909"/>
      <c r="J86" s="293"/>
      <c r="L86" s="1388"/>
      <c r="M86" s="2909"/>
      <c r="N86" s="5068"/>
      <c r="O86" s="143"/>
      <c r="P86" s="143"/>
      <c r="Q86" s="18"/>
    </row>
    <row r="87" spans="1:17" x14ac:dyDescent="0.35">
      <c r="A87" s="9168"/>
      <c r="B87" s="295"/>
      <c r="C87" s="1053" t="s">
        <v>1778</v>
      </c>
      <c r="D87" s="60"/>
      <c r="G87" s="62">
        <v>800000</v>
      </c>
      <c r="H87" s="9322">
        <v>112512</v>
      </c>
      <c r="J87" s="523">
        <f>IF(G87=0,0,H87/(G87+G88))</f>
        <v>0.13082790697674418</v>
      </c>
      <c r="L87" s="62">
        <v>1500000</v>
      </c>
      <c r="M87" s="312"/>
      <c r="N87" s="9324">
        <f>L87*J87</f>
        <v>196241.86046511628</v>
      </c>
      <c r="Q87" s="26"/>
    </row>
    <row r="88" spans="1:17" x14ac:dyDescent="0.35">
      <c r="A88" s="9168"/>
      <c r="B88" s="302"/>
      <c r="C88" s="59" t="s">
        <v>937</v>
      </c>
      <c r="D88" s="60"/>
      <c r="G88" s="62">
        <v>60000</v>
      </c>
      <c r="H88" s="9323"/>
      <c r="I88" s="312"/>
      <c r="J88" s="523"/>
      <c r="L88" s="62">
        <v>60000</v>
      </c>
      <c r="M88" s="312"/>
      <c r="N88" s="9325"/>
      <c r="Q88" s="26"/>
    </row>
    <row r="89" spans="1:17" x14ac:dyDescent="0.35">
      <c r="A89" s="9168"/>
      <c r="B89" s="302"/>
      <c r="C89" s="59"/>
      <c r="D89" s="60"/>
      <c r="G89" s="62"/>
      <c r="H89" s="63"/>
      <c r="I89" s="312"/>
      <c r="J89" s="523"/>
      <c r="L89" s="62"/>
      <c r="M89" s="312"/>
      <c r="N89" s="301"/>
      <c r="Q89" s="26"/>
    </row>
    <row r="90" spans="1:17" x14ac:dyDescent="0.35">
      <c r="A90" s="9169"/>
      <c r="B90" s="306"/>
      <c r="C90" s="86"/>
      <c r="D90" s="87"/>
      <c r="G90" s="89"/>
      <c r="H90" s="90"/>
      <c r="I90" s="3054"/>
      <c r="J90" s="527"/>
      <c r="L90" s="89"/>
      <c r="M90" s="3054"/>
      <c r="N90" s="309"/>
      <c r="Q90" s="24"/>
    </row>
    <row r="91" spans="1:17" x14ac:dyDescent="0.35">
      <c r="A91" s="310"/>
      <c r="B91" s="310"/>
      <c r="G91" s="106"/>
      <c r="H91" s="106"/>
      <c r="I91" s="312"/>
      <c r="J91" s="558"/>
      <c r="L91" s="106"/>
      <c r="M91" s="312"/>
      <c r="N91" s="106"/>
    </row>
    <row r="92" spans="1:17" x14ac:dyDescent="0.35">
      <c r="A92" s="9167" t="s">
        <v>988</v>
      </c>
      <c r="B92" s="139" t="s">
        <v>989</v>
      </c>
      <c r="C92" s="348"/>
      <c r="D92" s="49"/>
      <c r="E92" s="141"/>
      <c r="F92" s="141"/>
      <c r="G92" s="102"/>
      <c r="H92" s="103"/>
      <c r="I92" s="2909"/>
      <c r="J92" s="228"/>
      <c r="K92" s="141"/>
      <c r="L92" s="102"/>
      <c r="M92" s="2909"/>
      <c r="N92" s="105"/>
      <c r="O92" s="141"/>
      <c r="P92" s="141"/>
    </row>
    <row r="93" spans="1:17" x14ac:dyDescent="0.35">
      <c r="A93" s="9168"/>
      <c r="B93" s="6082"/>
      <c r="C93"/>
      <c r="D93" s="110" t="s">
        <v>990</v>
      </c>
      <c r="F93" s="350"/>
      <c r="G93" s="351">
        <f>SUM(G37:G48)-SUM(G50:G52)</f>
        <v>18516281</v>
      </c>
      <c r="H93" s="352">
        <f>SUM(H37:H48)-SUM(H50:H52)</f>
        <v>17618633.030058302</v>
      </c>
      <c r="I93" s="352"/>
      <c r="J93" s="246"/>
      <c r="K93" s="350"/>
      <c r="L93" s="351">
        <f>SUM(L37:L48)-SUM(L50:L52)</f>
        <v>23943092</v>
      </c>
      <c r="M93" s="352"/>
      <c r="N93" s="353">
        <f>SUM(N37:N48)-SUM(N50:N52)</f>
        <v>23833063.213138741</v>
      </c>
    </row>
    <row r="94" spans="1:17" x14ac:dyDescent="0.35">
      <c r="A94" s="9168"/>
      <c r="B94" s="6082"/>
      <c r="C94"/>
      <c r="D94" s="110" t="s">
        <v>944</v>
      </c>
      <c r="F94" s="350"/>
      <c r="G94" s="351">
        <f>SUM(G54:G73)</f>
        <v>1275439</v>
      </c>
      <c r="H94" s="352">
        <f>SUM(H54:H73)</f>
        <v>1235488.3822460363</v>
      </c>
      <c r="I94" s="352"/>
      <c r="J94" s="246"/>
      <c r="K94" s="350"/>
      <c r="L94" s="351">
        <f>SUM(L54:L73)</f>
        <v>1887023</v>
      </c>
      <c r="M94" s="352"/>
      <c r="N94" s="353">
        <f>SUM(N54:N73)</f>
        <v>1828502.293330247</v>
      </c>
    </row>
    <row r="95" spans="1:17" x14ac:dyDescent="0.35">
      <c r="A95" s="9168"/>
      <c r="B95" s="6082"/>
      <c r="C95"/>
      <c r="D95" s="110" t="s">
        <v>991</v>
      </c>
      <c r="F95" s="350"/>
      <c r="G95" s="351">
        <f>SUM(G75:G82)*G29</f>
        <v>460723.4942275653</v>
      </c>
      <c r="H95" s="352">
        <f>SUM(H75:H82)*H29</f>
        <v>443985.89153776737</v>
      </c>
      <c r="I95" s="352"/>
      <c r="J95" s="246"/>
      <c r="K95" s="350"/>
      <c r="L95" s="351">
        <f>SUM(L75:L82)*L29</f>
        <v>459066.39695910685</v>
      </c>
      <c r="M95" s="352"/>
      <c r="N95" s="353">
        <f>SUM(N75:N82)*N29</f>
        <v>442388.99487996864</v>
      </c>
    </row>
    <row r="96" spans="1:17" x14ac:dyDescent="0.35">
      <c r="A96" s="9168"/>
      <c r="B96" s="6082"/>
      <c r="C96"/>
      <c r="D96" s="110" t="s">
        <v>979</v>
      </c>
      <c r="F96" s="350"/>
      <c r="G96" s="351">
        <f t="shared" ref="G96:H96" si="17">G84</f>
        <v>0</v>
      </c>
      <c r="H96" s="352">
        <f t="shared" si="17"/>
        <v>0</v>
      </c>
      <c r="I96" s="352"/>
      <c r="J96" s="246"/>
      <c r="K96" s="350"/>
      <c r="L96" s="351">
        <f t="shared" ref="L96" si="18">L84</f>
        <v>0</v>
      </c>
      <c r="M96" s="352"/>
      <c r="N96" s="353">
        <f t="shared" ref="N96" si="19">N84</f>
        <v>0</v>
      </c>
    </row>
    <row r="97" spans="1:17" x14ac:dyDescent="0.35">
      <c r="A97" s="9168"/>
      <c r="B97" s="6082"/>
      <c r="C97"/>
      <c r="D97" s="356" t="s">
        <v>992</v>
      </c>
      <c r="E97" s="143"/>
      <c r="F97" s="358"/>
      <c r="G97" s="359">
        <f t="shared" ref="G97:H97" si="20">SUM(G93:G96)</f>
        <v>20252443.494227566</v>
      </c>
      <c r="H97" s="360">
        <f t="shared" si="20"/>
        <v>19298107.303842105</v>
      </c>
      <c r="I97" s="360"/>
      <c r="J97" s="361"/>
      <c r="K97" s="358"/>
      <c r="L97" s="359">
        <f t="shared" ref="L97" si="21">SUM(L93:L96)</f>
        <v>26289181.396959107</v>
      </c>
      <c r="M97" s="360"/>
      <c r="N97" s="362">
        <f t="shared" ref="N97" si="22">SUM(N93:N96)</f>
        <v>26103954.501348957</v>
      </c>
      <c r="O97" s="143"/>
      <c r="P97" s="143"/>
    </row>
    <row r="98" spans="1:17" ht="15.5" x14ac:dyDescent="0.35">
      <c r="A98" s="9168"/>
      <c r="B98" s="6082"/>
      <c r="C98"/>
      <c r="D98" s="365" t="s">
        <v>993</v>
      </c>
      <c r="F98" s="560"/>
      <c r="G98" s="561">
        <f>G97/(G17+G18+G19+G20)</f>
        <v>9.9107317648315332E-2</v>
      </c>
      <c r="H98" s="562">
        <f>H97/(H17+H18+H19+H20)</f>
        <v>0.10046795641775567</v>
      </c>
      <c r="I98" s="562"/>
      <c r="J98" s="563"/>
      <c r="K98" s="560"/>
      <c r="L98" s="561">
        <f>L97/(L17+L18+L19+L20)</f>
        <v>0.12229479648772135</v>
      </c>
      <c r="M98" s="562"/>
      <c r="N98" s="563">
        <f>N97/(N17+N18+N19+N20)</f>
        <v>0.12938193528408093</v>
      </c>
    </row>
    <row r="99" spans="1:17" s="254" customFormat="1" x14ac:dyDescent="0.35">
      <c r="A99" s="9168"/>
      <c r="B99" s="3186"/>
      <c r="C99" s="3187"/>
      <c r="D99" s="1741" t="s">
        <v>994</v>
      </c>
      <c r="E99" s="3188"/>
      <c r="F99" s="570"/>
      <c r="G99" s="566">
        <f>G38+G39+G42+G43+G46+G47+SUM(G54:G62)+G95</f>
        <v>18238875.494227566</v>
      </c>
      <c r="H99" s="567">
        <f>H38+H39+H42+H43+H46+H47+SUM(H54:H62)+H95</f>
        <v>18493673.190567736</v>
      </c>
      <c r="I99" s="568"/>
      <c r="J99" s="569"/>
      <c r="K99" s="570"/>
      <c r="L99" s="571">
        <f>L39+L43+L47+SUM(L54:L62)+L95</f>
        <v>22722917.396959107</v>
      </c>
      <c r="M99" s="568"/>
      <c r="N99" s="3190">
        <f>N39+N43+N47+SUM(N54:N62)+N95</f>
        <v>24690544.263242427</v>
      </c>
      <c r="O99" s="235"/>
      <c r="P99" s="235"/>
    </row>
    <row r="100" spans="1:17" s="3201" customFormat="1" x14ac:dyDescent="0.35">
      <c r="A100" s="9168"/>
      <c r="B100" s="3193"/>
      <c r="C100" s="3194"/>
      <c r="D100" s="3195" t="s">
        <v>995</v>
      </c>
      <c r="E100" s="3196"/>
      <c r="F100" s="3196"/>
      <c r="G100" s="6120">
        <f>(G97-G99)/(G18+G19+G20)</f>
        <v>2.2337130901916039E-2</v>
      </c>
      <c r="H100" s="6121">
        <f>(H97-H99)/(H18+H19+H20)</f>
        <v>9.9125643087844464E-3</v>
      </c>
      <c r="J100" s="3200"/>
      <c r="K100" s="3196"/>
      <c r="L100" s="5354">
        <f>(L97-L99)/(L18+L19+L20)</f>
        <v>4.4264172109695576E-2</v>
      </c>
      <c r="M100" s="3604"/>
      <c r="N100" s="5352">
        <f>(N97-N99)/(N18+N19+N20)</f>
        <v>1.9847089024238689E-2</v>
      </c>
      <c r="O100" s="3603"/>
      <c r="P100" s="3603"/>
    </row>
    <row r="101" spans="1:17" s="3201" customFormat="1" x14ac:dyDescent="0.35">
      <c r="A101" s="9168"/>
      <c r="B101" s="3193"/>
      <c r="C101" s="3194"/>
      <c r="D101" s="3195" t="s">
        <v>996</v>
      </c>
      <c r="E101" s="3196"/>
      <c r="F101" s="3196"/>
      <c r="G101" s="6120">
        <f>G99/G17</f>
        <v>0.15970408907977826</v>
      </c>
      <c r="H101" s="6121">
        <f>H99/H17</f>
        <v>0.16671595506165432</v>
      </c>
      <c r="J101" s="3200"/>
      <c r="K101" s="3196"/>
      <c r="L101" s="5354">
        <f>L99/L17</f>
        <v>0.16907193616984123</v>
      </c>
      <c r="M101" s="3604"/>
      <c r="N101" s="5352">
        <f>N99/N17</f>
        <v>0.18913596010184378</v>
      </c>
      <c r="O101" s="3603"/>
      <c r="P101" s="3603"/>
    </row>
    <row r="102" spans="1:17" s="3201" customFormat="1" x14ac:dyDescent="0.35">
      <c r="A102" s="9168"/>
      <c r="B102" s="3193"/>
      <c r="C102" s="3194"/>
      <c r="D102" s="3202"/>
      <c r="E102" s="3196"/>
      <c r="F102" s="3196"/>
      <c r="G102" s="6120"/>
      <c r="H102" s="6121"/>
      <c r="J102" s="3200"/>
      <c r="K102" s="3196"/>
      <c r="L102" s="5354"/>
      <c r="M102" s="3604"/>
      <c r="N102" s="5352"/>
      <c r="O102" s="3603"/>
      <c r="P102" s="3603"/>
    </row>
    <row r="103" spans="1:17" s="3201" customFormat="1" x14ac:dyDescent="0.35">
      <c r="A103" s="9168"/>
      <c r="B103" s="3193"/>
      <c r="C103" s="3194"/>
      <c r="D103" s="5353" t="s">
        <v>997</v>
      </c>
      <c r="E103" s="3196"/>
      <c r="F103" s="3196"/>
      <c r="G103" s="6120">
        <f>G97/G12</f>
        <v>0.17930132388647319</v>
      </c>
      <c r="H103" s="6121">
        <f>H97/H12</f>
        <v>0.17338830860260981</v>
      </c>
      <c r="J103" s="3200"/>
      <c r="K103" s="3196"/>
      <c r="L103" s="5354">
        <f>L97/L12</f>
        <v>0.18785818922575734</v>
      </c>
      <c r="M103" s="3604"/>
      <c r="N103" s="5352">
        <f>N97/N12</f>
        <v>0.18930339322529594</v>
      </c>
      <c r="O103" s="3603"/>
      <c r="P103" s="3603"/>
    </row>
    <row r="104" spans="1:17" s="254" customFormat="1" x14ac:dyDescent="0.35">
      <c r="A104" s="9168"/>
      <c r="B104" s="1739"/>
      <c r="C104" s="1740"/>
      <c r="D104" s="1741" t="s">
        <v>1802</v>
      </c>
      <c r="E104" s="1742"/>
      <c r="F104" s="1742"/>
      <c r="G104" s="62">
        <f>G97-G87-G88</f>
        <v>19392443.494227566</v>
      </c>
      <c r="H104" s="671">
        <f>H97-H87-H88</f>
        <v>19185595.303842105</v>
      </c>
      <c r="J104" s="247"/>
      <c r="K104" s="1742"/>
      <c r="L104" s="71">
        <f>L97-L87-L88</f>
        <v>24729181.396959107</v>
      </c>
      <c r="M104" s="106"/>
      <c r="N104" s="998">
        <f>N97-N87-N88</f>
        <v>25907712.640883841</v>
      </c>
      <c r="O104" s="235"/>
      <c r="P104" s="235"/>
    </row>
    <row r="105" spans="1:17" s="3201" customFormat="1" x14ac:dyDescent="0.35">
      <c r="A105" s="9168"/>
      <c r="B105" s="3193"/>
      <c r="C105" s="3194"/>
      <c r="D105" s="5353" t="s">
        <v>999</v>
      </c>
      <c r="E105" s="3196"/>
      <c r="F105" s="3196"/>
      <c r="G105" s="6120">
        <f>G104/(G17+G19)</f>
        <v>0.1484842123455426</v>
      </c>
      <c r="H105" s="6121">
        <f>H104/(H17+H19)</f>
        <v>0.15558902179957254</v>
      </c>
      <c r="J105" s="3200"/>
      <c r="K105" s="3196"/>
      <c r="L105" s="5354">
        <f>L104/(L17+L19)</f>
        <v>0.15804738611109972</v>
      </c>
      <c r="M105" s="3604"/>
      <c r="N105" s="5352">
        <f>N104/(N17+N19)</f>
        <v>0.1759974817549598</v>
      </c>
      <c r="O105" s="3603"/>
      <c r="P105" s="3603"/>
    </row>
    <row r="106" spans="1:17" s="3201" customFormat="1" x14ac:dyDescent="0.35">
      <c r="A106" s="9168"/>
      <c r="B106" s="3193"/>
      <c r="C106" s="3194"/>
      <c r="D106" s="3202"/>
      <c r="E106" s="3196"/>
      <c r="F106" s="3196"/>
      <c r="G106" s="3198"/>
      <c r="H106" s="3199"/>
      <c r="J106" s="3200"/>
      <c r="K106" s="3196"/>
      <c r="L106" s="5354"/>
      <c r="N106" s="3202"/>
      <c r="O106" s="3603"/>
      <c r="P106" s="3603"/>
    </row>
    <row r="107" spans="1:17" s="3201" customFormat="1" x14ac:dyDescent="0.35">
      <c r="A107" s="9168"/>
      <c r="B107" s="3193"/>
      <c r="C107" s="3194"/>
      <c r="D107" s="3204" t="s">
        <v>1000</v>
      </c>
      <c r="E107" s="3205"/>
      <c r="F107" s="5355"/>
      <c r="G107" s="3207"/>
      <c r="H107" s="3208"/>
      <c r="I107" s="5356"/>
      <c r="J107" s="429"/>
      <c r="K107" s="5355"/>
      <c r="L107" s="3209"/>
      <c r="M107" s="5356"/>
      <c r="N107" s="3210"/>
      <c r="O107" s="3603"/>
      <c r="P107" s="3603"/>
    </row>
    <row r="108" spans="1:17" s="3201" customFormat="1" x14ac:dyDescent="0.35">
      <c r="A108" s="9169"/>
      <c r="B108" s="3212"/>
      <c r="C108" s="3213"/>
      <c r="D108" s="3204" t="s">
        <v>1001</v>
      </c>
      <c r="E108" s="3214"/>
      <c r="F108" s="5357"/>
      <c r="G108" s="5656"/>
      <c r="H108" s="5657"/>
      <c r="I108" s="575"/>
      <c r="J108" s="573"/>
      <c r="K108" s="5357"/>
      <c r="L108" s="3215"/>
      <c r="M108" s="575"/>
      <c r="N108" s="3215"/>
      <c r="O108" s="3603"/>
      <c r="P108" s="3603"/>
    </row>
    <row r="109" spans="1:17" s="462" customFormat="1" ht="12" x14ac:dyDescent="0.3">
      <c r="C109" s="456"/>
      <c r="D109" s="5"/>
      <c r="E109" s="456"/>
      <c r="F109" s="456"/>
      <c r="K109" s="456"/>
      <c r="O109" s="456"/>
      <c r="P109" s="456"/>
    </row>
    <row r="110" spans="1:17" s="462" customFormat="1" ht="12" x14ac:dyDescent="0.3">
      <c r="A110" s="576" t="s">
        <v>582</v>
      </c>
      <c r="B110" s="576"/>
      <c r="C110" s="456"/>
      <c r="D110" s="5"/>
      <c r="E110" s="456"/>
      <c r="F110" s="456"/>
      <c r="K110" s="456"/>
      <c r="O110" s="456"/>
      <c r="P110" s="456"/>
    </row>
    <row r="111" spans="1:17" s="462" customFormat="1" ht="12" customHeight="1" x14ac:dyDescent="0.3">
      <c r="A111" s="463">
        <v>1</v>
      </c>
      <c r="B111" s="464"/>
      <c r="D111" s="465"/>
      <c r="E111" s="466"/>
      <c r="F111" s="466"/>
      <c r="G111" s="466"/>
      <c r="H111" s="466"/>
      <c r="I111" s="466"/>
      <c r="J111" s="466"/>
      <c r="K111" s="466"/>
      <c r="L111" s="466"/>
      <c r="M111" s="466"/>
      <c r="N111" s="466"/>
      <c r="O111" s="456"/>
      <c r="P111" s="456"/>
      <c r="Q111" s="577"/>
    </row>
    <row r="112" spans="1:17" s="462" customFormat="1" ht="12" x14ac:dyDescent="0.3">
      <c r="A112" s="468">
        <v>2</v>
      </c>
      <c r="B112" s="469"/>
      <c r="D112" s="5"/>
      <c r="E112" s="456"/>
      <c r="F112" s="456"/>
      <c r="K112" s="456"/>
      <c r="O112" s="456"/>
      <c r="P112" s="456"/>
      <c r="Q112" s="577"/>
    </row>
    <row r="113" spans="1:17" s="462" customFormat="1" ht="12" x14ac:dyDescent="0.3">
      <c r="A113" s="468"/>
      <c r="B113" s="469"/>
      <c r="D113" s="5"/>
      <c r="E113" s="456"/>
      <c r="F113" s="456"/>
      <c r="K113" s="456"/>
      <c r="O113" s="456"/>
      <c r="P113" s="456"/>
      <c r="Q113" s="577"/>
    </row>
    <row r="114" spans="1:17" s="462" customFormat="1" ht="12" x14ac:dyDescent="0.3">
      <c r="A114" s="468"/>
      <c r="B114" s="469"/>
      <c r="D114" s="5"/>
      <c r="E114" s="456"/>
      <c r="F114" s="456"/>
      <c r="K114" s="456"/>
      <c r="O114" s="456"/>
      <c r="P114" s="456"/>
      <c r="Q114" s="577"/>
    </row>
    <row r="115" spans="1:17" s="462" customFormat="1" ht="12" x14ac:dyDescent="0.3">
      <c r="A115" s="468"/>
      <c r="B115" s="469"/>
      <c r="D115" s="5"/>
      <c r="E115" s="456"/>
      <c r="F115" s="456"/>
      <c r="K115" s="456"/>
      <c r="O115" s="456"/>
      <c r="P115" s="456"/>
      <c r="Q115" s="577"/>
    </row>
    <row r="116" spans="1:17" s="462" customFormat="1" ht="12" x14ac:dyDescent="0.3">
      <c r="A116" s="468"/>
      <c r="B116" s="469"/>
      <c r="D116" s="5"/>
      <c r="E116" s="456"/>
      <c r="F116" s="456"/>
      <c r="K116" s="456"/>
      <c r="O116" s="456"/>
      <c r="P116" s="456"/>
      <c r="Q116" s="577"/>
    </row>
    <row r="117" spans="1:17" s="462" customFormat="1" ht="12" x14ac:dyDescent="0.3">
      <c r="A117" s="468"/>
      <c r="B117" s="469"/>
      <c r="D117" s="5"/>
      <c r="E117" s="456"/>
      <c r="F117" s="456"/>
      <c r="K117" s="456"/>
      <c r="O117" s="456"/>
      <c r="P117" s="456"/>
      <c r="Q117" s="577"/>
    </row>
    <row r="118" spans="1:17" s="462" customFormat="1" ht="12" x14ac:dyDescent="0.3">
      <c r="A118" s="468"/>
      <c r="B118" s="469"/>
      <c r="D118" s="5"/>
      <c r="E118" s="456"/>
      <c r="F118" s="456"/>
      <c r="K118" s="456"/>
      <c r="O118" s="456"/>
      <c r="P118" s="456"/>
      <c r="Q118" s="577"/>
    </row>
    <row r="119" spans="1:17" s="462" customFormat="1" ht="12" x14ac:dyDescent="0.3">
      <c r="A119" s="468"/>
      <c r="B119" s="469"/>
      <c r="D119" s="5"/>
      <c r="E119" s="456"/>
      <c r="F119" s="456"/>
      <c r="K119" s="456"/>
      <c r="O119" s="456"/>
      <c r="P119" s="456"/>
      <c r="Q119" s="577"/>
    </row>
    <row r="120" spans="1:17" s="462" customFormat="1" ht="12" x14ac:dyDescent="0.3">
      <c r="A120" s="468"/>
      <c r="B120" s="469"/>
      <c r="D120" s="5"/>
      <c r="E120" s="456"/>
      <c r="F120" s="456"/>
      <c r="K120" s="456"/>
      <c r="O120" s="456"/>
      <c r="P120" s="456"/>
      <c r="Q120" s="577"/>
    </row>
    <row r="121" spans="1:17" s="462" customFormat="1" ht="12" x14ac:dyDescent="0.3">
      <c r="A121" s="468"/>
      <c r="B121" s="469"/>
      <c r="D121" s="5"/>
      <c r="E121" s="456"/>
      <c r="F121" s="456"/>
      <c r="K121" s="456"/>
      <c r="O121" s="456"/>
      <c r="P121" s="456"/>
      <c r="Q121" s="577"/>
    </row>
    <row r="122" spans="1:17" s="462" customFormat="1" ht="12" x14ac:dyDescent="0.3">
      <c r="A122" s="468"/>
      <c r="B122" s="469"/>
      <c r="D122" s="5"/>
      <c r="E122" s="456"/>
      <c r="F122" s="456"/>
      <c r="K122" s="456"/>
      <c r="O122" s="456"/>
      <c r="P122" s="456"/>
      <c r="Q122" s="577"/>
    </row>
    <row r="123" spans="1:17" s="462" customFormat="1" ht="12" x14ac:dyDescent="0.3">
      <c r="A123" s="468"/>
      <c r="B123" s="469"/>
      <c r="D123" s="5"/>
      <c r="E123" s="456"/>
      <c r="F123" s="456"/>
      <c r="K123" s="456"/>
      <c r="O123" s="456"/>
      <c r="P123" s="456"/>
      <c r="Q123" s="577"/>
    </row>
    <row r="124" spans="1:17" s="462" customFormat="1" ht="12" x14ac:dyDescent="0.3">
      <c r="A124" s="468"/>
      <c r="B124" s="469"/>
      <c r="D124" s="5"/>
      <c r="E124" s="456"/>
      <c r="F124" s="456"/>
      <c r="K124" s="456"/>
      <c r="O124" s="456"/>
      <c r="P124" s="456"/>
      <c r="Q124" s="577"/>
    </row>
    <row r="125" spans="1:17" s="462" customFormat="1" ht="12" x14ac:dyDescent="0.3">
      <c r="A125" s="455" t="s">
        <v>1002</v>
      </c>
      <c r="B125" s="455"/>
      <c r="C125" s="456"/>
      <c r="D125" s="5"/>
      <c r="E125" s="456"/>
      <c r="F125" s="456"/>
      <c r="K125" s="456"/>
      <c r="O125" s="456"/>
      <c r="P125" s="456"/>
      <c r="Q125" s="577"/>
    </row>
    <row r="126" spans="1:17" s="462" customFormat="1" ht="93" customHeight="1" x14ac:dyDescent="0.3">
      <c r="A126" s="9170"/>
      <c r="B126" s="9171"/>
      <c r="C126" s="9171"/>
      <c r="D126" s="9171"/>
      <c r="E126" s="9171"/>
      <c r="F126" s="2978"/>
      <c r="G126" s="2978"/>
      <c r="H126" s="2978"/>
      <c r="I126" s="2978"/>
      <c r="J126" s="2978"/>
      <c r="K126" s="2978"/>
      <c r="L126" s="2978"/>
      <c r="M126" s="2978"/>
      <c r="N126" s="2978"/>
      <c r="O126" s="456"/>
      <c r="P126" s="456"/>
      <c r="Q126" s="577"/>
    </row>
  </sheetData>
  <mergeCells count="15">
    <mergeCell ref="A92:A108"/>
    <mergeCell ref="A126:E126"/>
    <mergeCell ref="G7:J7"/>
    <mergeCell ref="L7:N7"/>
    <mergeCell ref="A10:A30"/>
    <mergeCell ref="G10:H10"/>
    <mergeCell ref="A32:A90"/>
    <mergeCell ref="H87:H88"/>
    <mergeCell ref="N87:N88"/>
    <mergeCell ref="G1:N1"/>
    <mergeCell ref="G4:J4"/>
    <mergeCell ref="L4:N4"/>
    <mergeCell ref="Q4:Q5"/>
    <mergeCell ref="G5:J5"/>
    <mergeCell ref="L5:N5"/>
  </mergeCells>
  <hyperlinks>
    <hyperlink ref="M10" r:id="rId1" xr:uid="{D296AE8E-B329-4C32-B326-4539DFA06BE5}"/>
  </hyperlinks>
  <pageMargins left="0.23622047244094491" right="0.23622047244094491" top="0.35433070866141736" bottom="0.35433070866141736" header="0.31496062992125984" footer="0.31496062992125984"/>
  <pageSetup paperSize="9" scale="40" orientation="portrait" horizontalDpi="4294967293" r:id="rId2"/>
  <headerFooter>
    <oddFooter>&amp;R&amp;1#&amp;"Calibri"&amp;12&amp;K000000Official Use</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W135"/>
  <sheetViews>
    <sheetView zoomScale="80" zoomScaleNormal="80" workbookViewId="0">
      <pane xSplit="4" topLeftCell="AH1" activePane="topRight" state="frozen"/>
      <selection activeCell="A81" sqref="A81"/>
      <selection pane="topRight" activeCell="AS106" sqref="AS106"/>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2" width="21.6328125" customWidth="1"/>
    <col min="23" max="23" width="1.6328125" style="1" customWidth="1"/>
    <col min="24" max="26" width="21.6328125" style="6" customWidth="1"/>
    <col min="27" max="27" width="8.6328125" style="7" customWidth="1"/>
    <col min="28" max="28" width="1.6328125" style="1" customWidth="1"/>
    <col min="29" max="31" width="21.6328125" customWidth="1"/>
    <col min="32" max="32" width="1.6328125" style="1" customWidth="1"/>
    <col min="33" max="33" width="4" customWidth="1"/>
    <col min="34" max="34" width="2.453125" customWidth="1"/>
    <col min="35" max="37" width="21.6328125" style="6" customWidth="1"/>
    <col min="38" max="38" width="8.6328125" style="7" customWidth="1"/>
    <col min="39" max="39" width="1.6328125" style="1" customWidth="1"/>
    <col min="40" max="42" width="21.6328125" customWidth="1"/>
    <col min="43" max="43" width="5.453125" customWidth="1"/>
    <col min="44" max="44" width="1.6328125" style="1" customWidth="1"/>
    <col min="45" max="47" width="21.6328125" customWidth="1"/>
  </cols>
  <sheetData>
    <row r="1" spans="1:48" ht="31" x14ac:dyDescent="0.7">
      <c r="F1" s="9326" t="s">
        <v>394</v>
      </c>
      <c r="G1" s="9326"/>
      <c r="H1" s="9326"/>
      <c r="I1" s="9326"/>
      <c r="J1" s="9326"/>
      <c r="K1" s="9326"/>
      <c r="L1" s="9326"/>
      <c r="M1" s="9326"/>
      <c r="N1" s="470"/>
      <c r="O1" s="9327" t="s">
        <v>1803</v>
      </c>
      <c r="P1" s="9327"/>
      <c r="Q1" s="9327"/>
      <c r="R1" s="9327"/>
      <c r="S1" s="9327"/>
      <c r="T1" s="9327"/>
      <c r="U1" s="9327"/>
      <c r="V1" s="9327"/>
      <c r="W1" s="470"/>
      <c r="X1" s="9328" t="s">
        <v>1804</v>
      </c>
      <c r="Y1" s="9328"/>
      <c r="Z1" s="9328"/>
      <c r="AA1" s="9328"/>
      <c r="AB1" s="9328"/>
      <c r="AC1" s="9328"/>
      <c r="AD1" s="9328"/>
      <c r="AE1" s="9328"/>
      <c r="AF1" s="470"/>
      <c r="AG1" s="470"/>
      <c r="AH1" s="470"/>
      <c r="AI1" s="9329" t="s">
        <v>1805</v>
      </c>
      <c r="AJ1" s="9329"/>
      <c r="AK1" s="9329"/>
      <c r="AL1" s="9329"/>
      <c r="AM1" s="9329"/>
      <c r="AN1" s="9329"/>
      <c r="AO1" s="9329"/>
      <c r="AP1" s="9329"/>
      <c r="AQ1" s="470"/>
      <c r="AR1" s="9330" t="s">
        <v>399</v>
      </c>
      <c r="AS1" s="9330"/>
      <c r="AT1" s="9330"/>
      <c r="AU1" s="9330"/>
      <c r="AV1" s="470"/>
    </row>
    <row r="2" spans="1:48" ht="21" x14ac:dyDescent="0.5">
      <c r="B2" s="1" t="s">
        <v>829</v>
      </c>
      <c r="C2" s="4" t="s">
        <v>1806</v>
      </c>
      <c r="H2"/>
      <c r="O2"/>
      <c r="X2"/>
      <c r="AI2"/>
      <c r="AS2" s="43" t="s">
        <v>1807</v>
      </c>
    </row>
    <row r="4" spans="1:48" s="8" customFormat="1" ht="15.25" customHeight="1" x14ac:dyDescent="0.35">
      <c r="D4" s="471"/>
      <c r="F4" s="8326" t="s">
        <v>830</v>
      </c>
      <c r="H4" s="9130" t="s">
        <v>831</v>
      </c>
      <c r="I4" s="9131"/>
      <c r="J4" s="9132"/>
      <c r="L4" s="9130" t="s">
        <v>832</v>
      </c>
      <c r="M4" s="9132"/>
      <c r="O4" s="9130" t="s">
        <v>831</v>
      </c>
      <c r="P4" s="9131"/>
      <c r="Q4" s="9131"/>
      <c r="R4" s="9132"/>
      <c r="T4" s="9130" t="s">
        <v>832</v>
      </c>
      <c r="U4" s="9131"/>
      <c r="V4" s="9132"/>
      <c r="X4" s="9130" t="s">
        <v>831</v>
      </c>
      <c r="Y4" s="9131"/>
      <c r="Z4" s="9131"/>
      <c r="AA4" s="9132"/>
      <c r="AC4" s="9130" t="s">
        <v>832</v>
      </c>
      <c r="AD4" s="9131"/>
      <c r="AE4" s="9132"/>
      <c r="AG4" s="9180" t="s">
        <v>404</v>
      </c>
      <c r="AH4" s="7772"/>
      <c r="AI4" s="9130" t="s">
        <v>831</v>
      </c>
      <c r="AJ4" s="9131"/>
      <c r="AK4" s="9131"/>
      <c r="AL4" s="9132"/>
      <c r="AN4" s="9130" t="s">
        <v>832</v>
      </c>
      <c r="AO4" s="9131"/>
      <c r="AP4" s="9132"/>
      <c r="AQ4" s="9180" t="s">
        <v>404</v>
      </c>
      <c r="AS4" s="9130" t="s">
        <v>832</v>
      </c>
      <c r="AT4" s="9131"/>
      <c r="AU4" s="9132"/>
    </row>
    <row r="5" spans="1:48" x14ac:dyDescent="0.35">
      <c r="B5" s="1" t="s">
        <v>835</v>
      </c>
      <c r="C5" s="11">
        <v>2012</v>
      </c>
      <c r="F5" s="8324">
        <v>2012</v>
      </c>
      <c r="G5" s="12"/>
      <c r="H5" s="9138">
        <v>2014</v>
      </c>
      <c r="I5" s="9139"/>
      <c r="J5" s="9140"/>
      <c r="K5" s="12"/>
      <c r="L5" s="9138">
        <v>2015</v>
      </c>
      <c r="M5" s="9140"/>
      <c r="O5" s="9138">
        <v>2016</v>
      </c>
      <c r="P5" s="9139"/>
      <c r="Q5" s="9139"/>
      <c r="R5" s="9140"/>
      <c r="S5" s="12"/>
      <c r="T5" s="9138">
        <v>2017</v>
      </c>
      <c r="U5" s="9139"/>
      <c r="V5" s="9140"/>
      <c r="X5" s="9138">
        <v>2017</v>
      </c>
      <c r="Y5" s="9139"/>
      <c r="Z5" s="9139"/>
      <c r="AA5" s="9140"/>
      <c r="AB5" s="12"/>
      <c r="AC5" s="9138">
        <v>2018</v>
      </c>
      <c r="AD5" s="9139"/>
      <c r="AE5" s="9140"/>
      <c r="AG5" s="9181"/>
      <c r="AH5" s="7773"/>
      <c r="AI5" s="9138">
        <v>2018</v>
      </c>
      <c r="AJ5" s="9139"/>
      <c r="AK5" s="9139"/>
      <c r="AL5" s="9140"/>
      <c r="AM5" s="12"/>
      <c r="AN5" s="9138">
        <v>2019</v>
      </c>
      <c r="AO5" s="9139"/>
      <c r="AP5" s="9140"/>
      <c r="AQ5" s="9181"/>
      <c r="AR5" s="12"/>
      <c r="AS5" s="9138">
        <v>2020</v>
      </c>
      <c r="AT5" s="9139"/>
      <c r="AU5" s="9140"/>
    </row>
    <row r="6" spans="1:48" x14ac:dyDescent="0.35">
      <c r="C6"/>
      <c r="F6" s="6"/>
      <c r="L6" s="14"/>
      <c r="T6" s="14"/>
      <c r="U6" s="14"/>
      <c r="AC6" s="14"/>
      <c r="AD6" s="14"/>
      <c r="AG6" s="6"/>
      <c r="AH6" s="6"/>
      <c r="AN6" s="14"/>
      <c r="AO6" s="14"/>
      <c r="AQ6" s="6"/>
      <c r="AS6" s="14"/>
      <c r="AT6" s="14"/>
    </row>
    <row r="7" spans="1:48" ht="12.75" customHeight="1" x14ac:dyDescent="0.35">
      <c r="B7" s="1" t="s">
        <v>836</v>
      </c>
      <c r="C7" s="15" t="s">
        <v>1808</v>
      </c>
      <c r="D7" s="5" t="s">
        <v>417</v>
      </c>
      <c r="F7" s="8322" t="s">
        <v>1809</v>
      </c>
      <c r="H7" s="9173" t="s">
        <v>1809</v>
      </c>
      <c r="I7" s="9173"/>
      <c r="J7" s="9147" t="s">
        <v>1296</v>
      </c>
      <c r="L7" s="9149" t="s">
        <v>1809</v>
      </c>
      <c r="M7" s="9151"/>
      <c r="O7" s="9173" t="s">
        <v>1809</v>
      </c>
      <c r="P7" s="9173"/>
      <c r="Q7" s="16"/>
      <c r="R7" s="9147" t="s">
        <v>1296</v>
      </c>
      <c r="T7" s="9149" t="s">
        <v>1809</v>
      </c>
      <c r="U7" s="9150"/>
      <c r="V7" s="9151"/>
      <c r="X7" s="9173" t="s">
        <v>1809</v>
      </c>
      <c r="Y7" s="9173"/>
      <c r="Z7" s="16"/>
      <c r="AA7" s="9147" t="s">
        <v>1296</v>
      </c>
      <c r="AC7" s="9149" t="s">
        <v>1809</v>
      </c>
      <c r="AD7" s="9150"/>
      <c r="AE7" s="9151"/>
      <c r="AG7" s="18"/>
      <c r="AH7" s="18"/>
      <c r="AI7" s="9173" t="s">
        <v>840</v>
      </c>
      <c r="AJ7" s="9173"/>
      <c r="AK7" s="16"/>
      <c r="AL7" s="9147" t="s">
        <v>1296</v>
      </c>
      <c r="AN7" s="9149" t="s">
        <v>1809</v>
      </c>
      <c r="AO7" s="9150"/>
      <c r="AP7" s="9151"/>
      <c r="AQ7" s="18"/>
      <c r="AS7" s="9149" t="s">
        <v>1810</v>
      </c>
      <c r="AT7" s="9150"/>
      <c r="AU7" s="9151"/>
    </row>
    <row r="8" spans="1:48" x14ac:dyDescent="0.35">
      <c r="B8" s="1" t="s">
        <v>841</v>
      </c>
      <c r="C8" s="19" t="s">
        <v>1121</v>
      </c>
      <c r="F8" s="20" t="s">
        <v>843</v>
      </c>
      <c r="H8" s="21" t="s">
        <v>424</v>
      </c>
      <c r="I8" s="20" t="s">
        <v>843</v>
      </c>
      <c r="J8" s="9148"/>
      <c r="L8" s="21" t="s">
        <v>424</v>
      </c>
      <c r="M8" s="20" t="s">
        <v>843</v>
      </c>
      <c r="O8" s="21" t="s">
        <v>424</v>
      </c>
      <c r="P8" s="20" t="s">
        <v>843</v>
      </c>
      <c r="Q8" s="22"/>
      <c r="R8" s="9148"/>
      <c r="T8" s="21" t="s">
        <v>424</v>
      </c>
      <c r="U8" s="21"/>
      <c r="V8" s="20" t="s">
        <v>843</v>
      </c>
      <c r="X8" s="21" t="s">
        <v>424</v>
      </c>
      <c r="Y8" s="20" t="s">
        <v>843</v>
      </c>
      <c r="Z8" s="22"/>
      <c r="AA8" s="9148"/>
      <c r="AC8" s="21" t="s">
        <v>424</v>
      </c>
      <c r="AD8" s="21"/>
      <c r="AE8" s="20" t="s">
        <v>843</v>
      </c>
      <c r="AG8" s="24"/>
      <c r="AH8" s="24"/>
      <c r="AI8" s="21" t="s">
        <v>424</v>
      </c>
      <c r="AJ8" s="20" t="s">
        <v>843</v>
      </c>
      <c r="AK8" s="22"/>
      <c r="AL8" s="9148"/>
      <c r="AN8" s="21" t="s">
        <v>424</v>
      </c>
      <c r="AO8" s="21"/>
      <c r="AP8" s="20" t="s">
        <v>843</v>
      </c>
      <c r="AQ8" s="24"/>
      <c r="AS8" s="21" t="s">
        <v>424</v>
      </c>
      <c r="AT8" s="21"/>
      <c r="AU8" s="20" t="s">
        <v>843</v>
      </c>
    </row>
    <row r="9" spans="1:48" x14ac:dyDescent="0.35">
      <c r="C9"/>
      <c r="E9"/>
      <c r="F9"/>
      <c r="G9"/>
      <c r="H9"/>
      <c r="I9"/>
      <c r="J9" s="25"/>
      <c r="K9"/>
      <c r="N9"/>
      <c r="O9"/>
      <c r="P9"/>
      <c r="Q9"/>
      <c r="R9" s="25"/>
      <c r="S9"/>
      <c r="W9"/>
      <c r="X9"/>
      <c r="Y9"/>
      <c r="Z9"/>
      <c r="AA9" s="25"/>
      <c r="AB9"/>
      <c r="AF9"/>
      <c r="AI9"/>
      <c r="AJ9"/>
      <c r="AK9"/>
      <c r="AL9" s="25"/>
      <c r="AM9"/>
      <c r="AR9"/>
    </row>
    <row r="10" spans="1:48" ht="33.25" customHeight="1" x14ac:dyDescent="0.35">
      <c r="A10" s="9167" t="s">
        <v>1811</v>
      </c>
      <c r="B10" s="27"/>
      <c r="C10" s="28" t="s">
        <v>427</v>
      </c>
      <c r="D10" s="29" t="s">
        <v>428</v>
      </c>
      <c r="E10" s="30"/>
      <c r="F10" s="31"/>
      <c r="G10"/>
      <c r="H10" s="31" t="s">
        <v>1812</v>
      </c>
      <c r="I10" s="31" t="s">
        <v>1813</v>
      </c>
      <c r="J10" s="32"/>
      <c r="K10" s="33"/>
      <c r="L10" s="31" t="s">
        <v>1814</v>
      </c>
      <c r="M10" s="34" t="s">
        <v>857</v>
      </c>
      <c r="N10" s="33"/>
      <c r="O10" s="31" t="s">
        <v>1815</v>
      </c>
      <c r="P10" s="472"/>
      <c r="Q10" s="472"/>
      <c r="R10" s="32"/>
      <c r="S10" s="33"/>
      <c r="T10" s="31" t="s">
        <v>1816</v>
      </c>
      <c r="U10" s="472"/>
      <c r="V10" s="34" t="s">
        <v>857</v>
      </c>
      <c r="W10" s="33"/>
      <c r="X10" s="31" t="s">
        <v>1817</v>
      </c>
      <c r="Y10" s="31" t="s">
        <v>1817</v>
      </c>
      <c r="Z10" s="473" t="s">
        <v>1818</v>
      </c>
      <c r="AA10" s="32"/>
      <c r="AB10" s="33"/>
      <c r="AC10" s="31" t="s">
        <v>1816</v>
      </c>
      <c r="AD10" s="473" t="s">
        <v>1818</v>
      </c>
      <c r="AE10" s="34" t="s">
        <v>857</v>
      </c>
      <c r="AF10" s="33"/>
      <c r="AG10" s="39"/>
      <c r="AH10" s="18"/>
      <c r="AI10" s="31" t="s">
        <v>1819</v>
      </c>
      <c r="AJ10" s="31" t="s">
        <v>1819</v>
      </c>
      <c r="AK10" s="473" t="s">
        <v>1820</v>
      </c>
      <c r="AL10" s="32"/>
      <c r="AM10" s="33"/>
      <c r="AN10" s="31" t="s">
        <v>1821</v>
      </c>
      <c r="AO10" s="473" t="s">
        <v>1820</v>
      </c>
      <c r="AP10" s="31" t="s">
        <v>1821</v>
      </c>
      <c r="AQ10" s="39"/>
      <c r="AR10" s="33"/>
      <c r="AS10" s="31" t="s">
        <v>1822</v>
      </c>
      <c r="AT10" s="473"/>
      <c r="AU10" s="31" t="s">
        <v>1822</v>
      </c>
    </row>
    <row r="11" spans="1:48" ht="12.75" customHeight="1" x14ac:dyDescent="0.35">
      <c r="A11" s="9168"/>
      <c r="B11" s="40" t="s">
        <v>870</v>
      </c>
      <c r="C11" s="41"/>
      <c r="D11" s="42"/>
      <c r="E11" s="43"/>
      <c r="F11" s="44"/>
      <c r="G11"/>
      <c r="H11" s="45"/>
      <c r="I11" s="46"/>
      <c r="J11" s="47"/>
      <c r="K11" s="48"/>
      <c r="L11" s="45"/>
      <c r="M11" s="49"/>
      <c r="N11" s="50"/>
      <c r="O11" s="45"/>
      <c r="P11" s="474"/>
      <c r="Q11" s="474"/>
      <c r="R11" s="47"/>
      <c r="S11" s="48"/>
      <c r="T11" s="45"/>
      <c r="U11" s="474"/>
      <c r="V11" s="49"/>
      <c r="W11" s="50"/>
      <c r="X11" s="45"/>
      <c r="Y11" s="475"/>
      <c r="Z11" s="474"/>
      <c r="AA11" s="47"/>
      <c r="AB11" s="48"/>
      <c r="AC11" s="45"/>
      <c r="AD11" s="474"/>
      <c r="AE11" s="105" t="s">
        <v>1817</v>
      </c>
      <c r="AF11" s="50"/>
      <c r="AG11" s="18"/>
      <c r="AH11" s="1150"/>
      <c r="AI11" s="45"/>
      <c r="AJ11" s="475"/>
      <c r="AK11" s="474"/>
      <c r="AL11" s="47"/>
      <c r="AM11" s="48"/>
      <c r="AN11" s="45"/>
      <c r="AO11" s="474"/>
      <c r="AP11" s="105"/>
      <c r="AQ11" s="18"/>
      <c r="AR11" s="48"/>
      <c r="AS11" s="45"/>
      <c r="AT11" s="474"/>
      <c r="AU11" s="7826" t="s">
        <v>1823</v>
      </c>
    </row>
    <row r="12" spans="1:48" x14ac:dyDescent="0.35">
      <c r="A12" s="9168"/>
      <c r="B12" s="58"/>
      <c r="C12" s="59" t="s">
        <v>872</v>
      </c>
      <c r="D12" s="60"/>
      <c r="F12" s="61"/>
      <c r="G12"/>
      <c r="H12" s="62">
        <f>1645750352000+20000000000</f>
        <v>1665750352000</v>
      </c>
      <c r="I12" s="63">
        <f>1420291000000</f>
        <v>1420291000000</v>
      </c>
      <c r="J12" s="476">
        <f>IF(H12=0,0,I12/H12)</f>
        <v>0.85264337377729693</v>
      </c>
      <c r="K12" s="65"/>
      <c r="L12" s="62">
        <f>876935770000+10000000000</f>
        <v>886935770000</v>
      </c>
      <c r="M12" s="66">
        <f>L12*J12</f>
        <v>756239907256.5647</v>
      </c>
      <c r="N12" s="67"/>
      <c r="O12" s="62">
        <f>470169559091+2000000000</f>
        <v>472169559091</v>
      </c>
      <c r="P12" s="106"/>
      <c r="Q12" s="313" t="s">
        <v>1824</v>
      </c>
      <c r="R12" s="476">
        <f>IF(O12=0,0,P12/O12)</f>
        <v>0</v>
      </c>
      <c r="S12" s="65"/>
      <c r="T12" s="62">
        <f>528267720091+2000000000</f>
        <v>530267720091</v>
      </c>
      <c r="U12" s="106" t="s">
        <v>1825</v>
      </c>
      <c r="V12" s="66">
        <f>T12*R12</f>
        <v>0</v>
      </c>
      <c r="W12" s="67"/>
      <c r="X12" s="62">
        <f>T12</f>
        <v>530267720091</v>
      </c>
      <c r="Y12" s="477">
        <f>Y16-Y15</f>
        <v>591102000000</v>
      </c>
      <c r="Z12" s="313" t="s">
        <v>1825</v>
      </c>
      <c r="AA12" s="476">
        <f>IF(X12=0,0,Y12/X12)</f>
        <v>1.1147237095604465</v>
      </c>
      <c r="AB12" s="65"/>
      <c r="AC12" s="62">
        <f>AC16-AC15</f>
        <v>655089000000</v>
      </c>
      <c r="AD12" s="106" t="s">
        <v>1825</v>
      </c>
      <c r="AE12" s="66"/>
      <c r="AF12" s="67"/>
      <c r="AG12" s="26"/>
      <c r="AH12" s="943"/>
      <c r="AI12" s="62">
        <f>422770+AI13</f>
        <v>653089</v>
      </c>
      <c r="AJ12" s="63">
        <f>402552+AJ13</f>
        <v>667721</v>
      </c>
      <c r="AK12" s="313" t="s">
        <v>1826</v>
      </c>
      <c r="AL12" s="476">
        <f>IF(AI12=0,0,AJ12/AI12)</f>
        <v>1.0224042971172382</v>
      </c>
      <c r="AM12" s="65"/>
      <c r="AN12" s="62">
        <v>826628</v>
      </c>
      <c r="AO12" s="106" t="s">
        <v>1151</v>
      </c>
      <c r="AP12" s="63">
        <v>751783</v>
      </c>
      <c r="AQ12" s="26"/>
      <c r="AR12" s="65"/>
      <c r="AS12" s="62">
        <f>668557.248+206268.946747</f>
        <v>874826.194747</v>
      </c>
      <c r="AT12" s="106"/>
      <c r="AU12" s="63">
        <f>(597522+97382)*12/9</f>
        <v>926538.66666666663</v>
      </c>
    </row>
    <row r="13" spans="1:48" x14ac:dyDescent="0.35">
      <c r="A13" s="9168"/>
      <c r="B13" s="58"/>
      <c r="C13" s="6350" t="s">
        <v>1827</v>
      </c>
      <c r="D13" s="60"/>
      <c r="F13" s="61"/>
      <c r="G13"/>
      <c r="H13" s="62"/>
      <c r="I13" s="63"/>
      <c r="J13" s="476"/>
      <c r="K13" s="65"/>
      <c r="L13" s="62"/>
      <c r="M13" s="66"/>
      <c r="N13" s="67"/>
      <c r="O13" s="62"/>
      <c r="P13" s="106"/>
      <c r="Q13" s="313"/>
      <c r="R13" s="476"/>
      <c r="S13" s="65"/>
      <c r="T13" s="62"/>
      <c r="U13" s="106"/>
      <c r="V13" s="66"/>
      <c r="W13" s="67"/>
      <c r="X13" s="62"/>
      <c r="Y13" s="477"/>
      <c r="Z13" s="313"/>
      <c r="AA13" s="476"/>
      <c r="AB13" s="65"/>
      <c r="AC13" s="62"/>
      <c r="AD13" s="106"/>
      <c r="AE13" s="66"/>
      <c r="AF13" s="67"/>
      <c r="AG13" s="26"/>
      <c r="AH13" s="943"/>
      <c r="AI13" s="4898">
        <v>230319</v>
      </c>
      <c r="AJ13" s="6348">
        <v>265169</v>
      </c>
      <c r="AK13" s="313"/>
      <c r="AL13" s="476">
        <f t="shared" ref="AL13:AL16" si="0">IF(AI13=0,0,AJ13/AI13)</f>
        <v>1.15131187613701</v>
      </c>
      <c r="AM13" s="65"/>
      <c r="AN13" s="4898">
        <v>360628</v>
      </c>
      <c r="AO13" s="106"/>
      <c r="AP13" s="6348">
        <v>272097</v>
      </c>
      <c r="AQ13" s="26"/>
      <c r="AR13" s="65"/>
      <c r="AS13" s="4898"/>
      <c r="AT13" s="106"/>
      <c r="AU13" s="6348"/>
    </row>
    <row r="14" spans="1:48" x14ac:dyDescent="0.35">
      <c r="A14" s="9168"/>
      <c r="B14" s="58"/>
      <c r="C14" s="59" t="s">
        <v>1828</v>
      </c>
      <c r="D14" s="60"/>
      <c r="F14" s="61"/>
      <c r="G14"/>
      <c r="H14" s="62"/>
      <c r="I14" s="63"/>
      <c r="J14" s="476"/>
      <c r="K14" s="65"/>
      <c r="L14" s="62"/>
      <c r="M14" s="66"/>
      <c r="N14" s="67"/>
      <c r="O14" s="62"/>
      <c r="P14" s="106"/>
      <c r="Q14" s="313"/>
      <c r="R14" s="476"/>
      <c r="S14" s="65"/>
      <c r="T14" s="62"/>
      <c r="U14" s="106"/>
      <c r="V14" s="66"/>
      <c r="W14" s="67"/>
      <c r="X14" s="62"/>
      <c r="Y14" s="477"/>
      <c r="Z14" s="313"/>
      <c r="AA14" s="476"/>
      <c r="AB14" s="65"/>
      <c r="AC14" s="62"/>
      <c r="AD14" s="106"/>
      <c r="AE14" s="66"/>
      <c r="AF14" s="67"/>
      <c r="AG14" s="26"/>
      <c r="AH14" s="943"/>
      <c r="AI14" s="62">
        <v>193319</v>
      </c>
      <c r="AJ14" s="63">
        <v>147097</v>
      </c>
      <c r="AK14" s="313"/>
      <c r="AL14" s="476">
        <f t="shared" si="0"/>
        <v>0.76090296349556952</v>
      </c>
      <c r="AM14" s="65"/>
      <c r="AN14" s="62">
        <v>194975</v>
      </c>
      <c r="AO14" s="106"/>
      <c r="AP14" s="63">
        <v>125422</v>
      </c>
      <c r="AQ14" s="26"/>
      <c r="AR14" s="65"/>
      <c r="AS14" s="62">
        <v>261796</v>
      </c>
      <c r="AT14" s="106"/>
      <c r="AU14" s="63">
        <f>232129*12/9</f>
        <v>309505.33333333331</v>
      </c>
    </row>
    <row r="15" spans="1:48" x14ac:dyDescent="0.35">
      <c r="A15" s="9168"/>
      <c r="B15" s="58"/>
      <c r="C15" s="59" t="s">
        <v>1829</v>
      </c>
      <c r="D15" s="60"/>
      <c r="F15" s="61"/>
      <c r="G15"/>
      <c r="H15" s="62">
        <v>142217897000</v>
      </c>
      <c r="I15" s="63">
        <v>107432000000</v>
      </c>
      <c r="J15" s="73">
        <f t="shared" ref="J15:J16" si="1">IF(H15=0,0,I15/H15)</f>
        <v>0.75540422314077671</v>
      </c>
      <c r="K15" s="65"/>
      <c r="L15" s="62">
        <v>165018850000</v>
      </c>
      <c r="M15" s="66">
        <f t="shared" ref="M15:M16" si="2">L15*J15</f>
        <v>124655936187.83437</v>
      </c>
      <c r="N15" s="67"/>
      <c r="O15" s="62">
        <f>160194677776+15820250000</f>
        <v>176014927776</v>
      </c>
      <c r="P15" s="106"/>
      <c r="Q15" s="313"/>
      <c r="R15" s="73">
        <f t="shared" ref="R15:R16" si="3">IF(O15=0,0,P15/O15)</f>
        <v>0</v>
      </c>
      <c r="S15" s="65"/>
      <c r="T15" s="62">
        <f>81990014000+78516105000</f>
        <v>160506119000</v>
      </c>
      <c r="U15" s="106"/>
      <c r="V15" s="66">
        <f t="shared" ref="V15:V16" si="4">T15*R15</f>
        <v>0</v>
      </c>
      <c r="W15" s="67"/>
      <c r="X15" s="62">
        <f>T15</f>
        <v>160506119000</v>
      </c>
      <c r="Y15" s="477">
        <v>175577000000</v>
      </c>
      <c r="Z15" s="313"/>
      <c r="AA15" s="73">
        <f t="shared" ref="AA15:AA16" si="5">IF(X15=0,0,Y15/X15)</f>
        <v>1.09389599034539</v>
      </c>
      <c r="AB15" s="65"/>
      <c r="AC15" s="62">
        <v>191319000000</v>
      </c>
      <c r="AD15" s="106"/>
      <c r="AE15" s="66"/>
      <c r="AF15" s="67"/>
      <c r="AG15" s="26"/>
      <c r="AH15" s="943"/>
      <c r="AI15" s="4898"/>
      <c r="AJ15" s="6348"/>
      <c r="AK15" s="313"/>
      <c r="AL15" s="476">
        <f t="shared" si="0"/>
        <v>0</v>
      </c>
      <c r="AM15" s="65"/>
      <c r="AN15" s="4898"/>
      <c r="AO15" s="106"/>
      <c r="AP15" s="6348"/>
      <c r="AQ15" s="26"/>
      <c r="AR15" s="65"/>
      <c r="AS15" s="4898">
        <v>133265.08558899999</v>
      </c>
      <c r="AT15" s="106"/>
      <c r="AU15" s="6348"/>
    </row>
    <row r="16" spans="1:48" x14ac:dyDescent="0.35">
      <c r="A16" s="9168"/>
      <c r="B16" s="85"/>
      <c r="C16" s="86" t="s">
        <v>882</v>
      </c>
      <c r="D16" s="87"/>
      <c r="F16" s="88"/>
      <c r="G16"/>
      <c r="H16" s="89">
        <f>SUM(H12:H15)</f>
        <v>1807968249000</v>
      </c>
      <c r="I16" s="90">
        <f>SUM(I12:I15)</f>
        <v>1527723000000</v>
      </c>
      <c r="J16" s="91">
        <f t="shared" si="1"/>
        <v>0.84499437467720706</v>
      </c>
      <c r="K16" s="80"/>
      <c r="L16" s="89">
        <f>SUM(L12:L15)</f>
        <v>1051954620000</v>
      </c>
      <c r="M16" s="92">
        <f t="shared" si="2"/>
        <v>888895736315.69897</v>
      </c>
      <c r="N16" s="67"/>
      <c r="O16" s="89">
        <f>SUM(O12:O15)</f>
        <v>648184486867</v>
      </c>
      <c r="P16" s="216">
        <f>SUM(P12:P15)</f>
        <v>0</v>
      </c>
      <c r="Q16" s="478"/>
      <c r="R16" s="91">
        <f t="shared" si="3"/>
        <v>0</v>
      </c>
      <c r="S16" s="80"/>
      <c r="T16" s="89">
        <f>SUM(T12:T15)</f>
        <v>690773839091</v>
      </c>
      <c r="U16" s="216"/>
      <c r="V16" s="92">
        <f t="shared" si="4"/>
        <v>0</v>
      </c>
      <c r="W16" s="67"/>
      <c r="X16" s="89">
        <f>SUM(X12:X15)</f>
        <v>690773839091</v>
      </c>
      <c r="Y16" s="479">
        <v>766679000000</v>
      </c>
      <c r="Z16" s="478"/>
      <c r="AA16" s="91">
        <f t="shared" si="5"/>
        <v>1.1098842437473961</v>
      </c>
      <c r="AB16" s="80"/>
      <c r="AC16" s="89">
        <v>846408000000</v>
      </c>
      <c r="AD16" s="216"/>
      <c r="AE16" s="480">
        <f>636490000000*12/9</f>
        <v>848653333333.33337</v>
      </c>
      <c r="AF16" s="67"/>
      <c r="AG16" s="24"/>
      <c r="AH16" s="844"/>
      <c r="AI16" s="89">
        <f>AI12+AI14</f>
        <v>846408</v>
      </c>
      <c r="AJ16" s="90">
        <f>AJ12+AJ14</f>
        <v>814818</v>
      </c>
      <c r="AK16" s="478"/>
      <c r="AL16" s="476">
        <f t="shared" si="0"/>
        <v>0.96267757393597408</v>
      </c>
      <c r="AM16" s="80"/>
      <c r="AN16" s="89">
        <f>AN12+AN14</f>
        <v>1021603</v>
      </c>
      <c r="AO16" s="216"/>
      <c r="AP16" s="63">
        <f>AP12+AP14</f>
        <v>877205</v>
      </c>
      <c r="AQ16" s="24"/>
      <c r="AR16" s="80"/>
      <c r="AS16" s="89">
        <f>AS12+AS14</f>
        <v>1136622.194747</v>
      </c>
      <c r="AT16" s="216"/>
      <c r="AU16" s="63">
        <f>SUM(AU12:AU15)</f>
        <v>1236044</v>
      </c>
    </row>
    <row r="17" spans="1:47" x14ac:dyDescent="0.35">
      <c r="A17" s="9168"/>
      <c r="B17" s="100" t="s">
        <v>883</v>
      </c>
      <c r="C17" s="49"/>
      <c r="D17" s="42"/>
      <c r="E17" s="43"/>
      <c r="F17" s="101"/>
      <c r="G17"/>
      <c r="H17" s="102"/>
      <c r="I17" s="103"/>
      <c r="J17" s="104"/>
      <c r="K17" s="43"/>
      <c r="L17" s="102"/>
      <c r="M17" s="105"/>
      <c r="N17" s="43"/>
      <c r="O17" s="102"/>
      <c r="P17" s="103"/>
      <c r="Q17" s="481"/>
      <c r="R17" s="104"/>
      <c r="S17" s="43"/>
      <c r="T17" s="102"/>
      <c r="U17" s="103"/>
      <c r="V17" s="105"/>
      <c r="W17" s="43"/>
      <c r="X17" s="102"/>
      <c r="Y17" s="103"/>
      <c r="Z17" s="481"/>
      <c r="AA17" s="104"/>
      <c r="AB17" s="43"/>
      <c r="AC17" s="102"/>
      <c r="AD17" s="103" t="s">
        <v>1817</v>
      </c>
      <c r="AE17" s="105"/>
      <c r="AF17" s="43"/>
      <c r="AG17" s="18"/>
      <c r="AH17" s="1150"/>
      <c r="AI17" s="313" t="s">
        <v>1826</v>
      </c>
      <c r="AJ17" s="313" t="s">
        <v>1826</v>
      </c>
      <c r="AK17" s="481"/>
      <c r="AL17" s="104"/>
      <c r="AM17" s="43"/>
      <c r="AN17" s="102" t="s">
        <v>1151</v>
      </c>
      <c r="AO17" s="103"/>
      <c r="AP17" s="105" t="s">
        <v>1151</v>
      </c>
      <c r="AQ17" s="18"/>
      <c r="AR17" s="43"/>
      <c r="AS17" s="102"/>
      <c r="AT17" s="103"/>
      <c r="AU17" s="105"/>
    </row>
    <row r="18" spans="1:47" x14ac:dyDescent="0.35">
      <c r="A18" s="9168"/>
      <c r="B18" s="6082"/>
      <c r="C18" s="110" t="s">
        <v>885</v>
      </c>
      <c r="D18" s="60"/>
      <c r="F18" s="111"/>
      <c r="G18"/>
      <c r="H18" s="112">
        <f>344458000000+128047000000+300113000000</f>
        <v>772618000000</v>
      </c>
      <c r="I18" s="113">
        <f>338821000000+112404000000+311826000000</f>
        <v>763051000000</v>
      </c>
      <c r="J18" s="476">
        <f t="shared" ref="J18:J23" si="6">IF(H18=0,0,I18/H18)</f>
        <v>0.98761742542886655</v>
      </c>
      <c r="L18" s="112">
        <f>436846374000+288994418000</f>
        <v>725840792000</v>
      </c>
      <c r="M18" s="66">
        <f t="shared" ref="M18:M23" si="7">L18*J18</f>
        <v>716853014266.28943</v>
      </c>
      <c r="O18" s="112">
        <f>408331478749+104551501886</f>
        <v>512882980635</v>
      </c>
      <c r="P18" s="106"/>
      <c r="Q18" s="313" t="s">
        <v>1328</v>
      </c>
      <c r="R18" s="476">
        <f t="shared" ref="R18:R23" si="8">IF(O18=0,0,P18/O18)</f>
        <v>0</v>
      </c>
      <c r="T18" s="112">
        <f>433460072015+109000050000</f>
        <v>542460122015</v>
      </c>
      <c r="U18" s="106" t="s">
        <v>1830</v>
      </c>
      <c r="V18" s="66">
        <f t="shared" ref="V18" si="9">T18*R18</f>
        <v>0</v>
      </c>
      <c r="X18" s="112">
        <f>(433460000000+109000000000)</f>
        <v>542460000000</v>
      </c>
      <c r="Y18" s="199">
        <f>461500000000+108592000000</f>
        <v>570092000000</v>
      </c>
      <c r="Z18" s="313" t="s">
        <v>1825</v>
      </c>
      <c r="AA18" s="476">
        <f t="shared" ref="AA18:AA19" si="10">IF(X18=0,0,Y18/X18)</f>
        <v>1.0509383180326659</v>
      </c>
      <c r="AC18" s="112">
        <f>441000000000+112000000000</f>
        <v>553000000000</v>
      </c>
      <c r="AD18" s="106" t="s">
        <v>1831</v>
      </c>
      <c r="AE18" s="482">
        <f>(300074000000+75531000000)*12/9</f>
        <v>500806666666.66669</v>
      </c>
      <c r="AG18" s="26"/>
      <c r="AH18" s="943"/>
      <c r="AI18" s="112">
        <f>441000+112000</f>
        <v>553000</v>
      </c>
      <c r="AJ18" s="5699">
        <f>419420+109310</f>
        <v>528730</v>
      </c>
      <c r="AK18" s="313" t="s">
        <v>1832</v>
      </c>
      <c r="AL18" s="476">
        <f t="shared" ref="AL18:AL19" si="11">IF(AI18=0,0,AJ18/AI18)</f>
        <v>0.95611211573236887</v>
      </c>
      <c r="AN18" s="5698">
        <f>350000+109000+131000</f>
        <v>590000</v>
      </c>
      <c r="AO18" s="106"/>
      <c r="AP18" s="1034">
        <f>359537+82764+133015</f>
        <v>575316</v>
      </c>
      <c r="AQ18" s="26" t="s">
        <v>1833</v>
      </c>
      <c r="AS18" s="5698">
        <f>399000+110000+227000</f>
        <v>736000</v>
      </c>
      <c r="AT18" s="106"/>
      <c r="AU18" s="1034">
        <f>(310008+71345+103463)*12/9</f>
        <v>646421.33333333337</v>
      </c>
    </row>
    <row r="19" spans="1:47" x14ac:dyDescent="0.35">
      <c r="A19" s="9168"/>
      <c r="B19" s="6082"/>
      <c r="C19" s="110" t="s">
        <v>891</v>
      </c>
      <c r="D19" s="60"/>
      <c r="F19" s="122"/>
      <c r="G19"/>
      <c r="H19" s="114">
        <f>747193000000+191910000000</f>
        <v>939103000000</v>
      </c>
      <c r="I19" s="123">
        <f>512881000000+153720000000</f>
        <v>666601000000</v>
      </c>
      <c r="J19" s="476">
        <f t="shared" si="6"/>
        <v>0.70982735653064677</v>
      </c>
      <c r="L19" s="114">
        <v>472362441000</v>
      </c>
      <c r="M19" s="66">
        <f>L19*J19</f>
        <v>335295782819.39362</v>
      </c>
      <c r="O19" s="114">
        <v>207706434231</v>
      </c>
      <c r="P19" s="106"/>
      <c r="Q19" s="313"/>
      <c r="R19" s="476">
        <f t="shared" si="8"/>
        <v>0</v>
      </c>
      <c r="T19" s="114">
        <v>231411782000</v>
      </c>
      <c r="U19" s="106"/>
      <c r="V19" s="66">
        <f>T19*R19</f>
        <v>0</v>
      </c>
      <c r="X19" s="114"/>
      <c r="Y19" s="199"/>
      <c r="Z19" s="313"/>
      <c r="AA19" s="476">
        <f t="shared" si="10"/>
        <v>0</v>
      </c>
      <c r="AC19" s="114"/>
      <c r="AD19" s="106"/>
      <c r="AE19" s="482">
        <f>AC19*AA19</f>
        <v>0</v>
      </c>
      <c r="AG19" s="26"/>
      <c r="AH19" s="943"/>
      <c r="AI19" s="112">
        <f>AI20+AI21</f>
        <v>274319</v>
      </c>
      <c r="AJ19" s="5699">
        <v>222518</v>
      </c>
      <c r="AK19" s="313"/>
      <c r="AL19" s="476">
        <f t="shared" si="11"/>
        <v>0.81116510340151426</v>
      </c>
      <c r="AN19" s="112">
        <v>312975</v>
      </c>
      <c r="AO19" s="106"/>
      <c r="AP19" s="273">
        <v>278557</v>
      </c>
      <c r="AQ19" s="26"/>
      <c r="AS19" s="112">
        <v>401796</v>
      </c>
      <c r="AT19" s="106"/>
      <c r="AU19" s="273">
        <f>269385*12/9</f>
        <v>359180</v>
      </c>
    </row>
    <row r="20" spans="1:47" x14ac:dyDescent="0.35">
      <c r="A20" s="9168"/>
      <c r="B20" s="6082"/>
      <c r="C20" s="483" t="s">
        <v>1834</v>
      </c>
      <c r="D20" s="60"/>
      <c r="F20" s="122"/>
      <c r="G20"/>
      <c r="H20" s="114"/>
      <c r="I20" s="123"/>
      <c r="J20" s="476"/>
      <c r="L20" s="114"/>
      <c r="M20" s="66"/>
      <c r="O20" s="114"/>
      <c r="P20" s="106"/>
      <c r="Q20" s="313"/>
      <c r="R20" s="476"/>
      <c r="T20" s="114"/>
      <c r="U20" s="106"/>
      <c r="V20" s="66"/>
      <c r="X20" s="114">
        <v>70906000000</v>
      </c>
      <c r="Y20" s="199">
        <v>39278000000</v>
      </c>
      <c r="Z20" s="313"/>
      <c r="AA20" s="476"/>
      <c r="AC20" s="114">
        <v>83000000000</v>
      </c>
      <c r="AD20" s="106"/>
      <c r="AE20" s="482">
        <f>41221000000*12/9</f>
        <v>54961333333.333336</v>
      </c>
      <c r="AG20" s="26"/>
      <c r="AH20" s="943"/>
      <c r="AI20" s="112">
        <v>83000</v>
      </c>
      <c r="AJ20" s="5699">
        <v>71103</v>
      </c>
      <c r="AK20" s="313"/>
      <c r="AL20" s="476"/>
      <c r="AN20" s="112"/>
      <c r="AO20" s="106"/>
      <c r="AP20" s="273"/>
      <c r="AQ20" s="26"/>
      <c r="AS20" s="112"/>
      <c r="AT20" s="106"/>
      <c r="AU20" s="273"/>
    </row>
    <row r="21" spans="1:47" x14ac:dyDescent="0.35">
      <c r="A21" s="9168"/>
      <c r="B21" s="6082"/>
      <c r="C21" s="483" t="s">
        <v>1835</v>
      </c>
      <c r="D21" s="60"/>
      <c r="F21" s="122"/>
      <c r="G21"/>
      <c r="H21" s="114"/>
      <c r="I21" s="123"/>
      <c r="J21" s="476"/>
      <c r="L21" s="114"/>
      <c r="M21" s="66"/>
      <c r="O21" s="114"/>
      <c r="P21" s="106"/>
      <c r="Q21" s="313"/>
      <c r="R21" s="476"/>
      <c r="T21" s="114"/>
      <c r="U21" s="106"/>
      <c r="V21" s="66"/>
      <c r="X21" s="114">
        <v>160506000000</v>
      </c>
      <c r="Y21" s="199">
        <v>175577000000</v>
      </c>
      <c r="Z21" s="313"/>
      <c r="AA21" s="476"/>
      <c r="AC21" s="114">
        <v>191319000000</v>
      </c>
      <c r="AD21" s="106"/>
      <c r="AE21" s="482">
        <f>130072000000*12/9</f>
        <v>173429333333.33334</v>
      </c>
      <c r="AG21" s="26"/>
      <c r="AH21" s="943"/>
      <c r="AI21" s="112">
        <v>191319</v>
      </c>
      <c r="AJ21" s="5699">
        <f>AJ19-AJ20</f>
        <v>151415</v>
      </c>
      <c r="AK21" s="313"/>
      <c r="AL21" s="476"/>
      <c r="AN21" s="112"/>
      <c r="AO21" s="106"/>
      <c r="AP21" s="273"/>
      <c r="AQ21" s="26"/>
      <c r="AS21" s="112"/>
      <c r="AT21" s="106"/>
      <c r="AU21" s="273"/>
    </row>
    <row r="22" spans="1:47" x14ac:dyDescent="0.35">
      <c r="A22" s="9168"/>
      <c r="B22" s="6082"/>
      <c r="C22" s="110" t="s">
        <v>1836</v>
      </c>
      <c r="D22" s="60"/>
      <c r="F22" s="122"/>
      <c r="H22" s="114">
        <v>357930000000</v>
      </c>
      <c r="I22" s="123">
        <v>329994000000</v>
      </c>
      <c r="J22" s="476">
        <f t="shared" si="6"/>
        <v>0.92195121951219516</v>
      </c>
      <c r="L22" s="112">
        <f>44138656000+264402551000</f>
        <v>308541207000</v>
      </c>
      <c r="M22" s="66">
        <f t="shared" si="7"/>
        <v>284459942063.41467</v>
      </c>
      <c r="O22" s="114">
        <v>39041147000</v>
      </c>
      <c r="P22" s="106"/>
      <c r="Q22" s="313"/>
      <c r="R22" s="476">
        <f t="shared" si="8"/>
        <v>0</v>
      </c>
      <c r="T22" s="112">
        <v>51948194000</v>
      </c>
      <c r="U22" s="106"/>
      <c r="V22" s="66">
        <f t="shared" ref="V22:V23" si="12">T22*R22</f>
        <v>0</v>
      </c>
      <c r="X22" s="114">
        <v>192238000000</v>
      </c>
      <c r="Y22" s="199">
        <v>123284000000</v>
      </c>
      <c r="Z22" s="313"/>
      <c r="AA22" s="476">
        <f t="shared" ref="AA22:AA23" si="13">IF(X22=0,0,Y22/X22)</f>
        <v>0.64130921045786993</v>
      </c>
      <c r="AC22" s="112">
        <v>515715000000</v>
      </c>
      <c r="AD22" s="106"/>
      <c r="AE22" s="482">
        <f>53757000000*12/9</f>
        <v>71676000000</v>
      </c>
      <c r="AG22" s="26"/>
      <c r="AH22" s="943"/>
      <c r="AI22" s="112">
        <v>515715</v>
      </c>
      <c r="AJ22" s="113">
        <v>114364</v>
      </c>
      <c r="AK22" s="313"/>
      <c r="AL22" s="476">
        <f t="shared" ref="AL22:AL23" si="14">IF(AI22=0,0,AJ22/AI22)</f>
        <v>0.22175814160922214</v>
      </c>
      <c r="AN22" s="112">
        <v>203580</v>
      </c>
      <c r="AO22" s="106"/>
      <c r="AP22" s="273">
        <v>182103</v>
      </c>
      <c r="AQ22" s="26"/>
      <c r="AS22" s="112">
        <v>58878</v>
      </c>
      <c r="AT22" s="106" t="s">
        <v>1837</v>
      </c>
      <c r="AU22" s="273">
        <f>40007*12/9</f>
        <v>53342.666666666664</v>
      </c>
    </row>
    <row r="23" spans="1:47" x14ac:dyDescent="0.35">
      <c r="A23" s="9168"/>
      <c r="B23" s="128"/>
      <c r="C23" s="129" t="s">
        <v>903</v>
      </c>
      <c r="D23" s="87"/>
      <c r="F23" s="130"/>
      <c r="H23" s="131">
        <f t="shared" ref="H23:I23" si="15">SUM(H18:H22)</f>
        <v>2069651000000</v>
      </c>
      <c r="I23" s="132">
        <f t="shared" si="15"/>
        <v>1759646000000</v>
      </c>
      <c r="J23" s="484">
        <f t="shared" si="6"/>
        <v>0.85021387663910486</v>
      </c>
      <c r="L23" s="131">
        <f>SUM(L18:L22)</f>
        <v>1506744440000</v>
      </c>
      <c r="M23" s="92">
        <f t="shared" si="7"/>
        <v>1281055031436.8171</v>
      </c>
      <c r="O23" s="131">
        <f t="shared" ref="O23:P23" si="16">SUM(O18:O22)</f>
        <v>759630561866</v>
      </c>
      <c r="P23" s="216">
        <f t="shared" si="16"/>
        <v>0</v>
      </c>
      <c r="Q23" s="478"/>
      <c r="R23" s="484">
        <f t="shared" si="8"/>
        <v>0</v>
      </c>
      <c r="T23" s="131">
        <f>SUM(T18:T22)</f>
        <v>825820098015</v>
      </c>
      <c r="U23" s="216"/>
      <c r="V23" s="92">
        <f t="shared" si="12"/>
        <v>0</v>
      </c>
      <c r="X23" s="131">
        <f t="shared" ref="X23:Y23" si="17">SUM(X18:X22)</f>
        <v>966110000000</v>
      </c>
      <c r="Y23" s="212">
        <f t="shared" si="17"/>
        <v>908231000000</v>
      </c>
      <c r="Z23" s="478"/>
      <c r="AA23" s="484">
        <f t="shared" si="13"/>
        <v>0.94009067290474169</v>
      </c>
      <c r="AC23" s="131">
        <f>SUM(AC18:AC22)</f>
        <v>1343034000000</v>
      </c>
      <c r="AD23" s="216"/>
      <c r="AE23" s="485">
        <f>SUM(AE18:AE22)</f>
        <v>800873333333.33337</v>
      </c>
      <c r="AG23" s="24"/>
      <c r="AH23" s="844"/>
      <c r="AI23" s="131">
        <f>AI18+AI19+AI22</f>
        <v>1343034</v>
      </c>
      <c r="AJ23" s="212">
        <f>AJ18+AJ19+AJ22</f>
        <v>865612</v>
      </c>
      <c r="AK23" s="478"/>
      <c r="AL23" s="484">
        <f t="shared" si="14"/>
        <v>0.6445197962225826</v>
      </c>
      <c r="AN23" s="131">
        <f>SUM(AN18:AN22)</f>
        <v>1106555</v>
      </c>
      <c r="AO23" s="216"/>
      <c r="AP23" s="485">
        <f>SUM(AP18:AP22)</f>
        <v>1035976</v>
      </c>
      <c r="AQ23" s="24"/>
      <c r="AS23" s="131">
        <f>SUM(AS18:AS22)</f>
        <v>1196674</v>
      </c>
      <c r="AT23" s="216"/>
      <c r="AU23" s="485">
        <f>SUM(AU18:AU22)</f>
        <v>1058944</v>
      </c>
    </row>
    <row r="24" spans="1:47" x14ac:dyDescent="0.35">
      <c r="A24" s="9168"/>
      <c r="B24" s="139" t="s">
        <v>904</v>
      </c>
      <c r="C24" s="49"/>
      <c r="D24" s="140"/>
      <c r="E24" s="141"/>
      <c r="F24" s="142"/>
      <c r="G24" s="143"/>
      <c r="H24" s="144"/>
      <c r="I24" s="145"/>
      <c r="J24" s="486"/>
      <c r="K24" s="141"/>
      <c r="L24" s="147"/>
      <c r="M24" s="148"/>
      <c r="N24" s="141"/>
      <c r="O24" s="144"/>
      <c r="P24" s="145"/>
      <c r="Q24" s="487"/>
      <c r="R24" s="486"/>
      <c r="S24" s="141"/>
      <c r="T24" s="147"/>
      <c r="U24" s="1006"/>
      <c r="V24" s="148"/>
      <c r="W24" s="141"/>
      <c r="X24" s="144" t="s">
        <v>1838</v>
      </c>
      <c r="Y24" s="145"/>
      <c r="Z24" s="487"/>
      <c r="AA24" s="486"/>
      <c r="AB24" s="141"/>
      <c r="AC24" s="144" t="s">
        <v>1838</v>
      </c>
      <c r="AD24" s="1006"/>
      <c r="AE24" s="148"/>
      <c r="AF24" s="141"/>
      <c r="AG24" s="18"/>
      <c r="AH24" s="1150"/>
      <c r="AI24" s="313" t="s">
        <v>1826</v>
      </c>
      <c r="AJ24" s="313" t="s">
        <v>1826</v>
      </c>
      <c r="AK24" s="487"/>
      <c r="AL24" s="486"/>
      <c r="AM24" s="141"/>
      <c r="AN24" s="144" t="s">
        <v>1151</v>
      </c>
      <c r="AO24" s="1006"/>
      <c r="AP24" s="148"/>
      <c r="AQ24" s="18"/>
      <c r="AR24" s="141"/>
      <c r="AS24" s="144"/>
      <c r="AT24" s="1006"/>
      <c r="AU24" s="7827" t="s">
        <v>1823</v>
      </c>
    </row>
    <row r="25" spans="1:47" x14ac:dyDescent="0.35">
      <c r="A25" s="9168"/>
      <c r="B25" s="6082"/>
      <c r="C25" s="110" t="s">
        <v>905</v>
      </c>
      <c r="D25" s="60"/>
      <c r="F25" s="155"/>
      <c r="H25" s="117">
        <f>344458000000</f>
        <v>344458000000</v>
      </c>
      <c r="I25" s="115">
        <v>338821000000</v>
      </c>
      <c r="J25" s="476">
        <f t="shared" ref="J25:J28" si="18">IF(H25=0,0,I25/H25)</f>
        <v>0.98363516016466446</v>
      </c>
      <c r="L25" s="156">
        <f>10573833000+2177697000+12622000000+309390000+717007000+337175000+819402000+1441485000+10696683000+13043440000+956686000+4328895000+38783920000+38783920000+113589122000+31341539000+5269039000+6824468000+2726418000+1393631000+2423382000+6158211000+414384000+4703674000+1417359000+448654000+189810000+2433686000+1201929000+1482661000+353971000+1000000000+11366825000</f>
        <v>330330296000</v>
      </c>
      <c r="M25" s="157">
        <f t="shared" ref="M25:M28" si="19">L25*J25</f>
        <v>324924493613.20099</v>
      </c>
      <c r="O25" s="117"/>
      <c r="P25" s="106"/>
      <c r="Q25" s="313"/>
      <c r="R25" s="476">
        <f t="shared" ref="R25:R28" si="20">IF(O25=0,0,P25/O25)</f>
        <v>0</v>
      </c>
      <c r="T25" s="156"/>
      <c r="U25" s="312"/>
      <c r="V25" s="157">
        <f t="shared" ref="V25:V28" si="21">T25*R25</f>
        <v>0</v>
      </c>
      <c r="X25" s="117">
        <v>348460072</v>
      </c>
      <c r="Y25" s="106"/>
      <c r="Z25" s="313" t="s">
        <v>887</v>
      </c>
      <c r="AA25" s="476">
        <f t="shared" ref="AA25:AA28" si="22">IF(X25=0,0,Y25/X25)</f>
        <v>0</v>
      </c>
      <c r="AC25" s="156">
        <v>354000000000</v>
      </c>
      <c r="AD25" s="312" t="s">
        <v>887</v>
      </c>
      <c r="AE25" s="157">
        <f t="shared" ref="AE25:AE28" si="23">AC25*AA25</f>
        <v>0</v>
      </c>
      <c r="AG25" s="26"/>
      <c r="AH25" s="943"/>
      <c r="AI25" s="117">
        <v>354000</v>
      </c>
      <c r="AJ25" s="113">
        <v>319270</v>
      </c>
      <c r="AK25" s="313"/>
      <c r="AL25" s="476">
        <f t="shared" ref="AL25:AL28" si="24">IF(AI25=0,0,AJ25/AI25)</f>
        <v>0.90189265536723162</v>
      </c>
      <c r="AN25" s="156">
        <v>350000</v>
      </c>
      <c r="AO25" s="312"/>
      <c r="AP25" s="1034">
        <v>359537</v>
      </c>
      <c r="AQ25" s="26"/>
      <c r="AS25" s="156">
        <v>399000</v>
      </c>
      <c r="AT25" s="312"/>
      <c r="AU25" s="1034">
        <f>310008*12/9</f>
        <v>413344</v>
      </c>
    </row>
    <row r="26" spans="1:47" x14ac:dyDescent="0.35">
      <c r="A26" s="9168"/>
      <c r="B26" s="6082"/>
      <c r="C26" s="110" t="s">
        <v>907</v>
      </c>
      <c r="D26" s="60"/>
      <c r="F26" s="155"/>
      <c r="H26" s="117"/>
      <c r="I26" s="115"/>
      <c r="J26" s="476">
        <f t="shared" si="18"/>
        <v>0</v>
      </c>
      <c r="L26" s="156"/>
      <c r="M26" s="157">
        <f t="shared" si="19"/>
        <v>0</v>
      </c>
      <c r="O26" s="117"/>
      <c r="P26" s="106"/>
      <c r="Q26" s="313"/>
      <c r="R26" s="476">
        <f t="shared" si="20"/>
        <v>0</v>
      </c>
      <c r="T26" s="156"/>
      <c r="U26" s="312"/>
      <c r="V26" s="157">
        <f t="shared" si="21"/>
        <v>0</v>
      </c>
      <c r="X26" s="117"/>
      <c r="Y26" s="106"/>
      <c r="Z26" s="313"/>
      <c r="AA26" s="476">
        <f t="shared" si="22"/>
        <v>0</v>
      </c>
      <c r="AC26" s="156"/>
      <c r="AD26" s="312"/>
      <c r="AE26" s="157">
        <f t="shared" si="23"/>
        <v>0</v>
      </c>
      <c r="AG26" s="26"/>
      <c r="AH26" s="943"/>
      <c r="AI26" s="117"/>
      <c r="AJ26" s="113"/>
      <c r="AK26" s="313"/>
      <c r="AL26" s="476">
        <f t="shared" si="24"/>
        <v>0</v>
      </c>
      <c r="AN26" s="156"/>
      <c r="AO26" s="312"/>
      <c r="AP26" s="273"/>
      <c r="AQ26" s="26"/>
      <c r="AS26" s="156"/>
      <c r="AT26" s="312"/>
      <c r="AU26" s="273"/>
    </row>
    <row r="27" spans="1:47" ht="23" customHeight="1" x14ac:dyDescent="0.35">
      <c r="A27" s="9168"/>
      <c r="B27" s="6082"/>
      <c r="C27" s="110" t="s">
        <v>908</v>
      </c>
      <c r="D27" s="60">
        <v>1</v>
      </c>
      <c r="F27" s="155"/>
      <c r="H27" s="488">
        <v>30920357000</v>
      </c>
      <c r="I27" s="489"/>
      <c r="J27" s="476">
        <f t="shared" si="18"/>
        <v>0</v>
      </c>
      <c r="L27" s="156">
        <v>11366825000</v>
      </c>
      <c r="M27" s="157">
        <f t="shared" si="19"/>
        <v>0</v>
      </c>
      <c r="O27" s="488"/>
      <c r="P27" s="490"/>
      <c r="Q27" s="490"/>
      <c r="R27" s="476">
        <f t="shared" si="20"/>
        <v>0</v>
      </c>
      <c r="T27" s="156"/>
      <c r="U27" s="312"/>
      <c r="V27" s="157">
        <f t="shared" si="21"/>
        <v>0</v>
      </c>
      <c r="X27" s="488"/>
      <c r="Y27" s="490"/>
      <c r="Z27" s="490"/>
      <c r="AA27" s="476">
        <f t="shared" si="22"/>
        <v>0</v>
      </c>
      <c r="AC27" s="156"/>
      <c r="AD27" s="312"/>
      <c r="AE27" s="157">
        <f t="shared" si="23"/>
        <v>0</v>
      </c>
      <c r="AG27" s="257" t="s">
        <v>1839</v>
      </c>
      <c r="AH27" s="6850"/>
      <c r="AI27" s="488"/>
      <c r="AJ27" s="113"/>
      <c r="AK27" s="490"/>
      <c r="AL27" s="476">
        <f t="shared" si="24"/>
        <v>0</v>
      </c>
      <c r="AN27" s="156"/>
      <c r="AO27" s="312"/>
      <c r="AP27" s="273"/>
      <c r="AQ27" s="257"/>
      <c r="AS27" s="156"/>
      <c r="AT27" s="312"/>
      <c r="AU27" s="273"/>
    </row>
    <row r="28" spans="1:47" x14ac:dyDescent="0.35">
      <c r="A28" s="9168"/>
      <c r="B28" s="6082"/>
      <c r="C28" s="161" t="s">
        <v>910</v>
      </c>
      <c r="D28" s="162"/>
      <c r="F28" s="163"/>
      <c r="H28" s="164"/>
      <c r="I28" s="165"/>
      <c r="J28" s="476">
        <f t="shared" si="18"/>
        <v>0</v>
      </c>
      <c r="L28" s="166"/>
      <c r="M28" s="157">
        <f t="shared" si="19"/>
        <v>0</v>
      </c>
      <c r="O28" s="164"/>
      <c r="P28" s="106"/>
      <c r="Q28" s="106"/>
      <c r="R28" s="476">
        <f t="shared" si="20"/>
        <v>0</v>
      </c>
      <c r="T28" s="166"/>
      <c r="U28" s="312"/>
      <c r="V28" s="157">
        <f t="shared" si="21"/>
        <v>0</v>
      </c>
      <c r="X28" s="164"/>
      <c r="Y28" s="106"/>
      <c r="Z28" s="106"/>
      <c r="AA28" s="476">
        <f t="shared" si="22"/>
        <v>0</v>
      </c>
      <c r="AC28" s="166"/>
      <c r="AD28" s="312"/>
      <c r="AE28" s="157">
        <f t="shared" si="23"/>
        <v>0</v>
      </c>
      <c r="AG28" s="26"/>
      <c r="AH28" s="943"/>
      <c r="AI28" s="164"/>
      <c r="AJ28" s="113"/>
      <c r="AK28" s="106"/>
      <c r="AL28" s="476">
        <f t="shared" si="24"/>
        <v>0</v>
      </c>
      <c r="AN28" s="166"/>
      <c r="AO28" s="312"/>
      <c r="AP28" s="273"/>
      <c r="AQ28" s="26"/>
      <c r="AS28" s="166"/>
      <c r="AT28" s="312"/>
      <c r="AU28" s="273"/>
    </row>
    <row r="29" spans="1:47" x14ac:dyDescent="0.35">
      <c r="A29" s="9168"/>
      <c r="B29" s="128"/>
      <c r="C29" s="129" t="s">
        <v>914</v>
      </c>
      <c r="D29" s="87"/>
      <c r="F29" s="491">
        <f>IF(F26=0,0,(F27-F28)/F26)</f>
        <v>0</v>
      </c>
      <c r="G29" s="170"/>
      <c r="H29" s="492">
        <f>H27/H25</f>
        <v>8.9765245690330897E-2</v>
      </c>
      <c r="I29" s="493">
        <f t="shared" ref="I29" si="25">IF(I26=0,0,(I27-I28)/I26)</f>
        <v>0</v>
      </c>
      <c r="J29" s="494"/>
      <c r="K29" s="170"/>
      <c r="L29" s="495">
        <f>L27/L25</f>
        <v>3.441048289436946E-2</v>
      </c>
      <c r="M29" s="496">
        <f>IF(M26=0,0,M27/M26)</f>
        <v>0</v>
      </c>
      <c r="N29" s="176"/>
      <c r="O29" s="492">
        <f>L29</f>
        <v>3.441048289436946E-2</v>
      </c>
      <c r="P29" s="497">
        <f t="shared" ref="P29" si="26">IF(P26=0,0,(P27-P28)/P26)</f>
        <v>0</v>
      </c>
      <c r="Q29" s="497"/>
      <c r="R29" s="494"/>
      <c r="S29" s="170"/>
      <c r="T29" s="495">
        <f>O29</f>
        <v>3.441048289436946E-2</v>
      </c>
      <c r="U29" s="498"/>
      <c r="V29" s="496">
        <f>IF(V26=0,0,V27/V26)</f>
        <v>0</v>
      </c>
      <c r="W29" s="176"/>
      <c r="X29" s="492">
        <f>U29</f>
        <v>0</v>
      </c>
      <c r="Y29" s="497">
        <f t="shared" ref="Y29" si="27">IF(Y26=0,0,(Y27-Y28)/Y26)</f>
        <v>0</v>
      </c>
      <c r="Z29" s="497"/>
      <c r="AA29" s="494"/>
      <c r="AB29" s="170"/>
      <c r="AC29" s="495">
        <f>X29</f>
        <v>0</v>
      </c>
      <c r="AD29" s="498"/>
      <c r="AE29" s="496">
        <f>IF(AE26=0,0,AE27/AE26)</f>
        <v>0</v>
      </c>
      <c r="AF29" s="176"/>
      <c r="AG29" s="24"/>
      <c r="AH29" s="844"/>
      <c r="AI29" s="492">
        <f>AD29</f>
        <v>0</v>
      </c>
      <c r="AJ29" s="497">
        <f t="shared" ref="AJ29" si="28">IF(AJ26=0,0,(AJ27-AJ28)/AJ26)</f>
        <v>0</v>
      </c>
      <c r="AK29" s="497"/>
      <c r="AL29" s="494"/>
      <c r="AM29" s="170"/>
      <c r="AN29" s="495">
        <f>AI29</f>
        <v>0</v>
      </c>
      <c r="AO29" s="498"/>
      <c r="AP29" s="496">
        <f>IF(AP26=0,0,AP27/AP26)</f>
        <v>0</v>
      </c>
      <c r="AQ29" s="24"/>
      <c r="AR29" s="170"/>
      <c r="AS29" s="495">
        <v>0</v>
      </c>
      <c r="AT29" s="498"/>
      <c r="AU29" s="496">
        <f>IF(AU26=0,0,AU27/AU26)</f>
        <v>0</v>
      </c>
    </row>
    <row r="30" spans="1:47" x14ac:dyDescent="0.35">
      <c r="A30" s="9169"/>
      <c r="B30" s="499" t="s">
        <v>915</v>
      </c>
      <c r="C30" s="500"/>
      <c r="D30" s="501"/>
      <c r="F30" s="502"/>
      <c r="H30" s="503"/>
      <c r="I30" s="504"/>
      <c r="J30" s="505">
        <f>IF(H30=0,0,I30/H30)</f>
        <v>0</v>
      </c>
      <c r="L30" s="503"/>
      <c r="M30" s="506">
        <f t="shared" ref="M30" si="29">L30*J30</f>
        <v>0</v>
      </c>
      <c r="O30" s="503"/>
      <c r="P30" s="507"/>
      <c r="Q30" s="508"/>
      <c r="R30" s="505">
        <f>IF(O30=0,0,P30/O30)</f>
        <v>0</v>
      </c>
      <c r="T30" s="503"/>
      <c r="U30" s="508"/>
      <c r="V30" s="506">
        <f t="shared" ref="V30" si="30">T30*R30</f>
        <v>0</v>
      </c>
      <c r="X30" s="503"/>
      <c r="Y30" s="507"/>
      <c r="Z30" s="508"/>
      <c r="AA30" s="505">
        <f>IF(X30=0,0,Y30/X30)</f>
        <v>0</v>
      </c>
      <c r="AC30" s="503"/>
      <c r="AD30" s="508"/>
      <c r="AE30" s="506">
        <f t="shared" ref="AE30" si="31">AC30*AA30</f>
        <v>0</v>
      </c>
      <c r="AG30" s="509"/>
      <c r="AH30" s="6849"/>
      <c r="AI30" s="503"/>
      <c r="AJ30" s="507"/>
      <c r="AK30" s="508"/>
      <c r="AL30" s="505">
        <f>IF(AI30=0,0,AJ30/AI30)</f>
        <v>0</v>
      </c>
      <c r="AN30" s="503"/>
      <c r="AO30" s="508"/>
      <c r="AP30" s="506">
        <f t="shared" ref="AP30" si="32">AN30*AL30</f>
        <v>0</v>
      </c>
      <c r="AQ30" s="509"/>
      <c r="AS30" s="503"/>
      <c r="AT30" s="508"/>
      <c r="AU30" s="506" t="e">
        <f>AS30*#REF!</f>
        <v>#REF!</v>
      </c>
    </row>
    <row r="31" spans="1:47" x14ac:dyDescent="0.35">
      <c r="A31" s="220"/>
      <c r="B31" s="220"/>
      <c r="F31" s="106"/>
      <c r="H31" s="106"/>
      <c r="I31" s="106"/>
      <c r="J31" s="221"/>
      <c r="L31" s="106"/>
      <c r="O31" s="106"/>
      <c r="P31" s="106"/>
      <c r="Q31" s="106"/>
      <c r="R31" s="221"/>
      <c r="T31" s="106"/>
      <c r="U31" s="106"/>
      <c r="X31" s="106"/>
      <c r="Y31" s="106"/>
      <c r="Z31" s="106"/>
      <c r="AA31" s="221"/>
      <c r="AC31" s="106"/>
      <c r="AD31" s="106"/>
      <c r="AI31" s="106"/>
      <c r="AJ31" s="106"/>
      <c r="AK31" s="106"/>
      <c r="AL31" s="221"/>
      <c r="AN31" s="106"/>
      <c r="AO31" s="106"/>
      <c r="AS31" s="106"/>
      <c r="AT31" s="106"/>
    </row>
    <row r="32" spans="1:47" ht="27.75" customHeight="1" x14ac:dyDescent="0.35">
      <c r="A32" s="9167" t="s">
        <v>1840</v>
      </c>
      <c r="B32" s="27"/>
      <c r="C32" s="28" t="s">
        <v>427</v>
      </c>
      <c r="D32" s="42" t="s">
        <v>428</v>
      </c>
      <c r="E32" s="30"/>
      <c r="F32" s="31"/>
      <c r="G32" s="510"/>
      <c r="H32" s="31"/>
      <c r="I32" s="31"/>
      <c r="J32" s="224"/>
      <c r="K32" s="223"/>
      <c r="L32" s="222"/>
      <c r="M32" s="511"/>
      <c r="N32" s="30"/>
      <c r="O32" s="31" t="s">
        <v>1671</v>
      </c>
      <c r="P32" s="472"/>
      <c r="Q32" s="512" t="s">
        <v>1841</v>
      </c>
      <c r="R32" s="224"/>
      <c r="S32" s="223"/>
      <c r="T32" s="222" t="s">
        <v>1842</v>
      </c>
      <c r="U32" s="512" t="s">
        <v>1841</v>
      </c>
      <c r="V32" s="511"/>
      <c r="W32" s="30"/>
      <c r="X32" s="31" t="s">
        <v>1671</v>
      </c>
      <c r="Y32" s="472"/>
      <c r="Z32" s="512" t="s">
        <v>1841</v>
      </c>
      <c r="AA32" s="224"/>
      <c r="AB32" s="223"/>
      <c r="AC32" s="222" t="s">
        <v>1842</v>
      </c>
      <c r="AD32" s="512" t="s">
        <v>1841</v>
      </c>
      <c r="AE32" s="511"/>
      <c r="AF32" s="30"/>
      <c r="AG32" s="39"/>
      <c r="AH32" s="18"/>
      <c r="AI32" s="222" t="s">
        <v>1843</v>
      </c>
      <c r="AJ32" s="222"/>
      <c r="AK32" s="512"/>
      <c r="AL32" s="224"/>
      <c r="AM32" s="223"/>
      <c r="AN32" s="222" t="s">
        <v>1843</v>
      </c>
      <c r="AO32" s="512"/>
      <c r="AP32" s="511"/>
      <c r="AQ32" s="39"/>
      <c r="AR32" s="223"/>
      <c r="AS32" s="36" t="s">
        <v>1146</v>
      </c>
      <c r="AT32" s="512"/>
      <c r="AU32" s="511"/>
    </row>
    <row r="33" spans="1:47" x14ac:dyDescent="0.35">
      <c r="A33" s="9168"/>
      <c r="B33" s="141" t="s">
        <v>925</v>
      </c>
      <c r="C33"/>
      <c r="D33" s="140"/>
      <c r="E33" s="143"/>
      <c r="F33" s="227"/>
      <c r="G33" s="143"/>
      <c r="H33" s="102"/>
      <c r="I33" s="103"/>
      <c r="J33" s="228"/>
      <c r="K33" s="143"/>
      <c r="L33" s="102"/>
      <c r="M33" s="229"/>
      <c r="N33" s="143"/>
      <c r="O33" s="102" t="s">
        <v>1844</v>
      </c>
      <c r="P33" s="103"/>
      <c r="Q33" s="481"/>
      <c r="R33" s="228"/>
      <c r="S33" s="143"/>
      <c r="T33" s="102" t="s">
        <v>1845</v>
      </c>
      <c r="U33" s="106"/>
      <c r="V33" s="229"/>
      <c r="W33" s="143"/>
      <c r="X33" s="102" t="s">
        <v>1845</v>
      </c>
      <c r="Y33" s="103"/>
      <c r="Z33" s="481"/>
      <c r="AA33" s="228"/>
      <c r="AB33" s="143"/>
      <c r="AC33" s="102" t="s">
        <v>1846</v>
      </c>
      <c r="AD33" s="106"/>
      <c r="AE33" s="229"/>
      <c r="AF33" s="143"/>
      <c r="AG33" s="18"/>
      <c r="AH33" s="1150"/>
      <c r="AI33" s="102"/>
      <c r="AJ33" s="103"/>
      <c r="AK33" s="481"/>
      <c r="AL33" s="228"/>
      <c r="AM33" s="143"/>
      <c r="AN33" s="102"/>
      <c r="AO33" s="106"/>
      <c r="AP33" s="229"/>
      <c r="AQ33" s="18"/>
      <c r="AR33" s="143"/>
      <c r="AS33" s="102"/>
      <c r="AT33" s="106"/>
      <c r="AU33" s="229"/>
    </row>
    <row r="34" spans="1:47" x14ac:dyDescent="0.35">
      <c r="A34" s="9168"/>
      <c r="B34" s="232"/>
      <c r="C34" s="232" t="s">
        <v>1286</v>
      </c>
      <c r="D34" s="60"/>
      <c r="F34" s="111"/>
      <c r="H34" s="112">
        <v>127142473000</v>
      </c>
      <c r="I34" s="113"/>
      <c r="J34" s="476">
        <f t="shared" ref="J34:J44" si="33">IF(H34=0,0,I34/H34)</f>
        <v>0</v>
      </c>
      <c r="L34" s="112">
        <v>127936972000</v>
      </c>
      <c r="M34" s="157">
        <f t="shared" ref="M34:M44" si="34">L34*J34</f>
        <v>0</v>
      </c>
      <c r="O34" s="112"/>
      <c r="P34" s="106"/>
      <c r="Q34" s="313"/>
      <c r="R34" s="476">
        <f t="shared" ref="R34:R44" si="35">IF(O34=0,0,P34/O34)</f>
        <v>0</v>
      </c>
      <c r="T34" s="112"/>
      <c r="U34" s="106"/>
      <c r="V34" s="157">
        <f t="shared" ref="V34:V44" si="36">T34*R34</f>
        <v>0</v>
      </c>
      <c r="X34" s="112"/>
      <c r="Y34" s="106"/>
      <c r="Z34" s="313"/>
      <c r="AA34" s="476">
        <f t="shared" ref="AA34" si="37">IF(X34=0,0,Y34/X34)</f>
        <v>0</v>
      </c>
      <c r="AC34" s="112"/>
      <c r="AD34" s="106"/>
      <c r="AE34" s="157">
        <f t="shared" ref="AE34" si="38">AC34*AA34</f>
        <v>0</v>
      </c>
      <c r="AG34" s="26"/>
      <c r="AH34" s="943"/>
      <c r="AI34" s="112"/>
      <c r="AJ34" s="113"/>
      <c r="AK34" s="313"/>
      <c r="AL34" s="476">
        <f t="shared" ref="AL34" si="39">IF(AI34=0,0,AJ34/AI34)</f>
        <v>0</v>
      </c>
      <c r="AN34" s="593"/>
      <c r="AO34" s="106"/>
      <c r="AP34" s="157">
        <f t="shared" ref="AP34" si="40">AN34*AL34</f>
        <v>0</v>
      </c>
      <c r="AQ34" s="26"/>
      <c r="AS34" s="593"/>
      <c r="AT34" s="106"/>
      <c r="AU34" s="157"/>
    </row>
    <row r="35" spans="1:47" x14ac:dyDescent="0.35">
      <c r="A35" s="9168"/>
      <c r="B35" s="232"/>
      <c r="C35" s="513" t="s">
        <v>1363</v>
      </c>
      <c r="D35" s="60"/>
      <c r="F35" s="111"/>
      <c r="H35" s="112"/>
      <c r="I35" s="113"/>
      <c r="J35" s="476"/>
      <c r="L35" s="112"/>
      <c r="M35" s="157"/>
      <c r="O35" s="112">
        <f>111174577000+2452200000</f>
        <v>113626777000</v>
      </c>
      <c r="P35" s="106"/>
      <c r="Q35" s="313" t="s">
        <v>1847</v>
      </c>
      <c r="R35" s="476"/>
      <c r="T35" s="112">
        <f>108604276000+1571850000</f>
        <v>110176126000</v>
      </c>
      <c r="U35" s="106" t="s">
        <v>1848</v>
      </c>
      <c r="V35" s="157"/>
      <c r="X35" s="112">
        <v>108604276000</v>
      </c>
      <c r="Y35" s="106"/>
      <c r="Z35" s="313" t="s">
        <v>1849</v>
      </c>
      <c r="AA35" s="476"/>
      <c r="AC35" s="112">
        <v>108604276000</v>
      </c>
      <c r="AD35" s="313" t="s">
        <v>1849</v>
      </c>
      <c r="AE35" s="157"/>
      <c r="AG35" s="26"/>
      <c r="AH35" s="943"/>
      <c r="AI35" s="593">
        <f>108604.276+1571.85</f>
        <v>110176.126</v>
      </c>
      <c r="AJ35" s="113"/>
      <c r="AK35" s="313" t="s">
        <v>1850</v>
      </c>
      <c r="AL35" s="476"/>
      <c r="AN35" s="593">
        <f>107042.519+1500</f>
        <v>108542.519</v>
      </c>
      <c r="AO35" s="313" t="s">
        <v>1850</v>
      </c>
      <c r="AP35" s="157"/>
      <c r="AQ35" s="26"/>
      <c r="AS35" s="593">
        <f>118111.731266+2080</f>
        <v>120191.731266</v>
      </c>
      <c r="AT35" s="313" t="s">
        <v>1851</v>
      </c>
      <c r="AU35" s="157"/>
    </row>
    <row r="36" spans="1:47" x14ac:dyDescent="0.35">
      <c r="A36" s="9168"/>
      <c r="B36" s="232"/>
      <c r="C36" s="513" t="s">
        <v>1116</v>
      </c>
      <c r="D36" s="60"/>
      <c r="F36" s="111"/>
      <c r="H36" s="112"/>
      <c r="I36" s="113"/>
      <c r="J36" s="476"/>
      <c r="L36" s="112"/>
      <c r="M36" s="157"/>
      <c r="O36" s="112">
        <v>13493114600</v>
      </c>
      <c r="P36" s="106"/>
      <c r="Q36" s="313" t="s">
        <v>1847</v>
      </c>
      <c r="R36" s="476"/>
      <c r="T36" s="112">
        <v>17080088200</v>
      </c>
      <c r="U36" s="106" t="s">
        <v>1848</v>
      </c>
      <c r="V36" s="157"/>
      <c r="X36" s="112">
        <v>17080088000</v>
      </c>
      <c r="Y36" s="106"/>
      <c r="Z36" s="313" t="s">
        <v>1849</v>
      </c>
      <c r="AA36" s="476"/>
      <c r="AC36" s="112">
        <v>9631560000</v>
      </c>
      <c r="AD36" s="313" t="s">
        <v>1849</v>
      </c>
      <c r="AE36" s="157"/>
      <c r="AG36" s="26"/>
      <c r="AH36" s="943"/>
      <c r="AI36" s="593">
        <v>9631.56</v>
      </c>
      <c r="AJ36" s="113"/>
      <c r="AK36" s="313"/>
      <c r="AL36" s="476"/>
      <c r="AN36" s="593">
        <v>12819.864</v>
      </c>
      <c r="AO36" s="313"/>
      <c r="AP36" s="157"/>
      <c r="AQ36" s="26"/>
      <c r="AS36" s="593">
        <v>17156.758170000001</v>
      </c>
      <c r="AT36" s="313" t="s">
        <v>1852</v>
      </c>
      <c r="AU36" s="157"/>
    </row>
    <row r="37" spans="1:47" x14ac:dyDescent="0.35">
      <c r="A37" s="9168"/>
      <c r="B37" s="232"/>
      <c r="C37" s="7963" t="s">
        <v>1853</v>
      </c>
      <c r="D37" s="60"/>
      <c r="F37" s="111"/>
      <c r="H37" s="112"/>
      <c r="I37" s="113"/>
      <c r="J37" s="476"/>
      <c r="L37" s="112"/>
      <c r="M37" s="157"/>
      <c r="O37" s="112"/>
      <c r="P37" s="106"/>
      <c r="Q37" s="313"/>
      <c r="R37" s="476"/>
      <c r="T37" s="112"/>
      <c r="U37" s="106"/>
      <c r="V37" s="157"/>
      <c r="X37" s="112"/>
      <c r="Y37" s="106"/>
      <c r="Z37" s="313"/>
      <c r="AA37" s="476"/>
      <c r="AC37" s="112"/>
      <c r="AD37" s="313"/>
      <c r="AE37" s="157"/>
      <c r="AG37" s="26"/>
      <c r="AH37" s="943"/>
      <c r="AI37" s="593"/>
      <c r="AJ37" s="113"/>
      <c r="AK37" s="313"/>
      <c r="AL37" s="476"/>
      <c r="AN37" s="593"/>
      <c r="AO37" s="313"/>
      <c r="AP37" s="157"/>
      <c r="AQ37" s="26"/>
      <c r="AS37" s="7828">
        <f>3900+3600</f>
        <v>7500</v>
      </c>
      <c r="AT37" s="313"/>
      <c r="AU37" s="157"/>
    </row>
    <row r="38" spans="1:47" x14ac:dyDescent="0.35">
      <c r="A38" s="9168"/>
      <c r="B38" s="232"/>
      <c r="C38" s="240" t="s">
        <v>1276</v>
      </c>
      <c r="D38" s="60"/>
      <c r="F38" s="111"/>
      <c r="H38" s="112"/>
      <c r="I38" s="113"/>
      <c r="J38" s="476"/>
      <c r="L38" s="112"/>
      <c r="M38" s="157"/>
      <c r="O38" s="112"/>
      <c r="P38" s="106"/>
      <c r="Q38" s="313"/>
      <c r="R38" s="476"/>
      <c r="T38" s="112"/>
      <c r="U38" s="106"/>
      <c r="V38" s="157"/>
      <c r="X38" s="112"/>
      <c r="Y38" s="106"/>
      <c r="Z38" s="313"/>
      <c r="AA38" s="476"/>
      <c r="AC38" s="112"/>
      <c r="AD38" s="106"/>
      <c r="AE38" s="157"/>
      <c r="AG38" s="26"/>
      <c r="AH38" s="943"/>
      <c r="AI38" s="112"/>
      <c r="AJ38" s="113"/>
      <c r="AK38" s="313"/>
      <c r="AL38" s="476"/>
      <c r="AN38" s="593"/>
      <c r="AO38" s="106"/>
      <c r="AP38" s="157"/>
      <c r="AQ38" s="26"/>
      <c r="AS38" s="593"/>
      <c r="AT38" s="106"/>
      <c r="AU38" s="157"/>
    </row>
    <row r="39" spans="1:47" x14ac:dyDescent="0.35">
      <c r="A39" s="9168"/>
      <c r="B39" s="232"/>
      <c r="C39" s="513" t="s">
        <v>1363</v>
      </c>
      <c r="D39" s="60"/>
      <c r="F39" s="111"/>
      <c r="H39" s="112"/>
      <c r="I39" s="113"/>
      <c r="J39" s="476"/>
      <c r="L39" s="112"/>
      <c r="M39" s="157"/>
      <c r="O39" s="112">
        <v>375000000</v>
      </c>
      <c r="P39" s="106"/>
      <c r="Q39" s="313" t="s">
        <v>1854</v>
      </c>
      <c r="R39" s="476"/>
      <c r="T39" s="112">
        <v>351501000</v>
      </c>
      <c r="U39" s="106" t="s">
        <v>1855</v>
      </c>
      <c r="V39" s="157"/>
      <c r="X39" s="112">
        <v>351501000</v>
      </c>
      <c r="Y39" s="106"/>
      <c r="Z39" s="313" t="s">
        <v>1856</v>
      </c>
      <c r="AA39" s="476"/>
      <c r="AC39" s="112">
        <v>351501000</v>
      </c>
      <c r="AD39" s="313" t="s">
        <v>1856</v>
      </c>
      <c r="AE39" s="157"/>
      <c r="AG39" s="26"/>
      <c r="AH39" s="943"/>
      <c r="AI39" s="112">
        <v>351.50099999999998</v>
      </c>
      <c r="AJ39" s="113"/>
      <c r="AK39" s="313" t="s">
        <v>1857</v>
      </c>
      <c r="AL39" s="476"/>
      <c r="AN39" s="112">
        <v>520.63099999999997</v>
      </c>
      <c r="AO39" s="313" t="s">
        <v>1857</v>
      </c>
      <c r="AP39" s="157"/>
      <c r="AQ39" s="26"/>
      <c r="AS39" s="112">
        <f>1284.665984</f>
        <v>1284.665984</v>
      </c>
      <c r="AT39" s="313" t="s">
        <v>1851</v>
      </c>
      <c r="AU39" s="157"/>
    </row>
    <row r="40" spans="1:47" x14ac:dyDescent="0.35">
      <c r="A40" s="9168"/>
      <c r="B40" s="232"/>
      <c r="C40" s="513" t="s">
        <v>1116</v>
      </c>
      <c r="D40" s="60"/>
      <c r="F40" s="111"/>
      <c r="H40" s="112"/>
      <c r="I40" s="113"/>
      <c r="J40" s="476"/>
      <c r="L40" s="112"/>
      <c r="M40" s="157"/>
      <c r="O40" s="112"/>
      <c r="P40" s="106"/>
      <c r="Q40" s="313"/>
      <c r="R40" s="476"/>
      <c r="T40" s="112"/>
      <c r="U40" s="106"/>
      <c r="V40" s="157"/>
      <c r="X40" s="112"/>
      <c r="Y40" s="106"/>
      <c r="Z40" s="313"/>
      <c r="AA40" s="476"/>
      <c r="AC40" s="112"/>
      <c r="AD40" s="106"/>
      <c r="AE40" s="157"/>
      <c r="AG40" s="26"/>
      <c r="AH40" s="943"/>
      <c r="AI40" s="112">
        <v>0</v>
      </c>
      <c r="AJ40" s="113"/>
      <c r="AK40" s="313"/>
      <c r="AL40" s="476"/>
      <c r="AN40" s="112">
        <v>3858</v>
      </c>
      <c r="AO40" s="313"/>
      <c r="AP40" s="157"/>
      <c r="AQ40" s="26"/>
      <c r="AS40" s="112">
        <v>1308</v>
      </c>
      <c r="AT40" s="313" t="s">
        <v>1852</v>
      </c>
      <c r="AU40" s="157"/>
    </row>
    <row r="41" spans="1:47" x14ac:dyDescent="0.35">
      <c r="A41" s="9168"/>
      <c r="B41" s="232"/>
      <c r="C41" s="7963" t="s">
        <v>1853</v>
      </c>
      <c r="D41" s="60"/>
      <c r="F41" s="111"/>
      <c r="H41" s="112"/>
      <c r="I41" s="113"/>
      <c r="J41" s="476"/>
      <c r="L41" s="112"/>
      <c r="M41" s="157"/>
      <c r="O41" s="112"/>
      <c r="P41" s="106"/>
      <c r="Q41" s="313"/>
      <c r="R41" s="476"/>
      <c r="T41" s="112"/>
      <c r="U41" s="106"/>
      <c r="V41" s="157"/>
      <c r="X41" s="112"/>
      <c r="Y41" s="106"/>
      <c r="Z41" s="313"/>
      <c r="AA41" s="476"/>
      <c r="AC41" s="112"/>
      <c r="AD41" s="313"/>
      <c r="AE41" s="157"/>
      <c r="AG41" s="26"/>
      <c r="AH41" s="943"/>
      <c r="AI41" s="593"/>
      <c r="AJ41" s="113"/>
      <c r="AK41" s="313"/>
      <c r="AL41" s="476"/>
      <c r="AN41" s="593"/>
      <c r="AO41" s="313"/>
      <c r="AP41" s="157"/>
      <c r="AQ41" s="26"/>
      <c r="AS41" s="7828">
        <v>150</v>
      </c>
      <c r="AT41" s="313"/>
      <c r="AU41" s="157"/>
    </row>
    <row r="42" spans="1:47" x14ac:dyDescent="0.35">
      <c r="A42" s="9168"/>
      <c r="B42" s="240"/>
      <c r="C42" s="240" t="s">
        <v>937</v>
      </c>
      <c r="D42" s="60"/>
      <c r="F42" s="155"/>
      <c r="H42" s="117">
        <v>58116860000</v>
      </c>
      <c r="I42" s="115"/>
      <c r="J42" s="476">
        <f t="shared" si="33"/>
        <v>0</v>
      </c>
      <c r="L42" s="117">
        <v>23737939000</v>
      </c>
      <c r="M42" s="157">
        <f t="shared" si="34"/>
        <v>0</v>
      </c>
      <c r="O42" s="117"/>
      <c r="P42" s="106"/>
      <c r="Q42" s="313"/>
      <c r="R42" s="476">
        <f t="shared" si="35"/>
        <v>0</v>
      </c>
      <c r="T42" s="117"/>
      <c r="U42" s="106"/>
      <c r="V42" s="157">
        <f t="shared" si="36"/>
        <v>0</v>
      </c>
      <c r="X42" s="117"/>
      <c r="Y42" s="106"/>
      <c r="Z42" s="313"/>
      <c r="AA42" s="476">
        <f t="shared" ref="AA42:AA44" si="41">IF(X42=0,0,Y42/X42)</f>
        <v>0</v>
      </c>
      <c r="AC42" s="117"/>
      <c r="AD42" s="106"/>
      <c r="AE42" s="157">
        <f t="shared" ref="AE42:AE44" si="42">AC42*AA42</f>
        <v>0</v>
      </c>
      <c r="AG42" s="26"/>
      <c r="AH42" s="943"/>
      <c r="AI42" s="117"/>
      <c r="AJ42" s="113"/>
      <c r="AK42" s="313"/>
      <c r="AL42" s="476">
        <f t="shared" ref="AL42:AL44" si="43">IF(AI42=0,0,AJ42/AI42)</f>
        <v>0</v>
      </c>
      <c r="AN42" s="117"/>
      <c r="AO42" s="313"/>
      <c r="AP42" s="157">
        <f t="shared" ref="AP42:AP44" si="44">AN42*AL42</f>
        <v>0</v>
      </c>
      <c r="AQ42" s="26"/>
      <c r="AS42" s="117"/>
      <c r="AT42" s="313"/>
      <c r="AU42" s="157"/>
    </row>
    <row r="43" spans="1:47" x14ac:dyDescent="0.35">
      <c r="A43" s="9168"/>
      <c r="B43" s="241"/>
      <c r="C43" s="513" t="s">
        <v>1363</v>
      </c>
      <c r="D43" s="60"/>
      <c r="F43" s="163"/>
      <c r="H43" s="242"/>
      <c r="I43" s="243"/>
      <c r="J43" s="476">
        <f t="shared" si="33"/>
        <v>0</v>
      </c>
      <c r="L43" s="242"/>
      <c r="M43" s="157">
        <f t="shared" si="34"/>
        <v>0</v>
      </c>
      <c r="O43" s="242">
        <f>4532710000+10616451000</f>
        <v>15149161000</v>
      </c>
      <c r="P43" s="106"/>
      <c r="Q43" s="313" t="s">
        <v>1858</v>
      </c>
      <c r="R43" s="476">
        <f t="shared" si="35"/>
        <v>0</v>
      </c>
      <c r="T43" s="242">
        <f>5254867000+10102604000</f>
        <v>15357471000</v>
      </c>
      <c r="U43" s="106" t="s">
        <v>1859</v>
      </c>
      <c r="V43" s="157">
        <f t="shared" si="36"/>
        <v>0</v>
      </c>
      <c r="X43" s="242">
        <f>15670588000-X44</f>
        <v>13611580000</v>
      </c>
      <c r="Y43" s="106"/>
      <c r="Z43" s="313" t="s">
        <v>1860</v>
      </c>
      <c r="AA43" s="476">
        <f t="shared" si="41"/>
        <v>0</v>
      </c>
      <c r="AC43" s="242">
        <f>20894325000-AC44</f>
        <v>13611580000</v>
      </c>
      <c r="AD43" s="313" t="s">
        <v>1860</v>
      </c>
      <c r="AE43" s="157">
        <f t="shared" si="42"/>
        <v>0</v>
      </c>
      <c r="AG43" s="26"/>
      <c r="AH43" s="943"/>
      <c r="AI43" s="242">
        <f>5254.867+8356.713</f>
        <v>13611.58</v>
      </c>
      <c r="AJ43" s="113"/>
      <c r="AK43" s="313" t="s">
        <v>1501</v>
      </c>
      <c r="AL43" s="476">
        <f t="shared" si="43"/>
        <v>0</v>
      </c>
      <c r="AN43" s="242">
        <f>5817.946+19956.713</f>
        <v>25774.659</v>
      </c>
      <c r="AO43" s="313" t="s">
        <v>1501</v>
      </c>
      <c r="AP43" s="157">
        <f t="shared" si="44"/>
        <v>0</v>
      </c>
      <c r="AQ43" s="26"/>
      <c r="AS43" s="242">
        <f>6780.392341+15927.31581</f>
        <v>22707.708150999999</v>
      </c>
      <c r="AT43" s="313" t="s">
        <v>1851</v>
      </c>
      <c r="AU43" s="157"/>
    </row>
    <row r="44" spans="1:47" x14ac:dyDescent="0.35">
      <c r="A44" s="9168"/>
      <c r="B44" s="241"/>
      <c r="C44" s="513" t="s">
        <v>1116</v>
      </c>
      <c r="D44" s="60"/>
      <c r="F44" s="163"/>
      <c r="H44" s="242"/>
      <c r="I44" s="243"/>
      <c r="J44" s="476">
        <f t="shared" si="33"/>
        <v>0</v>
      </c>
      <c r="L44" s="242"/>
      <c r="M44" s="157">
        <f t="shared" si="34"/>
        <v>0</v>
      </c>
      <c r="O44" s="242">
        <v>282343000</v>
      </c>
      <c r="P44" s="106"/>
      <c r="Q44" s="313" t="s">
        <v>1858</v>
      </c>
      <c r="R44" s="476">
        <f t="shared" si="35"/>
        <v>0</v>
      </c>
      <c r="T44" s="242">
        <v>1275476000</v>
      </c>
      <c r="U44" s="106" t="s">
        <v>1859</v>
      </c>
      <c r="V44" s="157">
        <f t="shared" si="36"/>
        <v>0</v>
      </c>
      <c r="X44" s="242">
        <v>2059008000</v>
      </c>
      <c r="Y44" s="106"/>
      <c r="Z44" s="313" t="s">
        <v>1860</v>
      </c>
      <c r="AA44" s="476">
        <f t="shared" si="41"/>
        <v>0</v>
      </c>
      <c r="AC44" s="242">
        <v>7282745000</v>
      </c>
      <c r="AD44" s="313" t="s">
        <v>1860</v>
      </c>
      <c r="AE44" s="157">
        <f t="shared" si="42"/>
        <v>0</v>
      </c>
      <c r="AG44" s="26"/>
      <c r="AH44" s="943"/>
      <c r="AI44" s="242">
        <v>4681.7449999999999</v>
      </c>
      <c r="AJ44" s="113"/>
      <c r="AK44" s="313"/>
      <c r="AL44" s="476">
        <f t="shared" si="43"/>
        <v>0</v>
      </c>
      <c r="AN44" s="242">
        <v>5767.7190000000001</v>
      </c>
      <c r="AO44" s="313"/>
      <c r="AP44" s="157">
        <f t="shared" si="44"/>
        <v>0</v>
      </c>
      <c r="AQ44" s="26"/>
      <c r="AS44" s="242">
        <v>6319.8235000000004</v>
      </c>
      <c r="AT44" s="313" t="s">
        <v>1852</v>
      </c>
      <c r="AU44" s="157"/>
    </row>
    <row r="45" spans="1:47" x14ac:dyDescent="0.35">
      <c r="A45" s="9168"/>
      <c r="B45" s="232"/>
      <c r="C45" s="7963" t="s">
        <v>1853</v>
      </c>
      <c r="D45" s="60"/>
      <c r="F45" s="111"/>
      <c r="H45" s="112"/>
      <c r="I45" s="113"/>
      <c r="J45" s="476"/>
      <c r="L45" s="112"/>
      <c r="M45" s="157"/>
      <c r="O45" s="112"/>
      <c r="P45" s="106"/>
      <c r="Q45" s="313"/>
      <c r="R45" s="476"/>
      <c r="T45" s="112"/>
      <c r="U45" s="106"/>
      <c r="V45" s="157"/>
      <c r="X45" s="112"/>
      <c r="Y45" s="106"/>
      <c r="Z45" s="313"/>
      <c r="AA45" s="476"/>
      <c r="AC45" s="112"/>
      <c r="AD45" s="313"/>
      <c r="AE45" s="157"/>
      <c r="AG45" s="26"/>
      <c r="AH45" s="943"/>
      <c r="AI45" s="593"/>
      <c r="AJ45" s="113"/>
      <c r="AK45" s="313"/>
      <c r="AL45" s="476"/>
      <c r="AN45" s="593"/>
      <c r="AO45" s="313"/>
      <c r="AP45" s="157"/>
      <c r="AQ45" s="26"/>
      <c r="AS45" s="7828">
        <f>3500+500</f>
        <v>4000</v>
      </c>
      <c r="AT45" s="313"/>
      <c r="AU45" s="157"/>
    </row>
    <row r="46" spans="1:47" x14ac:dyDescent="0.35">
      <c r="A46" s="9168"/>
      <c r="B46" s="141" t="s">
        <v>940</v>
      </c>
      <c r="C46"/>
      <c r="D46" s="60"/>
      <c r="E46" s="143"/>
      <c r="F46" s="168"/>
      <c r="G46" s="143"/>
      <c r="H46" s="245"/>
      <c r="I46" s="106"/>
      <c r="J46" s="246"/>
      <c r="K46" s="143"/>
      <c r="L46" s="245"/>
      <c r="M46" s="247"/>
      <c r="N46" s="143"/>
      <c r="O46" s="245"/>
      <c r="P46" s="106"/>
      <c r="Q46" s="313"/>
      <c r="R46" s="246"/>
      <c r="S46" s="143"/>
      <c r="T46" s="245"/>
      <c r="U46" s="106"/>
      <c r="V46" s="247"/>
      <c r="W46" s="143"/>
      <c r="X46" s="245"/>
      <c r="Y46" s="106"/>
      <c r="Z46" s="313"/>
      <c r="AA46" s="246"/>
      <c r="AB46" s="143"/>
      <c r="AC46" s="245"/>
      <c r="AD46" s="106"/>
      <c r="AE46" s="247"/>
      <c r="AF46" s="143"/>
      <c r="AG46" s="26"/>
      <c r="AH46" s="943"/>
      <c r="AI46" s="245"/>
      <c r="AJ46" s="106"/>
      <c r="AK46" s="313"/>
      <c r="AL46" s="246"/>
      <c r="AM46" s="143"/>
      <c r="AN46" s="245"/>
      <c r="AO46" s="106"/>
      <c r="AP46" s="247"/>
      <c r="AQ46" s="26"/>
      <c r="AR46" s="143"/>
      <c r="AS46" s="245"/>
      <c r="AT46" s="106"/>
      <c r="AU46" s="247"/>
    </row>
    <row r="47" spans="1:47" x14ac:dyDescent="0.35">
      <c r="A47" s="9168"/>
      <c r="B47" s="232"/>
      <c r="C47" s="240" t="s">
        <v>1861</v>
      </c>
      <c r="D47" s="60"/>
      <c r="F47" s="111"/>
      <c r="H47" s="112"/>
      <c r="I47" s="113"/>
      <c r="J47" s="476">
        <f t="shared" ref="J47:J49" si="45">IF(H47=0,0,I47/H47)</f>
        <v>0</v>
      </c>
      <c r="L47" s="112"/>
      <c r="M47" s="157">
        <f t="shared" ref="M47:M49" si="46">L47*J47</f>
        <v>0</v>
      </c>
      <c r="O47" s="112"/>
      <c r="P47" s="106"/>
      <c r="Q47" s="313"/>
      <c r="R47" s="476">
        <f t="shared" ref="R47:R49" si="47">IF(O47=0,0,P47/O47)</f>
        <v>0</v>
      </c>
      <c r="T47" s="112"/>
      <c r="U47" s="106"/>
      <c r="V47" s="157">
        <f t="shared" ref="V47:V49" si="48">T47*R47</f>
        <v>0</v>
      </c>
      <c r="X47" s="112"/>
      <c r="Y47" s="106"/>
      <c r="Z47" s="313"/>
      <c r="AA47" s="476">
        <f t="shared" ref="AA47:AA49" si="49">IF(X47=0,0,Y47/X47)</f>
        <v>0</v>
      </c>
      <c r="AC47" s="112"/>
      <c r="AD47" s="106"/>
      <c r="AE47" s="157">
        <f t="shared" ref="AE47:AE49" si="50">AC47*AA47</f>
        <v>0</v>
      </c>
      <c r="AG47" s="26"/>
      <c r="AH47" s="943"/>
      <c r="AI47" s="112"/>
      <c r="AJ47" s="113"/>
      <c r="AK47" s="313"/>
      <c r="AL47" s="476">
        <f t="shared" ref="AL47:AL49" si="51">IF(AI47=0,0,AJ47/AI47)</f>
        <v>0</v>
      </c>
      <c r="AN47" s="112"/>
      <c r="AO47" s="106"/>
      <c r="AP47" s="157">
        <f t="shared" ref="AP47:AP49" si="52">AN47*AL47</f>
        <v>0</v>
      </c>
      <c r="AQ47" s="26"/>
      <c r="AS47" s="112"/>
      <c r="AT47" s="106"/>
      <c r="AU47" s="157"/>
    </row>
    <row r="48" spans="1:47" ht="15.25" customHeight="1" x14ac:dyDescent="0.35">
      <c r="A48" s="9168"/>
      <c r="B48" s="240"/>
      <c r="C48" s="240" t="s">
        <v>1862</v>
      </c>
      <c r="D48" s="60"/>
      <c r="F48" s="155"/>
      <c r="H48" s="117"/>
      <c r="I48" s="115"/>
      <c r="J48" s="476">
        <f t="shared" si="45"/>
        <v>0</v>
      </c>
      <c r="L48" s="117"/>
      <c r="M48" s="157">
        <f t="shared" si="46"/>
        <v>0</v>
      </c>
      <c r="O48" s="117"/>
      <c r="P48" s="106"/>
      <c r="Q48" s="313"/>
      <c r="R48" s="476">
        <f t="shared" si="47"/>
        <v>0</v>
      </c>
      <c r="T48" s="117"/>
      <c r="U48" s="106"/>
      <c r="V48" s="157">
        <f t="shared" si="48"/>
        <v>0</v>
      </c>
      <c r="X48" s="117"/>
      <c r="Y48" s="106"/>
      <c r="Z48" s="313"/>
      <c r="AA48" s="476">
        <f t="shared" si="49"/>
        <v>0</v>
      </c>
      <c r="AC48" s="117"/>
      <c r="AD48" s="106"/>
      <c r="AE48" s="157">
        <f t="shared" si="50"/>
        <v>0</v>
      </c>
      <c r="AG48" s="26"/>
      <c r="AH48" s="943"/>
      <c r="AI48" s="117"/>
      <c r="AJ48" s="113"/>
      <c r="AK48" s="313"/>
      <c r="AL48" s="476">
        <f t="shared" si="51"/>
        <v>0</v>
      </c>
      <c r="AN48" s="117"/>
      <c r="AO48" s="106"/>
      <c r="AP48" s="157">
        <f t="shared" si="52"/>
        <v>0</v>
      </c>
      <c r="AQ48" s="26"/>
      <c r="AS48" s="117"/>
      <c r="AT48" s="106"/>
      <c r="AU48" s="157"/>
    </row>
    <row r="49" spans="1:48" ht="15.25" customHeight="1" x14ac:dyDescent="0.35">
      <c r="A49" s="9168"/>
      <c r="B49" s="250"/>
      <c r="C49" s="250" t="s">
        <v>1863</v>
      </c>
      <c r="D49" s="87"/>
      <c r="F49" s="130"/>
      <c r="H49" s="242"/>
      <c r="I49" s="243"/>
      <c r="J49" s="476">
        <f t="shared" si="45"/>
        <v>0</v>
      </c>
      <c r="L49" s="131"/>
      <c r="M49" s="213">
        <f t="shared" si="46"/>
        <v>0</v>
      </c>
      <c r="O49" s="242"/>
      <c r="P49" s="106"/>
      <c r="Q49" s="313"/>
      <c r="R49" s="476">
        <f t="shared" si="47"/>
        <v>0</v>
      </c>
      <c r="T49" s="131"/>
      <c r="U49" s="216"/>
      <c r="V49" s="213">
        <f t="shared" si="48"/>
        <v>0</v>
      </c>
      <c r="X49" s="242"/>
      <c r="Y49" s="106"/>
      <c r="Z49" s="313"/>
      <c r="AA49" s="476">
        <f t="shared" si="49"/>
        <v>0</v>
      </c>
      <c r="AC49" s="131"/>
      <c r="AD49" s="216"/>
      <c r="AE49" s="213">
        <f t="shared" si="50"/>
        <v>0</v>
      </c>
      <c r="AG49" s="24"/>
      <c r="AH49" s="943"/>
      <c r="AI49" s="242"/>
      <c r="AJ49" s="113"/>
      <c r="AK49" s="313"/>
      <c r="AL49" s="476">
        <f t="shared" si="51"/>
        <v>0</v>
      </c>
      <c r="AN49" s="131"/>
      <c r="AO49" s="216"/>
      <c r="AP49" s="213">
        <f t="shared" si="52"/>
        <v>0</v>
      </c>
      <c r="AQ49" s="24"/>
      <c r="AS49" s="131"/>
      <c r="AT49" s="216"/>
      <c r="AU49" s="213"/>
    </row>
    <row r="50" spans="1:48" ht="15.25" customHeight="1" x14ac:dyDescent="0.35">
      <c r="A50" s="9168"/>
      <c r="B50" s="141" t="s">
        <v>1864</v>
      </c>
      <c r="C50" s="141"/>
      <c r="D50" s="60"/>
      <c r="E50" s="143"/>
      <c r="F50" s="227"/>
      <c r="G50" s="143"/>
      <c r="H50" s="102"/>
      <c r="I50" s="103"/>
      <c r="J50" s="516"/>
      <c r="K50" s="143"/>
      <c r="L50" s="245"/>
      <c r="M50" s="247"/>
      <c r="N50" s="143"/>
      <c r="O50" s="102"/>
      <c r="P50" s="103"/>
      <c r="Q50" s="481"/>
      <c r="R50" s="516"/>
      <c r="S50" s="143"/>
      <c r="T50" s="245"/>
      <c r="U50" s="106"/>
      <c r="V50" s="247"/>
      <c r="W50" s="143"/>
      <c r="X50" s="517" t="s">
        <v>1865</v>
      </c>
      <c r="Y50" s="103"/>
      <c r="Z50" s="481"/>
      <c r="AA50" s="516"/>
      <c r="AB50" s="143"/>
      <c r="AC50" s="517" t="s">
        <v>1865</v>
      </c>
      <c r="AD50" s="106"/>
      <c r="AE50" s="247"/>
      <c r="AF50" s="143"/>
      <c r="AG50" s="26"/>
      <c r="AH50" s="943"/>
      <c r="AI50" s="517"/>
      <c r="AJ50" s="103"/>
      <c r="AK50" s="481"/>
      <c r="AL50" s="516"/>
      <c r="AM50" s="143"/>
      <c r="AN50" s="517"/>
      <c r="AO50" s="106"/>
      <c r="AP50" s="247"/>
      <c r="AQ50" s="26"/>
      <c r="AR50" s="143"/>
      <c r="AS50" s="517"/>
      <c r="AT50" s="106"/>
      <c r="AU50" s="247"/>
    </row>
    <row r="51" spans="1:48" ht="174" x14ac:dyDescent="0.35">
      <c r="A51" s="9168"/>
      <c r="B51" s="232"/>
      <c r="C51" s="232" t="s">
        <v>1866</v>
      </c>
      <c r="D51" s="60">
        <v>2</v>
      </c>
      <c r="F51" s="111"/>
      <c r="H51" s="112">
        <v>590337527</v>
      </c>
      <c r="I51" s="113"/>
      <c r="J51" s="476">
        <f t="shared" ref="J51:J69" si="53">IF(H51=0,0,I51/H51)</f>
        <v>0</v>
      </c>
      <c r="L51" s="112">
        <v>485061924</v>
      </c>
      <c r="M51" s="157">
        <f t="shared" ref="M51:M69" si="54">L51*J51</f>
        <v>0</v>
      </c>
      <c r="O51" s="112"/>
      <c r="P51" s="106"/>
      <c r="Q51" s="313"/>
      <c r="R51" s="476">
        <f t="shared" ref="R51:R69" si="55">IF(O51=0,0,P51/O51)</f>
        <v>0</v>
      </c>
      <c r="T51" s="112"/>
      <c r="U51" s="106"/>
      <c r="V51" s="157">
        <f t="shared" ref="V51:V69" si="56">T51*R51</f>
        <v>0</v>
      </c>
      <c r="X51" s="112"/>
      <c r="Y51" s="106"/>
      <c r="Z51" s="313"/>
      <c r="AA51" s="476">
        <f t="shared" ref="AA51" si="57">IF(X51=0,0,Y51/X51)</f>
        <v>0</v>
      </c>
      <c r="AC51" s="112"/>
      <c r="AD51" s="106"/>
      <c r="AE51" s="157">
        <f t="shared" ref="AE51" si="58">AC51*AA51</f>
        <v>0</v>
      </c>
      <c r="AG51" s="257" t="s">
        <v>1867</v>
      </c>
      <c r="AH51" s="6850"/>
      <c r="AI51" s="112"/>
      <c r="AJ51" s="113"/>
      <c r="AK51" s="313"/>
      <c r="AL51" s="476">
        <f t="shared" ref="AL51" si="59">IF(AI51=0,0,AJ51/AI51)</f>
        <v>0</v>
      </c>
      <c r="AN51" s="112"/>
      <c r="AO51" s="106"/>
      <c r="AP51" s="157">
        <f t="shared" ref="AP51" si="60">AN51*AL51</f>
        <v>0</v>
      </c>
      <c r="AQ51" s="257"/>
      <c r="AS51" s="112"/>
      <c r="AT51" s="106"/>
      <c r="AU51" s="157"/>
    </row>
    <row r="52" spans="1:48" x14ac:dyDescent="0.35">
      <c r="A52" s="9168"/>
      <c r="B52" s="232"/>
      <c r="C52" s="513" t="s">
        <v>1363</v>
      </c>
      <c r="D52" s="60"/>
      <c r="F52" s="111"/>
      <c r="H52" s="112"/>
      <c r="I52" s="113"/>
      <c r="J52" s="476"/>
      <c r="L52" s="112"/>
      <c r="M52" s="157"/>
      <c r="O52" s="112">
        <v>1035737651</v>
      </c>
      <c r="P52" s="106"/>
      <c r="Q52" s="313" t="s">
        <v>1097</v>
      </c>
      <c r="R52" s="476"/>
      <c r="T52" s="112">
        <v>651032390</v>
      </c>
      <c r="U52" s="106" t="s">
        <v>1868</v>
      </c>
      <c r="V52" s="157"/>
      <c r="X52" s="112">
        <v>651032390</v>
      </c>
      <c r="Y52" s="106"/>
      <c r="Z52" s="313" t="s">
        <v>1868</v>
      </c>
      <c r="AA52" s="476"/>
      <c r="AC52" s="112">
        <v>791032390</v>
      </c>
      <c r="AD52" s="106" t="s">
        <v>1868</v>
      </c>
      <c r="AE52" s="157"/>
      <c r="AG52" s="257"/>
      <c r="AH52" s="6850"/>
      <c r="AI52" s="112">
        <v>791.03238999999996</v>
      </c>
      <c r="AJ52" s="113"/>
      <c r="AK52" s="313"/>
      <c r="AL52" s="476"/>
      <c r="AN52" s="112">
        <v>931.03238999999996</v>
      </c>
      <c r="AO52" s="106"/>
      <c r="AP52" s="157"/>
      <c r="AQ52" s="313" t="s">
        <v>1869</v>
      </c>
      <c r="AS52" s="112">
        <v>1061.491908</v>
      </c>
      <c r="AT52" s="106" t="s">
        <v>1870</v>
      </c>
      <c r="AU52" s="157"/>
    </row>
    <row r="53" spans="1:48" x14ac:dyDescent="0.35">
      <c r="A53" s="9168"/>
      <c r="B53" s="232"/>
      <c r="C53" s="513" t="s">
        <v>1116</v>
      </c>
      <c r="D53" s="60"/>
      <c r="F53" s="111"/>
      <c r="H53" s="112"/>
      <c r="I53" s="113"/>
      <c r="J53" s="476"/>
      <c r="L53" s="112"/>
      <c r="M53" s="157"/>
      <c r="O53" s="112"/>
      <c r="P53" s="106"/>
      <c r="Q53" s="313"/>
      <c r="R53" s="476"/>
      <c r="T53" s="112"/>
      <c r="U53" s="106"/>
      <c r="V53" s="157"/>
      <c r="X53" s="112"/>
      <c r="Y53" s="106"/>
      <c r="Z53" s="313"/>
      <c r="AA53" s="476"/>
      <c r="AC53" s="112"/>
      <c r="AD53" s="106"/>
      <c r="AE53" s="157"/>
      <c r="AG53" s="257"/>
      <c r="AH53" s="6850"/>
      <c r="AI53" s="112"/>
      <c r="AJ53" s="113"/>
      <c r="AK53" s="313"/>
      <c r="AL53" s="476"/>
      <c r="AN53" s="112"/>
      <c r="AO53" s="106"/>
      <c r="AP53" s="157"/>
      <c r="AQ53" s="257"/>
      <c r="AS53" s="112"/>
      <c r="AT53" s="106"/>
      <c r="AU53" s="157"/>
    </row>
    <row r="54" spans="1:48" x14ac:dyDescent="0.35">
      <c r="A54" s="9168"/>
      <c r="B54" s="240"/>
      <c r="C54" s="240" t="s">
        <v>1871</v>
      </c>
      <c r="D54" s="60">
        <v>3</v>
      </c>
      <c r="F54" s="155"/>
      <c r="H54" s="117">
        <v>1000000000</v>
      </c>
      <c r="I54" s="115"/>
      <c r="J54" s="476">
        <f t="shared" si="53"/>
        <v>0</v>
      </c>
      <c r="L54" s="117">
        <v>618000000</v>
      </c>
      <c r="M54" s="157">
        <f t="shared" si="54"/>
        <v>0</v>
      </c>
      <c r="O54" s="117"/>
      <c r="P54" s="106"/>
      <c r="Q54" s="313"/>
      <c r="R54" s="476">
        <f t="shared" si="55"/>
        <v>0</v>
      </c>
      <c r="T54" s="117"/>
      <c r="U54" s="106"/>
      <c r="V54" s="157">
        <f t="shared" si="56"/>
        <v>0</v>
      </c>
      <c r="X54" s="117"/>
      <c r="Y54" s="106"/>
      <c r="Z54" s="313"/>
      <c r="AA54" s="476">
        <f t="shared" ref="AA54" si="61">IF(X54=0,0,Y54/X54)</f>
        <v>0</v>
      </c>
      <c r="AC54" s="117"/>
      <c r="AD54" s="106"/>
      <c r="AE54" s="157">
        <f t="shared" ref="AE54" si="62">AC54*AA54</f>
        <v>0</v>
      </c>
      <c r="AG54" s="26" t="s">
        <v>1872</v>
      </c>
      <c r="AH54" s="943"/>
      <c r="AI54" s="117"/>
      <c r="AJ54" s="113"/>
      <c r="AK54" s="313"/>
      <c r="AL54" s="476">
        <f t="shared" ref="AL54" si="63">IF(AI54=0,0,AJ54/AI54)</f>
        <v>0</v>
      </c>
      <c r="AN54" s="117"/>
      <c r="AO54" s="106"/>
      <c r="AP54" s="157">
        <f t="shared" ref="AP54" si="64">AN54*AL54</f>
        <v>0</v>
      </c>
      <c r="AQ54" s="26" t="s">
        <v>1872</v>
      </c>
      <c r="AS54" s="117"/>
      <c r="AT54" s="106"/>
      <c r="AU54" s="157"/>
    </row>
    <row r="55" spans="1:48" x14ac:dyDescent="0.35">
      <c r="A55" s="9168"/>
      <c r="B55" s="240"/>
      <c r="C55" s="513" t="s">
        <v>1363</v>
      </c>
      <c r="D55" s="60"/>
      <c r="F55" s="155"/>
      <c r="H55" s="117"/>
      <c r="I55" s="115"/>
      <c r="J55" s="476"/>
      <c r="L55" s="117"/>
      <c r="M55" s="157"/>
      <c r="O55" s="117">
        <v>231750000</v>
      </c>
      <c r="P55" s="106"/>
      <c r="Q55" s="313" t="s">
        <v>1873</v>
      </c>
      <c r="R55" s="476"/>
      <c r="T55" s="117">
        <v>200850</v>
      </c>
      <c r="U55" s="106" t="s">
        <v>1874</v>
      </c>
      <c r="V55" s="157"/>
      <c r="X55" s="112">
        <v>200850</v>
      </c>
      <c r="Y55" s="106"/>
      <c r="Z55" s="313" t="s">
        <v>1874</v>
      </c>
      <c r="AA55" s="476"/>
      <c r="AC55" s="112">
        <v>200850</v>
      </c>
      <c r="AD55" s="106" t="s">
        <v>1874</v>
      </c>
      <c r="AE55" s="157"/>
      <c r="AG55" s="26"/>
      <c r="AH55" s="943"/>
      <c r="AI55" s="112">
        <v>142.56899999999999</v>
      </c>
      <c r="AJ55" s="113"/>
      <c r="AK55" s="313"/>
      <c r="AL55" s="476"/>
      <c r="AN55" s="112">
        <v>200.85</v>
      </c>
      <c r="AO55" s="106"/>
      <c r="AP55" s="157"/>
      <c r="AQ55" s="26"/>
      <c r="AS55" s="112">
        <v>200.85</v>
      </c>
      <c r="AT55" s="106" t="s">
        <v>1875</v>
      </c>
      <c r="AU55" s="157"/>
    </row>
    <row r="56" spans="1:48" x14ac:dyDescent="0.35">
      <c r="A56" s="9168"/>
      <c r="B56" s="240"/>
      <c r="C56" s="513" t="s">
        <v>1116</v>
      </c>
      <c r="D56" s="60"/>
      <c r="F56" s="155"/>
      <c r="H56" s="117"/>
      <c r="I56" s="115"/>
      <c r="J56" s="476"/>
      <c r="L56" s="117"/>
      <c r="M56" s="157"/>
      <c r="O56" s="117"/>
      <c r="P56" s="106"/>
      <c r="Q56" s="313"/>
      <c r="R56" s="476"/>
      <c r="T56" s="117"/>
      <c r="U56" s="106"/>
      <c r="V56" s="157"/>
      <c r="X56" s="117"/>
      <c r="Y56" s="106"/>
      <c r="Z56" s="313"/>
      <c r="AA56" s="476"/>
      <c r="AC56" s="117"/>
      <c r="AD56" s="106"/>
      <c r="AE56" s="157"/>
      <c r="AG56" s="26"/>
      <c r="AH56" s="943"/>
      <c r="AI56" s="117"/>
      <c r="AJ56" s="113"/>
      <c r="AK56" s="313"/>
      <c r="AL56" s="476"/>
      <c r="AN56" s="117"/>
      <c r="AO56" s="106"/>
      <c r="AP56" s="157"/>
      <c r="AQ56" s="26"/>
      <c r="AS56" s="117"/>
      <c r="AT56" s="106"/>
      <c r="AU56" s="157"/>
    </row>
    <row r="57" spans="1:48" x14ac:dyDescent="0.35">
      <c r="A57" s="9168"/>
      <c r="B57" s="240"/>
      <c r="C57" s="240" t="s">
        <v>1876</v>
      </c>
      <c r="D57" s="60">
        <v>4</v>
      </c>
      <c r="F57" s="155"/>
      <c r="H57" s="117">
        <f>87772280+109923060+80000000+80000000+80000000+200000000</f>
        <v>637695340</v>
      </c>
      <c r="I57" s="115"/>
      <c r="J57" s="476">
        <f t="shared" si="53"/>
        <v>0</v>
      </c>
      <c r="L57" s="117">
        <f>40000000+40000000+40000000+100000000+260000000</f>
        <v>480000000</v>
      </c>
      <c r="M57" s="157">
        <f t="shared" si="54"/>
        <v>0</v>
      </c>
      <c r="O57" s="117"/>
      <c r="P57" s="106"/>
      <c r="Q57" s="313"/>
      <c r="R57" s="476">
        <f t="shared" si="55"/>
        <v>0</v>
      </c>
      <c r="T57" s="117"/>
      <c r="U57" s="106"/>
      <c r="V57" s="157">
        <f t="shared" si="56"/>
        <v>0</v>
      </c>
      <c r="X57" s="117"/>
      <c r="Y57" s="106"/>
      <c r="Z57" s="313"/>
      <c r="AA57" s="476">
        <f t="shared" ref="AA57" si="65">IF(X57=0,0,Y57/X57)</f>
        <v>0</v>
      </c>
      <c r="AC57" s="117"/>
      <c r="AD57" s="106"/>
      <c r="AE57" s="157">
        <f t="shared" ref="AE57" si="66">AC57*AA57</f>
        <v>0</v>
      </c>
      <c r="AG57" s="26" t="s">
        <v>1877</v>
      </c>
      <c r="AH57" s="943"/>
      <c r="AI57" s="117"/>
      <c r="AJ57" s="113"/>
      <c r="AK57" s="313"/>
      <c r="AL57" s="476">
        <f t="shared" ref="AL57" si="67">IF(AI57=0,0,AJ57/AI57)</f>
        <v>0</v>
      </c>
      <c r="AN57" s="117"/>
      <c r="AO57" s="106"/>
      <c r="AP57" s="157">
        <f t="shared" ref="AP57" si="68">AN57*AL57</f>
        <v>0</v>
      </c>
      <c r="AQ57" s="26" t="s">
        <v>1877</v>
      </c>
      <c r="AS57" s="117"/>
      <c r="AT57" s="106"/>
      <c r="AU57" s="157"/>
      <c r="AV57" t="s">
        <v>1878</v>
      </c>
    </row>
    <row r="58" spans="1:48" x14ac:dyDescent="0.35">
      <c r="A58" s="9168"/>
      <c r="B58" s="240"/>
      <c r="C58" s="513" t="s">
        <v>1363</v>
      </c>
      <c r="D58" s="60"/>
      <c r="F58" s="155"/>
      <c r="H58" s="117"/>
      <c r="I58" s="115"/>
      <c r="J58" s="476"/>
      <c r="L58" s="117"/>
      <c r="M58" s="157"/>
      <c r="O58" s="117">
        <f>20000000+20000000+20000000+50000000</f>
        <v>110000000</v>
      </c>
      <c r="P58" s="106"/>
      <c r="Q58" s="313" t="s">
        <v>1879</v>
      </c>
      <c r="R58" s="476"/>
      <c r="T58" s="117">
        <f>16000000+16000000+16000000+40000000</f>
        <v>88000000</v>
      </c>
      <c r="U58" s="106" t="s">
        <v>1880</v>
      </c>
      <c r="V58" s="157"/>
      <c r="X58" s="117">
        <f>16000000+16000000+16000000+40000000</f>
        <v>88000000</v>
      </c>
      <c r="Y58" s="106"/>
      <c r="Z58" s="313" t="s">
        <v>1880</v>
      </c>
      <c r="AA58" s="476"/>
      <c r="AC58" s="117">
        <f>29000000+29000000+29000000+55000000</f>
        <v>142000000</v>
      </c>
      <c r="AD58" s="106" t="s">
        <v>1880</v>
      </c>
      <c r="AE58" s="157"/>
      <c r="AG58" s="26"/>
      <c r="AH58" s="943"/>
      <c r="AI58" s="117">
        <f>120+29+29+29+55</f>
        <v>262</v>
      </c>
      <c r="AJ58" s="113"/>
      <c r="AK58" s="313" t="s">
        <v>1881</v>
      </c>
      <c r="AL58" s="476"/>
      <c r="AN58" s="117">
        <f>130+40+40+40+65</f>
        <v>315</v>
      </c>
      <c r="AO58" s="313" t="s">
        <v>1881</v>
      </c>
      <c r="AP58" s="157"/>
      <c r="AQ58" s="26"/>
      <c r="AS58" s="117">
        <f>130+40+40+40+65</f>
        <v>315</v>
      </c>
      <c r="AT58" s="313"/>
      <c r="AU58" s="157"/>
    </row>
    <row r="59" spans="1:48" x14ac:dyDescent="0.35">
      <c r="A59" s="9168"/>
      <c r="B59" s="240"/>
      <c r="C59" s="513" t="s">
        <v>1116</v>
      </c>
      <c r="D59" s="60"/>
      <c r="F59" s="155"/>
      <c r="H59" s="117"/>
      <c r="I59" s="115"/>
      <c r="J59" s="476"/>
      <c r="L59" s="117"/>
      <c r="M59" s="157"/>
      <c r="O59" s="117"/>
      <c r="P59" s="106"/>
      <c r="Q59" s="313"/>
      <c r="R59" s="476"/>
      <c r="T59" s="117"/>
      <c r="U59" s="106"/>
      <c r="V59" s="157"/>
      <c r="X59" s="117"/>
      <c r="Y59" s="106"/>
      <c r="Z59" s="313"/>
      <c r="AA59" s="476"/>
      <c r="AC59" s="117"/>
      <c r="AD59" s="106"/>
      <c r="AE59" s="157"/>
      <c r="AG59" s="26"/>
      <c r="AH59" s="943"/>
      <c r="AI59" s="117"/>
      <c r="AJ59" s="113"/>
      <c r="AK59" s="313"/>
      <c r="AL59" s="476"/>
      <c r="AN59" s="117"/>
      <c r="AO59" s="106"/>
      <c r="AP59" s="157"/>
      <c r="AQ59" s="26"/>
      <c r="AS59" s="117"/>
      <c r="AT59" s="106"/>
      <c r="AU59" s="157"/>
    </row>
    <row r="60" spans="1:48" x14ac:dyDescent="0.35">
      <c r="A60" s="9168"/>
      <c r="B60" s="240"/>
      <c r="C60" s="240" t="s">
        <v>1882</v>
      </c>
      <c r="D60" s="60">
        <v>5</v>
      </c>
      <c r="F60" s="155">
        <v>2550000000</v>
      </c>
      <c r="H60" s="117">
        <v>300000000</v>
      </c>
      <c r="I60" s="115"/>
      <c r="J60" s="476">
        <f t="shared" si="53"/>
        <v>0</v>
      </c>
      <c r="L60" s="117">
        <v>193872000</v>
      </c>
      <c r="M60" s="157">
        <f t="shared" si="54"/>
        <v>0</v>
      </c>
      <c r="O60" s="117"/>
      <c r="P60" s="106"/>
      <c r="Q60" s="313"/>
      <c r="R60" s="476">
        <f t="shared" si="55"/>
        <v>0</v>
      </c>
      <c r="T60" s="117"/>
      <c r="U60" s="106"/>
      <c r="V60" s="157">
        <f t="shared" si="56"/>
        <v>0</v>
      </c>
      <c r="X60" s="117"/>
      <c r="Y60" s="106"/>
      <c r="Z60" s="313"/>
      <c r="AA60" s="476">
        <f t="shared" ref="AA60" si="69">IF(X60=0,0,Y60/X60)</f>
        <v>0</v>
      </c>
      <c r="AC60" s="117"/>
      <c r="AD60" s="106"/>
      <c r="AE60" s="157">
        <f t="shared" ref="AE60" si="70">AC60*AA60</f>
        <v>0</v>
      </c>
      <c r="AG60" s="26" t="s">
        <v>1883</v>
      </c>
      <c r="AH60" s="943"/>
      <c r="AI60" s="117"/>
      <c r="AJ60" s="113"/>
      <c r="AK60" s="313"/>
      <c r="AL60" s="476">
        <f t="shared" ref="AL60" si="71">IF(AI60=0,0,AJ60/AI60)</f>
        <v>0</v>
      </c>
      <c r="AN60" s="117"/>
      <c r="AO60" s="106"/>
      <c r="AP60" s="157">
        <f t="shared" ref="AP60" si="72">AN60*AL60</f>
        <v>0</v>
      </c>
      <c r="AQ60" s="26" t="s">
        <v>1883</v>
      </c>
      <c r="AS60" s="117"/>
      <c r="AT60" s="106"/>
      <c r="AU60" s="157"/>
    </row>
    <row r="61" spans="1:48" x14ac:dyDescent="0.35">
      <c r="A61" s="9168"/>
      <c r="B61" s="240"/>
      <c r="C61" s="513" t="s">
        <v>1363</v>
      </c>
      <c r="D61" s="60"/>
      <c r="F61" s="155"/>
      <c r="H61" s="117"/>
      <c r="I61" s="115"/>
      <c r="J61" s="476"/>
      <c r="L61" s="117"/>
      <c r="M61" s="157"/>
      <c r="O61" s="117">
        <v>400000000</v>
      </c>
      <c r="P61" s="106"/>
      <c r="Q61" s="313" t="s">
        <v>1884</v>
      </c>
      <c r="R61" s="476"/>
      <c r="T61" s="117">
        <v>100000000</v>
      </c>
      <c r="U61" s="106" t="s">
        <v>1885</v>
      </c>
      <c r="V61" s="157"/>
      <c r="X61" s="117">
        <v>100000000</v>
      </c>
      <c r="Y61" s="106"/>
      <c r="Z61" s="313" t="s">
        <v>1885</v>
      </c>
      <c r="AA61" s="476"/>
      <c r="AC61" s="117">
        <v>395748400</v>
      </c>
      <c r="AD61" s="106" t="s">
        <v>1885</v>
      </c>
      <c r="AE61" s="157"/>
      <c r="AG61" s="26"/>
      <c r="AH61" s="943"/>
      <c r="AI61" s="117">
        <v>0</v>
      </c>
      <c r="AJ61" s="113"/>
      <c r="AK61" s="313"/>
      <c r="AL61" s="476"/>
      <c r="AN61" s="117">
        <v>250</v>
      </c>
      <c r="AO61" s="106"/>
      <c r="AP61" s="157"/>
      <c r="AQ61" s="26"/>
      <c r="AS61" s="117">
        <v>200</v>
      </c>
      <c r="AT61" s="106"/>
      <c r="AU61" s="157"/>
    </row>
    <row r="62" spans="1:48" x14ac:dyDescent="0.35">
      <c r="A62" s="9168"/>
      <c r="B62" s="240"/>
      <c r="C62" s="513" t="s">
        <v>1116</v>
      </c>
      <c r="D62" s="60"/>
      <c r="F62" s="155"/>
      <c r="H62" s="117"/>
      <c r="I62" s="115"/>
      <c r="J62" s="476"/>
      <c r="L62" s="117"/>
      <c r="M62" s="157"/>
      <c r="O62" s="117"/>
      <c r="P62" s="106"/>
      <c r="Q62" s="313"/>
      <c r="R62" s="476"/>
      <c r="T62" s="117">
        <f>50000000</f>
        <v>50000000</v>
      </c>
      <c r="U62" s="106"/>
      <c r="V62" s="157"/>
      <c r="X62" s="117"/>
      <c r="Y62" s="106"/>
      <c r="Z62" s="313"/>
      <c r="AA62" s="476"/>
      <c r="AC62" s="117"/>
      <c r="AD62" s="106"/>
      <c r="AE62" s="157"/>
      <c r="AG62" s="26"/>
      <c r="AH62" s="943"/>
      <c r="AI62" s="117"/>
      <c r="AJ62" s="113"/>
      <c r="AK62" s="313"/>
      <c r="AL62" s="476"/>
      <c r="AN62" s="117"/>
      <c r="AO62" s="106"/>
      <c r="AP62" s="157"/>
      <c r="AQ62" s="26"/>
      <c r="AS62" s="117"/>
      <c r="AT62" s="106"/>
      <c r="AU62" s="157"/>
    </row>
    <row r="63" spans="1:48" x14ac:dyDescent="0.35">
      <c r="A63" s="9168"/>
      <c r="B63" s="240"/>
      <c r="C63" s="240" t="s">
        <v>1886</v>
      </c>
      <c r="D63" s="60">
        <v>6</v>
      </c>
      <c r="F63" s="155"/>
      <c r="H63" s="117">
        <v>890000000</v>
      </c>
      <c r="I63" s="115"/>
      <c r="J63" s="476">
        <f t="shared" si="53"/>
        <v>0</v>
      </c>
      <c r="L63" s="117">
        <v>1000000000</v>
      </c>
      <c r="M63" s="157">
        <f t="shared" si="54"/>
        <v>0</v>
      </c>
      <c r="O63" s="117"/>
      <c r="P63" s="106"/>
      <c r="Q63" s="313"/>
      <c r="R63" s="476">
        <f t="shared" si="55"/>
        <v>0</v>
      </c>
      <c r="T63" s="117"/>
      <c r="U63" s="106"/>
      <c r="V63" s="157">
        <f t="shared" si="56"/>
        <v>0</v>
      </c>
      <c r="X63" s="117"/>
      <c r="Y63" s="106"/>
      <c r="Z63" s="313"/>
      <c r="AA63" s="476">
        <f t="shared" ref="AA63" si="73">IF(X63=0,0,Y63/X63)</f>
        <v>0</v>
      </c>
      <c r="AC63" s="117"/>
      <c r="AD63" s="106"/>
      <c r="AE63" s="157">
        <f t="shared" ref="AE63" si="74">AC63*AA63</f>
        <v>0</v>
      </c>
      <c r="AG63" s="26" t="s">
        <v>1887</v>
      </c>
      <c r="AH63" s="943"/>
      <c r="AI63" s="117"/>
      <c r="AJ63" s="113"/>
      <c r="AK63" s="313"/>
      <c r="AL63" s="476">
        <f t="shared" ref="AL63" si="75">IF(AI63=0,0,AJ63/AI63)</f>
        <v>0</v>
      </c>
      <c r="AN63" s="117"/>
      <c r="AO63" s="106"/>
      <c r="AP63" s="157">
        <f t="shared" ref="AP63" si="76">AN63*AL63</f>
        <v>0</v>
      </c>
      <c r="AQ63" s="26" t="s">
        <v>1887</v>
      </c>
      <c r="AS63" s="117"/>
      <c r="AT63" s="106"/>
      <c r="AU63" s="157"/>
    </row>
    <row r="64" spans="1:48" x14ac:dyDescent="0.35">
      <c r="A64" s="9168"/>
      <c r="B64" s="240"/>
      <c r="C64" s="513" t="s">
        <v>1363</v>
      </c>
      <c r="D64" s="60"/>
      <c r="F64" s="155"/>
      <c r="H64" s="117"/>
      <c r="I64" s="115"/>
      <c r="J64" s="476"/>
      <c r="L64" s="117"/>
      <c r="M64" s="157"/>
      <c r="O64" s="117">
        <v>537750000</v>
      </c>
      <c r="P64" s="106"/>
      <c r="Q64" s="313" t="s">
        <v>1888</v>
      </c>
      <c r="R64" s="476"/>
      <c r="T64" s="117">
        <v>828000000</v>
      </c>
      <c r="U64" s="106" t="s">
        <v>1888</v>
      </c>
      <c r="V64" s="157"/>
      <c r="X64" s="117">
        <v>828500</v>
      </c>
      <c r="Y64" s="106"/>
      <c r="Z64" s="313" t="s">
        <v>1888</v>
      </c>
      <c r="AA64" s="476"/>
      <c r="AC64" s="117">
        <v>768500</v>
      </c>
      <c r="AD64" s="106" t="s">
        <v>1888</v>
      </c>
      <c r="AE64" s="157"/>
      <c r="AG64" s="26"/>
      <c r="AH64" s="943"/>
      <c r="AI64" s="117">
        <v>491.459</v>
      </c>
      <c r="AJ64" s="113"/>
      <c r="AK64" s="313" t="s">
        <v>1889</v>
      </c>
      <c r="AL64" s="476"/>
      <c r="AN64" s="117">
        <v>875.79</v>
      </c>
      <c r="AO64" s="313" t="s">
        <v>1889</v>
      </c>
      <c r="AP64" s="157"/>
      <c r="AQ64" s="26"/>
      <c r="AS64" s="117">
        <v>905.79</v>
      </c>
      <c r="AT64" s="313" t="s">
        <v>1890</v>
      </c>
      <c r="AU64" s="157"/>
    </row>
    <row r="65" spans="1:48" x14ac:dyDescent="0.35">
      <c r="A65" s="9168"/>
      <c r="B65" s="240"/>
      <c r="C65" s="513" t="s">
        <v>1116</v>
      </c>
      <c r="D65" s="60"/>
      <c r="F65" s="155"/>
      <c r="H65" s="117"/>
      <c r="I65" s="115"/>
      <c r="J65" s="476"/>
      <c r="L65" s="117"/>
      <c r="M65" s="157"/>
      <c r="O65" s="117"/>
      <c r="P65" s="106"/>
      <c r="Q65" s="313"/>
      <c r="R65" s="476"/>
      <c r="T65" s="117"/>
      <c r="U65" s="106"/>
      <c r="V65" s="157"/>
      <c r="X65" s="117"/>
      <c r="Y65" s="106"/>
      <c r="Z65" s="313"/>
      <c r="AA65" s="476"/>
      <c r="AC65" s="117"/>
      <c r="AD65" s="106"/>
      <c r="AE65" s="157"/>
      <c r="AG65" s="26"/>
      <c r="AH65" s="943"/>
      <c r="AI65" s="117"/>
      <c r="AJ65" s="113"/>
      <c r="AK65" s="313"/>
      <c r="AL65" s="476"/>
      <c r="AN65" s="117"/>
      <c r="AO65" s="106"/>
      <c r="AP65" s="157"/>
      <c r="AQ65" s="26"/>
      <c r="AS65" s="117"/>
      <c r="AT65" s="106"/>
      <c r="AU65" s="157"/>
    </row>
    <row r="66" spans="1:48" x14ac:dyDescent="0.35">
      <c r="A66" s="9168"/>
      <c r="B66" s="240"/>
      <c r="C66" s="240" t="s">
        <v>1891</v>
      </c>
      <c r="D66" s="60"/>
      <c r="F66" s="155"/>
      <c r="H66" s="117">
        <v>412583000</v>
      </c>
      <c r="I66" s="115"/>
      <c r="J66" s="476">
        <f t="shared" si="53"/>
        <v>0</v>
      </c>
      <c r="L66" s="117">
        <v>412583000</v>
      </c>
      <c r="M66" s="157">
        <f t="shared" si="54"/>
        <v>0</v>
      </c>
      <c r="O66" s="117"/>
      <c r="P66" s="106"/>
      <c r="Q66" s="106"/>
      <c r="R66" s="476">
        <f t="shared" si="55"/>
        <v>0</v>
      </c>
      <c r="T66" s="117"/>
      <c r="U66" s="106"/>
      <c r="V66" s="157">
        <f t="shared" si="56"/>
        <v>0</v>
      </c>
      <c r="X66" s="117"/>
      <c r="Y66" s="106"/>
      <c r="Z66" s="106"/>
      <c r="AA66" s="476">
        <f t="shared" ref="AA66" si="77">IF(X66=0,0,Y66/X66)</f>
        <v>0</v>
      </c>
      <c r="AC66" s="117"/>
      <c r="AD66" s="106"/>
      <c r="AE66" s="157">
        <f t="shared" ref="AE66" si="78">AC66*AA66</f>
        <v>0</v>
      </c>
      <c r="AG66" s="26" t="s">
        <v>1892</v>
      </c>
      <c r="AH66" s="943"/>
      <c r="AI66" s="117"/>
      <c r="AJ66" s="113"/>
      <c r="AK66" s="106"/>
      <c r="AL66" s="476">
        <f t="shared" ref="AL66" si="79">IF(AI66=0,0,AJ66/AI66)</f>
        <v>0</v>
      </c>
      <c r="AN66" s="117"/>
      <c r="AO66" s="106"/>
      <c r="AP66" s="157">
        <f t="shared" ref="AP66" si="80">AN66*AL66</f>
        <v>0</v>
      </c>
      <c r="AQ66" s="26" t="s">
        <v>1892</v>
      </c>
      <c r="AS66" s="117"/>
      <c r="AT66" s="106"/>
      <c r="AU66" s="157"/>
    </row>
    <row r="67" spans="1:48" x14ac:dyDescent="0.35">
      <c r="A67" s="9168"/>
      <c r="B67" s="241"/>
      <c r="C67" s="513" t="s">
        <v>1363</v>
      </c>
      <c r="D67" s="60"/>
      <c r="F67" s="163"/>
      <c r="H67" s="242"/>
      <c r="I67" s="243"/>
      <c r="J67" s="476"/>
      <c r="L67" s="242"/>
      <c r="M67" s="157"/>
      <c r="O67" s="242"/>
      <c r="P67" s="106"/>
      <c r="Q67" s="106"/>
      <c r="R67" s="476"/>
      <c r="T67" s="242"/>
      <c r="U67" s="106"/>
      <c r="V67" s="157"/>
      <c r="X67" s="242"/>
      <c r="Y67" s="106"/>
      <c r="Z67" s="106"/>
      <c r="AA67" s="476"/>
      <c r="AC67" s="242"/>
      <c r="AD67" s="106"/>
      <c r="AE67" s="157"/>
      <c r="AG67" s="26"/>
      <c r="AH67" s="943"/>
      <c r="AI67" s="242">
        <v>0</v>
      </c>
      <c r="AJ67" s="113"/>
      <c r="AK67" s="106"/>
      <c r="AL67" s="476"/>
      <c r="AN67" s="242">
        <v>50</v>
      </c>
      <c r="AO67" s="106"/>
      <c r="AP67" s="157"/>
      <c r="AQ67" s="26"/>
      <c r="AS67" s="242">
        <v>50</v>
      </c>
      <c r="AT67" s="106" t="s">
        <v>1893</v>
      </c>
      <c r="AU67" s="157"/>
      <c r="AV67" t="s">
        <v>1894</v>
      </c>
    </row>
    <row r="68" spans="1:48" x14ac:dyDescent="0.35">
      <c r="A68" s="9168"/>
      <c r="B68" s="241"/>
      <c r="C68" s="513" t="s">
        <v>1116</v>
      </c>
      <c r="D68" s="60"/>
      <c r="F68" s="163"/>
      <c r="H68" s="242"/>
      <c r="I68" s="243"/>
      <c r="J68" s="476"/>
      <c r="L68" s="242"/>
      <c r="M68" s="157"/>
      <c r="O68" s="242"/>
      <c r="P68" s="106"/>
      <c r="Q68" s="106"/>
      <c r="R68" s="476"/>
      <c r="T68" s="242"/>
      <c r="U68" s="106"/>
      <c r="V68" s="157"/>
      <c r="X68" s="242"/>
      <c r="Y68" s="106"/>
      <c r="Z68" s="106"/>
      <c r="AA68" s="476"/>
      <c r="AC68" s="242"/>
      <c r="AD68" s="106"/>
      <c r="AE68" s="157"/>
      <c r="AG68" s="26"/>
      <c r="AH68" s="943"/>
      <c r="AI68" s="242"/>
      <c r="AJ68" s="113"/>
      <c r="AK68" s="106"/>
      <c r="AL68" s="476"/>
      <c r="AN68" s="242"/>
      <c r="AO68" s="106"/>
      <c r="AP68" s="157"/>
      <c r="AQ68" s="26"/>
      <c r="AS68" s="242"/>
      <c r="AT68" s="106"/>
      <c r="AU68" s="157"/>
    </row>
    <row r="69" spans="1:48" x14ac:dyDescent="0.35">
      <c r="A69" s="9168"/>
      <c r="B69" s="241"/>
      <c r="C69" s="241" t="s">
        <v>1895</v>
      </c>
      <c r="D69" s="87"/>
      <c r="F69" s="130"/>
      <c r="H69" s="131"/>
      <c r="I69" s="132"/>
      <c r="J69" s="484">
        <f t="shared" si="53"/>
        <v>0</v>
      </c>
      <c r="L69" s="242"/>
      <c r="M69" s="157">
        <f t="shared" si="54"/>
        <v>0</v>
      </c>
      <c r="O69" s="131"/>
      <c r="P69" s="216"/>
      <c r="Q69" s="216"/>
      <c r="R69" s="484">
        <f t="shared" si="55"/>
        <v>0</v>
      </c>
      <c r="T69" s="242"/>
      <c r="U69" s="106"/>
      <c r="V69" s="157">
        <f t="shared" si="56"/>
        <v>0</v>
      </c>
      <c r="X69" s="131"/>
      <c r="Y69" s="216"/>
      <c r="Z69" s="216"/>
      <c r="AA69" s="484">
        <f t="shared" ref="AA69" si="81">IF(X69=0,0,Y69/X69)</f>
        <v>0</v>
      </c>
      <c r="AC69" s="242"/>
      <c r="AD69" s="106"/>
      <c r="AE69" s="157">
        <f t="shared" ref="AE69" si="82">AC69*AA69</f>
        <v>0</v>
      </c>
      <c r="AG69" s="26"/>
      <c r="AH69" s="943"/>
      <c r="AI69" s="242"/>
      <c r="AJ69" s="123"/>
      <c r="AK69" s="106"/>
      <c r="AL69" s="476">
        <f t="shared" ref="AL69" si="83">IF(AI69=0,0,AJ69/AI69)</f>
        <v>0</v>
      </c>
      <c r="AN69" s="242"/>
      <c r="AO69" s="106"/>
      <c r="AP69" s="157">
        <f t="shared" ref="AP69" si="84">AN69*AL69</f>
        <v>0</v>
      </c>
      <c r="AQ69" s="26"/>
      <c r="AS69" s="242">
        <v>250</v>
      </c>
      <c r="AT69" s="106" t="s">
        <v>1896</v>
      </c>
      <c r="AU69" s="157"/>
    </row>
    <row r="70" spans="1:48" x14ac:dyDescent="0.35">
      <c r="A70" s="9168"/>
      <c r="B70" s="271" t="s">
        <v>965</v>
      </c>
      <c r="C70" s="271"/>
      <c r="D70" s="140"/>
      <c r="E70" s="141"/>
      <c r="F70" s="227"/>
      <c r="G70" s="141"/>
      <c r="H70" s="245"/>
      <c r="I70" s="106"/>
      <c r="J70" s="518"/>
      <c r="K70" s="141"/>
      <c r="L70" s="102"/>
      <c r="M70" s="268"/>
      <c r="N70" s="141"/>
      <c r="O70" s="245"/>
      <c r="P70" s="106"/>
      <c r="Q70" s="106"/>
      <c r="R70" s="518"/>
      <c r="S70" s="141"/>
      <c r="T70" s="102"/>
      <c r="U70" s="103"/>
      <c r="V70" s="268"/>
      <c r="W70" s="141"/>
      <c r="X70" s="245"/>
      <c r="Y70" s="106"/>
      <c r="Z70" s="106"/>
      <c r="AA70" s="518"/>
      <c r="AB70" s="141"/>
      <c r="AC70" s="102"/>
      <c r="AD70" s="103"/>
      <c r="AE70" s="268"/>
      <c r="AF70" s="141"/>
      <c r="AG70" s="18"/>
      <c r="AH70" s="943"/>
      <c r="AI70" s="102"/>
      <c r="AJ70" s="103"/>
      <c r="AK70" s="103"/>
      <c r="AL70" s="516"/>
      <c r="AM70" s="141"/>
      <c r="AN70" s="102"/>
      <c r="AO70" s="103"/>
      <c r="AP70" s="268"/>
      <c r="AQ70" s="18"/>
      <c r="AR70" s="141"/>
      <c r="AS70" s="102"/>
      <c r="AT70" s="103"/>
      <c r="AU70" s="268"/>
    </row>
    <row r="71" spans="1:48" x14ac:dyDescent="0.35">
      <c r="A71" s="9168"/>
      <c r="B71" s="232"/>
      <c r="C71" s="232" t="s">
        <v>1897</v>
      </c>
      <c r="D71" s="60"/>
      <c r="F71" s="111"/>
      <c r="H71" s="112">
        <v>85728813000</v>
      </c>
      <c r="I71" s="113"/>
      <c r="J71" s="476">
        <f t="shared" ref="J71:J79" si="85">IF(H71=0,0,I71/H71)</f>
        <v>0</v>
      </c>
      <c r="L71" s="112">
        <v>113589122000</v>
      </c>
      <c r="M71" s="157">
        <f t="shared" ref="M71:M79" si="86">L71*J71</f>
        <v>0</v>
      </c>
      <c r="O71" s="112"/>
      <c r="P71" s="106"/>
      <c r="Q71" s="106"/>
      <c r="R71" s="476">
        <f t="shared" ref="R71:R76" si="87">IF(O71=0,0,P71/O71)</f>
        <v>0</v>
      </c>
      <c r="T71" s="112"/>
      <c r="U71" s="106"/>
      <c r="V71" s="157">
        <f t="shared" ref="V71:V76" si="88">T71*R71</f>
        <v>0</v>
      </c>
      <c r="X71" s="112">
        <v>106015342000</v>
      </c>
      <c r="Y71" s="106"/>
      <c r="Z71" s="106" t="s">
        <v>1849</v>
      </c>
      <c r="AA71" s="476">
        <f t="shared" ref="AA71:AA76" si="89">IF(X71=0,0,Y71/X71)</f>
        <v>0</v>
      </c>
      <c r="AC71" s="117">
        <v>106015342000</v>
      </c>
      <c r="AD71" s="106"/>
      <c r="AE71" s="157">
        <f t="shared" ref="AE71:AE76" si="90">AC71*AA71</f>
        <v>0</v>
      </c>
      <c r="AG71" s="26"/>
      <c r="AH71" s="943"/>
      <c r="AI71" s="112">
        <v>106015.342</v>
      </c>
      <c r="AJ71" s="113"/>
      <c r="AK71" s="313" t="s">
        <v>1850</v>
      </c>
      <c r="AL71" s="476"/>
      <c r="AN71" s="117">
        <v>100488.58500000001</v>
      </c>
      <c r="AO71" s="313" t="s">
        <v>1850</v>
      </c>
      <c r="AP71" s="157">
        <f t="shared" ref="AP71:AP76" si="91">AN71*AL71</f>
        <v>0</v>
      </c>
      <c r="AQ71" s="26"/>
      <c r="AS71" s="117">
        <v>111687.79726599999</v>
      </c>
      <c r="AT71" s="313" t="s">
        <v>1851</v>
      </c>
      <c r="AU71" s="157"/>
    </row>
    <row r="72" spans="1:48" x14ac:dyDescent="0.35">
      <c r="A72" s="9168"/>
      <c r="B72" s="232"/>
      <c r="C72" s="232" t="s">
        <v>1276</v>
      </c>
      <c r="D72" s="60"/>
      <c r="F72" s="111"/>
      <c r="H72" s="112"/>
      <c r="I72" s="113"/>
      <c r="J72" s="476"/>
      <c r="L72" s="112"/>
      <c r="M72" s="157"/>
      <c r="O72" s="112"/>
      <c r="P72" s="106"/>
      <c r="Q72" s="106"/>
      <c r="R72" s="476"/>
      <c r="T72" s="112"/>
      <c r="U72" s="106"/>
      <c r="V72" s="157"/>
      <c r="X72" s="112"/>
      <c r="Y72" s="106"/>
      <c r="Z72" s="106"/>
      <c r="AA72" s="476"/>
      <c r="AC72" s="117"/>
      <c r="AD72" s="106"/>
      <c r="AE72" s="157"/>
      <c r="AG72" s="26"/>
      <c r="AH72" s="943"/>
      <c r="AI72" s="112">
        <v>251.5</v>
      </c>
      <c r="AJ72" s="113"/>
      <c r="AK72" s="313"/>
      <c r="AL72" s="476"/>
      <c r="AN72" s="117">
        <v>120.631</v>
      </c>
      <c r="AO72" s="313"/>
      <c r="AP72" s="157"/>
      <c r="AQ72" s="26" t="s">
        <v>1898</v>
      </c>
      <c r="AS72" s="117">
        <v>885.20998399999996</v>
      </c>
      <c r="AT72" s="313" t="s">
        <v>1851</v>
      </c>
      <c r="AU72" s="157"/>
    </row>
    <row r="73" spans="1:48" x14ac:dyDescent="0.35">
      <c r="A73" s="9168"/>
      <c r="B73" s="232"/>
      <c r="C73" s="232" t="s">
        <v>937</v>
      </c>
      <c r="D73" s="60"/>
      <c r="F73" s="155"/>
      <c r="H73" s="117">
        <v>6217478000</v>
      </c>
      <c r="I73" s="115"/>
      <c r="J73" s="476">
        <f t="shared" si="85"/>
        <v>0</v>
      </c>
      <c r="L73" s="117">
        <v>4703674000</v>
      </c>
      <c r="M73" s="157">
        <f t="shared" si="86"/>
        <v>0</v>
      </c>
      <c r="O73" s="117"/>
      <c r="P73" s="106"/>
      <c r="Q73" s="106"/>
      <c r="R73" s="476">
        <f t="shared" si="87"/>
        <v>0</v>
      </c>
      <c r="T73" s="117"/>
      <c r="U73" s="106"/>
      <c r="V73" s="157">
        <f t="shared" si="88"/>
        <v>0</v>
      </c>
      <c r="X73" s="117">
        <v>5154867000</v>
      </c>
      <c r="Y73" s="106"/>
      <c r="Z73" s="106" t="s">
        <v>1899</v>
      </c>
      <c r="AA73" s="476">
        <f t="shared" si="89"/>
        <v>0</v>
      </c>
      <c r="AC73" s="117">
        <v>51254867000</v>
      </c>
      <c r="AD73" s="106"/>
      <c r="AE73" s="157">
        <f t="shared" si="90"/>
        <v>0</v>
      </c>
      <c r="AG73" s="26"/>
      <c r="AH73" s="943"/>
      <c r="AI73" s="117">
        <v>5254.8670000000002</v>
      </c>
      <c r="AJ73" s="113"/>
      <c r="AK73" s="106"/>
      <c r="AL73" s="476">
        <f t="shared" ref="AL73:AL76" si="92">IF(AI73=0,0,AJ73/AI73)</f>
        <v>0</v>
      </c>
      <c r="AN73" s="117">
        <v>5462.6959999999999</v>
      </c>
      <c r="AO73" s="106"/>
      <c r="AP73" s="157">
        <f t="shared" si="91"/>
        <v>0</v>
      </c>
      <c r="AQ73" s="26"/>
      <c r="AS73" s="117">
        <v>6355.5623409999998</v>
      </c>
      <c r="AT73" s="106" t="s">
        <v>1851</v>
      </c>
      <c r="AU73" s="157"/>
    </row>
    <row r="74" spans="1:48" x14ac:dyDescent="0.35">
      <c r="A74" s="9168"/>
      <c r="B74" s="240"/>
      <c r="C74" s="232" t="s">
        <v>1866</v>
      </c>
      <c r="D74" s="60"/>
      <c r="F74" s="163"/>
      <c r="H74" s="242">
        <v>360693527</v>
      </c>
      <c r="I74" s="243"/>
      <c r="J74" s="476">
        <f t="shared" si="85"/>
        <v>0</v>
      </c>
      <c r="L74" s="112">
        <v>485061924</v>
      </c>
      <c r="M74" s="157">
        <f t="shared" si="86"/>
        <v>0</v>
      </c>
      <c r="O74" s="242"/>
      <c r="P74" s="106"/>
      <c r="Q74" s="106"/>
      <c r="R74" s="476">
        <f t="shared" si="87"/>
        <v>0</v>
      </c>
      <c r="T74" s="112"/>
      <c r="U74" s="106"/>
      <c r="V74" s="157">
        <f t="shared" si="88"/>
        <v>0</v>
      </c>
      <c r="X74" s="242"/>
      <c r="Y74" s="106"/>
      <c r="Z74" s="106"/>
      <c r="AA74" s="476">
        <f t="shared" si="89"/>
        <v>0</v>
      </c>
      <c r="AC74" s="112"/>
      <c r="AD74" s="106"/>
      <c r="AE74" s="157">
        <f t="shared" si="90"/>
        <v>0</v>
      </c>
      <c r="AG74" s="26"/>
      <c r="AH74" s="943"/>
      <c r="AI74" s="242"/>
      <c r="AJ74" s="113"/>
      <c r="AK74" s="106"/>
      <c r="AL74" s="476">
        <f t="shared" si="92"/>
        <v>0</v>
      </c>
      <c r="AN74" s="112"/>
      <c r="AO74" s="106"/>
      <c r="AP74" s="157">
        <f t="shared" si="91"/>
        <v>0</v>
      </c>
      <c r="AQ74" s="26"/>
      <c r="AS74" s="112"/>
      <c r="AT74" s="106"/>
      <c r="AU74" s="157"/>
    </row>
    <row r="75" spans="1:48" x14ac:dyDescent="0.35">
      <c r="A75" s="9168"/>
      <c r="B75" s="240"/>
      <c r="C75" s="240" t="s">
        <v>1876</v>
      </c>
      <c r="D75" s="60"/>
      <c r="F75" s="163"/>
      <c r="H75" s="242">
        <f>47451960+71642220</f>
        <v>119094180</v>
      </c>
      <c r="I75" s="243"/>
      <c r="J75" s="476">
        <f t="shared" si="85"/>
        <v>0</v>
      </c>
      <c r="L75" s="242"/>
      <c r="M75" s="157">
        <f t="shared" si="86"/>
        <v>0</v>
      </c>
      <c r="O75" s="242"/>
      <c r="P75" s="106"/>
      <c r="Q75" s="106"/>
      <c r="R75" s="476">
        <f t="shared" si="87"/>
        <v>0</v>
      </c>
      <c r="T75" s="242"/>
      <c r="U75" s="106"/>
      <c r="V75" s="157">
        <f t="shared" si="88"/>
        <v>0</v>
      </c>
      <c r="X75" s="242"/>
      <c r="Y75" s="106"/>
      <c r="Z75" s="106"/>
      <c r="AA75" s="476">
        <f t="shared" si="89"/>
        <v>0</v>
      </c>
      <c r="AC75" s="242"/>
      <c r="AD75" s="106"/>
      <c r="AE75" s="157">
        <f t="shared" si="90"/>
        <v>0</v>
      </c>
      <c r="AG75" s="26"/>
      <c r="AH75" s="943"/>
      <c r="AI75" s="242"/>
      <c r="AJ75" s="113"/>
      <c r="AK75" s="106"/>
      <c r="AL75" s="476">
        <f t="shared" si="92"/>
        <v>0</v>
      </c>
      <c r="AN75" s="242"/>
      <c r="AO75" s="106"/>
      <c r="AP75" s="157">
        <f t="shared" si="91"/>
        <v>0</v>
      </c>
      <c r="AQ75" s="26"/>
      <c r="AS75" s="242"/>
      <c r="AT75" s="106"/>
      <c r="AU75" s="157"/>
    </row>
    <row r="76" spans="1:48" x14ac:dyDescent="0.35">
      <c r="A76" s="9168"/>
      <c r="B76" s="240"/>
      <c r="C76" s="240"/>
      <c r="D76" s="60"/>
      <c r="F76" s="163"/>
      <c r="H76" s="242"/>
      <c r="I76" s="243"/>
      <c r="J76" s="476">
        <f t="shared" si="85"/>
        <v>0</v>
      </c>
      <c r="L76" s="242"/>
      <c r="M76" s="157">
        <f t="shared" si="86"/>
        <v>0</v>
      </c>
      <c r="O76" s="242"/>
      <c r="P76" s="106"/>
      <c r="Q76" s="106"/>
      <c r="R76" s="476">
        <f t="shared" si="87"/>
        <v>0</v>
      </c>
      <c r="T76" s="242"/>
      <c r="U76" s="106"/>
      <c r="V76" s="157">
        <f t="shared" si="88"/>
        <v>0</v>
      </c>
      <c r="X76" s="242"/>
      <c r="Y76" s="106"/>
      <c r="Z76" s="106"/>
      <c r="AA76" s="476">
        <f t="shared" si="89"/>
        <v>0</v>
      </c>
      <c r="AC76" s="242"/>
      <c r="AD76" s="106"/>
      <c r="AE76" s="157">
        <f t="shared" si="90"/>
        <v>0</v>
      </c>
      <c r="AG76" s="26"/>
      <c r="AH76" s="943"/>
      <c r="AI76" s="242"/>
      <c r="AJ76" s="113"/>
      <c r="AK76" s="106"/>
      <c r="AL76" s="476">
        <f t="shared" si="92"/>
        <v>0</v>
      </c>
      <c r="AN76" s="242"/>
      <c r="AO76" s="106"/>
      <c r="AP76" s="157">
        <f t="shared" si="91"/>
        <v>0</v>
      </c>
      <c r="AQ76" s="26"/>
      <c r="AS76" s="242"/>
      <c r="AT76" s="106"/>
      <c r="AU76" s="157"/>
    </row>
    <row r="77" spans="1:48" x14ac:dyDescent="0.35">
      <c r="A77" s="9168"/>
      <c r="B77" s="240"/>
      <c r="C77" s="240"/>
      <c r="D77" s="60"/>
      <c r="F77" s="163"/>
      <c r="H77" s="242"/>
      <c r="I77" s="243"/>
      <c r="J77" s="476"/>
      <c r="L77" s="242"/>
      <c r="M77" s="157"/>
      <c r="O77" s="242"/>
      <c r="P77" s="106"/>
      <c r="Q77" s="106"/>
      <c r="R77" s="476"/>
      <c r="T77" s="242"/>
      <c r="U77" s="106"/>
      <c r="V77" s="157"/>
      <c r="X77" s="242"/>
      <c r="Y77" s="106"/>
      <c r="Z77" s="106"/>
      <c r="AA77" s="476"/>
      <c r="AC77" s="242"/>
      <c r="AD77" s="106"/>
      <c r="AE77" s="157"/>
      <c r="AG77" s="26"/>
      <c r="AH77" s="943"/>
      <c r="AI77" s="242"/>
      <c r="AJ77" s="113"/>
      <c r="AK77" s="106"/>
      <c r="AL77" s="476"/>
      <c r="AN77" s="242"/>
      <c r="AO77" s="106"/>
      <c r="AP77" s="157"/>
      <c r="AQ77" s="26"/>
      <c r="AS77" s="242"/>
      <c r="AT77" s="106"/>
      <c r="AU77" s="157"/>
    </row>
    <row r="78" spans="1:48" x14ac:dyDescent="0.35">
      <c r="A78" s="9168"/>
      <c r="B78" s="240"/>
      <c r="C78" s="240"/>
      <c r="D78" s="60"/>
      <c r="F78" s="163"/>
      <c r="H78" s="242"/>
      <c r="I78" s="243"/>
      <c r="J78" s="476">
        <f t="shared" si="85"/>
        <v>0</v>
      </c>
      <c r="L78" s="242"/>
      <c r="M78" s="157">
        <f t="shared" si="86"/>
        <v>0</v>
      </c>
      <c r="O78" s="242"/>
      <c r="P78" s="106"/>
      <c r="Q78" s="106"/>
      <c r="R78" s="476">
        <f t="shared" ref="R78:R79" si="93">IF(O78=0,0,P78/O78)</f>
        <v>0</v>
      </c>
      <c r="T78" s="242"/>
      <c r="U78" s="106"/>
      <c r="V78" s="157">
        <f t="shared" ref="V78:V79" si="94">T78*R78</f>
        <v>0</v>
      </c>
      <c r="X78" s="242"/>
      <c r="Y78" s="106"/>
      <c r="Z78" s="106"/>
      <c r="AA78" s="476">
        <f t="shared" ref="AA78:AA79" si="95">IF(X78=0,0,Y78/X78)</f>
        <v>0</v>
      </c>
      <c r="AC78" s="242"/>
      <c r="AD78" s="106"/>
      <c r="AE78" s="157">
        <f t="shared" ref="AE78:AE79" si="96">AC78*AA78</f>
        <v>0</v>
      </c>
      <c r="AG78" s="26"/>
      <c r="AH78" s="943"/>
      <c r="AI78" s="242"/>
      <c r="AJ78" s="113"/>
      <c r="AK78" s="106"/>
      <c r="AL78" s="476">
        <f t="shared" ref="AL78:AL79" si="97">IF(AI78=0,0,AJ78/AI78)</f>
        <v>0</v>
      </c>
      <c r="AN78" s="242"/>
      <c r="AO78" s="106"/>
      <c r="AP78" s="157">
        <f t="shared" ref="AP78:AP79" si="98">AN78*AL78</f>
        <v>0</v>
      </c>
      <c r="AQ78" s="26"/>
      <c r="AS78" s="242"/>
      <c r="AT78" s="106"/>
      <c r="AU78" s="157"/>
    </row>
    <row r="79" spans="1:48" ht="15.25" customHeight="1" x14ac:dyDescent="0.35">
      <c r="A79" s="9168"/>
      <c r="B79" s="250"/>
      <c r="C79" s="250"/>
      <c r="D79" s="87"/>
      <c r="F79" s="130"/>
      <c r="H79" s="242"/>
      <c r="I79" s="243"/>
      <c r="J79" s="476">
        <f t="shared" si="85"/>
        <v>0</v>
      </c>
      <c r="L79" s="242"/>
      <c r="M79" s="157">
        <f t="shared" si="86"/>
        <v>0</v>
      </c>
      <c r="O79" s="242"/>
      <c r="P79" s="106"/>
      <c r="Q79" s="106"/>
      <c r="R79" s="476">
        <f t="shared" si="93"/>
        <v>0</v>
      </c>
      <c r="T79" s="242"/>
      <c r="U79" s="106"/>
      <c r="V79" s="157">
        <f t="shared" si="94"/>
        <v>0</v>
      </c>
      <c r="X79" s="242"/>
      <c r="Y79" s="106"/>
      <c r="Z79" s="106"/>
      <c r="AA79" s="476">
        <f t="shared" si="95"/>
        <v>0</v>
      </c>
      <c r="AC79" s="242"/>
      <c r="AD79" s="106"/>
      <c r="AE79" s="157">
        <f t="shared" si="96"/>
        <v>0</v>
      </c>
      <c r="AG79" s="24"/>
      <c r="AH79" s="943"/>
      <c r="AI79" s="131"/>
      <c r="AJ79" s="845"/>
      <c r="AK79" s="216"/>
      <c r="AL79" s="484">
        <f t="shared" si="97"/>
        <v>0</v>
      </c>
      <c r="AN79" s="242"/>
      <c r="AO79" s="106"/>
      <c r="AP79" s="157">
        <f t="shared" si="98"/>
        <v>0</v>
      </c>
      <c r="AQ79" s="24"/>
      <c r="AS79" s="242"/>
      <c r="AT79" s="106"/>
      <c r="AU79" s="157"/>
    </row>
    <row r="80" spans="1:48" x14ac:dyDescent="0.35">
      <c r="A80" s="9168"/>
      <c r="B80" s="271" t="s">
        <v>979</v>
      </c>
      <c r="C80" s="271"/>
      <c r="D80" s="140"/>
      <c r="E80" s="143"/>
      <c r="F80" s="227"/>
      <c r="G80" s="143"/>
      <c r="H80" s="102"/>
      <c r="I80" s="103"/>
      <c r="J80" s="228"/>
      <c r="K80" s="143"/>
      <c r="L80" s="102"/>
      <c r="M80" s="268"/>
      <c r="N80" s="143"/>
      <c r="O80" s="102"/>
      <c r="P80" s="103"/>
      <c r="Q80" s="103"/>
      <c r="R80" s="228"/>
      <c r="S80" s="143"/>
      <c r="T80" s="102"/>
      <c r="U80" s="103"/>
      <c r="V80" s="268"/>
      <c r="W80" s="143"/>
      <c r="X80" s="102"/>
      <c r="Y80" s="103"/>
      <c r="Z80" s="103"/>
      <c r="AA80" s="228"/>
      <c r="AB80" s="143"/>
      <c r="AC80" s="102"/>
      <c r="AD80" s="103"/>
      <c r="AE80" s="268"/>
      <c r="AF80" s="143"/>
      <c r="AG80" s="18"/>
      <c r="AH80" s="1150"/>
      <c r="AI80" s="102"/>
      <c r="AJ80" s="103"/>
      <c r="AK80" s="103"/>
      <c r="AL80" s="228"/>
      <c r="AM80" s="143"/>
      <c r="AN80" s="102"/>
      <c r="AO80" s="103"/>
      <c r="AP80" s="268"/>
      <c r="AQ80" s="18"/>
      <c r="AR80" s="143"/>
      <c r="AS80" s="102"/>
      <c r="AT80" s="103"/>
      <c r="AU80" s="268"/>
    </row>
    <row r="81" spans="1:49" x14ac:dyDescent="0.35">
      <c r="A81" s="9168"/>
      <c r="B81" s="272"/>
      <c r="C81" s="272" t="s">
        <v>980</v>
      </c>
      <c r="D81" s="60"/>
      <c r="F81" s="155"/>
      <c r="H81" s="117"/>
      <c r="I81" s="115"/>
      <c r="J81" s="476">
        <f t="shared" ref="J81" si="99">IF(H81=0,0,I81/H81)</f>
        <v>0</v>
      </c>
      <c r="L81" s="117"/>
      <c r="M81" s="157">
        <f>M30*M82</f>
        <v>0</v>
      </c>
      <c r="O81" s="117"/>
      <c r="P81" s="106"/>
      <c r="Q81" s="106"/>
      <c r="R81" s="476">
        <f t="shared" ref="R81" si="100">IF(O81=0,0,P81/O81)</f>
        <v>0</v>
      </c>
      <c r="T81" s="117"/>
      <c r="U81" s="106"/>
      <c r="V81" s="157">
        <f>V30*V82</f>
        <v>0</v>
      </c>
      <c r="X81" s="117"/>
      <c r="Y81" s="106"/>
      <c r="Z81" s="106"/>
      <c r="AA81" s="476">
        <f t="shared" ref="AA81" si="101">IF(X81=0,0,Y81/X81)</f>
        <v>0</v>
      </c>
      <c r="AC81" s="117"/>
      <c r="AD81" s="106"/>
      <c r="AE81" s="157">
        <f>AE30*AE82</f>
        <v>0</v>
      </c>
      <c r="AG81" s="26"/>
      <c r="AH81" s="943"/>
      <c r="AI81" s="117"/>
      <c r="AJ81" s="113"/>
      <c r="AK81" s="106"/>
      <c r="AL81" s="476">
        <f t="shared" ref="AL81" si="102">IF(AI81=0,0,AJ81/AI81)</f>
        <v>0</v>
      </c>
      <c r="AN81" s="117"/>
      <c r="AO81" s="106"/>
      <c r="AP81" s="157">
        <f>AP30*AP82</f>
        <v>0</v>
      </c>
      <c r="AQ81" s="26"/>
      <c r="AS81" s="117"/>
      <c r="AT81" s="106"/>
      <c r="AU81" s="157"/>
    </row>
    <row r="82" spans="1:49" x14ac:dyDescent="0.35">
      <c r="A82" s="9168"/>
      <c r="B82" s="277"/>
      <c r="C82" s="277" t="s">
        <v>981</v>
      </c>
      <c r="D82" s="87"/>
      <c r="F82" s="278"/>
      <c r="G82" s="279"/>
      <c r="H82" s="280"/>
      <c r="I82" s="281"/>
      <c r="J82" s="484"/>
      <c r="L82" s="280"/>
      <c r="M82" s="282"/>
      <c r="O82" s="280"/>
      <c r="P82" s="519"/>
      <c r="Q82" s="519"/>
      <c r="R82" s="484"/>
      <c r="T82" s="280"/>
      <c r="U82" s="519"/>
      <c r="V82" s="282"/>
      <c r="X82" s="280"/>
      <c r="Y82" s="519"/>
      <c r="Z82" s="519"/>
      <c r="AA82" s="484"/>
      <c r="AC82" s="280"/>
      <c r="AD82" s="519"/>
      <c r="AE82" s="282"/>
      <c r="AG82" s="24"/>
      <c r="AH82" s="844"/>
      <c r="AI82" s="280"/>
      <c r="AJ82" s="845"/>
      <c r="AK82" s="519"/>
      <c r="AL82" s="484"/>
      <c r="AN82" s="280"/>
      <c r="AO82" s="519"/>
      <c r="AP82" s="282"/>
      <c r="AQ82" s="24"/>
      <c r="AS82" s="280"/>
      <c r="AT82" s="519"/>
      <c r="AU82" s="282"/>
    </row>
    <row r="83" spans="1:49" x14ac:dyDescent="0.35">
      <c r="A83" s="9168"/>
      <c r="B83" s="287" t="s">
        <v>1800</v>
      </c>
      <c r="C83" s="288"/>
      <c r="D83" s="140"/>
      <c r="E83" s="143"/>
      <c r="F83" s="289"/>
      <c r="G83" s="290"/>
      <c r="H83" s="291"/>
      <c r="I83" s="292"/>
      <c r="J83" s="293"/>
      <c r="L83" s="291"/>
      <c r="M83" s="268"/>
      <c r="N83" s="143"/>
      <c r="O83" s="291"/>
      <c r="P83" s="292"/>
      <c r="Q83" s="520"/>
      <c r="R83" s="293"/>
      <c r="T83" s="291"/>
      <c r="U83" s="103" t="s">
        <v>1900</v>
      </c>
      <c r="V83" s="268"/>
      <c r="W83" s="143"/>
      <c r="X83" s="291"/>
      <c r="Y83" s="292"/>
      <c r="Z83" s="520"/>
      <c r="AA83" s="293"/>
      <c r="AC83" s="291"/>
      <c r="AD83" s="103" t="s">
        <v>1900</v>
      </c>
      <c r="AE83" s="268"/>
      <c r="AF83" s="143"/>
      <c r="AG83" s="18"/>
      <c r="AH83" s="1150"/>
      <c r="AI83" s="291"/>
      <c r="AJ83" s="292"/>
      <c r="AK83" s="520"/>
      <c r="AL83" s="293"/>
      <c r="AN83" s="291"/>
      <c r="AO83" s="103"/>
      <c r="AP83" s="268"/>
      <c r="AQ83" s="18"/>
      <c r="AS83" s="291"/>
      <c r="AT83" s="103"/>
      <c r="AU83" s="268"/>
      <c r="AW83" s="254"/>
    </row>
    <row r="84" spans="1:49" x14ac:dyDescent="0.35">
      <c r="A84" s="9168"/>
      <c r="B84" s="295"/>
      <c r="C84" s="296" t="s">
        <v>1901</v>
      </c>
      <c r="D84" s="60"/>
      <c r="F84" s="521"/>
      <c r="G84" s="272"/>
      <c r="H84" s="62">
        <f>5513400000+3100000000</f>
        <v>8613400000</v>
      </c>
      <c r="I84" s="522"/>
      <c r="J84" s="523">
        <f t="shared" ref="J84:J87" si="103">IF(H84=0,0,I84/H84)</f>
        <v>0</v>
      </c>
      <c r="L84" s="62">
        <f>6802200000+1041250000</f>
        <v>7843450000</v>
      </c>
      <c r="M84" s="157">
        <f t="shared" ref="M84:M87" si="104">L84*J84</f>
        <v>0</v>
      </c>
      <c r="O84" s="62">
        <f>2595210600+2886000000+5000000000</f>
        <v>10481210600</v>
      </c>
      <c r="P84" s="63"/>
      <c r="Q84" s="524"/>
      <c r="R84" s="523">
        <f t="shared" ref="R84:R87" si="105">IF(O84=0,0,P84/O84)</f>
        <v>0</v>
      </c>
      <c r="T84" s="62">
        <f>3607764050+1250000000+500000000+1242105150+20000000</f>
        <v>6619869200</v>
      </c>
      <c r="U84" s="106" t="s">
        <v>1902</v>
      </c>
      <c r="V84" s="157">
        <f t="shared" ref="V84:V87" si="106">T84*R84</f>
        <v>0</v>
      </c>
      <c r="X84" s="62"/>
      <c r="Y84" s="63"/>
      <c r="Z84" s="524"/>
      <c r="AA84" s="523">
        <f t="shared" ref="AA84:AA87" si="107">IF(X84=0,0,Y84/X84)</f>
        <v>0</v>
      </c>
      <c r="AC84" s="62"/>
      <c r="AD84" s="106" t="s">
        <v>1902</v>
      </c>
      <c r="AE84" s="157">
        <f t="shared" ref="AE84:AE87" si="108">AC84*AA84</f>
        <v>0</v>
      </c>
      <c r="AG84" s="26"/>
      <c r="AH84" s="943"/>
      <c r="AI84" s="62"/>
      <c r="AJ84" s="63"/>
      <c r="AK84" s="524"/>
      <c r="AL84" s="523">
        <f t="shared" ref="AL84:AL87" si="109">IF(AI84=0,0,AJ84/AI84)</f>
        <v>0</v>
      </c>
      <c r="AN84" s="62"/>
      <c r="AO84" s="106"/>
      <c r="AP84" s="157">
        <f t="shared" ref="AP84:AP87" si="110">AN84*AL84</f>
        <v>0</v>
      </c>
      <c r="AQ84" s="26"/>
      <c r="AS84" s="62"/>
      <c r="AT84" s="106"/>
      <c r="AU84" s="157"/>
      <c r="AW84" s="254"/>
    </row>
    <row r="85" spans="1:49" s="254" customFormat="1" x14ac:dyDescent="0.35">
      <c r="A85" s="9168"/>
      <c r="B85" s="302"/>
      <c r="C85" s="59" t="s">
        <v>1903</v>
      </c>
      <c r="D85" s="60"/>
      <c r="E85" s="1"/>
      <c r="F85" s="61"/>
      <c r="G85" s="272"/>
      <c r="H85" s="62">
        <v>2550000000</v>
      </c>
      <c r="I85" s="63"/>
      <c r="J85" s="523">
        <f t="shared" si="103"/>
        <v>0</v>
      </c>
      <c r="K85" s="1"/>
      <c r="L85" s="62">
        <v>2550000000</v>
      </c>
      <c r="M85" s="157">
        <f t="shared" si="104"/>
        <v>0</v>
      </c>
      <c r="N85" s="1"/>
      <c r="O85" s="62"/>
      <c r="P85" s="63"/>
      <c r="Q85" s="525"/>
      <c r="R85" s="523">
        <f t="shared" si="105"/>
        <v>0</v>
      </c>
      <c r="S85" s="1"/>
      <c r="T85" s="62"/>
      <c r="U85" s="106"/>
      <c r="V85" s="157">
        <f t="shared" si="106"/>
        <v>0</v>
      </c>
      <c r="W85" s="1"/>
      <c r="X85" s="62"/>
      <c r="Y85" s="63"/>
      <c r="Z85" s="525"/>
      <c r="AA85" s="523">
        <f t="shared" si="107"/>
        <v>0</v>
      </c>
      <c r="AB85" s="1"/>
      <c r="AC85" s="62"/>
      <c r="AD85" s="106"/>
      <c r="AE85" s="157">
        <f t="shared" si="108"/>
        <v>0</v>
      </c>
      <c r="AF85" s="1"/>
      <c r="AG85" s="26"/>
      <c r="AH85" s="943"/>
      <c r="AI85" s="62"/>
      <c r="AJ85" s="63"/>
      <c r="AK85" s="525"/>
      <c r="AL85" s="523">
        <f t="shared" si="109"/>
        <v>0</v>
      </c>
      <c r="AM85" s="1"/>
      <c r="AN85" s="62"/>
      <c r="AO85" s="106"/>
      <c r="AP85" s="157">
        <f t="shared" si="110"/>
        <v>0</v>
      </c>
      <c r="AQ85" s="26"/>
      <c r="AR85" s="1"/>
      <c r="AS85" s="62"/>
      <c r="AT85" s="106"/>
      <c r="AU85" s="157"/>
      <c r="AV85"/>
    </row>
    <row r="86" spans="1:49" s="254" customFormat="1" x14ac:dyDescent="0.35">
      <c r="A86" s="9168"/>
      <c r="B86" s="305"/>
      <c r="C86" s="526"/>
      <c r="D86" s="60"/>
      <c r="E86" s="1"/>
      <c r="F86" s="61"/>
      <c r="G86" s="272"/>
      <c r="H86" s="62"/>
      <c r="I86" s="63"/>
      <c r="J86" s="523">
        <f t="shared" si="103"/>
        <v>0</v>
      </c>
      <c r="K86" s="1"/>
      <c r="L86" s="62"/>
      <c r="M86" s="157">
        <f t="shared" si="104"/>
        <v>0</v>
      </c>
      <c r="N86" s="1"/>
      <c r="O86" s="62"/>
      <c r="P86" s="63"/>
      <c r="Q86" s="525"/>
      <c r="R86" s="523">
        <f t="shared" si="105"/>
        <v>0</v>
      </c>
      <c r="S86" s="1"/>
      <c r="T86" s="62"/>
      <c r="U86" s="106"/>
      <c r="V86" s="157">
        <f t="shared" si="106"/>
        <v>0</v>
      </c>
      <c r="W86" s="1"/>
      <c r="X86" s="62"/>
      <c r="Y86" s="63"/>
      <c r="Z86" s="525"/>
      <c r="AA86" s="523">
        <f t="shared" si="107"/>
        <v>0</v>
      </c>
      <c r="AB86" s="1"/>
      <c r="AC86" s="62"/>
      <c r="AD86" s="106"/>
      <c r="AE86" s="157">
        <f t="shared" si="108"/>
        <v>0</v>
      </c>
      <c r="AF86" s="1"/>
      <c r="AG86" s="26"/>
      <c r="AH86" s="943"/>
      <c r="AI86" s="62"/>
      <c r="AJ86" s="63"/>
      <c r="AK86" s="525"/>
      <c r="AL86" s="523">
        <f t="shared" si="109"/>
        <v>0</v>
      </c>
      <c r="AM86" s="1"/>
      <c r="AN86" s="62"/>
      <c r="AO86" s="106"/>
      <c r="AP86" s="157">
        <f t="shared" si="110"/>
        <v>0</v>
      </c>
      <c r="AQ86" s="26"/>
      <c r="AR86" s="1"/>
      <c r="AS86" s="62"/>
      <c r="AT86" s="106"/>
      <c r="AU86" s="157"/>
      <c r="AV86"/>
    </row>
    <row r="87" spans="1:49" s="254" customFormat="1" x14ac:dyDescent="0.35">
      <c r="A87" s="9169"/>
      <c r="B87" s="306"/>
      <c r="C87" s="86"/>
      <c r="D87" s="87"/>
      <c r="E87" s="1"/>
      <c r="F87" s="88"/>
      <c r="G87" s="274"/>
      <c r="H87" s="89"/>
      <c r="I87" s="90"/>
      <c r="J87" s="527">
        <f t="shared" si="103"/>
        <v>0</v>
      </c>
      <c r="K87" s="1"/>
      <c r="L87" s="89"/>
      <c r="M87" s="213">
        <f t="shared" si="104"/>
        <v>0</v>
      </c>
      <c r="N87" s="1"/>
      <c r="O87" s="89"/>
      <c r="P87" s="90"/>
      <c r="Q87" s="96"/>
      <c r="R87" s="527">
        <f t="shared" si="105"/>
        <v>0</v>
      </c>
      <c r="S87" s="1"/>
      <c r="T87" s="89"/>
      <c r="U87" s="216"/>
      <c r="V87" s="213">
        <f t="shared" si="106"/>
        <v>0</v>
      </c>
      <c r="W87" s="1"/>
      <c r="X87" s="89"/>
      <c r="Y87" s="90"/>
      <c r="Z87" s="96"/>
      <c r="AA87" s="527">
        <f t="shared" si="107"/>
        <v>0</v>
      </c>
      <c r="AB87" s="1"/>
      <c r="AC87" s="89"/>
      <c r="AD87" s="216"/>
      <c r="AE87" s="213">
        <f t="shared" si="108"/>
        <v>0</v>
      </c>
      <c r="AF87" s="1"/>
      <c r="AG87" s="24"/>
      <c r="AH87" s="844"/>
      <c r="AI87" s="89"/>
      <c r="AJ87" s="90"/>
      <c r="AK87" s="96"/>
      <c r="AL87" s="527">
        <f t="shared" si="109"/>
        <v>0</v>
      </c>
      <c r="AM87" s="1"/>
      <c r="AN87" s="89"/>
      <c r="AO87" s="216"/>
      <c r="AP87" s="213">
        <f t="shared" si="110"/>
        <v>0</v>
      </c>
      <c r="AQ87" s="24"/>
      <c r="AR87" s="1"/>
      <c r="AS87" s="89"/>
      <c r="AT87" s="216"/>
      <c r="AU87" s="213"/>
      <c r="AV87"/>
    </row>
    <row r="88" spans="1:49" s="254" customFormat="1" x14ac:dyDescent="0.35">
      <c r="A88" s="5238"/>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c r="AH88"/>
      <c r="AI88" s="1"/>
      <c r="AJ88" s="1"/>
      <c r="AK88" s="1"/>
      <c r="AL88" s="1"/>
      <c r="AM88" s="1"/>
      <c r="AN88" s="1"/>
      <c r="AO88" s="1"/>
      <c r="AP88" s="1"/>
      <c r="AQ88"/>
      <c r="AR88" s="1"/>
      <c r="AS88" s="1"/>
      <c r="AT88" s="1"/>
      <c r="AU88" s="1"/>
      <c r="AV88"/>
    </row>
    <row r="89" spans="1:49" s="254" customFormat="1" x14ac:dyDescent="0.35">
      <c r="A89" s="528"/>
      <c r="B89" s="529"/>
      <c r="C89" s="530"/>
      <c r="D89" s="531"/>
      <c r="E89" s="235"/>
      <c r="F89" s="532"/>
      <c r="G89" s="235"/>
      <c r="H89" s="529"/>
      <c r="I89" s="530"/>
      <c r="J89" s="533"/>
      <c r="K89" s="235"/>
      <c r="L89" s="534"/>
      <c r="M89" s="148"/>
      <c r="N89" s="235"/>
      <c r="O89" s="535"/>
      <c r="P89" s="536"/>
      <c r="Q89" s="103"/>
      <c r="R89" s="533"/>
      <c r="S89" s="235"/>
      <c r="T89" s="535"/>
      <c r="U89" s="103"/>
      <c r="V89" s="537"/>
      <c r="W89" s="235"/>
      <c r="X89" s="535"/>
      <c r="Y89" s="536"/>
      <c r="Z89" s="103"/>
      <c r="AA89" s="533"/>
      <c r="AB89" s="235"/>
      <c r="AC89" s="535"/>
      <c r="AD89" s="103"/>
      <c r="AE89" s="537"/>
      <c r="AF89" s="235"/>
      <c r="AI89" s="535"/>
      <c r="AJ89" s="536"/>
      <c r="AK89" s="103"/>
      <c r="AL89" s="533"/>
      <c r="AM89" s="235"/>
      <c r="AN89" s="535"/>
      <c r="AO89" s="6349" t="s">
        <v>1904</v>
      </c>
      <c r="AP89" s="537"/>
      <c r="AR89" s="235"/>
      <c r="AS89" s="535"/>
      <c r="AT89" s="6349"/>
      <c r="AU89" s="537"/>
    </row>
    <row r="90" spans="1:49" s="254" customFormat="1" x14ac:dyDescent="0.35">
      <c r="A90" s="538"/>
      <c r="B90" s="539"/>
      <c r="C90" s="540"/>
      <c r="D90" s="541"/>
      <c r="E90" s="235"/>
      <c r="F90" s="542"/>
      <c r="G90" s="235"/>
      <c r="H90" s="539"/>
      <c r="I90" s="540"/>
      <c r="J90" s="543"/>
      <c r="K90" s="235"/>
      <c r="L90" s="544"/>
      <c r="M90" s="157"/>
      <c r="N90" s="235"/>
      <c r="O90" s="545">
        <v>62823053485</v>
      </c>
      <c r="P90" s="546"/>
      <c r="Q90" s="106" t="s">
        <v>1905</v>
      </c>
      <c r="R90" s="543"/>
      <c r="S90" s="235"/>
      <c r="T90" s="545">
        <v>58003341450</v>
      </c>
      <c r="U90" s="106" t="s">
        <v>1906</v>
      </c>
      <c r="V90" s="547"/>
      <c r="W90" s="235"/>
      <c r="X90" s="545">
        <v>58003341450</v>
      </c>
      <c r="Y90" s="546"/>
      <c r="Z90" s="57" t="s">
        <v>1906</v>
      </c>
      <c r="AA90" s="543"/>
      <c r="AB90" s="235"/>
      <c r="AC90" s="545">
        <v>58003341450</v>
      </c>
      <c r="AD90" s="57" t="s">
        <v>1906</v>
      </c>
      <c r="AE90" s="547"/>
      <c r="AF90" s="235"/>
      <c r="AI90" s="545">
        <v>58003.34145</v>
      </c>
      <c r="AJ90" s="546"/>
      <c r="AK90" s="57" t="s">
        <v>1904</v>
      </c>
      <c r="AL90" s="543"/>
      <c r="AM90" s="235"/>
      <c r="AN90" s="545">
        <f>58877.123114-AN91</f>
        <v>56442.259114</v>
      </c>
      <c r="AO90" s="254" t="s">
        <v>1363</v>
      </c>
      <c r="AP90" s="547"/>
      <c r="AR90" s="235"/>
      <c r="AS90" s="545"/>
      <c r="AU90" s="547"/>
    </row>
    <row r="91" spans="1:49" s="254" customFormat="1" x14ac:dyDescent="0.35">
      <c r="A91" s="538"/>
      <c r="B91" s="539"/>
      <c r="C91" s="540"/>
      <c r="D91" s="541"/>
      <c r="E91" s="235"/>
      <c r="F91" s="542"/>
      <c r="G91" s="235"/>
      <c r="H91" s="539"/>
      <c r="I91" s="540"/>
      <c r="J91" s="543"/>
      <c r="K91" s="235"/>
      <c r="L91" s="544"/>
      <c r="M91" s="157"/>
      <c r="N91" s="235"/>
      <c r="O91" s="545"/>
      <c r="P91" s="546"/>
      <c r="Q91" s="106"/>
      <c r="R91" s="543"/>
      <c r="S91" s="235"/>
      <c r="T91" s="545"/>
      <c r="U91" s="106"/>
      <c r="V91" s="547"/>
      <c r="W91" s="235"/>
      <c r="X91" s="545"/>
      <c r="Y91" s="546"/>
      <c r="Z91" s="106"/>
      <c r="AA91" s="543"/>
      <c r="AB91" s="235"/>
      <c r="AC91" s="545"/>
      <c r="AD91" s="106"/>
      <c r="AE91" s="547"/>
      <c r="AF91" s="235"/>
      <c r="AI91" s="545"/>
      <c r="AJ91" s="546"/>
      <c r="AK91" s="106"/>
      <c r="AL91" s="543"/>
      <c r="AM91" s="235"/>
      <c r="AN91" s="545">
        <v>2434.864</v>
      </c>
      <c r="AO91" s="57" t="s">
        <v>1116</v>
      </c>
      <c r="AP91" s="547"/>
      <c r="AR91" s="235"/>
      <c r="AS91" s="545"/>
      <c r="AT91" s="57"/>
      <c r="AU91" s="547"/>
    </row>
    <row r="92" spans="1:49" s="254" customFormat="1" x14ac:dyDescent="0.35">
      <c r="A92" s="538"/>
      <c r="B92" s="539"/>
      <c r="C92" s="540"/>
      <c r="D92" s="541"/>
      <c r="E92" s="235"/>
      <c r="F92" s="542"/>
      <c r="G92" s="235"/>
      <c r="H92" s="539"/>
      <c r="I92" s="540"/>
      <c r="J92" s="543"/>
      <c r="K92" s="235"/>
      <c r="L92" s="544"/>
      <c r="M92" s="157"/>
      <c r="N92" s="235"/>
      <c r="O92" s="545"/>
      <c r="P92" s="546"/>
      <c r="Q92" s="106"/>
      <c r="R92" s="543"/>
      <c r="S92" s="235"/>
      <c r="T92" s="545"/>
      <c r="U92" s="106"/>
      <c r="V92" s="547"/>
      <c r="W92" s="235"/>
      <c r="X92" s="545"/>
      <c r="Y92" s="546"/>
      <c r="Z92" s="106"/>
      <c r="AA92" s="543"/>
      <c r="AB92" s="235"/>
      <c r="AC92" s="545"/>
      <c r="AD92" s="106"/>
      <c r="AE92" s="547"/>
      <c r="AF92" s="235"/>
      <c r="AI92" s="545"/>
      <c r="AJ92" s="546"/>
      <c r="AK92" s="106"/>
      <c r="AL92" s="543"/>
      <c r="AM92" s="235"/>
      <c r="AN92" s="545"/>
      <c r="AO92" s="106"/>
      <c r="AP92" s="547"/>
      <c r="AR92" s="235"/>
      <c r="AS92" s="545"/>
      <c r="AT92" s="106"/>
      <c r="AU92" s="547"/>
    </row>
    <row r="93" spans="1:49" s="254" customFormat="1" x14ac:dyDescent="0.35">
      <c r="A93" s="538"/>
      <c r="B93" s="539"/>
      <c r="C93" s="540"/>
      <c r="D93" s="541"/>
      <c r="E93" s="235"/>
      <c r="F93" s="542"/>
      <c r="G93" s="235"/>
      <c r="H93" s="539"/>
      <c r="I93" s="540"/>
      <c r="J93" s="543"/>
      <c r="K93" s="235"/>
      <c r="L93" s="544"/>
      <c r="M93" s="157"/>
      <c r="N93" s="235"/>
      <c r="O93" s="545"/>
      <c r="P93" s="546"/>
      <c r="Q93" s="106"/>
      <c r="R93" s="543"/>
      <c r="S93" s="235"/>
      <c r="T93" s="545"/>
      <c r="U93" s="106"/>
      <c r="V93" s="547"/>
      <c r="W93" s="235"/>
      <c r="X93" s="545"/>
      <c r="Y93" s="546"/>
      <c r="Z93" s="106"/>
      <c r="AA93" s="543"/>
      <c r="AB93" s="235"/>
      <c r="AC93" s="545"/>
      <c r="AD93" s="106"/>
      <c r="AE93" s="547"/>
      <c r="AF93" s="235"/>
      <c r="AI93" s="545"/>
      <c r="AJ93" s="546"/>
      <c r="AK93" s="106"/>
      <c r="AL93" s="543"/>
      <c r="AM93" s="235"/>
      <c r="AN93" s="545"/>
      <c r="AO93" s="106"/>
      <c r="AP93" s="547"/>
      <c r="AR93" s="235"/>
      <c r="AS93" s="545"/>
      <c r="AT93" s="106"/>
      <c r="AU93" s="547"/>
    </row>
    <row r="94" spans="1:49" s="254" customFormat="1" x14ac:dyDescent="0.35">
      <c r="A94" s="538"/>
      <c r="B94" s="539"/>
      <c r="C94" s="540"/>
      <c r="D94" s="541"/>
      <c r="E94" s="235"/>
      <c r="F94" s="542"/>
      <c r="G94" s="235"/>
      <c r="H94" s="539"/>
      <c r="I94" s="540"/>
      <c r="J94" s="543"/>
      <c r="K94" s="235"/>
      <c r="L94" s="544"/>
      <c r="M94" s="157"/>
      <c r="N94" s="235"/>
      <c r="O94" s="545"/>
      <c r="P94" s="546"/>
      <c r="Q94" s="106"/>
      <c r="R94" s="543"/>
      <c r="S94" s="235"/>
      <c r="T94" s="545"/>
      <c r="U94" s="106"/>
      <c r="V94" s="547"/>
      <c r="W94" s="235"/>
      <c r="X94" s="545"/>
      <c r="Y94" s="546"/>
      <c r="Z94" s="106"/>
      <c r="AA94" s="543"/>
      <c r="AB94" s="235"/>
      <c r="AC94" s="545"/>
      <c r="AD94" s="106"/>
      <c r="AE94" s="547"/>
      <c r="AF94" s="235"/>
      <c r="AI94" s="545"/>
      <c r="AJ94" s="546"/>
      <c r="AK94" s="106"/>
      <c r="AL94" s="543"/>
      <c r="AM94" s="235"/>
      <c r="AN94" s="545"/>
      <c r="AO94" s="106"/>
      <c r="AP94" s="547"/>
      <c r="AR94" s="235"/>
      <c r="AS94" s="545"/>
      <c r="AT94" s="106"/>
      <c r="AU94" s="547"/>
      <c r="AW94"/>
    </row>
    <row r="95" spans="1:49" s="254" customFormat="1" x14ac:dyDescent="0.35">
      <c r="A95" s="538"/>
      <c r="B95" s="539"/>
      <c r="C95" s="540"/>
      <c r="D95" s="541"/>
      <c r="E95" s="235"/>
      <c r="F95" s="542"/>
      <c r="G95" s="235"/>
      <c r="H95" s="539"/>
      <c r="I95" s="540"/>
      <c r="J95" s="543"/>
      <c r="K95" s="235"/>
      <c r="L95" s="544"/>
      <c r="M95" s="157"/>
      <c r="N95" s="235"/>
      <c r="O95" s="545"/>
      <c r="P95" s="546"/>
      <c r="Q95" s="106"/>
      <c r="R95" s="543"/>
      <c r="S95" s="235"/>
      <c r="T95" s="545"/>
      <c r="U95" s="106"/>
      <c r="V95" s="547"/>
      <c r="W95" s="235"/>
      <c r="X95" s="545"/>
      <c r="Y95" s="546"/>
      <c r="Z95" s="106"/>
      <c r="AA95" s="543"/>
      <c r="AB95" s="235"/>
      <c r="AC95" s="545"/>
      <c r="AD95" s="106"/>
      <c r="AE95" s="547"/>
      <c r="AF95" s="235"/>
      <c r="AI95" s="545"/>
      <c r="AJ95" s="546"/>
      <c r="AK95" s="106"/>
      <c r="AL95" s="543"/>
      <c r="AM95" s="235"/>
      <c r="AN95" s="545"/>
      <c r="AO95" s="106"/>
      <c r="AP95" s="547"/>
      <c r="AR95" s="235"/>
      <c r="AS95" s="545"/>
      <c r="AT95" s="106"/>
      <c r="AU95" s="547"/>
      <c r="AW95"/>
    </row>
    <row r="96" spans="1:49" x14ac:dyDescent="0.35">
      <c r="A96" s="538"/>
      <c r="B96" s="539"/>
      <c r="C96" s="540"/>
      <c r="D96" s="541"/>
      <c r="E96" s="235"/>
      <c r="F96" s="542"/>
      <c r="G96" s="235"/>
      <c r="H96" s="539"/>
      <c r="I96" s="540"/>
      <c r="J96" s="543"/>
      <c r="K96" s="235"/>
      <c r="L96" s="544"/>
      <c r="M96" s="157"/>
      <c r="N96" s="235"/>
      <c r="O96" s="545"/>
      <c r="P96" s="546"/>
      <c r="Q96" s="106"/>
      <c r="R96" s="543"/>
      <c r="S96" s="235"/>
      <c r="T96" s="545"/>
      <c r="U96" s="106"/>
      <c r="V96" s="547"/>
      <c r="W96" s="235"/>
      <c r="X96" s="545"/>
      <c r="Y96" s="546"/>
      <c r="Z96" s="106"/>
      <c r="AA96" s="543"/>
      <c r="AB96" s="235"/>
      <c r="AC96" s="545"/>
      <c r="AD96" s="106"/>
      <c r="AE96" s="547"/>
      <c r="AF96" s="235"/>
      <c r="AG96" s="254"/>
      <c r="AH96" s="254"/>
      <c r="AI96" s="545"/>
      <c r="AJ96" s="546"/>
      <c r="AK96" s="106"/>
      <c r="AL96" s="543"/>
      <c r="AM96" s="235"/>
      <c r="AN96" s="545"/>
      <c r="AO96" s="106"/>
      <c r="AP96" s="547"/>
      <c r="AQ96" s="254"/>
      <c r="AR96" s="235"/>
      <c r="AS96" s="545"/>
      <c r="AT96" s="106"/>
      <c r="AU96" s="547"/>
      <c r="AV96" s="254"/>
    </row>
    <row r="97" spans="1:49" ht="14.5" customHeight="1" x14ac:dyDescent="0.35">
      <c r="A97" s="538"/>
      <c r="B97" s="539"/>
      <c r="C97" s="540"/>
      <c r="D97" s="541"/>
      <c r="E97" s="235"/>
      <c r="F97" s="542"/>
      <c r="G97" s="235"/>
      <c r="H97" s="539"/>
      <c r="I97" s="540"/>
      <c r="J97" s="543"/>
      <c r="K97" s="235"/>
      <c r="L97" s="544"/>
      <c r="M97" s="157"/>
      <c r="N97" s="235"/>
      <c r="O97" s="545"/>
      <c r="P97" s="546"/>
      <c r="Q97" s="106"/>
      <c r="R97" s="543"/>
      <c r="S97" s="235"/>
      <c r="T97" s="545"/>
      <c r="U97" s="106"/>
      <c r="V97" s="547"/>
      <c r="W97" s="235"/>
      <c r="X97" s="545"/>
      <c r="Y97" s="546"/>
      <c r="Z97" s="106"/>
      <c r="AA97" s="543"/>
      <c r="AB97" s="235"/>
      <c r="AC97" s="545"/>
      <c r="AD97" s="106"/>
      <c r="AE97" s="547"/>
      <c r="AF97" s="235"/>
      <c r="AG97" s="254"/>
      <c r="AH97" s="254"/>
      <c r="AI97" s="545"/>
      <c r="AJ97" s="546"/>
      <c r="AK97" s="106"/>
      <c r="AL97" s="543"/>
      <c r="AM97" s="235"/>
      <c r="AN97" s="545"/>
      <c r="AO97" s="106"/>
      <c r="AP97" s="547"/>
      <c r="AQ97" s="254"/>
      <c r="AR97" s="235"/>
      <c r="AS97" s="545"/>
      <c r="AT97" s="106"/>
      <c r="AU97" s="547"/>
      <c r="AV97" s="254"/>
    </row>
    <row r="98" spans="1:49" x14ac:dyDescent="0.35">
      <c r="A98" s="538"/>
      <c r="B98" s="539"/>
      <c r="C98" s="540"/>
      <c r="D98" s="541"/>
      <c r="E98" s="235"/>
      <c r="F98" s="542"/>
      <c r="G98" s="235"/>
      <c r="H98" s="539"/>
      <c r="I98" s="540"/>
      <c r="J98" s="543"/>
      <c r="K98" s="235"/>
      <c r="L98" s="544"/>
      <c r="M98" s="157"/>
      <c r="N98" s="235"/>
      <c r="O98" s="545"/>
      <c r="P98" s="546"/>
      <c r="Q98" s="106"/>
      <c r="R98" s="543"/>
      <c r="S98" s="235"/>
      <c r="T98" s="545"/>
      <c r="U98" s="106"/>
      <c r="V98" s="547"/>
      <c r="W98" s="235"/>
      <c r="X98" s="545"/>
      <c r="Y98" s="546"/>
      <c r="Z98" s="106"/>
      <c r="AA98" s="543"/>
      <c r="AB98" s="235"/>
      <c r="AC98" s="545"/>
      <c r="AD98" s="106"/>
      <c r="AE98" s="547"/>
      <c r="AF98" s="235"/>
      <c r="AG98" s="254"/>
      <c r="AH98" s="254"/>
      <c r="AI98" s="545"/>
      <c r="AJ98" s="546"/>
      <c r="AK98" s="106"/>
      <c r="AL98" s="543"/>
      <c r="AM98" s="235"/>
      <c r="AN98" s="545"/>
      <c r="AO98" s="106"/>
      <c r="AP98" s="547"/>
      <c r="AQ98" s="254"/>
      <c r="AR98" s="235"/>
      <c r="AS98" s="545"/>
      <c r="AT98" s="106"/>
      <c r="AU98" s="547"/>
      <c r="AV98" s="254"/>
    </row>
    <row r="99" spans="1:49" x14ac:dyDescent="0.35">
      <c r="A99" s="548"/>
      <c r="B99" s="549"/>
      <c r="C99" s="550"/>
      <c r="D99" s="551"/>
      <c r="E99" s="235"/>
      <c r="F99" s="552"/>
      <c r="G99" s="235"/>
      <c r="H99" s="549"/>
      <c r="I99" s="550"/>
      <c r="J99" s="553"/>
      <c r="K99" s="235"/>
      <c r="L99" s="554"/>
      <c r="M99" s="213"/>
      <c r="N99" s="235"/>
      <c r="O99" s="555"/>
      <c r="P99" s="556"/>
      <c r="Q99" s="216"/>
      <c r="R99" s="553"/>
      <c r="S99" s="235"/>
      <c r="T99" s="555"/>
      <c r="U99" s="216"/>
      <c r="V99" s="557"/>
      <c r="W99" s="235"/>
      <c r="X99" s="555"/>
      <c r="Y99" s="556"/>
      <c r="Z99" s="216"/>
      <c r="AA99" s="553"/>
      <c r="AB99" s="235"/>
      <c r="AC99" s="555"/>
      <c r="AD99" s="216"/>
      <c r="AE99" s="557"/>
      <c r="AF99" s="235"/>
      <c r="AG99" s="254"/>
      <c r="AH99" s="254"/>
      <c r="AI99" s="555"/>
      <c r="AJ99" s="556"/>
      <c r="AK99" s="216"/>
      <c r="AL99" s="553"/>
      <c r="AM99" s="235"/>
      <c r="AN99" s="555"/>
      <c r="AO99" s="216"/>
      <c r="AP99" s="557"/>
      <c r="AQ99" s="254"/>
      <c r="AR99" s="235"/>
      <c r="AS99" s="555"/>
      <c r="AT99" s="216"/>
      <c r="AU99" s="557"/>
      <c r="AV99" s="254"/>
    </row>
    <row r="100" spans="1:49" x14ac:dyDescent="0.35">
      <c r="A100" s="310"/>
      <c r="B100" s="310"/>
      <c r="F100" s="106"/>
      <c r="H100" s="106"/>
      <c r="I100" s="106"/>
      <c r="J100" s="558"/>
      <c r="L100" s="106"/>
      <c r="M100" s="312"/>
      <c r="O100" s="106"/>
      <c r="P100" s="106"/>
      <c r="Q100" s="106"/>
      <c r="R100" s="558"/>
      <c r="T100" s="106"/>
      <c r="U100" s="106"/>
      <c r="V100" s="312"/>
      <c r="X100" s="106"/>
      <c r="Y100" s="106"/>
      <c r="Z100" s="106"/>
      <c r="AA100" s="558"/>
      <c r="AC100" s="106"/>
      <c r="AD100" s="106"/>
      <c r="AE100" s="312"/>
      <c r="AI100" s="106"/>
      <c r="AJ100" s="106"/>
      <c r="AK100" s="106"/>
      <c r="AL100" s="558"/>
      <c r="AN100" s="106"/>
      <c r="AO100" s="106"/>
      <c r="AP100" s="312"/>
      <c r="AS100" s="106"/>
      <c r="AT100" s="106"/>
      <c r="AU100" s="312"/>
    </row>
    <row r="101" spans="1:49" x14ac:dyDescent="0.35">
      <c r="A101" s="9167" t="s">
        <v>1907</v>
      </c>
      <c r="B101" s="139" t="s">
        <v>1908</v>
      </c>
      <c r="C101" s="348"/>
      <c r="D101" s="49"/>
      <c r="E101" s="141"/>
      <c r="F101" s="227"/>
      <c r="G101" s="141"/>
      <c r="H101" s="102"/>
      <c r="I101" s="103"/>
      <c r="J101" s="228"/>
      <c r="K101" s="141"/>
      <c r="L101" s="102"/>
      <c r="M101" s="268"/>
      <c r="N101" s="141"/>
      <c r="O101" s="102"/>
      <c r="P101" s="103"/>
      <c r="Q101" s="103"/>
      <c r="R101" s="228"/>
      <c r="S101" s="141"/>
      <c r="T101" s="102"/>
      <c r="U101" s="103"/>
      <c r="V101" s="268"/>
      <c r="W101" s="141"/>
      <c r="X101" s="102"/>
      <c r="Y101" s="103"/>
      <c r="Z101" s="103"/>
      <c r="AA101" s="228"/>
      <c r="AB101" s="141"/>
      <c r="AC101" s="102"/>
      <c r="AD101" s="103"/>
      <c r="AE101" s="268"/>
      <c r="AF101" s="141"/>
      <c r="AI101" s="102"/>
      <c r="AJ101" s="103"/>
      <c r="AK101" s="103"/>
      <c r="AL101" s="228"/>
      <c r="AM101" s="141"/>
      <c r="AN101" s="102"/>
      <c r="AO101" s="103"/>
      <c r="AP101" s="268"/>
      <c r="AR101" s="141"/>
      <c r="AS101" s="102"/>
      <c r="AT101" s="103"/>
      <c r="AU101" s="268"/>
    </row>
    <row r="102" spans="1:49" x14ac:dyDescent="0.35">
      <c r="A102" s="9168"/>
      <c r="B102" s="6082"/>
      <c r="C102"/>
      <c r="D102" s="110" t="s">
        <v>990</v>
      </c>
      <c r="F102" s="349">
        <f>SUM(F34:F43)-SUM(F47:F49)</f>
        <v>0</v>
      </c>
      <c r="G102" s="350"/>
      <c r="H102" s="351">
        <f>SUM(H34:H43)-SUM(H47:H49)</f>
        <v>185259333000</v>
      </c>
      <c r="I102" s="352">
        <f>SUM(I34:I43)-SUM(I47:I49)</f>
        <v>0</v>
      </c>
      <c r="J102" s="246"/>
      <c r="K102" s="350"/>
      <c r="L102" s="351">
        <f>SUM(L34:L43)-SUM(L47:L49)</f>
        <v>151674911000</v>
      </c>
      <c r="M102" s="353">
        <f>SUM(M34:M43)-SUM(M47:M49)</f>
        <v>0</v>
      </c>
      <c r="O102" s="351">
        <f>SUM(O34:O44)-SUM(O47:O49)</f>
        <v>142926395600</v>
      </c>
      <c r="P102" s="352">
        <f>SUM(P34:P44)-SUM(P47:P49)</f>
        <v>0</v>
      </c>
      <c r="Q102" s="352"/>
      <c r="R102" s="246"/>
      <c r="S102" s="350"/>
      <c r="T102" s="351">
        <f>SUM(T34:T44)-SUM(T47:T49)</f>
        <v>144240662200</v>
      </c>
      <c r="U102" s="352"/>
      <c r="V102" s="353">
        <f>SUM(V34:V44)-SUM(V47:V49)</f>
        <v>0</v>
      </c>
      <c r="X102" s="351">
        <f>SUM(X34:X44)-SUM(X47:X49)</f>
        <v>141706453000</v>
      </c>
      <c r="Y102" s="352">
        <f>SUM(Y34:Y44)-SUM(Y47:Y49)</f>
        <v>0</v>
      </c>
      <c r="Z102" s="352"/>
      <c r="AA102" s="246"/>
      <c r="AB102" s="350"/>
      <c r="AC102" s="351">
        <f>SUM(AC34:AC44)-SUM(AC47:AC49)</f>
        <v>139481662000</v>
      </c>
      <c r="AD102" s="352"/>
      <c r="AE102" s="353">
        <f>SUM(AE34:AE44)-SUM(AE47:AE49)</f>
        <v>0</v>
      </c>
      <c r="AI102" s="351">
        <f>SUM(AI34:AI44)-SUM(AI47:AI49)</f>
        <v>138452.51199999999</v>
      </c>
      <c r="AJ102" s="352">
        <f>SUM(AJ34:AJ44)-SUM(AJ47:AJ49)</f>
        <v>0</v>
      </c>
      <c r="AK102" s="352"/>
      <c r="AL102" s="246"/>
      <c r="AM102" s="350"/>
      <c r="AN102" s="351">
        <f>SUM(AN34:AN44)-SUM(AN47:AN49)</f>
        <v>157283.39200000002</v>
      </c>
      <c r="AO102" s="352"/>
      <c r="AP102" s="353">
        <f>SUM(AP34:AP44)-SUM(AP47:AP49)</f>
        <v>0</v>
      </c>
      <c r="AR102" s="350"/>
      <c r="AS102" s="351">
        <f>SUM(AS34:AS45)-AS37-AS41-AS45-SUM(AS47:AS49)</f>
        <v>168968.68707099999</v>
      </c>
      <c r="AT102" s="352"/>
      <c r="AU102" s="353"/>
    </row>
    <row r="103" spans="1:49" x14ac:dyDescent="0.35">
      <c r="A103" s="9168"/>
      <c r="B103" s="6082"/>
      <c r="C103"/>
      <c r="D103" s="110" t="s">
        <v>944</v>
      </c>
      <c r="F103" s="349">
        <f>SUM(F51:F69)</f>
        <v>2550000000</v>
      </c>
      <c r="G103" s="350"/>
      <c r="H103" s="351">
        <f>SUM(H51:H69)</f>
        <v>3830615867</v>
      </c>
      <c r="I103" s="352">
        <f>SUM(I51:I69)</f>
        <v>0</v>
      </c>
      <c r="J103" s="246"/>
      <c r="K103" s="350"/>
      <c r="L103" s="351">
        <f>SUM(L51:L69)</f>
        <v>3189516924</v>
      </c>
      <c r="M103" s="353">
        <f>SUM(M51:M69)</f>
        <v>0</v>
      </c>
      <c r="O103" s="351">
        <f>SUM(O51:O69)</f>
        <v>2315237651</v>
      </c>
      <c r="P103" s="352">
        <f>SUM(P51:P69)</f>
        <v>0</v>
      </c>
      <c r="Q103" s="352"/>
      <c r="R103" s="246"/>
      <c r="S103" s="350"/>
      <c r="T103" s="351">
        <f>SUM(T51:T69)</f>
        <v>1717233240</v>
      </c>
      <c r="U103" s="352"/>
      <c r="V103" s="353">
        <f>SUM(V51:V69)</f>
        <v>0</v>
      </c>
      <c r="X103" s="351">
        <f>SUM(X51:X69)</f>
        <v>840061740</v>
      </c>
      <c r="Y103" s="352">
        <f>SUM(Y51:Y69)</f>
        <v>0</v>
      </c>
      <c r="Z103" s="352"/>
      <c r="AA103" s="246"/>
      <c r="AB103" s="350"/>
      <c r="AC103" s="351">
        <f>SUM(AC51:AC69)</f>
        <v>1329750140</v>
      </c>
      <c r="AD103" s="352"/>
      <c r="AE103" s="353">
        <f>SUM(AE51:AE69)</f>
        <v>0</v>
      </c>
      <c r="AI103" s="351">
        <f>SUM(AI51:AI69)</f>
        <v>1687.0603899999999</v>
      </c>
      <c r="AJ103" s="352">
        <f>SUM(AJ51:AJ69)</f>
        <v>0</v>
      </c>
      <c r="AK103" s="352"/>
      <c r="AL103" s="246"/>
      <c r="AM103" s="350"/>
      <c r="AN103" s="351">
        <f>SUM(AN51:AN69)</f>
        <v>2622.6723899999997</v>
      </c>
      <c r="AO103" s="352"/>
      <c r="AP103" s="353">
        <f>SUM(AP51:AP69)</f>
        <v>0</v>
      </c>
      <c r="AR103" s="350"/>
      <c r="AS103" s="351">
        <f>SUM(AS51:AS69)</f>
        <v>2983.1319079999998</v>
      </c>
      <c r="AT103" s="352"/>
      <c r="AU103" s="353"/>
    </row>
    <row r="104" spans="1:49" x14ac:dyDescent="0.35">
      <c r="A104" s="9168"/>
      <c r="B104" s="6082"/>
      <c r="C104"/>
      <c r="D104" s="110" t="s">
        <v>991</v>
      </c>
      <c r="F104" s="349">
        <f>SUM(F71:F79)*F29</f>
        <v>0</v>
      </c>
      <c r="G104" s="350"/>
      <c r="H104" s="351">
        <f>SUM(H71:H79)*H29</f>
        <v>8296649663.3277159</v>
      </c>
      <c r="I104" s="352">
        <f>SUM(I71:I79)*I29</f>
        <v>0</v>
      </c>
      <c r="J104" s="246"/>
      <c r="K104" s="350"/>
      <c r="L104" s="351">
        <f>SUM(L71:L79)*L29</f>
        <v>4087203448.323648</v>
      </c>
      <c r="M104" s="353">
        <f>SUM(M71:M79)*M29</f>
        <v>0</v>
      </c>
      <c r="O104" s="351">
        <f>SUM(O71:O79)*O29</f>
        <v>0</v>
      </c>
      <c r="P104" s="352">
        <f>SUM(P71:P79)*P29</f>
        <v>0</v>
      </c>
      <c r="Q104" s="352"/>
      <c r="R104" s="246"/>
      <c r="S104" s="350"/>
      <c r="T104" s="351">
        <f>SUM(T71:T79)*T29</f>
        <v>0</v>
      </c>
      <c r="U104" s="352"/>
      <c r="V104" s="353">
        <f>SUM(V71:V79)*V29</f>
        <v>0</v>
      </c>
      <c r="X104" s="351">
        <f>SUM(X71:X79)*X29</f>
        <v>0</v>
      </c>
      <c r="Y104" s="352">
        <f>SUM(Y71:Y79)*Y29</f>
        <v>0</v>
      </c>
      <c r="Z104" s="352"/>
      <c r="AA104" s="246"/>
      <c r="AB104" s="350"/>
      <c r="AC104" s="351">
        <f>SUM(AC71:AC79)*AC29</f>
        <v>0</v>
      </c>
      <c r="AD104" s="352"/>
      <c r="AE104" s="353">
        <f>SUM(AE71:AE79)*AE29</f>
        <v>0</v>
      </c>
      <c r="AI104" s="351">
        <f>SUM(AI71:AI79)*AI29</f>
        <v>0</v>
      </c>
      <c r="AJ104" s="352">
        <f>SUM(AJ71:AJ79)*AJ29</f>
        <v>0</v>
      </c>
      <c r="AK104" s="352"/>
      <c r="AL104" s="246"/>
      <c r="AM104" s="350"/>
      <c r="AN104" s="351">
        <f>SUM(AN71:AN79)*AN29</f>
        <v>0</v>
      </c>
      <c r="AO104" s="352"/>
      <c r="AP104" s="353">
        <f>SUM(AP71:AP79)*AP29</f>
        <v>0</v>
      </c>
      <c r="AR104" s="350"/>
      <c r="AS104" s="351">
        <f>SUM(AS71:AS79)*AS29</f>
        <v>0</v>
      </c>
      <c r="AT104" s="352"/>
      <c r="AU104" s="353"/>
    </row>
    <row r="105" spans="1:49" x14ac:dyDescent="0.35">
      <c r="A105" s="9168"/>
      <c r="B105" s="6082"/>
      <c r="C105"/>
      <c r="D105" s="110" t="s">
        <v>979</v>
      </c>
      <c r="F105" s="349">
        <f>F81</f>
        <v>0</v>
      </c>
      <c r="G105" s="350"/>
      <c r="H105" s="351">
        <f>H81</f>
        <v>0</v>
      </c>
      <c r="I105" s="352">
        <f>I81</f>
        <v>0</v>
      </c>
      <c r="J105" s="246"/>
      <c r="K105" s="350"/>
      <c r="L105" s="351">
        <f>L81</f>
        <v>0</v>
      </c>
      <c r="M105" s="353">
        <f>M81</f>
        <v>0</v>
      </c>
      <c r="O105" s="351">
        <f>O81</f>
        <v>0</v>
      </c>
      <c r="P105" s="352">
        <f>P81</f>
        <v>0</v>
      </c>
      <c r="Q105" s="352"/>
      <c r="R105" s="246"/>
      <c r="S105" s="350"/>
      <c r="T105" s="351">
        <f>T81</f>
        <v>0</v>
      </c>
      <c r="U105" s="352"/>
      <c r="V105" s="353">
        <f>V81</f>
        <v>0</v>
      </c>
      <c r="X105" s="351">
        <f>X81</f>
        <v>0</v>
      </c>
      <c r="Y105" s="352">
        <f>Y81</f>
        <v>0</v>
      </c>
      <c r="Z105" s="352"/>
      <c r="AA105" s="246"/>
      <c r="AB105" s="350"/>
      <c r="AC105" s="351">
        <f>AC81</f>
        <v>0</v>
      </c>
      <c r="AD105" s="352"/>
      <c r="AE105" s="353">
        <f>AE81</f>
        <v>0</v>
      </c>
      <c r="AI105" s="351">
        <f>AI81</f>
        <v>0</v>
      </c>
      <c r="AJ105" s="352">
        <f>AJ81</f>
        <v>0</v>
      </c>
      <c r="AK105" s="352"/>
      <c r="AL105" s="246"/>
      <c r="AM105" s="350"/>
      <c r="AN105" s="351">
        <f>AN81</f>
        <v>0</v>
      </c>
      <c r="AO105" s="352"/>
      <c r="AP105" s="353">
        <f>AP81</f>
        <v>0</v>
      </c>
      <c r="AR105" s="350"/>
      <c r="AS105" s="351">
        <f>AS81</f>
        <v>0</v>
      </c>
      <c r="AT105" s="352"/>
      <c r="AU105" s="353"/>
    </row>
    <row r="106" spans="1:49" x14ac:dyDescent="0.35">
      <c r="A106" s="9168"/>
      <c r="B106" s="6082"/>
      <c r="C106"/>
      <c r="D106" s="356" t="s">
        <v>992</v>
      </c>
      <c r="E106" s="143"/>
      <c r="F106" s="357">
        <f>SUM(F102:F105)</f>
        <v>2550000000</v>
      </c>
      <c r="G106" s="358"/>
      <c r="H106" s="359">
        <f t="shared" ref="H106:I106" si="111">SUM(H102:H105)</f>
        <v>197386598530.32773</v>
      </c>
      <c r="I106" s="360">
        <f t="shared" si="111"/>
        <v>0</v>
      </c>
      <c r="J106" s="361"/>
      <c r="K106" s="358"/>
      <c r="L106" s="359">
        <f t="shared" ref="L106:M106" si="112">SUM(L102:L105)</f>
        <v>158951631372.32364</v>
      </c>
      <c r="M106" s="362">
        <f t="shared" si="112"/>
        <v>0</v>
      </c>
      <c r="N106" s="143"/>
      <c r="O106" s="359">
        <f>SUM(O102:O105)</f>
        <v>145241633251</v>
      </c>
      <c r="P106" s="360">
        <f>SUM(P102:P105)</f>
        <v>0</v>
      </c>
      <c r="Q106" s="360"/>
      <c r="R106" s="361"/>
      <c r="S106" s="358"/>
      <c r="T106" s="359">
        <f>SUM(T102:T105)</f>
        <v>145957895440</v>
      </c>
      <c r="U106" s="360"/>
      <c r="V106" s="362">
        <f>SUM(V102:V105)</f>
        <v>0</v>
      </c>
      <c r="W106" s="143"/>
      <c r="X106" s="359">
        <f>SUM(X102:X105)</f>
        <v>142546514740</v>
      </c>
      <c r="Y106" s="360">
        <f>SUM(Y102:Y105)</f>
        <v>0</v>
      </c>
      <c r="Z106" s="360"/>
      <c r="AA106" s="361"/>
      <c r="AB106" s="358"/>
      <c r="AC106" s="359">
        <f>SUM(AC102:AC105)</f>
        <v>140811412140</v>
      </c>
      <c r="AD106" s="360"/>
      <c r="AE106" s="362">
        <f>SUM(AE102:AE105)</f>
        <v>0</v>
      </c>
      <c r="AF106" s="143"/>
      <c r="AI106" s="359">
        <f>SUM(AI102:AI105)</f>
        <v>140139.57238999999</v>
      </c>
      <c r="AJ106" s="360">
        <f>SUM(AJ102:AJ105)</f>
        <v>0</v>
      </c>
      <c r="AK106" s="360"/>
      <c r="AL106" s="361"/>
      <c r="AM106" s="358"/>
      <c r="AN106" s="359">
        <f>SUM(AN102:AN105)</f>
        <v>159906.06439000001</v>
      </c>
      <c r="AO106" s="360"/>
      <c r="AP106" s="362">
        <f>SUM(AP102:AP105)</f>
        <v>0</v>
      </c>
      <c r="AR106" s="358"/>
      <c r="AS106" s="359">
        <f>SUM(AS102:AS105)</f>
        <v>171951.818979</v>
      </c>
      <c r="AT106" s="360"/>
      <c r="AU106" s="362"/>
    </row>
    <row r="107" spans="1:49" ht="15.5" x14ac:dyDescent="0.35">
      <c r="A107" s="9168"/>
      <c r="B107" s="6082"/>
      <c r="C107"/>
      <c r="D107" s="365" t="s">
        <v>993</v>
      </c>
      <c r="F107" s="559" t="e">
        <f>F106/(F18+F19)</f>
        <v>#DIV/0!</v>
      </c>
      <c r="G107" s="560"/>
      <c r="H107" s="561">
        <f>H106/(H18+H19)</f>
        <v>0.1153147028810932</v>
      </c>
      <c r="I107" s="562">
        <f>I106/(I18+I19)</f>
        <v>0</v>
      </c>
      <c r="J107" s="563"/>
      <c r="K107" s="560"/>
      <c r="L107" s="561">
        <f>L106/(L18+L19)</f>
        <v>0.13265832289097457</v>
      </c>
      <c r="M107" s="563">
        <f>M106/(M18+M19)</f>
        <v>0</v>
      </c>
      <c r="O107" s="561">
        <f>O106/(O18+O19)</f>
        <v>0.20155948762862269</v>
      </c>
      <c r="P107" s="562" t="e">
        <f>P106/(P18+P19)</f>
        <v>#DIV/0!</v>
      </c>
      <c r="Q107" s="562"/>
      <c r="R107" s="563"/>
      <c r="S107" s="560"/>
      <c r="T107" s="561">
        <f>T106/(T18+T19)</f>
        <v>0.18860730656164368</v>
      </c>
      <c r="U107" s="562"/>
      <c r="V107" s="563" t="e">
        <f>V106/(V18+V19)</f>
        <v>#DIV/0!</v>
      </c>
      <c r="X107" s="561">
        <f>X106/(X18+X19+X20+X21)</f>
        <v>0.18419908555936898</v>
      </c>
      <c r="Y107" s="562">
        <f>Y106/(Y18+Y19)</f>
        <v>0</v>
      </c>
      <c r="Z107" s="562"/>
      <c r="AA107" s="563"/>
      <c r="AB107" s="560"/>
      <c r="AC107" s="561">
        <f>AC106/(AC18+AC19+AC20+AC21)</f>
        <v>0.17020207699811077</v>
      </c>
      <c r="AD107" s="562"/>
      <c r="AE107" s="563">
        <f>AE106/(AE18+AE19)</f>
        <v>0</v>
      </c>
      <c r="AI107" s="561">
        <f>AI106/(AI18+AI19)</f>
        <v>0.1693900084368907</v>
      </c>
      <c r="AJ107" s="562">
        <f>AJ106/(AJ18+AJ19)</f>
        <v>0</v>
      </c>
      <c r="AK107" s="562"/>
      <c r="AL107" s="563"/>
      <c r="AM107" s="560"/>
      <c r="AN107" s="561">
        <f>AN106/(AN18+AN19)</f>
        <v>0.1770880305545558</v>
      </c>
      <c r="AO107" s="562"/>
      <c r="AP107" s="563">
        <f>AP106/(AP18+AP19)</f>
        <v>0</v>
      </c>
      <c r="AR107" s="560"/>
      <c r="AS107" s="561">
        <f>AS106/(AS18+AS19)</f>
        <v>0.15112710800442258</v>
      </c>
      <c r="AT107" s="562"/>
      <c r="AU107" s="563"/>
    </row>
    <row r="108" spans="1:49" x14ac:dyDescent="0.35">
      <c r="A108" s="9168"/>
      <c r="B108" s="371"/>
      <c r="C108" s="372"/>
      <c r="D108" s="296" t="s">
        <v>994</v>
      </c>
      <c r="E108" s="374"/>
      <c r="F108" s="375" t="e">
        <f>F106/F12</f>
        <v>#DIV/0!</v>
      </c>
      <c r="G108" s="564"/>
      <c r="H108" s="377">
        <f>H106/H12</f>
        <v>0.11849710750073293</v>
      </c>
      <c r="I108" s="378">
        <f>I106/I12</f>
        <v>0</v>
      </c>
      <c r="J108" s="565"/>
      <c r="K108" s="564"/>
      <c r="L108" s="380">
        <f>L106/L12</f>
        <v>0.17921436562686341</v>
      </c>
      <c r="M108" s="565">
        <f>M106/M12</f>
        <v>0</v>
      </c>
      <c r="O108" s="566">
        <f>O35+O39+O43+O52+O55+O58+O61+O64</f>
        <v>131466175651</v>
      </c>
      <c r="P108" s="567"/>
      <c r="Q108" s="568"/>
      <c r="R108" s="569"/>
      <c r="S108" s="570"/>
      <c r="T108" s="571">
        <f>T35+T39+T43+T52+T55+T58+T61+T64</f>
        <v>127552331240</v>
      </c>
      <c r="U108" s="568"/>
      <c r="V108" s="569"/>
      <c r="X108" s="566">
        <f>X35+X39+X43+X52+X55+X58+X61+X64</f>
        <v>123407418740</v>
      </c>
      <c r="Y108" s="567"/>
      <c r="Z108" s="568"/>
      <c r="AA108" s="569"/>
      <c r="AB108" s="570"/>
      <c r="AC108" s="571">
        <f>AC35+AC39+AC43+AC52+AC55+AC58+AC61+AC64</f>
        <v>123897107140</v>
      </c>
      <c r="AD108" s="568"/>
      <c r="AE108" s="569"/>
      <c r="AI108" s="566">
        <f>AI35+AI39+AI43+AI52+AI55+AI58+AI61+AI64+AI67</f>
        <v>125826.26739000001</v>
      </c>
      <c r="AJ108" s="567">
        <f>AJ35+AJ39+AJ43+AJ52+AJ55+AJ58+AJ61+AJ64+AJ67</f>
        <v>0</v>
      </c>
      <c r="AK108" s="568"/>
      <c r="AL108" s="569"/>
      <c r="AM108" s="570"/>
      <c r="AN108" s="571">
        <f>AN35+AN39+AN43+AN52+AN55+AN58+AN61+AN64+AN67</f>
        <v>137460.48139000003</v>
      </c>
      <c r="AO108" s="568"/>
      <c r="AP108" s="569">
        <f>AP35+AP39+AP43+AP52+AP55+AP58+AP61+AP64+AP67</f>
        <v>0</v>
      </c>
      <c r="AR108" s="570"/>
      <c r="AS108" s="571">
        <f>AS35+AS39+AS43+AS52+AS55+AS58+AS61+AS64+AS67</f>
        <v>146917.23730900002</v>
      </c>
      <c r="AT108" s="568"/>
      <c r="AU108" s="569"/>
    </row>
    <row r="109" spans="1:49" x14ac:dyDescent="0.35">
      <c r="A109" s="9168"/>
      <c r="B109" s="58"/>
      <c r="C109" s="390"/>
      <c r="D109" s="59" t="s">
        <v>995</v>
      </c>
      <c r="E109" s="392"/>
      <c r="F109" s="393"/>
      <c r="G109" s="392"/>
      <c r="H109" s="394"/>
      <c r="I109" s="395"/>
      <c r="J109" s="229"/>
      <c r="K109" s="392"/>
      <c r="L109" s="396"/>
      <c r="M109" s="229"/>
      <c r="O109" s="405">
        <f>(O106-O108)/O19</f>
        <v>6.6321766347785222E-2</v>
      </c>
      <c r="P109" s="395"/>
      <c r="Q109"/>
      <c r="R109" s="229"/>
      <c r="S109" s="392"/>
      <c r="T109" s="410">
        <f>(T106-T108)/T19</f>
        <v>7.9535985769298476E-2</v>
      </c>
      <c r="V109" s="229"/>
      <c r="X109" s="405">
        <f>(X106-X108)/(X19+X20+X21)</f>
        <v>8.2705719668815791E-2</v>
      </c>
      <c r="Y109" s="395"/>
      <c r="Z109"/>
      <c r="AA109" s="229"/>
      <c r="AB109" s="392"/>
      <c r="AC109" s="410">
        <f>(AC106-AC108)/(AC19+AC20+AC21)</f>
        <v>6.1659254371735098E-2</v>
      </c>
      <c r="AE109" s="229"/>
      <c r="AI109" s="405">
        <f>(AI106-AI108)/AI19</f>
        <v>5.2177592510908755E-2</v>
      </c>
      <c r="AJ109" s="395">
        <f>(AJ106-AJ108)/AJ19</f>
        <v>0</v>
      </c>
      <c r="AK109"/>
      <c r="AL109" s="229"/>
      <c r="AM109" s="392"/>
      <c r="AN109" s="410">
        <f>(AN106-AN108)/AN19</f>
        <v>7.1716855978912003E-2</v>
      </c>
      <c r="AP109" s="229">
        <f>(AP106-AP108)/AP19</f>
        <v>0</v>
      </c>
      <c r="AR109" s="392"/>
      <c r="AS109" s="410">
        <f>(AS106-AS108)/AS19</f>
        <v>6.2306697104998518E-2</v>
      </c>
      <c r="AU109" s="229"/>
    </row>
    <row r="110" spans="1:49" x14ac:dyDescent="0.35">
      <c r="A110" s="9168"/>
      <c r="B110" s="58"/>
      <c r="C110" s="390"/>
      <c r="D110" s="59" t="s">
        <v>996</v>
      </c>
      <c r="E110" s="392"/>
      <c r="F110" s="393"/>
      <c r="G110" s="392"/>
      <c r="H110" s="394"/>
      <c r="I110" s="395"/>
      <c r="J110" s="229"/>
      <c r="K110" s="392"/>
      <c r="L110" s="396"/>
      <c r="M110" s="229"/>
      <c r="O110" s="405">
        <f>O108/O18</f>
        <v>0.25632781865413401</v>
      </c>
      <c r="P110" s="395"/>
      <c r="Q110"/>
      <c r="R110" s="229"/>
      <c r="S110" s="392"/>
      <c r="T110" s="410">
        <f>T108/T18</f>
        <v>0.23513678897943571</v>
      </c>
      <c r="V110" s="229"/>
      <c r="X110" s="405">
        <f>X108/X18</f>
        <v>0.22749588677506175</v>
      </c>
      <c r="Y110" s="395"/>
      <c r="Z110"/>
      <c r="AA110" s="229"/>
      <c r="AB110" s="392"/>
      <c r="AC110" s="410">
        <f>AC108/AC18</f>
        <v>0.22404540169981918</v>
      </c>
      <c r="AE110" s="229"/>
      <c r="AI110" s="405">
        <f>AI108/AI18</f>
        <v>0.22753393741410491</v>
      </c>
      <c r="AJ110" s="395"/>
      <c r="AK110"/>
      <c r="AL110" s="229"/>
      <c r="AM110" s="392"/>
      <c r="AN110" s="410">
        <f>AN108/AN18</f>
        <v>0.23298386676271191</v>
      </c>
      <c r="AP110" s="229"/>
      <c r="AR110" s="392"/>
      <c r="AS110" s="410">
        <f>AS108/AS18</f>
        <v>0.19961581156114133</v>
      </c>
      <c r="AU110" s="229"/>
    </row>
    <row r="111" spans="1:49" x14ac:dyDescent="0.35">
      <c r="A111" s="9168"/>
      <c r="B111" s="58"/>
      <c r="C111" s="390"/>
      <c r="D111" s="59"/>
      <c r="E111" s="392"/>
      <c r="F111" s="393"/>
      <c r="G111" s="392"/>
      <c r="H111" s="394"/>
      <c r="I111" s="395"/>
      <c r="J111" s="229"/>
      <c r="K111" s="392"/>
      <c r="L111" s="396"/>
      <c r="M111" s="229"/>
      <c r="O111" s="394"/>
      <c r="P111" s="395"/>
      <c r="Q111"/>
      <c r="R111" s="229"/>
      <c r="S111" s="392"/>
      <c r="T111" s="410"/>
      <c r="V111" s="229"/>
      <c r="X111" s="394"/>
      <c r="Y111" s="395"/>
      <c r="Z111"/>
      <c r="AA111" s="229"/>
      <c r="AB111" s="392"/>
      <c r="AC111" s="410"/>
      <c r="AE111" s="229"/>
      <c r="AI111" s="394"/>
      <c r="AJ111" s="395"/>
      <c r="AK111"/>
      <c r="AL111" s="229"/>
      <c r="AM111" s="392"/>
      <c r="AN111" s="410"/>
      <c r="AP111" s="229"/>
      <c r="AR111" s="392"/>
      <c r="AS111" s="410"/>
      <c r="AU111" s="229"/>
    </row>
    <row r="112" spans="1:49" x14ac:dyDescent="0.35">
      <c r="A112" s="9168"/>
      <c r="B112" s="58"/>
      <c r="C112" s="390"/>
      <c r="D112" s="59" t="s">
        <v>997</v>
      </c>
      <c r="E112" s="392"/>
      <c r="F112" s="393"/>
      <c r="G112" s="392"/>
      <c r="H112" s="394"/>
      <c r="I112" s="395"/>
      <c r="J112" s="229"/>
      <c r="K112" s="392"/>
      <c r="L112" s="396"/>
      <c r="M112" s="229"/>
      <c r="O112" s="405">
        <f>O106/O12</f>
        <v>0.30760482215459373</v>
      </c>
      <c r="P112" s="395"/>
      <c r="Q112"/>
      <c r="R112" s="229"/>
      <c r="S112" s="392"/>
      <c r="T112" s="410">
        <f>T106/T12</f>
        <v>0.27525321627149385</v>
      </c>
      <c r="V112" s="229"/>
      <c r="X112" s="405">
        <f>X106/X12</f>
        <v>0.2688198985892209</v>
      </c>
      <c r="Y112" s="395"/>
      <c r="Z112"/>
      <c r="AA112" s="229"/>
      <c r="AB112" s="392"/>
      <c r="AC112" s="410">
        <f>AC106/AC12</f>
        <v>0.21495004822245528</v>
      </c>
      <c r="AE112" s="229"/>
      <c r="AI112" s="405">
        <f>AI106/AI12</f>
        <v>0.2145795938838351</v>
      </c>
      <c r="AJ112" s="395"/>
      <c r="AK112"/>
      <c r="AL112" s="229"/>
      <c r="AM112" s="392"/>
      <c r="AN112" s="410">
        <f>AN106/AN12</f>
        <v>0.19344380348838899</v>
      </c>
      <c r="AP112" s="229"/>
      <c r="AR112" s="392"/>
      <c r="AS112" s="410">
        <f>AS106/AS12</f>
        <v>0.19655540724718298</v>
      </c>
      <c r="AU112" s="229"/>
      <c r="AW112" s="462"/>
    </row>
    <row r="113" spans="1:49" x14ac:dyDescent="0.35">
      <c r="A113" s="9168"/>
      <c r="B113" s="58"/>
      <c r="C113" s="390"/>
      <c r="D113" s="59" t="s">
        <v>998</v>
      </c>
      <c r="E113" s="392"/>
      <c r="F113" s="393"/>
      <c r="G113" s="392"/>
      <c r="H113" s="394"/>
      <c r="I113" s="395"/>
      <c r="J113" s="229"/>
      <c r="K113" s="392"/>
      <c r="L113" s="396"/>
      <c r="M113" s="229"/>
      <c r="O113" s="572">
        <f>O106-SUM(O83:O87)</f>
        <v>134760422651</v>
      </c>
      <c r="P113" s="395"/>
      <c r="Q113"/>
      <c r="R113" s="229"/>
      <c r="S113" s="392"/>
      <c r="T113" s="396">
        <f>T106-SUM(T83:T87)</f>
        <v>139338026240</v>
      </c>
      <c r="V113" s="229"/>
      <c r="X113" s="572"/>
      <c r="Y113" s="395"/>
      <c r="Z113"/>
      <c r="AA113" s="229"/>
      <c r="AB113" s="392"/>
      <c r="AC113" s="396"/>
      <c r="AE113" s="229"/>
      <c r="AI113" s="572"/>
      <c r="AJ113" s="395"/>
      <c r="AK113"/>
      <c r="AL113" s="229"/>
      <c r="AM113" s="392"/>
      <c r="AN113" s="396"/>
      <c r="AP113" s="229"/>
      <c r="AR113" s="392"/>
      <c r="AS113" s="396"/>
      <c r="AU113" s="229"/>
      <c r="AW113" s="462"/>
    </row>
    <row r="114" spans="1:49" s="462" customFormat="1" x14ac:dyDescent="0.35">
      <c r="A114" s="9168"/>
      <c r="B114" s="58"/>
      <c r="C114" s="390"/>
      <c r="D114" s="59" t="s">
        <v>1909</v>
      </c>
      <c r="E114" s="392"/>
      <c r="F114" s="393"/>
      <c r="G114" s="392"/>
      <c r="H114" s="394"/>
      <c r="I114" s="395"/>
      <c r="J114" s="229"/>
      <c r="K114" s="392"/>
      <c r="L114" s="396"/>
      <c r="M114" s="229"/>
      <c r="N114" s="1"/>
      <c r="O114" s="405">
        <f>O113/O12</f>
        <v>0.28540684179309406</v>
      </c>
      <c r="P114" s="395"/>
      <c r="Q114"/>
      <c r="R114" s="229"/>
      <c r="S114" s="392"/>
      <c r="T114" s="410">
        <f>T113/T12</f>
        <v>0.26276920310383595</v>
      </c>
      <c r="U114"/>
      <c r="V114" s="229"/>
      <c r="W114" s="1"/>
      <c r="X114" s="405"/>
      <c r="Y114" s="395"/>
      <c r="Z114"/>
      <c r="AA114" s="229"/>
      <c r="AB114" s="392"/>
      <c r="AC114" s="410"/>
      <c r="AD114"/>
      <c r="AE114" s="229"/>
      <c r="AF114" s="1"/>
      <c r="AG114"/>
      <c r="AH114"/>
      <c r="AI114" s="405"/>
      <c r="AJ114" s="395"/>
      <c r="AK114"/>
      <c r="AL114" s="229"/>
      <c r="AM114" s="392"/>
      <c r="AN114" s="410"/>
      <c r="AO114"/>
      <c r="AP114" s="229"/>
      <c r="AQ114"/>
      <c r="AR114" s="392"/>
      <c r="AS114" s="410"/>
      <c r="AT114"/>
      <c r="AU114" s="229"/>
      <c r="AV114"/>
    </row>
    <row r="115" spans="1:49" s="462" customFormat="1" x14ac:dyDescent="0.35">
      <c r="A115" s="9168"/>
      <c r="B115" s="58"/>
      <c r="C115" s="390"/>
      <c r="D115" s="59"/>
      <c r="E115" s="392"/>
      <c r="F115" s="393"/>
      <c r="G115" s="392"/>
      <c r="H115" s="394"/>
      <c r="I115" s="395"/>
      <c r="J115" s="229"/>
      <c r="K115" s="392"/>
      <c r="L115" s="396"/>
      <c r="M115" s="229"/>
      <c r="N115" s="1"/>
      <c r="O115" s="394"/>
      <c r="P115" s="395"/>
      <c r="Q115"/>
      <c r="R115" s="229"/>
      <c r="S115" s="392"/>
      <c r="T115" s="410"/>
      <c r="U115"/>
      <c r="V115" s="229"/>
      <c r="W115" s="1"/>
      <c r="X115" s="394"/>
      <c r="Y115" s="395"/>
      <c r="Z115"/>
      <c r="AA115" s="229"/>
      <c r="AB115" s="392"/>
      <c r="AC115" s="410"/>
      <c r="AD115"/>
      <c r="AE115" s="229"/>
      <c r="AF115" s="1"/>
      <c r="AG115"/>
      <c r="AH115"/>
      <c r="AI115" s="394"/>
      <c r="AJ115" s="395"/>
      <c r="AK115"/>
      <c r="AL115" s="229"/>
      <c r="AM115" s="392"/>
      <c r="AN115" s="410"/>
      <c r="AO115"/>
      <c r="AP115" s="229"/>
      <c r="AQ115"/>
      <c r="AR115" s="392"/>
      <c r="AS115" s="410"/>
      <c r="AT115"/>
      <c r="AU115" s="229"/>
      <c r="AV115"/>
    </row>
    <row r="116" spans="1:49" s="462" customFormat="1" ht="12" customHeight="1" x14ac:dyDescent="0.35">
      <c r="A116" s="9168"/>
      <c r="B116" s="58"/>
      <c r="C116" s="390"/>
      <c r="D116" s="59" t="s">
        <v>1000</v>
      </c>
      <c r="E116" s="392"/>
      <c r="F116" s="393"/>
      <c r="G116" s="392"/>
      <c r="H116" s="394"/>
      <c r="I116" s="395"/>
      <c r="J116" s="229"/>
      <c r="K116" s="392"/>
      <c r="L116" s="396"/>
      <c r="M116" s="229"/>
      <c r="N116" s="1"/>
      <c r="O116" s="405">
        <f>O90/O108</f>
        <v>0.47786476767815017</v>
      </c>
      <c r="P116" s="395"/>
      <c r="Q116"/>
      <c r="R116" s="229"/>
      <c r="S116" s="392"/>
      <c r="T116" s="410">
        <f>T90/T108</f>
        <v>0.45474152362501347</v>
      </c>
      <c r="U116"/>
      <c r="V116" s="229"/>
      <c r="W116" s="1"/>
      <c r="X116" s="405">
        <f>X90/X108</f>
        <v>0.47001502861188521</v>
      </c>
      <c r="Y116" s="395"/>
      <c r="Z116"/>
      <c r="AA116" s="229"/>
      <c r="AB116" s="392"/>
      <c r="AC116" s="410">
        <f>AC90/AC108</f>
        <v>0.46815735079639892</v>
      </c>
      <c r="AD116"/>
      <c r="AE116" s="229"/>
      <c r="AF116" s="1"/>
      <c r="AG116"/>
      <c r="AH116"/>
      <c r="AI116" s="405">
        <f>AI90/AI108</f>
        <v>0.46097959236299968</v>
      </c>
      <c r="AJ116" s="395"/>
      <c r="AK116"/>
      <c r="AL116" s="229"/>
      <c r="AM116" s="392"/>
      <c r="AN116" s="410">
        <f>AN90/AN108</f>
        <v>0.41060716900781974</v>
      </c>
      <c r="AO116"/>
      <c r="AP116" s="229"/>
      <c r="AQ116"/>
      <c r="AR116" s="392"/>
      <c r="AS116" s="410"/>
      <c r="AT116"/>
      <c r="AU116" s="229"/>
      <c r="AV116"/>
    </row>
    <row r="117" spans="1:49" s="462" customFormat="1" x14ac:dyDescent="0.35">
      <c r="A117" s="9169"/>
      <c r="B117" s="85"/>
      <c r="C117" s="432"/>
      <c r="D117" s="86" t="s">
        <v>1001</v>
      </c>
      <c r="E117" s="274"/>
      <c r="F117" s="434"/>
      <c r="G117" s="435"/>
      <c r="H117" s="436"/>
      <c r="I117" s="437"/>
      <c r="J117" s="573"/>
      <c r="K117" s="435"/>
      <c r="L117" s="439"/>
      <c r="M117" s="574"/>
      <c r="N117" s="1"/>
      <c r="O117" s="436">
        <f>O90/O106</f>
        <v>0.43254163478340985</v>
      </c>
      <c r="P117" s="437"/>
      <c r="Q117" s="575"/>
      <c r="R117" s="573"/>
      <c r="S117" s="435"/>
      <c r="T117" s="439">
        <f>T90/T106</f>
        <v>0.39739776512359942</v>
      </c>
      <c r="U117" s="575"/>
      <c r="V117" s="574"/>
      <c r="W117" s="1"/>
      <c r="X117" s="436">
        <f>X90/X106</f>
        <v>0.40690816998083834</v>
      </c>
      <c r="Y117" s="437"/>
      <c r="Z117" s="575"/>
      <c r="AA117" s="573"/>
      <c r="AB117" s="435"/>
      <c r="AC117" s="439">
        <f>AC90/AC106</f>
        <v>0.41192216290204448</v>
      </c>
      <c r="AD117" s="575"/>
      <c r="AE117" s="574"/>
      <c r="AF117" s="1"/>
      <c r="AG117"/>
      <c r="AH117"/>
      <c r="AI117" s="439">
        <f>(AI90+AI91)/AI106</f>
        <v>0.41389694902579122</v>
      </c>
      <c r="AJ117" s="437"/>
      <c r="AK117" s="575"/>
      <c r="AL117" s="573"/>
      <c r="AM117" s="435"/>
      <c r="AN117" s="439">
        <f>(AN90+AN91)/AN106</f>
        <v>0.36819818772102791</v>
      </c>
      <c r="AO117" s="575"/>
      <c r="AP117" s="574"/>
      <c r="AQ117"/>
      <c r="AR117" s="435"/>
      <c r="AS117" s="439"/>
      <c r="AT117" s="575"/>
      <c r="AU117" s="574"/>
      <c r="AV117"/>
    </row>
    <row r="118" spans="1:49" s="462" customFormat="1" ht="12" x14ac:dyDescent="0.3">
      <c r="C118" s="456"/>
      <c r="D118" s="5"/>
      <c r="E118" s="456"/>
      <c r="F118" s="456"/>
      <c r="G118" s="456"/>
      <c r="H118" s="459"/>
      <c r="I118" s="459"/>
      <c r="J118" s="7"/>
      <c r="K118" s="456"/>
      <c r="N118" s="456"/>
      <c r="O118" s="459"/>
      <c r="P118" s="459"/>
      <c r="Q118" s="459"/>
      <c r="R118" s="7"/>
      <c r="S118" s="456"/>
      <c r="W118" s="456"/>
      <c r="X118" s="459"/>
      <c r="Y118" s="459"/>
      <c r="Z118" s="459"/>
      <c r="AA118" s="7"/>
      <c r="AB118" s="456"/>
      <c r="AF118" s="456"/>
      <c r="AI118" s="459"/>
      <c r="AJ118" s="459"/>
      <c r="AK118" s="459"/>
      <c r="AL118" s="7"/>
      <c r="AM118" s="456"/>
      <c r="AR118" s="456"/>
    </row>
    <row r="119" spans="1:49" s="462" customFormat="1" ht="12" x14ac:dyDescent="0.3">
      <c r="A119" s="576" t="s">
        <v>582</v>
      </c>
      <c r="B119" s="576"/>
      <c r="C119" s="456"/>
      <c r="D119" s="5"/>
      <c r="E119" s="456"/>
      <c r="F119" s="456"/>
      <c r="G119" s="456"/>
      <c r="H119" s="459"/>
      <c r="I119" s="459"/>
      <c r="J119" s="7"/>
      <c r="K119" s="456"/>
      <c r="N119" s="456"/>
      <c r="O119" s="459"/>
      <c r="P119" s="459"/>
      <c r="Q119" s="459"/>
      <c r="R119" s="7"/>
      <c r="S119" s="456"/>
      <c r="W119" s="456"/>
      <c r="X119" s="459"/>
      <c r="Y119" s="459"/>
      <c r="Z119" s="459"/>
      <c r="AA119" s="7"/>
      <c r="AB119" s="456"/>
      <c r="AF119" s="456"/>
      <c r="AI119" s="459"/>
      <c r="AJ119" s="459"/>
      <c r="AK119" s="459"/>
      <c r="AL119" s="7"/>
      <c r="AM119" s="456"/>
      <c r="AR119" s="456"/>
    </row>
    <row r="120" spans="1:49" s="462" customFormat="1" ht="12" x14ac:dyDescent="0.3">
      <c r="A120" s="463">
        <v>1</v>
      </c>
      <c r="B120" s="464">
        <f>AQ27</f>
        <v>0</v>
      </c>
      <c r="D120" s="465"/>
      <c r="E120" s="466"/>
      <c r="F120" s="466"/>
      <c r="G120" s="466"/>
      <c r="H120" s="466"/>
      <c r="I120" s="466"/>
      <c r="J120" s="467"/>
      <c r="K120" s="466"/>
      <c r="L120" s="466"/>
      <c r="M120" s="466"/>
      <c r="N120" s="456"/>
      <c r="O120" s="466"/>
      <c r="P120" s="466"/>
      <c r="Q120" s="466"/>
      <c r="R120" s="467"/>
      <c r="S120" s="466"/>
      <c r="T120" s="466"/>
      <c r="U120" s="466"/>
      <c r="V120" s="466"/>
      <c r="W120" s="456"/>
      <c r="X120" s="466"/>
      <c r="Y120" s="466"/>
      <c r="Z120" s="466"/>
      <c r="AA120" s="467"/>
      <c r="AB120" s="466"/>
      <c r="AC120" s="466"/>
      <c r="AD120" s="466"/>
      <c r="AE120" s="466"/>
      <c r="AF120" s="456"/>
      <c r="AG120" s="577"/>
      <c r="AH120" s="577"/>
      <c r="AI120" s="466"/>
      <c r="AJ120" s="466"/>
      <c r="AK120" s="466"/>
      <c r="AL120" s="467"/>
      <c r="AM120" s="466"/>
      <c r="AN120" s="466"/>
      <c r="AO120" s="466"/>
      <c r="AP120" s="466"/>
      <c r="AQ120" s="577"/>
      <c r="AR120" s="466"/>
      <c r="AS120" s="466"/>
      <c r="AT120" s="466"/>
      <c r="AU120" s="466"/>
    </row>
    <row r="121" spans="1:49" s="462" customFormat="1" ht="12" x14ac:dyDescent="0.3">
      <c r="A121" s="468">
        <v>2</v>
      </c>
      <c r="B121" s="469">
        <f>AQ51</f>
        <v>0</v>
      </c>
      <c r="D121" s="5"/>
      <c r="E121" s="456"/>
      <c r="F121" s="456"/>
      <c r="G121" s="456"/>
      <c r="H121" s="459"/>
      <c r="I121" s="459"/>
      <c r="J121" s="7"/>
      <c r="K121" s="456"/>
      <c r="N121" s="456"/>
      <c r="O121" s="459"/>
      <c r="P121" s="459"/>
      <c r="Q121" s="459"/>
      <c r="R121" s="7"/>
      <c r="S121" s="456"/>
      <c r="W121" s="456"/>
      <c r="X121" s="459"/>
      <c r="Y121" s="459"/>
      <c r="Z121" s="459"/>
      <c r="AA121" s="7"/>
      <c r="AB121" s="456"/>
      <c r="AF121" s="456"/>
      <c r="AG121" s="577"/>
      <c r="AH121" s="577"/>
      <c r="AI121" s="459"/>
      <c r="AJ121" s="459"/>
      <c r="AK121" s="459"/>
      <c r="AL121" s="7"/>
      <c r="AM121" s="456"/>
      <c r="AQ121" s="577"/>
      <c r="AR121" s="456"/>
    </row>
    <row r="122" spans="1:49" s="462" customFormat="1" ht="12" x14ac:dyDescent="0.3">
      <c r="A122" s="468">
        <v>3</v>
      </c>
      <c r="B122" s="469" t="str">
        <f>AQ54</f>
        <v>Ecole Nationale de Formation Judiciaire</v>
      </c>
      <c r="D122" s="5"/>
      <c r="E122" s="456"/>
      <c r="F122" s="456"/>
      <c r="G122" s="456"/>
      <c r="H122" s="459"/>
      <c r="I122" s="459"/>
      <c r="J122" s="7"/>
      <c r="K122" s="456"/>
      <c r="N122" s="456"/>
      <c r="O122" s="459"/>
      <c r="P122" s="459"/>
      <c r="Q122" s="459"/>
      <c r="R122" s="7"/>
      <c r="S122" s="456"/>
      <c r="W122" s="456"/>
      <c r="X122" s="459"/>
      <c r="Y122" s="459"/>
      <c r="Z122" s="459"/>
      <c r="AA122" s="7"/>
      <c r="AB122" s="456"/>
      <c r="AF122" s="456"/>
      <c r="AG122" s="577"/>
      <c r="AH122" s="577"/>
      <c r="AI122" s="459"/>
      <c r="AJ122" s="459"/>
      <c r="AK122" s="459"/>
      <c r="AL122" s="7"/>
      <c r="AM122" s="456"/>
      <c r="AQ122" s="577"/>
      <c r="AR122" s="456"/>
    </row>
    <row r="123" spans="1:49" s="462" customFormat="1" ht="12" x14ac:dyDescent="0.3">
      <c r="A123" s="468">
        <v>4</v>
      </c>
      <c r="B123" s="469" t="str">
        <f>AQ57</f>
        <v>4 Ecoles de santé et appui aux écoles privées</v>
      </c>
      <c r="D123" s="5"/>
      <c r="E123" s="456"/>
      <c r="F123" s="456"/>
      <c r="G123" s="456"/>
      <c r="H123" s="459"/>
      <c r="I123" s="459"/>
      <c r="J123" s="7"/>
      <c r="K123" s="456"/>
      <c r="N123" s="456"/>
      <c r="O123" s="459"/>
      <c r="P123" s="459"/>
      <c r="Q123" s="459"/>
      <c r="R123" s="7"/>
      <c r="S123" s="456"/>
      <c r="W123" s="456"/>
      <c r="X123" s="459"/>
      <c r="Y123" s="459"/>
      <c r="Z123" s="459"/>
      <c r="AA123" s="7"/>
      <c r="AB123" s="456"/>
      <c r="AF123" s="456"/>
      <c r="AG123" s="577"/>
      <c r="AH123" s="577"/>
      <c r="AI123" s="459"/>
      <c r="AJ123" s="459"/>
      <c r="AK123" s="459"/>
      <c r="AL123" s="7"/>
      <c r="AM123" s="456"/>
      <c r="AQ123" s="577"/>
      <c r="AR123" s="456"/>
    </row>
    <row r="124" spans="1:49" s="462" customFormat="1" ht="12" x14ac:dyDescent="0.3">
      <c r="A124" s="468">
        <v>5</v>
      </c>
      <c r="B124" s="469" t="str">
        <f>AQ60</f>
        <v>Ecole Nationale des Techniques d'Elevage</v>
      </c>
      <c r="D124" s="5"/>
      <c r="E124" s="456"/>
      <c r="F124" s="456"/>
      <c r="G124" s="456"/>
      <c r="H124" s="459"/>
      <c r="I124" s="459"/>
      <c r="J124" s="7"/>
      <c r="K124" s="456"/>
      <c r="N124" s="456"/>
      <c r="O124" s="459"/>
      <c r="P124" s="459"/>
      <c r="Q124" s="459"/>
      <c r="R124" s="7"/>
      <c r="S124" s="456"/>
      <c r="W124" s="456"/>
      <c r="X124" s="459"/>
      <c r="Y124" s="459"/>
      <c r="Z124" s="459"/>
      <c r="AA124" s="7"/>
      <c r="AB124" s="456"/>
      <c r="AF124" s="456"/>
      <c r="AG124" s="577"/>
      <c r="AH124" s="577"/>
      <c r="AI124" s="459"/>
      <c r="AJ124" s="459"/>
      <c r="AK124" s="459"/>
      <c r="AL124" s="7"/>
      <c r="AM124" s="456"/>
      <c r="AQ124" s="577"/>
      <c r="AR124" s="456"/>
    </row>
    <row r="125" spans="1:49" s="462" customFormat="1" ht="12" x14ac:dyDescent="0.3">
      <c r="A125" s="468">
        <v>6</v>
      </c>
      <c r="B125" s="469" t="str">
        <f>AQ63</f>
        <v>Ecole Nationale des Travaux Publics</v>
      </c>
      <c r="D125" s="5"/>
      <c r="E125" s="456"/>
      <c r="F125" s="456"/>
      <c r="G125" s="456"/>
      <c r="H125" s="459"/>
      <c r="I125" s="459"/>
      <c r="J125" s="7"/>
      <c r="K125" s="456"/>
      <c r="N125" s="456"/>
      <c r="O125" s="459"/>
      <c r="P125" s="459"/>
      <c r="Q125" s="459"/>
      <c r="R125" s="7"/>
      <c r="S125" s="456"/>
      <c r="W125" s="456"/>
      <c r="X125" s="459"/>
      <c r="Y125" s="459"/>
      <c r="Z125" s="459"/>
      <c r="AA125" s="7"/>
      <c r="AB125" s="456"/>
      <c r="AF125" s="456"/>
      <c r="AG125" s="577"/>
      <c r="AH125" s="577"/>
      <c r="AI125" s="459"/>
      <c r="AJ125" s="459"/>
      <c r="AK125" s="459"/>
      <c r="AL125" s="7"/>
      <c r="AM125" s="456"/>
      <c r="AQ125" s="577"/>
      <c r="AR125" s="456"/>
    </row>
    <row r="126" spans="1:49" s="462" customFormat="1" ht="12" x14ac:dyDescent="0.3">
      <c r="A126" s="468">
        <v>7</v>
      </c>
      <c r="B126" s="469"/>
      <c r="D126" s="5"/>
      <c r="E126" s="456"/>
      <c r="F126" s="456"/>
      <c r="G126" s="456"/>
      <c r="H126" s="459"/>
      <c r="I126" s="459"/>
      <c r="J126" s="7"/>
      <c r="K126" s="456"/>
      <c r="N126" s="456"/>
      <c r="O126" s="459"/>
      <c r="P126" s="459"/>
      <c r="Q126" s="459"/>
      <c r="R126" s="7"/>
      <c r="S126" s="456"/>
      <c r="W126" s="456"/>
      <c r="X126" s="459"/>
      <c r="Y126" s="459"/>
      <c r="Z126" s="459"/>
      <c r="AA126" s="7"/>
      <c r="AB126" s="456"/>
      <c r="AF126" s="456"/>
      <c r="AG126" s="577"/>
      <c r="AH126" s="577"/>
      <c r="AI126" s="459"/>
      <c r="AJ126" s="459"/>
      <c r="AK126" s="459"/>
      <c r="AL126" s="7"/>
      <c r="AM126" s="456"/>
      <c r="AQ126" s="577"/>
      <c r="AR126" s="456"/>
    </row>
    <row r="127" spans="1:49" s="462" customFormat="1" ht="12" x14ac:dyDescent="0.3">
      <c r="A127" s="468"/>
      <c r="B127" s="456"/>
      <c r="D127" s="5"/>
      <c r="E127" s="456"/>
      <c r="F127" s="456"/>
      <c r="G127" s="456"/>
      <c r="H127" s="459"/>
      <c r="I127" s="459"/>
      <c r="J127" s="7"/>
      <c r="K127" s="456"/>
      <c r="N127" s="456"/>
      <c r="O127" s="459"/>
      <c r="P127" s="459"/>
      <c r="Q127" s="459"/>
      <c r="R127" s="7"/>
      <c r="S127" s="456"/>
      <c r="W127" s="456"/>
      <c r="X127" s="459"/>
      <c r="Y127" s="459"/>
      <c r="Z127" s="459"/>
      <c r="AA127" s="7"/>
      <c r="AB127" s="456"/>
      <c r="AF127" s="456"/>
      <c r="AG127" s="577"/>
      <c r="AH127" s="577"/>
      <c r="AI127" s="459"/>
      <c r="AJ127" s="459"/>
      <c r="AK127" s="459"/>
      <c r="AL127" s="7"/>
      <c r="AM127" s="456"/>
      <c r="AQ127" s="577"/>
      <c r="AR127" s="456"/>
    </row>
    <row r="128" spans="1:49" s="462" customFormat="1" ht="12" x14ac:dyDescent="0.3">
      <c r="A128" s="468"/>
      <c r="B128" s="456"/>
      <c r="D128" s="5"/>
      <c r="E128" s="456"/>
      <c r="F128" s="456"/>
      <c r="G128" s="456"/>
      <c r="H128" s="459"/>
      <c r="I128" s="459"/>
      <c r="J128" s="7"/>
      <c r="K128" s="456"/>
      <c r="N128" s="456"/>
      <c r="O128" s="459"/>
      <c r="P128" s="459"/>
      <c r="Q128" s="459"/>
      <c r="R128" s="7"/>
      <c r="S128" s="456"/>
      <c r="W128" s="456"/>
      <c r="X128" s="459"/>
      <c r="Y128" s="459"/>
      <c r="Z128" s="459"/>
      <c r="AA128" s="7"/>
      <c r="AB128" s="456"/>
      <c r="AF128" s="456"/>
      <c r="AG128" s="577"/>
      <c r="AH128" s="577"/>
      <c r="AI128" s="459"/>
      <c r="AJ128" s="459"/>
      <c r="AK128" s="459"/>
      <c r="AL128" s="7"/>
      <c r="AM128" s="456"/>
      <c r="AQ128" s="577"/>
      <c r="AR128" s="456"/>
    </row>
    <row r="129" spans="1:49" s="462" customFormat="1" ht="12" x14ac:dyDescent="0.3">
      <c r="A129" s="468"/>
      <c r="B129" s="456"/>
      <c r="D129" s="5"/>
      <c r="E129" s="456"/>
      <c r="F129" s="456"/>
      <c r="G129" s="456"/>
      <c r="H129" s="459"/>
      <c r="I129" s="459"/>
      <c r="J129" s="7"/>
      <c r="K129" s="456"/>
      <c r="N129" s="456"/>
      <c r="O129" s="459"/>
      <c r="P129" s="459"/>
      <c r="Q129" s="459"/>
      <c r="R129" s="7"/>
      <c r="S129" s="456"/>
      <c r="W129" s="456"/>
      <c r="X129" s="459"/>
      <c r="Y129" s="459"/>
      <c r="Z129" s="459"/>
      <c r="AA129" s="7"/>
      <c r="AB129" s="456"/>
      <c r="AF129" s="456"/>
      <c r="AG129" s="577"/>
      <c r="AH129" s="577"/>
      <c r="AI129" s="459"/>
      <c r="AJ129" s="459"/>
      <c r="AK129" s="459"/>
      <c r="AL129" s="7"/>
      <c r="AM129" s="456"/>
      <c r="AQ129" s="577"/>
      <c r="AR129" s="456"/>
    </row>
    <row r="130" spans="1:49" s="462" customFormat="1" x14ac:dyDescent="0.35">
      <c r="A130" s="468"/>
      <c r="B130" s="456"/>
      <c r="D130" s="5"/>
      <c r="E130" s="456"/>
      <c r="F130" s="456"/>
      <c r="G130" s="456"/>
      <c r="H130" s="459"/>
      <c r="I130" s="459"/>
      <c r="J130" s="7"/>
      <c r="K130" s="456"/>
      <c r="N130" s="456"/>
      <c r="O130" s="459"/>
      <c r="P130" s="459"/>
      <c r="Q130" s="459"/>
      <c r="R130" s="7"/>
      <c r="S130" s="456"/>
      <c r="W130" s="456"/>
      <c r="X130" s="459"/>
      <c r="Y130" s="459"/>
      <c r="Z130" s="459"/>
      <c r="AA130" s="7"/>
      <c r="AB130" s="456"/>
      <c r="AF130" s="456"/>
      <c r="AG130" s="577"/>
      <c r="AH130" s="577"/>
      <c r="AI130" s="459"/>
      <c r="AJ130" s="459"/>
      <c r="AK130" s="459"/>
      <c r="AL130" s="7"/>
      <c r="AM130" s="456"/>
      <c r="AQ130" s="577"/>
      <c r="AR130" s="456"/>
      <c r="AW130"/>
    </row>
    <row r="131" spans="1:49" s="462" customFormat="1" ht="93" customHeight="1" x14ac:dyDescent="0.35">
      <c r="A131" s="468"/>
      <c r="B131" s="456"/>
      <c r="D131" s="5"/>
      <c r="E131" s="456"/>
      <c r="F131" s="456"/>
      <c r="G131" s="456"/>
      <c r="H131" s="459"/>
      <c r="I131" s="459"/>
      <c r="J131" s="7"/>
      <c r="K131" s="456"/>
      <c r="N131" s="456"/>
      <c r="O131" s="459"/>
      <c r="P131" s="459"/>
      <c r="Q131" s="459"/>
      <c r="R131" s="7"/>
      <c r="S131" s="456"/>
      <c r="W131" s="456"/>
      <c r="X131" s="459"/>
      <c r="Y131" s="459"/>
      <c r="Z131" s="459"/>
      <c r="AA131" s="7"/>
      <c r="AB131" s="456"/>
      <c r="AF131" s="456"/>
      <c r="AG131" s="577"/>
      <c r="AH131" s="577"/>
      <c r="AI131" s="459"/>
      <c r="AJ131" s="459"/>
      <c r="AK131" s="459"/>
      <c r="AL131" s="7"/>
      <c r="AM131" s="456"/>
      <c r="AQ131" s="577"/>
      <c r="AR131" s="456"/>
      <c r="AW131"/>
    </row>
    <row r="132" spans="1:49" x14ac:dyDescent="0.35">
      <c r="A132" s="468"/>
      <c r="B132" s="456"/>
      <c r="C132" s="462"/>
      <c r="E132" s="456"/>
      <c r="F132" s="456"/>
      <c r="G132" s="456"/>
      <c r="H132" s="459"/>
      <c r="I132" s="459"/>
      <c r="K132" s="456"/>
      <c r="L132" s="462"/>
      <c r="M132" s="462"/>
      <c r="N132" s="456"/>
      <c r="O132" s="459"/>
      <c r="P132" s="459"/>
      <c r="Q132" s="459"/>
      <c r="S132" s="456"/>
      <c r="T132" s="462"/>
      <c r="U132" s="462"/>
      <c r="V132" s="462"/>
      <c r="W132" s="456"/>
      <c r="X132" s="459"/>
      <c r="Y132" s="459"/>
      <c r="Z132" s="459"/>
      <c r="AB132" s="456"/>
      <c r="AC132" s="462"/>
      <c r="AD132" s="462"/>
      <c r="AE132" s="462"/>
      <c r="AF132" s="456"/>
      <c r="AG132" s="577"/>
      <c r="AH132" s="577"/>
      <c r="AI132" s="459"/>
      <c r="AJ132" s="459"/>
      <c r="AK132" s="459"/>
      <c r="AM132" s="456"/>
      <c r="AN132" s="462"/>
      <c r="AO132" s="462"/>
      <c r="AP132" s="462"/>
      <c r="AQ132" s="577"/>
      <c r="AR132" s="456"/>
      <c r="AS132" s="462"/>
      <c r="AT132" s="462"/>
      <c r="AU132" s="462"/>
      <c r="AV132" s="462"/>
    </row>
    <row r="133" spans="1:49" x14ac:dyDescent="0.35">
      <c r="A133" s="468"/>
      <c r="B133" s="456"/>
      <c r="C133" s="462"/>
      <c r="E133" s="456"/>
      <c r="F133" s="456"/>
      <c r="G133" s="456"/>
      <c r="H133" s="459"/>
      <c r="I133" s="459"/>
      <c r="K133" s="456"/>
      <c r="L133" s="462"/>
      <c r="M133" s="462"/>
      <c r="N133" s="456"/>
      <c r="O133" s="459"/>
      <c r="P133" s="459"/>
      <c r="Q133" s="459"/>
      <c r="S133" s="456"/>
      <c r="T133" s="462"/>
      <c r="U133" s="462"/>
      <c r="V133" s="462"/>
      <c r="W133" s="456"/>
      <c r="X133" s="459"/>
      <c r="Y133" s="459"/>
      <c r="Z133" s="459"/>
      <c r="AB133" s="456"/>
      <c r="AC133" s="462"/>
      <c r="AD133" s="462"/>
      <c r="AE133" s="462"/>
      <c r="AF133" s="456"/>
      <c r="AG133" s="577"/>
      <c r="AH133" s="577"/>
      <c r="AI133" s="459"/>
      <c r="AJ133" s="459"/>
      <c r="AK133" s="459"/>
      <c r="AM133" s="456"/>
      <c r="AN133" s="462"/>
      <c r="AO133" s="462"/>
      <c r="AP133" s="462"/>
      <c r="AQ133" s="577"/>
      <c r="AR133" s="456"/>
      <c r="AS133" s="462"/>
      <c r="AT133" s="462"/>
      <c r="AU133" s="462"/>
      <c r="AV133" s="462"/>
    </row>
    <row r="134" spans="1:49" x14ac:dyDescent="0.35">
      <c r="A134" s="455" t="s">
        <v>1002</v>
      </c>
      <c r="B134" s="455"/>
      <c r="C134" s="456"/>
      <c r="E134" s="456"/>
      <c r="F134" s="456"/>
      <c r="G134" s="456"/>
      <c r="H134" s="459"/>
      <c r="I134" s="459"/>
      <c r="K134" s="456"/>
      <c r="L134" s="462"/>
      <c r="M134" s="462"/>
      <c r="N134" s="456"/>
      <c r="O134" s="459"/>
      <c r="P134" s="459"/>
      <c r="Q134" s="459"/>
      <c r="S134" s="456"/>
      <c r="T134" s="462"/>
      <c r="U134" s="462"/>
      <c r="V134" s="462"/>
      <c r="W134" s="456"/>
      <c r="X134" s="459"/>
      <c r="Y134" s="459"/>
      <c r="Z134" s="459"/>
      <c r="AB134" s="456"/>
      <c r="AC134" s="462"/>
      <c r="AD134" s="462"/>
      <c r="AE134" s="462"/>
      <c r="AF134" s="456"/>
      <c r="AG134" s="577"/>
      <c r="AH134" s="577"/>
      <c r="AI134" s="459"/>
      <c r="AJ134" s="459"/>
      <c r="AK134" s="459"/>
      <c r="AM134" s="456"/>
      <c r="AN134" s="462"/>
      <c r="AO134" s="462"/>
      <c r="AP134" s="462"/>
      <c r="AQ134" s="577"/>
      <c r="AR134" s="456"/>
      <c r="AS134" s="462"/>
      <c r="AT134" s="462"/>
      <c r="AU134" s="462"/>
      <c r="AV134" s="462"/>
    </row>
    <row r="135" spans="1:49" x14ac:dyDescent="0.35">
      <c r="A135" s="9170" t="s">
        <v>1910</v>
      </c>
      <c r="B135" s="9171"/>
      <c r="C135" s="9171"/>
      <c r="D135" s="9171"/>
      <c r="E135" s="9171"/>
      <c r="F135" s="9171"/>
      <c r="G135" s="9171"/>
      <c r="H135" s="9171"/>
      <c r="I135" s="9171"/>
      <c r="J135" s="9171"/>
      <c r="K135" s="9171"/>
      <c r="L135" s="9171"/>
      <c r="M135" s="9172"/>
      <c r="N135" s="456"/>
      <c r="O135" s="456"/>
      <c r="P135" s="456"/>
      <c r="Q135" s="456"/>
      <c r="R135" s="456"/>
      <c r="S135" s="456"/>
      <c r="T135" s="456"/>
      <c r="U135" s="456"/>
      <c r="V135" s="456"/>
      <c r="W135" s="456"/>
      <c r="X135" s="456"/>
      <c r="Y135" s="456"/>
      <c r="Z135" s="456"/>
      <c r="AA135" s="456"/>
      <c r="AB135" s="456"/>
      <c r="AC135" s="456"/>
      <c r="AD135" s="456"/>
      <c r="AE135" s="456"/>
      <c r="AF135" s="456"/>
      <c r="AG135" s="577"/>
      <c r="AH135" s="577"/>
      <c r="AI135" s="456"/>
      <c r="AJ135" s="456"/>
      <c r="AK135" s="456"/>
      <c r="AL135" s="456"/>
      <c r="AM135" s="456"/>
      <c r="AN135" s="456"/>
      <c r="AO135" s="456"/>
      <c r="AP135" s="456"/>
      <c r="AQ135" s="577"/>
      <c r="AR135" s="456"/>
      <c r="AS135" s="456"/>
      <c r="AT135" s="456"/>
      <c r="AU135" s="456"/>
      <c r="AV135" s="462"/>
    </row>
  </sheetData>
  <mergeCells count="42">
    <mergeCell ref="AS7:AU7"/>
    <mergeCell ref="A32:A87"/>
    <mergeCell ref="A101:A117"/>
    <mergeCell ref="A135:M135"/>
    <mergeCell ref="AI1:AP1"/>
    <mergeCell ref="AR1:AU1"/>
    <mergeCell ref="AI4:AL4"/>
    <mergeCell ref="AN4:AP4"/>
    <mergeCell ref="AQ4:AQ5"/>
    <mergeCell ref="AS4:AU4"/>
    <mergeCell ref="AI5:AL5"/>
    <mergeCell ref="AN5:AP5"/>
    <mergeCell ref="AS5:AU5"/>
    <mergeCell ref="AI7:AJ7"/>
    <mergeCell ref="AL7:AL8"/>
    <mergeCell ref="AN7:AP7"/>
    <mergeCell ref="X7:Y7"/>
    <mergeCell ref="AA7:AA8"/>
    <mergeCell ref="AC7:AE7"/>
    <mergeCell ref="A10:A30"/>
    <mergeCell ref="H7:I7"/>
    <mergeCell ref="J7:J8"/>
    <mergeCell ref="L7:M7"/>
    <mergeCell ref="O7:P7"/>
    <mergeCell ref="R7:R8"/>
    <mergeCell ref="T7:V7"/>
    <mergeCell ref="AG4:AG5"/>
    <mergeCell ref="O5:R5"/>
    <mergeCell ref="T5:V5"/>
    <mergeCell ref="X5:AA5"/>
    <mergeCell ref="F1:M1"/>
    <mergeCell ref="O1:V1"/>
    <mergeCell ref="X1:AE1"/>
    <mergeCell ref="H4:J4"/>
    <mergeCell ref="L4:M4"/>
    <mergeCell ref="O4:R4"/>
    <mergeCell ref="T4:V4"/>
    <mergeCell ref="X4:AA4"/>
    <mergeCell ref="AC4:AE4"/>
    <mergeCell ref="AC5:AE5"/>
    <mergeCell ref="H5:J5"/>
    <mergeCell ref="L5:M5"/>
  </mergeCells>
  <hyperlinks>
    <hyperlink ref="U32" r:id="rId1" xr:uid="{C84ED994-2118-4965-B67D-ADF7F22BD1BD}"/>
    <hyperlink ref="Q32" r:id="rId2" xr:uid="{25EE8AD6-5B68-45A4-8809-FD85FC2003B4}"/>
    <hyperlink ref="AD32" r:id="rId3" xr:uid="{7B0F2D47-897E-49AB-B593-A42AA8CB783F}"/>
    <hyperlink ref="Z32" r:id="rId4" xr:uid="{0093F2A6-392D-480C-B61F-F616E39A3C07}"/>
    <hyperlink ref="Z10" r:id="rId5" xr:uid="{F70BCB3F-6276-47C1-A30A-294F11302525}"/>
    <hyperlink ref="AD10" r:id="rId6" xr:uid="{5EB08C5E-E0BB-421B-9295-FD1481373E61}"/>
    <hyperlink ref="AK10" r:id="rId7" xr:uid="{EEDEF692-B1C0-4338-973A-ABEFCBCFD8FE}"/>
    <hyperlink ref="AO10" r:id="rId8" xr:uid="{2ADF6D43-FDF0-4A40-8FEA-CD0515A12D03}"/>
  </hyperlinks>
  <pageMargins left="0.23622047244094491" right="0.23622047244094491" top="0.35433070866141736" bottom="0.35433070866141736" header="0.31496062992125984" footer="0.31496062992125984"/>
  <pageSetup paperSize="9" scale="36" orientation="portrait" horizontalDpi="4294967293" r:id="rId9"/>
  <headerFooter>
    <oddFooter>&amp;R&amp;1#&amp;"Calibri"&amp;12&amp;K000000Official Use</oddFooter>
  </headerFooter>
  <legacy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CA674-4448-4D15-80D1-6439476EF76C}">
  <dimension ref="A1:AL15"/>
  <sheetViews>
    <sheetView topLeftCell="A4" workbookViewId="0">
      <selection activeCell="O4" sqref="O4"/>
    </sheetView>
  </sheetViews>
  <sheetFormatPr defaultColWidth="8.6328125" defaultRowHeight="21.5" x14ac:dyDescent="0.9"/>
  <cols>
    <col min="1" max="38" width="8.6328125" style="8941"/>
    <col min="39" max="16384" width="8.6328125" style="8942"/>
  </cols>
  <sheetData>
    <row r="1" spans="1:8" ht="27.5" x14ac:dyDescent="1.1499999999999999">
      <c r="A1" s="8969" t="s">
        <v>6789</v>
      </c>
    </row>
    <row r="2" spans="1:8" x14ac:dyDescent="0.9">
      <c r="A2" s="8941" t="s">
        <v>6790</v>
      </c>
    </row>
    <row r="4" spans="1:8" x14ac:dyDescent="0.9">
      <c r="A4" s="8941" t="s">
        <v>76</v>
      </c>
      <c r="D4" s="8970"/>
      <c r="E4" s="8970" t="s">
        <v>77</v>
      </c>
    </row>
    <row r="5" spans="1:8" x14ac:dyDescent="0.9">
      <c r="E5" s="8970" t="s">
        <v>78</v>
      </c>
    </row>
    <row r="6" spans="1:8" x14ac:dyDescent="0.9">
      <c r="E6" s="8970"/>
    </row>
    <row r="7" spans="1:8" x14ac:dyDescent="0.9">
      <c r="E7" s="8970"/>
    </row>
    <row r="8" spans="1:8" x14ac:dyDescent="0.9">
      <c r="A8" s="8941" t="s">
        <v>79</v>
      </c>
      <c r="E8" s="8970" t="s">
        <v>80</v>
      </c>
      <c r="H8" s="8941" t="s">
        <v>81</v>
      </c>
    </row>
    <row r="9" spans="1:8" x14ac:dyDescent="0.9">
      <c r="E9" s="8970"/>
      <c r="H9" s="8941" t="s">
        <v>82</v>
      </c>
    </row>
    <row r="10" spans="1:8" x14ac:dyDescent="0.9">
      <c r="E10" s="8970"/>
    </row>
    <row r="11" spans="1:8" x14ac:dyDescent="0.9">
      <c r="A11" s="8971"/>
    </row>
    <row r="12" spans="1:8" x14ac:dyDescent="0.9">
      <c r="E12" s="8970"/>
    </row>
    <row r="13" spans="1:8" x14ac:dyDescent="0.9">
      <c r="E13" s="8970"/>
    </row>
    <row r="14" spans="1:8" x14ac:dyDescent="0.9">
      <c r="E14" s="8970"/>
    </row>
    <row r="15" spans="1:8" x14ac:dyDescent="0.9">
      <c r="E15" s="8970"/>
    </row>
  </sheetData>
  <pageMargins left="0.7" right="0.7" top="0.75" bottom="0.75" header="0.3" footer="0.3"/>
  <pageSetup orientation="portrait" r:id="rId1"/>
  <headerFooter>
    <oddFooter>&amp;R&amp;1#&amp;"Calibri"&amp;12&amp;K000000Official Use</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B28C2-8060-421A-9A03-EE2CE6378142}">
  <sheetPr>
    <pageSetUpPr fitToPage="1"/>
  </sheetPr>
  <dimension ref="A1:U104"/>
  <sheetViews>
    <sheetView topLeftCell="A10" zoomScale="85" zoomScaleNormal="85" zoomScalePageLayoutView="93" workbookViewId="0">
      <selection activeCell="H27" sqref="H27"/>
    </sheetView>
  </sheetViews>
  <sheetFormatPr defaultColWidth="9.1796875" defaultRowHeight="14.5" x14ac:dyDescent="0.35"/>
  <cols>
    <col min="1" max="1" width="6.453125" customWidth="1"/>
    <col min="2" max="2" width="19.453125" customWidth="1"/>
    <col min="3" max="3" width="19.453125" style="1" customWidth="1"/>
    <col min="4" max="4" width="4.453125" style="2" customWidth="1"/>
    <col min="5" max="5" width="1.453125" style="1" customWidth="1"/>
    <col min="6" max="8" width="21.81640625" customWidth="1"/>
    <col min="9" max="9" width="10.453125" customWidth="1"/>
    <col min="10" max="10" width="1.81640625" customWidth="1"/>
    <col min="11" max="13" width="22" customWidth="1"/>
    <col min="14" max="14" width="10.81640625" customWidth="1"/>
    <col min="15" max="15" width="1.6328125" customWidth="1"/>
    <col min="16" max="18" width="22.453125" customWidth="1"/>
    <col min="19" max="19" width="10.6328125" customWidth="1"/>
    <col min="20" max="20" width="2.1796875" customWidth="1"/>
    <col min="21" max="21" width="98.1796875" customWidth="1"/>
  </cols>
  <sheetData>
    <row r="1" spans="1:21" s="470" customFormat="1" ht="31" x14ac:dyDescent="0.7">
      <c r="B1" s="1"/>
      <c r="C1" s="1"/>
      <c r="F1" s="9331" t="s">
        <v>1911</v>
      </c>
      <c r="G1" s="9331"/>
      <c r="H1" s="9331"/>
      <c r="I1" s="9331"/>
      <c r="J1" s="9331"/>
      <c r="K1" s="9331"/>
      <c r="L1" s="9331"/>
      <c r="M1" s="9331"/>
      <c r="N1" s="9331"/>
      <c r="O1" s="9331"/>
      <c r="P1" s="9331"/>
      <c r="Q1" s="9331"/>
      <c r="R1" s="9331"/>
      <c r="S1" s="9331"/>
    </row>
    <row r="2" spans="1:21" ht="21" x14ac:dyDescent="0.5">
      <c r="B2" s="1" t="s">
        <v>9</v>
      </c>
      <c r="C2" s="4" t="s">
        <v>1912</v>
      </c>
    </row>
    <row r="4" spans="1:21" s="8" customFormat="1" ht="15" customHeight="1" x14ac:dyDescent="0.35">
      <c r="D4" s="579"/>
      <c r="F4" s="9130"/>
      <c r="G4" s="9131"/>
      <c r="H4" s="9131"/>
      <c r="I4" s="9132"/>
      <c r="K4" s="9130"/>
      <c r="L4" s="9131"/>
      <c r="M4" s="9131"/>
      <c r="N4" s="9132"/>
      <c r="P4" s="9130"/>
      <c r="Q4" s="9131"/>
      <c r="R4" s="9131"/>
      <c r="S4" s="9132"/>
      <c r="U4" s="9180" t="s">
        <v>404</v>
      </c>
    </row>
    <row r="5" spans="1:21" x14ac:dyDescent="0.35">
      <c r="B5" s="1" t="s">
        <v>406</v>
      </c>
      <c r="C5" s="11">
        <v>2013</v>
      </c>
      <c r="F5" s="9138">
        <v>2018</v>
      </c>
      <c r="G5" s="9139"/>
      <c r="H5" s="9139"/>
      <c r="I5" s="9140"/>
      <c r="K5" s="9138">
        <v>2019</v>
      </c>
      <c r="L5" s="9139"/>
      <c r="M5" s="9139"/>
      <c r="N5" s="9140"/>
      <c r="P5" s="9138">
        <v>2020</v>
      </c>
      <c r="Q5" s="9139"/>
      <c r="R5" s="9139"/>
      <c r="S5" s="9140"/>
      <c r="U5" s="9181"/>
    </row>
    <row r="6" spans="1:21" x14ac:dyDescent="0.35">
      <c r="C6"/>
      <c r="F6" s="6"/>
      <c r="G6" s="6"/>
      <c r="H6" s="6"/>
      <c r="I6" s="7"/>
      <c r="K6" s="6"/>
      <c r="L6" s="6"/>
      <c r="M6" s="6"/>
      <c r="N6" s="7"/>
      <c r="P6" s="6"/>
      <c r="Q6" s="6"/>
      <c r="R6" s="6"/>
      <c r="S6" s="7"/>
      <c r="U6" s="6"/>
    </row>
    <row r="7" spans="1:21" ht="12.75" customHeight="1" x14ac:dyDescent="0.35">
      <c r="B7" s="1" t="s">
        <v>101</v>
      </c>
      <c r="C7" s="15" t="s">
        <v>1913</v>
      </c>
      <c r="D7" s="2" t="s">
        <v>417</v>
      </c>
      <c r="F7" s="9149" t="s">
        <v>1914</v>
      </c>
      <c r="G7" s="9151"/>
      <c r="H7" s="8335"/>
      <c r="I7" s="9147" t="s">
        <v>419</v>
      </c>
      <c r="K7" s="9149" t="s">
        <v>1914</v>
      </c>
      <c r="L7" s="9151"/>
      <c r="M7" s="8335"/>
      <c r="N7" s="9147" t="s">
        <v>419</v>
      </c>
      <c r="P7" s="9149" t="s">
        <v>1914</v>
      </c>
      <c r="Q7" s="9151"/>
      <c r="R7" s="8335"/>
      <c r="S7" s="9147" t="s">
        <v>419</v>
      </c>
      <c r="U7" s="18"/>
    </row>
    <row r="8" spans="1:21" x14ac:dyDescent="0.35">
      <c r="B8" s="1" t="s">
        <v>420</v>
      </c>
      <c r="C8" s="19" t="s">
        <v>589</v>
      </c>
      <c r="F8" s="20" t="s">
        <v>1298</v>
      </c>
      <c r="G8" s="20" t="s">
        <v>96</v>
      </c>
      <c r="H8" s="22"/>
      <c r="I8" s="9148"/>
      <c r="K8" s="20" t="s">
        <v>424</v>
      </c>
      <c r="L8" s="20" t="s">
        <v>96</v>
      </c>
      <c r="M8" s="22"/>
      <c r="N8" s="9148"/>
      <c r="P8" s="20" t="s">
        <v>423</v>
      </c>
      <c r="Q8" s="20" t="s">
        <v>96</v>
      </c>
      <c r="R8" s="22"/>
      <c r="S8" s="9148"/>
      <c r="U8" s="24"/>
    </row>
    <row r="9" spans="1:21" x14ac:dyDescent="0.35">
      <c r="C9"/>
      <c r="E9"/>
      <c r="F9" s="6"/>
      <c r="I9" s="25"/>
      <c r="K9" s="6"/>
      <c r="N9" s="25"/>
      <c r="P9" s="6"/>
      <c r="S9" s="25"/>
    </row>
    <row r="10" spans="1:21" ht="33" customHeight="1" x14ac:dyDescent="0.35">
      <c r="A10" s="9167" t="s">
        <v>426</v>
      </c>
      <c r="B10" s="27"/>
      <c r="C10" s="28" t="s">
        <v>427</v>
      </c>
      <c r="D10" s="580" t="s">
        <v>428</v>
      </c>
      <c r="E10" s="30"/>
      <c r="F10" s="9332" t="s">
        <v>1915</v>
      </c>
      <c r="G10" s="9156"/>
      <c r="H10" s="4031" t="s">
        <v>1916</v>
      </c>
      <c r="I10" s="224"/>
      <c r="K10" s="3651" t="s">
        <v>1917</v>
      </c>
      <c r="L10" s="3651" t="s">
        <v>1918</v>
      </c>
      <c r="M10" s="4031" t="s">
        <v>1916</v>
      </c>
      <c r="N10" s="224"/>
      <c r="P10" s="3651" t="s">
        <v>1685</v>
      </c>
      <c r="Q10" s="851" t="s">
        <v>1027</v>
      </c>
      <c r="R10" s="4031" t="s">
        <v>1916</v>
      </c>
      <c r="S10" s="224"/>
      <c r="U10" s="39"/>
    </row>
    <row r="11" spans="1:21" ht="18" customHeight="1" x14ac:dyDescent="0.35">
      <c r="A11" s="9168"/>
      <c r="B11" s="40" t="s">
        <v>1919</v>
      </c>
      <c r="C11" s="41"/>
      <c r="D11" s="585"/>
      <c r="E11" s="43"/>
      <c r="F11" s="7829" t="s">
        <v>1920</v>
      </c>
      <c r="G11" s="7830" t="s">
        <v>1921</v>
      </c>
      <c r="H11" s="474"/>
      <c r="I11" s="47"/>
      <c r="K11" s="7831"/>
      <c r="L11" s="7832"/>
      <c r="M11" s="1831" t="s">
        <v>1922</v>
      </c>
      <c r="N11" s="47"/>
      <c r="P11" s="3928"/>
      <c r="Q11" s="474"/>
      <c r="R11" s="474"/>
      <c r="S11" s="47"/>
      <c r="U11" s="18"/>
    </row>
    <row r="12" spans="1:21" x14ac:dyDescent="0.35">
      <c r="A12" s="9168"/>
      <c r="B12" s="58"/>
      <c r="C12" s="59" t="s">
        <v>1923</v>
      </c>
      <c r="D12" s="197"/>
      <c r="F12" s="298">
        <v>61623</v>
      </c>
      <c r="G12" s="1988">
        <v>57756</v>
      </c>
      <c r="H12" s="645"/>
      <c r="I12" s="64">
        <f>IF(F12=0,0,G12/F12)</f>
        <v>0.93724745630689843</v>
      </c>
      <c r="K12" s="298">
        <v>64534</v>
      </c>
      <c r="L12" s="1988">
        <f>50639.334655</f>
        <v>50639.334654999999</v>
      </c>
      <c r="M12" s="645"/>
      <c r="N12" s="64">
        <f>IF(K12=0,0,L12/K12)</f>
        <v>0.78469232737781636</v>
      </c>
      <c r="P12" s="68">
        <v>41836.970509999999</v>
      </c>
      <c r="Q12" s="645">
        <f>P12*N12</f>
        <v>32829.149759928965</v>
      </c>
      <c r="R12" s="645"/>
      <c r="S12" s="64">
        <f>IF(P12=0,0,Q12/P12)</f>
        <v>0.78469232737781625</v>
      </c>
      <c r="U12" s="26"/>
    </row>
    <row r="13" spans="1:21" x14ac:dyDescent="0.35">
      <c r="A13" s="9168"/>
      <c r="B13" s="58"/>
      <c r="C13" s="59" t="s">
        <v>1924</v>
      </c>
      <c r="D13" s="197">
        <v>1</v>
      </c>
      <c r="F13" s="298">
        <v>33739</v>
      </c>
      <c r="G13" s="1988">
        <v>35500</v>
      </c>
      <c r="H13" s="7833"/>
      <c r="I13" s="73">
        <f>IF(F13=0,0,G13/F13)</f>
        <v>1.0521947894128456</v>
      </c>
      <c r="K13" s="298">
        <v>44008</v>
      </c>
      <c r="L13" s="1988">
        <v>24506.608001000001</v>
      </c>
      <c r="M13" s="645"/>
      <c r="N13" s="73">
        <f>IF(K13=0,0,L13/K13)</f>
        <v>0.55686711509271047</v>
      </c>
      <c r="P13" s="68">
        <v>50760</v>
      </c>
      <c r="Q13" s="645">
        <f>P13*N13</f>
        <v>28266.574762105985</v>
      </c>
      <c r="R13" s="645"/>
      <c r="S13" s="73">
        <f>IF(P13=0,0,Q13/P13)</f>
        <v>0.55686711509271047</v>
      </c>
      <c r="U13" s="26"/>
    </row>
    <row r="14" spans="1:21" x14ac:dyDescent="0.35">
      <c r="A14" s="9168"/>
      <c r="B14" s="85"/>
      <c r="C14" s="86" t="s">
        <v>1925</v>
      </c>
      <c r="D14" s="209"/>
      <c r="F14" s="590">
        <f>SUM(F12:F13)</f>
        <v>95362</v>
      </c>
      <c r="G14" s="1989">
        <f>SUM(G12:G13)</f>
        <v>93256</v>
      </c>
      <c r="H14" s="1200"/>
      <c r="I14" s="91">
        <f>IF(F14=0,0,G14/F14)</f>
        <v>0.97791573163314527</v>
      </c>
      <c r="K14" s="590">
        <f>SUM(K12:K13)</f>
        <v>108542</v>
      </c>
      <c r="L14" s="1989">
        <f>SUM(L12:L13)</f>
        <v>75145.942655999999</v>
      </c>
      <c r="M14" s="1200"/>
      <c r="N14" s="91">
        <f>IF(K14=0,0,L14/K14)</f>
        <v>0.69232133787842498</v>
      </c>
      <c r="P14" s="590">
        <f>SUM(P12:P13)</f>
        <v>92596.970509999999</v>
      </c>
      <c r="Q14" s="1181">
        <f>SUM(Q12:Q13)</f>
        <v>61095.72452203495</v>
      </c>
      <c r="R14" s="1200"/>
      <c r="S14" s="91">
        <f>IF(P14=0,0,Q14/P14)</f>
        <v>0.65980262837472559</v>
      </c>
      <c r="U14" s="3644"/>
    </row>
    <row r="15" spans="1:21" x14ac:dyDescent="0.35">
      <c r="A15" s="9168"/>
      <c r="B15" s="100" t="s">
        <v>883</v>
      </c>
      <c r="C15" s="49"/>
      <c r="D15" s="585"/>
      <c r="E15" s="43"/>
      <c r="F15" s="1368"/>
      <c r="G15" s="653"/>
      <c r="H15" s="653"/>
      <c r="I15" s="104"/>
      <c r="K15" s="1368"/>
      <c r="L15" s="653"/>
      <c r="M15" s="653"/>
      <c r="N15" s="104"/>
      <c r="P15" s="1368"/>
      <c r="Q15" s="653"/>
      <c r="R15" s="653"/>
      <c r="S15" s="104"/>
      <c r="U15" s="18"/>
    </row>
    <row r="16" spans="1:21" x14ac:dyDescent="0.35">
      <c r="A16" s="9168"/>
      <c r="B16" s="6082"/>
      <c r="C16" s="110" t="s">
        <v>1785</v>
      </c>
      <c r="D16" s="197">
        <v>2</v>
      </c>
      <c r="F16" s="593">
        <f>66162-F20</f>
        <v>65865</v>
      </c>
      <c r="G16" s="636">
        <f>58373-G20</f>
        <v>57991</v>
      </c>
      <c r="H16" s="645"/>
      <c r="I16" s="64">
        <f>IF(F16=0,0,G16/F16)</f>
        <v>0.88045244059819328</v>
      </c>
      <c r="K16" s="593">
        <f>65685-K20</f>
        <v>65035</v>
      </c>
      <c r="L16" s="636">
        <v>48206.896994000002</v>
      </c>
      <c r="M16" s="645"/>
      <c r="N16" s="64">
        <f>IF(K16=0,0,L16/K16)</f>
        <v>0.74124543698008771</v>
      </c>
      <c r="P16" s="593">
        <v>52191.074417000003</v>
      </c>
      <c r="Q16" s="645">
        <f t="shared" ref="Q16:Q20" si="0">P16*N16</f>
        <v>38686.395762689441</v>
      </c>
      <c r="R16" s="645"/>
      <c r="S16" s="64">
        <f>IF(P16=0,0,Q16/P16)</f>
        <v>0.7412454369800876</v>
      </c>
      <c r="U16" s="257"/>
    </row>
    <row r="17" spans="1:21" x14ac:dyDescent="0.35">
      <c r="A17" s="9168"/>
      <c r="B17" s="6082"/>
      <c r="C17" s="110" t="s">
        <v>474</v>
      </c>
      <c r="D17" s="197"/>
      <c r="F17" s="593"/>
      <c r="G17" s="636"/>
      <c r="H17" s="645"/>
      <c r="I17" s="64">
        <f t="shared" ref="I17:I20" si="1">IF(F17=0,0,G17/F17)</f>
        <v>0</v>
      </c>
      <c r="K17" s="593"/>
      <c r="L17" s="636"/>
      <c r="M17" s="645"/>
      <c r="N17" s="64">
        <f t="shared" ref="N17:N20" si="2">IF(K17=0,0,L17/K17)</f>
        <v>0</v>
      </c>
      <c r="P17" s="593"/>
      <c r="Q17" s="645">
        <f t="shared" si="0"/>
        <v>0</v>
      </c>
      <c r="R17" s="645"/>
      <c r="S17" s="64">
        <f t="shared" ref="S17:S20" si="3">IF(P17=0,0,Q17/P17)</f>
        <v>0</v>
      </c>
      <c r="U17" s="257"/>
    </row>
    <row r="18" spans="1:21" x14ac:dyDescent="0.35">
      <c r="A18" s="9168"/>
      <c r="B18" s="6082"/>
      <c r="C18" s="110" t="s">
        <v>1926</v>
      </c>
      <c r="D18" s="197"/>
      <c r="F18" s="593">
        <v>3115</v>
      </c>
      <c r="G18" s="636">
        <f>37152-G19</f>
        <v>2713</v>
      </c>
      <c r="H18" s="645"/>
      <c r="I18" s="64"/>
      <c r="K18" s="593">
        <f>49172-K19</f>
        <v>10164</v>
      </c>
      <c r="L18" s="636">
        <v>10820.597588000001</v>
      </c>
      <c r="M18" s="645"/>
      <c r="N18" s="64">
        <f t="shared" si="2"/>
        <v>1.0646003136560409</v>
      </c>
      <c r="P18" s="593">
        <v>13919.40482</v>
      </c>
      <c r="Q18" s="645">
        <f t="shared" si="0"/>
        <v>14818.602737277408</v>
      </c>
      <c r="R18" s="645"/>
      <c r="S18" s="64"/>
      <c r="U18" s="257"/>
    </row>
    <row r="19" spans="1:21" x14ac:dyDescent="0.35">
      <c r="A19" s="9168"/>
      <c r="B19" s="6082"/>
      <c r="C19" s="110" t="s">
        <v>1927</v>
      </c>
      <c r="D19" s="197"/>
      <c r="F19" s="593">
        <v>27739</v>
      </c>
      <c r="G19" s="636">
        <v>34439</v>
      </c>
      <c r="H19" s="645"/>
      <c r="I19" s="64"/>
      <c r="K19" s="593">
        <f>39008</f>
        <v>39008</v>
      </c>
      <c r="L19" s="636">
        <v>24506.608001000001</v>
      </c>
      <c r="M19" s="645"/>
      <c r="N19" s="64">
        <f t="shared" si="2"/>
        <v>0.62824569321677604</v>
      </c>
      <c r="P19" s="593">
        <v>42260</v>
      </c>
      <c r="Q19" s="645">
        <f t="shared" si="0"/>
        <v>26549.662995340954</v>
      </c>
      <c r="R19" s="645"/>
      <c r="S19" s="64"/>
      <c r="U19" s="257"/>
    </row>
    <row r="20" spans="1:21" x14ac:dyDescent="0.35">
      <c r="A20" s="9168"/>
      <c r="B20" s="6082"/>
      <c r="C20" s="110" t="s">
        <v>1928</v>
      </c>
      <c r="D20" s="197">
        <v>3</v>
      </c>
      <c r="F20" s="593">
        <v>297</v>
      </c>
      <c r="G20" s="636">
        <v>382</v>
      </c>
      <c r="H20" s="645"/>
      <c r="I20" s="64">
        <f t="shared" si="1"/>
        <v>1.2861952861952861</v>
      </c>
      <c r="K20" s="593">
        <v>650</v>
      </c>
      <c r="L20" s="636">
        <v>193.810776</v>
      </c>
      <c r="M20" s="645"/>
      <c r="N20" s="64">
        <f t="shared" si="2"/>
        <v>0.29817042461538462</v>
      </c>
      <c r="P20" s="593">
        <v>969.21663699999999</v>
      </c>
      <c r="Q20" s="645">
        <f t="shared" si="0"/>
        <v>288.9917361985851</v>
      </c>
      <c r="R20" s="645"/>
      <c r="S20" s="64">
        <f t="shared" si="3"/>
        <v>0.29817042461538462</v>
      </c>
      <c r="U20" s="257"/>
    </row>
    <row r="21" spans="1:21" x14ac:dyDescent="0.35">
      <c r="A21" s="9168"/>
      <c r="B21" s="128"/>
      <c r="C21" s="129" t="s">
        <v>903</v>
      </c>
      <c r="D21" s="209"/>
      <c r="F21" s="602">
        <f>SUM(F16:F20)</f>
        <v>97016</v>
      </c>
      <c r="G21" s="603">
        <f>SUM(G16:G20)</f>
        <v>95525</v>
      </c>
      <c r="H21" s="1200"/>
      <c r="I21" s="133">
        <f>IF(F21=0,0,G21/F21)</f>
        <v>0.98463140100601965</v>
      </c>
      <c r="K21" s="602">
        <f>SUM(K16:K20)</f>
        <v>114857</v>
      </c>
      <c r="L21" s="603">
        <f>SUM(L16:L20)</f>
        <v>83727.913358999998</v>
      </c>
      <c r="M21" s="1200"/>
      <c r="N21" s="133">
        <f>IF(K21=0,0,L21/K21)</f>
        <v>0.72897527672671236</v>
      </c>
      <c r="P21" s="602">
        <f>SUM(P16:P20)</f>
        <v>109339.69587400001</v>
      </c>
      <c r="Q21" s="7834">
        <f>SUM(Q16:Q20)</f>
        <v>80343.653231506396</v>
      </c>
      <c r="R21" s="1200"/>
      <c r="S21" s="133">
        <f>IF(P21=0,0,Q21/P21)</f>
        <v>0.73480772549515927</v>
      </c>
      <c r="U21" s="24"/>
    </row>
    <row r="22" spans="1:21" x14ac:dyDescent="0.35">
      <c r="A22" s="9168"/>
      <c r="B22" s="139" t="s">
        <v>904</v>
      </c>
      <c r="C22" s="49"/>
      <c r="D22" s="184"/>
      <c r="E22" s="141"/>
      <c r="F22" s="3647"/>
      <c r="G22" s="1127"/>
      <c r="H22" s="1127"/>
      <c r="I22" s="146"/>
      <c r="K22" s="3647"/>
      <c r="L22" s="1127"/>
      <c r="M22" s="1127"/>
      <c r="N22" s="146"/>
      <c r="P22" s="3647"/>
      <c r="Q22" s="1127"/>
      <c r="R22" s="1127"/>
      <c r="S22" s="146"/>
      <c r="U22" s="18"/>
    </row>
    <row r="23" spans="1:21" x14ac:dyDescent="0.35">
      <c r="A23" s="9168"/>
      <c r="B23" s="6082"/>
      <c r="C23" s="110" t="s">
        <v>483</v>
      </c>
      <c r="D23" s="197"/>
      <c r="F23" s="607">
        <v>27776</v>
      </c>
      <c r="G23" s="594">
        <v>26832</v>
      </c>
      <c r="H23" s="645"/>
      <c r="I23" s="64">
        <f>IF(F23=0,0,G23/F23)</f>
        <v>0.96601382488479259</v>
      </c>
      <c r="K23" s="156">
        <v>27384</v>
      </c>
      <c r="L23" s="594">
        <v>28370.462595000001</v>
      </c>
      <c r="M23" s="645" t="s">
        <v>1929</v>
      </c>
      <c r="N23" s="64">
        <f>IF(K23=0,0,L23/K23)</f>
        <v>1.0360233200043822</v>
      </c>
      <c r="P23" s="156"/>
      <c r="Q23" s="645"/>
      <c r="R23" s="645"/>
      <c r="S23" s="64">
        <f>IF(P23=0,0,Q23/P23)</f>
        <v>0</v>
      </c>
      <c r="U23" s="26"/>
    </row>
    <row r="24" spans="1:21" x14ac:dyDescent="0.35">
      <c r="A24" s="9168"/>
      <c r="B24" s="6082"/>
      <c r="C24" s="110" t="s">
        <v>489</v>
      </c>
      <c r="D24" s="197">
        <v>4</v>
      </c>
      <c r="F24" s="117"/>
      <c r="G24" s="594"/>
      <c r="H24" s="645"/>
      <c r="I24" s="64">
        <f>IF(F24=0,0,G24/F24)</f>
        <v>0</v>
      </c>
      <c r="K24" s="117"/>
      <c r="L24" s="594"/>
      <c r="M24" s="645"/>
      <c r="N24" s="64">
        <f>IF(K24=0,0,L24/K24)</f>
        <v>0</v>
      </c>
      <c r="P24" s="200"/>
      <c r="Q24" s="645"/>
      <c r="R24" s="645"/>
      <c r="S24" s="64">
        <f>IF(P24=0,0,Q24/P24)</f>
        <v>0</v>
      </c>
      <c r="U24" s="26"/>
    </row>
    <row r="25" spans="1:21" x14ac:dyDescent="0.35">
      <c r="A25" s="9168"/>
      <c r="B25" s="6082"/>
      <c r="C25" s="110" t="s">
        <v>490</v>
      </c>
      <c r="D25" s="197">
        <v>5</v>
      </c>
      <c r="F25" s="159"/>
      <c r="G25" s="594"/>
      <c r="H25" s="1175"/>
      <c r="I25" s="64">
        <f>IF(F25=0,0,G25/F25)</f>
        <v>0</v>
      </c>
      <c r="K25" s="159"/>
      <c r="L25" s="594"/>
      <c r="M25" s="645" t="s">
        <v>1930</v>
      </c>
      <c r="N25" s="64">
        <f>IF(K25=0,0,L25/K25)</f>
        <v>0</v>
      </c>
      <c r="P25" s="159"/>
      <c r="Q25" s="645"/>
      <c r="R25" s="1161"/>
      <c r="S25" s="64">
        <f>IF(P25=0,0,Q25/P25)</f>
        <v>0</v>
      </c>
      <c r="U25" s="26"/>
    </row>
    <row r="26" spans="1:21" x14ac:dyDescent="0.35">
      <c r="A26" s="9168"/>
      <c r="B26" s="6082"/>
      <c r="C26" s="161" t="s">
        <v>497</v>
      </c>
      <c r="D26" s="610"/>
      <c r="F26" s="612"/>
      <c r="G26" s="613"/>
      <c r="H26" s="645"/>
      <c r="I26" s="64">
        <f>IF(F26=0,0,G26/F26)</f>
        <v>0</v>
      </c>
      <c r="K26" s="612"/>
      <c r="L26" s="613"/>
      <c r="M26" s="645"/>
      <c r="N26" s="64">
        <f>IF(K26=0,0,L26/K26)</f>
        <v>0</v>
      </c>
      <c r="P26" s="612"/>
      <c r="Q26" s="645"/>
      <c r="R26" s="645"/>
      <c r="S26" s="64">
        <f>IF(P26=0,0,Q26/P26)</f>
        <v>0</v>
      </c>
      <c r="U26" s="26"/>
    </row>
    <row r="27" spans="1:21" x14ac:dyDescent="0.35">
      <c r="A27" s="9168"/>
      <c r="B27" s="128"/>
      <c r="C27" s="129" t="s">
        <v>499</v>
      </c>
      <c r="D27" s="209"/>
      <c r="F27" s="3961">
        <f>F25/F23</f>
        <v>0</v>
      </c>
      <c r="G27" s="3935">
        <f>F27</f>
        <v>0</v>
      </c>
      <c r="H27" s="1141"/>
      <c r="I27" s="173"/>
      <c r="K27" s="3961">
        <f>K25/K23</f>
        <v>0</v>
      </c>
      <c r="L27" s="3935">
        <f>K27</f>
        <v>0</v>
      </c>
      <c r="M27" s="1141"/>
      <c r="N27" s="173"/>
      <c r="P27" s="3961"/>
      <c r="Q27" s="1340">
        <f>P27</f>
        <v>0</v>
      </c>
      <c r="R27" s="1141"/>
      <c r="S27" s="173"/>
      <c r="U27" s="24"/>
    </row>
    <row r="28" spans="1:21" x14ac:dyDescent="0.35">
      <c r="A28" s="9169"/>
      <c r="B28" s="5496" t="s">
        <v>1931</v>
      </c>
      <c r="C28" s="500"/>
      <c r="D28" s="5497"/>
      <c r="F28" s="503"/>
      <c r="G28" s="504"/>
      <c r="H28" s="508"/>
      <c r="I28" s="3050">
        <f>IF(F28=0,0,G28/F28)</f>
        <v>0</v>
      </c>
      <c r="K28" s="503"/>
      <c r="L28" s="504"/>
      <c r="M28" s="508"/>
      <c r="N28" s="3050">
        <f>IF(K28=0,0,L28/K28)</f>
        <v>0</v>
      </c>
      <c r="P28" s="503"/>
      <c r="Q28" s="507"/>
      <c r="R28" s="508"/>
      <c r="S28" s="3050">
        <f>IF(P28=0,0,Q28/P28)</f>
        <v>0</v>
      </c>
      <c r="U28" s="39"/>
    </row>
    <row r="29" spans="1:21" x14ac:dyDescent="0.35">
      <c r="A29" s="220"/>
      <c r="B29" s="220"/>
      <c r="F29" s="106"/>
      <c r="G29" s="106"/>
      <c r="H29" s="106"/>
      <c r="I29" s="221"/>
      <c r="K29" s="106"/>
      <c r="L29" s="106"/>
      <c r="M29" s="106"/>
      <c r="N29" s="221"/>
      <c r="P29" s="106"/>
      <c r="Q29" s="106"/>
      <c r="R29" s="106"/>
      <c r="S29" s="221"/>
    </row>
    <row r="30" spans="1:21" ht="27.75" customHeight="1" x14ac:dyDescent="0.35">
      <c r="A30" s="9167" t="s">
        <v>503</v>
      </c>
      <c r="B30" s="27"/>
      <c r="C30" s="28" t="s">
        <v>427</v>
      </c>
      <c r="D30" s="585" t="s">
        <v>428</v>
      </c>
      <c r="E30" s="30"/>
      <c r="F30" s="222" t="s">
        <v>1932</v>
      </c>
      <c r="G30" s="3651"/>
      <c r="H30" s="34"/>
      <c r="I30" s="224"/>
      <c r="K30" s="9332" t="s">
        <v>1933</v>
      </c>
      <c r="L30" s="9156"/>
      <c r="M30" s="34"/>
      <c r="N30" s="224"/>
      <c r="P30" s="222" t="s">
        <v>1934</v>
      </c>
      <c r="Q30" s="3651"/>
      <c r="R30" s="34"/>
      <c r="S30" s="224"/>
      <c r="U30" s="39"/>
    </row>
    <row r="31" spans="1:21" x14ac:dyDescent="0.35">
      <c r="A31" s="9168"/>
      <c r="B31" s="141" t="s">
        <v>925</v>
      </c>
      <c r="C31"/>
      <c r="D31" s="184"/>
      <c r="E31" s="143"/>
      <c r="F31" s="1368"/>
      <c r="G31" s="103" t="s">
        <v>1935</v>
      </c>
      <c r="H31" s="103"/>
      <c r="I31" s="228"/>
      <c r="K31" s="1368"/>
      <c r="L31" s="103" t="s">
        <v>1936</v>
      </c>
      <c r="M31" s="103"/>
      <c r="N31" s="228"/>
      <c r="P31" s="1368"/>
      <c r="Q31" s="103"/>
      <c r="R31" s="103"/>
      <c r="S31" s="228"/>
      <c r="U31" s="18"/>
    </row>
    <row r="32" spans="1:21" x14ac:dyDescent="0.35">
      <c r="A32" s="9168"/>
      <c r="B32" s="7835" t="s">
        <v>1937</v>
      </c>
      <c r="C32" s="240"/>
      <c r="D32" s="197"/>
      <c r="F32" s="242"/>
      <c r="G32" s="243"/>
      <c r="I32" s="3768"/>
      <c r="K32" s="242"/>
      <c r="L32" s="243"/>
      <c r="M32" s="106"/>
      <c r="N32" s="3768">
        <f>IF(K32=0,0,L32/K32)</f>
        <v>0</v>
      </c>
      <c r="P32" s="612"/>
      <c r="Q32" s="645"/>
      <c r="R32" s="259"/>
      <c r="S32" s="64">
        <f>IF(P32=0,0,Q32/P32)</f>
        <v>0</v>
      </c>
      <c r="U32" s="257"/>
    </row>
    <row r="33" spans="1:21" x14ac:dyDescent="0.35">
      <c r="A33" s="9168"/>
      <c r="B33" s="240"/>
      <c r="C33" s="241" t="s">
        <v>1363</v>
      </c>
      <c r="D33" s="197"/>
      <c r="F33" s="1172"/>
      <c r="G33" s="644"/>
      <c r="H33" s="57" t="s">
        <v>1938</v>
      </c>
      <c r="I33" s="3768">
        <f t="shared" ref="I33:I35" si="4">IF(F33=0,0,G33/F33)</f>
        <v>0</v>
      </c>
      <c r="K33" s="1172">
        <f>11750.424908-K34</f>
        <v>11399.937408000002</v>
      </c>
      <c r="L33" s="644">
        <f>9513.609687+109.778098+1362.536456</f>
        <v>10985.924241000001</v>
      </c>
      <c r="M33" s="106"/>
      <c r="N33" s="3768">
        <f t="shared" ref="N33:N35" si="5">IF(K33=0,0,L33/K33)</f>
        <v>0.96368285612608151</v>
      </c>
      <c r="P33" s="612">
        <f>12547.784871-P34</f>
        <v>12442.784871</v>
      </c>
      <c r="Q33" s="645">
        <f>P33*N33</f>
        <v>11990.898462647676</v>
      </c>
      <c r="R33" s="3969"/>
      <c r="S33" s="64">
        <f t="shared" ref="S33:S36" si="6">IF(P33=0,0,Q33/P33)</f>
        <v>0.9636828561260814</v>
      </c>
      <c r="U33" s="257"/>
    </row>
    <row r="34" spans="1:21" x14ac:dyDescent="0.35">
      <c r="A34" s="9168"/>
      <c r="B34" s="240"/>
      <c r="C34" s="241" t="s">
        <v>1116</v>
      </c>
      <c r="D34" s="197"/>
      <c r="F34" s="1172"/>
      <c r="G34" s="644"/>
      <c r="H34" s="106"/>
      <c r="I34" s="3768">
        <f t="shared" si="4"/>
        <v>0</v>
      </c>
      <c r="K34" s="1172">
        <v>350.48750000000001</v>
      </c>
      <c r="L34" s="644">
        <v>6.4921610000000003</v>
      </c>
      <c r="M34" s="106"/>
      <c r="N34" s="3768">
        <f t="shared" si="5"/>
        <v>1.8523231213666679E-2</v>
      </c>
      <c r="P34" s="612">
        <v>105</v>
      </c>
      <c r="Q34" s="645">
        <f>P34*N34</f>
        <v>1.9449392774350014</v>
      </c>
      <c r="R34" s="7836"/>
      <c r="S34" s="64">
        <f t="shared" si="6"/>
        <v>1.8523231213666679E-2</v>
      </c>
      <c r="U34" s="257"/>
    </row>
    <row r="35" spans="1:21" x14ac:dyDescent="0.35">
      <c r="A35" s="9168"/>
      <c r="B35" s="240"/>
      <c r="C35" s="241"/>
      <c r="D35" s="197"/>
      <c r="F35" s="1172">
        <v>2085.5</v>
      </c>
      <c r="G35" s="644"/>
      <c r="H35" s="57" t="s">
        <v>1939</v>
      </c>
      <c r="I35" s="3768">
        <f t="shared" si="4"/>
        <v>0</v>
      </c>
      <c r="K35" s="1172">
        <v>2011.852425</v>
      </c>
      <c r="L35" s="4973">
        <f>K35*L19/K19</f>
        <v>1263.937621393977</v>
      </c>
      <c r="M35" s="57" t="s">
        <v>1940</v>
      </c>
      <c r="N35" s="3768">
        <f t="shared" si="5"/>
        <v>0.62824569321677604</v>
      </c>
      <c r="P35" s="612">
        <v>5806.8453719999998</v>
      </c>
      <c r="Q35" s="645">
        <f>P35*N35</f>
        <v>3648.1255961347674</v>
      </c>
      <c r="R35" s="57" t="s">
        <v>1941</v>
      </c>
      <c r="S35" s="64">
        <f t="shared" si="6"/>
        <v>0.62824569321677604</v>
      </c>
      <c r="U35" s="257"/>
    </row>
    <row r="36" spans="1:21" x14ac:dyDescent="0.35">
      <c r="A36" s="9168"/>
      <c r="B36" s="7835" t="s">
        <v>1942</v>
      </c>
      <c r="C36" s="241"/>
      <c r="D36" s="197"/>
      <c r="F36" s="242"/>
      <c r="G36" s="243"/>
      <c r="H36" s="106"/>
      <c r="I36" s="3768">
        <f>IF(F36=0,0,G36/F36)</f>
        <v>0</v>
      </c>
      <c r="K36" s="242"/>
      <c r="L36" s="243"/>
      <c r="M36" s="106"/>
      <c r="N36" s="3768">
        <f>IF(K36=0,0,L36/K36)</f>
        <v>0</v>
      </c>
      <c r="P36" s="612">
        <v>68.84</v>
      </c>
      <c r="Q36" s="645">
        <f>P36*N33</f>
        <v>66.339927815719449</v>
      </c>
      <c r="R36" s="7836"/>
      <c r="S36" s="64">
        <f t="shared" si="6"/>
        <v>0.9636828561260814</v>
      </c>
      <c r="U36" s="26"/>
    </row>
    <row r="37" spans="1:21" x14ac:dyDescent="0.35">
      <c r="A37" s="9168"/>
      <c r="B37" s="241"/>
      <c r="C37" s="240"/>
      <c r="D37" s="197"/>
      <c r="F37" s="242"/>
      <c r="G37" s="243"/>
      <c r="H37" s="106"/>
      <c r="I37" s="3768">
        <f>IF(F37=0,0,G37/F37)</f>
        <v>0</v>
      </c>
      <c r="K37" s="242"/>
      <c r="L37" s="243"/>
      <c r="M37" s="106"/>
      <c r="N37" s="3768">
        <f>IF(K37=0,0,L37/K37)</f>
        <v>0</v>
      </c>
      <c r="P37" s="612"/>
      <c r="Q37" s="645"/>
      <c r="R37" s="106"/>
      <c r="S37" s="64">
        <f>IF(P37=0,0,Q37/P37)</f>
        <v>0</v>
      </c>
      <c r="U37" s="26"/>
    </row>
    <row r="38" spans="1:21" x14ac:dyDescent="0.35">
      <c r="A38" s="9168"/>
      <c r="B38" s="241"/>
      <c r="C38" s="241"/>
      <c r="D38" s="197"/>
      <c r="F38" s="242"/>
      <c r="G38" s="243"/>
      <c r="H38" s="106"/>
      <c r="I38" s="3768">
        <f>IF(F38=0,0,G38/F38)</f>
        <v>0</v>
      </c>
      <c r="K38" s="242"/>
      <c r="L38" s="243"/>
      <c r="M38" s="106"/>
      <c r="N38" s="3768">
        <f>IF(K38=0,0,L38/K38)</f>
        <v>0</v>
      </c>
      <c r="P38" s="612"/>
      <c r="Q38" s="645"/>
      <c r="R38" s="106"/>
      <c r="S38" s="64">
        <f>IF(P38=0,0,Q38/P38)</f>
        <v>0</v>
      </c>
      <c r="U38" s="26"/>
    </row>
    <row r="39" spans="1:21" x14ac:dyDescent="0.35">
      <c r="A39" s="9168"/>
      <c r="B39" s="141" t="s">
        <v>531</v>
      </c>
      <c r="C39"/>
      <c r="D39" s="197"/>
      <c r="E39" s="143"/>
      <c r="F39" s="245"/>
      <c r="G39" s="106"/>
      <c r="H39" s="106"/>
      <c r="I39" s="246"/>
      <c r="K39" s="245"/>
      <c r="L39" s="106"/>
      <c r="M39" s="106"/>
      <c r="N39" s="246"/>
      <c r="P39" s="1361"/>
      <c r="Q39" s="645"/>
      <c r="R39" s="106"/>
      <c r="S39" s="246"/>
      <c r="U39" s="18"/>
    </row>
    <row r="40" spans="1:21" x14ac:dyDescent="0.35">
      <c r="A40" s="9168"/>
      <c r="B40" s="240"/>
      <c r="C40" s="240" t="s">
        <v>532</v>
      </c>
      <c r="D40" s="197"/>
      <c r="F40" s="112"/>
      <c r="G40" s="113"/>
      <c r="H40" s="106"/>
      <c r="I40" s="64">
        <f>IF(F40=0,0,G40/F40)</f>
        <v>0</v>
      </c>
      <c r="K40" s="112"/>
      <c r="L40" s="113"/>
      <c r="M40" s="106"/>
      <c r="N40" s="64">
        <f>IF(K40=0,0,L40/K40)</f>
        <v>0</v>
      </c>
      <c r="P40" s="593"/>
      <c r="Q40" s="636"/>
      <c r="R40" s="106"/>
      <c r="S40" s="64">
        <f>IF(P40=0,0,Q40/P40)</f>
        <v>0</v>
      </c>
      <c r="U40" s="26"/>
    </row>
    <row r="41" spans="1:21" x14ac:dyDescent="0.35">
      <c r="A41" s="9168"/>
      <c r="B41" s="240"/>
      <c r="C41" s="240" t="s">
        <v>533</v>
      </c>
      <c r="D41" s="197"/>
      <c r="F41" s="117"/>
      <c r="G41" s="115"/>
      <c r="H41" s="106"/>
      <c r="I41" s="64">
        <f>IF(F41=0,0,G41/F41)</f>
        <v>0</v>
      </c>
      <c r="K41" s="117"/>
      <c r="L41" s="115"/>
      <c r="M41" s="106"/>
      <c r="N41" s="64">
        <f>IF(K41=0,0,L41/K41)</f>
        <v>0</v>
      </c>
      <c r="P41" s="595"/>
      <c r="Q41" s="594"/>
      <c r="R41" s="106"/>
      <c r="S41" s="64">
        <f>IF(P41=0,0,Q41/P41)</f>
        <v>0</v>
      </c>
      <c r="U41" s="26"/>
    </row>
    <row r="42" spans="1:21" x14ac:dyDescent="0.35">
      <c r="A42" s="9168"/>
      <c r="B42" s="250"/>
      <c r="C42" s="250" t="s">
        <v>534</v>
      </c>
      <c r="D42" s="209"/>
      <c r="F42" s="242"/>
      <c r="G42" s="243"/>
      <c r="H42" s="106"/>
      <c r="I42" s="64">
        <f>IF(F42=0,0,G42/F42)</f>
        <v>0</v>
      </c>
      <c r="K42" s="242"/>
      <c r="L42" s="243"/>
      <c r="M42" s="106"/>
      <c r="N42" s="64">
        <f>IF(K42=0,0,L42/K42)</f>
        <v>0</v>
      </c>
      <c r="P42" s="1172"/>
      <c r="Q42" s="644"/>
      <c r="R42" s="106"/>
      <c r="S42" s="64">
        <f>IF(P42=0,0,Q42/P42)</f>
        <v>0</v>
      </c>
      <c r="U42" s="24"/>
    </row>
    <row r="43" spans="1:21" x14ac:dyDescent="0.35">
      <c r="A43" s="9168"/>
      <c r="B43" s="141" t="s">
        <v>535</v>
      </c>
      <c r="C43" s="141"/>
      <c r="D43" s="197"/>
      <c r="E43" s="143"/>
      <c r="F43" s="102"/>
      <c r="G43" s="103"/>
      <c r="H43" s="103"/>
      <c r="I43" s="252"/>
      <c r="K43" s="102"/>
      <c r="L43" s="103"/>
      <c r="M43" s="103"/>
      <c r="N43" s="252"/>
      <c r="P43" s="1375"/>
      <c r="Q43" s="653"/>
      <c r="R43" s="103"/>
      <c r="S43" s="252"/>
      <c r="U43" s="26"/>
    </row>
    <row r="44" spans="1:21" ht="15.75" customHeight="1" x14ac:dyDescent="0.35">
      <c r="A44" s="9168"/>
      <c r="B44" s="240"/>
      <c r="C44" s="240" t="s">
        <v>532</v>
      </c>
      <c r="D44" s="197"/>
      <c r="F44" s="112"/>
      <c r="G44" s="113"/>
      <c r="H44" s="106"/>
      <c r="I44" s="64">
        <f t="shared" ref="I44:I50" si="7">IF(F44=0,0,G44/F44)</f>
        <v>0</v>
      </c>
      <c r="K44" s="112"/>
      <c r="L44" s="113"/>
      <c r="M44" s="106"/>
      <c r="N44" s="64">
        <f t="shared" ref="N44:N50" si="8">IF(K44=0,0,L44/K44)</f>
        <v>0</v>
      </c>
      <c r="P44" s="593"/>
      <c r="Q44" s="636"/>
      <c r="R44" s="106"/>
      <c r="S44" s="64">
        <f t="shared" ref="S44:S50" si="9">IF(P44=0,0,Q44/P44)</f>
        <v>0</v>
      </c>
      <c r="U44" s="257"/>
    </row>
    <row r="45" spans="1:21" x14ac:dyDescent="0.35">
      <c r="A45" s="9168"/>
      <c r="B45" s="240"/>
      <c r="C45" s="240" t="s">
        <v>533</v>
      </c>
      <c r="D45" s="197"/>
      <c r="F45" s="117"/>
      <c r="G45" s="115"/>
      <c r="H45" s="106"/>
      <c r="I45" s="64">
        <f t="shared" si="7"/>
        <v>0</v>
      </c>
      <c r="K45" s="117"/>
      <c r="L45" s="115"/>
      <c r="M45" s="106"/>
      <c r="N45" s="64">
        <f t="shared" si="8"/>
        <v>0</v>
      </c>
      <c r="P45" s="595"/>
      <c r="Q45" s="594"/>
      <c r="R45" s="106"/>
      <c r="S45" s="64">
        <f t="shared" si="9"/>
        <v>0</v>
      </c>
      <c r="U45" s="26"/>
    </row>
    <row r="46" spans="1:21" x14ac:dyDescent="0.35">
      <c r="A46" s="9168"/>
      <c r="B46" s="240"/>
      <c r="C46" s="240" t="s">
        <v>534</v>
      </c>
      <c r="D46" s="197"/>
      <c r="F46" s="117"/>
      <c r="G46" s="115"/>
      <c r="H46" s="106"/>
      <c r="I46" s="64">
        <f t="shared" si="7"/>
        <v>0</v>
      </c>
      <c r="K46" s="117"/>
      <c r="L46" s="115"/>
      <c r="M46" s="106"/>
      <c r="N46" s="64">
        <f t="shared" si="8"/>
        <v>0</v>
      </c>
      <c r="P46" s="595"/>
      <c r="Q46" s="594"/>
      <c r="R46" s="106"/>
      <c r="S46" s="64">
        <f t="shared" si="9"/>
        <v>0</v>
      </c>
      <c r="U46" s="26"/>
    </row>
    <row r="47" spans="1:21" x14ac:dyDescent="0.35">
      <c r="A47" s="9168"/>
      <c r="B47" s="240"/>
      <c r="C47" s="240" t="s">
        <v>536</v>
      </c>
      <c r="D47" s="197"/>
      <c r="F47" s="117"/>
      <c r="G47" s="115"/>
      <c r="H47" s="106"/>
      <c r="I47" s="64">
        <f t="shared" si="7"/>
        <v>0</v>
      </c>
      <c r="K47" s="117"/>
      <c r="L47" s="115"/>
      <c r="M47" s="106"/>
      <c r="N47" s="64">
        <f t="shared" si="8"/>
        <v>0</v>
      </c>
      <c r="P47" s="595"/>
      <c r="Q47" s="594"/>
      <c r="R47" s="106"/>
      <c r="S47" s="64">
        <f t="shared" si="9"/>
        <v>0</v>
      </c>
      <c r="U47" s="26"/>
    </row>
    <row r="48" spans="1:21" x14ac:dyDescent="0.35">
      <c r="A48" s="9168"/>
      <c r="B48" s="240"/>
      <c r="C48" s="240" t="s">
        <v>537</v>
      </c>
      <c r="D48" s="197"/>
      <c r="F48" s="117"/>
      <c r="G48" s="115"/>
      <c r="H48" s="106"/>
      <c r="I48" s="64">
        <f t="shared" si="7"/>
        <v>0</v>
      </c>
      <c r="K48" s="117"/>
      <c r="L48" s="115"/>
      <c r="M48" s="106"/>
      <c r="N48" s="64">
        <f t="shared" si="8"/>
        <v>0</v>
      </c>
      <c r="P48" s="595"/>
      <c r="Q48" s="594"/>
      <c r="R48" s="106"/>
      <c r="S48" s="64">
        <f t="shared" si="9"/>
        <v>0</v>
      </c>
      <c r="U48" s="26"/>
    </row>
    <row r="49" spans="1:21" x14ac:dyDescent="0.35">
      <c r="A49" s="9168"/>
      <c r="B49" s="240"/>
      <c r="C49" s="240" t="s">
        <v>538</v>
      </c>
      <c r="D49" s="197"/>
      <c r="F49" s="117"/>
      <c r="G49" s="115"/>
      <c r="H49" s="106"/>
      <c r="I49" s="64">
        <f t="shared" si="7"/>
        <v>0</v>
      </c>
      <c r="K49" s="117"/>
      <c r="L49" s="115"/>
      <c r="M49" s="106"/>
      <c r="N49" s="64">
        <f t="shared" si="8"/>
        <v>0</v>
      </c>
      <c r="P49" s="595"/>
      <c r="Q49" s="594"/>
      <c r="R49" s="106"/>
      <c r="S49" s="64">
        <f t="shared" si="9"/>
        <v>0</v>
      </c>
      <c r="U49" s="26"/>
    </row>
    <row r="50" spans="1:21" x14ac:dyDescent="0.35">
      <c r="A50" s="9168"/>
      <c r="B50" s="241"/>
      <c r="C50" s="241" t="s">
        <v>539</v>
      </c>
      <c r="D50" s="209"/>
      <c r="F50" s="131"/>
      <c r="G50" s="132"/>
      <c r="H50" s="216"/>
      <c r="I50" s="133">
        <f t="shared" si="7"/>
        <v>0</v>
      </c>
      <c r="K50" s="131"/>
      <c r="L50" s="132"/>
      <c r="M50" s="216"/>
      <c r="N50" s="133">
        <f t="shared" si="8"/>
        <v>0</v>
      </c>
      <c r="P50" s="602"/>
      <c r="Q50" s="603"/>
      <c r="R50" s="216"/>
      <c r="S50" s="133">
        <f t="shared" si="9"/>
        <v>0</v>
      </c>
      <c r="U50" s="26"/>
    </row>
    <row r="51" spans="1:21" x14ac:dyDescent="0.35">
      <c r="A51" s="9168"/>
      <c r="B51" s="271" t="s">
        <v>540</v>
      </c>
      <c r="C51" s="271"/>
      <c r="D51" s="184"/>
      <c r="E51" s="141"/>
      <c r="F51" s="245"/>
      <c r="G51" s="106"/>
      <c r="H51" s="106"/>
      <c r="I51" s="267"/>
      <c r="K51" s="245"/>
      <c r="L51" s="106"/>
      <c r="M51" s="106"/>
      <c r="N51" s="267"/>
      <c r="P51" s="1361"/>
      <c r="Q51" s="645"/>
      <c r="R51" s="106"/>
      <c r="S51" s="267"/>
      <c r="U51" s="18"/>
    </row>
    <row r="52" spans="1:21" x14ac:dyDescent="0.35">
      <c r="A52" s="9168"/>
      <c r="B52" s="240"/>
      <c r="C52" s="240" t="s">
        <v>532</v>
      </c>
      <c r="D52" s="197">
        <v>6</v>
      </c>
      <c r="F52" s="1172"/>
      <c r="G52" s="644"/>
      <c r="H52" s="259"/>
      <c r="I52" s="64">
        <f>IF(F52=0,0,G52/F52)</f>
        <v>0</v>
      </c>
      <c r="K52" s="1172"/>
      <c r="L52" s="644"/>
      <c r="M52" s="259"/>
      <c r="N52" s="64">
        <f>IF(K52=0,0,L52/K52)</f>
        <v>0</v>
      </c>
      <c r="P52" s="1353"/>
      <c r="Q52" s="644"/>
      <c r="R52" s="3969"/>
      <c r="S52" s="64">
        <f>IF(P52=0,0,Q52/P52)</f>
        <v>0</v>
      </c>
      <c r="U52" s="26"/>
    </row>
    <row r="53" spans="1:21" x14ac:dyDescent="0.35">
      <c r="A53" s="9168"/>
      <c r="B53" s="240"/>
      <c r="C53" s="240" t="s">
        <v>533</v>
      </c>
      <c r="D53" s="197"/>
      <c r="F53" s="1172"/>
      <c r="G53" s="644"/>
      <c r="H53" s="106"/>
      <c r="I53" s="64">
        <f>IF(F53=0,0,G53/F53)</f>
        <v>0</v>
      </c>
      <c r="K53" s="595"/>
      <c r="L53" s="594"/>
      <c r="M53" s="106"/>
      <c r="N53" s="64">
        <f>IF(K53=0,0,L53/K53)</f>
        <v>0</v>
      </c>
      <c r="P53" s="1154"/>
      <c r="Q53" s="644"/>
      <c r="R53" s="106"/>
      <c r="S53" s="64">
        <f>IF(P53=0,0,Q53/P53)</f>
        <v>0</v>
      </c>
      <c r="U53" s="26"/>
    </row>
    <row r="54" spans="1:21" x14ac:dyDescent="0.35">
      <c r="A54" s="9168"/>
      <c r="B54" s="240"/>
      <c r="C54" s="240" t="s">
        <v>534</v>
      </c>
      <c r="D54" s="197"/>
      <c r="F54" s="1172"/>
      <c r="G54" s="644"/>
      <c r="H54" s="106"/>
      <c r="I54" s="64">
        <f>IF(F54=0,0,G54/F54)</f>
        <v>0</v>
      </c>
      <c r="K54" s="1172"/>
      <c r="L54" s="644"/>
      <c r="M54" s="106"/>
      <c r="N54" s="64">
        <f>IF(K54=0,0,L54/K54)</f>
        <v>0</v>
      </c>
      <c r="P54" s="1172"/>
      <c r="Q54" s="644"/>
      <c r="R54" s="106"/>
      <c r="S54" s="64">
        <f>IF(P54=0,0,Q54/P54)</f>
        <v>0</v>
      </c>
      <c r="U54" s="26"/>
    </row>
    <row r="55" spans="1:21" x14ac:dyDescent="0.35">
      <c r="A55" s="9168"/>
      <c r="B55" s="240"/>
      <c r="C55" s="240" t="s">
        <v>536</v>
      </c>
      <c r="D55" s="197"/>
      <c r="F55" s="1172"/>
      <c r="G55" s="644"/>
      <c r="H55" s="106"/>
      <c r="I55" s="64">
        <f>IF(F55=0,0,G55/F55)</f>
        <v>0</v>
      </c>
      <c r="K55" s="1172"/>
      <c r="L55" s="644"/>
      <c r="M55" s="106"/>
      <c r="N55" s="64">
        <f>IF(K55=0,0,L55/K55)</f>
        <v>0</v>
      </c>
      <c r="P55" s="1172"/>
      <c r="Q55" s="644"/>
      <c r="R55" s="106"/>
      <c r="S55" s="64">
        <f>IF(P55=0,0,Q55/P55)</f>
        <v>0</v>
      </c>
      <c r="U55" s="26"/>
    </row>
    <row r="56" spans="1:21" x14ac:dyDescent="0.35">
      <c r="A56" s="9168"/>
      <c r="B56" s="240"/>
      <c r="C56" s="240" t="s">
        <v>537</v>
      </c>
      <c r="D56" s="197"/>
      <c r="F56" s="1172"/>
      <c r="G56" s="644"/>
      <c r="H56" s="106"/>
      <c r="I56" s="64">
        <f>IF(F56=0,0,G56/F56)</f>
        <v>0</v>
      </c>
      <c r="K56" s="1172"/>
      <c r="L56" s="644"/>
      <c r="M56" s="106"/>
      <c r="N56" s="64">
        <f>IF(K56=0,0,L56/K56)</f>
        <v>0</v>
      </c>
      <c r="P56" s="242"/>
      <c r="Q56" s="243"/>
      <c r="R56" s="106"/>
      <c r="S56" s="64">
        <f>IF(P56=0,0,Q56/P56)</f>
        <v>0</v>
      </c>
      <c r="U56" s="26"/>
    </row>
    <row r="57" spans="1:21" x14ac:dyDescent="0.35">
      <c r="A57" s="9168"/>
      <c r="B57" s="240"/>
      <c r="C57" s="240" t="s">
        <v>538</v>
      </c>
      <c r="D57" s="197"/>
      <c r="F57" s="1172"/>
      <c r="G57" s="644"/>
      <c r="H57" s="106"/>
      <c r="I57" s="64"/>
      <c r="K57" s="1172"/>
      <c r="L57" s="644"/>
      <c r="M57" s="106"/>
      <c r="N57" s="64"/>
      <c r="P57" s="242"/>
      <c r="Q57" s="243"/>
      <c r="R57" s="106"/>
      <c r="S57" s="64"/>
      <c r="U57" s="26"/>
    </row>
    <row r="58" spans="1:21" x14ac:dyDescent="0.35">
      <c r="A58" s="9168"/>
      <c r="B58" s="240"/>
      <c r="C58" s="240" t="s">
        <v>539</v>
      </c>
      <c r="D58" s="197"/>
      <c r="F58" s="1172"/>
      <c r="G58" s="644"/>
      <c r="H58" s="106"/>
      <c r="I58" s="64">
        <f>IF(F58=0,0,G58/F58)</f>
        <v>0</v>
      </c>
      <c r="K58" s="1172"/>
      <c r="L58" s="644"/>
      <c r="M58" s="106"/>
      <c r="N58" s="64">
        <f>IF(K58=0,0,L58/K58)</f>
        <v>0</v>
      </c>
      <c r="P58" s="242"/>
      <c r="Q58" s="243"/>
      <c r="R58" s="106"/>
      <c r="S58" s="64">
        <f>IF(P58=0,0,Q58/P58)</f>
        <v>0</v>
      </c>
      <c r="U58" s="26"/>
    </row>
    <row r="59" spans="1:21" x14ac:dyDescent="0.35">
      <c r="A59" s="9168"/>
      <c r="B59" s="250"/>
      <c r="C59" s="250" t="s">
        <v>704</v>
      </c>
      <c r="D59" s="209"/>
      <c r="F59" s="1172"/>
      <c r="G59" s="644"/>
      <c r="H59" s="106"/>
      <c r="I59" s="64">
        <f>IF(F59=0,0,G59/F59)</f>
        <v>0</v>
      </c>
      <c r="K59" s="1172"/>
      <c r="L59" s="644"/>
      <c r="M59" s="106"/>
      <c r="N59" s="64">
        <f>IF(K59=0,0,L59/K59)</f>
        <v>0</v>
      </c>
      <c r="P59" s="242"/>
      <c r="Q59" s="243"/>
      <c r="R59" s="106"/>
      <c r="S59" s="64">
        <f>IF(P59=0,0,Q59/P59)</f>
        <v>0</v>
      </c>
      <c r="U59" s="24"/>
    </row>
    <row r="60" spans="1:21" x14ac:dyDescent="0.35">
      <c r="A60" s="9168"/>
      <c r="B60" s="271" t="s">
        <v>552</v>
      </c>
      <c r="C60" s="271"/>
      <c r="D60" s="184"/>
      <c r="E60" s="143"/>
      <c r="F60" s="1375"/>
      <c r="G60" s="653"/>
      <c r="H60" s="103"/>
      <c r="I60" s="228"/>
      <c r="K60" s="1375"/>
      <c r="L60" s="653"/>
      <c r="M60" s="103"/>
      <c r="N60" s="228"/>
      <c r="P60" s="102"/>
      <c r="Q60" s="103"/>
      <c r="R60" s="103"/>
      <c r="S60" s="228"/>
      <c r="U60" s="18"/>
    </row>
    <row r="61" spans="1:21" x14ac:dyDescent="0.35">
      <c r="A61" s="9168"/>
      <c r="B61" s="272"/>
      <c r="C61" s="272" t="s">
        <v>980</v>
      </c>
      <c r="D61" s="197"/>
      <c r="F61" s="595"/>
      <c r="G61" s="594"/>
      <c r="H61" s="106"/>
      <c r="I61" s="64">
        <f>IF(F61=0,0,G61/F61)</f>
        <v>0</v>
      </c>
      <c r="K61" s="595"/>
      <c r="L61" s="594"/>
      <c r="M61" s="106"/>
      <c r="N61" s="64">
        <f>IF(K61=0,0,L61/K61)</f>
        <v>0</v>
      </c>
      <c r="P61" s="117"/>
      <c r="Q61" s="115"/>
      <c r="R61" s="106"/>
      <c r="S61" s="64">
        <f>IF(P61=0,0,Q61/P61)</f>
        <v>0</v>
      </c>
      <c r="U61" s="26"/>
    </row>
    <row r="62" spans="1:21" x14ac:dyDescent="0.35">
      <c r="A62" s="9168"/>
      <c r="B62" s="277"/>
      <c r="C62" s="277" t="s">
        <v>555</v>
      </c>
      <c r="D62" s="209"/>
      <c r="F62" s="1381"/>
      <c r="G62" s="5401"/>
      <c r="H62" s="284"/>
      <c r="I62" s="133"/>
      <c r="K62" s="1381"/>
      <c r="L62" s="5401"/>
      <c r="M62" s="284"/>
      <c r="N62" s="133"/>
      <c r="P62" s="283"/>
      <c r="Q62" s="667"/>
      <c r="R62" s="284"/>
      <c r="S62" s="133"/>
      <c r="U62" s="24"/>
    </row>
    <row r="63" spans="1:21" ht="15" customHeight="1" x14ac:dyDescent="0.35">
      <c r="A63" s="9168"/>
      <c r="B63" s="287" t="s">
        <v>556</v>
      </c>
      <c r="C63" s="288"/>
      <c r="D63" s="184"/>
      <c r="E63" s="143"/>
      <c r="F63" s="2940"/>
      <c r="G63" s="2941"/>
      <c r="H63" s="520"/>
      <c r="I63" s="293"/>
      <c r="K63" s="2940"/>
      <c r="L63" s="2941"/>
      <c r="M63" s="520"/>
      <c r="N63" s="293"/>
      <c r="P63" s="1388"/>
      <c r="Q63" s="520"/>
      <c r="R63" s="520"/>
      <c r="S63" s="293"/>
      <c r="U63" s="18"/>
    </row>
    <row r="64" spans="1:21" x14ac:dyDescent="0.35">
      <c r="A64" s="9168"/>
      <c r="B64" s="302"/>
      <c r="C64" s="59" t="s">
        <v>532</v>
      </c>
      <c r="D64" s="197"/>
      <c r="F64" s="298"/>
      <c r="G64" s="1988"/>
      <c r="H64" s="524"/>
      <c r="I64" s="297">
        <f>IF(F64=0,0,G64/F64)</f>
        <v>0</v>
      </c>
      <c r="K64" s="298"/>
      <c r="L64" s="1988"/>
      <c r="M64" s="524"/>
      <c r="N64" s="297">
        <f>IF(K64=0,0,L64/K64)</f>
        <v>0</v>
      </c>
      <c r="P64" s="62"/>
      <c r="Q64" s="63"/>
      <c r="R64" s="524"/>
      <c r="S64" s="297">
        <f>IF(P64=0,0,Q64/P64)</f>
        <v>0</v>
      </c>
      <c r="U64" s="26"/>
    </row>
    <row r="65" spans="1:21" x14ac:dyDescent="0.35">
      <c r="A65" s="9168"/>
      <c r="B65" s="302"/>
      <c r="C65" s="59" t="s">
        <v>533</v>
      </c>
      <c r="D65" s="197"/>
      <c r="F65" s="62"/>
      <c r="G65" s="63"/>
      <c r="H65" s="525"/>
      <c r="I65" s="297">
        <f>IF(F65=0,0,G65/F65)</f>
        <v>0</v>
      </c>
      <c r="K65" s="298"/>
      <c r="L65" s="1988"/>
      <c r="M65" s="525"/>
      <c r="N65" s="297">
        <f>IF(K65=0,0,L65/K65)</f>
        <v>0</v>
      </c>
      <c r="P65" s="62"/>
      <c r="Q65" s="63"/>
      <c r="R65" s="525"/>
      <c r="S65" s="297">
        <f>IF(P65=0,0,Q65/P65)</f>
        <v>0</v>
      </c>
      <c r="U65" s="26"/>
    </row>
    <row r="66" spans="1:21" x14ac:dyDescent="0.35">
      <c r="A66" s="9168"/>
      <c r="B66" s="305"/>
      <c r="C66" s="59" t="s">
        <v>534</v>
      </c>
      <c r="D66" s="197"/>
      <c r="F66" s="62"/>
      <c r="G66" s="63"/>
      <c r="H66" s="525"/>
      <c r="I66" s="297">
        <f>IF(F66=0,0,G66/F66)</f>
        <v>0</v>
      </c>
      <c r="K66" s="62"/>
      <c r="L66" s="63"/>
      <c r="M66" s="525"/>
      <c r="N66" s="297">
        <f>IF(K66=0,0,L66/K66)</f>
        <v>0</v>
      </c>
      <c r="P66" s="62"/>
      <c r="Q66" s="63"/>
      <c r="R66" s="525"/>
      <c r="S66" s="297">
        <f>IF(P66=0,0,Q66/P66)</f>
        <v>0</v>
      </c>
      <c r="U66" s="26"/>
    </row>
    <row r="67" spans="1:21" x14ac:dyDescent="0.35">
      <c r="A67" s="9169"/>
      <c r="B67" s="306"/>
      <c r="C67" s="86" t="s">
        <v>536</v>
      </c>
      <c r="D67" s="209"/>
      <c r="F67" s="89"/>
      <c r="G67" s="90"/>
      <c r="H67" s="96"/>
      <c r="I67" s="307">
        <f>IF(F67=0,0,G67/F67)</f>
        <v>0</v>
      </c>
      <c r="K67" s="89"/>
      <c r="L67" s="90"/>
      <c r="M67" s="96"/>
      <c r="N67" s="307">
        <f>IF(K67=0,0,L67/K67)</f>
        <v>0</v>
      </c>
      <c r="P67" s="89"/>
      <c r="Q67" s="90"/>
      <c r="R67" s="96"/>
      <c r="S67" s="307">
        <f>IF(P67=0,0,Q67/P67)</f>
        <v>0</v>
      </c>
      <c r="U67" s="24"/>
    </row>
    <row r="68" spans="1:21" x14ac:dyDescent="0.35">
      <c r="A68" s="310"/>
      <c r="B68" s="310"/>
      <c r="F68" s="106"/>
      <c r="G68" s="106"/>
      <c r="H68" s="106"/>
      <c r="I68" s="311"/>
      <c r="K68" s="106"/>
      <c r="L68" s="106"/>
      <c r="M68" s="106"/>
      <c r="N68" s="311"/>
      <c r="P68" s="106"/>
      <c r="Q68" s="106"/>
      <c r="R68" s="106"/>
      <c r="S68" s="311"/>
    </row>
    <row r="69" spans="1:21" x14ac:dyDescent="0.35">
      <c r="A69" s="9167" t="s">
        <v>566</v>
      </c>
      <c r="B69" s="139" t="s">
        <v>567</v>
      </c>
      <c r="C69" s="348"/>
      <c r="D69" s="49"/>
      <c r="E69" s="141"/>
      <c r="F69" s="102"/>
      <c r="G69" s="103"/>
      <c r="H69" s="103"/>
      <c r="I69" s="228"/>
      <c r="K69" s="102"/>
      <c r="L69" s="103"/>
      <c r="M69" s="103"/>
      <c r="N69" s="228"/>
      <c r="P69" s="102"/>
      <c r="Q69" s="103"/>
      <c r="R69" s="103"/>
      <c r="S69" s="228"/>
    </row>
    <row r="70" spans="1:21" x14ac:dyDescent="0.35">
      <c r="A70" s="9168"/>
      <c r="B70" s="6082"/>
      <c r="C70"/>
      <c r="D70" s="110" t="s">
        <v>568</v>
      </c>
      <c r="F70" s="351">
        <f>SUM(F32:F37)-SUM(F40:F42)</f>
        <v>2085.5</v>
      </c>
      <c r="G70" s="352">
        <f>SUM(G32:G37)-SUM(G40:G42)</f>
        <v>0</v>
      </c>
      <c r="H70" s="352"/>
      <c r="I70" s="246"/>
      <c r="K70" s="351">
        <f>SUM(K32:K37)-SUM(K40:K42)</f>
        <v>13762.277333000002</v>
      </c>
      <c r="L70" s="352">
        <f>SUM(L32:L37)-SUM(L40:L42)</f>
        <v>12256.354023393978</v>
      </c>
      <c r="M70" s="352"/>
      <c r="N70" s="297">
        <f>IF(K70=0,0,L70/K70)</f>
        <v>0.89057600910315682</v>
      </c>
      <c r="P70" s="351">
        <f>SUM(P32:P37)-SUM(P40:P42)</f>
        <v>18423.470243</v>
      </c>
      <c r="Q70" s="352">
        <f>SUM(Q32:Q37)-SUM(Q40:Q42)</f>
        <v>15707.308925875597</v>
      </c>
      <c r="R70" s="352"/>
      <c r="S70" s="246"/>
    </row>
    <row r="71" spans="1:21" x14ac:dyDescent="0.35">
      <c r="A71" s="9168"/>
      <c r="B71" s="6082"/>
      <c r="C71"/>
      <c r="D71" s="110" t="s">
        <v>569</v>
      </c>
      <c r="F71" s="351">
        <f>SUM(F44:F50)</f>
        <v>0</v>
      </c>
      <c r="G71" s="352">
        <f>SUM(G44:G50)</f>
        <v>0</v>
      </c>
      <c r="H71" s="352"/>
      <c r="I71" s="246"/>
      <c r="K71" s="351">
        <f>SUM(K44:K50)</f>
        <v>0</v>
      </c>
      <c r="L71" s="352">
        <f>SUM(L44:L50)</f>
        <v>0</v>
      </c>
      <c r="M71" s="352"/>
      <c r="N71" s="297"/>
      <c r="P71" s="351">
        <f>SUM(P44:P50)</f>
        <v>0</v>
      </c>
      <c r="Q71" s="352">
        <f>SUM(Q44:Q50)</f>
        <v>0</v>
      </c>
      <c r="R71" s="352"/>
      <c r="S71" s="246"/>
    </row>
    <row r="72" spans="1:21" x14ac:dyDescent="0.35">
      <c r="A72" s="9168"/>
      <c r="B72" s="6082"/>
      <c r="C72"/>
      <c r="D72" s="110" t="s">
        <v>570</v>
      </c>
      <c r="F72" s="351">
        <f>SUM(F52:F59)*F27</f>
        <v>0</v>
      </c>
      <c r="G72" s="352">
        <f>SUM(G52:G59)*G27</f>
        <v>0</v>
      </c>
      <c r="H72" s="352"/>
      <c r="I72" s="246"/>
      <c r="K72" s="351">
        <f>SUM(K52:K59)*K27</f>
        <v>0</v>
      </c>
      <c r="L72" s="352">
        <f>SUM(L52:L59)*L27</f>
        <v>0</v>
      </c>
      <c r="M72" s="352"/>
      <c r="N72" s="297"/>
      <c r="P72" s="351">
        <f>SUM(P52:P59)*P27</f>
        <v>0</v>
      </c>
      <c r="Q72" s="352">
        <f>SUM(Q52:Q59)*Q27</f>
        <v>0</v>
      </c>
      <c r="R72" s="352"/>
      <c r="S72" s="246"/>
    </row>
    <row r="73" spans="1:21" x14ac:dyDescent="0.35">
      <c r="A73" s="9168"/>
      <c r="B73" s="6082"/>
      <c r="C73"/>
      <c r="D73" s="110" t="s">
        <v>552</v>
      </c>
      <c r="F73" s="351">
        <f>F61</f>
        <v>0</v>
      </c>
      <c r="G73" s="352">
        <f>G61</f>
        <v>0</v>
      </c>
      <c r="H73" s="352"/>
      <c r="I73" s="246"/>
      <c r="K73" s="351">
        <f>K61</f>
        <v>0</v>
      </c>
      <c r="L73" s="352">
        <f>L61</f>
        <v>0</v>
      </c>
      <c r="M73" s="352"/>
      <c r="N73" s="297"/>
      <c r="P73" s="351">
        <f>P61</f>
        <v>0</v>
      </c>
      <c r="Q73" s="352">
        <f>Q61</f>
        <v>0</v>
      </c>
      <c r="R73" s="352"/>
      <c r="S73" s="246"/>
    </row>
    <row r="74" spans="1:21" x14ac:dyDescent="0.35">
      <c r="A74" s="9168"/>
      <c r="B74" s="6082"/>
      <c r="C74"/>
      <c r="D74" s="356" t="s">
        <v>571</v>
      </c>
      <c r="E74" s="143"/>
      <c r="F74" s="359">
        <f>SUM(F70:F73)</f>
        <v>2085.5</v>
      </c>
      <c r="G74" s="360">
        <f>SUM(G70:G73)</f>
        <v>0</v>
      </c>
      <c r="H74" s="360"/>
      <c r="I74" s="361"/>
      <c r="K74" s="359">
        <f>SUM(K70:K73)</f>
        <v>13762.277333000002</v>
      </c>
      <c r="L74" s="360">
        <f>SUM(L70:L73)</f>
        <v>12256.354023393978</v>
      </c>
      <c r="M74" s="360"/>
      <c r="N74" s="297">
        <f t="shared" ref="N74:N77" si="10">IF(K74=0,0,L74/K74)</f>
        <v>0.89057600910315682</v>
      </c>
      <c r="P74" s="359">
        <f>SUM(P70:P73)</f>
        <v>18423.470243</v>
      </c>
      <c r="Q74" s="360">
        <f>SUM(Q70:Q73)</f>
        <v>15707.308925875597</v>
      </c>
      <c r="R74" s="360"/>
      <c r="S74" s="361"/>
    </row>
    <row r="75" spans="1:21" ht="15.5" x14ac:dyDescent="0.35">
      <c r="A75" s="9168"/>
      <c r="B75" s="6082"/>
      <c r="C75"/>
      <c r="D75" s="356" t="s">
        <v>572</v>
      </c>
      <c r="F75" s="368"/>
      <c r="G75" s="369"/>
      <c r="H75" s="369"/>
      <c r="I75" s="370"/>
      <c r="K75" s="368">
        <f t="shared" ref="K75:L75" si="11">K74/SUM(K16:K19)</f>
        <v>0.12050292305200208</v>
      </c>
      <c r="L75" s="369">
        <f t="shared" si="11"/>
        <v>0.14672275926129677</v>
      </c>
      <c r="M75" s="369"/>
      <c r="N75" s="297">
        <f t="shared" si="10"/>
        <v>1.2175867235849518</v>
      </c>
      <c r="P75" s="368">
        <f t="shared" ref="P75:Q75" si="12">P74/SUM(P16:P19)</f>
        <v>0.17000451020161061</v>
      </c>
      <c r="Q75" s="369">
        <f t="shared" si="12"/>
        <v>0.1962072992688407</v>
      </c>
      <c r="R75" s="369"/>
      <c r="S75" s="370"/>
    </row>
    <row r="76" spans="1:21" x14ac:dyDescent="0.35">
      <c r="A76" s="9168"/>
      <c r="B76" s="7837"/>
      <c r="C76" s="1053"/>
      <c r="D76" s="296" t="s">
        <v>573</v>
      </c>
      <c r="E76" s="374"/>
      <c r="F76" s="7838">
        <f>F33+F36+F72</f>
        <v>0</v>
      </c>
      <c r="G76" s="395">
        <f>G33+G36+G72</f>
        <v>0</v>
      </c>
      <c r="I76" s="229"/>
      <c r="K76" s="7838">
        <f t="shared" ref="K76:L76" si="13">K33+K36+K72</f>
        <v>11399.937408000002</v>
      </c>
      <c r="L76" s="395">
        <f t="shared" si="13"/>
        <v>10985.924241000001</v>
      </c>
      <c r="N76" s="297">
        <f t="shared" si="10"/>
        <v>0.96368285612608151</v>
      </c>
      <c r="P76" s="7838">
        <f t="shared" ref="P76:Q76" si="14">P33+P36+P72</f>
        <v>12511.624871</v>
      </c>
      <c r="Q76" s="7839">
        <f t="shared" si="14"/>
        <v>12057.238390463395</v>
      </c>
      <c r="S76" s="229"/>
    </row>
    <row r="77" spans="1:21" x14ac:dyDescent="0.35">
      <c r="A77" s="9168"/>
      <c r="B77" s="7840"/>
      <c r="C77" s="1070"/>
      <c r="D77" s="59" t="s">
        <v>574</v>
      </c>
      <c r="E77" s="392"/>
      <c r="F77" s="7838">
        <f>F34+F35</f>
        <v>2085.5</v>
      </c>
      <c r="G77" s="395">
        <f>G34+G35</f>
        <v>0</v>
      </c>
      <c r="I77" s="229"/>
      <c r="K77" s="7838">
        <f t="shared" ref="K77:L77" si="15">K34+K35</f>
        <v>2362.3399250000002</v>
      </c>
      <c r="L77" s="395">
        <f t="shared" si="15"/>
        <v>1270.4297823939769</v>
      </c>
      <c r="N77" s="297">
        <f t="shared" si="10"/>
        <v>0.53778449449605636</v>
      </c>
      <c r="P77" s="7838">
        <f t="shared" ref="P77:Q77" si="16">P34+P35</f>
        <v>5911.8453719999998</v>
      </c>
      <c r="Q77" s="7839">
        <f t="shared" si="16"/>
        <v>3650.0705354122024</v>
      </c>
      <c r="S77" s="229"/>
    </row>
    <row r="78" spans="1:21" x14ac:dyDescent="0.35">
      <c r="A78" s="9168"/>
      <c r="B78" s="7840"/>
      <c r="C78" s="1070"/>
      <c r="D78" s="59" t="s">
        <v>575</v>
      </c>
      <c r="E78" s="392"/>
      <c r="F78" s="405">
        <f>F77/SUM(F18:F19)</f>
        <v>6.7592532572762043E-2</v>
      </c>
      <c r="G78" s="7841">
        <f>G77/SUM(G18:G19)</f>
        <v>0</v>
      </c>
      <c r="I78" s="229"/>
      <c r="K78" s="405">
        <f t="shared" ref="K78:L78" si="17">K77/SUM(K18:K19)</f>
        <v>4.80423803180672E-2</v>
      </c>
      <c r="L78" s="7841">
        <f t="shared" si="17"/>
        <v>3.5961796615737888E-2</v>
      </c>
      <c r="N78" s="297"/>
      <c r="P78" s="405">
        <f t="shared" ref="P78:Q78" si="18">P77/SUM(P18:P19)</f>
        <v>0.10523154153985215</v>
      </c>
      <c r="Q78" s="7841">
        <f t="shared" si="18"/>
        <v>8.8233588495206544E-2</v>
      </c>
      <c r="S78" s="229"/>
    </row>
    <row r="79" spans="1:21" x14ac:dyDescent="0.35">
      <c r="A79" s="9168"/>
      <c r="B79" s="7840"/>
      <c r="C79" s="1070"/>
      <c r="D79" s="59" t="s">
        <v>576</v>
      </c>
      <c r="E79" s="392"/>
      <c r="F79" s="405">
        <f>F76/F16</f>
        <v>0</v>
      </c>
      <c r="G79" s="7841">
        <f>G76/G16</f>
        <v>0</v>
      </c>
      <c r="I79" s="229"/>
      <c r="K79" s="405">
        <f t="shared" ref="K79:L79" si="19">K76/K16</f>
        <v>0.17528926590297533</v>
      </c>
      <c r="L79" s="7841">
        <f t="shared" si="19"/>
        <v>0.22789113023323918</v>
      </c>
      <c r="N79" s="297"/>
      <c r="P79" s="405">
        <f t="shared" ref="P79:Q79" si="20">P76/P16</f>
        <v>0.23972729074388696</v>
      </c>
      <c r="Q79" s="7841">
        <f t="shared" si="20"/>
        <v>0.31166610775594228</v>
      </c>
      <c r="S79" s="229"/>
    </row>
    <row r="80" spans="1:21" x14ac:dyDescent="0.35">
      <c r="A80" s="9168"/>
      <c r="B80" s="7840"/>
      <c r="C80" s="1070"/>
      <c r="D80" s="59"/>
      <c r="E80" s="392"/>
      <c r="F80" s="394"/>
      <c r="G80" s="395"/>
      <c r="I80" s="229"/>
      <c r="K80" s="394"/>
      <c r="L80" s="395"/>
      <c r="N80" s="297"/>
      <c r="P80" s="394"/>
      <c r="Q80" s="395"/>
      <c r="S80" s="229"/>
    </row>
    <row r="81" spans="1:21" x14ac:dyDescent="0.35">
      <c r="A81" s="9168"/>
      <c r="B81" s="7840"/>
      <c r="C81" s="1070"/>
      <c r="D81" s="59" t="s">
        <v>577</v>
      </c>
      <c r="E81" s="392"/>
      <c r="F81" s="7842">
        <f>F74/F12</f>
        <v>3.384288333901303E-2</v>
      </c>
      <c r="G81" s="7843">
        <f>G74/G12</f>
        <v>0</v>
      </c>
      <c r="H81" s="1820"/>
      <c r="I81" s="1057"/>
      <c r="K81" s="7842">
        <f t="shared" ref="K81:L81" si="21">K74/K12</f>
        <v>0.21325622668670782</v>
      </c>
      <c r="L81" s="7843">
        <f t="shared" si="21"/>
        <v>0.24203228788243603</v>
      </c>
      <c r="M81" s="1820"/>
      <c r="N81" s="297"/>
      <c r="P81" s="7842">
        <f t="shared" ref="P81:Q81" si="22">P74/P12</f>
        <v>0.44036339195727298</v>
      </c>
      <c r="Q81" s="7843">
        <f t="shared" si="22"/>
        <v>0.47845615986825923</v>
      </c>
      <c r="R81" s="1820"/>
      <c r="S81" s="1057"/>
    </row>
    <row r="82" spans="1:21" x14ac:dyDescent="0.35">
      <c r="A82" s="9168"/>
      <c r="B82" s="7840"/>
      <c r="C82" s="1070"/>
      <c r="D82" s="59" t="s">
        <v>578</v>
      </c>
      <c r="E82" s="392"/>
      <c r="F82" s="7844">
        <f>F74-SUM(F64:F67)</f>
        <v>2085.5</v>
      </c>
      <c r="G82" s="7845">
        <f>G74-SUM(G64:G67)</f>
        <v>0</v>
      </c>
      <c r="H82" s="985"/>
      <c r="I82" s="246"/>
      <c r="K82" s="7844">
        <f t="shared" ref="K82:L82" si="23">K74-SUM(K64:K67)</f>
        <v>13762.277333000002</v>
      </c>
      <c r="L82" s="7845">
        <f t="shared" si="23"/>
        <v>12256.354023393978</v>
      </c>
      <c r="M82" s="985"/>
      <c r="N82" s="297"/>
      <c r="P82" s="7844">
        <f t="shared" ref="P82:Q82" si="24">P74-SUM(P64:P67)</f>
        <v>18423.470243</v>
      </c>
      <c r="Q82" s="7845">
        <f t="shared" si="24"/>
        <v>15707.308925875597</v>
      </c>
      <c r="S82" s="229"/>
    </row>
    <row r="83" spans="1:21" x14ac:dyDescent="0.35">
      <c r="A83" s="9168"/>
      <c r="B83" s="7840"/>
      <c r="C83" s="1070"/>
      <c r="D83" s="59" t="s">
        <v>579</v>
      </c>
      <c r="E83" s="392"/>
      <c r="F83" s="405">
        <f>F82/F12</f>
        <v>3.384288333901303E-2</v>
      </c>
      <c r="G83" s="406">
        <f>G82/G12</f>
        <v>0</v>
      </c>
      <c r="I83" s="229"/>
      <c r="K83" s="405">
        <f t="shared" ref="K83:L83" si="25">K82/K12</f>
        <v>0.21325622668670782</v>
      </c>
      <c r="L83" s="406">
        <f t="shared" si="25"/>
        <v>0.24203228788243603</v>
      </c>
      <c r="N83" s="297"/>
      <c r="P83" s="405">
        <f t="shared" ref="P83:Q83" si="26">P82/P12</f>
        <v>0.44036339195727298</v>
      </c>
      <c r="Q83" s="406">
        <f t="shared" si="26"/>
        <v>0.47845615986825923</v>
      </c>
      <c r="S83" s="392"/>
    </row>
    <row r="84" spans="1:21" x14ac:dyDescent="0.35">
      <c r="A84" s="9168"/>
      <c r="B84" s="7840"/>
      <c r="C84" s="1070"/>
      <c r="D84" s="59"/>
      <c r="E84" s="392"/>
      <c r="F84" s="394"/>
      <c r="G84" s="395"/>
      <c r="I84" s="229"/>
      <c r="K84" s="394"/>
      <c r="L84" s="395"/>
      <c r="N84" s="229"/>
      <c r="P84" s="394"/>
      <c r="Q84" s="395"/>
      <c r="S84" s="392"/>
    </row>
    <row r="85" spans="1:21" x14ac:dyDescent="0.35">
      <c r="A85" s="9168"/>
      <c r="B85" s="7840"/>
      <c r="C85" s="1070"/>
      <c r="D85" s="59" t="s">
        <v>580</v>
      </c>
      <c r="E85" s="424"/>
      <c r="F85" s="394"/>
      <c r="G85" s="395"/>
      <c r="I85" s="229"/>
      <c r="K85" s="394"/>
      <c r="L85" s="395"/>
      <c r="N85" s="229"/>
      <c r="P85" s="394"/>
      <c r="Q85" s="395"/>
      <c r="S85" s="392"/>
    </row>
    <row r="86" spans="1:21" x14ac:dyDescent="0.35">
      <c r="A86" s="9169"/>
      <c r="B86" s="7846"/>
      <c r="C86" s="1079"/>
      <c r="D86" s="86" t="s">
        <v>581</v>
      </c>
      <c r="E86" s="274"/>
      <c r="F86" s="704"/>
      <c r="G86" s="705"/>
      <c r="H86" s="1826"/>
      <c r="I86" s="706"/>
      <c r="K86" s="704"/>
      <c r="L86" s="705"/>
      <c r="M86" s="1826"/>
      <c r="N86" s="706"/>
      <c r="P86" s="704"/>
      <c r="Q86" s="705"/>
      <c r="R86" s="1696"/>
      <c r="S86" s="3864"/>
    </row>
    <row r="87" spans="1:21" s="462" customFormat="1" ht="12" x14ac:dyDescent="0.3">
      <c r="C87" s="456"/>
      <c r="D87" s="2"/>
      <c r="E87" s="456"/>
    </row>
    <row r="88" spans="1:21" s="462" customFormat="1" ht="12" x14ac:dyDescent="0.3">
      <c r="A88" s="455" t="s">
        <v>582</v>
      </c>
      <c r="B88" s="455"/>
      <c r="C88" s="456"/>
      <c r="D88" s="2"/>
      <c r="E88" s="456"/>
    </row>
    <row r="89" spans="1:21" s="462" customFormat="1" ht="12" customHeight="1" x14ac:dyDescent="0.3">
      <c r="A89" s="463">
        <v>1</v>
      </c>
      <c r="B89" s="464">
        <f>U13</f>
        <v>0</v>
      </c>
      <c r="D89" s="709"/>
      <c r="E89" s="466"/>
      <c r="U89" s="577"/>
    </row>
    <row r="90" spans="1:21" s="462" customFormat="1" ht="12" x14ac:dyDescent="0.3">
      <c r="A90" s="468">
        <v>2</v>
      </c>
      <c r="B90" s="469">
        <f>U16</f>
        <v>0</v>
      </c>
      <c r="D90" s="2"/>
      <c r="E90" s="456"/>
      <c r="U90" s="577"/>
    </row>
    <row r="91" spans="1:21" s="462" customFormat="1" ht="12" x14ac:dyDescent="0.3">
      <c r="A91" s="463">
        <v>3</v>
      </c>
      <c r="B91" s="469">
        <f>U20</f>
        <v>0</v>
      </c>
      <c r="D91" s="2"/>
      <c r="E91" s="456"/>
    </row>
    <row r="92" spans="1:21" s="462" customFormat="1" ht="12" x14ac:dyDescent="0.3">
      <c r="A92" s="468">
        <v>4</v>
      </c>
      <c r="B92" s="469">
        <f>U24</f>
        <v>0</v>
      </c>
      <c r="D92" s="2"/>
      <c r="E92" s="456"/>
    </row>
    <row r="93" spans="1:21" s="462" customFormat="1" ht="12" x14ac:dyDescent="0.3">
      <c r="A93" s="463">
        <v>5</v>
      </c>
      <c r="B93" s="469">
        <f>U25</f>
        <v>0</v>
      </c>
      <c r="D93" s="2"/>
      <c r="E93" s="456"/>
    </row>
    <row r="94" spans="1:21" s="462" customFormat="1" ht="12" x14ac:dyDescent="0.3">
      <c r="A94" s="468">
        <v>6</v>
      </c>
      <c r="B94" s="462">
        <f>U52</f>
        <v>0</v>
      </c>
      <c r="D94" s="2"/>
      <c r="E94" s="456"/>
    </row>
    <row r="95" spans="1:21" s="462" customFormat="1" ht="12" x14ac:dyDescent="0.3">
      <c r="A95" s="463">
        <v>7</v>
      </c>
      <c r="B95" s="469"/>
      <c r="D95" s="2"/>
      <c r="E95" s="456"/>
    </row>
    <row r="96" spans="1:21" s="462" customFormat="1" ht="12" x14ac:dyDescent="0.3">
      <c r="A96" s="468">
        <v>8</v>
      </c>
      <c r="B96" s="469"/>
      <c r="D96" s="2"/>
      <c r="E96" s="456"/>
    </row>
    <row r="97" spans="1:21" s="462" customFormat="1" ht="12" x14ac:dyDescent="0.3">
      <c r="A97" s="468"/>
      <c r="B97" s="469"/>
      <c r="D97" s="2"/>
      <c r="E97" s="456"/>
    </row>
    <row r="98" spans="1:21" s="462" customFormat="1" ht="12" x14ac:dyDescent="0.3">
      <c r="A98" s="468"/>
      <c r="B98" s="469"/>
      <c r="D98" s="2"/>
      <c r="E98" s="456"/>
    </row>
    <row r="99" spans="1:21" s="462" customFormat="1" ht="12" x14ac:dyDescent="0.3">
      <c r="A99" s="468"/>
      <c r="B99" s="469"/>
      <c r="D99" s="2"/>
      <c r="E99" s="456"/>
    </row>
    <row r="100" spans="1:21" s="462" customFormat="1" ht="12" x14ac:dyDescent="0.3">
      <c r="A100" s="468"/>
      <c r="B100" s="469"/>
      <c r="D100" s="2"/>
      <c r="E100" s="456"/>
    </row>
    <row r="101" spans="1:21" s="462" customFormat="1" x14ac:dyDescent="0.35">
      <c r="A101" s="468"/>
      <c r="B101" s="469"/>
      <c r="D101" s="2"/>
      <c r="E101" s="456"/>
      <c r="U101"/>
    </row>
    <row r="102" spans="1:21" s="462" customFormat="1" x14ac:dyDescent="0.35">
      <c r="A102" s="468"/>
      <c r="B102" s="469"/>
      <c r="D102" s="2"/>
      <c r="E102" s="456"/>
      <c r="U102"/>
    </row>
    <row r="103" spans="1:21" s="462" customFormat="1" x14ac:dyDescent="0.35">
      <c r="A103" s="455" t="s">
        <v>583</v>
      </c>
      <c r="B103" s="455"/>
      <c r="C103" s="456"/>
      <c r="D103" s="2"/>
      <c r="E103" s="456"/>
      <c r="U103"/>
    </row>
    <row r="104" spans="1:21" s="462" customFormat="1" ht="93" customHeight="1" x14ac:dyDescent="0.35">
      <c r="A104" s="9170" t="s">
        <v>1943</v>
      </c>
      <c r="B104" s="9171"/>
      <c r="C104" s="9171"/>
      <c r="D104" s="9171"/>
      <c r="E104" s="9171"/>
      <c r="U104"/>
    </row>
  </sheetData>
  <mergeCells count="20">
    <mergeCell ref="F1:S1"/>
    <mergeCell ref="F4:I4"/>
    <mergeCell ref="K4:N4"/>
    <mergeCell ref="P4:S4"/>
    <mergeCell ref="A104:E104"/>
    <mergeCell ref="F7:G7"/>
    <mergeCell ref="I7:I8"/>
    <mergeCell ref="K7:L7"/>
    <mergeCell ref="N7:N8"/>
    <mergeCell ref="A10:A28"/>
    <mergeCell ref="F10:G10"/>
    <mergeCell ref="A30:A67"/>
    <mergeCell ref="K30:L30"/>
    <mergeCell ref="A69:A86"/>
    <mergeCell ref="U4:U5"/>
    <mergeCell ref="F5:I5"/>
    <mergeCell ref="K5:N5"/>
    <mergeCell ref="P5:S5"/>
    <mergeCell ref="P7:Q7"/>
    <mergeCell ref="S7:S8"/>
  </mergeCells>
  <hyperlinks>
    <hyperlink ref="H10" r:id="rId1" xr:uid="{8C3166F8-27C5-477B-9428-DE676B8B3109}"/>
    <hyperlink ref="M10" r:id="rId2" xr:uid="{5429D945-1537-4D5A-871C-9D351B4A1055}"/>
    <hyperlink ref="R10" r:id="rId3" xr:uid="{CA3A1D41-4F47-45D6-AEDC-DDD2503501CD}"/>
  </hyperlinks>
  <pageMargins left="0.23622047244094491" right="0.23622047244094491" top="0.35433070866141736" bottom="0.35433070866141736" header="0.31496062992125984" footer="0.31496062992125984"/>
  <pageSetup paperSize="9" scale="49" orientation="portrait" horizontalDpi="4294967293" verticalDpi="4294967293" r:id="rId4"/>
  <headerFooter>
    <oddFooter>&amp;R&amp;1#&amp;"Calibri"&amp;12&amp;K000000Official Use</oddFooter>
  </headerFooter>
  <legacyDrawing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J109"/>
  <sheetViews>
    <sheetView zoomScaleNormal="100" workbookViewId="0">
      <pane xSplit="4" topLeftCell="AX1" activePane="topRight" state="frozen"/>
      <selection activeCell="A53" sqref="A53"/>
      <selection pane="topRight" activeCell="BH81" sqref="BH81"/>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5" width="20.453125" customWidth="1"/>
    <col min="16" max="16" width="19.453125" customWidth="1"/>
    <col min="17" max="17" width="23.6328125" customWidth="1"/>
    <col min="18" max="18" width="8.1796875" customWidth="1"/>
    <col min="19" max="19" width="1.6328125" style="1" customWidth="1"/>
    <col min="20" max="20" width="21.6328125" customWidth="1"/>
    <col min="21" max="21" width="23.6328125" customWidth="1"/>
    <col min="22" max="22" width="24" customWidth="1"/>
    <col min="23" max="23" width="1.6328125" style="1" customWidth="1"/>
    <col min="24" max="24" width="20.453125" customWidth="1"/>
    <col min="25" max="25" width="19.453125" customWidth="1"/>
    <col min="26" max="26" width="23.6328125" customWidth="1"/>
    <col min="27" max="27" width="8.1796875" customWidth="1"/>
    <col min="28" max="28" width="1.6328125" style="1" customWidth="1"/>
    <col min="29" max="29" width="21.6328125" customWidth="1"/>
    <col min="30" max="30" width="23.6328125" customWidth="1"/>
    <col min="31" max="31" width="24" customWidth="1"/>
    <col min="32" max="32" width="1.6328125" style="1" customWidth="1"/>
    <col min="33" max="33" width="20.453125" customWidth="1"/>
    <col min="34" max="34" width="19.453125" customWidth="1"/>
    <col min="35" max="35" width="23.6328125" customWidth="1"/>
    <col min="36" max="36" width="8.1796875" customWidth="1"/>
    <col min="37" max="37" width="1.6328125" style="1" customWidth="1"/>
    <col min="38" max="38" width="30.1796875" customWidth="1"/>
    <col min="39" max="39" width="23.6328125" customWidth="1"/>
    <col min="40" max="40" width="24" customWidth="1"/>
    <col min="41" max="41" width="1.6328125" style="1" customWidth="1"/>
    <col min="42" max="42" width="20.453125" customWidth="1"/>
    <col min="43" max="43" width="19.453125" customWidth="1"/>
    <col min="44" max="44" width="23.6328125" customWidth="1"/>
    <col min="45" max="45" width="8.1796875" customWidth="1"/>
    <col min="46" max="46" width="1.6328125" style="1" customWidth="1"/>
    <col min="47" max="47" width="30.1796875" customWidth="1"/>
    <col min="48" max="48" width="23.6328125" customWidth="1"/>
    <col min="49" max="49" width="24" customWidth="1"/>
    <col min="50" max="50" width="1.6328125" style="1" customWidth="1"/>
    <col min="51" max="51" width="8.1796875" customWidth="1"/>
    <col min="53" max="53" width="20.453125" customWidth="1"/>
    <col min="54" max="54" width="19.453125" customWidth="1"/>
    <col min="55" max="55" width="23.6328125" customWidth="1"/>
    <col min="56" max="56" width="8.81640625" customWidth="1"/>
    <col min="57" max="57" width="1.6328125" style="1" customWidth="1"/>
    <col min="58" max="58" width="30.1796875" customWidth="1"/>
    <col min="59" max="59" width="23.6328125" customWidth="1"/>
    <col min="60" max="60" width="24" customWidth="1"/>
    <col min="61" max="61" width="1.6328125" style="1" customWidth="1"/>
    <col min="62" max="62" width="8.1796875" customWidth="1"/>
  </cols>
  <sheetData>
    <row r="1" spans="1:62" s="470" customFormat="1" ht="31" x14ac:dyDescent="0.7">
      <c r="B1" s="1"/>
      <c r="C1" s="1"/>
      <c r="F1" s="9118" t="s">
        <v>823</v>
      </c>
      <c r="G1" s="9119"/>
      <c r="H1" s="9119"/>
      <c r="I1" s="9119"/>
      <c r="J1" s="9119"/>
      <c r="K1" s="9119"/>
      <c r="L1" s="9119"/>
      <c r="M1" s="9120"/>
      <c r="N1" s="710"/>
      <c r="O1" s="9121" t="s">
        <v>824</v>
      </c>
      <c r="P1" s="9122"/>
      <c r="Q1" s="9122"/>
      <c r="R1" s="9122"/>
      <c r="S1" s="9122"/>
      <c r="T1" s="9122"/>
      <c r="U1" s="9122"/>
      <c r="V1" s="9123"/>
      <c r="W1" s="710"/>
      <c r="X1" s="9312" t="s">
        <v>825</v>
      </c>
      <c r="Y1" s="9313"/>
      <c r="Z1" s="9313"/>
      <c r="AA1" s="9313"/>
      <c r="AB1" s="9313"/>
      <c r="AC1" s="9313"/>
      <c r="AD1" s="9313"/>
      <c r="AE1" s="9317"/>
      <c r="AF1" s="1537"/>
      <c r="AG1" s="9309" t="s">
        <v>1944</v>
      </c>
      <c r="AH1" s="9310"/>
      <c r="AI1" s="9310"/>
      <c r="AJ1" s="9310"/>
      <c r="AK1" s="9310"/>
      <c r="AL1" s="9310"/>
      <c r="AM1" s="9310"/>
      <c r="AN1" s="9311"/>
      <c r="AO1" s="1537"/>
      <c r="AP1" s="9164" t="s">
        <v>827</v>
      </c>
      <c r="AQ1" s="9165"/>
      <c r="AR1" s="9165"/>
      <c r="AS1" s="9165"/>
      <c r="AT1" s="9165"/>
      <c r="AU1" s="9165"/>
      <c r="AV1" s="9165"/>
      <c r="AW1" s="9166"/>
      <c r="AX1" s="1537"/>
      <c r="BA1" s="9337" t="s">
        <v>828</v>
      </c>
      <c r="BB1" s="9338"/>
      <c r="BC1" s="9338"/>
      <c r="BD1" s="9338"/>
      <c r="BE1" s="9338"/>
      <c r="BF1" s="9338"/>
      <c r="BG1" s="9338"/>
      <c r="BH1" s="9339"/>
      <c r="BI1" s="1537"/>
    </row>
    <row r="2" spans="1:62" ht="21" x14ac:dyDescent="0.5">
      <c r="B2" s="1" t="s">
        <v>829</v>
      </c>
      <c r="C2" s="4" t="s">
        <v>33</v>
      </c>
      <c r="H2"/>
    </row>
    <row r="4" spans="1:62" s="8" customFormat="1" ht="15.25" customHeight="1" x14ac:dyDescent="0.35">
      <c r="D4" s="471"/>
      <c r="F4" s="8326" t="s">
        <v>830</v>
      </c>
      <c r="H4" s="9130" t="s">
        <v>831</v>
      </c>
      <c r="I4" s="9131"/>
      <c r="J4" s="9132"/>
      <c r="L4" s="9130" t="s">
        <v>832</v>
      </c>
      <c r="M4" s="9132"/>
      <c r="O4" s="9318" t="s">
        <v>833</v>
      </c>
      <c r="P4" s="9318"/>
      <c r="Q4" s="9318"/>
      <c r="R4" s="9318"/>
      <c r="T4" s="9333" t="s">
        <v>832</v>
      </c>
      <c r="U4" s="9333"/>
      <c r="V4" s="9333"/>
      <c r="X4" s="9318" t="s">
        <v>833</v>
      </c>
      <c r="Y4" s="9318"/>
      <c r="Z4" s="9318"/>
      <c r="AA4" s="9318"/>
      <c r="AC4" s="9318" t="s">
        <v>832</v>
      </c>
      <c r="AD4" s="9318"/>
      <c r="AE4" s="9318"/>
      <c r="AG4" s="9318" t="s">
        <v>833</v>
      </c>
      <c r="AH4" s="9318"/>
      <c r="AI4" s="9318"/>
      <c r="AJ4" s="9318"/>
      <c r="AL4" s="9318" t="s">
        <v>832</v>
      </c>
      <c r="AM4" s="9318"/>
      <c r="AN4" s="9318"/>
      <c r="AP4" s="9318" t="s">
        <v>833</v>
      </c>
      <c r="AQ4" s="9318"/>
      <c r="AR4" s="9318"/>
      <c r="AS4" s="9318"/>
      <c r="AU4" s="9318" t="s">
        <v>832</v>
      </c>
      <c r="AV4" s="9318"/>
      <c r="AW4" s="9318"/>
      <c r="AY4" s="9180" t="s">
        <v>404</v>
      </c>
      <c r="BA4" s="9318" t="s">
        <v>833</v>
      </c>
      <c r="BB4" s="9318"/>
      <c r="BC4" s="9318"/>
      <c r="BD4" s="9318"/>
      <c r="BF4" s="9318" t="s">
        <v>832</v>
      </c>
      <c r="BG4" s="9318"/>
      <c r="BH4" s="9318"/>
      <c r="BJ4" s="9180" t="s">
        <v>404</v>
      </c>
    </row>
    <row r="5" spans="1:62" x14ac:dyDescent="0.35">
      <c r="B5" s="1" t="s">
        <v>835</v>
      </c>
      <c r="C5" s="11">
        <v>2015</v>
      </c>
      <c r="F5" s="8324">
        <v>2015</v>
      </c>
      <c r="G5" s="12"/>
      <c r="H5" s="9138">
        <v>2014</v>
      </c>
      <c r="I5" s="9139"/>
      <c r="J5" s="9140"/>
      <c r="K5" s="12"/>
      <c r="L5" s="9138">
        <v>2015</v>
      </c>
      <c r="M5" s="9140"/>
      <c r="N5" s="12"/>
      <c r="O5" s="9234">
        <v>2015</v>
      </c>
      <c r="P5" s="9234"/>
      <c r="Q5" s="9234"/>
      <c r="R5" s="9234"/>
      <c r="S5" s="12"/>
      <c r="T5" s="9336">
        <v>2016</v>
      </c>
      <c r="U5" s="9336"/>
      <c r="V5" s="9336"/>
      <c r="W5" s="12"/>
      <c r="X5" s="9234">
        <v>2016</v>
      </c>
      <c r="Y5" s="9234"/>
      <c r="Z5" s="9234"/>
      <c r="AA5" s="9234"/>
      <c r="AB5" s="12"/>
      <c r="AC5" s="9234">
        <v>2017</v>
      </c>
      <c r="AD5" s="9234"/>
      <c r="AE5" s="9234"/>
      <c r="AG5" s="9335">
        <v>2017</v>
      </c>
      <c r="AH5" s="9335"/>
      <c r="AI5" s="9335"/>
      <c r="AJ5" s="9335"/>
      <c r="AK5" s="12"/>
      <c r="AL5" s="9335">
        <v>2018</v>
      </c>
      <c r="AM5" s="9335"/>
      <c r="AN5" s="9335"/>
      <c r="AP5" s="9335">
        <v>2018</v>
      </c>
      <c r="AQ5" s="9335"/>
      <c r="AR5" s="9335"/>
      <c r="AS5" s="9335"/>
      <c r="AT5" s="12"/>
      <c r="AU5" s="9335">
        <v>2019</v>
      </c>
      <c r="AV5" s="9335"/>
      <c r="AW5" s="9335"/>
      <c r="AY5" s="9181"/>
      <c r="BA5" s="9335">
        <v>2019</v>
      </c>
      <c r="BB5" s="9335"/>
      <c r="BC5" s="9335"/>
      <c r="BD5" s="9335"/>
      <c r="BE5" s="12"/>
      <c r="BF5" s="9335">
        <v>2020</v>
      </c>
      <c r="BG5" s="9335"/>
      <c r="BH5" s="9335"/>
      <c r="BJ5" s="9181"/>
    </row>
    <row r="6" spans="1:62" x14ac:dyDescent="0.35">
      <c r="C6"/>
      <c r="F6" s="6"/>
      <c r="L6" s="14"/>
      <c r="AY6" s="6"/>
      <c r="BJ6" s="6"/>
    </row>
    <row r="7" spans="1:62" ht="12.75" customHeight="1" x14ac:dyDescent="0.35">
      <c r="B7" s="1" t="s">
        <v>836</v>
      </c>
      <c r="C7" s="15" t="s">
        <v>837</v>
      </c>
      <c r="D7" s="5" t="s">
        <v>417</v>
      </c>
      <c r="F7" s="8322"/>
      <c r="H7" s="9173" t="s">
        <v>837</v>
      </c>
      <c r="I7" s="9173"/>
      <c r="J7" s="9147" t="s">
        <v>839</v>
      </c>
      <c r="L7" s="9173" t="s">
        <v>837</v>
      </c>
      <c r="M7" s="9173"/>
      <c r="O7" s="9173" t="s">
        <v>837</v>
      </c>
      <c r="P7" s="9173"/>
      <c r="Q7" s="9173"/>
      <c r="R7" s="9173"/>
      <c r="T7" s="9334" t="s">
        <v>837</v>
      </c>
      <c r="U7" s="9334"/>
      <c r="V7" s="9334"/>
      <c r="X7" s="9173" t="s">
        <v>837</v>
      </c>
      <c r="Y7" s="9173"/>
      <c r="Z7" s="9173"/>
      <c r="AA7" s="9173"/>
      <c r="AC7" s="9173" t="s">
        <v>837</v>
      </c>
      <c r="AD7" s="9173"/>
      <c r="AE7" s="9173"/>
      <c r="AG7" s="9173" t="s">
        <v>837</v>
      </c>
      <c r="AH7" s="9173"/>
      <c r="AI7" s="9173"/>
      <c r="AJ7" s="9173"/>
      <c r="AL7" s="9173" t="s">
        <v>837</v>
      </c>
      <c r="AM7" s="9173"/>
      <c r="AN7" s="9173"/>
      <c r="AP7" s="9173" t="s">
        <v>840</v>
      </c>
      <c r="AQ7" s="9173"/>
      <c r="AR7" s="9173"/>
      <c r="AS7" s="9173"/>
      <c r="AU7" s="9173" t="s">
        <v>1945</v>
      </c>
      <c r="AV7" s="9173"/>
      <c r="AW7" s="9173"/>
      <c r="AY7" s="18"/>
      <c r="BA7" s="9173" t="s">
        <v>840</v>
      </c>
      <c r="BB7" s="9173"/>
      <c r="BC7" s="9173"/>
      <c r="BD7" s="9173"/>
      <c r="BF7" s="9173" t="s">
        <v>1945</v>
      </c>
      <c r="BG7" s="9173"/>
      <c r="BH7" s="9173"/>
      <c r="BJ7" s="18"/>
    </row>
    <row r="8" spans="1:62" x14ac:dyDescent="0.35">
      <c r="B8" s="1" t="s">
        <v>841</v>
      </c>
      <c r="C8" s="19" t="s">
        <v>1121</v>
      </c>
      <c r="F8" s="20" t="s">
        <v>843</v>
      </c>
      <c r="H8" s="21" t="s">
        <v>844</v>
      </c>
      <c r="I8" s="20" t="s">
        <v>843</v>
      </c>
      <c r="J8" s="9148"/>
      <c r="L8" s="21" t="s">
        <v>844</v>
      </c>
      <c r="M8" s="20" t="s">
        <v>843</v>
      </c>
      <c r="O8" s="21" t="s">
        <v>844</v>
      </c>
      <c r="P8" s="20" t="s">
        <v>843</v>
      </c>
      <c r="Q8" s="20" t="s">
        <v>846</v>
      </c>
      <c r="R8" s="20"/>
      <c r="T8" s="6" t="s">
        <v>424</v>
      </c>
      <c r="U8" s="6" t="s">
        <v>846</v>
      </c>
      <c r="V8" s="6" t="s">
        <v>847</v>
      </c>
      <c r="X8" s="21" t="s">
        <v>844</v>
      </c>
      <c r="Y8" s="20" t="s">
        <v>843</v>
      </c>
      <c r="Z8" s="20" t="s">
        <v>846</v>
      </c>
      <c r="AA8" s="20"/>
      <c r="AC8" s="21" t="s">
        <v>424</v>
      </c>
      <c r="AD8" s="20" t="s">
        <v>846</v>
      </c>
      <c r="AE8" s="20" t="s">
        <v>847</v>
      </c>
      <c r="AG8" s="21" t="s">
        <v>844</v>
      </c>
      <c r="AH8" s="20" t="s">
        <v>843</v>
      </c>
      <c r="AI8" s="20" t="s">
        <v>846</v>
      </c>
      <c r="AJ8" s="20"/>
      <c r="AL8" s="21" t="s">
        <v>424</v>
      </c>
      <c r="AM8" s="20" t="s">
        <v>846</v>
      </c>
      <c r="AN8" s="20" t="s">
        <v>847</v>
      </c>
      <c r="AP8" s="21" t="s">
        <v>844</v>
      </c>
      <c r="AQ8" s="20" t="s">
        <v>843</v>
      </c>
      <c r="AR8" s="20" t="s">
        <v>846</v>
      </c>
      <c r="AS8" s="20"/>
      <c r="AU8" s="21" t="s">
        <v>424</v>
      </c>
      <c r="AV8" s="20" t="s">
        <v>846</v>
      </c>
      <c r="AW8" s="20" t="s">
        <v>1946</v>
      </c>
      <c r="AY8" s="24"/>
      <c r="BA8" s="21" t="s">
        <v>844</v>
      </c>
      <c r="BB8" s="20" t="s">
        <v>843</v>
      </c>
      <c r="BC8" s="20" t="s">
        <v>846</v>
      </c>
      <c r="BD8" s="20"/>
      <c r="BF8" s="21" t="s">
        <v>424</v>
      </c>
      <c r="BG8" s="20" t="s">
        <v>846</v>
      </c>
      <c r="BH8" s="20" t="s">
        <v>1946</v>
      </c>
      <c r="BJ8" s="24"/>
    </row>
    <row r="9" spans="1:62" x14ac:dyDescent="0.35">
      <c r="C9"/>
      <c r="E9"/>
      <c r="F9"/>
      <c r="G9"/>
      <c r="H9"/>
      <c r="I9"/>
      <c r="J9" s="25"/>
      <c r="K9"/>
      <c r="N9"/>
      <c r="S9"/>
      <c r="W9"/>
      <c r="AB9"/>
      <c r="AF9"/>
      <c r="AK9"/>
      <c r="AO9"/>
      <c r="AT9"/>
      <c r="AX9"/>
      <c r="BE9"/>
      <c r="BI9"/>
    </row>
    <row r="10" spans="1:62" ht="85.75" customHeight="1" x14ac:dyDescent="0.35">
      <c r="A10" s="9167" t="s">
        <v>854</v>
      </c>
      <c r="B10" s="27"/>
      <c r="C10" s="28" t="s">
        <v>427</v>
      </c>
      <c r="D10" s="29" t="s">
        <v>428</v>
      </c>
      <c r="E10" s="30"/>
      <c r="F10" s="31"/>
      <c r="G10"/>
      <c r="H10" s="9155" t="s">
        <v>1947</v>
      </c>
      <c r="I10" s="9156"/>
      <c r="J10" s="32"/>
      <c r="K10" s="33"/>
      <c r="L10" s="31" t="s">
        <v>1948</v>
      </c>
      <c r="M10" s="34" t="s">
        <v>857</v>
      </c>
      <c r="N10" s="33"/>
      <c r="O10" s="31"/>
      <c r="P10" s="31"/>
      <c r="Q10" s="34"/>
      <c r="R10" s="32" t="s">
        <v>860</v>
      </c>
      <c r="S10" s="33"/>
      <c r="T10" s="34" t="s">
        <v>1949</v>
      </c>
      <c r="U10" s="3160" t="s">
        <v>1950</v>
      </c>
      <c r="V10" s="34"/>
      <c r="W10" s="33"/>
      <c r="X10" s="31"/>
      <c r="Y10" s="31"/>
      <c r="Z10" s="34" t="s">
        <v>1951</v>
      </c>
      <c r="AA10" s="32" t="s">
        <v>860</v>
      </c>
      <c r="AB10" s="33"/>
      <c r="AC10" s="34"/>
      <c r="AD10" s="34" t="s">
        <v>1951</v>
      </c>
      <c r="AE10" s="34"/>
      <c r="AF10" s="33"/>
      <c r="AG10" s="31" t="s">
        <v>1952</v>
      </c>
      <c r="AH10" s="31"/>
      <c r="AI10" s="34"/>
      <c r="AJ10" s="32" t="s">
        <v>860</v>
      </c>
      <c r="AK10" s="33"/>
      <c r="AL10" s="31" t="s">
        <v>1952</v>
      </c>
      <c r="AM10" s="35" t="s">
        <v>1953</v>
      </c>
      <c r="AN10" s="34"/>
      <c r="AO10" s="33"/>
      <c r="AP10" s="9155" t="s">
        <v>1954</v>
      </c>
      <c r="AQ10" s="9156"/>
      <c r="AR10" s="3375" t="s">
        <v>1955</v>
      </c>
      <c r="AS10" s="32" t="s">
        <v>860</v>
      </c>
      <c r="AT10" s="33"/>
      <c r="AU10" s="36" t="s">
        <v>1952</v>
      </c>
      <c r="AV10" s="3375" t="s">
        <v>1955</v>
      </c>
      <c r="AW10" s="36" t="s">
        <v>1956</v>
      </c>
      <c r="AX10" s="33"/>
      <c r="BA10" s="9155" t="s">
        <v>1957</v>
      </c>
      <c r="BB10" s="9156"/>
      <c r="BC10" s="3375" t="s">
        <v>1958</v>
      </c>
      <c r="BD10" s="32" t="s">
        <v>860</v>
      </c>
      <c r="BE10" s="30"/>
      <c r="BF10" s="36" t="s">
        <v>1959</v>
      </c>
      <c r="BG10" s="3375"/>
      <c r="BH10" s="36" t="s">
        <v>1960</v>
      </c>
      <c r="BI10" s="33"/>
    </row>
    <row r="11" spans="1:62" ht="12.75" customHeight="1" x14ac:dyDescent="0.35">
      <c r="A11" s="9168"/>
      <c r="B11" s="40" t="s">
        <v>870</v>
      </c>
      <c r="C11" s="41"/>
      <c r="D11" s="42"/>
      <c r="E11" s="43"/>
      <c r="F11" s="44"/>
      <c r="G11"/>
      <c r="H11" s="45"/>
      <c r="I11" s="46"/>
      <c r="J11" s="47"/>
      <c r="K11" s="48"/>
      <c r="L11" s="45"/>
      <c r="M11" s="49"/>
      <c r="N11" s="48"/>
      <c r="O11" s="45"/>
      <c r="P11" s="45"/>
      <c r="R11" s="47"/>
      <c r="S11" s="48"/>
      <c r="T11" s="45"/>
      <c r="V11" s="45"/>
      <c r="W11" s="48"/>
      <c r="X11" s="45"/>
      <c r="Y11" s="46"/>
      <c r="AA11" s="47"/>
      <c r="AB11" s="48"/>
      <c r="AC11" s="45"/>
      <c r="AE11" s="46"/>
      <c r="AF11" s="50"/>
      <c r="AG11" s="45"/>
      <c r="AH11" s="46"/>
      <c r="AJ11" s="47"/>
      <c r="AK11" s="48"/>
      <c r="AL11" s="3161"/>
      <c r="AN11" s="46"/>
      <c r="AO11" s="50"/>
      <c r="AP11" s="45" t="s">
        <v>1149</v>
      </c>
      <c r="AQ11" s="46" t="s">
        <v>1961</v>
      </c>
      <c r="AS11" s="47"/>
      <c r="AT11" s="48"/>
      <c r="AU11" s="6355"/>
      <c r="AW11" s="46" t="s">
        <v>1962</v>
      </c>
      <c r="AX11" s="50"/>
      <c r="AY11" s="18"/>
      <c r="BA11" s="45"/>
      <c r="BB11" s="46"/>
      <c r="BD11" s="47"/>
      <c r="BE11" s="48"/>
      <c r="BF11" s="7847"/>
      <c r="BH11" s="738"/>
      <c r="BI11" s="43"/>
      <c r="BJ11" s="18"/>
    </row>
    <row r="12" spans="1:62" x14ac:dyDescent="0.35">
      <c r="A12" s="9168"/>
      <c r="B12" s="58"/>
      <c r="C12" s="59" t="s">
        <v>872</v>
      </c>
      <c r="D12" s="60"/>
      <c r="F12" s="61"/>
      <c r="G12"/>
      <c r="H12" s="61">
        <v>3284132000000</v>
      </c>
      <c r="I12" s="63">
        <v>2803298062656</v>
      </c>
      <c r="J12" s="64">
        <f>IF(H12=0,0,I12/H12)</f>
        <v>0.85358872988540047</v>
      </c>
      <c r="K12" s="65"/>
      <c r="L12" s="63">
        <f>L14-L13</f>
        <v>1863620000000</v>
      </c>
      <c r="M12" s="66">
        <f>L12*J12</f>
        <v>1590765028789.03</v>
      </c>
      <c r="N12" s="65"/>
      <c r="O12" s="63">
        <f>L12</f>
        <v>1863620000000</v>
      </c>
      <c r="P12" s="63"/>
      <c r="Q12" s="106" t="s">
        <v>1963</v>
      </c>
      <c r="R12" s="64">
        <f>IF(O12=0,0,P12/O12)</f>
        <v>0</v>
      </c>
      <c r="S12" s="65"/>
      <c r="T12" s="63">
        <f>2156468000000-339280000000</f>
        <v>1817188000000</v>
      </c>
      <c r="U12" s="106"/>
      <c r="V12" s="63"/>
      <c r="W12" s="65"/>
      <c r="X12" s="2992">
        <f>T12</f>
        <v>1817188000000</v>
      </c>
      <c r="Y12" s="74"/>
      <c r="Z12" s="106"/>
      <c r="AA12" s="64">
        <f>IF(X12=0,0,Y12/X12)</f>
        <v>0</v>
      </c>
      <c r="AB12" s="65"/>
      <c r="AC12" s="3161">
        <f>1680534850000-0</f>
        <v>1680534850000</v>
      </c>
      <c r="AD12" s="106"/>
      <c r="AE12" s="63"/>
      <c r="AG12" s="2992">
        <f>AC12</f>
        <v>1680534850000</v>
      </c>
      <c r="AH12" s="74"/>
      <c r="AI12" s="106"/>
      <c r="AJ12" s="64">
        <f>IF(AG12=0,0,AH12/AG12)</f>
        <v>0</v>
      </c>
      <c r="AK12" s="65"/>
      <c r="AL12" s="3162">
        <v>1288100</v>
      </c>
      <c r="AM12" s="6357"/>
      <c r="AN12" s="63"/>
      <c r="AP12" s="71">
        <v>1954000</v>
      </c>
      <c r="AQ12" s="74">
        <v>1931800</v>
      </c>
      <c r="AR12" s="57" t="s">
        <v>1964</v>
      </c>
      <c r="AS12" s="64">
        <f>IF(AP12=0,0,AQ12/AP12)</f>
        <v>0.98863868986693959</v>
      </c>
      <c r="AT12" s="65"/>
      <c r="AU12" s="6356">
        <f>AU14-AU13</f>
        <v>2039700</v>
      </c>
      <c r="AV12" s="6357" t="s">
        <v>1965</v>
      </c>
      <c r="AW12" s="63">
        <f>1370200*4/3</f>
        <v>1826933.3333333333</v>
      </c>
      <c r="AY12" s="26"/>
      <c r="BA12" s="71">
        <f>BA14-BA13</f>
        <v>2027031</v>
      </c>
      <c r="BB12" s="74">
        <f>BB14-BB13</f>
        <v>1985591.3868259999</v>
      </c>
      <c r="BC12" s="57" t="s">
        <v>1966</v>
      </c>
      <c r="BD12" s="64">
        <f>IF(BA12=0,0,BB12/BA12)</f>
        <v>0.97955649757009144</v>
      </c>
      <c r="BE12" s="65"/>
      <c r="BF12" s="62">
        <f>572522+54897+841878</f>
        <v>1469297</v>
      </c>
      <c r="BG12" s="6357" t="s">
        <v>1967</v>
      </c>
      <c r="BH12" s="301">
        <f>BF12*BD12</f>
        <v>1439259.4232102428</v>
      </c>
      <c r="BJ12" s="26"/>
    </row>
    <row r="13" spans="1:62" x14ac:dyDescent="0.35">
      <c r="A13" s="9168"/>
      <c r="B13" s="58"/>
      <c r="C13" s="59" t="s">
        <v>878</v>
      </c>
      <c r="D13" s="60"/>
      <c r="F13" s="61"/>
      <c r="G13"/>
      <c r="H13" s="61">
        <v>648800000000</v>
      </c>
      <c r="I13" s="63">
        <v>355432643401</v>
      </c>
      <c r="J13" s="73">
        <f t="shared" ref="J13:J14" si="0">IF(H13=0,0,I13/H13)</f>
        <v>0.5478308313825524</v>
      </c>
      <c r="K13" s="65"/>
      <c r="L13" s="63">
        <v>585946000000</v>
      </c>
      <c r="M13" s="66">
        <f t="shared" ref="M13:M14" si="1">L13*J13</f>
        <v>320999284325.28107</v>
      </c>
      <c r="N13" s="65"/>
      <c r="O13" s="63">
        <f t="shared" ref="O13:O14" si="2">L13</f>
        <v>585946000000</v>
      </c>
      <c r="P13" s="63"/>
      <c r="Q13" s="106"/>
      <c r="R13" s="73">
        <f>IF(O13=0,0,P13/O13)</f>
        <v>0</v>
      </c>
      <c r="S13" s="65"/>
      <c r="T13" s="63">
        <v>339280000000</v>
      </c>
      <c r="U13" s="106"/>
      <c r="V13" s="63"/>
      <c r="W13" s="65"/>
      <c r="X13" s="2992">
        <f>T13</f>
        <v>339280000000</v>
      </c>
      <c r="Y13" s="74"/>
      <c r="Z13" s="106"/>
      <c r="AA13" s="73">
        <f>IF(X13=0,0,Y13/X13)</f>
        <v>0</v>
      </c>
      <c r="AB13" s="65"/>
      <c r="AC13" s="3161">
        <v>0</v>
      </c>
      <c r="AD13" s="106"/>
      <c r="AE13" s="63"/>
      <c r="AG13" s="2992">
        <f>AC13</f>
        <v>0</v>
      </c>
      <c r="AH13" s="74"/>
      <c r="AI13" s="106"/>
      <c r="AJ13" s="73">
        <f>IF(AG13=0,0,AH13/AG13)</f>
        <v>0</v>
      </c>
      <c r="AK13" s="65"/>
      <c r="AL13" s="3162">
        <v>5900</v>
      </c>
      <c r="AM13" s="6357"/>
      <c r="AN13" s="63"/>
      <c r="AP13" s="71">
        <v>30000</v>
      </c>
      <c r="AQ13" s="74">
        <v>10800</v>
      </c>
      <c r="AR13" s="57" t="s">
        <v>1968</v>
      </c>
      <c r="AS13" s="73">
        <f>IF(AP13=0,0,AQ13/AP13)</f>
        <v>0.36</v>
      </c>
      <c r="AT13" s="65"/>
      <c r="AU13" s="6356">
        <v>28000</v>
      </c>
      <c r="AV13" s="6357" t="s">
        <v>1969</v>
      </c>
      <c r="AW13" s="63">
        <f>26900*4/3</f>
        <v>35866.666666666664</v>
      </c>
      <c r="AY13" s="26"/>
      <c r="BA13" s="71">
        <v>28000</v>
      </c>
      <c r="BB13" s="74">
        <v>56628.506056999999</v>
      </c>
      <c r="BC13" s="57" t="s">
        <v>1970</v>
      </c>
      <c r="BD13" s="73">
        <f>IF(BA13=0,0,BB13/BA13)</f>
        <v>2.0224466448928573</v>
      </c>
      <c r="BE13" s="65"/>
      <c r="BF13" s="62">
        <v>56000</v>
      </c>
      <c r="BG13" s="6357" t="s">
        <v>1967</v>
      </c>
      <c r="BH13" s="301">
        <f>BF13*BD13</f>
        <v>113257.01211400001</v>
      </c>
      <c r="BJ13" s="26"/>
    </row>
    <row r="14" spans="1:62" x14ac:dyDescent="0.35">
      <c r="A14" s="9168"/>
      <c r="B14" s="85"/>
      <c r="C14" s="86" t="s">
        <v>882</v>
      </c>
      <c r="D14" s="87"/>
      <c r="F14" s="88"/>
      <c r="G14"/>
      <c r="H14" s="89">
        <f>SUM(H12:H13)</f>
        <v>3932932000000</v>
      </c>
      <c r="I14" s="90">
        <f>SUM(I12:I13)</f>
        <v>3158730706057</v>
      </c>
      <c r="J14" s="91">
        <f t="shared" si="0"/>
        <v>0.80314907708981498</v>
      </c>
      <c r="K14" s="80"/>
      <c r="L14" s="89">
        <f>2749566000000-300000000000</f>
        <v>2449566000000</v>
      </c>
      <c r="M14" s="92">
        <f t="shared" si="1"/>
        <v>1967366672170.5896</v>
      </c>
      <c r="N14" s="80"/>
      <c r="O14" s="89">
        <f t="shared" si="2"/>
        <v>2449566000000</v>
      </c>
      <c r="P14" s="89"/>
      <c r="Q14" s="106" t="s">
        <v>1971</v>
      </c>
      <c r="R14" s="91">
        <f>IF(O14=0,0,P14/O14)</f>
        <v>0</v>
      </c>
      <c r="S14" s="80"/>
      <c r="T14" s="89">
        <f>T12+T13</f>
        <v>2156468000000</v>
      </c>
      <c r="U14" s="106"/>
      <c r="V14" s="89"/>
      <c r="W14" s="80"/>
      <c r="X14" s="3004">
        <f>T14</f>
        <v>2156468000000</v>
      </c>
      <c r="Y14" s="99"/>
      <c r="Z14" s="6358"/>
      <c r="AA14" s="91">
        <f>IF(X14=0,0,Y14/X14)</f>
        <v>0</v>
      </c>
      <c r="AB14" s="80"/>
      <c r="AC14" s="1776">
        <v>1680534850000</v>
      </c>
      <c r="AD14" s="6358"/>
      <c r="AE14" s="99"/>
      <c r="AG14" s="3004">
        <f>AC14</f>
        <v>1680534850000</v>
      </c>
      <c r="AH14" s="99"/>
      <c r="AI14" s="6358"/>
      <c r="AJ14" s="91">
        <f>IF(AG14=0,0,AH14/AG14)</f>
        <v>0</v>
      </c>
      <c r="AK14" s="80"/>
      <c r="AL14" s="3006">
        <f>AL12+AL13</f>
        <v>1294000</v>
      </c>
      <c r="AM14" s="6359"/>
      <c r="AN14" s="1775"/>
      <c r="AP14" s="3004">
        <f>SUM(AP12:AP13)</f>
        <v>1984000</v>
      </c>
      <c r="AQ14" s="1775">
        <f>SUM(AQ12:AQ13)</f>
        <v>1942600</v>
      </c>
      <c r="AR14" s="6358"/>
      <c r="AS14" s="91">
        <f>IF(AP14=0,0,AQ14/AP14)</f>
        <v>0.97913306451612903</v>
      </c>
      <c r="AT14" s="80"/>
      <c r="AU14" s="1776">
        <v>2067700</v>
      </c>
      <c r="AV14" s="6359" t="s">
        <v>1972</v>
      </c>
      <c r="AW14" s="1775">
        <f>SUM(AW12:AW13)</f>
        <v>1862800</v>
      </c>
      <c r="AY14" s="24"/>
      <c r="BA14" s="3004">
        <v>2055031</v>
      </c>
      <c r="BB14" s="1775">
        <v>2042219.892883</v>
      </c>
      <c r="BC14" s="6358"/>
      <c r="BD14" s="91">
        <f>IF(BA14=0,0,BB14/BA14)</f>
        <v>0.99376597865579641</v>
      </c>
      <c r="BE14" s="80"/>
      <c r="BF14" s="1776">
        <f>BF12+BF13</f>
        <v>1525297</v>
      </c>
      <c r="BG14" s="6359"/>
      <c r="BH14" s="4877">
        <f>SUM(BH12:BH13)</f>
        <v>1552516.4353242428</v>
      </c>
      <c r="BJ14" s="24"/>
    </row>
    <row r="15" spans="1:62" x14ac:dyDescent="0.35">
      <c r="A15" s="9168"/>
      <c r="B15" s="100" t="s">
        <v>883</v>
      </c>
      <c r="C15" s="49"/>
      <c r="D15" s="42"/>
      <c r="E15" s="43"/>
      <c r="F15" s="101"/>
      <c r="G15"/>
      <c r="H15" s="102"/>
      <c r="I15" s="103"/>
      <c r="J15" s="104"/>
      <c r="K15" s="43"/>
      <c r="L15" s="102"/>
      <c r="M15" s="105"/>
      <c r="N15" s="43"/>
      <c r="O15" s="102"/>
      <c r="P15" s="102"/>
      <c r="Q15" s="106"/>
      <c r="R15" s="104"/>
      <c r="S15" s="43"/>
      <c r="T15" s="102"/>
      <c r="U15" s="106"/>
      <c r="V15" s="102"/>
      <c r="W15" s="43"/>
      <c r="X15" s="102"/>
      <c r="Y15" s="103"/>
      <c r="Z15" s="106"/>
      <c r="AA15" s="104"/>
      <c r="AB15" s="43"/>
      <c r="AC15" s="102"/>
      <c r="AD15" s="3163"/>
      <c r="AE15" s="103"/>
      <c r="AF15" s="43"/>
      <c r="AG15" s="102"/>
      <c r="AH15" s="103"/>
      <c r="AI15" s="106"/>
      <c r="AJ15" s="104"/>
      <c r="AK15" s="43"/>
      <c r="AL15" s="102"/>
      <c r="AM15" s="3163"/>
      <c r="AN15" s="103"/>
      <c r="AO15" s="43"/>
      <c r="AP15" s="102"/>
      <c r="AQ15" s="103"/>
      <c r="AR15" s="106"/>
      <c r="AS15" s="104"/>
      <c r="AT15" s="43"/>
      <c r="AU15" s="102"/>
      <c r="AV15" s="3163"/>
      <c r="AW15" s="103"/>
      <c r="AX15" s="43"/>
      <c r="AY15" s="18"/>
      <c r="BA15" s="102"/>
      <c r="BB15" s="103" t="s">
        <v>1973</v>
      </c>
      <c r="BC15" s="106"/>
      <c r="BD15" s="104"/>
      <c r="BE15" s="43"/>
      <c r="BF15" s="102"/>
      <c r="BG15" s="3163"/>
      <c r="BH15" s="105"/>
      <c r="BI15" s="43"/>
      <c r="BJ15" s="18"/>
    </row>
    <row r="16" spans="1:62" x14ac:dyDescent="0.35">
      <c r="A16" s="9168"/>
      <c r="B16" s="6082"/>
      <c r="C16" s="110" t="s">
        <v>885</v>
      </c>
      <c r="D16" s="60"/>
      <c r="F16" s="111"/>
      <c r="G16"/>
      <c r="H16" s="112">
        <f>1153085625059-14834000000</f>
        <v>1138251625059</v>
      </c>
      <c r="I16" s="113">
        <f>I22-I17-I20</f>
        <v>1090569975574</v>
      </c>
      <c r="J16" s="64">
        <f t="shared" ref="J16:J22" si="3">IF(H16=0,0,I16/H16)</f>
        <v>0.95810974617977951</v>
      </c>
      <c r="L16" s="112">
        <f>1035010000000-L20</f>
        <v>1019895000000</v>
      </c>
      <c r="M16" s="66">
        <f t="shared" ref="M16:M20" si="4">L16*J16</f>
        <v>977171339580.02625</v>
      </c>
      <c r="O16" s="112">
        <f t="shared" ref="O16:O22" si="5">L16</f>
        <v>1019895000000</v>
      </c>
      <c r="P16" s="112"/>
      <c r="Q16" s="106" t="s">
        <v>886</v>
      </c>
      <c r="R16" s="64">
        <f t="shared" ref="R16:R22" si="6">IF(O16=0,0,P16/O16)</f>
        <v>0</v>
      </c>
      <c r="T16" s="112">
        <f>+(2607875-22625-1510547)*1000000</f>
        <v>1074703000000</v>
      </c>
      <c r="U16" s="106" t="s">
        <v>886</v>
      </c>
      <c r="V16" s="112"/>
      <c r="X16" s="3015">
        <f>410120000000+301565437382+370550598400</f>
        <v>1082236035782</v>
      </c>
      <c r="Y16" s="233"/>
      <c r="Z16" s="106"/>
      <c r="AA16" s="64">
        <f t="shared" ref="AA16:AA22" si="7">IF(X16=0,0,Y16/X16)</f>
        <v>0</v>
      </c>
      <c r="AC16" s="3164">
        <f>451100000000+289997481253+360000000000</f>
        <v>1101097481253</v>
      </c>
      <c r="AD16" s="106"/>
      <c r="AE16" s="233"/>
      <c r="AG16" s="3015"/>
      <c r="AH16" s="233"/>
      <c r="AI16" s="106"/>
      <c r="AJ16" s="64">
        <f t="shared" ref="AJ16:AJ22" si="8">IF(AG16=0,0,AH16/AG16)</f>
        <v>0</v>
      </c>
      <c r="AL16" s="3164">
        <f>364500000000+172300000000+322829000000+34000000000</f>
        <v>893629000000</v>
      </c>
      <c r="AM16" s="106"/>
      <c r="AN16" s="233"/>
      <c r="AP16" s="248">
        <f>1328000-AP20-AP21</f>
        <v>1113000</v>
      </c>
      <c r="AQ16" s="233">
        <f>1327900-AQ20-AQ21</f>
        <v>1099100</v>
      </c>
      <c r="AR16" s="57" t="s">
        <v>1974</v>
      </c>
      <c r="AS16" s="64">
        <f t="shared" ref="AS16:AS27" si="9">IF(AP16=0,0,AQ16/AP16)</f>
        <v>0.98751123090745729</v>
      </c>
      <c r="AU16" s="112">
        <f>1190000-AU20</f>
        <v>1069000</v>
      </c>
      <c r="AV16" s="106"/>
      <c r="AW16" s="233">
        <f>765400*4/3-AW20</f>
        <v>910666.66666666674</v>
      </c>
      <c r="AY16" s="26"/>
      <c r="BA16" s="248">
        <f>BA22-SUM(BA17:BA21)</f>
        <v>1149508</v>
      </c>
      <c r="BB16" s="233">
        <f>BB22-SUM(BB17:BB21)</f>
        <v>1060128.7850810001</v>
      </c>
      <c r="BC16" s="106"/>
      <c r="BD16" s="64">
        <f t="shared" ref="BD16:BD22" si="10">IF(BA16=0,0,BB16/BA16)</f>
        <v>0.92224567822146519</v>
      </c>
      <c r="BF16" s="112">
        <f>383500+179860+494620+60000</f>
        <v>1117980</v>
      </c>
      <c r="BG16" s="106" t="s">
        <v>1975</v>
      </c>
      <c r="BH16" s="1034">
        <f>BF16*BD16</f>
        <v>1031052.2233380337</v>
      </c>
      <c r="BJ16" s="26"/>
    </row>
    <row r="17" spans="1:62" x14ac:dyDescent="0.35">
      <c r="A17" s="9168"/>
      <c r="B17" s="6082"/>
      <c r="C17" s="110" t="s">
        <v>1168</v>
      </c>
      <c r="D17" s="60"/>
      <c r="F17" s="111"/>
      <c r="G17"/>
      <c r="H17" s="112">
        <v>2494811000000</v>
      </c>
      <c r="I17" s="113">
        <v>2113203886431</v>
      </c>
      <c r="J17" s="3165">
        <f t="shared" si="3"/>
        <v>0.8470396701116838</v>
      </c>
      <c r="K17" s="374"/>
      <c r="L17" s="112">
        <v>1705146000000</v>
      </c>
      <c r="M17" s="66">
        <f t="shared" si="4"/>
        <v>1444326305332.2571</v>
      </c>
      <c r="N17" s="374"/>
      <c r="O17" s="112">
        <f t="shared" si="5"/>
        <v>1705146000000</v>
      </c>
      <c r="P17" s="112"/>
      <c r="Q17" s="106"/>
      <c r="R17" s="3165">
        <f t="shared" si="6"/>
        <v>0</v>
      </c>
      <c r="S17" s="374"/>
      <c r="T17" s="112">
        <f>1510547*1000000</f>
        <v>1510547000000</v>
      </c>
      <c r="U17" s="106"/>
      <c r="V17" s="112"/>
      <c r="W17" s="374"/>
      <c r="X17" s="3015">
        <v>1349856001048</v>
      </c>
      <c r="Y17" s="233"/>
      <c r="Z17" s="106"/>
      <c r="AA17" s="3165">
        <f t="shared" si="7"/>
        <v>0</v>
      </c>
      <c r="AB17" s="374"/>
      <c r="AC17" s="3164">
        <v>978419518747</v>
      </c>
      <c r="AD17" s="106"/>
      <c r="AE17" s="233"/>
      <c r="AG17" s="3015"/>
      <c r="AH17" s="233"/>
      <c r="AI17" s="106"/>
      <c r="AJ17" s="3165">
        <f t="shared" si="8"/>
        <v>0</v>
      </c>
      <c r="AK17" s="374"/>
      <c r="AL17" s="3164">
        <v>264000000000</v>
      </c>
      <c r="AM17" s="106"/>
      <c r="AN17" s="233"/>
      <c r="AP17" s="248"/>
      <c r="AQ17" s="233"/>
      <c r="AR17" s="106"/>
      <c r="AS17" s="64">
        <f t="shared" si="9"/>
        <v>0</v>
      </c>
      <c r="AT17" s="374"/>
      <c r="AU17" s="112"/>
      <c r="AV17" s="106"/>
      <c r="AW17" s="233"/>
      <c r="AY17" s="26"/>
      <c r="BA17" s="248">
        <v>293000</v>
      </c>
      <c r="BB17" s="233">
        <v>243842.692247</v>
      </c>
      <c r="BC17" s="106"/>
      <c r="BD17" s="64">
        <f t="shared" si="10"/>
        <v>0.8322276185904437</v>
      </c>
      <c r="BE17" s="374"/>
      <c r="BF17" s="112"/>
      <c r="BG17" s="106"/>
      <c r="BH17" s="1034"/>
      <c r="BJ17" s="26"/>
    </row>
    <row r="18" spans="1:62" x14ac:dyDescent="0.35">
      <c r="A18" s="9168"/>
      <c r="B18" s="6082"/>
      <c r="C18" s="110" t="s">
        <v>1976</v>
      </c>
      <c r="D18" s="60"/>
      <c r="F18" s="111"/>
      <c r="G18"/>
      <c r="H18" s="112"/>
      <c r="I18" s="113"/>
      <c r="J18" s="64"/>
      <c r="L18" s="112"/>
      <c r="M18" s="66"/>
      <c r="O18" s="112"/>
      <c r="P18" s="112"/>
      <c r="Q18" s="106"/>
      <c r="R18" s="64"/>
      <c r="T18" s="112"/>
      <c r="U18" s="106"/>
      <c r="V18" s="112"/>
      <c r="X18" s="3015"/>
      <c r="Y18" s="233"/>
      <c r="Z18" s="106"/>
      <c r="AA18" s="64"/>
      <c r="AC18" s="3164"/>
      <c r="AD18" s="106"/>
      <c r="AE18" s="233"/>
      <c r="AG18" s="3015"/>
      <c r="AH18" s="233"/>
      <c r="AI18" s="106"/>
      <c r="AJ18" s="64"/>
      <c r="AL18" s="3164"/>
      <c r="AM18" s="106"/>
      <c r="AN18" s="233"/>
      <c r="AP18" s="248">
        <v>131000</v>
      </c>
      <c r="AQ18" s="233">
        <v>91500</v>
      </c>
      <c r="AR18" s="106"/>
      <c r="AS18" s="64">
        <f t="shared" si="9"/>
        <v>0.69847328244274809</v>
      </c>
      <c r="AU18" s="114">
        <v>150000</v>
      </c>
      <c r="AV18" s="106"/>
      <c r="AW18" s="3355">
        <f>84700*4/3</f>
        <v>112933.33333333333</v>
      </c>
      <c r="AY18" s="26"/>
      <c r="BA18" s="248"/>
      <c r="BB18" s="233"/>
      <c r="BC18" s="106"/>
      <c r="BD18" s="64"/>
      <c r="BF18" s="114">
        <v>230000</v>
      </c>
      <c r="BG18" s="106"/>
      <c r="BH18" s="1034">
        <f>BF18*BD17</f>
        <v>191412.35227580206</v>
      </c>
      <c r="BJ18" s="26"/>
    </row>
    <row r="19" spans="1:62" x14ac:dyDescent="0.35">
      <c r="A19" s="9168"/>
      <c r="B19" s="6082"/>
      <c r="C19" s="110" t="s">
        <v>1977</v>
      </c>
      <c r="D19" s="60"/>
      <c r="F19" s="111"/>
      <c r="G19"/>
      <c r="H19" s="112"/>
      <c r="I19" s="113"/>
      <c r="J19" s="64"/>
      <c r="L19" s="112"/>
      <c r="M19" s="66"/>
      <c r="O19" s="112"/>
      <c r="P19" s="112"/>
      <c r="Q19" s="106"/>
      <c r="R19" s="64"/>
      <c r="T19" s="112"/>
      <c r="U19" s="106"/>
      <c r="V19" s="112"/>
      <c r="X19" s="3015"/>
      <c r="Y19" s="233"/>
      <c r="Z19" s="106"/>
      <c r="AA19" s="64"/>
      <c r="AC19" s="3164"/>
      <c r="AD19" s="106"/>
      <c r="AE19" s="233"/>
      <c r="AG19" s="3015"/>
      <c r="AH19" s="233"/>
      <c r="AI19" s="106"/>
      <c r="AJ19" s="64"/>
      <c r="AL19" s="3164"/>
      <c r="AM19" s="106"/>
      <c r="AN19" s="233"/>
      <c r="AP19" s="248">
        <v>133000</v>
      </c>
      <c r="AQ19" s="233">
        <v>49500</v>
      </c>
      <c r="AR19" s="106"/>
      <c r="AS19" s="64">
        <f t="shared" si="9"/>
        <v>0.37218045112781956</v>
      </c>
      <c r="AU19" s="114">
        <v>143000</v>
      </c>
      <c r="AV19" s="106"/>
      <c r="AW19" s="3355">
        <f>57900*4/3</f>
        <v>77200</v>
      </c>
      <c r="AY19" s="26"/>
      <c r="BA19" s="248"/>
      <c r="BB19" s="233"/>
      <c r="BC19" s="106"/>
      <c r="BD19" s="64"/>
      <c r="BF19" s="114">
        <v>100000</v>
      </c>
      <c r="BG19" s="106"/>
      <c r="BH19" s="1034">
        <f>BF19*BD17</f>
        <v>83222.761859044374</v>
      </c>
      <c r="BJ19" s="26"/>
    </row>
    <row r="20" spans="1:62" x14ac:dyDescent="0.35">
      <c r="A20" s="9168"/>
      <c r="B20" s="6082"/>
      <c r="C20" s="121" t="s">
        <v>1978</v>
      </c>
      <c r="D20" s="60"/>
      <c r="F20" s="163"/>
      <c r="G20" s="1569"/>
      <c r="H20" s="242">
        <v>14834000000</v>
      </c>
      <c r="I20" s="243">
        <v>15003256000</v>
      </c>
      <c r="J20" s="3025">
        <f t="shared" si="3"/>
        <v>1.011410004044762</v>
      </c>
      <c r="K20" s="274"/>
      <c r="L20" s="242">
        <v>15115000000</v>
      </c>
      <c r="M20" s="66">
        <f t="shared" si="4"/>
        <v>15287462211.136578</v>
      </c>
      <c r="N20" s="274"/>
      <c r="O20" s="242">
        <f t="shared" si="5"/>
        <v>15115000000</v>
      </c>
      <c r="P20" s="242"/>
      <c r="Q20" s="106"/>
      <c r="R20" s="3025">
        <f t="shared" si="6"/>
        <v>0</v>
      </c>
      <c r="S20" s="274"/>
      <c r="T20" s="242">
        <f>22625*1000000</f>
        <v>22625000000</v>
      </c>
      <c r="U20" s="106"/>
      <c r="V20" s="242"/>
      <c r="W20" s="274"/>
      <c r="X20" s="3026">
        <f>T20</f>
        <v>22625000000</v>
      </c>
      <c r="Y20" s="244"/>
      <c r="Z20" s="106"/>
      <c r="AA20" s="3025">
        <f t="shared" si="7"/>
        <v>0</v>
      </c>
      <c r="AB20" s="274"/>
      <c r="AC20" s="3166">
        <f>27600000000</f>
        <v>27600000000</v>
      </c>
      <c r="AD20" s="3016"/>
      <c r="AE20" s="244"/>
      <c r="AG20" s="3026">
        <f>AE20</f>
        <v>0</v>
      </c>
      <c r="AH20" s="244"/>
      <c r="AI20" s="106"/>
      <c r="AJ20" s="3025">
        <f t="shared" si="8"/>
        <v>0</v>
      </c>
      <c r="AK20" s="274"/>
      <c r="AL20" s="3166">
        <v>146000000000</v>
      </c>
      <c r="AM20" s="3016"/>
      <c r="AN20" s="244"/>
      <c r="AP20" s="164">
        <v>135000</v>
      </c>
      <c r="AQ20" s="244">
        <v>166800</v>
      </c>
      <c r="AR20" s="106"/>
      <c r="AS20" s="64">
        <f t="shared" si="9"/>
        <v>1.2355555555555555</v>
      </c>
      <c r="AT20" s="274"/>
      <c r="AU20" s="242">
        <v>121000</v>
      </c>
      <c r="AV20" s="3016"/>
      <c r="AW20" s="244">
        <f>82400*4/3</f>
        <v>109866.66666666667</v>
      </c>
      <c r="AY20" s="26"/>
      <c r="BA20" s="164">
        <v>121000</v>
      </c>
      <c r="BB20" s="244">
        <v>241798.39894899999</v>
      </c>
      <c r="BC20" s="106"/>
      <c r="BD20" s="64">
        <f t="shared" si="10"/>
        <v>1.9983338756115703</v>
      </c>
      <c r="BE20" s="274"/>
      <c r="BF20" s="242">
        <v>76000</v>
      </c>
      <c r="BG20" s="3016"/>
      <c r="BH20" s="276">
        <f>BF20*BD20</f>
        <v>151873.37454647935</v>
      </c>
      <c r="BJ20" s="26"/>
    </row>
    <row r="21" spans="1:62" x14ac:dyDescent="0.35">
      <c r="A21" s="9168"/>
      <c r="B21" s="6082"/>
      <c r="C21" s="121" t="s">
        <v>1979</v>
      </c>
      <c r="D21" s="60"/>
      <c r="F21" s="163"/>
      <c r="G21" s="235"/>
      <c r="H21" s="242"/>
      <c r="I21" s="243"/>
      <c r="J21" s="64"/>
      <c r="L21" s="242"/>
      <c r="M21" s="66"/>
      <c r="O21" s="242"/>
      <c r="P21" s="242"/>
      <c r="Q21" s="106"/>
      <c r="R21" s="64"/>
      <c r="T21" s="242"/>
      <c r="U21" s="106"/>
      <c r="V21" s="242"/>
      <c r="X21" s="3026"/>
      <c r="Y21" s="244"/>
      <c r="Z21" s="106"/>
      <c r="AA21" s="64"/>
      <c r="AC21" s="3166"/>
      <c r="AD21" s="3016"/>
      <c r="AE21" s="244"/>
      <c r="AG21" s="3026"/>
      <c r="AH21" s="244"/>
      <c r="AI21" s="106"/>
      <c r="AJ21" s="64"/>
      <c r="AL21" s="3166"/>
      <c r="AM21" s="3016"/>
      <c r="AN21" s="244"/>
      <c r="AP21" s="164">
        <v>80000</v>
      </c>
      <c r="AQ21" s="244">
        <v>62000</v>
      </c>
      <c r="AR21" s="106"/>
      <c r="AS21" s="64">
        <f t="shared" si="9"/>
        <v>0.77500000000000002</v>
      </c>
      <c r="AU21" s="242">
        <v>80500</v>
      </c>
      <c r="AV21" s="3016"/>
      <c r="AW21" s="244">
        <f>41800*4/3</f>
        <v>55733.333333333336</v>
      </c>
      <c r="AY21" s="26"/>
      <c r="BA21" s="164">
        <f>10016+70507</f>
        <v>80523</v>
      </c>
      <c r="BB21" s="244">
        <f>2150+56360</f>
        <v>58510</v>
      </c>
      <c r="BC21" s="106"/>
      <c r="BD21" s="64">
        <f t="shared" si="10"/>
        <v>0.72662469108205108</v>
      </c>
      <c r="BF21" s="242">
        <f>6188+108417</f>
        <v>114605</v>
      </c>
      <c r="BG21" s="3016"/>
      <c r="BH21" s="276">
        <f>BF21*BD21</f>
        <v>83274.822721458462</v>
      </c>
      <c r="BJ21" s="26"/>
    </row>
    <row r="22" spans="1:62" x14ac:dyDescent="0.35">
      <c r="A22" s="9168"/>
      <c r="B22" s="128"/>
      <c r="C22" s="6782" t="s">
        <v>903</v>
      </c>
      <c r="D22" s="87"/>
      <c r="F22" s="130"/>
      <c r="G22" s="235"/>
      <c r="H22" s="131">
        <f>SUM(H16:H20)</f>
        <v>3647896625059</v>
      </c>
      <c r="I22" s="132">
        <v>3218777118005</v>
      </c>
      <c r="J22" s="133">
        <f t="shared" si="3"/>
        <v>0.88236522271322326</v>
      </c>
      <c r="L22" s="131">
        <f>SUM(L16:L20)</f>
        <v>2740156000000</v>
      </c>
      <c r="M22" s="92">
        <f>SUM(M16:M20)</f>
        <v>2436785107123.4199</v>
      </c>
      <c r="O22" s="131">
        <f t="shared" si="5"/>
        <v>2740156000000</v>
      </c>
      <c r="P22" s="131"/>
      <c r="Q22" s="106" t="s">
        <v>1980</v>
      </c>
      <c r="R22" s="133">
        <f t="shared" si="6"/>
        <v>0</v>
      </c>
      <c r="T22" s="131">
        <f>SUM(T16:T20)</f>
        <v>2607875000000</v>
      </c>
      <c r="U22" s="106"/>
      <c r="V22" s="131"/>
      <c r="X22" s="1783">
        <f>SUM(X16:X20)</f>
        <v>2454717036830</v>
      </c>
      <c r="Y22" s="215"/>
      <c r="Z22" s="1000"/>
      <c r="AA22" s="133">
        <f t="shared" si="7"/>
        <v>0</v>
      </c>
      <c r="AC22" s="1781">
        <f>SUM(AC16:AC20)</f>
        <v>2107117000000</v>
      </c>
      <c r="AD22" s="1000"/>
      <c r="AE22" s="215"/>
      <c r="AG22" s="1783">
        <f>SUM(AG16:AG20)</f>
        <v>0</v>
      </c>
      <c r="AH22" s="215"/>
      <c r="AI22" s="1000"/>
      <c r="AJ22" s="133">
        <f t="shared" si="8"/>
        <v>0</v>
      </c>
      <c r="AL22" s="3167">
        <f>SUM(AL16:AL20)</f>
        <v>1303629000000</v>
      </c>
      <c r="AM22" s="1000"/>
      <c r="AN22" s="215"/>
      <c r="AP22" s="1783">
        <f>SUM(AP16:AP21)</f>
        <v>1592000</v>
      </c>
      <c r="AQ22" s="5827">
        <f>SUM(AQ16:AQ21)</f>
        <v>1468900</v>
      </c>
      <c r="AR22" s="1000"/>
      <c r="AS22" s="133">
        <f t="shared" si="9"/>
        <v>0.92267587939698492</v>
      </c>
      <c r="AU22" s="3167">
        <f>SUM(AU16:AU21)</f>
        <v>1563500</v>
      </c>
      <c r="AV22" s="1000"/>
      <c r="AW22" s="5827">
        <f>SUM(AW16:AW21)</f>
        <v>1266400</v>
      </c>
      <c r="AY22" s="24"/>
      <c r="BA22" s="1783">
        <v>1644031</v>
      </c>
      <c r="BB22" s="5827">
        <v>1604279.8762769999</v>
      </c>
      <c r="BC22" s="1000"/>
      <c r="BD22" s="133">
        <f t="shared" si="10"/>
        <v>0.975820940284581</v>
      </c>
      <c r="BF22" s="3167">
        <f>SUM(BF16:BF21)</f>
        <v>1638585</v>
      </c>
      <c r="BG22" s="1000"/>
      <c r="BH22" s="1784">
        <f>SUM(BH16:BH21)</f>
        <v>1540835.5347408182</v>
      </c>
      <c r="BJ22" s="24"/>
    </row>
    <row r="23" spans="1:62" x14ac:dyDescent="0.35">
      <c r="A23" s="9168"/>
      <c r="B23" s="139" t="s">
        <v>904</v>
      </c>
      <c r="C23" s="49"/>
      <c r="D23" s="140"/>
      <c r="E23" s="141"/>
      <c r="F23" s="1578"/>
      <c r="G23" s="1579"/>
      <c r="H23" s="1580"/>
      <c r="I23" s="150"/>
      <c r="J23" s="146"/>
      <c r="K23" s="141"/>
      <c r="L23" s="147"/>
      <c r="M23" s="148"/>
      <c r="N23" s="141"/>
      <c r="O23" s="147"/>
      <c r="P23" s="147"/>
      <c r="Q23" s="312"/>
      <c r="R23" s="146"/>
      <c r="S23" s="141"/>
      <c r="T23" s="147"/>
      <c r="U23" s="312"/>
      <c r="V23" s="147"/>
      <c r="W23" s="141"/>
      <c r="X23" s="147"/>
      <c r="Y23" s="1006"/>
      <c r="Z23" s="312"/>
      <c r="AA23" s="146"/>
      <c r="AB23" s="141"/>
      <c r="AC23" s="147"/>
      <c r="AD23" s="312"/>
      <c r="AE23" s="1006"/>
      <c r="AF23" s="141"/>
      <c r="AG23" s="147"/>
      <c r="AH23" s="1006"/>
      <c r="AI23" s="312"/>
      <c r="AJ23" s="146"/>
      <c r="AK23" s="141"/>
      <c r="AL23" s="147"/>
      <c r="AM23" s="312"/>
      <c r="AN23" s="1006"/>
      <c r="AO23" s="141"/>
      <c r="AP23" s="147"/>
      <c r="AQ23" s="1006"/>
      <c r="AR23" s="312"/>
      <c r="AS23" s="146"/>
      <c r="AT23" s="141"/>
      <c r="AU23" s="147"/>
      <c r="AV23" s="312"/>
      <c r="AW23" s="1006"/>
      <c r="AX23" s="141"/>
      <c r="AY23" s="18"/>
      <c r="BA23" s="147"/>
      <c r="BB23" s="1006"/>
      <c r="BC23" s="312"/>
      <c r="BD23" s="146"/>
      <c r="BE23" s="141"/>
      <c r="BF23" s="147"/>
      <c r="BG23" s="312"/>
      <c r="BH23" s="1007"/>
      <c r="BI23" s="141"/>
      <c r="BJ23" s="18"/>
    </row>
    <row r="24" spans="1:62" x14ac:dyDescent="0.35">
      <c r="A24" s="9168"/>
      <c r="B24" s="6082"/>
      <c r="C24" s="110" t="s">
        <v>905</v>
      </c>
      <c r="D24" s="60"/>
      <c r="F24" s="155"/>
      <c r="G24" s="235"/>
      <c r="H24" s="117">
        <v>324000000000</v>
      </c>
      <c r="I24" s="115">
        <v>322515792511</v>
      </c>
      <c r="J24" s="64">
        <f t="shared" ref="J24:J27" si="11">IF(H24=0,0,I24/H24)</f>
        <v>0.99541911268827166</v>
      </c>
      <c r="L24" s="156">
        <v>369000000000</v>
      </c>
      <c r="M24" s="157">
        <f t="shared" ref="M24:M27" si="12">L24*J24</f>
        <v>367309652581.97223</v>
      </c>
      <c r="O24" s="156">
        <f>L24</f>
        <v>369000000000</v>
      </c>
      <c r="P24" s="156"/>
      <c r="Q24" s="312"/>
      <c r="R24" s="64">
        <f t="shared" ref="R24:R27" si="13">IF(O24=0,0,P24/O24)</f>
        <v>0</v>
      </c>
      <c r="T24" s="156">
        <f>410120*1000000</f>
        <v>410120000000</v>
      </c>
      <c r="U24" s="312"/>
      <c r="V24" s="156"/>
      <c r="X24" s="3168">
        <f>T24</f>
        <v>410120000000</v>
      </c>
      <c r="Y24" s="158"/>
      <c r="Z24" s="312"/>
      <c r="AA24" s="64">
        <f t="shared" ref="AA24:AA27" si="14">IF(X24=0,0,Y24/X24)</f>
        <v>0</v>
      </c>
      <c r="AC24" s="3169">
        <v>451100000000</v>
      </c>
      <c r="AD24" s="312"/>
      <c r="AE24" s="158"/>
      <c r="AG24" s="3168">
        <f>AE24</f>
        <v>0</v>
      </c>
      <c r="AH24" s="158"/>
      <c r="AI24" s="312"/>
      <c r="AJ24" s="64">
        <f t="shared" ref="AJ24:AJ27" si="15">IF(AG24=0,0,AH24/AG24)</f>
        <v>0</v>
      </c>
      <c r="AL24" s="3170">
        <v>364500000000</v>
      </c>
      <c r="AM24" s="312"/>
      <c r="AN24" s="158"/>
      <c r="AP24" s="159">
        <v>364500</v>
      </c>
      <c r="AQ24" s="158">
        <v>363200</v>
      </c>
      <c r="AR24" s="312"/>
      <c r="AS24" s="64">
        <f t="shared" si="9"/>
        <v>0.99643347050754461</v>
      </c>
      <c r="AU24" s="156">
        <v>374000</v>
      </c>
      <c r="AV24" s="312"/>
      <c r="AW24" s="158">
        <f>261600*4/3</f>
        <v>348800</v>
      </c>
      <c r="AY24" s="26"/>
      <c r="BA24" s="159">
        <v>374000</v>
      </c>
      <c r="BB24" s="158">
        <v>349329.29321799998</v>
      </c>
      <c r="BC24" s="312"/>
      <c r="BD24" s="64">
        <f t="shared" ref="BD24:BD27" si="16">IF(BA24=0,0,BB24/BA24)</f>
        <v>0.93403554336363626</v>
      </c>
      <c r="BF24" s="156">
        <v>383500</v>
      </c>
      <c r="BG24" s="312" t="s">
        <v>1975</v>
      </c>
      <c r="BH24" s="1009">
        <f>BF24*BD24</f>
        <v>358202.63087995449</v>
      </c>
      <c r="BJ24" s="26"/>
    </row>
    <row r="25" spans="1:62" x14ac:dyDescent="0.35">
      <c r="A25" s="9168"/>
      <c r="B25" s="6082"/>
      <c r="C25" s="110" t="s">
        <v>907</v>
      </c>
      <c r="D25" s="60"/>
      <c r="F25" s="155"/>
      <c r="G25" s="235"/>
      <c r="H25" s="117"/>
      <c r="I25" s="115"/>
      <c r="J25" s="64">
        <f t="shared" si="11"/>
        <v>0</v>
      </c>
      <c r="L25" s="156"/>
      <c r="M25" s="157">
        <f t="shared" si="12"/>
        <v>0</v>
      </c>
      <c r="O25" s="156"/>
      <c r="P25" s="156"/>
      <c r="Q25" s="312"/>
      <c r="R25" s="64">
        <f t="shared" si="13"/>
        <v>0</v>
      </c>
      <c r="T25" s="156"/>
      <c r="U25" s="312"/>
      <c r="V25" s="156"/>
      <c r="X25" s="159"/>
      <c r="Y25" s="158"/>
      <c r="Z25" s="312"/>
      <c r="AA25" s="64">
        <f t="shared" si="14"/>
        <v>0</v>
      </c>
      <c r="AC25" s="156"/>
      <c r="AD25" s="312"/>
      <c r="AE25" s="158"/>
      <c r="AG25" s="159"/>
      <c r="AH25" s="158"/>
      <c r="AI25" s="312"/>
      <c r="AJ25" s="64">
        <f t="shared" si="15"/>
        <v>0</v>
      </c>
      <c r="AL25" s="156"/>
      <c r="AM25" s="312"/>
      <c r="AN25" s="158"/>
      <c r="AP25" s="159"/>
      <c r="AQ25" s="158"/>
      <c r="AR25" s="312"/>
      <c r="AS25" s="64">
        <f t="shared" si="9"/>
        <v>0</v>
      </c>
      <c r="AU25" s="156"/>
      <c r="AV25" s="312"/>
      <c r="AW25" s="158"/>
      <c r="AY25" s="26"/>
      <c r="BA25" s="159"/>
      <c r="BB25" s="158"/>
      <c r="BC25" s="312"/>
      <c r="BD25" s="64">
        <f t="shared" si="16"/>
        <v>0</v>
      </c>
      <c r="BF25" s="156"/>
      <c r="BG25" s="312"/>
      <c r="BH25" s="1009"/>
      <c r="BJ25" s="26"/>
    </row>
    <row r="26" spans="1:62" x14ac:dyDescent="0.35">
      <c r="A26" s="9168"/>
      <c r="B26" s="6082"/>
      <c r="C26" s="110" t="s">
        <v>908</v>
      </c>
      <c r="D26" s="60"/>
      <c r="F26" s="155"/>
      <c r="G26" s="235"/>
      <c r="H26" s="117"/>
      <c r="I26" s="115"/>
      <c r="J26" s="64">
        <f t="shared" si="11"/>
        <v>0</v>
      </c>
      <c r="L26" s="156"/>
      <c r="M26" s="157">
        <f t="shared" si="12"/>
        <v>0</v>
      </c>
      <c r="O26" s="156"/>
      <c r="P26" s="156"/>
      <c r="Q26" s="312"/>
      <c r="R26" s="64">
        <f t="shared" si="13"/>
        <v>0</v>
      </c>
      <c r="T26" s="156"/>
      <c r="U26" s="312"/>
      <c r="V26" s="156"/>
      <c r="X26" s="159"/>
      <c r="Y26" s="158"/>
      <c r="Z26" s="312"/>
      <c r="AA26" s="64">
        <f t="shared" si="14"/>
        <v>0</v>
      </c>
      <c r="AC26" s="156"/>
      <c r="AD26" s="312"/>
      <c r="AE26" s="158"/>
      <c r="AG26" s="159"/>
      <c r="AH26" s="158"/>
      <c r="AI26" s="312"/>
      <c r="AJ26" s="64">
        <f t="shared" si="15"/>
        <v>0</v>
      </c>
      <c r="AL26" s="156"/>
      <c r="AM26" s="312"/>
      <c r="AN26" s="158"/>
      <c r="AP26" s="159"/>
      <c r="AQ26" s="158"/>
      <c r="AR26" s="312"/>
      <c r="AS26" s="64">
        <f t="shared" si="9"/>
        <v>0</v>
      </c>
      <c r="AU26" s="156"/>
      <c r="AV26" s="312"/>
      <c r="AW26" s="158"/>
      <c r="AY26" s="26"/>
      <c r="BA26" s="159"/>
      <c r="BB26" s="158"/>
      <c r="BC26" s="312"/>
      <c r="BD26" s="64">
        <f t="shared" si="16"/>
        <v>0</v>
      </c>
      <c r="BF26" s="4056"/>
      <c r="BG26" s="3064"/>
      <c r="BH26" s="7848"/>
      <c r="BJ26" s="4761"/>
    </row>
    <row r="27" spans="1:62" x14ac:dyDescent="0.35">
      <c r="A27" s="9168"/>
      <c r="B27" s="6082"/>
      <c r="C27" s="161" t="s">
        <v>910</v>
      </c>
      <c r="D27" s="162"/>
      <c r="F27" s="163"/>
      <c r="G27" s="235"/>
      <c r="H27" s="164"/>
      <c r="I27" s="165"/>
      <c r="J27" s="64">
        <f t="shared" si="11"/>
        <v>0</v>
      </c>
      <c r="L27" s="166"/>
      <c r="M27" s="157">
        <f t="shared" si="12"/>
        <v>0</v>
      </c>
      <c r="O27" s="166"/>
      <c r="P27" s="166"/>
      <c r="Q27" s="312"/>
      <c r="R27" s="64">
        <f t="shared" si="13"/>
        <v>0</v>
      </c>
      <c r="T27" s="166"/>
      <c r="U27" s="312"/>
      <c r="V27" s="166"/>
      <c r="X27" s="166"/>
      <c r="Y27" s="6353"/>
      <c r="Z27" s="312"/>
      <c r="AA27" s="64">
        <f t="shared" si="14"/>
        <v>0</v>
      </c>
      <c r="AC27" s="166"/>
      <c r="AD27" s="312"/>
      <c r="AE27" s="6353"/>
      <c r="AG27" s="166"/>
      <c r="AH27" s="6353"/>
      <c r="AI27" s="312"/>
      <c r="AJ27" s="64">
        <f t="shared" si="15"/>
        <v>0</v>
      </c>
      <c r="AL27" s="166"/>
      <c r="AM27" s="312"/>
      <c r="AN27" s="6353"/>
      <c r="AP27" s="166"/>
      <c r="AQ27" s="6353"/>
      <c r="AR27" s="312"/>
      <c r="AS27" s="64">
        <f t="shared" si="9"/>
        <v>0</v>
      </c>
      <c r="AU27" s="166"/>
      <c r="AV27" s="312"/>
      <c r="AW27" s="6353"/>
      <c r="AY27" s="26"/>
      <c r="BA27" s="166"/>
      <c r="BB27" s="6353"/>
      <c r="BC27" s="312"/>
      <c r="BD27" s="64">
        <f t="shared" si="16"/>
        <v>0</v>
      </c>
      <c r="BF27" s="5486"/>
      <c r="BG27" s="3064"/>
      <c r="BH27" s="7849"/>
      <c r="BJ27" s="26"/>
    </row>
    <row r="28" spans="1:62" x14ac:dyDescent="0.35">
      <c r="A28" s="9168"/>
      <c r="B28" s="128"/>
      <c r="C28" s="129" t="s">
        <v>914</v>
      </c>
      <c r="D28" s="87"/>
      <c r="F28" s="169">
        <f>IF(F25=0,0,(F26-F27)/F25)</f>
        <v>0</v>
      </c>
      <c r="G28" s="170"/>
      <c r="H28" s="171">
        <f t="shared" ref="H28:I28" si="17">IF(H25=0,0,(H26-H27)/H25)</f>
        <v>0</v>
      </c>
      <c r="I28" s="172">
        <f t="shared" si="17"/>
        <v>0</v>
      </c>
      <c r="J28" s="173"/>
      <c r="K28" s="170"/>
      <c r="L28" s="174">
        <f>IF(L25=0,0,L26/L25)</f>
        <v>0</v>
      </c>
      <c r="M28" s="175">
        <f>IF(M25=0,0,M26/M25)</f>
        <v>0</v>
      </c>
      <c r="N28" s="170"/>
      <c r="O28" s="174"/>
      <c r="P28" s="174"/>
      <c r="Q28" s="1022"/>
      <c r="R28" s="173"/>
      <c r="S28" s="170"/>
      <c r="T28" s="174"/>
      <c r="U28" s="1022"/>
      <c r="V28" s="174"/>
      <c r="W28" s="170"/>
      <c r="X28" s="174"/>
      <c r="Y28" s="180"/>
      <c r="Z28" s="178"/>
      <c r="AA28" s="173"/>
      <c r="AB28" s="170"/>
      <c r="AC28" s="174"/>
      <c r="AD28" s="1022"/>
      <c r="AE28" s="3171"/>
      <c r="AF28" s="176"/>
      <c r="AG28" s="174"/>
      <c r="AH28" s="180"/>
      <c r="AI28" s="178"/>
      <c r="AJ28" s="173"/>
      <c r="AK28" s="170"/>
      <c r="AL28" s="174"/>
      <c r="AM28" s="1022"/>
      <c r="AN28" s="3171"/>
      <c r="AO28" s="176"/>
      <c r="AP28" s="174"/>
      <c r="AQ28" s="180"/>
      <c r="AR28" s="178"/>
      <c r="AS28" s="173"/>
      <c r="AT28" s="170"/>
      <c r="AU28" s="174"/>
      <c r="AV28" s="1022"/>
      <c r="AW28" s="3171"/>
      <c r="AX28" s="176"/>
      <c r="AY28" s="24"/>
      <c r="BA28" s="174"/>
      <c r="BB28" s="180"/>
      <c r="BC28" s="178"/>
      <c r="BD28" s="173"/>
      <c r="BE28" s="170"/>
      <c r="BF28" s="174"/>
      <c r="BG28" s="1022"/>
      <c r="BH28" s="6366"/>
      <c r="BI28" s="176"/>
      <c r="BJ28" s="24"/>
    </row>
    <row r="29" spans="1:62" x14ac:dyDescent="0.35">
      <c r="A29" s="9169"/>
      <c r="B29" s="499" t="s">
        <v>915</v>
      </c>
      <c r="C29" s="500"/>
      <c r="D29" s="501"/>
      <c r="F29" s="502"/>
      <c r="H29" s="503"/>
      <c r="I29" s="504"/>
      <c r="J29" s="3050">
        <f>IF(H29=0,0,I29/H29)</f>
        <v>0</v>
      </c>
      <c r="L29" s="503"/>
      <c r="M29" s="506">
        <f t="shared" ref="M29" si="18">L29*J29</f>
        <v>0</v>
      </c>
      <c r="O29" s="503"/>
      <c r="P29" s="503"/>
      <c r="Q29" s="312"/>
      <c r="R29" s="3050">
        <f>IF(O29=0,0,P29/O29)</f>
        <v>0</v>
      </c>
      <c r="T29" s="503"/>
      <c r="U29" s="312"/>
      <c r="V29" s="503"/>
      <c r="X29" s="1024"/>
      <c r="Y29" s="1025"/>
      <c r="Z29" s="6135"/>
      <c r="AA29" s="3050">
        <f>IF(X29=0,0,Y29/X29)</f>
        <v>0</v>
      </c>
      <c r="AC29" s="503"/>
      <c r="AD29" s="3172"/>
      <c r="AE29" s="1025"/>
      <c r="AG29" s="1024"/>
      <c r="AH29" s="1025"/>
      <c r="AI29" s="6135"/>
      <c r="AJ29" s="3050">
        <f>IF(AG29=0,0,AH29/AG29)</f>
        <v>0</v>
      </c>
      <c r="AL29" s="503"/>
      <c r="AM29" s="3172"/>
      <c r="AN29" s="1025"/>
      <c r="AP29" s="1024"/>
      <c r="AQ29" s="1025"/>
      <c r="AR29" s="6135"/>
      <c r="AS29" s="3050">
        <f>IF(AP29=0,0,AQ29/AP29)</f>
        <v>0</v>
      </c>
      <c r="AU29" s="503"/>
      <c r="AV29" s="3172"/>
      <c r="AW29" s="1025"/>
      <c r="AY29" s="509"/>
      <c r="BA29" s="1024"/>
      <c r="BB29" s="1025"/>
      <c r="BC29" s="6135"/>
      <c r="BD29" s="3050">
        <f>IF(BA29=0,0,BB29/BA29)</f>
        <v>0</v>
      </c>
      <c r="BF29" s="503"/>
      <c r="BG29" s="3172"/>
      <c r="BH29" s="1030"/>
      <c r="BJ29" s="509"/>
    </row>
    <row r="30" spans="1:62" x14ac:dyDescent="0.35">
      <c r="A30" s="220"/>
      <c r="B30" s="220"/>
      <c r="F30" s="106"/>
      <c r="H30" s="106"/>
      <c r="I30" s="106"/>
      <c r="J30" s="221"/>
      <c r="L30" s="106"/>
      <c r="O30" s="106"/>
      <c r="P30" s="106"/>
      <c r="R30" s="221"/>
      <c r="T30" s="106"/>
      <c r="V30" s="106"/>
      <c r="X30" s="106"/>
      <c r="Y30" s="106"/>
      <c r="AA30" s="221"/>
      <c r="AC30" s="106"/>
      <c r="AE30" s="106"/>
      <c r="AG30" s="106"/>
      <c r="AH30" s="106"/>
      <c r="AJ30" s="221"/>
      <c r="AL30" s="106"/>
      <c r="AN30" s="106"/>
      <c r="AP30" s="106"/>
      <c r="AQ30" s="106"/>
      <c r="AS30" s="221"/>
      <c r="AU30" s="106"/>
      <c r="AW30" s="106"/>
      <c r="BA30" s="106"/>
      <c r="BB30" s="106"/>
      <c r="BD30" s="221"/>
      <c r="BF30" s="245"/>
      <c r="BH30" s="66"/>
    </row>
    <row r="31" spans="1:62" ht="27.75" customHeight="1" x14ac:dyDescent="0.35">
      <c r="A31" s="9167" t="s">
        <v>916</v>
      </c>
      <c r="B31" s="27"/>
      <c r="C31" s="28" t="s">
        <v>427</v>
      </c>
      <c r="D31" s="42" t="s">
        <v>428</v>
      </c>
      <c r="E31" s="30"/>
      <c r="F31" s="31"/>
      <c r="G31" s="510"/>
      <c r="H31" s="9155" t="s">
        <v>1947</v>
      </c>
      <c r="I31" s="9156"/>
      <c r="J31" s="224"/>
      <c r="K31" s="223"/>
      <c r="L31" s="31" t="s">
        <v>1981</v>
      </c>
      <c r="M31" s="511"/>
      <c r="N31" s="223"/>
      <c r="O31" s="31" t="s">
        <v>1982</v>
      </c>
      <c r="P31" s="31"/>
      <c r="Q31" s="462"/>
      <c r="R31" s="224"/>
      <c r="S31" s="223"/>
      <c r="T31" s="31" t="s">
        <v>1949</v>
      </c>
      <c r="U31" s="462"/>
      <c r="V31" s="31"/>
      <c r="W31" s="223"/>
      <c r="X31" s="31" t="s">
        <v>1671</v>
      </c>
      <c r="Y31" s="31"/>
      <c r="Z31" s="511"/>
      <c r="AA31" s="224"/>
      <c r="AB31" s="223"/>
      <c r="AC31" s="31" t="s">
        <v>1671</v>
      </c>
      <c r="AD31" s="511"/>
      <c r="AE31" s="31"/>
      <c r="AF31" s="30"/>
      <c r="AG31" s="31" t="s">
        <v>1983</v>
      </c>
      <c r="AH31" s="31"/>
      <c r="AI31" s="511"/>
      <c r="AJ31" s="224"/>
      <c r="AK31" s="223"/>
      <c r="AL31" s="31" t="s">
        <v>1952</v>
      </c>
      <c r="AM31" s="511"/>
      <c r="AN31" s="31"/>
      <c r="AO31" s="30"/>
      <c r="AP31" s="31" t="s">
        <v>1952</v>
      </c>
      <c r="AQ31" s="31" t="s">
        <v>1984</v>
      </c>
      <c r="AR31" s="35" t="s">
        <v>1953</v>
      </c>
      <c r="AS31" s="224"/>
      <c r="AT31" s="223"/>
      <c r="AU31" s="31" t="s">
        <v>1952</v>
      </c>
      <c r="AV31" s="35" t="s">
        <v>1985</v>
      </c>
      <c r="AW31" s="472" t="s">
        <v>1180</v>
      </c>
      <c r="AX31" s="30"/>
      <c r="AY31" s="39"/>
      <c r="BA31" s="31"/>
      <c r="BB31" s="31"/>
      <c r="BC31" s="35"/>
      <c r="BD31" s="224"/>
      <c r="BE31" s="223"/>
      <c r="BF31" s="31"/>
      <c r="BG31" s="35"/>
      <c r="BH31" s="472"/>
      <c r="BI31" s="30"/>
      <c r="BJ31" s="39"/>
    </row>
    <row r="32" spans="1:62" x14ac:dyDescent="0.35">
      <c r="A32" s="9168"/>
      <c r="B32" s="141" t="s">
        <v>925</v>
      </c>
      <c r="C32"/>
      <c r="D32" s="140"/>
      <c r="E32" s="143"/>
      <c r="F32" s="227"/>
      <c r="G32" s="143"/>
      <c r="H32" s="102"/>
      <c r="I32" s="103"/>
      <c r="J32" s="228"/>
      <c r="K32" s="143"/>
      <c r="L32" s="102"/>
      <c r="M32" s="229"/>
      <c r="N32" s="143"/>
      <c r="O32" s="102"/>
      <c r="P32" s="102"/>
      <c r="R32" s="228"/>
      <c r="S32" s="143"/>
      <c r="T32" s="102"/>
      <c r="V32" s="102"/>
      <c r="W32" s="143"/>
      <c r="X32" s="102"/>
      <c r="Y32" s="103"/>
      <c r="AA32" s="228"/>
      <c r="AB32" s="143"/>
      <c r="AC32" s="102"/>
      <c r="AE32" s="103"/>
      <c r="AF32" s="143"/>
      <c r="AG32" s="102"/>
      <c r="AH32" s="103"/>
      <c r="AJ32" s="228"/>
      <c r="AK32" s="143"/>
      <c r="AL32" s="102"/>
      <c r="AN32" s="103"/>
      <c r="AO32" s="143"/>
      <c r="AP32" s="102" t="s">
        <v>1986</v>
      </c>
      <c r="AQ32" s="103"/>
      <c r="AS32" s="228"/>
      <c r="AT32" s="143"/>
      <c r="AU32" s="102"/>
      <c r="AW32" s="105"/>
      <c r="AX32" s="143"/>
      <c r="AY32" s="18"/>
      <c r="BA32" s="102"/>
      <c r="BB32" s="103"/>
      <c r="BD32" s="228"/>
      <c r="BE32" s="143"/>
      <c r="BF32" s="102"/>
      <c r="BH32" s="105"/>
      <c r="BI32" s="143"/>
      <c r="BJ32" s="18"/>
    </row>
    <row r="33" spans="1:62" ht="24.25" customHeight="1" x14ac:dyDescent="0.35">
      <c r="A33" s="9168"/>
      <c r="B33" s="232"/>
      <c r="C33" s="232" t="s">
        <v>1987</v>
      </c>
      <c r="D33" s="60"/>
      <c r="F33" s="111"/>
      <c r="H33" s="780">
        <v>192845940380</v>
      </c>
      <c r="I33" s="113">
        <v>114172028882</v>
      </c>
      <c r="J33" s="64">
        <f>IF(H33=0,0,I33/H33)</f>
        <v>0.59203750235564068</v>
      </c>
      <c r="L33" s="780">
        <f>103103474141+7500000000</f>
        <v>110603474141</v>
      </c>
      <c r="M33" s="3173">
        <f>L33</f>
        <v>110603474141</v>
      </c>
      <c r="O33" s="791"/>
      <c r="P33" s="791"/>
      <c r="T33" s="780"/>
      <c r="V33" s="791"/>
      <c r="X33" s="791"/>
      <c r="Y33" s="791"/>
      <c r="AC33" s="3013"/>
      <c r="AL33" s="7964"/>
      <c r="AP33" s="3174"/>
      <c r="AQ33" s="3175"/>
      <c r="AR33" s="3064"/>
      <c r="AS33" s="64">
        <f t="shared" ref="AS33:AS41" si="19">IF(AP33=0,0,AQ33/AP33)</f>
        <v>0</v>
      </c>
      <c r="AU33" s="3164"/>
      <c r="AV33" s="6361"/>
      <c r="AW33" s="890"/>
      <c r="AY33" s="26"/>
      <c r="BA33" s="3174"/>
      <c r="BB33" s="3175"/>
      <c r="BC33" s="3064"/>
      <c r="BD33" s="64"/>
      <c r="BF33" s="3164"/>
      <c r="BG33" s="6361"/>
      <c r="BH33" s="7850"/>
      <c r="BJ33" s="26"/>
    </row>
    <row r="34" spans="1:62" x14ac:dyDescent="0.35">
      <c r="A34" s="9168"/>
      <c r="B34" s="232"/>
      <c r="C34" s="232" t="s">
        <v>1363</v>
      </c>
      <c r="D34" s="60"/>
      <c r="F34" s="111"/>
      <c r="H34" s="780"/>
      <c r="I34" s="113"/>
      <c r="J34" s="64"/>
      <c r="L34" s="780"/>
      <c r="M34" s="3173"/>
      <c r="O34" s="791">
        <f>115563474141-O35</f>
        <v>103103474141</v>
      </c>
      <c r="P34" s="791"/>
      <c r="Q34" s="3064" t="s">
        <v>1988</v>
      </c>
      <c r="R34" s="64">
        <f>IF(O34=0,0,P34/O34)</f>
        <v>0</v>
      </c>
      <c r="T34" s="780">
        <f>152178409702-T35</f>
        <v>119778409702</v>
      </c>
      <c r="U34" s="3064" t="s">
        <v>1989</v>
      </c>
      <c r="V34" s="791"/>
      <c r="X34" s="791">
        <f>T34</f>
        <v>119778409702</v>
      </c>
      <c r="Y34" s="791"/>
      <c r="Z34" s="3064"/>
      <c r="AA34" s="64">
        <f t="shared" ref="AA34" si="20">IF(X34=0,0,Y34/X34)</f>
        <v>0</v>
      </c>
      <c r="AC34" s="3164">
        <f>158574559198-AC35</f>
        <v>129460559198</v>
      </c>
      <c r="AD34" s="3041"/>
      <c r="AE34" s="3175"/>
      <c r="AG34" s="3174">
        <f>AE34</f>
        <v>0</v>
      </c>
      <c r="AH34" s="3175"/>
      <c r="AI34" s="3064"/>
      <c r="AJ34" s="64">
        <f t="shared" ref="AJ34" si="21">IF(AG34=0,0,AH34/AG34)</f>
        <v>0</v>
      </c>
      <c r="AL34" s="3176">
        <f>122755278644-AL35</f>
        <v>108628278644</v>
      </c>
      <c r="AM34" s="6361" t="s">
        <v>1990</v>
      </c>
      <c r="AN34" s="3175"/>
      <c r="AP34" s="248">
        <v>108628.27864400001</v>
      </c>
      <c r="AQ34" s="233">
        <v>102762.83794</v>
      </c>
      <c r="AR34" s="6362" t="s">
        <v>1991</v>
      </c>
      <c r="AS34" s="64">
        <f t="shared" si="19"/>
        <v>0.94600447712862679</v>
      </c>
      <c r="AU34" s="112">
        <v>113962.236275</v>
      </c>
      <c r="AV34" s="6361"/>
      <c r="AW34" s="890">
        <f>AU34*AS34</f>
        <v>107808.7857397404</v>
      </c>
      <c r="AY34" s="26"/>
      <c r="BA34" s="248">
        <f>13365.826391+26227.288+BA58</f>
        <v>121462.236275</v>
      </c>
      <c r="BB34" s="233">
        <f>8117.978405+25914.51071+BB58</f>
        <v>111713.33997599999</v>
      </c>
      <c r="BC34" s="6362"/>
      <c r="BD34" s="64">
        <f t="shared" ref="BD34:BD41" si="22">IF(BA34=0,0,BB34/BA34)</f>
        <v>0.9197372237003133</v>
      </c>
      <c r="BF34" s="112">
        <v>118792.24406899999</v>
      </c>
      <c r="BG34" s="6361" t="s">
        <v>1992</v>
      </c>
      <c r="BH34" s="7851">
        <f>BF34*BD34</f>
        <v>109257.64875715206</v>
      </c>
      <c r="BJ34" s="26"/>
    </row>
    <row r="35" spans="1:62" x14ac:dyDescent="0.35">
      <c r="A35" s="9168"/>
      <c r="B35" s="232"/>
      <c r="C35" s="232" t="s">
        <v>891</v>
      </c>
      <c r="D35" s="60"/>
      <c r="F35" s="111"/>
      <c r="H35" s="780"/>
      <c r="I35" s="113"/>
      <c r="J35" s="64"/>
      <c r="L35" s="780"/>
      <c r="M35" s="3173"/>
      <c r="O35" s="791">
        <v>12460000000</v>
      </c>
      <c r="P35" s="791"/>
      <c r="Q35" s="3064"/>
      <c r="R35" s="64"/>
      <c r="T35" s="780">
        <v>32400000000</v>
      </c>
      <c r="U35" s="3064"/>
      <c r="V35" s="791"/>
      <c r="X35" s="791">
        <f>T35</f>
        <v>32400000000</v>
      </c>
      <c r="Y35" s="791"/>
      <c r="Z35" s="3064"/>
      <c r="AA35" s="64"/>
      <c r="AC35" s="3164">
        <v>29114000000</v>
      </c>
      <c r="AD35" s="3064"/>
      <c r="AE35" s="3175"/>
      <c r="AG35" s="3174">
        <f>AE35</f>
        <v>0</v>
      </c>
      <c r="AH35" s="3175"/>
      <c r="AI35" s="3064"/>
      <c r="AJ35" s="64"/>
      <c r="AL35" s="3176">
        <v>14127000000</v>
      </c>
      <c r="AM35" s="6361" t="s">
        <v>1993</v>
      </c>
      <c r="AN35" s="3175"/>
      <c r="AP35" s="248">
        <v>14127</v>
      </c>
      <c r="AQ35" s="233">
        <v>44365</v>
      </c>
      <c r="AR35" s="6362"/>
      <c r="AS35" s="64">
        <f t="shared" si="19"/>
        <v>3.1404402916401217</v>
      </c>
      <c r="AU35" s="112">
        <v>10410</v>
      </c>
      <c r="AV35" s="6361"/>
      <c r="AW35" s="6363">
        <f>AU35</f>
        <v>10410</v>
      </c>
      <c r="AY35" s="26"/>
      <c r="BA35" s="248">
        <v>10410</v>
      </c>
      <c r="BB35" s="233">
        <v>9795.8815699999996</v>
      </c>
      <c r="BC35" s="6362"/>
      <c r="BD35" s="64">
        <f t="shared" si="22"/>
        <v>0.94100687512007686</v>
      </c>
      <c r="BF35" s="112">
        <v>9465</v>
      </c>
      <c r="BG35" s="6361"/>
      <c r="BH35" s="7850">
        <f t="shared" ref="BH35:BH41" si="23">BF35*BD35</f>
        <v>8906.6300730115272</v>
      </c>
      <c r="BJ35" s="26"/>
    </row>
    <row r="36" spans="1:62" x14ac:dyDescent="0.35">
      <c r="A36" s="9168"/>
      <c r="B36" s="232"/>
      <c r="C36" s="232" t="s">
        <v>1994</v>
      </c>
      <c r="D36" s="60"/>
      <c r="F36" s="155"/>
      <c r="H36" s="785">
        <v>114172028882</v>
      </c>
      <c r="I36" s="115">
        <v>58544715135</v>
      </c>
      <c r="J36" s="64">
        <f>IF(H36=0,0,I36/H36)</f>
        <v>0.51277634030229602</v>
      </c>
      <c r="L36" s="785">
        <f>21604898470+6000000000</f>
        <v>27604898470</v>
      </c>
      <c r="M36" s="3173">
        <f t="shared" ref="M36:M39" si="24">L36</f>
        <v>27604898470</v>
      </c>
      <c r="O36" s="791"/>
      <c r="P36" s="791"/>
      <c r="T36" s="785"/>
      <c r="V36" s="791"/>
      <c r="X36" s="791"/>
      <c r="Y36" s="791"/>
      <c r="AC36" s="7964"/>
      <c r="AL36" s="7964"/>
      <c r="AN36" s="3178"/>
      <c r="AP36" s="200"/>
      <c r="AQ36" s="201"/>
      <c r="AR36" s="6362"/>
      <c r="AS36" s="64">
        <f t="shared" si="19"/>
        <v>0</v>
      </c>
      <c r="AU36" s="117"/>
      <c r="AV36" s="6361"/>
      <c r="AW36" s="890"/>
      <c r="AY36" s="26"/>
      <c r="BA36" s="200"/>
      <c r="BB36" s="201"/>
      <c r="BC36" s="6362"/>
      <c r="BD36" s="64"/>
      <c r="BF36" s="117"/>
      <c r="BG36" s="6361"/>
      <c r="BH36" s="7851"/>
      <c r="BJ36" s="26"/>
    </row>
    <row r="37" spans="1:62" x14ac:dyDescent="0.35">
      <c r="A37" s="9168"/>
      <c r="B37" s="232"/>
      <c r="C37" s="232" t="s">
        <v>1363</v>
      </c>
      <c r="D37" s="60"/>
      <c r="F37" s="163"/>
      <c r="H37" s="791"/>
      <c r="I37" s="243"/>
      <c r="J37" s="64"/>
      <c r="L37" s="791"/>
      <c r="M37" s="3173"/>
      <c r="O37" s="791">
        <f>28009898470-O38</f>
        <v>21604898470</v>
      </c>
      <c r="P37" s="791"/>
      <c r="Q37" s="3064" t="s">
        <v>1874</v>
      </c>
      <c r="R37" s="64">
        <f>IF(O37=0,0,P37/O37)</f>
        <v>0</v>
      </c>
      <c r="T37" s="791">
        <f>51999653001-T38</f>
        <v>31119653001</v>
      </c>
      <c r="U37" s="3064" t="s">
        <v>1995</v>
      </c>
      <c r="V37" s="791"/>
      <c r="X37" s="791">
        <f>T37</f>
        <v>31119653001</v>
      </c>
      <c r="Y37" s="791"/>
      <c r="Z37" s="3064"/>
      <c r="AA37" s="64">
        <f t="shared" ref="AA37" si="25">IF(X37=0,0,Y37/X37)</f>
        <v>0</v>
      </c>
      <c r="AC37" s="3179">
        <f>52893160674-AC38</f>
        <v>38457160674</v>
      </c>
      <c r="AD37" s="3064"/>
      <c r="AE37" s="3178"/>
      <c r="AG37" s="3177">
        <f>AE37</f>
        <v>0</v>
      </c>
      <c r="AH37" s="3178"/>
      <c r="AI37" s="3064"/>
      <c r="AJ37" s="64">
        <f t="shared" ref="AJ37" si="26">IF(AG37=0,0,AH37/AG37)</f>
        <v>0</v>
      </c>
      <c r="AL37" s="3179">
        <f>46170178882-AL38</f>
        <v>38555178882</v>
      </c>
      <c r="AM37" s="6361" t="s">
        <v>1996</v>
      </c>
      <c r="AN37" s="1558"/>
      <c r="AP37" s="200">
        <v>38555.178882000007</v>
      </c>
      <c r="AQ37" s="201">
        <v>32448.013454000004</v>
      </c>
      <c r="AR37" s="6362" t="s">
        <v>1997</v>
      </c>
      <c r="AS37" s="64">
        <f t="shared" si="19"/>
        <v>0.84159934916418677</v>
      </c>
      <c r="AU37" s="117">
        <v>36845.502254999999</v>
      </c>
      <c r="AV37" s="6361"/>
      <c r="AW37" s="890">
        <f t="shared" ref="AW37:AW40" si="27">AU37*AS37</f>
        <v>31009.150717435576</v>
      </c>
      <c r="AY37" s="26"/>
      <c r="BA37" s="200">
        <f>2737.855595+20558.815+BA59</f>
        <v>39845.502254999999</v>
      </c>
      <c r="BB37" s="201">
        <f>2055.528502+10632.000797+BB59</f>
        <v>24783.511672000001</v>
      </c>
      <c r="BC37" s="6362"/>
      <c r="BD37" s="64">
        <f>IF(BA37=0,0,BB37/BA37)</f>
        <v>0.62199019385908361</v>
      </c>
      <c r="BF37" s="117">
        <v>41244.881282000002</v>
      </c>
      <c r="BG37" s="6361" t="s">
        <v>1998</v>
      </c>
      <c r="BH37" s="7850">
        <f t="shared" si="23"/>
        <v>25653.911704286071</v>
      </c>
      <c r="BJ37" s="26"/>
    </row>
    <row r="38" spans="1:62" x14ac:dyDescent="0.35">
      <c r="A38" s="9168"/>
      <c r="B38" s="232"/>
      <c r="C38" s="232" t="s">
        <v>891</v>
      </c>
      <c r="D38" s="60"/>
      <c r="F38" s="163"/>
      <c r="H38" s="791"/>
      <c r="I38" s="243"/>
      <c r="J38" s="64"/>
      <c r="L38" s="791"/>
      <c r="M38" s="3173"/>
      <c r="O38" s="791">
        <v>6405000000</v>
      </c>
      <c r="P38" s="791"/>
      <c r="Q38" s="3064"/>
      <c r="R38" s="64"/>
      <c r="T38" s="791">
        <v>20880000000</v>
      </c>
      <c r="V38" s="791"/>
      <c r="X38" s="791">
        <f>T38</f>
        <v>20880000000</v>
      </c>
      <c r="Y38" s="791"/>
      <c r="Z38" s="3064"/>
      <c r="AA38" s="64"/>
      <c r="AC38" s="3166">
        <v>14436000000</v>
      </c>
      <c r="AE38" s="1558"/>
      <c r="AG38" s="3180">
        <f>AE38</f>
        <v>0</v>
      </c>
      <c r="AH38" s="1558"/>
      <c r="AI38" s="3064"/>
      <c r="AJ38" s="64"/>
      <c r="AL38" s="3181">
        <v>7615000000</v>
      </c>
      <c r="AM38" s="6361" t="s">
        <v>1999</v>
      </c>
      <c r="AN38" s="1558"/>
      <c r="AP38" s="200">
        <v>7660.0000000000009</v>
      </c>
      <c r="AQ38" s="201">
        <v>2727</v>
      </c>
      <c r="AR38" s="6362"/>
      <c r="AS38" s="64">
        <f t="shared" si="19"/>
        <v>0.35600522193211481</v>
      </c>
      <c r="AU38" s="117">
        <v>11480</v>
      </c>
      <c r="AV38" s="6361"/>
      <c r="AW38" s="890">
        <f t="shared" si="27"/>
        <v>4086.9399477806783</v>
      </c>
      <c r="AY38" s="26"/>
      <c r="BA38" s="200">
        <v>11476</v>
      </c>
      <c r="BB38" s="201">
        <v>5861.5676940000003</v>
      </c>
      <c r="BC38" s="6362"/>
      <c r="BD38" s="64">
        <f t="shared" si="22"/>
        <v>0.51076748814918094</v>
      </c>
      <c r="BF38" s="117">
        <v>8433</v>
      </c>
      <c r="BG38" s="6361"/>
      <c r="BH38" s="7851">
        <f t="shared" si="23"/>
        <v>4307.3022275620424</v>
      </c>
      <c r="BJ38" s="26"/>
    </row>
    <row r="39" spans="1:62" x14ac:dyDescent="0.35">
      <c r="A39" s="9168"/>
      <c r="B39" s="232"/>
      <c r="C39" s="232" t="s">
        <v>1745</v>
      </c>
      <c r="D39" s="60"/>
      <c r="F39" s="163"/>
      <c r="H39" s="791">
        <v>123738221973</v>
      </c>
      <c r="I39" s="243">
        <v>108870219293</v>
      </c>
      <c r="J39" s="64">
        <f>IF(H39=0,0,I39/H39)</f>
        <v>0.87984308774661202</v>
      </c>
      <c r="L39" s="791">
        <f>46145583819+46400000000</f>
        <v>92545583819</v>
      </c>
      <c r="M39" s="3173">
        <f t="shared" si="24"/>
        <v>92545583819</v>
      </c>
      <c r="O39" s="791"/>
      <c r="P39" s="791"/>
      <c r="Q39" s="3064"/>
      <c r="R39" s="64"/>
      <c r="T39" s="791"/>
      <c r="V39" s="791"/>
      <c r="X39" s="791"/>
      <c r="Y39" s="791"/>
      <c r="Z39" s="3064"/>
      <c r="AA39" s="64"/>
      <c r="AC39" s="3166"/>
      <c r="AE39" s="1558"/>
      <c r="AG39" s="3180"/>
      <c r="AH39" s="1558"/>
      <c r="AI39" s="3064"/>
      <c r="AJ39" s="64"/>
      <c r="AL39" s="3181"/>
      <c r="AM39" s="6361"/>
      <c r="AN39" s="1558"/>
      <c r="AP39" s="200"/>
      <c r="AQ39" s="201"/>
      <c r="AR39" s="6362"/>
      <c r="AS39" s="64">
        <f t="shared" si="19"/>
        <v>0</v>
      </c>
      <c r="AU39" s="117"/>
      <c r="AV39" s="6361"/>
      <c r="AW39" s="890"/>
      <c r="AY39" s="26"/>
      <c r="BA39" s="200"/>
      <c r="BB39" s="201"/>
      <c r="BC39" s="6362"/>
      <c r="BD39" s="64"/>
      <c r="BF39" s="117"/>
      <c r="BG39" s="6361"/>
      <c r="BH39" s="7850"/>
      <c r="BJ39" s="26"/>
    </row>
    <row r="40" spans="1:62" x14ac:dyDescent="0.35">
      <c r="A40" s="9168"/>
      <c r="B40" s="232"/>
      <c r="C40" s="232" t="s">
        <v>1363</v>
      </c>
      <c r="D40" s="60"/>
      <c r="F40" s="163"/>
      <c r="H40" s="242"/>
      <c r="I40" s="243"/>
      <c r="J40" s="64">
        <f>IF(H40=0,0,I40/H40)</f>
        <v>0</v>
      </c>
      <c r="L40" s="242"/>
      <c r="M40" s="157">
        <f t="shared" ref="M40" si="28">L40*J40</f>
        <v>0</v>
      </c>
      <c r="O40" s="791">
        <f>91615583819-O41</f>
        <v>45215583819</v>
      </c>
      <c r="P40" s="791"/>
      <c r="Q40" s="3064" t="s">
        <v>1988</v>
      </c>
      <c r="R40" s="64">
        <f>IF(O40=0,0,P40/O40)</f>
        <v>0</v>
      </c>
      <c r="T40" s="242">
        <f>86085720176-T41</f>
        <v>49688720176</v>
      </c>
      <c r="U40" s="3064" t="s">
        <v>1989</v>
      </c>
      <c r="V40" s="791"/>
      <c r="X40" s="791">
        <f>T40</f>
        <v>49688720176</v>
      </c>
      <c r="Y40" s="791"/>
      <c r="Z40" s="3064"/>
      <c r="AA40" s="64">
        <f t="shared" ref="AA40:AA41" si="29">IF(X40=0,0,Y40/X40)</f>
        <v>0</v>
      </c>
      <c r="AC40" s="3182">
        <f>75247516300-AC41</f>
        <v>59247516300</v>
      </c>
      <c r="AD40" s="3064"/>
      <c r="AE40" s="1558"/>
      <c r="AG40" s="3180">
        <f>AE40</f>
        <v>0</v>
      </c>
      <c r="AH40" s="1558"/>
      <c r="AI40" s="3064"/>
      <c r="AJ40" s="64">
        <f t="shared" ref="AJ40:AJ41" si="30">IF(AG40=0,0,AH40/AG40)</f>
        <v>0</v>
      </c>
      <c r="AL40" s="3182">
        <f>60640470620-AL41</f>
        <v>58520470620</v>
      </c>
      <c r="AM40" s="6361" t="s">
        <v>2000</v>
      </c>
      <c r="AN40" s="244"/>
      <c r="AP40" s="200">
        <v>58520.47062</v>
      </c>
      <c r="AQ40" s="201">
        <v>28690.405957692081</v>
      </c>
      <c r="AR40" s="6362" t="s">
        <v>1991</v>
      </c>
      <c r="AS40" s="64">
        <f t="shared" si="19"/>
        <v>0.49026273462481051</v>
      </c>
      <c r="AU40" s="117">
        <v>58318.800211000002</v>
      </c>
      <c r="AV40" s="6361"/>
      <c r="AW40" s="890">
        <f t="shared" si="27"/>
        <v>28591.534471482839</v>
      </c>
      <c r="AY40" s="26"/>
      <c r="BA40" s="200">
        <f>1058.037024+57007.56+BA60</f>
        <v>58318.800210999994</v>
      </c>
      <c r="BB40" s="201">
        <f>540.508726+22234.669663+BB60</f>
        <v>23167.567745</v>
      </c>
      <c r="BC40" s="6362"/>
      <c r="BD40" s="64">
        <f t="shared" si="22"/>
        <v>0.39725727657597065</v>
      </c>
      <c r="BF40" s="117">
        <v>64832.313829999999</v>
      </c>
      <c r="BG40" s="6361" t="s">
        <v>1992</v>
      </c>
      <c r="BH40" s="7851">
        <f t="shared" si="23"/>
        <v>25755.108426224437</v>
      </c>
      <c r="BJ40" s="26"/>
    </row>
    <row r="41" spans="1:62" x14ac:dyDescent="0.35">
      <c r="A41" s="9168"/>
      <c r="B41" s="232"/>
      <c r="C41" s="232" t="s">
        <v>891</v>
      </c>
      <c r="D41" s="60"/>
      <c r="F41" s="122"/>
      <c r="H41" s="198"/>
      <c r="I41" s="199"/>
      <c r="J41" s="64"/>
      <c r="L41" s="198"/>
      <c r="M41" s="157"/>
      <c r="O41" s="791">
        <v>46400000000</v>
      </c>
      <c r="P41" s="791"/>
      <c r="Q41" s="312"/>
      <c r="R41" s="64">
        <f>IF(O41=0,0,P41/O41)</f>
        <v>0</v>
      </c>
      <c r="T41" s="198">
        <v>36397000000</v>
      </c>
      <c r="U41" s="312"/>
      <c r="V41" s="791"/>
      <c r="X41" s="791">
        <f>T41</f>
        <v>36397000000</v>
      </c>
      <c r="Y41" s="791"/>
      <c r="Z41" s="312"/>
      <c r="AA41" s="64">
        <f t="shared" si="29"/>
        <v>0</v>
      </c>
      <c r="AC41" s="3166">
        <v>16000000000</v>
      </c>
      <c r="AD41" s="312"/>
      <c r="AE41" s="244"/>
      <c r="AG41" s="3026">
        <f>AE41</f>
        <v>0</v>
      </c>
      <c r="AH41" s="244"/>
      <c r="AI41" s="312"/>
      <c r="AJ41" s="64">
        <f t="shared" si="30"/>
        <v>0</v>
      </c>
      <c r="AL41" s="3181" t="s">
        <v>2001</v>
      </c>
      <c r="AM41" s="6361" t="s">
        <v>2002</v>
      </c>
      <c r="AN41" s="199"/>
      <c r="AP41" s="200">
        <v>2120</v>
      </c>
      <c r="AQ41" s="201">
        <v>3560</v>
      </c>
      <c r="AR41" s="312"/>
      <c r="AS41" s="64">
        <f t="shared" si="19"/>
        <v>1.679245283018868</v>
      </c>
      <c r="AU41" s="117">
        <v>16117</v>
      </c>
      <c r="AV41" s="6361"/>
      <c r="AW41" s="6363">
        <f>AU41</f>
        <v>16117</v>
      </c>
      <c r="AY41" s="26"/>
      <c r="BA41" s="200">
        <v>16117</v>
      </c>
      <c r="BB41" s="201">
        <v>15568.9</v>
      </c>
      <c r="BC41" s="312"/>
      <c r="BD41" s="64">
        <f t="shared" si="22"/>
        <v>0.96599243035304339</v>
      </c>
      <c r="BF41" s="117">
        <v>17575</v>
      </c>
      <c r="BG41" s="6361"/>
      <c r="BH41" s="7850">
        <f t="shared" si="23"/>
        <v>16977.316963454738</v>
      </c>
      <c r="BJ41" s="26"/>
    </row>
    <row r="42" spans="1:62" x14ac:dyDescent="0.35">
      <c r="A42" s="9168"/>
      <c r="B42" s="232"/>
      <c r="C42" s="232" t="s">
        <v>2003</v>
      </c>
      <c r="D42" s="60"/>
      <c r="F42" s="122"/>
      <c r="H42" s="198"/>
      <c r="I42" s="199"/>
      <c r="J42" s="64"/>
      <c r="L42" s="198"/>
      <c r="M42" s="157"/>
      <c r="O42" s="791"/>
      <c r="P42" s="791"/>
      <c r="Q42" s="312"/>
      <c r="R42" s="64"/>
      <c r="T42" s="198"/>
      <c r="U42" s="312"/>
      <c r="V42" s="791"/>
      <c r="X42" s="791"/>
      <c r="Y42" s="791"/>
      <c r="Z42" s="312"/>
      <c r="AA42" s="64"/>
      <c r="AC42" s="3013"/>
      <c r="AD42" s="312"/>
      <c r="AE42" s="199"/>
      <c r="AG42" s="3013"/>
      <c r="AH42" s="199"/>
      <c r="AI42" s="312"/>
      <c r="AJ42" s="64"/>
      <c r="AL42" s="6367"/>
      <c r="AM42" s="6361"/>
      <c r="AN42" s="199"/>
      <c r="AP42" s="200"/>
      <c r="AQ42" s="201"/>
      <c r="AR42" s="312"/>
      <c r="AS42" s="64"/>
      <c r="AU42" s="5365"/>
      <c r="AV42" s="6364"/>
      <c r="AW42" s="66"/>
      <c r="AY42" s="26"/>
      <c r="BA42" s="200"/>
      <c r="BB42" s="201"/>
      <c r="BC42" s="312"/>
      <c r="BD42" s="64"/>
      <c r="BF42" s="5365"/>
      <c r="BG42" s="6364"/>
      <c r="BH42" s="7851"/>
      <c r="BJ42" s="26"/>
    </row>
    <row r="43" spans="1:62" x14ac:dyDescent="0.35">
      <c r="A43" s="9168"/>
      <c r="B43" s="232"/>
      <c r="C43" s="232" t="s">
        <v>1363</v>
      </c>
      <c r="D43" s="60"/>
      <c r="F43" s="122"/>
      <c r="H43" s="198"/>
      <c r="I43" s="199"/>
      <c r="J43" s="64"/>
      <c r="L43" s="198"/>
      <c r="M43" s="157"/>
      <c r="O43" s="791"/>
      <c r="P43" s="791"/>
      <c r="Q43" s="312"/>
      <c r="R43" s="64"/>
      <c r="T43" s="198"/>
      <c r="U43" s="312"/>
      <c r="V43" s="791"/>
      <c r="X43" s="791"/>
      <c r="Y43" s="791"/>
      <c r="Z43" s="312"/>
      <c r="AA43" s="64"/>
      <c r="AC43" s="3013"/>
      <c r="AD43" s="312"/>
      <c r="AE43" s="199"/>
      <c r="AG43" s="3013"/>
      <c r="AH43" s="199"/>
      <c r="AI43" s="312"/>
      <c r="AJ43" s="64"/>
      <c r="AL43" s="3013"/>
      <c r="AM43" s="6364" t="s">
        <v>2004</v>
      </c>
      <c r="AN43" s="199"/>
      <c r="AP43" s="3039"/>
      <c r="AQ43" s="201"/>
      <c r="AR43" s="312"/>
      <c r="AS43" s="64"/>
      <c r="AU43" s="5365"/>
      <c r="AV43" s="6364"/>
      <c r="AW43" s="66"/>
      <c r="AY43" s="26"/>
      <c r="BA43" s="3039"/>
      <c r="BB43" s="201"/>
      <c r="BC43" s="312"/>
      <c r="BD43" s="64"/>
      <c r="BF43" s="5365"/>
      <c r="BG43" s="6364"/>
      <c r="BH43" s="7850"/>
      <c r="BJ43" s="26"/>
    </row>
    <row r="44" spans="1:62" x14ac:dyDescent="0.35">
      <c r="A44" s="9168"/>
      <c r="B44" s="232"/>
      <c r="C44" s="232" t="s">
        <v>891</v>
      </c>
      <c r="D44" s="60"/>
      <c r="F44" s="122"/>
      <c r="H44" s="198"/>
      <c r="I44" s="199"/>
      <c r="J44" s="64"/>
      <c r="L44" s="198"/>
      <c r="M44" s="157"/>
      <c r="O44" s="791"/>
      <c r="P44" s="791"/>
      <c r="Q44" s="312"/>
      <c r="R44" s="64"/>
      <c r="T44" s="198"/>
      <c r="U44" s="312"/>
      <c r="V44" s="791"/>
      <c r="X44" s="791"/>
      <c r="Y44" s="791"/>
      <c r="Z44" s="312"/>
      <c r="AA44" s="64"/>
      <c r="AC44" s="3013"/>
      <c r="AD44" s="312"/>
      <c r="AE44" s="199"/>
      <c r="AG44" s="3013"/>
      <c r="AH44" s="199"/>
      <c r="AI44" s="312"/>
      <c r="AJ44" s="64"/>
      <c r="AL44" s="3013"/>
      <c r="AM44" s="6364"/>
      <c r="AN44" s="199"/>
      <c r="AP44" s="3039"/>
      <c r="AQ44" s="201"/>
      <c r="AR44" s="312"/>
      <c r="AS44" s="64"/>
      <c r="AU44" s="5365"/>
      <c r="AV44" s="6364"/>
      <c r="AW44" s="66"/>
      <c r="AY44" s="26"/>
      <c r="BA44" s="3039"/>
      <c r="BB44" s="201"/>
      <c r="BC44" s="312"/>
      <c r="BD44" s="64"/>
      <c r="BF44" s="5365"/>
      <c r="BG44" s="6364"/>
      <c r="BH44" s="7851"/>
      <c r="BJ44" s="26"/>
    </row>
    <row r="45" spans="1:62" x14ac:dyDescent="0.35">
      <c r="A45" s="9168"/>
      <c r="B45" s="141" t="s">
        <v>940</v>
      </c>
      <c r="C45"/>
      <c r="D45" s="60"/>
      <c r="E45" s="143"/>
      <c r="F45" s="168"/>
      <c r="G45" s="143"/>
      <c r="H45" s="245"/>
      <c r="I45" s="106"/>
      <c r="J45" s="246"/>
      <c r="K45" s="143"/>
      <c r="L45" s="245"/>
      <c r="M45" s="247"/>
      <c r="N45" s="143"/>
      <c r="O45" s="7965"/>
      <c r="P45" s="7965"/>
      <c r="Q45" s="254"/>
      <c r="R45" s="246"/>
      <c r="S45" s="143"/>
      <c r="T45" s="245"/>
      <c r="U45" s="254"/>
      <c r="V45" s="7965"/>
      <c r="W45" s="143"/>
      <c r="X45" s="245"/>
      <c r="Y45" s="106"/>
      <c r="Z45" s="254"/>
      <c r="AA45" s="246"/>
      <c r="AB45" s="143"/>
      <c r="AC45" s="245"/>
      <c r="AD45" s="254"/>
      <c r="AE45" s="106"/>
      <c r="AF45" s="143"/>
      <c r="AG45" s="245"/>
      <c r="AH45" s="106"/>
      <c r="AI45" s="254"/>
      <c r="AJ45" s="246"/>
      <c r="AK45" s="143"/>
      <c r="AL45" s="245"/>
      <c r="AM45" s="6364"/>
      <c r="AN45" s="106"/>
      <c r="AO45" s="143"/>
      <c r="AP45" s="245"/>
      <c r="AQ45" s="106"/>
      <c r="AR45" s="254"/>
      <c r="AS45" s="246"/>
      <c r="AT45" s="143"/>
      <c r="AU45" s="245"/>
      <c r="AV45" s="6364"/>
      <c r="AW45" s="66"/>
      <c r="AX45" s="143"/>
      <c r="AY45" s="26"/>
      <c r="AZ45" s="514"/>
      <c r="BA45" s="245"/>
      <c r="BB45" s="106"/>
      <c r="BC45" s="254"/>
      <c r="BD45" s="246"/>
      <c r="BE45" s="143"/>
      <c r="BF45" s="245"/>
      <c r="BG45" s="6364"/>
      <c r="BH45" s="66"/>
      <c r="BI45" s="143"/>
      <c r="BJ45" s="26"/>
    </row>
    <row r="46" spans="1:62" x14ac:dyDescent="0.35">
      <c r="A46" s="9168"/>
      <c r="B46" s="232"/>
      <c r="C46" s="232" t="s">
        <v>941</v>
      </c>
      <c r="D46" s="60"/>
      <c r="F46" s="111"/>
      <c r="H46" s="112"/>
      <c r="I46" s="113"/>
      <c r="J46" s="64">
        <f>IF(H46=0,0,I46/H46)</f>
        <v>0</v>
      </c>
      <c r="L46" s="112"/>
      <c r="M46" s="157">
        <f t="shared" ref="M46:M48" si="31">L46*J46</f>
        <v>0</v>
      </c>
      <c r="O46" s="791"/>
      <c r="P46" s="791"/>
      <c r="Q46" s="312"/>
      <c r="R46" s="64">
        <f t="shared" ref="R46:R48" si="32">IF(O46=0,0,P46/O46)</f>
        <v>0</v>
      </c>
      <c r="T46" s="112"/>
      <c r="U46" s="312"/>
      <c r="V46" s="791"/>
      <c r="X46" s="248"/>
      <c r="Y46" s="233"/>
      <c r="Z46" s="312"/>
      <c r="AA46" s="64">
        <f t="shared" ref="AA46:AA48" si="33">IF(X46=0,0,Y46/X46)</f>
        <v>0</v>
      </c>
      <c r="AC46" s="112"/>
      <c r="AD46" s="312"/>
      <c r="AE46" s="233"/>
      <c r="AG46" s="248"/>
      <c r="AH46" s="233"/>
      <c r="AI46" s="312"/>
      <c r="AJ46" s="64">
        <f t="shared" ref="AJ46:AJ48" si="34">IF(AG46=0,0,AH46/AG46)</f>
        <v>0</v>
      </c>
      <c r="AL46" s="112"/>
      <c r="AM46" s="6364"/>
      <c r="AN46" s="233"/>
      <c r="AP46" s="248"/>
      <c r="AQ46" s="233"/>
      <c r="AR46" s="312"/>
      <c r="AS46" s="64">
        <f t="shared" ref="AS46:AS48" si="35">IF(AP46=0,0,AQ46/AP46)</f>
        <v>0</v>
      </c>
      <c r="AU46" s="112"/>
      <c r="AV46" s="6364"/>
      <c r="AW46" s="1034"/>
      <c r="AY46" s="26"/>
      <c r="AZ46" s="514"/>
      <c r="BA46" s="248"/>
      <c r="BB46" s="233"/>
      <c r="BC46" s="312"/>
      <c r="BD46" s="64"/>
      <c r="BF46" s="112"/>
      <c r="BG46" s="6364"/>
      <c r="BH46" s="1034"/>
      <c r="BJ46" s="26"/>
    </row>
    <row r="47" spans="1:62" x14ac:dyDescent="0.35">
      <c r="A47" s="9168"/>
      <c r="B47" s="232"/>
      <c r="C47" s="232" t="s">
        <v>942</v>
      </c>
      <c r="D47" s="60"/>
      <c r="F47" s="155"/>
      <c r="H47" s="117"/>
      <c r="I47" s="115"/>
      <c r="J47" s="64">
        <f>IF(H47=0,0,I47/H47)</f>
        <v>0</v>
      </c>
      <c r="L47" s="117"/>
      <c r="M47" s="157">
        <f t="shared" si="31"/>
        <v>0</v>
      </c>
      <c r="O47" s="791"/>
      <c r="P47" s="791"/>
      <c r="Q47" s="312"/>
      <c r="R47" s="64">
        <f t="shared" si="32"/>
        <v>0</v>
      </c>
      <c r="T47" s="117"/>
      <c r="U47" s="312"/>
      <c r="V47" s="791"/>
      <c r="X47" s="200"/>
      <c r="Y47" s="201"/>
      <c r="Z47" s="312"/>
      <c r="AA47" s="64">
        <f t="shared" si="33"/>
        <v>0</v>
      </c>
      <c r="AC47" s="117"/>
      <c r="AD47" s="312"/>
      <c r="AE47" s="201"/>
      <c r="AG47" s="200"/>
      <c r="AH47" s="201"/>
      <c r="AI47" s="312"/>
      <c r="AJ47" s="64">
        <f t="shared" si="34"/>
        <v>0</v>
      </c>
      <c r="AL47" s="117"/>
      <c r="AM47" s="6364"/>
      <c r="AN47" s="201"/>
      <c r="AP47" s="200"/>
      <c r="AQ47" s="201"/>
      <c r="AR47" s="312"/>
      <c r="AS47" s="64">
        <f t="shared" si="35"/>
        <v>0</v>
      </c>
      <c r="AU47" s="117"/>
      <c r="AV47" s="6364"/>
      <c r="AW47" s="273"/>
      <c r="AY47" s="26"/>
      <c r="AZ47" s="514"/>
      <c r="BA47" s="200"/>
      <c r="BB47" s="201"/>
      <c r="BC47" s="312"/>
      <c r="BD47" s="64"/>
      <c r="BF47" s="117"/>
      <c r="BG47" s="6364"/>
      <c r="BH47" s="273"/>
      <c r="BJ47" s="26"/>
    </row>
    <row r="48" spans="1:62" x14ac:dyDescent="0.35">
      <c r="A48" s="9168"/>
      <c r="B48" s="1662"/>
      <c r="C48" s="1662" t="s">
        <v>943</v>
      </c>
      <c r="D48" s="87"/>
      <c r="F48" s="130"/>
      <c r="H48" s="242"/>
      <c r="I48" s="243"/>
      <c r="J48" s="64">
        <f>IF(H48=0,0,I48/H48)</f>
        <v>0</v>
      </c>
      <c r="L48" s="131"/>
      <c r="M48" s="213">
        <f t="shared" si="31"/>
        <v>0</v>
      </c>
      <c r="O48" s="791"/>
      <c r="P48" s="791"/>
      <c r="Q48" s="312"/>
      <c r="R48" s="64">
        <f t="shared" si="32"/>
        <v>0</v>
      </c>
      <c r="T48" s="242"/>
      <c r="U48" s="312"/>
      <c r="V48" s="791"/>
      <c r="X48" s="214"/>
      <c r="Y48" s="215"/>
      <c r="Z48" s="6135"/>
      <c r="AA48" s="64">
        <f t="shared" si="33"/>
        <v>0</v>
      </c>
      <c r="AC48" s="214"/>
      <c r="AD48" s="7966"/>
      <c r="AE48" s="215"/>
      <c r="AG48" s="214"/>
      <c r="AH48" s="215"/>
      <c r="AI48" s="6135"/>
      <c r="AJ48" s="64">
        <f t="shared" si="34"/>
        <v>0</v>
      </c>
      <c r="AL48" s="214"/>
      <c r="AM48" s="6364"/>
      <c r="AN48" s="215"/>
      <c r="AP48" s="214"/>
      <c r="AQ48" s="215"/>
      <c r="AR48" s="6135"/>
      <c r="AS48" s="64">
        <f t="shared" si="35"/>
        <v>0</v>
      </c>
      <c r="AU48" s="214"/>
      <c r="AV48" s="6365"/>
      <c r="AW48" s="658"/>
      <c r="AY48" s="24"/>
      <c r="AZ48" s="514"/>
      <c r="BA48" s="214"/>
      <c r="BB48" s="215"/>
      <c r="BC48" s="6135"/>
      <c r="BD48" s="64"/>
      <c r="BF48" s="214"/>
      <c r="BG48" s="6365"/>
      <c r="BH48" s="658"/>
      <c r="BJ48" s="24"/>
    </row>
    <row r="49" spans="1:62" x14ac:dyDescent="0.35">
      <c r="A49" s="9168"/>
      <c r="B49" s="141" t="s">
        <v>944</v>
      </c>
      <c r="C49" s="141"/>
      <c r="D49" s="60"/>
      <c r="E49" s="143"/>
      <c r="F49" s="227"/>
      <c r="G49" s="143"/>
      <c r="H49" s="102"/>
      <c r="I49" s="103"/>
      <c r="J49" s="252"/>
      <c r="K49" s="143"/>
      <c r="L49" s="245"/>
      <c r="M49" s="247"/>
      <c r="N49" s="143"/>
      <c r="O49" s="245"/>
      <c r="P49" s="245"/>
      <c r="Q49" s="254"/>
      <c r="R49" s="252"/>
      <c r="S49" s="143"/>
      <c r="T49" s="245"/>
      <c r="U49" s="254"/>
      <c r="V49" s="245"/>
      <c r="W49" s="143"/>
      <c r="X49" s="245"/>
      <c r="Y49" s="106"/>
      <c r="Z49" s="254"/>
      <c r="AA49" s="252"/>
      <c r="AB49" s="143"/>
      <c r="AC49" s="245"/>
      <c r="AD49" s="2909"/>
      <c r="AE49" s="103"/>
      <c r="AF49" s="143"/>
      <c r="AG49" s="245"/>
      <c r="AH49" s="106"/>
      <c r="AI49" s="254"/>
      <c r="AJ49" s="252"/>
      <c r="AK49" s="143"/>
      <c r="AL49" s="245"/>
      <c r="AM49" s="2909"/>
      <c r="AN49" s="103"/>
      <c r="AO49" s="143"/>
      <c r="AP49" s="245"/>
      <c r="AQ49" s="106"/>
      <c r="AR49" s="254"/>
      <c r="AS49" s="252"/>
      <c r="AT49" s="143"/>
      <c r="AU49" s="245"/>
      <c r="AV49" s="2909"/>
      <c r="AW49" s="103"/>
      <c r="AX49" s="143"/>
      <c r="AY49" s="26"/>
      <c r="BA49" s="245"/>
      <c r="BB49" s="106"/>
      <c r="BC49" s="254"/>
      <c r="BD49" s="252"/>
      <c r="BE49" s="143"/>
      <c r="BF49" s="245"/>
      <c r="BG49" s="2909"/>
      <c r="BH49" s="105"/>
      <c r="BI49" s="143"/>
      <c r="BJ49" s="26"/>
    </row>
    <row r="50" spans="1:62" ht="24.75" customHeight="1" x14ac:dyDescent="0.35">
      <c r="A50" s="9168"/>
      <c r="B50" s="232"/>
      <c r="C50" s="232" t="s">
        <v>1742</v>
      </c>
      <c r="D50" s="60"/>
      <c r="F50" s="111"/>
      <c r="H50" s="112"/>
      <c r="I50" s="113"/>
      <c r="J50" s="64">
        <f>IF(H50=0,0,I50/H50)</f>
        <v>0</v>
      </c>
      <c r="L50" s="112"/>
      <c r="M50" s="157">
        <f t="shared" ref="M50:M56" si="36">L50*J50</f>
        <v>0</v>
      </c>
      <c r="O50" s="112"/>
      <c r="P50" s="112"/>
      <c r="Q50" s="312"/>
      <c r="R50" s="64">
        <f t="shared" ref="R50:R56" si="37">IF(O50=0,0,P50/O50)</f>
        <v>0</v>
      </c>
      <c r="T50" s="112"/>
      <c r="U50" s="312"/>
      <c r="V50" s="112"/>
      <c r="X50" s="248"/>
      <c r="Y50" s="233"/>
      <c r="Z50" s="312"/>
      <c r="AA50" s="64">
        <f t="shared" ref="AA50:AA56" si="38">IF(X50=0,0,Y50/X50)</f>
        <v>0</v>
      </c>
      <c r="AC50" s="112"/>
      <c r="AD50" s="312"/>
      <c r="AE50" s="233"/>
      <c r="AG50" s="248"/>
      <c r="AH50" s="233"/>
      <c r="AI50" s="312"/>
      <c r="AJ50" s="64">
        <f t="shared" ref="AJ50:AJ56" si="39">IF(AG50=0,0,AH50/AG50)</f>
        <v>0</v>
      </c>
      <c r="AL50" s="112"/>
      <c r="AM50" s="312"/>
      <c r="AN50" s="233"/>
      <c r="AP50" s="248"/>
      <c r="AQ50" s="233"/>
      <c r="AR50" s="312"/>
      <c r="AS50" s="64">
        <f t="shared" ref="AS50:AS56" si="40">IF(AP50=0,0,AQ50/AP50)</f>
        <v>0</v>
      </c>
      <c r="AU50" s="112"/>
      <c r="AV50" s="312"/>
      <c r="AW50" s="233"/>
      <c r="AY50" s="257"/>
      <c r="BA50" s="248"/>
      <c r="BB50" s="233"/>
      <c r="BC50" s="312"/>
      <c r="BD50" s="64">
        <f t="shared" ref="BD50:BD56" si="41">IF(BA50=0,0,BB50/BA50)</f>
        <v>0</v>
      </c>
      <c r="BF50" s="112"/>
      <c r="BG50" s="312"/>
      <c r="BH50" s="1034"/>
      <c r="BJ50" s="257"/>
    </row>
    <row r="51" spans="1:62" x14ac:dyDescent="0.35">
      <c r="A51" s="9168"/>
      <c r="B51" s="232"/>
      <c r="C51" s="232" t="s">
        <v>942</v>
      </c>
      <c r="D51" s="60"/>
      <c r="F51" s="155"/>
      <c r="H51" s="117"/>
      <c r="I51" s="115"/>
      <c r="J51" s="64">
        <f>IF(H51=0,0,I51/H51)</f>
        <v>0</v>
      </c>
      <c r="L51" s="117"/>
      <c r="M51" s="157">
        <f t="shared" si="36"/>
        <v>0</v>
      </c>
      <c r="O51" s="117"/>
      <c r="P51" s="117"/>
      <c r="Q51" s="312"/>
      <c r="R51" s="64">
        <f t="shared" si="37"/>
        <v>0</v>
      </c>
      <c r="T51" s="117"/>
      <c r="U51" s="312"/>
      <c r="V51" s="117"/>
      <c r="X51" s="200"/>
      <c r="Y51" s="201"/>
      <c r="Z51" s="312"/>
      <c r="AA51" s="64">
        <f t="shared" si="38"/>
        <v>0</v>
      </c>
      <c r="AC51" s="117"/>
      <c r="AD51" s="312"/>
      <c r="AE51" s="201"/>
      <c r="AG51" s="200"/>
      <c r="AH51" s="201"/>
      <c r="AI51" s="312"/>
      <c r="AJ51" s="64">
        <f t="shared" si="39"/>
        <v>0</v>
      </c>
      <c r="AL51" s="117"/>
      <c r="AM51" s="312"/>
      <c r="AN51" s="201"/>
      <c r="AP51" s="200"/>
      <c r="AQ51" s="201"/>
      <c r="AR51" s="312"/>
      <c r="AS51" s="64">
        <f t="shared" si="40"/>
        <v>0</v>
      </c>
      <c r="AU51" s="117"/>
      <c r="AV51" s="312"/>
      <c r="AW51" s="201"/>
      <c r="AY51" s="26"/>
      <c r="BA51" s="200"/>
      <c r="BB51" s="201"/>
      <c r="BC51" s="312"/>
      <c r="BD51" s="64">
        <f t="shared" si="41"/>
        <v>0</v>
      </c>
      <c r="BF51" s="117"/>
      <c r="BG51" s="312"/>
      <c r="BH51" s="273"/>
      <c r="BJ51" s="26"/>
    </row>
    <row r="52" spans="1:62" x14ac:dyDescent="0.35">
      <c r="A52" s="9168"/>
      <c r="B52" s="232"/>
      <c r="C52" s="232" t="s">
        <v>943</v>
      </c>
      <c r="D52" s="60"/>
      <c r="F52" s="155"/>
      <c r="H52" s="117"/>
      <c r="I52" s="115"/>
      <c r="J52" s="64">
        <f>IF(H52=0,0,I52/H52)</f>
        <v>0</v>
      </c>
      <c r="L52" s="117"/>
      <c r="M52" s="157">
        <f t="shared" si="36"/>
        <v>0</v>
      </c>
      <c r="O52" s="117"/>
      <c r="P52" s="117"/>
      <c r="Q52" s="312"/>
      <c r="R52" s="64">
        <f t="shared" si="37"/>
        <v>0</v>
      </c>
      <c r="T52" s="117"/>
      <c r="U52" s="312"/>
      <c r="V52" s="117"/>
      <c r="X52" s="200"/>
      <c r="Y52" s="201"/>
      <c r="Z52" s="312"/>
      <c r="AA52" s="64">
        <f t="shared" si="38"/>
        <v>0</v>
      </c>
      <c r="AC52" s="117"/>
      <c r="AD52" s="312"/>
      <c r="AE52" s="201"/>
      <c r="AG52" s="200"/>
      <c r="AH52" s="201"/>
      <c r="AI52" s="312"/>
      <c r="AJ52" s="64">
        <f t="shared" si="39"/>
        <v>0</v>
      </c>
      <c r="AL52" s="117"/>
      <c r="AM52" s="312"/>
      <c r="AN52" s="201"/>
      <c r="AP52" s="200"/>
      <c r="AQ52" s="201"/>
      <c r="AR52" s="312"/>
      <c r="AS52" s="64">
        <f t="shared" si="40"/>
        <v>0</v>
      </c>
      <c r="AU52" s="117"/>
      <c r="AV52" s="312"/>
      <c r="AW52" s="201"/>
      <c r="AY52" s="26"/>
      <c r="BA52" s="200"/>
      <c r="BB52" s="201"/>
      <c r="BC52" s="312"/>
      <c r="BD52" s="64">
        <f t="shared" si="41"/>
        <v>0</v>
      </c>
      <c r="BF52" s="117"/>
      <c r="BG52" s="312"/>
      <c r="BH52" s="273"/>
      <c r="BJ52" s="26"/>
    </row>
    <row r="53" spans="1:62" x14ac:dyDescent="0.35">
      <c r="A53" s="9168"/>
      <c r="B53" s="232"/>
      <c r="C53" s="232" t="s">
        <v>977</v>
      </c>
      <c r="D53" s="60"/>
      <c r="F53" s="155"/>
      <c r="H53" s="117"/>
      <c r="I53" s="115"/>
      <c r="J53" s="64">
        <f>IF(H53=0,0,I53/H53)</f>
        <v>0</v>
      </c>
      <c r="L53" s="117"/>
      <c r="M53" s="157">
        <f t="shared" si="36"/>
        <v>0</v>
      </c>
      <c r="O53" s="117"/>
      <c r="P53" s="117"/>
      <c r="Q53" s="312"/>
      <c r="R53" s="64">
        <f t="shared" si="37"/>
        <v>0</v>
      </c>
      <c r="T53" s="117"/>
      <c r="U53" s="312"/>
      <c r="V53" s="117"/>
      <c r="X53" s="200"/>
      <c r="Y53" s="201"/>
      <c r="Z53" s="312"/>
      <c r="AA53" s="64">
        <f t="shared" si="38"/>
        <v>0</v>
      </c>
      <c r="AC53" s="117"/>
      <c r="AD53" s="312"/>
      <c r="AE53" s="201"/>
      <c r="AG53" s="200"/>
      <c r="AH53" s="201"/>
      <c r="AI53" s="312"/>
      <c r="AJ53" s="64">
        <f t="shared" si="39"/>
        <v>0</v>
      </c>
      <c r="AL53" s="117"/>
      <c r="AM53" s="312"/>
      <c r="AN53" s="201"/>
      <c r="AP53" s="200"/>
      <c r="AQ53" s="201"/>
      <c r="AR53" s="312"/>
      <c r="AS53" s="64">
        <f t="shared" si="40"/>
        <v>0</v>
      </c>
      <c r="AU53" s="117"/>
      <c r="AV53" s="312"/>
      <c r="AW53" s="201"/>
      <c r="AY53" s="26"/>
      <c r="BA53" s="200"/>
      <c r="BB53" s="201"/>
      <c r="BC53" s="312"/>
      <c r="BD53" s="64">
        <f t="shared" si="41"/>
        <v>0</v>
      </c>
      <c r="BF53" s="117"/>
      <c r="BG53" s="312"/>
      <c r="BH53" s="273"/>
      <c r="BJ53" s="26"/>
    </row>
    <row r="54" spans="1:62" x14ac:dyDescent="0.35">
      <c r="A54" s="9168"/>
      <c r="B54" s="232"/>
      <c r="C54" s="232" t="s">
        <v>962</v>
      </c>
      <c r="D54" s="60"/>
      <c r="F54" s="155"/>
      <c r="H54" s="117"/>
      <c r="I54" s="115"/>
      <c r="J54" s="64">
        <f>IF(H54=0,0,I54/H54)</f>
        <v>0</v>
      </c>
      <c r="L54" s="117"/>
      <c r="M54" s="157">
        <f t="shared" si="36"/>
        <v>0</v>
      </c>
      <c r="O54" s="117"/>
      <c r="P54" s="117"/>
      <c r="Q54" s="312"/>
      <c r="R54" s="64">
        <f t="shared" si="37"/>
        <v>0</v>
      </c>
      <c r="T54" s="117"/>
      <c r="U54" s="312"/>
      <c r="V54" s="117"/>
      <c r="X54" s="200"/>
      <c r="Y54" s="201"/>
      <c r="Z54" s="312"/>
      <c r="AA54" s="64">
        <f t="shared" si="38"/>
        <v>0</v>
      </c>
      <c r="AC54" s="117"/>
      <c r="AD54" s="312"/>
      <c r="AE54" s="201"/>
      <c r="AG54" s="200"/>
      <c r="AH54" s="201"/>
      <c r="AI54" s="312"/>
      <c r="AJ54" s="64">
        <f t="shared" si="39"/>
        <v>0</v>
      </c>
      <c r="AL54" s="117"/>
      <c r="AM54" s="312"/>
      <c r="AN54" s="201"/>
      <c r="AP54" s="200"/>
      <c r="AQ54" s="201"/>
      <c r="AR54" s="312"/>
      <c r="AS54" s="64">
        <f t="shared" si="40"/>
        <v>0</v>
      </c>
      <c r="AU54" s="117"/>
      <c r="AV54" s="312"/>
      <c r="AW54" s="201"/>
      <c r="AY54" s="26"/>
      <c r="BA54" s="200"/>
      <c r="BB54" s="201"/>
      <c r="BC54" s="312"/>
      <c r="BD54" s="64">
        <f t="shared" si="41"/>
        <v>0</v>
      </c>
      <c r="BF54" s="117"/>
      <c r="BG54" s="312"/>
      <c r="BH54" s="273"/>
      <c r="BJ54" s="26"/>
    </row>
    <row r="55" spans="1:62" x14ac:dyDescent="0.35">
      <c r="A55" s="9168"/>
      <c r="B55" s="232"/>
      <c r="C55" s="232" t="s">
        <v>963</v>
      </c>
      <c r="D55" s="60"/>
      <c r="F55" s="155"/>
      <c r="H55" s="117"/>
      <c r="I55" s="115"/>
      <c r="J55" s="64">
        <f t="shared" ref="J55:J56" si="42">IF(H55=0,0,I55/H55)</f>
        <v>0</v>
      </c>
      <c r="L55" s="117"/>
      <c r="M55" s="157">
        <f t="shared" si="36"/>
        <v>0</v>
      </c>
      <c r="O55" s="117"/>
      <c r="P55" s="117"/>
      <c r="Q55" s="312"/>
      <c r="R55" s="64">
        <f t="shared" si="37"/>
        <v>0</v>
      </c>
      <c r="T55" s="117"/>
      <c r="U55" s="312"/>
      <c r="V55" s="117"/>
      <c r="X55" s="200"/>
      <c r="Y55" s="201"/>
      <c r="Z55" s="312"/>
      <c r="AA55" s="64">
        <f t="shared" si="38"/>
        <v>0</v>
      </c>
      <c r="AC55" s="117"/>
      <c r="AD55" s="312"/>
      <c r="AE55" s="201"/>
      <c r="AG55" s="200"/>
      <c r="AH55" s="201"/>
      <c r="AI55" s="312"/>
      <c r="AJ55" s="64">
        <f t="shared" si="39"/>
        <v>0</v>
      </c>
      <c r="AL55" s="117"/>
      <c r="AM55" s="312"/>
      <c r="AN55" s="201"/>
      <c r="AP55" s="200"/>
      <c r="AQ55" s="201"/>
      <c r="AR55" s="312"/>
      <c r="AS55" s="64">
        <f t="shared" si="40"/>
        <v>0</v>
      </c>
      <c r="AU55" s="117"/>
      <c r="AV55" s="312"/>
      <c r="AW55" s="201"/>
      <c r="AY55" s="26"/>
      <c r="BA55" s="200"/>
      <c r="BB55" s="201"/>
      <c r="BC55" s="312"/>
      <c r="BD55" s="64">
        <f t="shared" si="41"/>
        <v>0</v>
      </c>
      <c r="BF55" s="117"/>
      <c r="BG55" s="312"/>
      <c r="BH55" s="273"/>
      <c r="BJ55" s="26"/>
    </row>
    <row r="56" spans="1:62" x14ac:dyDescent="0.35">
      <c r="A56" s="9168"/>
      <c r="B56" s="1654"/>
      <c r="C56" s="1654" t="s">
        <v>964</v>
      </c>
      <c r="D56" s="87"/>
      <c r="F56" s="130"/>
      <c r="H56" s="131"/>
      <c r="I56" s="132"/>
      <c r="J56" s="133">
        <f t="shared" si="42"/>
        <v>0</v>
      </c>
      <c r="L56" s="242"/>
      <c r="M56" s="157">
        <f t="shared" si="36"/>
        <v>0</v>
      </c>
      <c r="O56" s="242"/>
      <c r="P56" s="242"/>
      <c r="Q56" s="312"/>
      <c r="R56" s="133">
        <f t="shared" si="37"/>
        <v>0</v>
      </c>
      <c r="T56" s="242"/>
      <c r="U56" s="312"/>
      <c r="V56" s="242"/>
      <c r="X56" s="164"/>
      <c r="Y56" s="244"/>
      <c r="Z56" s="6135"/>
      <c r="AA56" s="133">
        <f t="shared" si="38"/>
        <v>0</v>
      </c>
      <c r="AC56" s="242"/>
      <c r="AD56" s="6135"/>
      <c r="AE56" s="215"/>
      <c r="AG56" s="164"/>
      <c r="AH56" s="244"/>
      <c r="AI56" s="6135"/>
      <c r="AJ56" s="133">
        <f t="shared" si="39"/>
        <v>0</v>
      </c>
      <c r="AL56" s="242"/>
      <c r="AM56" s="6135"/>
      <c r="AN56" s="215"/>
      <c r="AP56" s="164"/>
      <c r="AQ56" s="244"/>
      <c r="AR56" s="6135"/>
      <c r="AS56" s="133">
        <f t="shared" si="40"/>
        <v>0</v>
      </c>
      <c r="AU56" s="242"/>
      <c r="AV56" s="6135"/>
      <c r="AW56" s="215"/>
      <c r="AY56" s="26"/>
      <c r="BA56" s="164"/>
      <c r="BB56" s="244"/>
      <c r="BC56" s="6135"/>
      <c r="BD56" s="133">
        <f t="shared" si="41"/>
        <v>0</v>
      </c>
      <c r="BF56" s="242"/>
      <c r="BG56" s="6135"/>
      <c r="BH56" s="658"/>
      <c r="BJ56" s="26"/>
    </row>
    <row r="57" spans="1:62" x14ac:dyDescent="0.35">
      <c r="A57" s="9168"/>
      <c r="B57" s="271" t="s">
        <v>965</v>
      </c>
      <c r="C57" s="271"/>
      <c r="D57" s="140"/>
      <c r="E57" s="141"/>
      <c r="F57" s="227"/>
      <c r="G57" s="141"/>
      <c r="H57" s="245"/>
      <c r="I57" s="106"/>
      <c r="J57" s="267"/>
      <c r="K57" s="141"/>
      <c r="L57" s="102"/>
      <c r="M57" s="268"/>
      <c r="N57" s="141"/>
      <c r="O57" s="102"/>
      <c r="P57" s="102"/>
      <c r="Q57" s="254"/>
      <c r="R57" s="267"/>
      <c r="S57" s="141"/>
      <c r="T57" s="102"/>
      <c r="U57" s="254"/>
      <c r="V57" s="102"/>
      <c r="W57" s="141"/>
      <c r="X57" s="102"/>
      <c r="Y57" s="103"/>
      <c r="Z57" s="254"/>
      <c r="AA57" s="267"/>
      <c r="AB57" s="141"/>
      <c r="AC57" s="102"/>
      <c r="AD57" s="254"/>
      <c r="AE57" s="103"/>
      <c r="AF57" s="141"/>
      <c r="AG57" s="102"/>
      <c r="AH57" s="103"/>
      <c r="AI57" s="254"/>
      <c r="AJ57" s="267"/>
      <c r="AK57" s="141"/>
      <c r="AL57" s="102"/>
      <c r="AM57" s="254"/>
      <c r="AN57" s="103"/>
      <c r="AO57" s="141"/>
      <c r="AP57" s="102"/>
      <c r="AQ57" s="103"/>
      <c r="AR57" s="254"/>
      <c r="AS57" s="267"/>
      <c r="AT57" s="141"/>
      <c r="AU57" s="102"/>
      <c r="AV57" s="2909"/>
      <c r="AW57" s="105"/>
      <c r="AX57" s="141"/>
      <c r="AY57" s="18"/>
      <c r="BA57" s="102"/>
      <c r="BB57" s="103"/>
      <c r="BC57" s="254"/>
      <c r="BD57" s="267"/>
      <c r="BE57" s="141"/>
      <c r="BF57" s="102"/>
      <c r="BG57" s="2909"/>
      <c r="BH57" s="105"/>
      <c r="BI57" s="141"/>
      <c r="BJ57" s="18"/>
    </row>
    <row r="58" spans="1:62" x14ac:dyDescent="0.35">
      <c r="A58" s="9168"/>
      <c r="B58" s="232"/>
      <c r="C58" s="232" t="s">
        <v>1987</v>
      </c>
      <c r="D58" s="60"/>
      <c r="F58" s="111"/>
      <c r="H58" s="112">
        <v>76560958280</v>
      </c>
      <c r="I58" s="112">
        <v>76829458755</v>
      </c>
      <c r="J58" s="64">
        <f t="shared" ref="J58:J65" si="43">IF(H58=0,0,I58/H58)</f>
        <v>1.0035070155994918</v>
      </c>
      <c r="L58" s="113">
        <f>L33*H58/H33</f>
        <v>43910221561.554657</v>
      </c>
      <c r="M58" s="157">
        <f t="shared" ref="M58:M65" si="44">L58*J58</f>
        <v>44064215393.548172</v>
      </c>
      <c r="O58" s="113">
        <f t="shared" ref="O58:O60" si="45">L58</f>
        <v>43910221561.554657</v>
      </c>
      <c r="P58" s="113"/>
      <c r="Q58" s="312"/>
      <c r="R58" s="64">
        <f t="shared" ref="R58:R65" si="46">IF(O58=0,0,P58/O58)</f>
        <v>0</v>
      </c>
      <c r="T58" s="113">
        <v>95867314060</v>
      </c>
      <c r="U58" s="312"/>
      <c r="V58" s="113"/>
      <c r="X58" s="3015">
        <f>T58</f>
        <v>95867314060</v>
      </c>
      <c r="Y58" s="233"/>
      <c r="Z58" s="312"/>
      <c r="AA58" s="64">
        <f t="shared" ref="AA58:AA65" si="47">IF(X58=0,0,Y58/X58)</f>
        <v>0</v>
      </c>
      <c r="AC58" s="3164">
        <v>104628740688</v>
      </c>
      <c r="AD58" s="312"/>
      <c r="AE58" s="233"/>
      <c r="AG58" s="3015">
        <f>AE58</f>
        <v>0</v>
      </c>
      <c r="AH58" s="233"/>
      <c r="AI58" s="312"/>
      <c r="AJ58" s="64">
        <f t="shared" ref="AJ58:AJ65" si="48">IF(AG58=0,0,AH58/AG58)</f>
        <v>0</v>
      </c>
      <c r="AL58" s="3164"/>
      <c r="AM58" s="312"/>
      <c r="AN58" s="233"/>
      <c r="AP58" s="248">
        <v>80732.300573</v>
      </c>
      <c r="AQ58" s="233">
        <v>79011.228704999987</v>
      </c>
      <c r="AR58" s="312"/>
      <c r="AS58" s="64">
        <f t="shared" ref="AS58:AS65" si="49">IF(AP58=0,0,AQ58/AP58)</f>
        <v>0.97868174379046979</v>
      </c>
      <c r="AU58" s="112">
        <v>86888.728506000014</v>
      </c>
      <c r="AV58" s="312"/>
      <c r="AW58" s="66">
        <f>AU58</f>
        <v>86888.728506000014</v>
      </c>
      <c r="AY58" s="26"/>
      <c r="BA58" s="248">
        <v>81869.121883999993</v>
      </c>
      <c r="BB58" s="233">
        <v>77680.850860999999</v>
      </c>
      <c r="BC58" s="312"/>
      <c r="BD58" s="64">
        <f t="shared" ref="BD58:BD65" si="50">IF(BA58=0,0,BB58/BA58)</f>
        <v>0.94884187192169545</v>
      </c>
      <c r="BF58" s="112">
        <v>79143.733645</v>
      </c>
      <c r="BG58" s="312"/>
      <c r="BH58" s="1034">
        <f>BF58*BD58</f>
        <v>75094.888382593868</v>
      </c>
      <c r="BJ58" s="26"/>
    </row>
    <row r="59" spans="1:62" ht="21.75" customHeight="1" x14ac:dyDescent="0.35">
      <c r="A59" s="9168"/>
      <c r="B59" s="232"/>
      <c r="C59" s="232" t="s">
        <v>1994</v>
      </c>
      <c r="D59" s="60"/>
      <c r="F59" s="155"/>
      <c r="H59" s="117">
        <v>9177396612</v>
      </c>
      <c r="I59" s="115">
        <v>9135498219</v>
      </c>
      <c r="J59" s="64">
        <f t="shared" si="43"/>
        <v>0.99543461018724899</v>
      </c>
      <c r="L59" s="113">
        <f>L36*H59/H36</f>
        <v>2218941926.2665215</v>
      </c>
      <c r="M59" s="157">
        <f t="shared" si="44"/>
        <v>2208811591.401258</v>
      </c>
      <c r="O59" s="113">
        <f t="shared" si="45"/>
        <v>2218941926.2665215</v>
      </c>
      <c r="P59" s="113"/>
      <c r="Q59" s="312"/>
      <c r="R59" s="64">
        <f t="shared" si="46"/>
        <v>0</v>
      </c>
      <c r="T59" s="113">
        <v>17395130601</v>
      </c>
      <c r="U59" s="312"/>
      <c r="V59" s="113"/>
      <c r="X59" s="3015">
        <f>T59</f>
        <v>17395130601</v>
      </c>
      <c r="Y59" s="233"/>
      <c r="Z59" s="312"/>
      <c r="AA59" s="64">
        <f t="shared" si="47"/>
        <v>0</v>
      </c>
      <c r="AC59" s="3164">
        <v>19194296334</v>
      </c>
      <c r="AD59" s="3041"/>
      <c r="AE59" s="233"/>
      <c r="AG59" s="3015">
        <f>AE59</f>
        <v>0</v>
      </c>
      <c r="AH59" s="233"/>
      <c r="AI59" s="312"/>
      <c r="AJ59" s="64">
        <f t="shared" si="48"/>
        <v>0</v>
      </c>
      <c r="AL59" s="3164"/>
      <c r="AM59" s="3041"/>
      <c r="AN59" s="233"/>
      <c r="AP59" s="248">
        <v>18607.853326</v>
      </c>
      <c r="AQ59" s="233">
        <v>14223.519740000002</v>
      </c>
      <c r="AR59" s="312"/>
      <c r="AS59" s="64">
        <f t="shared" si="49"/>
        <v>0.76438262333710749</v>
      </c>
      <c r="AU59" s="112">
        <v>16548.83166</v>
      </c>
      <c r="AV59" s="3041"/>
      <c r="AW59" s="66">
        <f>AU59</f>
        <v>16548.83166</v>
      </c>
      <c r="AY59" s="26"/>
      <c r="BA59" s="248">
        <v>16548.83166</v>
      </c>
      <c r="BB59" s="233">
        <v>12095.982373000001</v>
      </c>
      <c r="BC59" s="312"/>
      <c r="BD59" s="64">
        <f t="shared" si="50"/>
        <v>0.7309266673028687</v>
      </c>
      <c r="BF59" s="112">
        <v>17284.984315999998</v>
      </c>
      <c r="BG59" s="3041"/>
      <c r="BH59" s="273">
        <f t="shared" ref="BH59:BH60" si="51">BF59*BD59</f>
        <v>12634.055980476234</v>
      </c>
      <c r="BJ59" s="26"/>
    </row>
    <row r="60" spans="1:62" x14ac:dyDescent="0.35">
      <c r="A60" s="9168"/>
      <c r="B60" s="232"/>
      <c r="C60" s="232" t="s">
        <v>1745</v>
      </c>
      <c r="D60" s="60"/>
      <c r="F60" s="163"/>
      <c r="H60" s="242">
        <v>537583113</v>
      </c>
      <c r="I60" s="243">
        <v>618721801</v>
      </c>
      <c r="J60" s="64">
        <f t="shared" si="43"/>
        <v>1.1509323601093102</v>
      </c>
      <c r="L60" s="113">
        <f t="shared" ref="L60" si="52">L39*H60/H39</f>
        <v>402066089.60872436</v>
      </c>
      <c r="M60" s="157">
        <f t="shared" si="44"/>
        <v>462750873.43329054</v>
      </c>
      <c r="O60" s="113">
        <f t="shared" si="45"/>
        <v>402066089.60872436</v>
      </c>
      <c r="P60" s="113"/>
      <c r="Q60" s="312"/>
      <c r="R60" s="64">
        <f t="shared" si="46"/>
        <v>0</v>
      </c>
      <c r="T60" s="113">
        <v>424410099</v>
      </c>
      <c r="U60" s="312"/>
      <c r="V60" s="113"/>
      <c r="X60" s="3015">
        <f>T60</f>
        <v>424410099</v>
      </c>
      <c r="Y60" s="233"/>
      <c r="Z60" s="312"/>
      <c r="AA60" s="64">
        <f t="shared" si="47"/>
        <v>0</v>
      </c>
      <c r="AC60" s="3164">
        <v>471030352</v>
      </c>
      <c r="AD60" s="312"/>
      <c r="AE60" s="233"/>
      <c r="AG60" s="3015">
        <f>AE60</f>
        <v>0</v>
      </c>
      <c r="AH60" s="233"/>
      <c r="AI60" s="312"/>
      <c r="AJ60" s="64">
        <f t="shared" si="48"/>
        <v>0</v>
      </c>
      <c r="AL60" s="3164"/>
      <c r="AM60" s="312"/>
      <c r="AN60" s="233"/>
      <c r="AP60" s="248">
        <v>468.63578900000005</v>
      </c>
      <c r="AQ60" s="233">
        <v>174.562197</v>
      </c>
      <c r="AR60" s="312"/>
      <c r="AS60" s="64">
        <f t="shared" si="49"/>
        <v>0.37249011086517758</v>
      </c>
      <c r="AU60" s="112">
        <v>253.20318699999999</v>
      </c>
      <c r="AV60" s="312"/>
      <c r="AW60" s="66">
        <f>AU60</f>
        <v>253.20318699999999</v>
      </c>
      <c r="AY60" s="4761"/>
      <c r="BA60" s="248">
        <v>253.20318700000001</v>
      </c>
      <c r="BB60" s="233">
        <v>392.38935600000002</v>
      </c>
      <c r="BC60" s="312"/>
      <c r="BD60" s="64">
        <f t="shared" si="50"/>
        <v>1.5497014893418384</v>
      </c>
      <c r="BF60" s="112">
        <v>291.75791700000002</v>
      </c>
      <c r="BG60" s="312"/>
      <c r="BH60" s="273">
        <f t="shared" si="51"/>
        <v>452.13767850217249</v>
      </c>
      <c r="BJ60" s="4761"/>
    </row>
    <row r="61" spans="1:62" x14ac:dyDescent="0.35">
      <c r="A61" s="9168"/>
      <c r="B61" s="232"/>
      <c r="C61" s="232" t="s">
        <v>2003</v>
      </c>
      <c r="D61" s="60"/>
      <c r="F61" s="163"/>
      <c r="H61" s="242"/>
      <c r="I61" s="243"/>
      <c r="J61" s="64">
        <f t="shared" si="43"/>
        <v>0</v>
      </c>
      <c r="L61" s="242"/>
      <c r="M61" s="157">
        <f t="shared" si="44"/>
        <v>0</v>
      </c>
      <c r="O61" s="242"/>
      <c r="P61" s="242"/>
      <c r="Q61" s="312"/>
      <c r="R61" s="64">
        <f t="shared" si="46"/>
        <v>0</v>
      </c>
      <c r="T61" s="242"/>
      <c r="U61" s="312"/>
      <c r="V61" s="242"/>
      <c r="X61" s="164"/>
      <c r="Y61" s="244"/>
      <c r="Z61" s="312"/>
      <c r="AA61" s="64">
        <f t="shared" si="47"/>
        <v>0</v>
      </c>
      <c r="AC61" s="242"/>
      <c r="AD61" s="312"/>
      <c r="AE61" s="244"/>
      <c r="AG61" s="164"/>
      <c r="AH61" s="244"/>
      <c r="AI61" s="312"/>
      <c r="AJ61" s="64">
        <f t="shared" si="48"/>
        <v>0</v>
      </c>
      <c r="AL61" s="242"/>
      <c r="AM61" s="312"/>
      <c r="AN61" s="244"/>
      <c r="AP61" s="164"/>
      <c r="AQ61" s="244"/>
      <c r="AR61" s="312"/>
      <c r="AS61" s="64">
        <f t="shared" si="49"/>
        <v>0</v>
      </c>
      <c r="AU61" s="242"/>
      <c r="AV61" s="312"/>
      <c r="AW61" s="66"/>
      <c r="AY61" s="26"/>
      <c r="BA61" s="164"/>
      <c r="BB61" s="244"/>
      <c r="BC61" s="312"/>
      <c r="BD61" s="64">
        <f t="shared" si="50"/>
        <v>0</v>
      </c>
      <c r="BF61" s="242"/>
      <c r="BG61" s="312"/>
      <c r="BH61" s="273"/>
      <c r="BJ61" s="26"/>
    </row>
    <row r="62" spans="1:62" x14ac:dyDescent="0.35">
      <c r="A62" s="9168"/>
      <c r="B62" s="232"/>
      <c r="C62" s="232" t="s">
        <v>962</v>
      </c>
      <c r="D62" s="60"/>
      <c r="F62" s="163"/>
      <c r="H62" s="242"/>
      <c r="I62" s="243"/>
      <c r="J62" s="64">
        <f t="shared" si="43"/>
        <v>0</v>
      </c>
      <c r="L62" s="242"/>
      <c r="M62" s="157">
        <f t="shared" si="44"/>
        <v>0</v>
      </c>
      <c r="O62" s="242"/>
      <c r="P62" s="242"/>
      <c r="Q62" s="312"/>
      <c r="R62" s="64">
        <f t="shared" si="46"/>
        <v>0</v>
      </c>
      <c r="T62" s="242"/>
      <c r="U62" s="312"/>
      <c r="V62" s="242"/>
      <c r="X62" s="164"/>
      <c r="Y62" s="244"/>
      <c r="Z62" s="312"/>
      <c r="AA62" s="64">
        <f t="shared" si="47"/>
        <v>0</v>
      </c>
      <c r="AC62" s="242"/>
      <c r="AD62" s="312"/>
      <c r="AE62" s="244"/>
      <c r="AG62" s="164"/>
      <c r="AH62" s="244"/>
      <c r="AI62" s="312"/>
      <c r="AJ62" s="64">
        <f t="shared" si="48"/>
        <v>0</v>
      </c>
      <c r="AL62" s="242"/>
      <c r="AM62" s="312"/>
      <c r="AN62" s="244"/>
      <c r="AP62" s="164"/>
      <c r="AQ62" s="244"/>
      <c r="AR62" s="312"/>
      <c r="AS62" s="64">
        <f t="shared" si="49"/>
        <v>0</v>
      </c>
      <c r="AU62" s="242"/>
      <c r="AV62" s="312"/>
      <c r="AW62" s="66"/>
      <c r="AY62" s="26"/>
      <c r="BA62" s="164"/>
      <c r="BB62" s="244"/>
      <c r="BC62" s="312"/>
      <c r="BD62" s="64">
        <f t="shared" si="50"/>
        <v>0</v>
      </c>
      <c r="BF62" s="242"/>
      <c r="BG62" s="312"/>
      <c r="BH62" s="273"/>
      <c r="BJ62" s="26"/>
    </row>
    <row r="63" spans="1:62" x14ac:dyDescent="0.35">
      <c r="A63" s="9168"/>
      <c r="B63" s="232"/>
      <c r="C63" s="232" t="s">
        <v>963</v>
      </c>
      <c r="D63" s="60"/>
      <c r="F63" s="163"/>
      <c r="H63" s="242"/>
      <c r="I63" s="243"/>
      <c r="J63" s="64"/>
      <c r="L63" s="242"/>
      <c r="M63" s="157"/>
      <c r="O63" s="242"/>
      <c r="P63" s="242"/>
      <c r="Q63" s="312"/>
      <c r="R63" s="64">
        <f t="shared" si="46"/>
        <v>0</v>
      </c>
      <c r="T63" s="242"/>
      <c r="U63" s="312"/>
      <c r="V63" s="242"/>
      <c r="X63" s="164"/>
      <c r="Y63" s="244"/>
      <c r="Z63" s="312"/>
      <c r="AA63" s="64">
        <f t="shared" si="47"/>
        <v>0</v>
      </c>
      <c r="AC63" s="242"/>
      <c r="AD63" s="312"/>
      <c r="AE63" s="244"/>
      <c r="AG63" s="164"/>
      <c r="AH63" s="244"/>
      <c r="AI63" s="312"/>
      <c r="AJ63" s="64">
        <f t="shared" si="48"/>
        <v>0</v>
      </c>
      <c r="AL63" s="242"/>
      <c r="AM63" s="312"/>
      <c r="AN63" s="244"/>
      <c r="AP63" s="164"/>
      <c r="AQ63" s="244"/>
      <c r="AR63" s="312"/>
      <c r="AS63" s="64">
        <f t="shared" si="49"/>
        <v>0</v>
      </c>
      <c r="AU63" s="242"/>
      <c r="AV63" s="312"/>
      <c r="AW63" s="66"/>
      <c r="AY63" s="26"/>
      <c r="BA63" s="164"/>
      <c r="BB63" s="244"/>
      <c r="BC63" s="312"/>
      <c r="BD63" s="64">
        <f t="shared" si="50"/>
        <v>0</v>
      </c>
      <c r="BF63" s="242"/>
      <c r="BG63" s="312"/>
      <c r="BH63" s="273"/>
      <c r="BJ63" s="26"/>
    </row>
    <row r="64" spans="1:62" x14ac:dyDescent="0.35">
      <c r="A64" s="9168"/>
      <c r="B64" s="232"/>
      <c r="C64" s="232" t="s">
        <v>964</v>
      </c>
      <c r="D64" s="60"/>
      <c r="F64" s="163"/>
      <c r="H64" s="242"/>
      <c r="I64" s="243"/>
      <c r="J64" s="64">
        <f t="shared" si="43"/>
        <v>0</v>
      </c>
      <c r="L64" s="242"/>
      <c r="M64" s="157">
        <f t="shared" si="44"/>
        <v>0</v>
      </c>
      <c r="O64" s="242"/>
      <c r="P64" s="242"/>
      <c r="Q64" s="312"/>
      <c r="R64" s="64">
        <f t="shared" si="46"/>
        <v>0</v>
      </c>
      <c r="T64" s="242"/>
      <c r="U64" s="312"/>
      <c r="V64" s="242"/>
      <c r="X64" s="164"/>
      <c r="Y64" s="244"/>
      <c r="Z64" s="312"/>
      <c r="AA64" s="64">
        <f t="shared" si="47"/>
        <v>0</v>
      </c>
      <c r="AC64" s="242"/>
      <c r="AD64" s="312"/>
      <c r="AE64" s="244"/>
      <c r="AG64" s="164"/>
      <c r="AH64" s="244"/>
      <c r="AI64" s="312"/>
      <c r="AJ64" s="64">
        <f t="shared" si="48"/>
        <v>0</v>
      </c>
      <c r="AL64" s="242"/>
      <c r="AM64" s="312"/>
      <c r="AN64" s="244"/>
      <c r="AP64" s="164"/>
      <c r="AQ64" s="244"/>
      <c r="AR64" s="312"/>
      <c r="AS64" s="64">
        <f t="shared" si="49"/>
        <v>0</v>
      </c>
      <c r="AU64" s="242"/>
      <c r="AV64" s="312"/>
      <c r="AW64" s="66"/>
      <c r="AY64" s="26"/>
      <c r="BA64" s="164"/>
      <c r="BB64" s="244"/>
      <c r="BC64" s="312"/>
      <c r="BD64" s="64">
        <f t="shared" si="50"/>
        <v>0</v>
      </c>
      <c r="BF64" s="242"/>
      <c r="BG64" s="312"/>
      <c r="BH64" s="658"/>
      <c r="BJ64" s="26"/>
    </row>
    <row r="65" spans="1:62" x14ac:dyDescent="0.35">
      <c r="A65" s="9168"/>
      <c r="B65" s="1662"/>
      <c r="C65" s="1662" t="s">
        <v>978</v>
      </c>
      <c r="D65" s="87"/>
      <c r="F65" s="130"/>
      <c r="H65" s="242"/>
      <c r="I65" s="243"/>
      <c r="J65" s="64">
        <f t="shared" si="43"/>
        <v>0</v>
      </c>
      <c r="L65" s="242"/>
      <c r="M65" s="157">
        <f t="shared" si="44"/>
        <v>0</v>
      </c>
      <c r="O65" s="242"/>
      <c r="P65" s="242"/>
      <c r="Q65" s="312"/>
      <c r="R65" s="64">
        <f t="shared" si="46"/>
        <v>0</v>
      </c>
      <c r="T65" s="242"/>
      <c r="U65" s="312"/>
      <c r="V65" s="242"/>
      <c r="X65" s="164"/>
      <c r="Y65" s="244"/>
      <c r="Z65" s="6135"/>
      <c r="AA65" s="64">
        <f t="shared" si="47"/>
        <v>0</v>
      </c>
      <c r="AC65" s="242"/>
      <c r="AD65" s="6135"/>
      <c r="AE65" s="215"/>
      <c r="AG65" s="164"/>
      <c r="AH65" s="244"/>
      <c r="AI65" s="6135"/>
      <c r="AJ65" s="64">
        <f t="shared" si="48"/>
        <v>0</v>
      </c>
      <c r="AL65" s="242"/>
      <c r="AM65" s="6135"/>
      <c r="AN65" s="215"/>
      <c r="AP65" s="164"/>
      <c r="AQ65" s="244"/>
      <c r="AR65" s="6135"/>
      <c r="AS65" s="64">
        <f t="shared" si="49"/>
        <v>0</v>
      </c>
      <c r="AU65" s="131"/>
      <c r="AV65" s="6135"/>
      <c r="AW65" s="92"/>
      <c r="AY65" s="24"/>
      <c r="BA65" s="164"/>
      <c r="BB65" s="244"/>
      <c r="BC65" s="6135"/>
      <c r="BD65" s="64">
        <f t="shared" si="50"/>
        <v>0</v>
      </c>
      <c r="BF65" s="131"/>
      <c r="BG65" s="6135"/>
      <c r="BH65" s="92"/>
      <c r="BJ65" s="24"/>
    </row>
    <row r="66" spans="1:62" x14ac:dyDescent="0.35">
      <c r="A66" s="9168"/>
      <c r="B66" s="271" t="s">
        <v>979</v>
      </c>
      <c r="C66" s="271"/>
      <c r="D66" s="140"/>
      <c r="E66" s="143"/>
      <c r="F66" s="227"/>
      <c r="G66" s="143"/>
      <c r="H66" s="102"/>
      <c r="I66" s="103"/>
      <c r="J66" s="228"/>
      <c r="K66" s="143"/>
      <c r="L66" s="102"/>
      <c r="M66" s="268"/>
      <c r="N66" s="143"/>
      <c r="O66" s="102"/>
      <c r="P66" s="102"/>
      <c r="Q66" s="254"/>
      <c r="R66" s="228"/>
      <c r="S66" s="143"/>
      <c r="T66" s="102"/>
      <c r="U66" s="254"/>
      <c r="V66" s="102"/>
      <c r="W66" s="143"/>
      <c r="X66" s="102"/>
      <c r="Y66" s="103"/>
      <c r="Z66" s="254"/>
      <c r="AA66" s="228"/>
      <c r="AB66" s="143"/>
      <c r="AC66" s="102"/>
      <c r="AD66" s="254"/>
      <c r="AE66" s="520"/>
      <c r="AF66" s="143"/>
      <c r="AG66" s="102"/>
      <c r="AH66" s="103"/>
      <c r="AI66" s="254"/>
      <c r="AJ66" s="228"/>
      <c r="AK66" s="143"/>
      <c r="AL66" s="102"/>
      <c r="AM66" s="254"/>
      <c r="AN66" s="520"/>
      <c r="AO66" s="143"/>
      <c r="AP66" s="102"/>
      <c r="AQ66" s="103"/>
      <c r="AR66" s="254"/>
      <c r="AS66" s="228"/>
      <c r="AT66" s="143"/>
      <c r="AU66" s="102"/>
      <c r="AV66" s="2909"/>
      <c r="AW66" s="5068"/>
      <c r="AX66" s="143"/>
      <c r="AY66" s="18"/>
      <c r="BA66" s="102"/>
      <c r="BB66" s="103"/>
      <c r="BC66" s="254"/>
      <c r="BD66" s="228"/>
      <c r="BE66" s="143"/>
      <c r="BF66" s="102"/>
      <c r="BG66" s="2909"/>
      <c r="BH66" s="5068"/>
      <c r="BI66" s="143"/>
      <c r="BJ66" s="18"/>
    </row>
    <row r="67" spans="1:62" x14ac:dyDescent="0.35">
      <c r="A67" s="9168"/>
      <c r="B67" s="272"/>
      <c r="C67" s="272" t="s">
        <v>980</v>
      </c>
      <c r="D67" s="60"/>
      <c r="F67" s="155"/>
      <c r="H67" s="117"/>
      <c r="I67" s="115"/>
      <c r="J67" s="64">
        <f t="shared" ref="J67" si="53">IF(H67=0,0,I67/H67)</f>
        <v>0</v>
      </c>
      <c r="L67" s="117"/>
      <c r="M67" s="157">
        <f>M29*M68</f>
        <v>0</v>
      </c>
      <c r="O67" s="117"/>
      <c r="P67" s="117"/>
      <c r="Q67" s="312"/>
      <c r="R67" s="64">
        <f>IF(O67=0,0,P67/O67)</f>
        <v>0</v>
      </c>
      <c r="T67" s="117"/>
      <c r="U67" s="312"/>
      <c r="V67" s="117"/>
      <c r="X67" s="200"/>
      <c r="Y67" s="201"/>
      <c r="Z67" s="312"/>
      <c r="AA67" s="64">
        <f>IF(X67=0,0,Y67/X67)</f>
        <v>0</v>
      </c>
      <c r="AC67" s="117"/>
      <c r="AD67" s="312"/>
      <c r="AE67" s="201"/>
      <c r="AG67" s="200"/>
      <c r="AH67" s="201"/>
      <c r="AI67" s="312"/>
      <c r="AJ67" s="64">
        <f>IF(AG67=0,0,AH67/AG67)</f>
        <v>0</v>
      </c>
      <c r="AL67" s="117"/>
      <c r="AM67" s="312"/>
      <c r="AN67" s="201"/>
      <c r="AP67" s="200"/>
      <c r="AQ67" s="201"/>
      <c r="AR67" s="312"/>
      <c r="AS67" s="64">
        <f>IF(AP67=0,0,AQ67/AP67)</f>
        <v>0</v>
      </c>
      <c r="AU67" s="117"/>
      <c r="AV67" s="312"/>
      <c r="AW67" s="273"/>
      <c r="AY67" s="26"/>
      <c r="BA67" s="200"/>
      <c r="BB67" s="201"/>
      <c r="BC67" s="312"/>
      <c r="BD67" s="64">
        <f>IF(BA67=0,0,BB67/BA67)</f>
        <v>0</v>
      </c>
      <c r="BF67" s="117"/>
      <c r="BG67" s="312"/>
      <c r="BH67" s="273"/>
      <c r="BJ67" s="26"/>
    </row>
    <row r="68" spans="1:62" x14ac:dyDescent="0.35">
      <c r="A68" s="9168"/>
      <c r="B68" s="277"/>
      <c r="C68" s="277" t="s">
        <v>981</v>
      </c>
      <c r="D68" s="87"/>
      <c r="F68" s="278"/>
      <c r="G68" s="279"/>
      <c r="H68" s="280"/>
      <c r="I68" s="281"/>
      <c r="J68" s="133"/>
      <c r="L68" s="280"/>
      <c r="M68" s="282"/>
      <c r="O68" s="280"/>
      <c r="P68" s="280"/>
      <c r="Q68" s="2926"/>
      <c r="R68" s="133"/>
      <c r="T68" s="280"/>
      <c r="U68" s="2926"/>
      <c r="V68" s="280"/>
      <c r="X68" s="3087"/>
      <c r="Y68" s="3183"/>
      <c r="Z68" s="3184"/>
      <c r="AA68" s="133"/>
      <c r="AC68" s="280"/>
      <c r="AD68" s="3184"/>
      <c r="AE68" s="3183"/>
      <c r="AG68" s="3087"/>
      <c r="AH68" s="3183"/>
      <c r="AI68" s="3184"/>
      <c r="AJ68" s="133"/>
      <c r="AL68" s="280"/>
      <c r="AM68" s="3184"/>
      <c r="AN68" s="3183"/>
      <c r="AP68" s="3087"/>
      <c r="AQ68" s="3183"/>
      <c r="AR68" s="3184"/>
      <c r="AS68" s="133"/>
      <c r="AU68" s="280"/>
      <c r="AV68" s="3184"/>
      <c r="AW68" s="3090"/>
      <c r="AY68" s="24"/>
      <c r="BA68" s="3087"/>
      <c r="BB68" s="3183"/>
      <c r="BC68" s="3184"/>
      <c r="BD68" s="133"/>
      <c r="BF68" s="280"/>
      <c r="BG68" s="3184"/>
      <c r="BH68" s="3090"/>
      <c r="BJ68" s="24"/>
    </row>
    <row r="69" spans="1:62" ht="15.25" customHeight="1" x14ac:dyDescent="0.35">
      <c r="A69" s="9168"/>
      <c r="B69" s="287" t="s">
        <v>982</v>
      </c>
      <c r="C69" s="288"/>
      <c r="D69" s="140"/>
      <c r="E69" s="143"/>
      <c r="F69" s="289"/>
      <c r="G69" s="290"/>
      <c r="H69" s="291"/>
      <c r="I69" s="292"/>
      <c r="J69" s="293"/>
      <c r="L69" s="291"/>
      <c r="M69" s="268"/>
      <c r="O69" s="291"/>
      <c r="P69" s="291"/>
      <c r="Q69" s="254"/>
      <c r="R69" s="293"/>
      <c r="T69" s="291"/>
      <c r="U69" s="254"/>
      <c r="V69" s="291"/>
      <c r="X69" s="291"/>
      <c r="Y69" s="292"/>
      <c r="Z69" s="254"/>
      <c r="AA69" s="293"/>
      <c r="AC69" s="291"/>
      <c r="AD69" s="254"/>
      <c r="AE69" s="292"/>
      <c r="AF69" s="143"/>
      <c r="AG69" s="291"/>
      <c r="AH69" s="292"/>
      <c r="AI69" s="254"/>
      <c r="AJ69" s="293"/>
      <c r="AL69" s="291"/>
      <c r="AM69" s="254"/>
      <c r="AN69" s="292"/>
      <c r="AO69" s="143"/>
      <c r="AP69" s="291"/>
      <c r="AQ69" s="292"/>
      <c r="AR69" s="254"/>
      <c r="AS69" s="293"/>
      <c r="AU69" s="291"/>
      <c r="AV69" s="2909"/>
      <c r="AW69" s="294"/>
      <c r="AX69" s="143"/>
      <c r="AY69" s="18"/>
      <c r="BA69" s="291"/>
      <c r="BB69" s="292"/>
      <c r="BC69" s="254"/>
      <c r="BD69" s="293"/>
      <c r="BF69" s="291"/>
      <c r="BG69" s="2909"/>
      <c r="BH69" s="294"/>
      <c r="BI69" s="143"/>
      <c r="BJ69" s="6312"/>
    </row>
    <row r="70" spans="1:62" x14ac:dyDescent="0.35">
      <c r="A70" s="9168"/>
      <c r="B70" s="295"/>
      <c r="C70" s="63" t="s">
        <v>2005</v>
      </c>
      <c r="D70" s="60"/>
      <c r="F70" s="521"/>
      <c r="G70" s="272"/>
      <c r="H70" s="304"/>
      <c r="I70" s="522"/>
      <c r="J70" s="297">
        <f t="shared" ref="J70:J73" si="54">IF(H70=0,0,I70/H70)</f>
        <v>0</v>
      </c>
      <c r="L70" s="304"/>
      <c r="M70" s="157">
        <f t="shared" ref="M70:M73" si="55">L70*J70</f>
        <v>0</v>
      </c>
      <c r="O70" s="304"/>
      <c r="P70" s="304"/>
      <c r="Q70" s="312"/>
      <c r="R70" s="297">
        <f t="shared" ref="R70:R73" si="56">IF(O70=0,0,P70/O70)</f>
        <v>0</v>
      </c>
      <c r="T70" s="304"/>
      <c r="U70" s="312"/>
      <c r="V70" s="304"/>
      <c r="X70" s="1050"/>
      <c r="Y70" s="3185"/>
      <c r="Z70" s="312"/>
      <c r="AA70" s="297">
        <f t="shared" ref="AA70:AA73" si="57">IF(X70=0,0,Y70/X70)</f>
        <v>0</v>
      </c>
      <c r="AC70" s="304"/>
      <c r="AD70" s="312"/>
      <c r="AE70" s="3185"/>
      <c r="AG70" s="1050"/>
      <c r="AH70" s="3185"/>
      <c r="AI70" s="312"/>
      <c r="AJ70" s="297">
        <f t="shared" ref="AJ70:AJ73" si="58">IF(AG70=0,0,AH70/AG70)</f>
        <v>0</v>
      </c>
      <c r="AL70" s="304"/>
      <c r="AM70" s="312"/>
      <c r="AN70" s="3185"/>
      <c r="AP70" s="71">
        <v>3150</v>
      </c>
      <c r="AQ70" s="3185"/>
      <c r="AR70" s="312"/>
      <c r="AS70" s="297">
        <f t="shared" ref="AS70:AS73" si="59">IF(AP70=0,0,AQ70/AP70)</f>
        <v>0</v>
      </c>
      <c r="AU70" s="62">
        <v>3200</v>
      </c>
      <c r="AV70" s="312"/>
      <c r="AW70" s="1051"/>
      <c r="AY70" s="26"/>
      <c r="BA70" s="71"/>
      <c r="BB70" s="3185"/>
      <c r="BC70" s="312"/>
      <c r="BD70" s="297">
        <f t="shared" ref="BD70:BD73" si="60">IF(BA70=0,0,BB70/BA70)</f>
        <v>0</v>
      </c>
      <c r="BF70" s="62"/>
      <c r="BG70" s="312"/>
      <c r="BH70" s="1051"/>
      <c r="BJ70" s="26"/>
    </row>
    <row r="71" spans="1:62" x14ac:dyDescent="0.35">
      <c r="A71" s="9168"/>
      <c r="B71" s="295"/>
      <c r="C71" s="63" t="s">
        <v>2006</v>
      </c>
      <c r="D71" s="60"/>
      <c r="F71" s="61"/>
      <c r="G71" s="272"/>
      <c r="H71" s="62"/>
      <c r="I71" s="63"/>
      <c r="J71" s="297">
        <f t="shared" si="54"/>
        <v>0</v>
      </c>
      <c r="L71" s="62"/>
      <c r="M71" s="157">
        <f t="shared" si="55"/>
        <v>0</v>
      </c>
      <c r="O71" s="62"/>
      <c r="P71" s="62"/>
      <c r="Q71" s="312"/>
      <c r="R71" s="297">
        <f t="shared" si="56"/>
        <v>0</v>
      </c>
      <c r="T71" s="62"/>
      <c r="U71" s="312"/>
      <c r="V71" s="62"/>
      <c r="X71" s="71"/>
      <c r="Y71" s="74"/>
      <c r="Z71" s="312"/>
      <c r="AA71" s="297">
        <f t="shared" si="57"/>
        <v>0</v>
      </c>
      <c r="AC71" s="62"/>
      <c r="AD71" s="312"/>
      <c r="AE71" s="74"/>
      <c r="AG71" s="71"/>
      <c r="AH71" s="74"/>
      <c r="AI71" s="312"/>
      <c r="AJ71" s="297">
        <f t="shared" si="58"/>
        <v>0</v>
      </c>
      <c r="AL71" s="62"/>
      <c r="AM71" s="312"/>
      <c r="AN71" s="74"/>
      <c r="AP71" s="71">
        <v>2060</v>
      </c>
      <c r="AQ71" s="74"/>
      <c r="AR71" s="312"/>
      <c r="AS71" s="297">
        <f t="shared" si="59"/>
        <v>0</v>
      </c>
      <c r="AU71" s="62">
        <v>4670</v>
      </c>
      <c r="AV71" s="312"/>
      <c r="AW71" s="998"/>
      <c r="AY71" s="26"/>
      <c r="BA71" s="71"/>
      <c r="BB71" s="74"/>
      <c r="BC71" s="312"/>
      <c r="BD71" s="297">
        <f t="shared" si="60"/>
        <v>0</v>
      </c>
      <c r="BF71" s="62"/>
      <c r="BG71" s="312"/>
      <c r="BH71" s="998"/>
      <c r="BJ71" s="26"/>
    </row>
    <row r="72" spans="1:62" x14ac:dyDescent="0.35">
      <c r="A72" s="9168"/>
      <c r="B72" s="2948"/>
      <c r="C72" s="63" t="s">
        <v>2007</v>
      </c>
      <c r="D72" s="60"/>
      <c r="F72" s="61"/>
      <c r="G72" s="272"/>
      <c r="H72" s="62"/>
      <c r="I72" s="63"/>
      <c r="J72" s="297">
        <f t="shared" si="54"/>
        <v>0</v>
      </c>
      <c r="L72" s="62"/>
      <c r="M72" s="157">
        <f t="shared" si="55"/>
        <v>0</v>
      </c>
      <c r="O72" s="62"/>
      <c r="P72" s="62"/>
      <c r="Q72" s="312"/>
      <c r="R72" s="297">
        <f t="shared" si="56"/>
        <v>0</v>
      </c>
      <c r="T72" s="62"/>
      <c r="U72" s="312"/>
      <c r="V72" s="62"/>
      <c r="X72" s="71"/>
      <c r="Y72" s="74"/>
      <c r="Z72" s="312"/>
      <c r="AA72" s="297">
        <f t="shared" si="57"/>
        <v>0</v>
      </c>
      <c r="AC72" s="62"/>
      <c r="AD72" s="312"/>
      <c r="AE72" s="74"/>
      <c r="AG72" s="71"/>
      <c r="AH72" s="74"/>
      <c r="AI72" s="312"/>
      <c r="AJ72" s="297">
        <f t="shared" si="58"/>
        <v>0</v>
      </c>
      <c r="AL72" s="62"/>
      <c r="AM72" s="312"/>
      <c r="AN72" s="74"/>
      <c r="AP72" s="71">
        <v>0</v>
      </c>
      <c r="AQ72" s="74"/>
      <c r="AR72" s="312"/>
      <c r="AS72" s="297">
        <f t="shared" si="59"/>
        <v>0</v>
      </c>
      <c r="AU72" s="62">
        <v>0</v>
      </c>
      <c r="AV72" s="312"/>
      <c r="AW72" s="998"/>
      <c r="AY72" s="26"/>
      <c r="BA72" s="71"/>
      <c r="BB72" s="74"/>
      <c r="BC72" s="312"/>
      <c r="BD72" s="297">
        <f t="shared" si="60"/>
        <v>0</v>
      </c>
      <c r="BF72" s="62"/>
      <c r="BG72" s="312"/>
      <c r="BH72" s="998"/>
      <c r="BJ72" s="26"/>
    </row>
    <row r="73" spans="1:62" x14ac:dyDescent="0.35">
      <c r="A73" s="9169"/>
      <c r="B73" s="2950"/>
      <c r="C73" s="2951"/>
      <c r="D73" s="87"/>
      <c r="F73" s="88"/>
      <c r="G73" s="274"/>
      <c r="H73" s="89"/>
      <c r="I73" s="90"/>
      <c r="J73" s="307">
        <f t="shared" si="54"/>
        <v>0</v>
      </c>
      <c r="L73" s="89"/>
      <c r="M73" s="213">
        <f t="shared" si="55"/>
        <v>0</v>
      </c>
      <c r="O73" s="89"/>
      <c r="P73" s="89"/>
      <c r="Q73" s="312"/>
      <c r="R73" s="307">
        <f t="shared" si="56"/>
        <v>0</v>
      </c>
      <c r="T73" s="89"/>
      <c r="U73" s="312"/>
      <c r="V73" s="89"/>
      <c r="X73" s="768"/>
      <c r="Y73" s="99"/>
      <c r="Z73" s="6135"/>
      <c r="AA73" s="307">
        <f t="shared" si="57"/>
        <v>0</v>
      </c>
      <c r="AC73" s="89"/>
      <c r="AD73" s="6135"/>
      <c r="AE73" s="99"/>
      <c r="AG73" s="768"/>
      <c r="AH73" s="99"/>
      <c r="AI73" s="6135"/>
      <c r="AJ73" s="307">
        <f t="shared" si="58"/>
        <v>0</v>
      </c>
      <c r="AL73" s="89"/>
      <c r="AM73" s="6135"/>
      <c r="AN73" s="99"/>
      <c r="AP73" s="768"/>
      <c r="AQ73" s="99"/>
      <c r="AR73" s="6135"/>
      <c r="AS73" s="307">
        <f t="shared" si="59"/>
        <v>0</v>
      </c>
      <c r="AU73" s="89"/>
      <c r="AV73" s="6135"/>
      <c r="AW73" s="1002"/>
      <c r="AY73" s="24"/>
      <c r="BA73" s="768"/>
      <c r="BB73" s="99"/>
      <c r="BC73" s="6135"/>
      <c r="BD73" s="307">
        <f t="shared" si="60"/>
        <v>0</v>
      </c>
      <c r="BF73" s="7852"/>
      <c r="BG73" s="6135"/>
      <c r="BH73" s="1559"/>
      <c r="BJ73" s="24"/>
    </row>
    <row r="74" spans="1:62" x14ac:dyDescent="0.35">
      <c r="A74" s="310"/>
      <c r="B74" s="310"/>
      <c r="F74" s="106"/>
      <c r="H74" s="106"/>
      <c r="I74" s="106"/>
      <c r="J74" s="311"/>
      <c r="L74" s="106"/>
      <c r="M74" s="312"/>
      <c r="O74" s="106"/>
      <c r="P74" s="106"/>
      <c r="Q74" s="312"/>
      <c r="R74" s="311"/>
      <c r="T74" s="106"/>
      <c r="U74" s="312"/>
      <c r="V74" s="106"/>
      <c r="X74" s="106"/>
      <c r="Y74" s="106"/>
      <c r="Z74" s="312"/>
      <c r="AA74" s="311"/>
      <c r="AC74" s="106"/>
      <c r="AD74" s="312"/>
      <c r="AE74" s="106"/>
      <c r="AG74" s="106"/>
      <c r="AH74" s="106"/>
      <c r="AI74" s="312"/>
      <c r="AJ74" s="311"/>
      <c r="AL74" s="106"/>
      <c r="AM74" s="312"/>
      <c r="AN74" s="106"/>
      <c r="AP74" s="106"/>
      <c r="AQ74" s="106"/>
      <c r="AR74" s="312"/>
      <c r="AS74" s="311"/>
      <c r="AU74" s="106"/>
      <c r="AV74" s="312"/>
      <c r="AW74" s="106"/>
      <c r="BA74" s="106"/>
      <c r="BB74" s="106"/>
      <c r="BC74" s="312"/>
      <c r="BD74" s="311"/>
      <c r="BF74" s="106"/>
      <c r="BG74" s="312"/>
      <c r="BH74" s="106"/>
    </row>
    <row r="75" spans="1:62" ht="14.5" customHeight="1" x14ac:dyDescent="0.35">
      <c r="A75" s="9167" t="s">
        <v>988</v>
      </c>
      <c r="B75" s="139" t="s">
        <v>989</v>
      </c>
      <c r="C75" s="348"/>
      <c r="D75" s="49"/>
      <c r="E75" s="141"/>
      <c r="F75" s="227"/>
      <c r="G75" s="141"/>
      <c r="H75" s="102"/>
      <c r="I75" s="103"/>
      <c r="J75" s="228"/>
      <c r="K75" s="141"/>
      <c r="L75" s="102"/>
      <c r="M75" s="268"/>
      <c r="N75" s="141"/>
      <c r="O75" s="102"/>
      <c r="P75" s="102"/>
      <c r="Q75" s="254"/>
      <c r="R75" s="228"/>
      <c r="S75" s="141"/>
      <c r="T75" s="102"/>
      <c r="U75" s="254"/>
      <c r="V75" s="102"/>
      <c r="W75" s="141"/>
      <c r="X75" s="102"/>
      <c r="Y75" s="103"/>
      <c r="Z75" s="2909"/>
      <c r="AA75" s="228"/>
      <c r="AB75" s="141"/>
      <c r="AC75" s="102"/>
      <c r="AD75" s="2909"/>
      <c r="AE75" s="103"/>
      <c r="AF75" s="141"/>
      <c r="AG75" s="102"/>
      <c r="AH75" s="103"/>
      <c r="AI75" s="2909"/>
      <c r="AJ75" s="228"/>
      <c r="AK75" s="141"/>
      <c r="AL75" s="102"/>
      <c r="AM75" s="2909"/>
      <c r="AN75" s="103"/>
      <c r="AO75" s="141"/>
      <c r="AP75" s="102"/>
      <c r="AQ75" s="103"/>
      <c r="AR75" s="2909"/>
      <c r="AS75" s="228"/>
      <c r="AT75" s="141"/>
      <c r="AU75" s="102"/>
      <c r="AV75" s="2909"/>
      <c r="AW75" s="105"/>
      <c r="AX75" s="141"/>
      <c r="BA75" s="102"/>
      <c r="BB75" s="103"/>
      <c r="BC75" s="2909"/>
      <c r="BD75" s="228"/>
      <c r="BE75" s="141"/>
      <c r="BF75" s="102"/>
      <c r="BG75" s="2909"/>
      <c r="BH75" s="105"/>
      <c r="BI75" s="141"/>
    </row>
    <row r="76" spans="1:62" x14ac:dyDescent="0.35">
      <c r="A76" s="9168"/>
      <c r="B76" s="6082"/>
      <c r="C76"/>
      <c r="D76" s="110" t="s">
        <v>990</v>
      </c>
      <c r="F76" s="349">
        <f>SUM(F33:F39)-SUM(F46:F48)</f>
        <v>0</v>
      </c>
      <c r="G76" s="350"/>
      <c r="H76" s="351">
        <f>SUM(H33:H39)-SUM(H46:H48)</f>
        <v>430756191235</v>
      </c>
      <c r="I76" s="352">
        <f>SUM(I33:I39)-SUM(I46:I48)</f>
        <v>281586963310</v>
      </c>
      <c r="J76" s="246"/>
      <c r="K76" s="350"/>
      <c r="L76" s="351">
        <f>SUM(L33:L39)-SUM(L46:L48)</f>
        <v>230753956430</v>
      </c>
      <c r="M76" s="353">
        <f>SUM(M33:M39)-SUM(M46:M48)</f>
        <v>230753956430</v>
      </c>
      <c r="N76" s="350"/>
      <c r="O76" s="351">
        <f>SUM(O34:O41)-SUM(O46:O48)</f>
        <v>235188956430</v>
      </c>
      <c r="P76" s="351"/>
      <c r="Q76" s="352"/>
      <c r="R76" s="246"/>
      <c r="S76" s="350"/>
      <c r="T76" s="351">
        <f>SUM(T34:T41)-SUM(T46:T48)</f>
        <v>290263782879</v>
      </c>
      <c r="U76" s="352"/>
      <c r="V76" s="351"/>
      <c r="W76" s="350"/>
      <c r="X76" s="351">
        <f>SUM(X34:X41)-SUM(X46:X48)</f>
        <v>290263782879</v>
      </c>
      <c r="Y76" s="352"/>
      <c r="Z76" s="352"/>
      <c r="AA76" s="246"/>
      <c r="AB76" s="350"/>
      <c r="AC76" s="351">
        <f>SUM(AC34:AC41)-SUM(AC46:AC48)</f>
        <v>286715236172</v>
      </c>
      <c r="AD76" s="352"/>
      <c r="AE76" s="352"/>
      <c r="AG76" s="351">
        <f>SUM(AG34:AG41)-SUM(AG46:AG48)</f>
        <v>0</v>
      </c>
      <c r="AH76" s="352"/>
      <c r="AI76" s="352"/>
      <c r="AJ76" s="246"/>
      <c r="AK76" s="350"/>
      <c r="AL76" s="351">
        <f>SUM(AL34:AL41)-SUM(AL46:AL48)</f>
        <v>227445928146</v>
      </c>
      <c r="AM76" s="352"/>
      <c r="AN76" s="352"/>
      <c r="AP76" s="351">
        <f>SUM(AP33:AP44)-SUM(AP46:AP48)</f>
        <v>229610.92814600002</v>
      </c>
      <c r="AQ76" s="352">
        <f>SUM(AQ33:AQ44)-SUM(AQ46:AQ48)</f>
        <v>214553.25735169207</v>
      </c>
      <c r="AR76" s="352"/>
      <c r="AS76" s="246"/>
      <c r="AT76" s="350"/>
      <c r="AU76" s="351">
        <f>SUM(AU33:AU44)-SUM(AU46:AU48)</f>
        <v>247133.538741</v>
      </c>
      <c r="AV76" s="352"/>
      <c r="AW76" s="353">
        <f>SUM(AW33:AW44)-SUM(AW46:AW48)</f>
        <v>198023.41087643948</v>
      </c>
      <c r="BA76" s="351">
        <f>SUM(BA33:BA44)-SUM(BA46:BA48)</f>
        <v>257629.538741</v>
      </c>
      <c r="BB76" s="352">
        <f>SUM(BB33:BB44)-SUM(BB46:BB48)</f>
        <v>190890.76865699998</v>
      </c>
      <c r="BC76" s="352"/>
      <c r="BD76" s="246"/>
      <c r="BE76" s="350"/>
      <c r="BF76" s="351">
        <f>SUM(BF33:BF44)-SUM(BF46:BF48)</f>
        <v>260342.43918099999</v>
      </c>
      <c r="BG76" s="352"/>
      <c r="BH76" s="353">
        <f>SUM(BH33:BH44)-SUM(BH46:BH48)</f>
        <v>190857.91815169086</v>
      </c>
    </row>
    <row r="77" spans="1:62" x14ac:dyDescent="0.35">
      <c r="A77" s="9168"/>
      <c r="B77" s="6082"/>
      <c r="C77"/>
      <c r="D77" s="110" t="s">
        <v>944</v>
      </c>
      <c r="F77" s="349">
        <f>SUM(F50:F56)</f>
        <v>0</v>
      </c>
      <c r="G77" s="350"/>
      <c r="H77" s="351">
        <f>SUM(H50:H56)</f>
        <v>0</v>
      </c>
      <c r="I77" s="352">
        <f>SUM(I50:I56)</f>
        <v>0</v>
      </c>
      <c r="J77" s="246"/>
      <c r="K77" s="350"/>
      <c r="L77" s="351">
        <f>SUM(L50:L56)</f>
        <v>0</v>
      </c>
      <c r="M77" s="353">
        <f>SUM(M50:M56)</f>
        <v>0</v>
      </c>
      <c r="N77" s="350"/>
      <c r="O77" s="351">
        <f>SUM(O50:O56)</f>
        <v>0</v>
      </c>
      <c r="P77" s="351"/>
      <c r="Q77" s="352"/>
      <c r="R77" s="246"/>
      <c r="S77" s="350"/>
      <c r="T77" s="351">
        <f>SUM(T50:T56)</f>
        <v>0</v>
      </c>
      <c r="U77" s="352"/>
      <c r="V77" s="351"/>
      <c r="W77" s="350"/>
      <c r="X77" s="351">
        <f>SUM(X50:X56)</f>
        <v>0</v>
      </c>
      <c r="Y77" s="352"/>
      <c r="Z77" s="352"/>
      <c r="AA77" s="246"/>
      <c r="AB77" s="350"/>
      <c r="AC77" s="351">
        <f>SUM(AC50:AC56)</f>
        <v>0</v>
      </c>
      <c r="AD77" s="352"/>
      <c r="AE77" s="352"/>
      <c r="AG77" s="351">
        <f>SUM(AG50:AG56)</f>
        <v>0</v>
      </c>
      <c r="AH77" s="352"/>
      <c r="AI77" s="352"/>
      <c r="AJ77" s="246"/>
      <c r="AK77" s="350"/>
      <c r="AL77" s="351">
        <f>SUM(AL50:AL56)</f>
        <v>0</v>
      </c>
      <c r="AM77" s="352"/>
      <c r="AN77" s="352"/>
      <c r="AP77" s="351">
        <f>SUM(AP50:AP56)</f>
        <v>0</v>
      </c>
      <c r="AQ77" s="352">
        <f>SUM(AQ50:AQ56)</f>
        <v>0</v>
      </c>
      <c r="AR77" s="352"/>
      <c r="AS77" s="246"/>
      <c r="AT77" s="350"/>
      <c r="AU77" s="351">
        <f>SUM(AU50:AU56)</f>
        <v>0</v>
      </c>
      <c r="AV77" s="352"/>
      <c r="AW77" s="353">
        <f>SUM(AW50:AW56)</f>
        <v>0</v>
      </c>
      <c r="BA77" s="351">
        <f>SUM(BA50:BA56)</f>
        <v>0</v>
      </c>
      <c r="BB77" s="352">
        <f>SUM(BB50:BB56)</f>
        <v>0</v>
      </c>
      <c r="BC77" s="352"/>
      <c r="BD77" s="246"/>
      <c r="BE77" s="350"/>
      <c r="BF77" s="351">
        <f>SUM(BF50:BF56)</f>
        <v>0</v>
      </c>
      <c r="BG77" s="352"/>
      <c r="BH77" s="353">
        <f>SUM(BH50:BH56)</f>
        <v>0</v>
      </c>
    </row>
    <row r="78" spans="1:62" x14ac:dyDescent="0.35">
      <c r="A78" s="9168"/>
      <c r="B78" s="6082"/>
      <c r="C78"/>
      <c r="D78" s="110" t="s">
        <v>991</v>
      </c>
      <c r="F78" s="349">
        <f>SUM(F58:F65)*F28</f>
        <v>0</v>
      </c>
      <c r="G78" s="350"/>
      <c r="H78" s="351">
        <f>SUM(H58:H65)*H28</f>
        <v>0</v>
      </c>
      <c r="I78" s="352">
        <f>SUM(I58:I65)*I28</f>
        <v>0</v>
      </c>
      <c r="J78" s="246"/>
      <c r="K78" s="350"/>
      <c r="L78" s="351">
        <f>SUM(L58:L65)*L28</f>
        <v>0</v>
      </c>
      <c r="M78" s="353">
        <f>SUM(M58:M65)*M28</f>
        <v>0</v>
      </c>
      <c r="N78" s="350"/>
      <c r="O78" s="351">
        <f>SUM(O58:O65)*O28</f>
        <v>0</v>
      </c>
      <c r="P78" s="351"/>
      <c r="Q78" s="352"/>
      <c r="R78" s="246"/>
      <c r="S78" s="350"/>
      <c r="T78" s="351">
        <f>SUM(T58:T65)*T28</f>
        <v>0</v>
      </c>
      <c r="U78" s="352"/>
      <c r="V78" s="351"/>
      <c r="W78" s="350"/>
      <c r="X78" s="351">
        <f>SUM(X58:X65)*X28</f>
        <v>0</v>
      </c>
      <c r="Y78" s="352"/>
      <c r="Z78" s="352"/>
      <c r="AA78" s="246"/>
      <c r="AB78" s="350"/>
      <c r="AC78" s="351">
        <f>SUM(AC58:AC65)*AC28</f>
        <v>0</v>
      </c>
      <c r="AD78" s="352"/>
      <c r="AE78" s="352"/>
      <c r="AG78" s="351">
        <f>SUM(AG58:AG65)*AG28</f>
        <v>0</v>
      </c>
      <c r="AH78" s="352"/>
      <c r="AI78" s="352"/>
      <c r="AJ78" s="246"/>
      <c r="AK78" s="350"/>
      <c r="AL78" s="351">
        <f>SUM(AL58:AL65)*AL28</f>
        <v>0</v>
      </c>
      <c r="AM78" s="352"/>
      <c r="AN78" s="352"/>
      <c r="AP78" s="351">
        <f>SUM(AP58:AP65)*AP28</f>
        <v>0</v>
      </c>
      <c r="AQ78" s="352">
        <f>SUM(AQ58:AQ65)*AQ28</f>
        <v>0</v>
      </c>
      <c r="AR78" s="352"/>
      <c r="AS78" s="246"/>
      <c r="AT78" s="350"/>
      <c r="AU78" s="351">
        <f>SUM(AU58:AU65)*AU28</f>
        <v>0</v>
      </c>
      <c r="AV78" s="352"/>
      <c r="AW78" s="353">
        <f>SUM(AW58:AW65)*AW28</f>
        <v>0</v>
      </c>
      <c r="BA78" s="351">
        <f>SUM(BA58:BA65)*BA28</f>
        <v>0</v>
      </c>
      <c r="BB78" s="352">
        <f>SUM(BB58:BB65)*BB28</f>
        <v>0</v>
      </c>
      <c r="BC78" s="352"/>
      <c r="BD78" s="246"/>
      <c r="BE78" s="350"/>
      <c r="BF78" s="351">
        <f>SUM(BF58:BF65)*BF28</f>
        <v>0</v>
      </c>
      <c r="BG78" s="352"/>
      <c r="BH78" s="353">
        <f>SUM(BH58:BH65)*BH28</f>
        <v>0</v>
      </c>
    </row>
    <row r="79" spans="1:62" x14ac:dyDescent="0.35">
      <c r="A79" s="9168"/>
      <c r="B79" s="6082"/>
      <c r="C79"/>
      <c r="D79" s="110" t="s">
        <v>979</v>
      </c>
      <c r="F79" s="349">
        <f>F67</f>
        <v>0</v>
      </c>
      <c r="G79" s="350"/>
      <c r="H79" s="351">
        <f>H67</f>
        <v>0</v>
      </c>
      <c r="I79" s="352">
        <f>I67</f>
        <v>0</v>
      </c>
      <c r="J79" s="246"/>
      <c r="K79" s="350"/>
      <c r="L79" s="351">
        <f>L67</f>
        <v>0</v>
      </c>
      <c r="M79" s="353">
        <f>M67</f>
        <v>0</v>
      </c>
      <c r="N79" s="350"/>
      <c r="O79" s="351">
        <f>O67</f>
        <v>0</v>
      </c>
      <c r="P79" s="351"/>
      <c r="Q79" s="352"/>
      <c r="R79" s="246"/>
      <c r="S79" s="350"/>
      <c r="T79" s="351">
        <f>T67</f>
        <v>0</v>
      </c>
      <c r="U79" s="352"/>
      <c r="V79" s="351"/>
      <c r="W79" s="350"/>
      <c r="X79" s="351">
        <f>X67</f>
        <v>0</v>
      </c>
      <c r="Y79" s="352"/>
      <c r="Z79" s="352"/>
      <c r="AA79" s="246"/>
      <c r="AB79" s="350"/>
      <c r="AC79" s="351">
        <f>AC67</f>
        <v>0</v>
      </c>
      <c r="AD79" s="352"/>
      <c r="AE79" s="352"/>
      <c r="AG79" s="351">
        <f>AG67</f>
        <v>0</v>
      </c>
      <c r="AH79" s="352"/>
      <c r="AI79" s="352"/>
      <c r="AJ79" s="246"/>
      <c r="AK79" s="350"/>
      <c r="AL79" s="351">
        <f>AL67</f>
        <v>0</v>
      </c>
      <c r="AM79" s="352"/>
      <c r="AN79" s="352"/>
      <c r="AP79" s="351">
        <f>AP67</f>
        <v>0</v>
      </c>
      <c r="AQ79" s="352">
        <f>AQ67</f>
        <v>0</v>
      </c>
      <c r="AR79" s="352"/>
      <c r="AS79" s="246"/>
      <c r="AT79" s="350"/>
      <c r="AU79" s="351">
        <f>AU67</f>
        <v>0</v>
      </c>
      <c r="AV79" s="352"/>
      <c r="AW79" s="353">
        <f>AW67</f>
        <v>0</v>
      </c>
      <c r="BA79" s="351">
        <f>BA67</f>
        <v>0</v>
      </c>
      <c r="BB79" s="352">
        <f>BB67</f>
        <v>0</v>
      </c>
      <c r="BC79" s="352"/>
      <c r="BD79" s="246"/>
      <c r="BE79" s="350"/>
      <c r="BF79" s="351">
        <f>BF67</f>
        <v>0</v>
      </c>
      <c r="BG79" s="352"/>
      <c r="BH79" s="353">
        <f>BH67</f>
        <v>0</v>
      </c>
    </row>
    <row r="80" spans="1:62" x14ac:dyDescent="0.35">
      <c r="A80" s="9168"/>
      <c r="B80" s="6082"/>
      <c r="C80"/>
      <c r="D80" s="356" t="s">
        <v>992</v>
      </c>
      <c r="E80" s="143"/>
      <c r="F80" s="357">
        <f>SUM(F76:F79)</f>
        <v>0</v>
      </c>
      <c r="G80" s="358"/>
      <c r="H80" s="359">
        <f t="shared" ref="H80:I80" si="61">SUM(H76:H79)</f>
        <v>430756191235</v>
      </c>
      <c r="I80" s="360">
        <f t="shared" si="61"/>
        <v>281586963310</v>
      </c>
      <c r="J80" s="361"/>
      <c r="K80" s="358"/>
      <c r="L80" s="359">
        <f t="shared" ref="L80:M80" si="62">SUM(L76:L79)</f>
        <v>230753956430</v>
      </c>
      <c r="M80" s="362">
        <f t="shared" si="62"/>
        <v>230753956430</v>
      </c>
      <c r="N80" s="358"/>
      <c r="O80" s="359">
        <f>SUM(O76:O79)</f>
        <v>235188956430</v>
      </c>
      <c r="P80" s="359"/>
      <c r="Q80" s="360"/>
      <c r="R80" s="361"/>
      <c r="S80" s="358"/>
      <c r="T80" s="359">
        <f t="shared" ref="T80" si="63">SUM(T76:T79)</f>
        <v>290263782879</v>
      </c>
      <c r="U80" s="360"/>
      <c r="V80" s="359"/>
      <c r="W80" s="358"/>
      <c r="X80" s="359">
        <f>SUM(X76:X79)</f>
        <v>290263782879</v>
      </c>
      <c r="Y80" s="360"/>
      <c r="Z80" s="360"/>
      <c r="AA80" s="361"/>
      <c r="AB80" s="358"/>
      <c r="AC80" s="359">
        <f t="shared" ref="AC80" si="64">SUM(AC76:AC79)</f>
        <v>286715236172</v>
      </c>
      <c r="AD80" s="360"/>
      <c r="AE80" s="360"/>
      <c r="AF80" s="143"/>
      <c r="AG80" s="359">
        <f>SUM(AG76:AG79)</f>
        <v>0</v>
      </c>
      <c r="AH80" s="360"/>
      <c r="AI80" s="360"/>
      <c r="AJ80" s="361"/>
      <c r="AK80" s="358"/>
      <c r="AL80" s="359">
        <f t="shared" ref="AL80" si="65">SUM(AL76:AL79)</f>
        <v>227445928146</v>
      </c>
      <c r="AM80" s="360"/>
      <c r="AN80" s="360"/>
      <c r="AO80" s="143"/>
      <c r="AP80" s="359">
        <f t="shared" ref="AP80:AQ80" si="66">SUM(AP76:AP79)</f>
        <v>229610.92814600002</v>
      </c>
      <c r="AQ80" s="360">
        <f t="shared" si="66"/>
        <v>214553.25735169207</v>
      </c>
      <c r="AR80" s="360"/>
      <c r="AS80" s="361"/>
      <c r="AT80" s="358"/>
      <c r="AU80" s="359">
        <f t="shared" ref="AU80:AW80" si="67">SUM(AU76:AU79)</f>
        <v>247133.538741</v>
      </c>
      <c r="AV80" s="360"/>
      <c r="AW80" s="362">
        <f t="shared" si="67"/>
        <v>198023.41087643948</v>
      </c>
      <c r="AX80" s="143"/>
      <c r="BA80" s="359">
        <f>SUM(BA76:BA79)</f>
        <v>257629.538741</v>
      </c>
      <c r="BB80" s="360">
        <f t="shared" ref="BB80" si="68">SUM(BB76:BB79)</f>
        <v>190890.76865699998</v>
      </c>
      <c r="BC80" s="360"/>
      <c r="BD80" s="361"/>
      <c r="BE80" s="358"/>
      <c r="BF80" s="359">
        <f>SUM(BF76:BF79)</f>
        <v>260342.43918099999</v>
      </c>
      <c r="BG80" s="360"/>
      <c r="BH80" s="362">
        <f t="shared" ref="BH80" si="69">SUM(BH76:BH79)</f>
        <v>190857.91815169086</v>
      </c>
      <c r="BI80" s="143"/>
    </row>
    <row r="81" spans="1:62" ht="15.5" x14ac:dyDescent="0.35">
      <c r="A81" s="9168"/>
      <c r="B81" s="6082"/>
      <c r="C81"/>
      <c r="D81" s="365" t="s">
        <v>993</v>
      </c>
      <c r="F81" s="366" t="e">
        <f>F80/(F16+F17)</f>
        <v>#DIV/0!</v>
      </c>
      <c r="G81" s="367"/>
      <c r="H81" s="368">
        <f>H80/(H16+H17)</f>
        <v>0.11856558383108098</v>
      </c>
      <c r="I81" s="369">
        <f>I80/(I16+I17)</f>
        <v>8.7892271876447603E-2</v>
      </c>
      <c r="J81" s="370"/>
      <c r="K81" s="367"/>
      <c r="L81" s="368">
        <f>L80/(L16+L17)</f>
        <v>8.4679076912971218E-2</v>
      </c>
      <c r="M81" s="370">
        <f>M80/(M16+M17)</f>
        <v>9.5293900828203729E-2</v>
      </c>
      <c r="N81" s="367"/>
      <c r="O81" s="368">
        <f>O80/(O16+O17)</f>
        <v>8.6306575361618412E-2</v>
      </c>
      <c r="P81" s="368"/>
      <c r="Q81" s="369"/>
      <c r="R81" s="370"/>
      <c r="S81" s="367"/>
      <c r="T81" s="368">
        <f>T80/(T16+T17)</f>
        <v>0.11227687182245431</v>
      </c>
      <c r="U81" s="369"/>
      <c r="V81" s="368"/>
      <c r="W81" s="367"/>
      <c r="X81" s="368">
        <f>X80/(X16+X17)</f>
        <v>0.1193473678148016</v>
      </c>
      <c r="Y81" s="369"/>
      <c r="Z81" s="369"/>
      <c r="AA81" s="370"/>
      <c r="AB81" s="367"/>
      <c r="AC81" s="368">
        <f>AC80/(AC16+AC17)</f>
        <v>0.13787587991442243</v>
      </c>
      <c r="AD81" s="369"/>
      <c r="AE81" s="369"/>
      <c r="AG81" s="368" t="e">
        <f>AG80/(AG16+AG17)</f>
        <v>#DIV/0!</v>
      </c>
      <c r="AH81" s="369"/>
      <c r="AI81" s="369"/>
      <c r="AJ81" s="370"/>
      <c r="AK81" s="367"/>
      <c r="AL81" s="368">
        <f>AL80/(AL16+AL17)</f>
        <v>0.19647566547313516</v>
      </c>
      <c r="AM81" s="369"/>
      <c r="AN81" s="369"/>
      <c r="AP81" s="368">
        <f>AP80/(AP16+AP17+AP18+AP19)</f>
        <v>0.16674722450689908</v>
      </c>
      <c r="AQ81" s="369">
        <f>AQ80/(AQ16+AQ17+AQ18+AQ19)</f>
        <v>0.17301286779428438</v>
      </c>
      <c r="AR81" s="369"/>
      <c r="AS81" s="370"/>
      <c r="AT81" s="367"/>
      <c r="AU81" s="368">
        <f>AU80/(AU16+AU17+AU18+AU19)</f>
        <v>0.18144900054405286</v>
      </c>
      <c r="AV81" s="369"/>
      <c r="AW81" s="370">
        <f>AW80/(AW16+AW17+AW18+AW19)</f>
        <v>0.17989045319443994</v>
      </c>
      <c r="BA81" s="368">
        <f>BA80/SUM(BA16:BA19)</f>
        <v>0.17859834312253381</v>
      </c>
      <c r="BB81" s="5547">
        <f>BB80/SUM(BB16:BB19)</f>
        <v>0.14639182833060038</v>
      </c>
      <c r="BC81" s="7853"/>
      <c r="BD81" s="370"/>
      <c r="BE81" s="367"/>
      <c r="BF81" s="368">
        <f>BF80/SUM(BF16:BF19)</f>
        <v>0.17979698558060195</v>
      </c>
      <c r="BG81" s="369"/>
      <c r="BH81" s="7854">
        <f>BH80/SUM(BH16:BH19)</f>
        <v>0.14617428895426893</v>
      </c>
      <c r="BJ81" t="s">
        <v>2008</v>
      </c>
    </row>
    <row r="82" spans="1:62" x14ac:dyDescent="0.35">
      <c r="A82" s="9168"/>
      <c r="B82" s="3186"/>
      <c r="C82" s="3187"/>
      <c r="D82" s="1741" t="s">
        <v>994</v>
      </c>
      <c r="E82" s="3188"/>
      <c r="F82" s="1713"/>
      <c r="G82" s="3189"/>
      <c r="H82" s="566"/>
      <c r="I82" s="567"/>
      <c r="J82" s="2964"/>
      <c r="K82" s="3189"/>
      <c r="L82" s="566"/>
      <c r="M82" s="2964"/>
      <c r="N82" s="3189"/>
      <c r="O82" s="566">
        <f>O34+O37+O40</f>
        <v>169923956430</v>
      </c>
      <c r="P82" s="567"/>
      <c r="Q82" s="2963"/>
      <c r="R82" s="2964"/>
      <c r="S82" s="3189"/>
      <c r="T82" s="571">
        <f>T34+T37+T40</f>
        <v>200586782879</v>
      </c>
      <c r="U82" s="2963"/>
      <c r="V82" s="3190"/>
      <c r="W82" s="3189"/>
      <c r="X82" s="566">
        <f>X34+X37+X40</f>
        <v>200586782879</v>
      </c>
      <c r="Y82" s="567"/>
      <c r="Z82" s="2963"/>
      <c r="AA82" s="2964"/>
      <c r="AB82" s="3189"/>
      <c r="AC82" s="571">
        <f>AC34+AC37+AC40</f>
        <v>227165236172</v>
      </c>
      <c r="AD82" s="2963"/>
      <c r="AE82" s="3192"/>
      <c r="AG82" s="566">
        <f>AG34+AG37+AG40</f>
        <v>0</v>
      </c>
      <c r="AH82" s="567"/>
      <c r="AI82" s="2963"/>
      <c r="AJ82" s="2964"/>
      <c r="AK82" s="3189"/>
      <c r="AL82" s="571">
        <f>AL34+AL37+AL40</f>
        <v>205703928146</v>
      </c>
      <c r="AM82" s="2963"/>
      <c r="AN82" s="3192"/>
      <c r="AP82" s="566">
        <f>AP34+AP37+AP40</f>
        <v>205703.92814600002</v>
      </c>
      <c r="AQ82" s="566">
        <f>AQ34+AQ37+AQ40</f>
        <v>163901.25735169207</v>
      </c>
      <c r="AR82" s="2963"/>
      <c r="AS82" s="2964"/>
      <c r="AT82" s="3189"/>
      <c r="AU82" s="571">
        <f>AU34+AU37+AU40</f>
        <v>209126.538741</v>
      </c>
      <c r="AV82" s="2963"/>
      <c r="AW82" s="3190">
        <f>AW34+AW37+AW40</f>
        <v>167409.47092865879</v>
      </c>
      <c r="BA82" s="566">
        <f>BA34+BA37+BA40</f>
        <v>219626.538741</v>
      </c>
      <c r="BB82" s="567">
        <f>BB34+BB37+BB40</f>
        <v>159664.41939299999</v>
      </c>
      <c r="BC82" s="2963"/>
      <c r="BD82" s="2964"/>
      <c r="BE82" s="3189"/>
      <c r="BF82" s="571">
        <f>BF34+BF37+BF40</f>
        <v>224869.43918099999</v>
      </c>
      <c r="BG82" s="2963"/>
      <c r="BH82" s="3190">
        <f>BH34+BH37+BH40</f>
        <v>160666.66888766256</v>
      </c>
    </row>
    <row r="83" spans="1:62" x14ac:dyDescent="0.35">
      <c r="A83" s="9168"/>
      <c r="B83" s="3193"/>
      <c r="C83" s="3194"/>
      <c r="D83" s="3195" t="s">
        <v>995</v>
      </c>
      <c r="E83" s="3196"/>
      <c r="F83" s="3197"/>
      <c r="G83" s="3196"/>
      <c r="H83" s="3198"/>
      <c r="I83" s="3199"/>
      <c r="J83" s="3200"/>
      <c r="K83" s="3196"/>
      <c r="L83" s="3198"/>
      <c r="M83" s="3200"/>
      <c r="N83" s="3196"/>
      <c r="O83" s="3198">
        <f>(O80-O82)/(O17)</f>
        <v>3.8275314841075193E-2</v>
      </c>
      <c r="P83" s="3199"/>
      <c r="Q83" s="3201"/>
      <c r="R83" s="3200"/>
      <c r="S83" s="3196"/>
      <c r="T83" s="5351">
        <f>(T80-T82)/(T17)</f>
        <v>5.9367235842380274E-2</v>
      </c>
      <c r="U83" s="3201"/>
      <c r="V83" s="5352"/>
      <c r="W83" s="3196"/>
      <c r="X83" s="3198">
        <f>(X80-X82)/(X17)</f>
        <v>6.6434493701829411E-2</v>
      </c>
      <c r="Y83" s="3199"/>
      <c r="Z83" s="3201"/>
      <c r="AA83" s="3200"/>
      <c r="AB83" s="3196"/>
      <c r="AC83" s="5351">
        <f>(AC80-AC82)/(AC17)</f>
        <v>6.0863462818343934E-2</v>
      </c>
      <c r="AD83" s="3201"/>
      <c r="AE83" s="6173"/>
      <c r="AG83" s="3198" t="e">
        <f>(AG80-AG82)/(AG17)</f>
        <v>#DIV/0!</v>
      </c>
      <c r="AH83" s="3199"/>
      <c r="AI83" s="3201"/>
      <c r="AJ83" s="3200"/>
      <c r="AK83" s="3196"/>
      <c r="AL83" s="5351">
        <f>(AL80-AL82)/(AL17)</f>
        <v>8.2356060606060599E-2</v>
      </c>
      <c r="AM83" s="3201"/>
      <c r="AN83" s="6173"/>
      <c r="AP83" s="6120">
        <f>(AP80-AP82)/(AP18+AP19)</f>
        <v>9.0556818181818183E-2</v>
      </c>
      <c r="AQ83" s="3199"/>
      <c r="AR83" s="3201"/>
      <c r="AS83" s="3200"/>
      <c r="AT83" s="3196"/>
      <c r="AU83" s="5354">
        <f>(AU80-AU82)/(AU18+AU19)</f>
        <v>0.12971672354948804</v>
      </c>
      <c r="AV83" s="3201"/>
      <c r="AW83" s="5352">
        <f>(AW80-AW82)/(AW18+AW19)</f>
        <v>0.16101300814050154</v>
      </c>
      <c r="BA83" s="6120">
        <f>(BA80-BA82)/BA17</f>
        <v>0.12970307167235495</v>
      </c>
      <c r="BB83" s="3199">
        <f>(BB80-BB82)/BB17</f>
        <v>0.12805940164230684</v>
      </c>
      <c r="BC83" s="3201"/>
      <c r="BD83" s="3200"/>
      <c r="BE83" s="3196"/>
      <c r="BF83" s="5354">
        <f>(BF80-BF82)/(BF18+BF19)</f>
        <v>0.10749393939393939</v>
      </c>
      <c r="BG83" s="3201"/>
      <c r="BH83" s="5352">
        <f>(BH80-BH82)/(BH18+BH19)</f>
        <v>0.10993222537888703</v>
      </c>
    </row>
    <row r="84" spans="1:62" x14ac:dyDescent="0.35">
      <c r="A84" s="9168"/>
      <c r="B84" s="3193"/>
      <c r="C84" s="3194"/>
      <c r="D84" s="3195" t="s">
        <v>996</v>
      </c>
      <c r="E84" s="3196"/>
      <c r="F84" s="3197"/>
      <c r="G84" s="3196"/>
      <c r="H84" s="3198"/>
      <c r="I84" s="3199"/>
      <c r="J84" s="3200"/>
      <c r="K84" s="3196"/>
      <c r="L84" s="3198"/>
      <c r="M84" s="3200"/>
      <c r="N84" s="3196"/>
      <c r="O84" s="3198">
        <f>O82/O16</f>
        <v>0.16660926510081919</v>
      </c>
      <c r="P84" s="3199"/>
      <c r="Q84" s="3201"/>
      <c r="R84" s="3200"/>
      <c r="S84" s="3196"/>
      <c r="T84" s="5351">
        <f>T82/T16</f>
        <v>0.1866439219756528</v>
      </c>
      <c r="U84" s="3201"/>
      <c r="V84" s="5352"/>
      <c r="W84" s="3196"/>
      <c r="X84" s="3198">
        <f>X82/X16</f>
        <v>0.18534476421685625</v>
      </c>
      <c r="Y84" s="3199"/>
      <c r="Z84" s="3201"/>
      <c r="AA84" s="3200"/>
      <c r="AB84" s="3196"/>
      <c r="AC84" s="5351">
        <f>AC82/AC16</f>
        <v>0.20630801544791116</v>
      </c>
      <c r="AD84" s="3201"/>
      <c r="AE84" s="6173"/>
      <c r="AG84" s="3198" t="e">
        <f>AG82/AG16</f>
        <v>#DIV/0!</v>
      </c>
      <c r="AH84" s="3199"/>
      <c r="AI84" s="3201"/>
      <c r="AJ84" s="3200"/>
      <c r="AK84" s="3196"/>
      <c r="AL84" s="5351">
        <f>AL82/AL16</f>
        <v>0.2301894053863516</v>
      </c>
      <c r="AM84" s="3201"/>
      <c r="AN84" s="6173"/>
      <c r="AP84" s="6120">
        <f>AP82/AP16</f>
        <v>0.18481934244923631</v>
      </c>
      <c r="AQ84" s="3199"/>
      <c r="AR84" s="3201"/>
      <c r="AS84" s="3200"/>
      <c r="AT84" s="3196"/>
      <c r="AU84" s="5354">
        <f>AU82/AU16</f>
        <v>0.19562819339663237</v>
      </c>
      <c r="AV84" s="3201"/>
      <c r="AW84" s="5352">
        <f>AW82/AW16</f>
        <v>0.18383177627597963</v>
      </c>
      <c r="BA84" s="6120">
        <f>BA82/BA16</f>
        <v>0.19106133993064858</v>
      </c>
      <c r="BB84" s="3199">
        <f>BB82/BB16</f>
        <v>0.15060851251275165</v>
      </c>
      <c r="BC84" s="3201"/>
      <c r="BD84" s="3200"/>
      <c r="BE84" s="3196"/>
      <c r="BF84" s="6120">
        <f>BF82/BF16</f>
        <v>0.2011390536333387</v>
      </c>
      <c r="BG84" s="3201"/>
      <c r="BH84" s="5352">
        <f>BH82/BH16</f>
        <v>0.15582786715449184</v>
      </c>
    </row>
    <row r="85" spans="1:62" x14ac:dyDescent="0.35">
      <c r="A85" s="9168"/>
      <c r="B85" s="3193"/>
      <c r="C85" s="3194"/>
      <c r="D85" s="3202"/>
      <c r="E85" s="3196"/>
      <c r="F85" s="3197"/>
      <c r="G85" s="3196"/>
      <c r="H85" s="3198"/>
      <c r="I85" s="3199"/>
      <c r="J85" s="3200"/>
      <c r="K85" s="3196"/>
      <c r="L85" s="3198"/>
      <c r="M85" s="3200"/>
      <c r="N85" s="3196"/>
      <c r="O85" s="3198"/>
      <c r="P85" s="3199"/>
      <c r="Q85" s="3201"/>
      <c r="R85" s="3200"/>
      <c r="S85" s="3196"/>
      <c r="T85" s="5351"/>
      <c r="U85" s="3201"/>
      <c r="V85" s="5352"/>
      <c r="W85" s="3196"/>
      <c r="X85" s="3198"/>
      <c r="Y85" s="3199"/>
      <c r="Z85" s="3201"/>
      <c r="AA85" s="3200"/>
      <c r="AB85" s="3196"/>
      <c r="AC85" s="5351"/>
      <c r="AD85" s="3201"/>
      <c r="AE85" s="6173"/>
      <c r="AG85" s="3198"/>
      <c r="AH85" s="3199"/>
      <c r="AI85" s="3201"/>
      <c r="AJ85" s="3200"/>
      <c r="AK85" s="3196"/>
      <c r="AL85" s="5351"/>
      <c r="AM85" s="3201"/>
      <c r="AN85" s="6173"/>
      <c r="AP85" s="6120"/>
      <c r="AQ85" s="3199"/>
      <c r="AR85" s="3201"/>
      <c r="AS85" s="3200"/>
      <c r="AT85" s="3196"/>
      <c r="AU85" s="5354"/>
      <c r="AV85" s="3201"/>
      <c r="AW85" s="5352"/>
      <c r="BA85" s="6120"/>
      <c r="BB85" s="3199"/>
      <c r="BC85" s="3201"/>
      <c r="BD85" s="3200"/>
      <c r="BE85" s="3196"/>
      <c r="BF85" s="5354"/>
      <c r="BG85" s="3201"/>
      <c r="BH85" s="5352"/>
    </row>
    <row r="86" spans="1:62" x14ac:dyDescent="0.35">
      <c r="A86" s="9168"/>
      <c r="B86" s="3193"/>
      <c r="C86" s="3194"/>
      <c r="D86" s="5353" t="s">
        <v>997</v>
      </c>
      <c r="E86" s="3196"/>
      <c r="F86" s="3197"/>
      <c r="G86" s="3196"/>
      <c r="H86" s="3198">
        <f>H80/H12</f>
        <v>0.1311628738537306</v>
      </c>
      <c r="I86" s="3199"/>
      <c r="J86" s="3200"/>
      <c r="K86" s="3196"/>
      <c r="L86" s="3198">
        <f>L80/L12</f>
        <v>0.12382028333565856</v>
      </c>
      <c r="M86" s="3200"/>
      <c r="N86" s="3196"/>
      <c r="O86" s="3198">
        <f>O80/O12</f>
        <v>0.12620006032882239</v>
      </c>
      <c r="P86" s="3199"/>
      <c r="Q86" s="3201"/>
      <c r="R86" s="3200"/>
      <c r="S86" s="3196"/>
      <c r="T86" s="5351">
        <f>T80/T12</f>
        <v>0.15973239030799236</v>
      </c>
      <c r="U86" s="3201"/>
      <c r="V86" s="5352"/>
      <c r="W86" s="3196"/>
      <c r="X86" s="3198">
        <f>X80/X12</f>
        <v>0.15973239030799236</v>
      </c>
      <c r="Y86" s="3199"/>
      <c r="Z86" s="3201"/>
      <c r="AA86" s="3200"/>
      <c r="AB86" s="3196"/>
      <c r="AC86" s="5351">
        <f>AC80/AC12</f>
        <v>0.17060951528139984</v>
      </c>
      <c r="AD86" s="3201"/>
      <c r="AE86" s="6173"/>
      <c r="AG86" s="3198">
        <f>AG80/AG12</f>
        <v>0</v>
      </c>
      <c r="AH86" s="3199"/>
      <c r="AI86" s="3201"/>
      <c r="AJ86" s="3200"/>
      <c r="AK86" s="3196"/>
      <c r="AL86" s="5351">
        <f>AL80/AL12</f>
        <v>176574.74431022437</v>
      </c>
      <c r="AM86" s="3201"/>
      <c r="AN86" s="6173"/>
      <c r="AP86" s="6120">
        <f>AP80/AP12</f>
        <v>0.11750815155885365</v>
      </c>
      <c r="AQ86" s="3199"/>
      <c r="AR86" s="3201"/>
      <c r="AS86" s="3200"/>
      <c r="AT86" s="3196"/>
      <c r="AU86" s="5354">
        <f>AU80/AU12</f>
        <v>0.12116170943815267</v>
      </c>
      <c r="AV86" s="3201"/>
      <c r="AW86" s="5352">
        <f>AW80/AW12</f>
        <v>0.10839115323115575</v>
      </c>
      <c r="BA86" s="6120">
        <f>BA80/BA12</f>
        <v>0.12709699000212626</v>
      </c>
      <c r="BB86" s="3199">
        <f>BB80/BB12</f>
        <v>9.6137991896782932E-2</v>
      </c>
      <c r="BC86" s="3201"/>
      <c r="BD86" s="3200"/>
      <c r="BE86" s="3196"/>
      <c r="BF86" s="5354">
        <f>BF80/BF12</f>
        <v>0.17718843717846017</v>
      </c>
      <c r="BG86" s="3201"/>
      <c r="BH86" s="5352">
        <f>BH80/BH12</f>
        <v>0.13260842004840631</v>
      </c>
    </row>
    <row r="87" spans="1:62" x14ac:dyDescent="0.35">
      <c r="A87" s="9168"/>
      <c r="B87" s="1739"/>
      <c r="C87" s="1740"/>
      <c r="D87" s="1741" t="s">
        <v>998</v>
      </c>
      <c r="E87" s="1742"/>
      <c r="F87" s="2966"/>
      <c r="G87" s="1742"/>
      <c r="H87" s="572"/>
      <c r="I87" s="1993"/>
      <c r="J87" s="247"/>
      <c r="K87" s="1742"/>
      <c r="L87" s="572"/>
      <c r="M87" s="247"/>
      <c r="N87" s="1742"/>
      <c r="O87" s="572"/>
      <c r="P87" s="1993"/>
      <c r="Q87" s="254"/>
      <c r="R87" s="247"/>
      <c r="S87" s="1742"/>
      <c r="T87" s="1994"/>
      <c r="U87" s="254"/>
      <c r="V87" s="3203"/>
      <c r="W87" s="1742"/>
      <c r="X87" s="572"/>
      <c r="Y87" s="1993"/>
      <c r="Z87" s="254"/>
      <c r="AA87" s="247"/>
      <c r="AB87" s="1742"/>
      <c r="AC87" s="1994"/>
      <c r="AD87" s="254"/>
      <c r="AE87" s="1740"/>
      <c r="AG87" s="572"/>
      <c r="AH87" s="1993"/>
      <c r="AI87" s="254"/>
      <c r="AJ87" s="247"/>
      <c r="AK87" s="1742"/>
      <c r="AL87" s="1994"/>
      <c r="AM87" s="254"/>
      <c r="AN87" s="1740"/>
      <c r="AP87" s="572"/>
      <c r="AQ87" s="1993"/>
      <c r="AR87" s="254"/>
      <c r="AS87" s="247"/>
      <c r="AT87" s="1742"/>
      <c r="AU87" s="1994"/>
      <c r="AV87" s="254"/>
      <c r="AW87" s="3203"/>
      <c r="BA87" s="572"/>
      <c r="BB87" s="1993"/>
      <c r="BC87" s="254"/>
      <c r="BD87" s="247"/>
      <c r="BE87" s="1742"/>
      <c r="BF87" s="1994"/>
      <c r="BG87" s="254"/>
      <c r="BH87" s="3203"/>
    </row>
    <row r="88" spans="1:62" x14ac:dyDescent="0.35">
      <c r="A88" s="9168"/>
      <c r="B88" s="3193"/>
      <c r="C88" s="3194"/>
      <c r="D88" s="5353" t="s">
        <v>999</v>
      </c>
      <c r="E88" s="3196"/>
      <c r="F88" s="3197"/>
      <c r="G88" s="3196"/>
      <c r="H88" s="3198"/>
      <c r="I88" s="3199"/>
      <c r="J88" s="3200"/>
      <c r="K88" s="3196"/>
      <c r="L88" s="3198"/>
      <c r="M88" s="3200"/>
      <c r="N88" s="3196"/>
      <c r="O88" s="3198"/>
      <c r="P88" s="3199"/>
      <c r="Q88" s="3201"/>
      <c r="R88" s="3200"/>
      <c r="S88" s="3196"/>
      <c r="T88" s="5351"/>
      <c r="U88" s="3201"/>
      <c r="V88" s="3202"/>
      <c r="W88" s="3196"/>
      <c r="X88" s="3198"/>
      <c r="Y88" s="3199"/>
      <c r="Z88" s="3201"/>
      <c r="AA88" s="3200"/>
      <c r="AB88" s="3196"/>
      <c r="AC88" s="5351"/>
      <c r="AD88" s="3201"/>
      <c r="AE88" s="3194"/>
      <c r="AG88" s="3198"/>
      <c r="AH88" s="3199"/>
      <c r="AI88" s="3201"/>
      <c r="AJ88" s="3200"/>
      <c r="AK88" s="3196"/>
      <c r="AL88" s="5351"/>
      <c r="AM88" s="3201"/>
      <c r="AN88" s="3194"/>
      <c r="AP88" s="3198"/>
      <c r="AQ88" s="3199"/>
      <c r="AR88" s="3201"/>
      <c r="AS88" s="3200"/>
      <c r="AT88" s="3196"/>
      <c r="AU88" s="5351"/>
      <c r="AV88" s="3201"/>
      <c r="AW88" s="3202"/>
      <c r="BA88" s="3198"/>
      <c r="BB88" s="3199"/>
      <c r="BC88" s="3201"/>
      <c r="BD88" s="3200"/>
      <c r="BE88" s="3196"/>
      <c r="BF88" s="5351"/>
      <c r="BG88" s="3201"/>
      <c r="BH88" s="3202"/>
    </row>
    <row r="89" spans="1:62" x14ac:dyDescent="0.35">
      <c r="A89" s="9168"/>
      <c r="B89" s="3193"/>
      <c r="C89" s="3194"/>
      <c r="D89" s="3202"/>
      <c r="E89" s="3196"/>
      <c r="F89" s="3197"/>
      <c r="G89" s="3196"/>
      <c r="H89" s="3198"/>
      <c r="I89" s="3199"/>
      <c r="J89" s="3200"/>
      <c r="K89" s="3196"/>
      <c r="L89" s="3198"/>
      <c r="M89" s="3200"/>
      <c r="N89" s="3196"/>
      <c r="O89" s="3198"/>
      <c r="P89" s="3199"/>
      <c r="Q89" s="3201"/>
      <c r="R89" s="3200"/>
      <c r="S89" s="3196"/>
      <c r="T89" s="5354"/>
      <c r="U89" s="3201"/>
      <c r="V89" s="3202"/>
      <c r="W89" s="3196"/>
      <c r="X89" s="3198"/>
      <c r="Y89" s="3199"/>
      <c r="Z89" s="3201"/>
      <c r="AA89" s="3200"/>
      <c r="AB89" s="3196"/>
      <c r="AC89" s="5354"/>
      <c r="AD89" s="3201"/>
      <c r="AE89" s="3194"/>
      <c r="AG89" s="3198"/>
      <c r="AH89" s="3199"/>
      <c r="AI89" s="3201"/>
      <c r="AJ89" s="3200"/>
      <c r="AK89" s="3196"/>
      <c r="AL89" s="5354"/>
      <c r="AM89" s="3201"/>
      <c r="AN89" s="3194"/>
      <c r="AP89" s="3198"/>
      <c r="AQ89" s="3199"/>
      <c r="AR89" s="3201"/>
      <c r="AS89" s="3200"/>
      <c r="AT89" s="3196"/>
      <c r="AU89" s="5354"/>
      <c r="AV89" s="3201"/>
      <c r="AW89" s="3202"/>
      <c r="BA89" s="3198"/>
      <c r="BB89" s="3199"/>
      <c r="BC89" s="3201"/>
      <c r="BD89" s="3200"/>
      <c r="BE89" s="3196"/>
      <c r="BF89" s="5354"/>
      <c r="BG89" s="3201"/>
      <c r="BH89" s="3202"/>
    </row>
    <row r="90" spans="1:62" x14ac:dyDescent="0.35">
      <c r="A90" s="9168"/>
      <c r="B90" s="3193"/>
      <c r="C90" s="3194"/>
      <c r="D90" s="3204" t="s">
        <v>1000</v>
      </c>
      <c r="E90" s="3205"/>
      <c r="F90" s="3206"/>
      <c r="G90" s="5355"/>
      <c r="H90" s="3207"/>
      <c r="I90" s="3208"/>
      <c r="J90" s="429"/>
      <c r="K90" s="5355"/>
      <c r="L90" s="3207"/>
      <c r="M90" s="429"/>
      <c r="N90" s="5355"/>
      <c r="O90" s="3207"/>
      <c r="P90" s="3208"/>
      <c r="Q90" s="5356"/>
      <c r="R90" s="429"/>
      <c r="S90" s="5355"/>
      <c r="T90" s="3209"/>
      <c r="U90" s="5356"/>
      <c r="V90" s="3210"/>
      <c r="W90" s="5355"/>
      <c r="X90" s="3207"/>
      <c r="Y90" s="3208"/>
      <c r="Z90" s="5356"/>
      <c r="AA90" s="429"/>
      <c r="AB90" s="5355"/>
      <c r="AC90" s="3209"/>
      <c r="AD90" s="5356"/>
      <c r="AE90" s="3211"/>
      <c r="AG90" s="3207"/>
      <c r="AH90" s="3208"/>
      <c r="AI90" s="5356"/>
      <c r="AJ90" s="429"/>
      <c r="AK90" s="5355"/>
      <c r="AL90" s="3209"/>
      <c r="AM90" s="5356"/>
      <c r="AN90" s="3211"/>
      <c r="AP90" s="3207"/>
      <c r="AQ90" s="3208"/>
      <c r="AR90" s="5356"/>
      <c r="AS90" s="429"/>
      <c r="AT90" s="5355"/>
      <c r="AU90" s="3209"/>
      <c r="AV90" s="5356"/>
      <c r="AW90" s="3210"/>
      <c r="BA90" s="3207"/>
      <c r="BB90" s="3208"/>
      <c r="BC90" s="5356"/>
      <c r="BD90" s="429"/>
      <c r="BE90" s="5355"/>
      <c r="BF90" s="3209"/>
      <c r="BG90" s="5356"/>
      <c r="BH90" s="3210"/>
    </row>
    <row r="91" spans="1:62" x14ac:dyDescent="0.35">
      <c r="A91" s="9169"/>
      <c r="B91" s="3212"/>
      <c r="C91" s="3213"/>
      <c r="D91" s="3204" t="s">
        <v>1001</v>
      </c>
      <c r="E91" s="3214"/>
      <c r="F91" s="434"/>
      <c r="G91" s="5357"/>
      <c r="H91" s="436"/>
      <c r="I91" s="437"/>
      <c r="J91" s="438"/>
      <c r="K91" s="5357"/>
      <c r="L91" s="436"/>
      <c r="M91" s="440"/>
      <c r="N91" s="5357"/>
      <c r="O91" s="436"/>
      <c r="P91" s="437"/>
      <c r="Q91" s="2973"/>
      <c r="R91" s="438"/>
      <c r="S91" s="5357"/>
      <c r="T91" s="3215"/>
      <c r="U91" s="2973"/>
      <c r="V91" s="3216"/>
      <c r="W91" s="5357"/>
      <c r="X91" s="436"/>
      <c r="Y91" s="437"/>
      <c r="Z91" s="2973"/>
      <c r="AA91" s="438"/>
      <c r="AB91" s="5357"/>
      <c r="AC91" s="3215"/>
      <c r="AD91" s="2973"/>
      <c r="AE91" s="3217"/>
      <c r="AG91" s="436"/>
      <c r="AH91" s="437"/>
      <c r="AI91" s="2973"/>
      <c r="AJ91" s="438"/>
      <c r="AK91" s="5357"/>
      <c r="AL91" s="3215"/>
      <c r="AM91" s="2973"/>
      <c r="AN91" s="3217"/>
      <c r="AP91" s="436"/>
      <c r="AQ91" s="437"/>
      <c r="AR91" s="2973"/>
      <c r="AS91" s="438"/>
      <c r="AT91" s="5357"/>
      <c r="AU91" s="3215"/>
      <c r="AV91" s="2973"/>
      <c r="AW91" s="3216"/>
      <c r="BA91" s="436"/>
      <c r="BB91" s="437"/>
      <c r="BC91" s="2973"/>
      <c r="BD91" s="438"/>
      <c r="BE91" s="5357"/>
      <c r="BF91" s="3215"/>
      <c r="BG91" s="2973"/>
      <c r="BH91" s="3216"/>
    </row>
    <row r="92" spans="1:62" s="462" customFormat="1" ht="12" x14ac:dyDescent="0.3">
      <c r="C92" s="456"/>
      <c r="D92" s="5"/>
      <c r="E92" s="456"/>
      <c r="F92" s="456"/>
      <c r="G92" s="456"/>
      <c r="H92" s="459"/>
      <c r="I92" s="459"/>
      <c r="J92" s="7"/>
      <c r="K92" s="456"/>
      <c r="N92" s="456"/>
      <c r="S92" s="456"/>
      <c r="W92" s="456"/>
      <c r="AB92" s="456"/>
      <c r="AF92" s="456"/>
      <c r="AK92" s="456"/>
      <c r="AO92" s="456"/>
      <c r="AT92" s="456"/>
      <c r="AX92" s="456"/>
      <c r="BE92" s="456"/>
      <c r="BI92" s="456"/>
    </row>
    <row r="93" spans="1:62" s="462" customFormat="1" ht="12" x14ac:dyDescent="0.3">
      <c r="A93" s="576" t="s">
        <v>582</v>
      </c>
      <c r="B93" s="576"/>
      <c r="C93" s="456"/>
      <c r="D93" s="5"/>
      <c r="E93" s="456"/>
      <c r="F93" s="456"/>
      <c r="G93" s="456"/>
      <c r="H93" s="459"/>
      <c r="I93" s="459"/>
      <c r="J93" s="7"/>
      <c r="K93" s="456"/>
      <c r="N93" s="456"/>
      <c r="S93" s="456"/>
      <c r="W93" s="456"/>
      <c r="AB93" s="456"/>
      <c r="AF93" s="456"/>
      <c r="AK93" s="456"/>
      <c r="AO93" s="456"/>
      <c r="AT93" s="456"/>
      <c r="AX93" s="456"/>
      <c r="BE93" s="456"/>
      <c r="BI93" s="456"/>
    </row>
    <row r="94" spans="1:62" s="462" customFormat="1" ht="12" customHeight="1" x14ac:dyDescent="0.3">
      <c r="A94" s="463">
        <v>1</v>
      </c>
      <c r="B94" s="464"/>
      <c r="D94" s="465"/>
      <c r="E94" s="466"/>
      <c r="F94" s="466"/>
      <c r="G94" s="466"/>
      <c r="H94" s="466"/>
      <c r="I94" s="466"/>
      <c r="J94" s="467"/>
      <c r="K94" s="466"/>
      <c r="L94" s="466"/>
      <c r="M94" s="466"/>
      <c r="N94" s="466"/>
      <c r="O94" s="466"/>
      <c r="P94" s="466"/>
      <c r="Q94" s="466"/>
      <c r="R94" s="466"/>
      <c r="S94" s="466"/>
      <c r="T94" s="466"/>
      <c r="U94" s="466"/>
      <c r="V94" s="466"/>
      <c r="W94" s="466"/>
      <c r="X94" s="466"/>
      <c r="Y94" s="466"/>
      <c r="Z94" s="466"/>
      <c r="AA94" s="466"/>
      <c r="AB94" s="466"/>
      <c r="AC94" s="466"/>
      <c r="AD94" s="466"/>
      <c r="AE94" s="466"/>
      <c r="AF94" s="456"/>
      <c r="AG94" s="466"/>
      <c r="AH94" s="466"/>
      <c r="AI94" s="466"/>
      <c r="AJ94" s="466"/>
      <c r="AK94" s="466"/>
      <c r="AL94" s="466"/>
      <c r="AM94" s="466"/>
      <c r="AN94" s="466"/>
      <c r="AO94" s="456"/>
      <c r="AP94" s="466"/>
      <c r="AQ94" s="466"/>
      <c r="AR94" s="466"/>
      <c r="AS94" s="466"/>
      <c r="AT94" s="466"/>
      <c r="AU94" s="466"/>
      <c r="AV94" s="466"/>
      <c r="AW94" s="466"/>
      <c r="AX94" s="456"/>
      <c r="AY94" s="577"/>
      <c r="BA94" s="466"/>
      <c r="BB94" s="466"/>
      <c r="BC94" s="466"/>
      <c r="BD94" s="466"/>
      <c r="BE94" s="466"/>
      <c r="BF94" s="466"/>
      <c r="BG94" s="466"/>
      <c r="BH94" s="466"/>
      <c r="BI94" s="456"/>
      <c r="BJ94" s="577"/>
    </row>
    <row r="95" spans="1:62" s="462" customFormat="1" ht="12" x14ac:dyDescent="0.3">
      <c r="A95" s="468">
        <v>2</v>
      </c>
      <c r="B95" s="469"/>
      <c r="D95" s="5"/>
      <c r="E95" s="456"/>
      <c r="F95" s="456"/>
      <c r="G95" s="456"/>
      <c r="H95" s="459"/>
      <c r="I95" s="459"/>
      <c r="J95" s="7"/>
      <c r="K95" s="456"/>
      <c r="N95" s="456"/>
      <c r="S95" s="456"/>
      <c r="W95" s="456"/>
      <c r="AB95" s="456"/>
      <c r="AF95" s="456"/>
      <c r="AK95" s="456"/>
      <c r="AO95" s="456"/>
      <c r="AT95" s="456"/>
      <c r="AX95" s="456"/>
      <c r="AY95" s="577"/>
      <c r="BE95" s="456"/>
      <c r="BI95" s="456"/>
      <c r="BJ95" s="577"/>
    </row>
    <row r="96" spans="1:62" s="462" customFormat="1" ht="12" x14ac:dyDescent="0.3">
      <c r="A96" s="463">
        <v>3</v>
      </c>
      <c r="B96" s="469"/>
      <c r="D96" s="5"/>
      <c r="E96" s="456"/>
      <c r="F96" s="456"/>
      <c r="G96" s="456"/>
      <c r="H96" s="459"/>
      <c r="I96" s="459"/>
      <c r="J96" s="7"/>
      <c r="K96" s="456"/>
      <c r="N96" s="456"/>
      <c r="S96" s="456"/>
      <c r="W96" s="456"/>
      <c r="AB96" s="456"/>
      <c r="AF96" s="456"/>
      <c r="AK96" s="456"/>
      <c r="AO96" s="456"/>
      <c r="AT96" s="456"/>
      <c r="AX96" s="456"/>
      <c r="AY96" s="577"/>
      <c r="BE96" s="456"/>
      <c r="BI96" s="456"/>
      <c r="BJ96" s="577"/>
    </row>
    <row r="97" spans="1:62" s="462" customFormat="1" ht="12" x14ac:dyDescent="0.3">
      <c r="A97" s="468">
        <v>4</v>
      </c>
      <c r="B97" s="469"/>
      <c r="D97" s="5"/>
      <c r="E97" s="456"/>
      <c r="F97" s="456"/>
      <c r="G97" s="456"/>
      <c r="H97" s="459"/>
      <c r="I97" s="459"/>
      <c r="J97" s="7"/>
      <c r="K97" s="456"/>
      <c r="N97" s="456"/>
      <c r="S97" s="456"/>
      <c r="W97" s="456"/>
      <c r="AB97" s="456"/>
      <c r="AF97" s="456"/>
      <c r="AK97" s="456"/>
      <c r="AO97" s="456"/>
      <c r="AT97" s="456"/>
      <c r="AX97" s="456"/>
      <c r="AY97" s="577"/>
      <c r="BE97" s="456"/>
      <c r="BI97" s="456"/>
      <c r="BJ97" s="577"/>
    </row>
    <row r="98" spans="1:62" s="462" customFormat="1" ht="12" x14ac:dyDescent="0.3">
      <c r="A98" s="463">
        <v>5</v>
      </c>
      <c r="B98" s="469"/>
      <c r="D98" s="5"/>
      <c r="E98" s="456"/>
      <c r="F98" s="456"/>
      <c r="G98" s="456"/>
      <c r="H98" s="459"/>
      <c r="I98" s="459"/>
      <c r="J98" s="7"/>
      <c r="K98" s="456"/>
      <c r="N98" s="456"/>
      <c r="S98" s="456"/>
      <c r="W98" s="456"/>
      <c r="AB98" s="456"/>
      <c r="AF98" s="456"/>
      <c r="AK98" s="456"/>
      <c r="AO98" s="456"/>
      <c r="AT98" s="456"/>
      <c r="AX98" s="456"/>
      <c r="AY98" s="577"/>
      <c r="BE98" s="456"/>
      <c r="BI98" s="456"/>
      <c r="BJ98" s="577"/>
    </row>
    <row r="99" spans="1:62" s="462" customFormat="1" ht="12" x14ac:dyDescent="0.3">
      <c r="A99" s="468">
        <v>6</v>
      </c>
      <c r="B99" s="469"/>
      <c r="D99" s="5"/>
      <c r="E99" s="456"/>
      <c r="F99" s="456"/>
      <c r="G99" s="456"/>
      <c r="H99" s="459"/>
      <c r="I99" s="459"/>
      <c r="J99" s="7"/>
      <c r="K99" s="456"/>
      <c r="N99" s="456"/>
      <c r="S99" s="456"/>
      <c r="W99" s="456"/>
      <c r="AB99" s="456"/>
      <c r="AF99" s="456"/>
      <c r="AK99" s="456"/>
      <c r="AO99" s="456"/>
      <c r="AT99" s="456"/>
      <c r="AX99" s="456"/>
      <c r="AY99" s="577"/>
      <c r="BE99" s="456"/>
      <c r="BI99" s="456"/>
      <c r="BJ99" s="577"/>
    </row>
    <row r="100" spans="1:62" s="462" customFormat="1" ht="12" x14ac:dyDescent="0.3">
      <c r="A100" s="463">
        <v>7</v>
      </c>
      <c r="B100" s="469"/>
      <c r="D100" s="5"/>
      <c r="E100" s="456"/>
      <c r="F100" s="456"/>
      <c r="G100" s="456"/>
      <c r="H100" s="459"/>
      <c r="I100" s="459"/>
      <c r="J100" s="7"/>
      <c r="K100" s="456"/>
      <c r="N100" s="456"/>
      <c r="S100" s="456"/>
      <c r="W100" s="456"/>
      <c r="AB100" s="456"/>
      <c r="AF100" s="456"/>
      <c r="AK100" s="456"/>
      <c r="AO100" s="456"/>
      <c r="AT100" s="456"/>
      <c r="AX100" s="456"/>
      <c r="AY100" s="577"/>
      <c r="BE100" s="456"/>
      <c r="BI100" s="456"/>
      <c r="BJ100" s="577"/>
    </row>
    <row r="101" spans="1:62" s="462" customFormat="1" ht="12" x14ac:dyDescent="0.3">
      <c r="A101" s="468">
        <v>8</v>
      </c>
      <c r="B101" s="469"/>
      <c r="D101" s="5"/>
      <c r="E101" s="456"/>
      <c r="F101" s="456"/>
      <c r="G101" s="456"/>
      <c r="H101" s="459"/>
      <c r="I101" s="459"/>
      <c r="J101" s="7"/>
      <c r="K101" s="456"/>
      <c r="N101" s="456"/>
      <c r="S101" s="456"/>
      <c r="W101" s="456"/>
      <c r="AB101" s="456"/>
      <c r="AF101" s="456"/>
      <c r="AK101" s="456"/>
      <c r="AO101" s="456"/>
      <c r="AT101" s="456"/>
      <c r="AX101" s="456"/>
      <c r="AY101" s="577"/>
      <c r="BE101" s="456"/>
      <c r="BI101" s="456"/>
      <c r="BJ101" s="577"/>
    </row>
    <row r="102" spans="1:62" s="462" customFormat="1" ht="12" x14ac:dyDescent="0.3">
      <c r="A102" s="463">
        <v>9</v>
      </c>
      <c r="B102" s="469"/>
      <c r="D102" s="5"/>
      <c r="E102" s="456"/>
      <c r="F102" s="456"/>
      <c r="G102" s="456"/>
      <c r="H102" s="459"/>
      <c r="I102" s="459"/>
      <c r="J102" s="7"/>
      <c r="K102" s="456"/>
      <c r="N102" s="456"/>
      <c r="S102" s="456"/>
      <c r="W102" s="456"/>
      <c r="AB102" s="456"/>
      <c r="AF102" s="456"/>
      <c r="AK102" s="456"/>
      <c r="AO102" s="456"/>
      <c r="AT102" s="456"/>
      <c r="AX102" s="456"/>
      <c r="AY102" s="577"/>
      <c r="BE102" s="456"/>
      <c r="BI102" s="456"/>
      <c r="BJ102" s="577"/>
    </row>
    <row r="103" spans="1:62" s="462" customFormat="1" ht="12" x14ac:dyDescent="0.3">
      <c r="A103" s="468">
        <v>10</v>
      </c>
      <c r="B103" s="469"/>
      <c r="D103" s="5"/>
      <c r="E103" s="456"/>
      <c r="F103" s="456"/>
      <c r="G103" s="456"/>
      <c r="H103" s="459"/>
      <c r="I103" s="459"/>
      <c r="J103" s="7"/>
      <c r="K103" s="456"/>
      <c r="N103" s="456"/>
      <c r="S103" s="456"/>
      <c r="W103" s="456"/>
      <c r="AB103" s="456"/>
      <c r="AF103" s="456"/>
      <c r="AK103" s="456"/>
      <c r="AO103" s="456"/>
      <c r="AT103" s="456"/>
      <c r="AX103" s="456"/>
      <c r="AY103" s="577"/>
      <c r="BE103" s="456"/>
      <c r="BI103" s="456"/>
      <c r="BJ103" s="577"/>
    </row>
    <row r="104" spans="1:62" s="462" customFormat="1" ht="12" x14ac:dyDescent="0.3">
      <c r="A104" s="463">
        <v>11</v>
      </c>
      <c r="B104" s="469"/>
      <c r="D104" s="5"/>
      <c r="E104" s="456"/>
      <c r="F104" s="456"/>
      <c r="G104" s="456"/>
      <c r="H104" s="459"/>
      <c r="I104" s="459"/>
      <c r="J104" s="7"/>
      <c r="K104" s="456"/>
      <c r="N104" s="456"/>
      <c r="S104" s="456"/>
      <c r="W104" s="456"/>
      <c r="AB104" s="456"/>
      <c r="AF104" s="456"/>
      <c r="AK104" s="456"/>
      <c r="AO104" s="456"/>
      <c r="AT104" s="456"/>
      <c r="AX104" s="456"/>
      <c r="AY104" s="577"/>
      <c r="BE104" s="456"/>
      <c r="BI104" s="456"/>
      <c r="BJ104" s="577"/>
    </row>
    <row r="105" spans="1:62" s="462" customFormat="1" ht="12" x14ac:dyDescent="0.3">
      <c r="A105" s="468"/>
      <c r="B105" s="469"/>
      <c r="D105" s="5"/>
      <c r="E105" s="456"/>
      <c r="F105" s="456"/>
      <c r="G105" s="456"/>
      <c r="H105" s="459"/>
      <c r="I105" s="459"/>
      <c r="J105" s="7"/>
      <c r="K105" s="456"/>
      <c r="N105" s="456"/>
      <c r="S105" s="456"/>
      <c r="W105" s="456"/>
      <c r="AB105" s="456"/>
      <c r="AF105" s="456"/>
      <c r="AK105" s="456"/>
      <c r="AO105" s="456"/>
      <c r="AT105" s="456"/>
      <c r="AX105" s="456"/>
      <c r="AY105" s="577"/>
      <c r="BE105" s="456"/>
      <c r="BI105" s="456"/>
      <c r="BJ105" s="577"/>
    </row>
    <row r="106" spans="1:62" s="462" customFormat="1" ht="12" x14ac:dyDescent="0.3">
      <c r="A106" s="468"/>
      <c r="B106" s="469"/>
      <c r="D106" s="5"/>
      <c r="E106" s="456"/>
      <c r="F106" s="456"/>
      <c r="G106" s="456"/>
      <c r="H106" s="459"/>
      <c r="I106" s="459"/>
      <c r="J106" s="7"/>
      <c r="K106" s="456"/>
      <c r="N106" s="456"/>
      <c r="S106" s="456"/>
      <c r="W106" s="456"/>
      <c r="AB106" s="456"/>
      <c r="AF106" s="456"/>
      <c r="AK106" s="456"/>
      <c r="AO106" s="456"/>
      <c r="AT106" s="456"/>
      <c r="AX106" s="456"/>
      <c r="AY106" s="577"/>
      <c r="BE106" s="456"/>
      <c r="BI106" s="456"/>
      <c r="BJ106" s="577"/>
    </row>
    <row r="107" spans="1:62" s="462" customFormat="1" ht="12" x14ac:dyDescent="0.3">
      <c r="A107" s="468"/>
      <c r="B107" s="469"/>
      <c r="D107" s="5"/>
      <c r="E107" s="456"/>
      <c r="F107" s="456"/>
      <c r="G107" s="456"/>
      <c r="H107" s="459"/>
      <c r="I107" s="459"/>
      <c r="J107" s="7"/>
      <c r="K107" s="456"/>
      <c r="N107" s="456"/>
      <c r="S107" s="456"/>
      <c r="W107" s="456"/>
      <c r="AB107" s="456"/>
      <c r="AF107" s="456"/>
      <c r="AK107" s="456"/>
      <c r="AO107" s="456"/>
      <c r="AT107" s="456"/>
      <c r="AX107" s="456"/>
      <c r="AY107" s="577"/>
      <c r="BE107" s="456"/>
      <c r="BI107" s="456"/>
      <c r="BJ107" s="577"/>
    </row>
    <row r="108" spans="1:62" s="462" customFormat="1" ht="12" x14ac:dyDescent="0.3">
      <c r="A108" s="455" t="s">
        <v>1002</v>
      </c>
      <c r="B108" s="455"/>
      <c r="C108" s="456"/>
      <c r="D108" s="5"/>
      <c r="E108" s="456"/>
      <c r="F108" s="456"/>
      <c r="G108" s="456"/>
      <c r="H108" s="459"/>
      <c r="I108" s="459"/>
      <c r="J108" s="7"/>
      <c r="K108" s="456"/>
      <c r="N108" s="456"/>
      <c r="S108" s="456"/>
      <c r="W108" s="456"/>
      <c r="AB108" s="456"/>
      <c r="AF108" s="456"/>
      <c r="AK108" s="456"/>
      <c r="AO108" s="456"/>
      <c r="AT108" s="456"/>
      <c r="AX108" s="456"/>
      <c r="AY108" s="577"/>
      <c r="BE108" s="456"/>
      <c r="BI108" s="456"/>
      <c r="BJ108" s="577"/>
    </row>
    <row r="109" spans="1:62" s="462" customFormat="1" ht="93" customHeight="1" x14ac:dyDescent="0.3">
      <c r="A109" s="9170" t="s">
        <v>2009</v>
      </c>
      <c r="B109" s="9171"/>
      <c r="C109" s="9171"/>
      <c r="D109" s="9171"/>
      <c r="E109" s="9171"/>
      <c r="F109" s="9171"/>
      <c r="G109" s="9171"/>
      <c r="H109" s="9171"/>
      <c r="I109" s="9171"/>
      <c r="J109" s="9171"/>
      <c r="K109" s="9171"/>
      <c r="L109" s="9171"/>
      <c r="M109" s="9172"/>
      <c r="N109" s="461"/>
      <c r="O109" s="461"/>
      <c r="P109" s="461"/>
      <c r="Q109" s="461"/>
      <c r="R109" s="461"/>
      <c r="S109" s="461"/>
      <c r="T109" s="461"/>
      <c r="U109" s="461"/>
      <c r="V109" s="461"/>
      <c r="W109" s="461"/>
      <c r="X109" s="461"/>
      <c r="Y109" s="461"/>
      <c r="Z109" s="461"/>
      <c r="AA109" s="461"/>
      <c r="AB109" s="461"/>
      <c r="AC109" s="461"/>
      <c r="AD109" s="461"/>
      <c r="AE109" s="461"/>
      <c r="AF109" s="456"/>
      <c r="AG109" s="461"/>
      <c r="AH109" s="461"/>
      <c r="AI109" s="461"/>
      <c r="AJ109" s="461"/>
      <c r="AK109" s="461"/>
      <c r="AL109" s="461"/>
      <c r="AM109" s="461"/>
      <c r="AN109" s="461"/>
      <c r="AO109" s="456"/>
      <c r="AP109" s="461"/>
      <c r="AQ109" s="461"/>
      <c r="AR109" s="461"/>
      <c r="AS109" s="461"/>
      <c r="AT109" s="461"/>
      <c r="AU109" s="461"/>
      <c r="AV109" s="461"/>
      <c r="AW109" s="461"/>
      <c r="AX109" s="456"/>
      <c r="AY109" s="577"/>
      <c r="BA109" s="461"/>
      <c r="BB109" s="461"/>
      <c r="BC109" s="461"/>
      <c r="BD109" s="461"/>
      <c r="BE109" s="461"/>
      <c r="BF109" s="461"/>
      <c r="BG109" s="461"/>
      <c r="BH109" s="461"/>
      <c r="BI109" s="456"/>
      <c r="BJ109" s="577"/>
    </row>
  </sheetData>
  <mergeCells count="53">
    <mergeCell ref="BA7:BD7"/>
    <mergeCell ref="BF7:BH7"/>
    <mergeCell ref="BA10:BB10"/>
    <mergeCell ref="BA1:BH1"/>
    <mergeCell ref="BA4:BD4"/>
    <mergeCell ref="BF4:BH4"/>
    <mergeCell ref="BJ4:BJ5"/>
    <mergeCell ref="BA5:BD5"/>
    <mergeCell ref="BF5:BH5"/>
    <mergeCell ref="A109:M109"/>
    <mergeCell ref="AL7:AN7"/>
    <mergeCell ref="A10:A29"/>
    <mergeCell ref="H10:I10"/>
    <mergeCell ref="A31:A73"/>
    <mergeCell ref="H31:I31"/>
    <mergeCell ref="A75:A91"/>
    <mergeCell ref="X7:AA7"/>
    <mergeCell ref="AC7:AE7"/>
    <mergeCell ref="AG7:AJ7"/>
    <mergeCell ref="H7:I7"/>
    <mergeCell ref="J7:J8"/>
    <mergeCell ref="L7:M7"/>
    <mergeCell ref="AP1:AW1"/>
    <mergeCell ref="AP4:AS4"/>
    <mergeCell ref="O7:R7"/>
    <mergeCell ref="AY4:AY5"/>
    <mergeCell ref="AP5:AS5"/>
    <mergeCell ref="AU5:AW5"/>
    <mergeCell ref="T5:V5"/>
    <mergeCell ref="X5:AA5"/>
    <mergeCell ref="AC5:AE5"/>
    <mergeCell ref="AG5:AJ5"/>
    <mergeCell ref="AL4:AN4"/>
    <mergeCell ref="AG4:AJ4"/>
    <mergeCell ref="AP7:AS7"/>
    <mergeCell ref="AU7:AW7"/>
    <mergeCell ref="AU4:AW4"/>
    <mergeCell ref="H5:J5"/>
    <mergeCell ref="L5:M5"/>
    <mergeCell ref="AP10:AQ10"/>
    <mergeCell ref="F1:M1"/>
    <mergeCell ref="O1:V1"/>
    <mergeCell ref="X1:AE1"/>
    <mergeCell ref="AG1:AN1"/>
    <mergeCell ref="H4:J4"/>
    <mergeCell ref="L4:M4"/>
    <mergeCell ref="O4:R4"/>
    <mergeCell ref="T4:V4"/>
    <mergeCell ref="X4:AA4"/>
    <mergeCell ref="AC4:AE4"/>
    <mergeCell ref="T7:V7"/>
    <mergeCell ref="AL5:AN5"/>
    <mergeCell ref="O5:R5"/>
  </mergeCells>
  <hyperlinks>
    <hyperlink ref="U10" r:id="rId1" xr:uid="{93BA089C-69D0-4C4F-A30D-16DA9DF70196}"/>
    <hyperlink ref="AM10" r:id="rId2" xr:uid="{46C81F70-0C41-40A1-A556-9F67D636F5A8}"/>
    <hyperlink ref="AR31" r:id="rId3" xr:uid="{97C743B6-0179-462F-9FD2-7097BCA9AB9E}"/>
    <hyperlink ref="AV31" r:id="rId4" xr:uid="{C61BB205-65FC-4071-B726-83E1E0CD899F}"/>
    <hyperlink ref="AV10" r:id="rId5" xr:uid="{09F208AA-6F35-4789-B1E3-5B99F59CAE24}"/>
    <hyperlink ref="AR10" r:id="rId6" xr:uid="{BD30526F-BD61-4380-8137-F6121E141480}"/>
    <hyperlink ref="BC10" r:id="rId7" xr:uid="{C26BACFC-753D-41F3-A1BC-3B36FCBC3854}"/>
  </hyperlinks>
  <pageMargins left="0.23622047244094491" right="0.23622047244094491" top="0.35433070866141736" bottom="0.35433070866141736" header="0.31496062992125984" footer="0.31496062992125984"/>
  <pageSetup paperSize="9" scale="45" orientation="portrait" horizontalDpi="4294967293" r:id="rId8"/>
  <headerFooter>
    <oddFooter>&amp;R&amp;1#&amp;"Calibri"&amp;12&amp;K000000Official Use</oddFooter>
  </headerFooter>
  <legacyDrawing r:id="rId9"/>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104"/>
  <sheetViews>
    <sheetView topLeftCell="A16" zoomScale="89" workbookViewId="0">
      <pane xSplit="4" topLeftCell="M1" activePane="topRight" state="frozen"/>
      <selection pane="topRight" activeCell="P16" sqref="P16"/>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6" width="1.6328125" style="1" customWidth="1"/>
    <col min="7" max="7" width="21.6328125" style="1" customWidth="1"/>
    <col min="8" max="8" width="1.6328125" style="1" customWidth="1"/>
    <col min="9" max="10" width="21.6328125" style="6" customWidth="1"/>
    <col min="11" max="11" width="8.6328125" style="7" customWidth="1"/>
    <col min="12" max="12" width="1.6328125" style="1" customWidth="1"/>
    <col min="13" max="14" width="21.6328125" customWidth="1"/>
    <col min="15" max="15" width="1.6328125" style="1" customWidth="1"/>
    <col min="16" max="17" width="21.6328125" customWidth="1"/>
    <col min="18" max="18" width="1.6328125" style="1" customWidth="1"/>
    <col min="19" max="20" width="21.6328125" customWidth="1"/>
    <col min="21" max="21" width="1.6328125" style="1" customWidth="1"/>
    <col min="22" max="23" width="21.6328125" customWidth="1"/>
    <col min="24" max="24" width="1.6328125" style="1" customWidth="1"/>
    <col min="25" max="26" width="21.6328125" customWidth="1"/>
    <col min="27" max="27" width="6.36328125" customWidth="1"/>
    <col min="28" max="29" width="21.6328125" customWidth="1"/>
    <col min="30" max="30" width="10.453125" style="1" customWidth="1"/>
    <col min="31" max="31" width="1.81640625" style="1" customWidth="1"/>
    <col min="32" max="33" width="21.6328125" customWidth="1"/>
    <col min="34" max="34" width="10.453125" customWidth="1"/>
    <col min="35" max="35" width="3.6328125" customWidth="1"/>
    <col min="36" max="37" width="21.6328125" customWidth="1"/>
    <col min="38" max="38" width="10.453125" style="1" customWidth="1"/>
    <col min="39" max="39" width="3.6328125" customWidth="1"/>
    <col min="40" max="40" width="33.453125" customWidth="1"/>
  </cols>
  <sheetData>
    <row r="1" spans="1:40" x14ac:dyDescent="0.35">
      <c r="I1"/>
    </row>
    <row r="2" spans="1:40" ht="21" x14ac:dyDescent="0.5">
      <c r="B2" s="1" t="s">
        <v>829</v>
      </c>
      <c r="C2" s="4" t="s">
        <v>36</v>
      </c>
      <c r="I2"/>
      <c r="M2">
        <f>10573000+13071550</f>
        <v>23644550</v>
      </c>
      <c r="N2">
        <v>1835482</v>
      </c>
      <c r="P2" s="9303" t="s">
        <v>2010</v>
      </c>
      <c r="Q2" s="9304"/>
      <c r="R2" s="9304"/>
      <c r="S2" s="9304"/>
      <c r="T2" s="9305"/>
      <c r="V2" s="9303" t="s">
        <v>1118</v>
      </c>
      <c r="W2" s="9304"/>
      <c r="X2" s="9304"/>
      <c r="Y2" s="9304"/>
      <c r="Z2" s="9305"/>
      <c r="AB2" s="9343" t="s">
        <v>2011</v>
      </c>
      <c r="AC2" s="9344"/>
      <c r="AD2" s="9344"/>
      <c r="AE2" s="9344"/>
      <c r="AF2" s="9344"/>
      <c r="AG2" s="9344"/>
      <c r="AH2" s="9345"/>
      <c r="AI2" s="5661"/>
      <c r="AJ2" s="9340" t="s">
        <v>2012</v>
      </c>
      <c r="AK2" s="9341"/>
      <c r="AL2" s="9342"/>
      <c r="AM2" s="5661"/>
    </row>
    <row r="4" spans="1:40" s="8" customFormat="1" ht="15.25" customHeight="1" x14ac:dyDescent="0.35">
      <c r="D4" s="471"/>
      <c r="G4" s="8326" t="s">
        <v>830</v>
      </c>
      <c r="I4" s="9130" t="s">
        <v>831</v>
      </c>
      <c r="J4" s="9131"/>
      <c r="K4" s="9132"/>
      <c r="M4" s="9130" t="s">
        <v>832</v>
      </c>
      <c r="N4" s="9132"/>
      <c r="P4" s="9130" t="s">
        <v>832</v>
      </c>
      <c r="Q4" s="9132"/>
      <c r="S4" s="9130" t="s">
        <v>832</v>
      </c>
      <c r="T4" s="9132"/>
      <c r="V4" s="9130" t="s">
        <v>832</v>
      </c>
      <c r="W4" s="9132"/>
      <c r="Y4" s="9130" t="s">
        <v>832</v>
      </c>
      <c r="Z4" s="9132"/>
      <c r="AA4" s="9180" t="s">
        <v>404</v>
      </c>
      <c r="AB4" s="9318" t="s">
        <v>832</v>
      </c>
      <c r="AC4" s="9318"/>
      <c r="AD4" s="9318"/>
      <c r="AF4" s="9198" t="s">
        <v>832</v>
      </c>
      <c r="AG4" s="9199"/>
      <c r="AH4" s="9200"/>
      <c r="AI4" s="4915"/>
      <c r="AJ4" s="9318" t="s">
        <v>832</v>
      </c>
      <c r="AK4" s="9318"/>
      <c r="AL4" s="9318"/>
      <c r="AM4" s="4915"/>
      <c r="AN4" s="9180" t="s">
        <v>404</v>
      </c>
    </row>
    <row r="5" spans="1:40" x14ac:dyDescent="0.35">
      <c r="B5" s="1" t="s">
        <v>835</v>
      </c>
      <c r="C5" s="11">
        <v>2006</v>
      </c>
      <c r="G5" s="8324"/>
      <c r="H5" s="12"/>
      <c r="I5" s="9138">
        <v>2014</v>
      </c>
      <c r="J5" s="9139"/>
      <c r="K5" s="9140"/>
      <c r="L5" s="12"/>
      <c r="M5" s="9138">
        <v>2015</v>
      </c>
      <c r="N5" s="9140"/>
      <c r="P5" s="9138">
        <v>2016</v>
      </c>
      <c r="Q5" s="9140"/>
      <c r="S5" s="9138">
        <v>2017</v>
      </c>
      <c r="T5" s="9140"/>
      <c r="V5" s="9138">
        <v>2017</v>
      </c>
      <c r="W5" s="9140"/>
      <c r="Y5" s="9138">
        <v>2018</v>
      </c>
      <c r="Z5" s="9140"/>
      <c r="AA5" s="9181"/>
      <c r="AB5" s="9234">
        <v>2018</v>
      </c>
      <c r="AC5" s="9234"/>
      <c r="AD5" s="9234"/>
      <c r="AF5" s="9201">
        <v>2019</v>
      </c>
      <c r="AG5" s="9202"/>
      <c r="AH5" s="9203"/>
      <c r="AI5" s="4916"/>
      <c r="AJ5" s="9234">
        <v>2020</v>
      </c>
      <c r="AK5" s="9234"/>
      <c r="AL5" s="9234"/>
      <c r="AM5" s="4916"/>
      <c r="AN5" s="9181"/>
    </row>
    <row r="6" spans="1:40" x14ac:dyDescent="0.35">
      <c r="C6"/>
      <c r="G6" s="6"/>
      <c r="M6" s="14"/>
      <c r="P6" s="14"/>
      <c r="S6" s="14"/>
      <c r="V6" s="14"/>
      <c r="Y6" s="14"/>
      <c r="AA6" s="6"/>
      <c r="AB6" s="14"/>
      <c r="AF6" s="14"/>
      <c r="AJ6" s="14"/>
      <c r="AN6" s="6"/>
    </row>
    <row r="7" spans="1:40" ht="12.75" customHeight="1" x14ac:dyDescent="0.35">
      <c r="B7" s="1" t="s">
        <v>836</v>
      </c>
      <c r="C7" s="15" t="s">
        <v>2013</v>
      </c>
      <c r="D7" s="5" t="s">
        <v>417</v>
      </c>
      <c r="G7" s="8322"/>
      <c r="I7" s="9173" t="s">
        <v>2014</v>
      </c>
      <c r="J7" s="9173"/>
      <c r="K7" s="9147" t="s">
        <v>839</v>
      </c>
      <c r="M7" s="9173" t="s">
        <v>2014</v>
      </c>
      <c r="N7" s="9173"/>
      <c r="P7" s="9173" t="s">
        <v>2014</v>
      </c>
      <c r="Q7" s="9173"/>
      <c r="S7" s="9173" t="s">
        <v>2014</v>
      </c>
      <c r="T7" s="9173"/>
      <c r="V7" s="9173" t="s">
        <v>2014</v>
      </c>
      <c r="W7" s="9173"/>
      <c r="Y7" s="9173" t="s">
        <v>2014</v>
      </c>
      <c r="Z7" s="9173"/>
      <c r="AA7" s="18"/>
      <c r="AB7" s="9346" t="s">
        <v>2014</v>
      </c>
      <c r="AC7" s="9347"/>
      <c r="AD7" s="9348" t="s">
        <v>2015</v>
      </c>
      <c r="AF7" s="9173" t="s">
        <v>2014</v>
      </c>
      <c r="AG7" s="9173"/>
      <c r="AH7" s="9348" t="s">
        <v>2015</v>
      </c>
      <c r="AI7" s="8359"/>
      <c r="AJ7" s="9346" t="s">
        <v>2014</v>
      </c>
      <c r="AK7" s="9347"/>
      <c r="AL7" s="9348" t="s">
        <v>2015</v>
      </c>
      <c r="AM7" s="8360"/>
      <c r="AN7" s="18"/>
    </row>
    <row r="8" spans="1:40" x14ac:dyDescent="0.35">
      <c r="B8" s="1" t="s">
        <v>841</v>
      </c>
      <c r="C8" s="19" t="s">
        <v>1121</v>
      </c>
      <c r="G8" s="20" t="s">
        <v>843</v>
      </c>
      <c r="I8" s="21" t="s">
        <v>844</v>
      </c>
      <c r="J8" s="20" t="s">
        <v>843</v>
      </c>
      <c r="K8" s="9148"/>
      <c r="M8" s="21" t="s">
        <v>844</v>
      </c>
      <c r="N8" s="20" t="s">
        <v>843</v>
      </c>
      <c r="P8" s="21" t="s">
        <v>844</v>
      </c>
      <c r="Q8" s="20" t="s">
        <v>843</v>
      </c>
      <c r="S8" s="21" t="s">
        <v>844</v>
      </c>
      <c r="T8" s="20" t="s">
        <v>843</v>
      </c>
      <c r="V8" s="21" t="s">
        <v>844</v>
      </c>
      <c r="W8" s="20" t="s">
        <v>843</v>
      </c>
      <c r="Y8" s="21" t="s">
        <v>844</v>
      </c>
      <c r="Z8" s="20" t="s">
        <v>843</v>
      </c>
      <c r="AA8" s="24"/>
      <c r="AB8" s="21" t="s">
        <v>844</v>
      </c>
      <c r="AC8" s="20" t="s">
        <v>843</v>
      </c>
      <c r="AD8" s="9348"/>
      <c r="AF8" s="21" t="s">
        <v>844</v>
      </c>
      <c r="AG8" s="20" t="s">
        <v>843</v>
      </c>
      <c r="AH8" s="9348"/>
      <c r="AI8" s="8360"/>
      <c r="AJ8" s="21" t="s">
        <v>844</v>
      </c>
      <c r="AK8" s="20" t="s">
        <v>843</v>
      </c>
      <c r="AL8" s="9348"/>
      <c r="AM8" s="8360"/>
      <c r="AN8" s="24"/>
    </row>
    <row r="9" spans="1:40" x14ac:dyDescent="0.35">
      <c r="C9"/>
      <c r="E9"/>
      <c r="F9"/>
      <c r="G9"/>
      <c r="H9"/>
      <c r="I9"/>
      <c r="J9"/>
      <c r="K9" s="25"/>
      <c r="L9"/>
      <c r="O9"/>
      <c r="R9"/>
      <c r="U9"/>
      <c r="X9"/>
      <c r="AD9"/>
      <c r="AE9"/>
      <c r="AL9"/>
    </row>
    <row r="10" spans="1:40" ht="33.25" customHeight="1" x14ac:dyDescent="0.35">
      <c r="A10" s="9167" t="s">
        <v>854</v>
      </c>
      <c r="B10" s="27"/>
      <c r="C10" s="28" t="s">
        <v>427</v>
      </c>
      <c r="D10" s="29" t="s">
        <v>428</v>
      </c>
      <c r="E10" s="30"/>
      <c r="F10" s="30"/>
      <c r="G10" s="31"/>
      <c r="H10"/>
      <c r="I10" s="31" t="s">
        <v>2016</v>
      </c>
      <c r="J10" s="31"/>
      <c r="K10" s="32"/>
      <c r="L10" s="33"/>
      <c r="M10" s="31" t="s">
        <v>2016</v>
      </c>
      <c r="N10" s="34" t="s">
        <v>857</v>
      </c>
      <c r="O10" s="30"/>
      <c r="P10" s="3057" t="s">
        <v>1140</v>
      </c>
      <c r="Q10" s="34" t="s">
        <v>857</v>
      </c>
      <c r="R10" s="30"/>
      <c r="S10" s="3057" t="s">
        <v>1816</v>
      </c>
      <c r="T10" s="34" t="s">
        <v>857</v>
      </c>
      <c r="U10" s="33"/>
      <c r="V10" s="3057"/>
      <c r="W10" s="34" t="s">
        <v>857</v>
      </c>
      <c r="X10" s="30"/>
      <c r="Y10" s="3057" t="s">
        <v>1149</v>
      </c>
      <c r="Z10" s="34" t="s">
        <v>857</v>
      </c>
      <c r="AA10" s="3624" t="s">
        <v>2017</v>
      </c>
      <c r="AB10" s="3057" t="s">
        <v>2018</v>
      </c>
      <c r="AC10" s="34" t="s">
        <v>2019</v>
      </c>
      <c r="AD10" s="34" t="s">
        <v>2020</v>
      </c>
      <c r="AE10" s="472"/>
      <c r="AF10" s="3057" t="s">
        <v>1152</v>
      </c>
      <c r="AG10" s="34" t="s">
        <v>2019</v>
      </c>
      <c r="AH10" s="34" t="s">
        <v>2020</v>
      </c>
      <c r="AI10" s="1540"/>
      <c r="AJ10" s="3057" t="s">
        <v>2021</v>
      </c>
      <c r="AK10" s="34"/>
      <c r="AL10" s="34"/>
      <c r="AM10" s="1540"/>
      <c r="AN10" s="652"/>
    </row>
    <row r="11" spans="1:40" ht="12.75" customHeight="1" x14ac:dyDescent="0.35">
      <c r="A11" s="9168"/>
      <c r="B11" s="40" t="s">
        <v>870</v>
      </c>
      <c r="C11" s="41"/>
      <c r="D11" s="42"/>
      <c r="E11" s="43"/>
      <c r="F11" s="43"/>
      <c r="G11" s="44"/>
      <c r="H11"/>
      <c r="I11" s="45"/>
      <c r="J11" s="46"/>
      <c r="K11" s="47"/>
      <c r="L11" s="48"/>
      <c r="M11" s="45"/>
      <c r="N11" s="49"/>
      <c r="O11" s="50"/>
      <c r="P11" s="45"/>
      <c r="Q11" s="49"/>
      <c r="R11" s="43"/>
      <c r="S11" s="45"/>
      <c r="T11" s="49"/>
      <c r="U11" s="3625"/>
      <c r="V11" s="45"/>
      <c r="W11" s="49"/>
      <c r="X11" s="43"/>
      <c r="Y11" s="45"/>
      <c r="Z11" s="49"/>
      <c r="AA11" s="18"/>
      <c r="AB11" s="102"/>
      <c r="AC11" s="105"/>
      <c r="AD11" s="8361">
        <f>136336484669/132798032970</f>
        <v>1.0266453622833356</v>
      </c>
      <c r="AE11" s="8362"/>
      <c r="AF11" s="102"/>
      <c r="AG11" s="8363" t="s">
        <v>2022</v>
      </c>
      <c r="AH11" s="6603">
        <f>AD11</f>
        <v>1.0266453622833356</v>
      </c>
      <c r="AI11" s="8364"/>
      <c r="AJ11" s="102"/>
      <c r="AK11" s="66" t="s">
        <v>2023</v>
      </c>
      <c r="AL11" s="8361"/>
      <c r="AM11" s="8365"/>
      <c r="AN11" s="26"/>
    </row>
    <row r="12" spans="1:40" x14ac:dyDescent="0.35">
      <c r="A12" s="9168"/>
      <c r="B12" s="58"/>
      <c r="C12" s="59" t="s">
        <v>872</v>
      </c>
      <c r="D12" s="60"/>
      <c r="G12" s="61"/>
      <c r="H12"/>
      <c r="I12" s="61">
        <f>I14-I13</f>
        <v>81143870</v>
      </c>
      <c r="J12" s="63"/>
      <c r="K12" s="64">
        <f>IF(I12=0,0,J12/I12)</f>
        <v>0</v>
      </c>
      <c r="L12" s="65"/>
      <c r="M12" s="63">
        <f>M14-M13</f>
        <v>86538367</v>
      </c>
      <c r="N12" s="66">
        <f>M12*K12</f>
        <v>0</v>
      </c>
      <c r="O12" s="67"/>
      <c r="P12" s="3626">
        <f>P14-P13</f>
        <v>97842729</v>
      </c>
      <c r="Q12" s="66">
        <f>P12*N12</f>
        <v>0</v>
      </c>
      <c r="S12" s="3626">
        <f>S14-S13</f>
        <v>106532000</v>
      </c>
      <c r="T12" s="66">
        <f>S12*Q12</f>
        <v>0</v>
      </c>
      <c r="U12" s="110"/>
      <c r="V12" s="3626">
        <f>65925998+39265003</f>
        <v>105191001</v>
      </c>
      <c r="W12" s="66">
        <f>V12*T12</f>
        <v>0</v>
      </c>
      <c r="Y12" s="3626">
        <f>70652998+36665001</f>
        <v>107317999</v>
      </c>
      <c r="Z12" s="66">
        <f>Y12*W12</f>
        <v>0</v>
      </c>
      <c r="AA12" s="26"/>
      <c r="AB12" s="3164">
        <f>Y12</f>
        <v>107317999</v>
      </c>
      <c r="AC12" s="66"/>
      <c r="AD12" s="6604"/>
      <c r="AF12" s="3164">
        <f>74732998+37363008</f>
        <v>112096006</v>
      </c>
      <c r="AG12" s="66"/>
      <c r="AH12" s="66"/>
      <c r="AI12" s="106"/>
      <c r="AJ12" s="3164">
        <f>127090421+1374000</f>
        <v>128464421</v>
      </c>
      <c r="AL12" s="6604"/>
      <c r="AM12" s="66"/>
      <c r="AN12" s="26"/>
    </row>
    <row r="13" spans="1:40" x14ac:dyDescent="0.35">
      <c r="A13" s="9168"/>
      <c r="B13" s="58"/>
      <c r="C13" s="59" t="s">
        <v>878</v>
      </c>
      <c r="D13" s="60"/>
      <c r="G13" s="61"/>
      <c r="H13"/>
      <c r="I13" s="61">
        <v>19022416</v>
      </c>
      <c r="J13" s="63"/>
      <c r="K13" s="73">
        <f t="shared" ref="K13:K14" si="0">IF(I13=0,0,J13/I13)</f>
        <v>0</v>
      </c>
      <c r="L13" s="65"/>
      <c r="M13" s="63">
        <v>28127050</v>
      </c>
      <c r="N13" s="66">
        <f t="shared" ref="N13:N14" si="1">M13*K13</f>
        <v>0</v>
      </c>
      <c r="O13" s="67"/>
      <c r="P13" s="3626">
        <v>21313922</v>
      </c>
      <c r="Q13" s="66">
        <f t="shared" ref="Q13:Q14" si="2">P13*N13</f>
        <v>0</v>
      </c>
      <c r="R13" s="6605"/>
      <c r="S13" s="3626">
        <v>14498000</v>
      </c>
      <c r="T13" s="66">
        <f t="shared" ref="T13:T14" si="3">S13*Q13</f>
        <v>0</v>
      </c>
      <c r="U13" s="110"/>
      <c r="V13" s="3626">
        <v>14498000</v>
      </c>
      <c r="W13" s="66">
        <f t="shared" ref="W13:W14" si="4">V13*T13</f>
        <v>0</v>
      </c>
      <c r="X13" s="6605"/>
      <c r="Y13" s="3627">
        <v>10573000</v>
      </c>
      <c r="Z13" s="66">
        <f t="shared" ref="Z13:Z14" si="5">Y13*W13</f>
        <v>0</v>
      </c>
      <c r="AA13" s="26"/>
      <c r="AB13" s="3164">
        <f>Y13</f>
        <v>10573000</v>
      </c>
      <c r="AC13" s="66"/>
      <c r="AD13" s="6606"/>
      <c r="AE13" s="6605"/>
      <c r="AF13" s="3164">
        <v>23342050</v>
      </c>
      <c r="AG13" s="66" t="s">
        <v>2024</v>
      </c>
      <c r="AH13" s="66"/>
      <c r="AI13" s="106"/>
      <c r="AJ13" s="3164">
        <v>30635238</v>
      </c>
      <c r="AK13" s="66"/>
      <c r="AL13" s="6606"/>
      <c r="AM13" s="66"/>
      <c r="AN13" s="26"/>
    </row>
    <row r="14" spans="1:40" x14ac:dyDescent="0.35">
      <c r="A14" s="9168"/>
      <c r="B14" s="85"/>
      <c r="C14" s="86" t="s">
        <v>882</v>
      </c>
      <c r="D14" s="87"/>
      <c r="G14" s="88"/>
      <c r="H14"/>
      <c r="I14" s="89">
        <f>99185786+980500</f>
        <v>100166286</v>
      </c>
      <c r="J14" s="90"/>
      <c r="K14" s="91">
        <f t="shared" si="0"/>
        <v>0</v>
      </c>
      <c r="L14" s="80"/>
      <c r="M14" s="89">
        <f>113554133+1111284</f>
        <v>114665417</v>
      </c>
      <c r="N14" s="92">
        <f t="shared" si="1"/>
        <v>0</v>
      </c>
      <c r="O14" s="67"/>
      <c r="P14" s="1776">
        <f>118045367+1111284</f>
        <v>119156651</v>
      </c>
      <c r="Q14" s="92">
        <f t="shared" si="2"/>
        <v>0</v>
      </c>
      <c r="R14" s="6605"/>
      <c r="S14" s="3628">
        <f>119689000+1341000</f>
        <v>121030000</v>
      </c>
      <c r="T14" s="92">
        <f t="shared" si="3"/>
        <v>0</v>
      </c>
      <c r="U14" s="110"/>
      <c r="V14" s="1776">
        <v>119689000</v>
      </c>
      <c r="W14" s="92">
        <f t="shared" si="4"/>
        <v>0</v>
      </c>
      <c r="X14" s="6605"/>
      <c r="Y14" s="3629">
        <f>Y12+Y13</f>
        <v>117890999</v>
      </c>
      <c r="Z14" s="92">
        <f t="shared" si="5"/>
        <v>0</v>
      </c>
      <c r="AA14" s="24"/>
      <c r="AB14" s="1781">
        <f>AB12+AB13</f>
        <v>117890999</v>
      </c>
      <c r="AC14" s="92"/>
      <c r="AD14" s="6607"/>
      <c r="AE14" s="6605"/>
      <c r="AF14" s="1781">
        <f>AF12+AF13</f>
        <v>135438056</v>
      </c>
      <c r="AG14" s="92"/>
      <c r="AH14" s="92"/>
      <c r="AI14" s="106"/>
      <c r="AJ14" s="1781">
        <f>AJ12+AJ13</f>
        <v>159099659</v>
      </c>
      <c r="AK14" s="92"/>
      <c r="AL14" s="6607"/>
      <c r="AM14" s="66"/>
      <c r="AN14" s="24"/>
    </row>
    <row r="15" spans="1:40" x14ac:dyDescent="0.35">
      <c r="A15" s="9168"/>
      <c r="B15" s="100" t="s">
        <v>883</v>
      </c>
      <c r="C15" s="49"/>
      <c r="D15" s="42"/>
      <c r="E15" s="43"/>
      <c r="F15" s="43"/>
      <c r="G15" s="101"/>
      <c r="H15"/>
      <c r="I15" s="102"/>
      <c r="J15" s="103"/>
      <c r="K15" s="104"/>
      <c r="L15" s="43"/>
      <c r="M15" s="102"/>
      <c r="N15" s="105"/>
      <c r="O15" s="43"/>
      <c r="P15" s="102"/>
      <c r="Q15" s="105"/>
      <c r="R15" s="43"/>
      <c r="S15" s="102"/>
      <c r="T15" s="105"/>
      <c r="U15" s="43"/>
      <c r="V15" s="102"/>
      <c r="W15" s="105"/>
      <c r="X15" s="43"/>
      <c r="Y15" s="102"/>
      <c r="Z15" s="105"/>
      <c r="AA15" s="18"/>
      <c r="AB15" s="102"/>
      <c r="AC15" s="105"/>
      <c r="AD15" s="8361">
        <f>142120023382/132798032970</f>
        <v>1.0701967506861032</v>
      </c>
      <c r="AE15" s="43"/>
      <c r="AF15" s="102"/>
      <c r="AG15" s="105"/>
      <c r="AH15" s="8361">
        <f>AD15</f>
        <v>1.0701967506861032</v>
      </c>
      <c r="AI15" s="8366"/>
      <c r="AJ15" s="102"/>
      <c r="AK15" s="105" t="s">
        <v>2025</v>
      </c>
      <c r="AL15" s="8361"/>
      <c r="AM15" s="8367"/>
      <c r="AN15" s="18"/>
    </row>
    <row r="16" spans="1:40" x14ac:dyDescent="0.35">
      <c r="A16" s="9168"/>
      <c r="B16" s="6082"/>
      <c r="C16" s="110" t="s">
        <v>885</v>
      </c>
      <c r="D16" s="60"/>
      <c r="G16" s="111"/>
      <c r="H16"/>
      <c r="I16" s="112">
        <f>66090475-1558982</f>
        <v>64531493</v>
      </c>
      <c r="J16" s="113"/>
      <c r="K16" s="64">
        <f t="shared" ref="K16:K19" si="6">IF(I16=0,0,J16/I16)</f>
        <v>0</v>
      </c>
      <c r="M16" s="112">
        <f>70583834-3389284</f>
        <v>67194550</v>
      </c>
      <c r="N16" s="66">
        <f t="shared" ref="N16:N19" si="7">M16*K16</f>
        <v>0</v>
      </c>
      <c r="P16" s="3164">
        <f>81607729-4629727</f>
        <v>76978002</v>
      </c>
      <c r="Q16" s="66">
        <f t="shared" ref="Q16" si="8">P16*N16</f>
        <v>0</v>
      </c>
      <c r="R16" s="6605"/>
      <c r="S16" s="3630">
        <f>83712377-5279404</f>
        <v>78432973</v>
      </c>
      <c r="T16" s="66">
        <f t="shared" ref="T16" si="9">S16*Q16</f>
        <v>0</v>
      </c>
      <c r="V16" s="3164">
        <f>83712377-5279404</f>
        <v>78432973</v>
      </c>
      <c r="W16" s="66">
        <f t="shared" ref="W16" si="10">V16*T16</f>
        <v>0</v>
      </c>
      <c r="X16" s="6605"/>
      <c r="Y16" s="3631">
        <f>88845864-6558558</f>
        <v>82287306</v>
      </c>
      <c r="Z16" s="66">
        <f t="shared" ref="Z16" si="11">Y16*W16</f>
        <v>0</v>
      </c>
      <c r="AA16" s="26"/>
      <c r="AB16" s="3164">
        <f>Y16</f>
        <v>82287306</v>
      </c>
      <c r="AC16" s="66"/>
      <c r="AD16" s="6606"/>
      <c r="AE16" s="6605"/>
      <c r="AF16" s="3164">
        <f>91475954-7156891</f>
        <v>84319063</v>
      </c>
      <c r="AG16" s="66"/>
      <c r="AH16" s="66"/>
      <c r="AI16" s="106"/>
      <c r="AJ16" s="3164">
        <f>103923739-3528846</f>
        <v>100394893</v>
      </c>
      <c r="AK16" s="66"/>
      <c r="AL16" s="6606"/>
      <c r="AM16" s="66"/>
      <c r="AN16" s="26"/>
    </row>
    <row r="17" spans="1:40" x14ac:dyDescent="0.35">
      <c r="A17" s="9168"/>
      <c r="B17" s="6082"/>
      <c r="C17" s="110" t="s">
        <v>1168</v>
      </c>
      <c r="D17" s="60"/>
      <c r="G17" s="111"/>
      <c r="H17"/>
      <c r="I17" s="112">
        <v>34386600</v>
      </c>
      <c r="J17" s="113"/>
      <c r="K17" s="3165">
        <f t="shared" si="6"/>
        <v>0</v>
      </c>
      <c r="L17" s="374"/>
      <c r="M17" s="112">
        <v>34112554</v>
      </c>
      <c r="N17" s="66"/>
      <c r="P17" s="3164">
        <v>31119692</v>
      </c>
      <c r="Q17" s="66"/>
      <c r="R17" s="6605"/>
      <c r="S17" s="3164">
        <v>26048904</v>
      </c>
      <c r="T17" s="66"/>
      <c r="V17" s="3164">
        <f>24872905+887000+289000</f>
        <v>26048905</v>
      </c>
      <c r="W17" s="66"/>
      <c r="X17" s="6605"/>
      <c r="Y17" s="3632">
        <f>23189234+581000+220873</f>
        <v>23991107</v>
      </c>
      <c r="Z17" s="66"/>
      <c r="AA17" s="26"/>
      <c r="AB17" s="3164">
        <f>Y17</f>
        <v>23991107</v>
      </c>
      <c r="AC17" s="66"/>
      <c r="AD17" s="6606"/>
      <c r="AE17" s="6605"/>
      <c r="AF17" s="3164">
        <v>32469318</v>
      </c>
      <c r="AG17" s="66" t="s">
        <v>2026</v>
      </c>
      <c r="AH17" s="66"/>
      <c r="AI17" s="106"/>
      <c r="AJ17" s="3164">
        <v>21716527</v>
      </c>
      <c r="AK17" s="66"/>
      <c r="AL17" s="6606"/>
      <c r="AM17" s="66"/>
      <c r="AN17" s="26"/>
    </row>
    <row r="18" spans="1:40" x14ac:dyDescent="0.35">
      <c r="A18" s="9168"/>
      <c r="B18" s="6082"/>
      <c r="C18" s="110" t="s">
        <v>1836</v>
      </c>
      <c r="D18" s="60"/>
      <c r="G18" s="163"/>
      <c r="H18" s="1569"/>
      <c r="I18" s="242">
        <f>34722210+1558982</f>
        <v>36281192</v>
      </c>
      <c r="J18" s="243"/>
      <c r="K18" s="3025">
        <f t="shared" si="6"/>
        <v>0</v>
      </c>
      <c r="L18" s="274"/>
      <c r="M18" s="242">
        <f>22443029+3389284</f>
        <v>25832313</v>
      </c>
      <c r="N18" s="66">
        <f t="shared" si="7"/>
        <v>0</v>
      </c>
      <c r="P18" s="3166">
        <f>12372231+4629727</f>
        <v>17001958</v>
      </c>
      <c r="Q18" s="66">
        <f t="shared" ref="Q18:Q19" si="12">P18*N18</f>
        <v>0</v>
      </c>
      <c r="R18" s="6605"/>
      <c r="S18" s="3633">
        <f>21881719+5279404</f>
        <v>27161123</v>
      </c>
      <c r="T18" s="66">
        <f t="shared" ref="T18:T19" si="13">S18*Q18</f>
        <v>0</v>
      </c>
      <c r="V18" s="3166">
        <f>5279404+21881719</f>
        <v>27161123</v>
      </c>
      <c r="W18" s="66">
        <f t="shared" ref="W18:W19" si="14">V18*T18</f>
        <v>0</v>
      </c>
      <c r="X18" s="6605"/>
      <c r="Y18" s="3634">
        <f>6558558+19961061</f>
        <v>26519619</v>
      </c>
      <c r="Z18" s="66">
        <f t="shared" ref="Z18:Z19" si="15">Y18*W18</f>
        <v>0</v>
      </c>
      <c r="AA18" s="26"/>
      <c r="AB18" s="3166">
        <f>Y18</f>
        <v>26519619</v>
      </c>
      <c r="AC18" s="66"/>
      <c r="AD18" s="6606"/>
      <c r="AE18" s="6605"/>
      <c r="AF18" s="3166">
        <f>7156891+28877778</f>
        <v>36034669</v>
      </c>
      <c r="AG18" s="66" t="s">
        <v>2027</v>
      </c>
      <c r="AH18" s="66"/>
      <c r="AI18" s="106"/>
      <c r="AJ18" s="3166">
        <f>3528846+33459394</f>
        <v>36988240</v>
      </c>
      <c r="AK18" s="66"/>
      <c r="AL18" s="6606"/>
      <c r="AM18" s="66"/>
      <c r="AN18" s="26"/>
    </row>
    <row r="19" spans="1:40" x14ac:dyDescent="0.35">
      <c r="A19" s="9168"/>
      <c r="B19" s="128"/>
      <c r="C19" s="129" t="s">
        <v>903</v>
      </c>
      <c r="D19" s="87"/>
      <c r="G19" s="130"/>
      <c r="H19" s="235"/>
      <c r="I19" s="131">
        <f>SUM(I16:I18)</f>
        <v>135199285</v>
      </c>
      <c r="J19" s="132"/>
      <c r="K19" s="133">
        <f t="shared" si="6"/>
        <v>0</v>
      </c>
      <c r="M19" s="131">
        <f>SUM(M16:M18)</f>
        <v>127139417</v>
      </c>
      <c r="N19" s="92">
        <f t="shared" si="7"/>
        <v>0</v>
      </c>
      <c r="P19" s="1781">
        <f>SUM(P16:P18)</f>
        <v>125099652</v>
      </c>
      <c r="Q19" s="92">
        <f t="shared" si="12"/>
        <v>0</v>
      </c>
      <c r="S19" s="1781">
        <f>SUM(S16:S18)</f>
        <v>131643000</v>
      </c>
      <c r="T19" s="92">
        <f t="shared" si="13"/>
        <v>0</v>
      </c>
      <c r="V19" s="1781">
        <v>131646000</v>
      </c>
      <c r="W19" s="92">
        <f t="shared" si="14"/>
        <v>0</v>
      </c>
      <c r="Y19" s="1781">
        <v>132798032</v>
      </c>
      <c r="Z19" s="92">
        <f t="shared" si="15"/>
        <v>0</v>
      </c>
      <c r="AA19" s="24"/>
      <c r="AB19" s="1781">
        <f>AB16+AB17+AB18</f>
        <v>132798032</v>
      </c>
      <c r="AC19" s="92"/>
      <c r="AD19" s="6608"/>
      <c r="AF19" s="1781">
        <f>AF16+AF17+AF18</f>
        <v>152823050</v>
      </c>
      <c r="AG19" s="92"/>
      <c r="AH19" s="92"/>
      <c r="AI19" s="106"/>
      <c r="AJ19" s="1781">
        <f>AJ16+AJ17+AJ18</f>
        <v>159099660</v>
      </c>
      <c r="AK19" s="92"/>
      <c r="AL19" s="6608"/>
      <c r="AM19" s="66"/>
      <c r="AN19" s="24"/>
    </row>
    <row r="20" spans="1:40" x14ac:dyDescent="0.35">
      <c r="A20" s="9168"/>
      <c r="B20" s="139" t="s">
        <v>904</v>
      </c>
      <c r="C20" s="49"/>
      <c r="D20" s="140"/>
      <c r="E20" s="141"/>
      <c r="F20" s="141"/>
      <c r="G20" s="1578"/>
      <c r="H20" s="1579"/>
      <c r="I20" s="1580"/>
      <c r="J20" s="150"/>
      <c r="K20" s="146"/>
      <c r="L20" s="141"/>
      <c r="M20" s="147"/>
      <c r="N20" s="148"/>
      <c r="O20" s="141"/>
      <c r="P20" s="147"/>
      <c r="Q20" s="148"/>
      <c r="R20" s="141"/>
      <c r="S20" s="3635"/>
      <c r="T20" s="148"/>
      <c r="U20" s="141"/>
      <c r="V20" s="147"/>
      <c r="W20" s="148"/>
      <c r="X20" s="141"/>
      <c r="Y20" s="3635"/>
      <c r="Z20" s="148"/>
      <c r="AA20" s="18"/>
      <c r="AB20" s="147"/>
      <c r="AC20" s="148"/>
      <c r="AD20" s="6609">
        <f>AD15</f>
        <v>1.0701967506861032</v>
      </c>
      <c r="AE20" s="141"/>
      <c r="AF20" s="3635"/>
      <c r="AG20" s="148"/>
      <c r="AH20" s="6610">
        <f>AD20</f>
        <v>1.0701967506861032</v>
      </c>
      <c r="AI20" s="8368"/>
      <c r="AJ20" s="147"/>
      <c r="AK20" s="105" t="s">
        <v>2025</v>
      </c>
      <c r="AL20" s="6609"/>
      <c r="AM20" s="8369"/>
      <c r="AN20" s="26"/>
    </row>
    <row r="21" spans="1:40" x14ac:dyDescent="0.35">
      <c r="A21" s="9168"/>
      <c r="B21" s="6082"/>
      <c r="C21" s="110" t="s">
        <v>905</v>
      </c>
      <c r="D21" s="60"/>
      <c r="G21" s="155"/>
      <c r="H21" s="235"/>
      <c r="I21" s="117">
        <v>26282908</v>
      </c>
      <c r="J21" s="115"/>
      <c r="K21" s="64">
        <f t="shared" ref="K21:K24" si="16">IF(I21=0,0,J21/I21)</f>
        <v>0</v>
      </c>
      <c r="M21" s="156">
        <v>27571951</v>
      </c>
      <c r="N21" s="157">
        <f t="shared" ref="N21:N24" si="17">M21*K21</f>
        <v>0</v>
      </c>
      <c r="P21" s="3169">
        <v>30599678</v>
      </c>
      <c r="Q21" s="157">
        <f t="shared" ref="Q21:Q24" si="18">P21*N21</f>
        <v>0</v>
      </c>
      <c r="R21" s="6605"/>
      <c r="S21" s="3169">
        <v>33041727</v>
      </c>
      <c r="T21" s="157">
        <f t="shared" ref="T21:T24" si="19">S21*Q21</f>
        <v>0</v>
      </c>
      <c r="V21" s="3169">
        <f>33041727+4445530</f>
        <v>37487257</v>
      </c>
      <c r="W21" s="157">
        <f t="shared" ref="W21:W24" si="20">V21*T21</f>
        <v>0</v>
      </c>
      <c r="X21" s="6605"/>
      <c r="Y21" s="3169">
        <f>34875056+4545533</f>
        <v>39420589</v>
      </c>
      <c r="Z21" s="157">
        <f t="shared" ref="Z21:Z24" si="21">Y21*W21</f>
        <v>0</v>
      </c>
      <c r="AA21" s="26"/>
      <c r="AB21" s="3169">
        <f>Y21</f>
        <v>39420589</v>
      </c>
      <c r="AC21" s="157"/>
      <c r="AD21" s="6606"/>
      <c r="AE21" s="6605"/>
      <c r="AF21" s="3169">
        <f>AF22+AF23</f>
        <v>39707448</v>
      </c>
      <c r="AG21" s="157"/>
      <c r="AH21" s="157"/>
      <c r="AI21" s="312"/>
      <c r="AJ21" s="3169">
        <v>35884976</v>
      </c>
      <c r="AK21" s="6134" t="s">
        <v>2028</v>
      </c>
      <c r="AL21" s="6606"/>
      <c r="AM21" s="157"/>
      <c r="AN21" s="26"/>
    </row>
    <row r="22" spans="1:40" x14ac:dyDescent="0.35">
      <c r="A22" s="9168"/>
      <c r="B22" s="6082"/>
      <c r="C22" s="110" t="s">
        <v>907</v>
      </c>
      <c r="D22" s="60"/>
      <c r="G22" s="155"/>
      <c r="H22" s="235"/>
      <c r="I22" s="117"/>
      <c r="J22" s="115"/>
      <c r="K22" s="64">
        <f t="shared" si="16"/>
        <v>0</v>
      </c>
      <c r="M22" s="156"/>
      <c r="N22" s="157">
        <f t="shared" si="17"/>
        <v>0</v>
      </c>
      <c r="P22" s="156"/>
      <c r="Q22" s="157">
        <f t="shared" si="18"/>
        <v>0</v>
      </c>
      <c r="S22" s="156"/>
      <c r="T22" s="157">
        <f t="shared" si="19"/>
        <v>0</v>
      </c>
      <c r="V22" s="156">
        <v>33041727</v>
      </c>
      <c r="W22" s="157">
        <f t="shared" si="20"/>
        <v>0</v>
      </c>
      <c r="Y22" s="156">
        <v>34875056</v>
      </c>
      <c r="Z22" s="157">
        <f t="shared" si="21"/>
        <v>0</v>
      </c>
      <c r="AA22" s="26"/>
      <c r="AB22" s="156">
        <f>Y22</f>
        <v>34875056</v>
      </c>
      <c r="AC22" s="157"/>
      <c r="AD22" s="6604"/>
      <c r="AF22" s="156">
        <v>34953194</v>
      </c>
      <c r="AG22" s="157"/>
      <c r="AH22" s="157"/>
      <c r="AI22" s="312"/>
      <c r="AJ22" s="156"/>
      <c r="AK22" s="157"/>
      <c r="AL22" s="6604"/>
      <c r="AM22" s="157"/>
      <c r="AN22" s="26"/>
    </row>
    <row r="23" spans="1:40" x14ac:dyDescent="0.35">
      <c r="A23" s="9168"/>
      <c r="B23" s="6082"/>
      <c r="C23" s="110" t="s">
        <v>908</v>
      </c>
      <c r="D23" s="60"/>
      <c r="G23" s="155"/>
      <c r="H23" s="235"/>
      <c r="I23" s="117">
        <v>706000</v>
      </c>
      <c r="J23" s="115"/>
      <c r="K23" s="64">
        <f t="shared" si="16"/>
        <v>0</v>
      </c>
      <c r="M23" s="156"/>
      <c r="N23" s="157">
        <f t="shared" si="17"/>
        <v>0</v>
      </c>
      <c r="P23" s="156"/>
      <c r="Q23" s="157">
        <f t="shared" si="18"/>
        <v>0</v>
      </c>
      <c r="S23" s="156"/>
      <c r="T23" s="157">
        <f t="shared" si="19"/>
        <v>0</v>
      </c>
      <c r="V23" s="156">
        <v>4445530</v>
      </c>
      <c r="W23" s="157">
        <f t="shared" si="20"/>
        <v>0</v>
      </c>
      <c r="Y23" s="3636">
        <v>4545533</v>
      </c>
      <c r="Z23" s="157">
        <f t="shared" si="21"/>
        <v>0</v>
      </c>
      <c r="AA23" s="26"/>
      <c r="AB23" s="156">
        <f>Y23</f>
        <v>4545533</v>
      </c>
      <c r="AC23" s="157"/>
      <c r="AD23" s="6604"/>
      <c r="AF23" s="3636">
        <v>4754254</v>
      </c>
      <c r="AG23" s="157"/>
      <c r="AH23" s="157"/>
      <c r="AI23" s="312"/>
      <c r="AJ23" s="156">
        <v>4754254</v>
      </c>
      <c r="AK23" s="8370" t="s">
        <v>2029</v>
      </c>
      <c r="AL23" s="6604"/>
      <c r="AM23" s="157"/>
      <c r="AN23" s="26"/>
    </row>
    <row r="24" spans="1:40" x14ac:dyDescent="0.35">
      <c r="A24" s="9168"/>
      <c r="B24" s="6082"/>
      <c r="C24" s="161" t="s">
        <v>910</v>
      </c>
      <c r="D24" s="162"/>
      <c r="G24" s="163"/>
      <c r="H24" s="235"/>
      <c r="I24" s="164"/>
      <c r="J24" s="165"/>
      <c r="K24" s="64">
        <f t="shared" si="16"/>
        <v>0</v>
      </c>
      <c r="M24" s="166"/>
      <c r="N24" s="157">
        <f t="shared" si="17"/>
        <v>0</v>
      </c>
      <c r="P24" s="166"/>
      <c r="Q24" s="157">
        <f t="shared" si="18"/>
        <v>0</v>
      </c>
      <c r="S24" s="166"/>
      <c r="T24" s="157">
        <f t="shared" si="19"/>
        <v>0</v>
      </c>
      <c r="V24" s="166"/>
      <c r="W24" s="157">
        <f t="shared" si="20"/>
        <v>0</v>
      </c>
      <c r="Y24" s="166"/>
      <c r="Z24" s="157">
        <f t="shared" si="21"/>
        <v>0</v>
      </c>
      <c r="AA24" s="26"/>
      <c r="AB24" s="166"/>
      <c r="AC24" s="157"/>
      <c r="AD24" s="6604"/>
      <c r="AF24" s="166"/>
      <c r="AG24" s="157"/>
      <c r="AH24" s="157"/>
      <c r="AI24" s="312"/>
      <c r="AJ24" s="166"/>
      <c r="AK24" s="157"/>
      <c r="AL24" s="6604"/>
      <c r="AM24" s="157"/>
      <c r="AN24" s="26"/>
    </row>
    <row r="25" spans="1:40" x14ac:dyDescent="0.35">
      <c r="A25" s="9168"/>
      <c r="B25" s="128"/>
      <c r="C25" s="129" t="s">
        <v>914</v>
      </c>
      <c r="D25" s="87"/>
      <c r="G25" s="169">
        <f>IF(G22=0,0,(G23-G24)/G22)</f>
        <v>0</v>
      </c>
      <c r="H25" s="170"/>
      <c r="I25" s="171">
        <f>IF(I21=0,0,(I23-I24)/I21)</f>
        <v>2.6861563416042091E-2</v>
      </c>
      <c r="J25" s="172">
        <f t="shared" ref="J25" si="22">IF(J22=0,0,(J23-J24)/J22)</f>
        <v>0</v>
      </c>
      <c r="K25" s="173"/>
      <c r="L25" s="170"/>
      <c r="M25" s="174">
        <f>IF(M22=0,0,M23/M22)</f>
        <v>0</v>
      </c>
      <c r="N25" s="175">
        <f>IF(N22=0,0,N23/N22)</f>
        <v>0</v>
      </c>
      <c r="O25" s="176"/>
      <c r="P25" s="174">
        <f>IF(P22=0,0,P23/P22)</f>
        <v>0</v>
      </c>
      <c r="Q25" s="175">
        <f>IF(Q22=0,0,Q23/Q22)</f>
        <v>0</v>
      </c>
      <c r="R25" s="176"/>
      <c r="S25" s="174">
        <f>IF(S22=0,0,S23/S22)</f>
        <v>0</v>
      </c>
      <c r="T25" s="175">
        <f>IF(T22=0,0,T23/T22)</f>
        <v>0</v>
      </c>
      <c r="U25" s="176"/>
      <c r="V25" s="174">
        <f>IF(V22=0,0,V23/V22)</f>
        <v>0.13454290691282572</v>
      </c>
      <c r="W25" s="175">
        <f>IF(W22=0,0,W23/W22)</f>
        <v>0</v>
      </c>
      <c r="X25" s="176"/>
      <c r="Y25" s="174">
        <f>IF(Y22=0,0,Y23/Y22)</f>
        <v>0.13033765451157986</v>
      </c>
      <c r="Z25" s="175">
        <f>IF(Z22=0,0,Z23/Z22)</f>
        <v>0</v>
      </c>
      <c r="AA25" s="24"/>
      <c r="AB25" s="174">
        <f>IF(AB22=0,0,AB23/AB22)</f>
        <v>0.13033765451157986</v>
      </c>
      <c r="AC25" s="175">
        <f>IF(AC22=0,0,AC23/AC22)</f>
        <v>0</v>
      </c>
      <c r="AD25" s="6611"/>
      <c r="AE25" s="176"/>
      <c r="AF25" s="174">
        <f>IF(AF22=0,0,AF23/AF22)</f>
        <v>0.13601772702088399</v>
      </c>
      <c r="AG25" s="175">
        <f>IF(AG22=0,0,AG23/AG22)</f>
        <v>0</v>
      </c>
      <c r="AH25" s="175"/>
      <c r="AI25" s="1022"/>
      <c r="AJ25" s="174">
        <f>IF(AJ21=0,0,AJ23/AJ21)</f>
        <v>0.13248591834086779</v>
      </c>
      <c r="AK25" s="175">
        <f>IF(AK22=0,0,AK23/AK22)</f>
        <v>0</v>
      </c>
      <c r="AL25" s="6611"/>
      <c r="AM25" s="1020"/>
      <c r="AN25" s="24"/>
    </row>
    <row r="26" spans="1:40" x14ac:dyDescent="0.35">
      <c r="A26" s="9169"/>
      <c r="B26" s="499" t="s">
        <v>915</v>
      </c>
      <c r="C26" s="500"/>
      <c r="D26" s="501"/>
      <c r="G26" s="502"/>
      <c r="I26" s="503"/>
      <c r="J26" s="504"/>
      <c r="K26" s="3050">
        <f>IF(I26=0,0,J26/I26)</f>
        <v>0</v>
      </c>
      <c r="M26" s="503"/>
      <c r="N26" s="506">
        <f t="shared" ref="N26" si="23">M26*K26</f>
        <v>0</v>
      </c>
      <c r="P26" s="503"/>
      <c r="Q26" s="506">
        <f t="shared" ref="Q26" si="24">P26*N26</f>
        <v>0</v>
      </c>
      <c r="S26" s="503"/>
      <c r="T26" s="506">
        <f t="shared" ref="T26" si="25">S26*Q26</f>
        <v>0</v>
      </c>
      <c r="V26" s="503"/>
      <c r="W26" s="506">
        <f t="shared" ref="W26" si="26">V26*T26</f>
        <v>0</v>
      </c>
      <c r="Y26" s="503"/>
      <c r="Z26" s="506">
        <f t="shared" ref="Z26" si="27">Y26*W26</f>
        <v>0</v>
      </c>
      <c r="AA26" s="509"/>
      <c r="AB26" s="503"/>
      <c r="AC26" s="506">
        <f>AB26*Z26</f>
        <v>0</v>
      </c>
      <c r="AD26" s="6612"/>
      <c r="AF26" s="503"/>
      <c r="AG26" s="506">
        <f>AF26*AC26</f>
        <v>0</v>
      </c>
      <c r="AH26" s="506"/>
      <c r="AI26" s="312"/>
      <c r="AJ26" s="503"/>
      <c r="AK26" s="506">
        <f>AJ26*AH26</f>
        <v>0</v>
      </c>
      <c r="AL26" s="6612"/>
      <c r="AM26" s="157"/>
      <c r="AN26" s="509"/>
    </row>
    <row r="27" spans="1:40" x14ac:dyDescent="0.35">
      <c r="A27" s="220"/>
      <c r="B27" s="220"/>
      <c r="G27" s="106"/>
      <c r="I27" s="106"/>
      <c r="J27" s="106"/>
      <c r="K27" s="221"/>
      <c r="M27" s="106"/>
      <c r="P27" s="106"/>
      <c r="S27" s="106"/>
      <c r="V27" s="106"/>
      <c r="Y27" s="106"/>
      <c r="AB27" s="106"/>
      <c r="AF27" s="106"/>
      <c r="AJ27" s="106"/>
    </row>
    <row r="28" spans="1:40" ht="67.75" customHeight="1" x14ac:dyDescent="0.35">
      <c r="A28" s="9167" t="s">
        <v>916</v>
      </c>
      <c r="B28" s="27"/>
      <c r="C28" s="28" t="s">
        <v>427</v>
      </c>
      <c r="D28" s="42" t="s">
        <v>428</v>
      </c>
      <c r="E28" s="30"/>
      <c r="F28" s="30"/>
      <c r="G28" s="31"/>
      <c r="H28" s="510"/>
      <c r="I28" s="31" t="s">
        <v>2030</v>
      </c>
      <c r="J28" s="31"/>
      <c r="K28" s="224"/>
      <c r="L28" s="223"/>
      <c r="M28" s="222" t="s">
        <v>2030</v>
      </c>
      <c r="N28" s="511"/>
      <c r="O28" s="30"/>
      <c r="P28" s="3637" t="s">
        <v>2031</v>
      </c>
      <c r="Q28" s="511"/>
      <c r="R28" s="30"/>
      <c r="S28" s="3637" t="s">
        <v>2032</v>
      </c>
      <c r="T28" s="511"/>
      <c r="U28" s="30"/>
      <c r="V28" s="3637" t="s">
        <v>2031</v>
      </c>
      <c r="W28" s="511"/>
      <c r="X28" s="30"/>
      <c r="Y28" s="3637" t="s">
        <v>2033</v>
      </c>
      <c r="Z28" s="511"/>
      <c r="AA28" s="39"/>
      <c r="AB28" s="3637" t="s">
        <v>2034</v>
      </c>
      <c r="AC28" s="511"/>
      <c r="AD28" s="6613"/>
      <c r="AE28" s="30"/>
      <c r="AF28" s="3637" t="s">
        <v>2034</v>
      </c>
      <c r="AG28" s="3446"/>
      <c r="AH28" s="511"/>
      <c r="AI28" s="867"/>
      <c r="AJ28" s="3637" t="s">
        <v>2034</v>
      </c>
      <c r="AK28" s="511"/>
      <c r="AL28" s="6613"/>
      <c r="AM28" s="893"/>
      <c r="AN28" s="39"/>
    </row>
    <row r="29" spans="1:40" x14ac:dyDescent="0.35">
      <c r="A29" s="9168"/>
      <c r="B29" s="141" t="s">
        <v>925</v>
      </c>
      <c r="C29"/>
      <c r="D29" s="140"/>
      <c r="E29" s="143"/>
      <c r="F29" s="143"/>
      <c r="G29" s="227"/>
      <c r="H29" s="143"/>
      <c r="I29" s="102"/>
      <c r="J29" s="103"/>
      <c r="K29" s="228"/>
      <c r="L29" s="143"/>
      <c r="M29" s="102"/>
      <c r="N29" s="229"/>
      <c r="O29" s="143"/>
      <c r="P29" s="102"/>
      <c r="Q29" s="229"/>
      <c r="R29" s="143"/>
      <c r="S29" s="102"/>
      <c r="T29" s="229"/>
      <c r="U29" s="143"/>
      <c r="V29" s="102"/>
      <c r="W29" s="229"/>
      <c r="X29" s="143"/>
      <c r="Y29" s="102"/>
      <c r="Z29" s="229"/>
      <c r="AA29" s="18"/>
      <c r="AB29" s="102"/>
      <c r="AC29" s="229"/>
      <c r="AD29" s="6614"/>
      <c r="AE29" s="143"/>
      <c r="AF29" s="102"/>
      <c r="AG29" s="229"/>
      <c r="AH29" s="229"/>
      <c r="AJ29" s="102"/>
      <c r="AK29" s="6904"/>
      <c r="AL29" s="6614"/>
      <c r="AN29" s="18"/>
    </row>
    <row r="30" spans="1:40" x14ac:dyDescent="0.35">
      <c r="A30" s="9168"/>
      <c r="B30" s="232"/>
      <c r="C30" s="6615" t="s">
        <v>2035</v>
      </c>
      <c r="D30" s="60"/>
      <c r="G30" s="111"/>
      <c r="I30" s="780">
        <f>(25665+5055529+3366158+1915869+1101073)+(157180+1314991+1079299+606707+712383)</f>
        <v>15334854</v>
      </c>
      <c r="J30" s="113"/>
      <c r="K30" s="64">
        <f>IF(I30=0,0,J30/I30)</f>
        <v>0</v>
      </c>
      <c r="M30" s="113">
        <f>(50660+5167429+3938335+2059824+1218486)+(123640+1164615+560742+560856+662053)</f>
        <v>15506640</v>
      </c>
      <c r="N30" s="157">
        <f t="shared" ref="N30:N40" si="28">M30*K30</f>
        <v>0</v>
      </c>
      <c r="P30" s="3164">
        <v>15162276</v>
      </c>
      <c r="Q30" s="157">
        <f t="shared" ref="Q30:Q40" si="29">P30*N30</f>
        <v>0</v>
      </c>
      <c r="S30" s="6616"/>
      <c r="T30" s="157">
        <f t="shared" ref="T30:T40" si="30">S30*Q30</f>
        <v>0</v>
      </c>
      <c r="V30" s="3164">
        <f>192313+5257449+4001842+3249592+1867812+142918+518368+597251+1391239</f>
        <v>17218784</v>
      </c>
      <c r="W30" s="157">
        <f t="shared" ref="W30:W40" si="31">V30*T30</f>
        <v>0</v>
      </c>
      <c r="Y30" s="6617">
        <f>252798+5522569+4445047+3433488+1942777+147456+535217+616474+1369010</f>
        <v>18264836</v>
      </c>
      <c r="Z30" s="157">
        <f t="shared" ref="Z30:Z40" si="32">Y30*W30</f>
        <v>0</v>
      </c>
      <c r="AA30" s="26" t="s">
        <v>2036</v>
      </c>
      <c r="AB30" s="3164">
        <f>SUM(AB31:AB36)</f>
        <v>17125180</v>
      </c>
      <c r="AC30" s="157"/>
      <c r="AD30" s="8371"/>
      <c r="AE30" s="1" t="s">
        <v>1514</v>
      </c>
      <c r="AF30" s="5138">
        <f>SUM(AF31:AF36)</f>
        <v>17957352</v>
      </c>
      <c r="AG30" s="8372" t="s">
        <v>1514</v>
      </c>
      <c r="AH30" s="8373"/>
      <c r="AI30" s="6343"/>
      <c r="AJ30" s="3164">
        <f>SUM(AJ31:AJ36)</f>
        <v>19744933</v>
      </c>
      <c r="AK30" s="6134"/>
      <c r="AL30" s="8371"/>
      <c r="AM30" s="6343"/>
      <c r="AN30" s="6604"/>
    </row>
    <row r="31" spans="1:40" x14ac:dyDescent="0.35">
      <c r="A31" s="9168"/>
      <c r="B31" s="6178" t="s">
        <v>1396</v>
      </c>
      <c r="C31" s="6178" t="s">
        <v>2037</v>
      </c>
      <c r="D31" s="60"/>
      <c r="G31" s="111"/>
      <c r="I31" s="780"/>
      <c r="J31" s="113"/>
      <c r="K31" s="64"/>
      <c r="M31" s="233"/>
      <c r="N31" s="157"/>
      <c r="P31" s="3164"/>
      <c r="Q31" s="157"/>
      <c r="S31" s="112"/>
      <c r="T31" s="157"/>
      <c r="V31" s="3164"/>
      <c r="W31" s="157"/>
      <c r="Y31" s="6618"/>
      <c r="Z31" s="157"/>
      <c r="AA31" s="26"/>
      <c r="AB31" s="112">
        <v>244486</v>
      </c>
      <c r="AC31" s="157"/>
      <c r="AD31" s="8371"/>
      <c r="AE31" s="1" t="s">
        <v>1514</v>
      </c>
      <c r="AF31" s="785">
        <v>361600</v>
      </c>
      <c r="AG31" s="6134" t="s">
        <v>1514</v>
      </c>
      <c r="AH31" s="8373"/>
      <c r="AI31" s="6343"/>
      <c r="AJ31" s="112">
        <v>634152</v>
      </c>
      <c r="AK31" s="6134" t="s">
        <v>1514</v>
      </c>
      <c r="AL31" s="8371"/>
      <c r="AM31" s="6343"/>
      <c r="AN31" s="6604"/>
    </row>
    <row r="32" spans="1:40" x14ac:dyDescent="0.35">
      <c r="A32" s="9168"/>
      <c r="B32" s="6178"/>
      <c r="C32" s="6178" t="s">
        <v>2038</v>
      </c>
      <c r="D32" s="60"/>
      <c r="G32" s="111"/>
      <c r="I32" s="780"/>
      <c r="J32" s="113"/>
      <c r="K32" s="64"/>
      <c r="M32" s="233"/>
      <c r="N32" s="157"/>
      <c r="P32" s="3164"/>
      <c r="Q32" s="157"/>
      <c r="S32" s="112"/>
      <c r="T32" s="157"/>
      <c r="V32" s="3164"/>
      <c r="W32" s="157"/>
      <c r="Y32" s="6618"/>
      <c r="Z32" s="157"/>
      <c r="AA32" s="26"/>
      <c r="AB32" s="112">
        <v>5414955</v>
      </c>
      <c r="AC32" s="157"/>
      <c r="AD32" s="8371"/>
      <c r="AE32" s="1" t="s">
        <v>2039</v>
      </c>
      <c r="AF32" s="785">
        <v>5686012</v>
      </c>
      <c r="AG32" s="6134" t="s">
        <v>2039</v>
      </c>
      <c r="AH32" s="8373"/>
      <c r="AI32" s="6343"/>
      <c r="AJ32" s="112">
        <v>6388156</v>
      </c>
      <c r="AK32" s="6134" t="s">
        <v>1514</v>
      </c>
      <c r="AL32" s="8371"/>
      <c r="AM32" s="6343"/>
      <c r="AN32" s="6604"/>
    </row>
    <row r="33" spans="1:40" x14ac:dyDescent="0.35">
      <c r="A33" s="9168"/>
      <c r="B33" s="6178"/>
      <c r="C33" s="6178" t="s">
        <v>2040</v>
      </c>
      <c r="D33" s="60"/>
      <c r="G33" s="111"/>
      <c r="I33" s="780"/>
      <c r="J33" s="113"/>
      <c r="K33" s="64"/>
      <c r="M33" s="233"/>
      <c r="N33" s="157"/>
      <c r="P33" s="3164"/>
      <c r="Q33" s="157"/>
      <c r="S33" s="112"/>
      <c r="T33" s="157"/>
      <c r="V33" s="3164"/>
      <c r="W33" s="157"/>
      <c r="Y33" s="6618"/>
      <c r="Z33" s="157"/>
      <c r="AA33" s="26"/>
      <c r="AB33" s="112">
        <v>4210168</v>
      </c>
      <c r="AC33" s="157"/>
      <c r="AD33" s="8371"/>
      <c r="AE33" s="1" t="s">
        <v>2039</v>
      </c>
      <c r="AF33" s="785">
        <v>4548936</v>
      </c>
      <c r="AG33" s="6134" t="s">
        <v>2039</v>
      </c>
      <c r="AH33" s="8373"/>
      <c r="AI33" s="6343"/>
      <c r="AJ33" s="112">
        <v>4959071</v>
      </c>
      <c r="AK33" s="6134" t="s">
        <v>2039</v>
      </c>
      <c r="AL33" s="8371"/>
      <c r="AM33" s="6343"/>
      <c r="AN33" s="6604"/>
    </row>
    <row r="34" spans="1:40" x14ac:dyDescent="0.35">
      <c r="A34" s="9168"/>
      <c r="B34" s="6178"/>
      <c r="C34" s="6178" t="s">
        <v>2041</v>
      </c>
      <c r="D34" s="60"/>
      <c r="G34" s="111"/>
      <c r="I34" s="780"/>
      <c r="J34" s="113"/>
      <c r="K34" s="64"/>
      <c r="M34" s="233"/>
      <c r="N34" s="157"/>
      <c r="P34" s="3164"/>
      <c r="Q34" s="157"/>
      <c r="S34" s="112"/>
      <c r="T34" s="157"/>
      <c r="V34" s="3164"/>
      <c r="W34" s="157"/>
      <c r="Y34" s="6618"/>
      <c r="Z34" s="157"/>
      <c r="AA34" s="26"/>
      <c r="AB34" s="112">
        <v>3137858</v>
      </c>
      <c r="AC34" s="157"/>
      <c r="AD34" s="8371"/>
      <c r="AE34" s="1" t="s">
        <v>2039</v>
      </c>
      <c r="AF34" s="785">
        <v>3055128</v>
      </c>
      <c r="AG34" s="6134" t="s">
        <v>2039</v>
      </c>
      <c r="AH34" s="8373"/>
      <c r="AI34" s="6343"/>
      <c r="AJ34" s="112">
        <v>3219435</v>
      </c>
      <c r="AK34" s="6134" t="s">
        <v>2039</v>
      </c>
      <c r="AL34" s="8371"/>
      <c r="AM34" s="6343"/>
      <c r="AN34" s="6604"/>
    </row>
    <row r="35" spans="1:40" x14ac:dyDescent="0.35">
      <c r="A35" s="9168"/>
      <c r="B35" s="6178"/>
      <c r="C35" s="6178" t="s">
        <v>2042</v>
      </c>
      <c r="D35" s="60"/>
      <c r="G35" s="111"/>
      <c r="I35" s="780"/>
      <c r="J35" s="113"/>
      <c r="K35" s="64"/>
      <c r="M35" s="233"/>
      <c r="N35" s="157"/>
      <c r="P35" s="3164"/>
      <c r="Q35" s="157"/>
      <c r="S35" s="112"/>
      <c r="T35" s="157"/>
      <c r="V35" s="3164"/>
      <c r="W35" s="157"/>
      <c r="Y35" s="6618"/>
      <c r="Z35" s="157"/>
      <c r="AA35" s="26"/>
      <c r="AB35" s="112">
        <v>1492748</v>
      </c>
      <c r="AC35" s="157"/>
      <c r="AD35" s="8371"/>
      <c r="AE35" s="1" t="s">
        <v>2043</v>
      </c>
      <c r="AF35" s="785">
        <v>1591362</v>
      </c>
      <c r="AG35" s="6134" t="s">
        <v>2043</v>
      </c>
      <c r="AH35" s="8373"/>
      <c r="AI35" s="6343"/>
      <c r="AJ35" s="112">
        <v>1683880</v>
      </c>
      <c r="AK35" s="6134" t="s">
        <v>2039</v>
      </c>
      <c r="AL35" s="8371"/>
      <c r="AM35" s="6343"/>
      <c r="AN35" s="6604"/>
    </row>
    <row r="36" spans="1:40" x14ac:dyDescent="0.35">
      <c r="A36" s="9168"/>
      <c r="B36" s="6178"/>
      <c r="C36" s="6178" t="s">
        <v>2044</v>
      </c>
      <c r="D36" s="60"/>
      <c r="G36" s="111"/>
      <c r="I36" s="780"/>
      <c r="J36" s="113"/>
      <c r="K36" s="64"/>
      <c r="M36" s="233"/>
      <c r="N36" s="157"/>
      <c r="P36" s="3164"/>
      <c r="Q36" s="157"/>
      <c r="S36" s="112"/>
      <c r="T36" s="157"/>
      <c r="V36" s="3164"/>
      <c r="W36" s="157"/>
      <c r="Y36" s="6618"/>
      <c r="Z36" s="157"/>
      <c r="AA36" s="26"/>
      <c r="AB36" s="112">
        <f>147456+535216+616619+1325674</f>
        <v>2624965</v>
      </c>
      <c r="AC36" s="157"/>
      <c r="AD36" s="8371"/>
      <c r="AE36" s="1" t="s">
        <v>2045</v>
      </c>
      <c r="AF36" s="785">
        <f>152198+552697+636389+1373030</f>
        <v>2714314</v>
      </c>
      <c r="AG36" s="6134" t="s">
        <v>2046</v>
      </c>
      <c r="AH36" s="8373"/>
      <c r="AI36" s="6343"/>
      <c r="AJ36" s="112">
        <f>157155+570835+662747+1469502</f>
        <v>2860239</v>
      </c>
      <c r="AK36" s="6134" t="s">
        <v>2043</v>
      </c>
      <c r="AL36" s="8371"/>
      <c r="AM36" s="6343"/>
      <c r="AN36" s="26"/>
    </row>
    <row r="37" spans="1:40" x14ac:dyDescent="0.35">
      <c r="A37" s="9168"/>
      <c r="B37" s="232"/>
      <c r="C37" s="6619" t="s">
        <v>2047</v>
      </c>
      <c r="D37" s="60"/>
      <c r="G37" s="155"/>
      <c r="I37" s="785"/>
      <c r="J37" s="115"/>
      <c r="K37" s="64">
        <f>IF(I37=0,0,J37/I37)</f>
        <v>0</v>
      </c>
      <c r="M37" s="3638"/>
      <c r="N37" s="157">
        <f t="shared" si="28"/>
        <v>0</v>
      </c>
      <c r="P37" s="3638">
        <v>2996029.5832597967</v>
      </c>
      <c r="Q37" s="157">
        <f t="shared" si="29"/>
        <v>0</v>
      </c>
      <c r="S37" s="785"/>
      <c r="T37" s="157">
        <f t="shared" si="30"/>
        <v>0</v>
      </c>
      <c r="V37" s="3638"/>
      <c r="W37" s="157">
        <f t="shared" si="31"/>
        <v>0</v>
      </c>
      <c r="Y37" s="785"/>
      <c r="Z37" s="157">
        <f t="shared" si="32"/>
        <v>0</v>
      </c>
      <c r="AA37" s="26"/>
      <c r="AB37" s="5142">
        <f>AB38+AB39+AB40</f>
        <v>4610524.5279999999</v>
      </c>
      <c r="AC37" s="157"/>
      <c r="AD37" s="6620"/>
      <c r="AF37" s="5138">
        <f>AF38+AF39+AF40</f>
        <v>5124982.3659999995</v>
      </c>
      <c r="AG37" s="6134" t="s">
        <v>2048</v>
      </c>
      <c r="AH37" s="6621"/>
      <c r="AI37" s="8374"/>
      <c r="AJ37" s="5142">
        <f>AJ38+AJ39+AJ40</f>
        <v>5132095.7480000006</v>
      </c>
      <c r="AK37" s="6134"/>
      <c r="AL37" s="6620"/>
      <c r="AM37" s="8374"/>
      <c r="AN37" s="26"/>
    </row>
    <row r="38" spans="1:40" x14ac:dyDescent="0.35">
      <c r="A38" s="9168"/>
      <c r="B38" s="6178" t="s">
        <v>1396</v>
      </c>
      <c r="C38" s="6622" t="s">
        <v>2049</v>
      </c>
      <c r="D38" s="60"/>
      <c r="G38" s="163"/>
      <c r="I38" s="791"/>
      <c r="J38" s="243"/>
      <c r="K38" s="64"/>
      <c r="M38" s="6623"/>
      <c r="N38" s="157"/>
      <c r="P38" s="6623"/>
      <c r="Q38" s="157"/>
      <c r="S38" s="791"/>
      <c r="T38" s="157"/>
      <c r="V38" s="6623"/>
      <c r="W38" s="157"/>
      <c r="Y38" s="791"/>
      <c r="Z38" s="157"/>
      <c r="AA38" s="26"/>
      <c r="AB38" s="6624">
        <v>3412181.2459999998</v>
      </c>
      <c r="AC38" s="157"/>
      <c r="AD38" s="6620"/>
      <c r="AF38" s="791">
        <v>3831604.3709999998</v>
      </c>
      <c r="AG38" s="6134" t="s">
        <v>2050</v>
      </c>
      <c r="AH38" s="6621"/>
      <c r="AI38" s="8374"/>
      <c r="AJ38" s="6624">
        <v>3671739.8250000002</v>
      </c>
      <c r="AK38" s="8375" t="s">
        <v>2051</v>
      </c>
      <c r="AL38" s="6620"/>
      <c r="AM38" s="8374"/>
      <c r="AN38" s="6625"/>
    </row>
    <row r="39" spans="1:40" ht="24.75" customHeight="1" x14ac:dyDescent="0.35">
      <c r="A39" s="9168"/>
      <c r="B39" s="6178"/>
      <c r="C39" s="6178" t="s">
        <v>2052</v>
      </c>
      <c r="D39" s="60"/>
      <c r="G39" s="163"/>
      <c r="I39" s="791"/>
      <c r="J39" s="243"/>
      <c r="K39" s="64">
        <f>IF(I39=0,0,J39/I39)</f>
        <v>0</v>
      </c>
      <c r="M39" s="791"/>
      <c r="N39" s="157">
        <f t="shared" si="28"/>
        <v>0</v>
      </c>
      <c r="P39" s="791"/>
      <c r="Q39" s="157">
        <f t="shared" si="29"/>
        <v>0</v>
      </c>
      <c r="S39" s="791"/>
      <c r="T39" s="157">
        <f t="shared" si="30"/>
        <v>0</v>
      </c>
      <c r="V39" s="791"/>
      <c r="W39" s="157">
        <f t="shared" si="31"/>
        <v>0</v>
      </c>
      <c r="Y39" s="791"/>
      <c r="Z39" s="157">
        <f t="shared" si="32"/>
        <v>0</v>
      </c>
      <c r="AA39" s="26"/>
      <c r="AB39" s="6624">
        <v>882707.69200000004</v>
      </c>
      <c r="AC39" s="157"/>
      <c r="AD39" s="6620"/>
      <c r="AF39" s="791">
        <v>867128.24</v>
      </c>
      <c r="AG39" s="6134" t="s">
        <v>2053</v>
      </c>
      <c r="AH39" s="6621"/>
      <c r="AI39" s="8374"/>
      <c r="AJ39" s="6624">
        <f>1110893-10000</f>
        <v>1100893</v>
      </c>
      <c r="AK39" s="8375" t="s">
        <v>2054</v>
      </c>
      <c r="AL39" s="6620"/>
      <c r="AM39" s="8374"/>
      <c r="AN39" s="26"/>
    </row>
    <row r="40" spans="1:40" x14ac:dyDescent="0.35">
      <c r="A40" s="9168"/>
      <c r="B40" s="6178"/>
      <c r="C40" s="6178" t="s">
        <v>2055</v>
      </c>
      <c r="D40" s="60"/>
      <c r="G40" s="163"/>
      <c r="I40" s="242"/>
      <c r="J40" s="243"/>
      <c r="K40" s="64">
        <f>IF(I40=0,0,J40/I40)</f>
        <v>0</v>
      </c>
      <c r="M40" s="242"/>
      <c r="N40" s="157">
        <f t="shared" si="28"/>
        <v>0</v>
      </c>
      <c r="P40" s="242"/>
      <c r="Q40" s="157">
        <f t="shared" si="29"/>
        <v>0</v>
      </c>
      <c r="S40" s="242"/>
      <c r="T40" s="157">
        <f t="shared" si="30"/>
        <v>0</v>
      </c>
      <c r="V40" s="242"/>
      <c r="W40" s="157">
        <f t="shared" si="31"/>
        <v>0</v>
      </c>
      <c r="Y40" s="242"/>
      <c r="Z40" s="157">
        <f t="shared" si="32"/>
        <v>0</v>
      </c>
      <c r="AA40" s="26"/>
      <c r="AB40" s="6624">
        <v>315635.59000000003</v>
      </c>
      <c r="AC40" s="157"/>
      <c r="AD40" s="6621"/>
      <c r="AF40" s="791">
        <v>426249.755</v>
      </c>
      <c r="AG40" s="6134" t="s">
        <v>2056</v>
      </c>
      <c r="AH40" s="6621"/>
      <c r="AI40" s="8374"/>
      <c r="AJ40" s="6624">
        <v>359462.92300000001</v>
      </c>
      <c r="AK40" s="8375" t="s">
        <v>2057</v>
      </c>
      <c r="AL40" s="6621"/>
      <c r="AM40" s="8374"/>
      <c r="AN40" s="6625"/>
    </row>
    <row r="41" spans="1:40" x14ac:dyDescent="0.35">
      <c r="A41" s="9168"/>
      <c r="B41" s="141" t="s">
        <v>940</v>
      </c>
      <c r="C41"/>
      <c r="D41" s="60"/>
      <c r="E41" s="143"/>
      <c r="F41" s="143"/>
      <c r="G41" s="168"/>
      <c r="H41" s="143"/>
      <c r="I41" s="245"/>
      <c r="J41" s="106"/>
      <c r="K41" s="246"/>
      <c r="L41" s="143"/>
      <c r="M41" s="245"/>
      <c r="N41" s="247"/>
      <c r="O41" s="143"/>
      <c r="P41" s="245"/>
      <c r="Q41" s="247"/>
      <c r="R41" s="143"/>
      <c r="S41" s="245"/>
      <c r="T41" s="247"/>
      <c r="U41" s="143"/>
      <c r="V41" s="245"/>
      <c r="W41" s="247"/>
      <c r="X41" s="143"/>
      <c r="Y41" s="245"/>
      <c r="Z41" s="247"/>
      <c r="AA41" s="26"/>
      <c r="AB41" s="245"/>
      <c r="AC41" s="247"/>
      <c r="AD41" s="6626"/>
      <c r="AE41" s="143"/>
      <c r="AF41" s="245"/>
      <c r="AG41" s="157"/>
      <c r="AH41" s="247"/>
      <c r="AI41" s="254"/>
      <c r="AJ41" s="245"/>
      <c r="AK41" s="237"/>
      <c r="AL41" s="6626"/>
      <c r="AM41" s="254"/>
      <c r="AN41" s="26"/>
    </row>
    <row r="42" spans="1:40" x14ac:dyDescent="0.35">
      <c r="A42" s="9168"/>
      <c r="B42" s="232"/>
      <c r="C42" s="232" t="s">
        <v>941</v>
      </c>
      <c r="D42" s="60"/>
      <c r="G42" s="111"/>
      <c r="I42" s="112"/>
      <c r="J42" s="113"/>
      <c r="K42" s="64">
        <f>IF(I42=0,0,J42/I42)</f>
        <v>0</v>
      </c>
      <c r="M42" s="112"/>
      <c r="N42" s="157">
        <f t="shared" ref="N42:N44" si="33">M42*K42</f>
        <v>0</v>
      </c>
      <c r="P42" s="112"/>
      <c r="Q42" s="157">
        <f t="shared" ref="Q42:Q44" si="34">P42*N42</f>
        <v>0</v>
      </c>
      <c r="S42" s="112"/>
      <c r="T42" s="157">
        <f t="shared" ref="T42:T44" si="35">S42*Q42</f>
        <v>0</v>
      </c>
      <c r="V42" s="112"/>
      <c r="W42" s="157">
        <f t="shared" ref="W42:W44" si="36">V42*T42</f>
        <v>0</v>
      </c>
      <c r="Y42" s="112"/>
      <c r="Z42" s="157">
        <f t="shared" ref="Z42:Z44" si="37">Y42*W42</f>
        <v>0</v>
      </c>
      <c r="AA42" s="26"/>
      <c r="AB42" s="112"/>
      <c r="AC42" s="157"/>
      <c r="AD42" s="6604"/>
      <c r="AF42" s="112"/>
      <c r="AG42" s="157"/>
      <c r="AH42" s="157"/>
      <c r="AI42" s="312"/>
      <c r="AJ42" s="112"/>
      <c r="AK42" s="8376"/>
      <c r="AL42" s="6604"/>
      <c r="AM42" s="312"/>
      <c r="AN42" s="26"/>
    </row>
    <row r="43" spans="1:40" x14ac:dyDescent="0.35">
      <c r="A43" s="9168"/>
      <c r="B43" s="232"/>
      <c r="C43" s="232" t="s">
        <v>942</v>
      </c>
      <c r="D43" s="60"/>
      <c r="G43" s="155"/>
      <c r="I43" s="117"/>
      <c r="J43" s="115"/>
      <c r="K43" s="64">
        <f>IF(I43=0,0,J43/I43)</f>
        <v>0</v>
      </c>
      <c r="M43" s="117"/>
      <c r="N43" s="157">
        <f t="shared" si="33"/>
        <v>0</v>
      </c>
      <c r="P43" s="117"/>
      <c r="Q43" s="157">
        <f t="shared" si="34"/>
        <v>0</v>
      </c>
      <c r="S43" s="117"/>
      <c r="T43" s="157">
        <f t="shared" si="35"/>
        <v>0</v>
      </c>
      <c r="V43" s="117"/>
      <c r="W43" s="157">
        <f t="shared" si="36"/>
        <v>0</v>
      </c>
      <c r="Y43" s="117"/>
      <c r="Z43" s="157">
        <f t="shared" si="37"/>
        <v>0</v>
      </c>
      <c r="AA43" s="26"/>
      <c r="AB43" s="117"/>
      <c r="AC43" s="157"/>
      <c r="AD43" s="6604"/>
      <c r="AF43" s="117"/>
      <c r="AG43" s="157"/>
      <c r="AH43" s="157"/>
      <c r="AI43" s="312"/>
      <c r="AJ43" s="117"/>
      <c r="AK43" s="157"/>
      <c r="AL43" s="6604"/>
      <c r="AM43" s="312"/>
      <c r="AN43" s="26"/>
    </row>
    <row r="44" spans="1:40" x14ac:dyDescent="0.35">
      <c r="A44" s="9168"/>
      <c r="B44" s="1662"/>
      <c r="C44" s="1662" t="s">
        <v>943</v>
      </c>
      <c r="D44" s="87"/>
      <c r="G44" s="130"/>
      <c r="I44" s="242"/>
      <c r="J44" s="243"/>
      <c r="K44" s="64">
        <f>IF(I44=0,0,J44/I44)</f>
        <v>0</v>
      </c>
      <c r="M44" s="131"/>
      <c r="N44" s="213">
        <f t="shared" si="33"/>
        <v>0</v>
      </c>
      <c r="P44" s="131"/>
      <c r="Q44" s="213">
        <f t="shared" si="34"/>
        <v>0</v>
      </c>
      <c r="S44" s="131"/>
      <c r="T44" s="213">
        <f t="shared" si="35"/>
        <v>0</v>
      </c>
      <c r="V44" s="131"/>
      <c r="W44" s="213">
        <f t="shared" si="36"/>
        <v>0</v>
      </c>
      <c r="Y44" s="131"/>
      <c r="Z44" s="213">
        <f t="shared" si="37"/>
        <v>0</v>
      </c>
      <c r="AA44" s="24"/>
      <c r="AB44" s="131"/>
      <c r="AC44" s="213"/>
      <c r="AD44" s="6608"/>
      <c r="AF44" s="131"/>
      <c r="AG44" s="213"/>
      <c r="AH44" s="213"/>
      <c r="AI44" s="312"/>
      <c r="AJ44" s="131"/>
      <c r="AK44" s="213"/>
      <c r="AL44" s="6608"/>
      <c r="AM44" s="312"/>
      <c r="AN44" s="24"/>
    </row>
    <row r="45" spans="1:40" x14ac:dyDescent="0.35">
      <c r="A45" s="9168"/>
      <c r="B45" s="141" t="s">
        <v>944</v>
      </c>
      <c r="C45" s="141"/>
      <c r="D45" s="60"/>
      <c r="E45" s="143"/>
      <c r="F45" s="143"/>
      <c r="G45" s="227"/>
      <c r="H45" s="143"/>
      <c r="I45" s="102"/>
      <c r="J45" s="103"/>
      <c r="K45" s="252"/>
      <c r="L45" s="143"/>
      <c r="M45" s="245"/>
      <c r="N45" s="247"/>
      <c r="O45" s="143"/>
      <c r="P45" s="245"/>
      <c r="Q45" s="247"/>
      <c r="R45" s="143"/>
      <c r="S45" s="245"/>
      <c r="T45" s="247"/>
      <c r="U45" s="143"/>
      <c r="V45" s="245"/>
      <c r="W45" s="247"/>
      <c r="X45" s="143"/>
      <c r="Y45" s="245"/>
      <c r="Z45" s="247"/>
      <c r="AA45" s="26"/>
      <c r="AB45" s="245"/>
      <c r="AC45" s="247"/>
      <c r="AD45" s="6614"/>
      <c r="AE45" s="143"/>
      <c r="AF45" s="245"/>
      <c r="AG45" s="247"/>
      <c r="AH45" s="247"/>
      <c r="AI45" s="254"/>
      <c r="AJ45" s="245"/>
      <c r="AK45" s="247"/>
      <c r="AL45" s="6614"/>
      <c r="AM45" s="247"/>
      <c r="AN45" s="26"/>
    </row>
    <row r="46" spans="1:40" x14ac:dyDescent="0.35">
      <c r="A46" s="9168"/>
      <c r="B46" s="232"/>
      <c r="C46" s="6615" t="s">
        <v>2058</v>
      </c>
      <c r="D46" s="60"/>
      <c r="G46" s="111"/>
      <c r="I46" s="112"/>
      <c r="J46" s="113"/>
      <c r="K46" s="64">
        <f>IF(I46=0,0,J46/I46)</f>
        <v>0</v>
      </c>
      <c r="M46" s="112"/>
      <c r="N46" s="157">
        <f t="shared" ref="N46:N52" si="38">M46*K46</f>
        <v>0</v>
      </c>
      <c r="P46" s="112"/>
      <c r="Q46" s="157">
        <f t="shared" ref="Q46:Q52" si="39">P46*N46</f>
        <v>0</v>
      </c>
      <c r="S46" s="112"/>
      <c r="T46" s="157">
        <f t="shared" ref="T46:T52" si="40">S46*Q46</f>
        <v>0</v>
      </c>
      <c r="V46" s="112"/>
      <c r="W46" s="157">
        <f t="shared" ref="W46:W52" si="41">V46*T46</f>
        <v>0</v>
      </c>
      <c r="Y46" s="112"/>
      <c r="Z46" s="157">
        <f t="shared" ref="Z46:Z52" si="42">Y46*W46</f>
        <v>0</v>
      </c>
      <c r="AA46" s="257"/>
      <c r="AB46" s="3164">
        <v>116430</v>
      </c>
      <c r="AC46" s="157"/>
      <c r="AD46" s="6604"/>
      <c r="AF46" s="6627">
        <v>130430</v>
      </c>
      <c r="AG46" s="6628"/>
      <c r="AH46" s="6621"/>
      <c r="AI46" s="8374"/>
      <c r="AJ46" s="3164">
        <v>259430</v>
      </c>
      <c r="AK46" s="8375" t="s">
        <v>2059</v>
      </c>
      <c r="AL46" s="6604"/>
      <c r="AM46" s="8377"/>
      <c r="AN46" s="8378" t="s">
        <v>2060</v>
      </c>
    </row>
    <row r="47" spans="1:40" x14ac:dyDescent="0.35">
      <c r="A47" s="9168"/>
      <c r="B47" s="232"/>
      <c r="C47" s="232" t="s">
        <v>942</v>
      </c>
      <c r="D47" s="60"/>
      <c r="G47" s="155"/>
      <c r="I47" s="117"/>
      <c r="J47" s="115"/>
      <c r="K47" s="64">
        <f>IF(I47=0,0,J47/I47)</f>
        <v>0</v>
      </c>
      <c r="M47" s="117"/>
      <c r="N47" s="157">
        <f t="shared" si="38"/>
        <v>0</v>
      </c>
      <c r="P47" s="117"/>
      <c r="Q47" s="157">
        <f t="shared" si="39"/>
        <v>0</v>
      </c>
      <c r="S47" s="117"/>
      <c r="T47" s="157">
        <f t="shared" si="40"/>
        <v>0</v>
      </c>
      <c r="V47" s="117"/>
      <c r="W47" s="157">
        <f t="shared" si="41"/>
        <v>0</v>
      </c>
      <c r="Y47" s="117"/>
      <c r="Z47" s="157">
        <f t="shared" si="42"/>
        <v>0</v>
      </c>
      <c r="AA47" s="26"/>
      <c r="AB47" s="117"/>
      <c r="AC47" s="157"/>
      <c r="AD47" s="6604"/>
      <c r="AF47" s="117"/>
      <c r="AG47" s="157"/>
      <c r="AH47" s="157"/>
      <c r="AI47" s="312"/>
      <c r="AJ47" s="117"/>
      <c r="AK47" s="157"/>
      <c r="AL47" s="6604"/>
      <c r="AM47" s="157"/>
      <c r="AN47" s="26"/>
    </row>
    <row r="48" spans="1:40" x14ac:dyDescent="0.35">
      <c r="A48" s="9168"/>
      <c r="B48" s="232"/>
      <c r="C48" s="232" t="s">
        <v>943</v>
      </c>
      <c r="D48" s="60"/>
      <c r="G48" s="155"/>
      <c r="I48" s="117"/>
      <c r="J48" s="115"/>
      <c r="K48" s="64">
        <f>IF(I48=0,0,J48/I48)</f>
        <v>0</v>
      </c>
      <c r="M48" s="117"/>
      <c r="N48" s="157">
        <f t="shared" si="38"/>
        <v>0</v>
      </c>
      <c r="P48" s="117"/>
      <c r="Q48" s="157">
        <f t="shared" si="39"/>
        <v>0</v>
      </c>
      <c r="S48" s="117"/>
      <c r="T48" s="157">
        <f t="shared" si="40"/>
        <v>0</v>
      </c>
      <c r="V48" s="117"/>
      <c r="W48" s="157">
        <f t="shared" si="41"/>
        <v>0</v>
      </c>
      <c r="Y48" s="117"/>
      <c r="Z48" s="157">
        <f t="shared" si="42"/>
        <v>0</v>
      </c>
      <c r="AA48" s="26"/>
      <c r="AB48" s="117"/>
      <c r="AC48" s="157"/>
      <c r="AD48" s="6604"/>
      <c r="AF48" s="117"/>
      <c r="AG48" s="157"/>
      <c r="AH48" s="157"/>
      <c r="AI48" s="312"/>
      <c r="AJ48" s="117"/>
      <c r="AK48" s="157"/>
      <c r="AL48" s="6604"/>
      <c r="AM48" s="157"/>
      <c r="AN48" s="26"/>
    </row>
    <row r="49" spans="1:40" x14ac:dyDescent="0.35">
      <c r="A49" s="9168"/>
      <c r="B49" s="232"/>
      <c r="C49" s="232" t="s">
        <v>977</v>
      </c>
      <c r="D49" s="60"/>
      <c r="G49" s="155"/>
      <c r="I49" s="117"/>
      <c r="J49" s="115"/>
      <c r="K49" s="64">
        <f>IF(I49=0,0,J49/I49)</f>
        <v>0</v>
      </c>
      <c r="M49" s="117"/>
      <c r="N49" s="157">
        <f t="shared" si="38"/>
        <v>0</v>
      </c>
      <c r="P49" s="117"/>
      <c r="Q49" s="157">
        <f t="shared" si="39"/>
        <v>0</v>
      </c>
      <c r="S49" s="117"/>
      <c r="T49" s="157">
        <f t="shared" si="40"/>
        <v>0</v>
      </c>
      <c r="V49" s="117"/>
      <c r="W49" s="157">
        <f t="shared" si="41"/>
        <v>0</v>
      </c>
      <c r="Y49" s="117"/>
      <c r="Z49" s="157">
        <f t="shared" si="42"/>
        <v>0</v>
      </c>
      <c r="AA49" s="26"/>
      <c r="AB49" s="117"/>
      <c r="AC49" s="157"/>
      <c r="AD49" s="6604"/>
      <c r="AF49" s="117"/>
      <c r="AG49" s="157"/>
      <c r="AH49" s="157"/>
      <c r="AI49" s="312"/>
      <c r="AJ49" s="117"/>
      <c r="AK49" s="157"/>
      <c r="AL49" s="6604"/>
      <c r="AM49" s="157"/>
      <c r="AN49" s="26"/>
    </row>
    <row r="50" spans="1:40" x14ac:dyDescent="0.35">
      <c r="A50" s="9168"/>
      <c r="B50" s="232"/>
      <c r="C50" s="232" t="s">
        <v>962</v>
      </c>
      <c r="D50" s="60"/>
      <c r="G50" s="155"/>
      <c r="I50" s="117"/>
      <c r="J50" s="115"/>
      <c r="K50" s="64">
        <f>IF(I50=0,0,J50/I50)</f>
        <v>0</v>
      </c>
      <c r="M50" s="117"/>
      <c r="N50" s="157">
        <f t="shared" si="38"/>
        <v>0</v>
      </c>
      <c r="P50" s="117"/>
      <c r="Q50" s="157">
        <f t="shared" si="39"/>
        <v>0</v>
      </c>
      <c r="S50" s="117"/>
      <c r="T50" s="157">
        <f t="shared" si="40"/>
        <v>0</v>
      </c>
      <c r="V50" s="117"/>
      <c r="W50" s="157">
        <f t="shared" si="41"/>
        <v>0</v>
      </c>
      <c r="Y50" s="117"/>
      <c r="Z50" s="157">
        <f t="shared" si="42"/>
        <v>0</v>
      </c>
      <c r="AA50" s="26"/>
      <c r="AB50" s="117"/>
      <c r="AC50" s="157"/>
      <c r="AD50" s="6604"/>
      <c r="AF50" s="117"/>
      <c r="AG50" s="157"/>
      <c r="AH50" s="157"/>
      <c r="AI50" s="312"/>
      <c r="AJ50" s="117"/>
      <c r="AK50" s="157"/>
      <c r="AL50" s="6604"/>
      <c r="AM50" s="157"/>
      <c r="AN50" s="26"/>
    </row>
    <row r="51" spans="1:40" x14ac:dyDescent="0.35">
      <c r="A51" s="9168"/>
      <c r="B51" s="232"/>
      <c r="C51" s="232" t="s">
        <v>963</v>
      </c>
      <c r="D51" s="60"/>
      <c r="G51" s="155"/>
      <c r="I51" s="117"/>
      <c r="J51" s="115"/>
      <c r="K51" s="64">
        <f t="shared" ref="K51:K52" si="43">IF(I51=0,0,J51/I51)</f>
        <v>0</v>
      </c>
      <c r="M51" s="117"/>
      <c r="N51" s="157">
        <f t="shared" si="38"/>
        <v>0</v>
      </c>
      <c r="P51" s="117"/>
      <c r="Q51" s="157">
        <f t="shared" si="39"/>
        <v>0</v>
      </c>
      <c r="S51" s="117"/>
      <c r="T51" s="157">
        <f t="shared" si="40"/>
        <v>0</v>
      </c>
      <c r="V51" s="117"/>
      <c r="W51" s="157">
        <f t="shared" si="41"/>
        <v>0</v>
      </c>
      <c r="Y51" s="117"/>
      <c r="Z51" s="157">
        <f t="shared" si="42"/>
        <v>0</v>
      </c>
      <c r="AA51" s="26" t="s">
        <v>2061</v>
      </c>
      <c r="AB51" s="117"/>
      <c r="AC51" s="157"/>
      <c r="AD51" s="6604"/>
      <c r="AF51" s="117"/>
      <c r="AG51" s="157"/>
      <c r="AH51" s="157"/>
      <c r="AI51" s="312"/>
      <c r="AJ51" s="117"/>
      <c r="AK51" s="157"/>
      <c r="AL51" s="6604"/>
      <c r="AM51" s="157"/>
      <c r="AN51" s="26" t="s">
        <v>2061</v>
      </c>
    </row>
    <row r="52" spans="1:40" x14ac:dyDescent="0.35">
      <c r="A52" s="9168"/>
      <c r="B52" s="1654"/>
      <c r="C52" s="1654" t="s">
        <v>964</v>
      </c>
      <c r="D52" s="87"/>
      <c r="G52" s="130"/>
      <c r="I52" s="131"/>
      <c r="J52" s="132"/>
      <c r="K52" s="133">
        <f t="shared" si="43"/>
        <v>0</v>
      </c>
      <c r="M52" s="242"/>
      <c r="N52" s="157">
        <f t="shared" si="38"/>
        <v>0</v>
      </c>
      <c r="P52" s="242"/>
      <c r="Q52" s="157">
        <f t="shared" si="39"/>
        <v>0</v>
      </c>
      <c r="S52" s="242"/>
      <c r="T52" s="157">
        <f t="shared" si="40"/>
        <v>0</v>
      </c>
      <c r="V52" s="242"/>
      <c r="W52" s="157">
        <f t="shared" si="41"/>
        <v>0</v>
      </c>
      <c r="Y52" s="242"/>
      <c r="Z52" s="157">
        <f t="shared" si="42"/>
        <v>0</v>
      </c>
      <c r="AA52" s="26"/>
      <c r="AB52" s="242"/>
      <c r="AC52" s="157"/>
      <c r="AD52" s="6608"/>
      <c r="AF52" s="242"/>
      <c r="AG52" s="157"/>
      <c r="AH52" s="157"/>
      <c r="AI52" s="312"/>
      <c r="AJ52" s="242"/>
      <c r="AK52" s="157"/>
      <c r="AL52" s="6608"/>
      <c r="AM52" s="157"/>
      <c r="AN52" s="26"/>
    </row>
    <row r="53" spans="1:40" x14ac:dyDescent="0.35">
      <c r="A53" s="9168"/>
      <c r="B53" s="271" t="s">
        <v>965</v>
      </c>
      <c r="C53" s="271"/>
      <c r="D53" s="140"/>
      <c r="E53" s="141"/>
      <c r="F53" s="141"/>
      <c r="G53" s="227"/>
      <c r="H53" s="141"/>
      <c r="I53" s="245"/>
      <c r="J53" s="106"/>
      <c r="K53" s="267"/>
      <c r="L53" s="141"/>
      <c r="M53" s="102"/>
      <c r="N53" s="268"/>
      <c r="O53" s="141"/>
      <c r="P53" s="102"/>
      <c r="Q53" s="268"/>
      <c r="R53" s="141"/>
      <c r="S53" s="102"/>
      <c r="T53" s="268"/>
      <c r="U53" s="141"/>
      <c r="V53" s="102"/>
      <c r="W53" s="268"/>
      <c r="X53" s="141"/>
      <c r="Y53" s="102"/>
      <c r="Z53" s="268"/>
      <c r="AA53" s="18"/>
      <c r="AB53" s="102"/>
      <c r="AC53" s="268"/>
      <c r="AD53" s="141"/>
      <c r="AE53" s="141"/>
      <c r="AF53" s="102"/>
      <c r="AG53" s="268"/>
      <c r="AH53" s="268"/>
      <c r="AI53" s="254"/>
      <c r="AJ53" s="102"/>
      <c r="AK53" s="268"/>
      <c r="AL53" s="141"/>
      <c r="AM53" s="247"/>
      <c r="AN53" s="18"/>
    </row>
    <row r="54" spans="1:40" x14ac:dyDescent="0.35">
      <c r="A54" s="9168"/>
      <c r="B54" s="232"/>
      <c r="C54" s="232" t="s">
        <v>2035</v>
      </c>
      <c r="D54" s="60"/>
      <c r="G54" s="111"/>
      <c r="I54" s="112">
        <f>(17673+5400)+(2982925+1033706+662071)+(2086204+607941+493228)+(1294435+367367+206033)+(522354+152453+113065+81443+27388+24886)</f>
        <v>10678572</v>
      </c>
      <c r="J54" s="112"/>
      <c r="K54" s="64">
        <f t="shared" ref="K54:K66" si="44">IF(I54=0,0,J54/I54)</f>
        <v>0</v>
      </c>
      <c r="M54" s="113">
        <f>(31732+9600)+(3030362+1039661+692534)+(2100967+608997+501079)+(1359213+384044+224241)+(585771+169518+127005+79568+26319+25135)</f>
        <v>10995746</v>
      </c>
      <c r="N54" s="157">
        <f>M54*K54</f>
        <v>0</v>
      </c>
      <c r="P54" s="3164">
        <v>11245862</v>
      </c>
      <c r="Q54" s="157">
        <f>P54*N54</f>
        <v>0</v>
      </c>
      <c r="S54" s="112"/>
      <c r="T54" s="157">
        <f>S54*Q54</f>
        <v>0</v>
      </c>
      <c r="V54" s="3164">
        <f>23741+2955118+2364028+1987952+928824</f>
        <v>8259663</v>
      </c>
      <c r="W54" s="157">
        <f>V54*T54</f>
        <v>0</v>
      </c>
      <c r="Y54" s="6618">
        <f>40124+3132038+2656095+2083384+984258</f>
        <v>8895899</v>
      </c>
      <c r="Z54" s="157">
        <f>Y54*W54</f>
        <v>0</v>
      </c>
      <c r="AA54" s="6629" t="s">
        <v>2062</v>
      </c>
      <c r="AB54" s="3164">
        <f>SUM(AB55:AB59)</f>
        <v>8902976</v>
      </c>
      <c r="AC54" s="157"/>
      <c r="AF54" s="6630">
        <f>SUM(AF55:AF59)</f>
        <v>9510018</v>
      </c>
      <c r="AG54" s="8372" t="s">
        <v>2062</v>
      </c>
      <c r="AH54" s="6621"/>
      <c r="AI54" s="8374"/>
      <c r="AJ54" s="3164">
        <f>SUM(AJ55:AJ59)</f>
        <v>10366257</v>
      </c>
      <c r="AK54" s="8379" t="s">
        <v>2063</v>
      </c>
      <c r="AM54" s="8377"/>
      <c r="AN54" s="6631"/>
    </row>
    <row r="55" spans="1:40" x14ac:dyDescent="0.35">
      <c r="A55" s="9168"/>
      <c r="B55" s="6178" t="s">
        <v>1396</v>
      </c>
      <c r="C55" s="6178" t="s">
        <v>2037</v>
      </c>
      <c r="D55" s="60"/>
      <c r="G55" s="111"/>
      <c r="I55" s="112"/>
      <c r="J55" s="233"/>
      <c r="K55" s="64"/>
      <c r="M55" s="233"/>
      <c r="N55" s="157"/>
      <c r="P55" s="3164"/>
      <c r="Q55" s="157"/>
      <c r="S55" s="112"/>
      <c r="T55" s="157"/>
      <c r="V55" s="3164"/>
      <c r="W55" s="157"/>
      <c r="Y55" s="6618"/>
      <c r="Z55" s="157"/>
      <c r="AA55" s="6631"/>
      <c r="AB55" s="112">
        <v>75645</v>
      </c>
      <c r="AC55" s="157"/>
      <c r="AE55" s="1">
        <f>AB55/AB31</f>
        <v>0.30940421946450919</v>
      </c>
      <c r="AF55" s="6618">
        <v>121871</v>
      </c>
      <c r="AG55" s="157"/>
      <c r="AH55" s="6621"/>
      <c r="AI55" s="8374"/>
      <c r="AJ55" s="112">
        <v>184504</v>
      </c>
      <c r="AK55" s="157"/>
      <c r="AM55" s="8377"/>
      <c r="AN55" s="6631"/>
    </row>
    <row r="56" spans="1:40" x14ac:dyDescent="0.35">
      <c r="A56" s="9168"/>
      <c r="B56" s="6178"/>
      <c r="C56" s="6178" t="s">
        <v>2038</v>
      </c>
      <c r="D56" s="60"/>
      <c r="G56" s="111"/>
      <c r="I56" s="112"/>
      <c r="J56" s="233"/>
      <c r="K56" s="64"/>
      <c r="M56" s="233"/>
      <c r="N56" s="157"/>
      <c r="P56" s="3164"/>
      <c r="Q56" s="157"/>
      <c r="S56" s="112"/>
      <c r="T56" s="157"/>
      <c r="V56" s="3164"/>
      <c r="W56" s="157"/>
      <c r="Y56" s="6618"/>
      <c r="Z56" s="157"/>
      <c r="AA56" s="6631"/>
      <c r="AB56" s="112">
        <v>3180749</v>
      </c>
      <c r="AC56" s="157"/>
      <c r="AE56" s="1">
        <f>AB56/AB32</f>
        <v>0.5874008186586962</v>
      </c>
      <c r="AF56" s="6618">
        <v>3405737</v>
      </c>
      <c r="AG56" s="157"/>
      <c r="AH56" s="6621"/>
      <c r="AI56" s="8374"/>
      <c r="AJ56" s="112">
        <v>3721894</v>
      </c>
      <c r="AK56" s="157"/>
      <c r="AM56" s="8377"/>
      <c r="AN56" s="6631"/>
    </row>
    <row r="57" spans="1:40" x14ac:dyDescent="0.35">
      <c r="A57" s="9168"/>
      <c r="B57" s="6178"/>
      <c r="C57" s="6178" t="s">
        <v>2040</v>
      </c>
      <c r="D57" s="60"/>
      <c r="G57" s="111"/>
      <c r="I57" s="112"/>
      <c r="J57" s="233"/>
      <c r="K57" s="64"/>
      <c r="M57" s="233"/>
      <c r="N57" s="157"/>
      <c r="P57" s="3164"/>
      <c r="Q57" s="157"/>
      <c r="S57" s="112"/>
      <c r="T57" s="157"/>
      <c r="V57" s="3164"/>
      <c r="W57" s="157"/>
      <c r="Y57" s="6618"/>
      <c r="Z57" s="157"/>
      <c r="AA57" s="6631"/>
      <c r="AB57" s="112">
        <v>2656095</v>
      </c>
      <c r="AC57" s="157"/>
      <c r="AE57" s="1">
        <f>AB57/AB33</f>
        <v>0.63087625006888082</v>
      </c>
      <c r="AF57" s="6618">
        <v>2843014</v>
      </c>
      <c r="AG57" s="157"/>
      <c r="AH57" s="6621"/>
      <c r="AI57" s="8374"/>
      <c r="AJ57" s="112">
        <v>3126788</v>
      </c>
      <c r="AK57" s="157"/>
      <c r="AM57" s="8377"/>
      <c r="AN57" s="6631"/>
    </row>
    <row r="58" spans="1:40" ht="15.25" customHeight="1" x14ac:dyDescent="0.35">
      <c r="A58" s="9168"/>
      <c r="B58" s="6178"/>
      <c r="C58" s="6178" t="s">
        <v>2041</v>
      </c>
      <c r="D58" s="60"/>
      <c r="G58" s="111"/>
      <c r="I58" s="112"/>
      <c r="J58" s="233"/>
      <c r="K58" s="64"/>
      <c r="M58" s="233"/>
      <c r="N58" s="157"/>
      <c r="P58" s="3164"/>
      <c r="Q58" s="157"/>
      <c r="S58" s="112"/>
      <c r="T58" s="157"/>
      <c r="V58" s="3164"/>
      <c r="W58" s="157"/>
      <c r="Y58" s="6618"/>
      <c r="Z58" s="157"/>
      <c r="AA58" s="6631"/>
      <c r="AB58" s="112">
        <v>2083384</v>
      </c>
      <c r="AC58" s="157"/>
      <c r="AE58" s="1">
        <f>AB58/AB34</f>
        <v>0.6639510137170006</v>
      </c>
      <c r="AF58" s="6618">
        <v>2140544</v>
      </c>
      <c r="AG58" s="157"/>
      <c r="AH58" s="6621"/>
      <c r="AI58" s="8374"/>
      <c r="AJ58" s="112">
        <v>2242445</v>
      </c>
      <c r="AK58" s="157"/>
      <c r="AM58" s="8377"/>
      <c r="AN58" s="6631"/>
    </row>
    <row r="59" spans="1:40" x14ac:dyDescent="0.35">
      <c r="A59" s="9168"/>
      <c r="B59" s="6178"/>
      <c r="C59" s="6178" t="s">
        <v>2042</v>
      </c>
      <c r="D59" s="60"/>
      <c r="G59" s="111"/>
      <c r="I59" s="112"/>
      <c r="J59" s="233"/>
      <c r="K59" s="64"/>
      <c r="M59" s="233"/>
      <c r="N59" s="157"/>
      <c r="P59" s="3164"/>
      <c r="Q59" s="157"/>
      <c r="S59" s="112"/>
      <c r="T59" s="157"/>
      <c r="V59" s="3164"/>
      <c r="W59" s="157"/>
      <c r="Y59" s="6618"/>
      <c r="Z59" s="157"/>
      <c r="AA59" s="6631"/>
      <c r="AB59" s="5698">
        <v>907103</v>
      </c>
      <c r="AC59" s="6632"/>
      <c r="AD59" s="3818"/>
      <c r="AE59" s="3818">
        <f>AB59/AB35</f>
        <v>0.60767323084673364</v>
      </c>
      <c r="AF59" s="6633">
        <v>998852</v>
      </c>
      <c r="AG59" s="157"/>
      <c r="AH59" s="6621"/>
      <c r="AI59" s="8374"/>
      <c r="AJ59" s="5698">
        <v>1090626</v>
      </c>
      <c r="AK59" s="6632"/>
      <c r="AL59" s="3818"/>
      <c r="AM59" s="8377"/>
      <c r="AN59" s="6631"/>
    </row>
    <row r="60" spans="1:40" x14ac:dyDescent="0.35">
      <c r="A60" s="9168"/>
      <c r="B60" s="6178"/>
      <c r="C60" s="6178" t="s">
        <v>2044</v>
      </c>
      <c r="D60" s="60"/>
      <c r="G60" s="155"/>
      <c r="I60" s="117"/>
      <c r="J60" s="115"/>
      <c r="K60" s="64">
        <f t="shared" si="44"/>
        <v>0</v>
      </c>
      <c r="M60" s="117"/>
      <c r="N60" s="157">
        <f t="shared" ref="N60:N66" si="45">M60*K60</f>
        <v>0</v>
      </c>
      <c r="P60" s="3639">
        <f>P54*(P37/P30)</f>
        <v>2222155.5155213624</v>
      </c>
      <c r="Q60" s="157">
        <f t="shared" ref="Q60:Q63" si="46">P60*N60</f>
        <v>0</v>
      </c>
      <c r="S60" s="117"/>
      <c r="T60" s="157">
        <f t="shared" ref="T60:T63" si="47">S60*Q60</f>
        <v>0</v>
      </c>
      <c r="V60" s="3639"/>
      <c r="W60" s="157">
        <f t="shared" ref="W60:W63" si="48">V60*T60</f>
        <v>0</v>
      </c>
      <c r="Y60" s="117"/>
      <c r="Z60" s="157">
        <f t="shared" ref="Z60:Z63" si="49">Y60*W60</f>
        <v>0</v>
      </c>
      <c r="AA60" s="26"/>
      <c r="AB60" s="5832">
        <f>SUM(AB55:AB59)/SUM(AB31:AB35)*AB36</f>
        <v>1611700.2676056873</v>
      </c>
      <c r="AC60" s="6632"/>
      <c r="AD60" s="3818"/>
      <c r="AE60" s="3818"/>
      <c r="AF60" s="3951">
        <f>SUM(AF55:AF59)/SUM(AF31:AF35)*AF36</f>
        <v>1693440.3101043245</v>
      </c>
      <c r="AG60" s="6134" t="s">
        <v>2064</v>
      </c>
      <c r="AH60" s="6621"/>
      <c r="AI60" s="8374"/>
      <c r="AJ60" s="3951">
        <f>SUM(AJ55:AJ59)/SUM(AJ31:AJ35)*AJ36</f>
        <v>1756026.6449260495</v>
      </c>
      <c r="AK60" s="6134" t="s">
        <v>2064</v>
      </c>
      <c r="AL60" s="3818"/>
      <c r="AM60" s="8377"/>
      <c r="AN60" s="26"/>
    </row>
    <row r="61" spans="1:40" x14ac:dyDescent="0.35">
      <c r="A61" s="9168"/>
      <c r="B61" s="232"/>
      <c r="C61" s="6619" t="s">
        <v>2047</v>
      </c>
      <c r="D61" s="60"/>
      <c r="G61" s="163"/>
      <c r="I61" s="242"/>
      <c r="J61" s="243"/>
      <c r="K61" s="64">
        <f t="shared" si="44"/>
        <v>0</v>
      </c>
      <c r="M61" s="242"/>
      <c r="N61" s="157">
        <f t="shared" si="45"/>
        <v>0</v>
      </c>
      <c r="P61" s="242"/>
      <c r="Q61" s="157">
        <f t="shared" si="46"/>
        <v>0</v>
      </c>
      <c r="S61" s="242"/>
      <c r="T61" s="157">
        <f t="shared" si="47"/>
        <v>0</v>
      </c>
      <c r="V61" s="242"/>
      <c r="W61" s="157">
        <f t="shared" si="48"/>
        <v>0</v>
      </c>
      <c r="Y61" s="242"/>
      <c r="Z61" s="157">
        <f t="shared" si="49"/>
        <v>0</v>
      </c>
      <c r="AA61" s="26"/>
      <c r="AB61" s="6634">
        <f>AB62+AB63+AB64</f>
        <v>2830812.4548632777</v>
      </c>
      <c r="AC61" s="6632"/>
      <c r="AD61" s="3818"/>
      <c r="AE61" s="3818"/>
      <c r="AF61" s="6634">
        <f>AF62+AF63+AF64</f>
        <v>3197438.3682795116</v>
      </c>
      <c r="AG61" s="6134" t="s">
        <v>2048</v>
      </c>
      <c r="AH61" s="6621"/>
      <c r="AI61" s="8374"/>
      <c r="AJ61" s="6634">
        <f>AJ62+AJ63+AJ64</f>
        <v>3150819.521655248</v>
      </c>
      <c r="AK61" s="6134" t="s">
        <v>2048</v>
      </c>
      <c r="AL61" s="3818"/>
      <c r="AM61" s="8377"/>
      <c r="AN61" s="26"/>
    </row>
    <row r="62" spans="1:40" x14ac:dyDescent="0.35">
      <c r="A62" s="9168"/>
      <c r="B62" s="232"/>
      <c r="C62" s="6622" t="s">
        <v>2049</v>
      </c>
      <c r="D62" s="60"/>
      <c r="G62" s="163"/>
      <c r="I62" s="242"/>
      <c r="J62" s="243"/>
      <c r="K62" s="64">
        <f t="shared" si="44"/>
        <v>0</v>
      </c>
      <c r="M62" s="242"/>
      <c r="N62" s="157">
        <f t="shared" si="45"/>
        <v>0</v>
      </c>
      <c r="P62" s="242"/>
      <c r="Q62" s="157">
        <f t="shared" si="46"/>
        <v>0</v>
      </c>
      <c r="S62" s="242"/>
      <c r="T62" s="157">
        <f t="shared" si="47"/>
        <v>0</v>
      </c>
      <c r="V62" s="242"/>
      <c r="W62" s="157">
        <f t="shared" si="48"/>
        <v>0</v>
      </c>
      <c r="Y62" s="242"/>
      <c r="Z62" s="157">
        <f t="shared" si="49"/>
        <v>0</v>
      </c>
      <c r="AA62" s="26"/>
      <c r="AB62" s="242">
        <f>SUM(AB55:AB59)/SUM(AB31:AB35)*AB38</f>
        <v>2095042.5728713742</v>
      </c>
      <c r="AC62" s="157"/>
      <c r="AF62" s="242">
        <f>SUM(AF55:AF59)/SUM(AF31:AF35)*AF38</f>
        <v>2390509.4599310635</v>
      </c>
      <c r="AG62" s="6134" t="s">
        <v>2064</v>
      </c>
      <c r="AH62" s="6621"/>
      <c r="AI62" s="8374"/>
      <c r="AJ62" s="242">
        <f>SUM(AJ55:AJ59)/SUM(AJ31:AJ35)*AJ38</f>
        <v>2254242.7279455005</v>
      </c>
      <c r="AK62" s="6134" t="s">
        <v>2064</v>
      </c>
      <c r="AM62" s="8377"/>
      <c r="AN62" s="26"/>
    </row>
    <row r="63" spans="1:40" x14ac:dyDescent="0.35">
      <c r="A63" s="9168"/>
      <c r="B63" s="232"/>
      <c r="C63" s="6178" t="s">
        <v>2052</v>
      </c>
      <c r="D63" s="60"/>
      <c r="G63" s="163"/>
      <c r="I63" s="242"/>
      <c r="J63" s="243"/>
      <c r="K63" s="64">
        <f t="shared" si="44"/>
        <v>0</v>
      </c>
      <c r="M63" s="242"/>
      <c r="N63" s="157">
        <f t="shared" si="45"/>
        <v>0</v>
      </c>
      <c r="P63" s="242"/>
      <c r="Q63" s="157">
        <f t="shared" si="46"/>
        <v>0</v>
      </c>
      <c r="S63" s="242"/>
      <c r="T63" s="157">
        <f t="shared" si="47"/>
        <v>0</v>
      </c>
      <c r="V63" s="242"/>
      <c r="W63" s="157">
        <f t="shared" si="48"/>
        <v>0</v>
      </c>
      <c r="Y63" s="242"/>
      <c r="Z63" s="157">
        <f t="shared" si="49"/>
        <v>0</v>
      </c>
      <c r="AA63" s="26"/>
      <c r="AB63" s="242">
        <f>SUM(AB55:AB59)/SUM(AB31:AB35)*AB39</f>
        <v>541973.0257028183</v>
      </c>
      <c r="AC63" s="157"/>
      <c r="AF63" s="242">
        <f>SUM(AF55:AF59)/SUM(AF31:AF35)*AF39</f>
        <v>540994.85750204918</v>
      </c>
      <c r="AG63" s="6134" t="s">
        <v>2064</v>
      </c>
      <c r="AH63" s="6621"/>
      <c r="AI63" s="8374"/>
      <c r="AJ63" s="242">
        <f>SUM(AJ55:AJ59)/SUM(AJ31:AJ35)*AJ39</f>
        <v>675886.67982380965</v>
      </c>
      <c r="AK63" s="6134" t="s">
        <v>2064</v>
      </c>
      <c r="AM63" s="8377"/>
      <c r="AN63" s="26"/>
    </row>
    <row r="64" spans="1:40" ht="14.5" customHeight="1" x14ac:dyDescent="0.35">
      <c r="A64" s="9168"/>
      <c r="B64" s="232"/>
      <c r="C64" s="6178" t="s">
        <v>2055</v>
      </c>
      <c r="D64" s="60"/>
      <c r="G64" s="163"/>
      <c r="I64" s="242"/>
      <c r="J64" s="243"/>
      <c r="K64" s="64"/>
      <c r="M64" s="242"/>
      <c r="N64" s="157"/>
      <c r="P64" s="242"/>
      <c r="Q64" s="157"/>
      <c r="S64" s="242"/>
      <c r="T64" s="157"/>
      <c r="V64" s="242"/>
      <c r="W64" s="157"/>
      <c r="Y64" s="242"/>
      <c r="Z64" s="157"/>
      <c r="AA64" s="26"/>
      <c r="AB64" s="242">
        <f>SUM(AB55:AB59)/SUM(AB31:AB35)*AB40</f>
        <v>193796.85628908538</v>
      </c>
      <c r="AC64" s="157"/>
      <c r="AF64" s="242">
        <f>SUM(AF55:AF59)/SUM(AF31:AF35)*AF40</f>
        <v>265934.05084639887</v>
      </c>
      <c r="AG64" s="6134" t="s">
        <v>2064</v>
      </c>
      <c r="AH64" s="6621"/>
      <c r="AI64" s="8374"/>
      <c r="AJ64" s="242">
        <f>SUM(AJ55:AJ59)/SUM(AJ31:AJ35)*AJ40</f>
        <v>220690.11388593781</v>
      </c>
      <c r="AK64" s="6134" t="s">
        <v>2064</v>
      </c>
      <c r="AM64" s="8377"/>
      <c r="AN64" s="26"/>
    </row>
    <row r="65" spans="1:40" x14ac:dyDescent="0.35">
      <c r="A65" s="9168"/>
      <c r="B65" s="232"/>
      <c r="C65" s="232"/>
      <c r="D65" s="60"/>
      <c r="G65" s="163"/>
      <c r="I65" s="242"/>
      <c r="J65" s="243"/>
      <c r="K65" s="64">
        <f t="shared" si="44"/>
        <v>0</v>
      </c>
      <c r="M65" s="242"/>
      <c r="N65" s="157">
        <f t="shared" si="45"/>
        <v>0</v>
      </c>
      <c r="P65" s="242"/>
      <c r="Q65" s="157">
        <f t="shared" ref="Q65:Q66" si="50">P65*N65</f>
        <v>0</v>
      </c>
      <c r="S65" s="242"/>
      <c r="T65" s="157">
        <f t="shared" ref="T65:T66" si="51">S65*Q65</f>
        <v>0</v>
      </c>
      <c r="V65" s="242"/>
      <c r="W65" s="157">
        <f t="shared" ref="W65:W66" si="52">V65*T65</f>
        <v>0</v>
      </c>
      <c r="Y65" s="242"/>
      <c r="Z65" s="157">
        <f t="shared" ref="Z65:Z66" si="53">Y65*W65</f>
        <v>0</v>
      </c>
      <c r="AA65" s="26"/>
      <c r="AB65" s="242"/>
      <c r="AC65" s="157"/>
      <c r="AF65" s="242"/>
      <c r="AG65" s="157"/>
      <c r="AH65" s="157"/>
      <c r="AI65" s="312"/>
      <c r="AJ65" s="242"/>
      <c r="AK65" s="8379"/>
      <c r="AM65" s="157"/>
      <c r="AN65" s="26"/>
    </row>
    <row r="66" spans="1:40" x14ac:dyDescent="0.35">
      <c r="A66" s="9168"/>
      <c r="B66" s="1662"/>
      <c r="C66" s="1662"/>
      <c r="D66" s="87"/>
      <c r="G66" s="130"/>
      <c r="I66" s="242"/>
      <c r="J66" s="243"/>
      <c r="K66" s="64">
        <f t="shared" si="44"/>
        <v>0</v>
      </c>
      <c r="M66" s="242"/>
      <c r="N66" s="157">
        <f t="shared" si="45"/>
        <v>0</v>
      </c>
      <c r="P66" s="242"/>
      <c r="Q66" s="157">
        <f t="shared" si="50"/>
        <v>0</v>
      </c>
      <c r="S66" s="242"/>
      <c r="T66" s="157">
        <f t="shared" si="51"/>
        <v>0</v>
      </c>
      <c r="V66" s="242"/>
      <c r="W66" s="157">
        <f t="shared" si="52"/>
        <v>0</v>
      </c>
      <c r="Y66" s="242"/>
      <c r="Z66" s="157">
        <f t="shared" si="53"/>
        <v>0</v>
      </c>
      <c r="AA66" s="24"/>
      <c r="AB66" s="242"/>
      <c r="AC66" s="157"/>
      <c r="AF66" s="242"/>
      <c r="AG66" s="157"/>
      <c r="AH66" s="157"/>
      <c r="AI66" s="312"/>
      <c r="AJ66" s="242"/>
      <c r="AK66" s="157"/>
      <c r="AM66" s="157"/>
      <c r="AN66" s="24"/>
    </row>
    <row r="67" spans="1:40" x14ac:dyDescent="0.35">
      <c r="A67" s="9168"/>
      <c r="B67" s="271" t="s">
        <v>979</v>
      </c>
      <c r="C67" s="271"/>
      <c r="D67" s="140"/>
      <c r="E67" s="143"/>
      <c r="F67" s="143"/>
      <c r="G67" s="227"/>
      <c r="H67" s="143"/>
      <c r="I67" s="102"/>
      <c r="J67" s="103"/>
      <c r="K67" s="228"/>
      <c r="L67" s="143"/>
      <c r="M67" s="102"/>
      <c r="N67" s="268"/>
      <c r="O67" s="143"/>
      <c r="P67" s="102"/>
      <c r="Q67" s="268"/>
      <c r="R67" s="143"/>
      <c r="S67" s="102"/>
      <c r="T67" s="268"/>
      <c r="U67" s="143"/>
      <c r="V67" s="102"/>
      <c r="W67" s="268"/>
      <c r="X67" s="143"/>
      <c r="Y67" s="102"/>
      <c r="Z67" s="268"/>
      <c r="AA67" s="18"/>
      <c r="AB67" s="102"/>
      <c r="AC67" s="268"/>
      <c r="AD67" s="143"/>
      <c r="AE67" s="143"/>
      <c r="AF67" s="102"/>
      <c r="AG67" s="268"/>
      <c r="AH67" s="268"/>
      <c r="AI67" s="254"/>
      <c r="AJ67" s="102"/>
      <c r="AK67" s="268"/>
      <c r="AL67" s="143"/>
      <c r="AM67" s="247"/>
      <c r="AN67" s="18"/>
    </row>
    <row r="68" spans="1:40" x14ac:dyDescent="0.35">
      <c r="A68" s="9168"/>
      <c r="B68" s="272"/>
      <c r="C68" s="272" t="s">
        <v>980</v>
      </c>
      <c r="D68" s="60"/>
      <c r="G68" s="155"/>
      <c r="I68" s="117"/>
      <c r="J68" s="115"/>
      <c r="K68" s="64">
        <f t="shared" ref="K68" si="54">IF(I68=0,0,J68/I68)</f>
        <v>0</v>
      </c>
      <c r="M68" s="117"/>
      <c r="N68" s="157">
        <f>N26*N69</f>
        <v>0</v>
      </c>
      <c r="P68" s="117"/>
      <c r="Q68" s="157">
        <f>Q26*Q69</f>
        <v>0</v>
      </c>
      <c r="S68" s="117"/>
      <c r="T68" s="157">
        <f>T26*T69</f>
        <v>0</v>
      </c>
      <c r="V68" s="117"/>
      <c r="W68" s="157">
        <f>W26*W69</f>
        <v>0</v>
      </c>
      <c r="Y68" s="6635"/>
      <c r="Z68" s="157">
        <f>Z26*Z69</f>
        <v>0</v>
      </c>
      <c r="AA68" s="6629" t="s">
        <v>2062</v>
      </c>
      <c r="AB68" s="117"/>
      <c r="AC68" s="157"/>
      <c r="AF68" s="6635"/>
      <c r="AG68" s="157"/>
      <c r="AH68" s="157"/>
      <c r="AI68" s="312"/>
      <c r="AJ68" s="117"/>
      <c r="AK68" s="157"/>
      <c r="AM68" s="157"/>
      <c r="AN68" s="8380"/>
    </row>
    <row r="69" spans="1:40" x14ac:dyDescent="0.35">
      <c r="A69" s="9168"/>
      <c r="B69" s="277"/>
      <c r="C69" s="277" t="s">
        <v>981</v>
      </c>
      <c r="D69" s="87"/>
      <c r="G69" s="278"/>
      <c r="H69" s="279"/>
      <c r="I69" s="280"/>
      <c r="J69" s="281"/>
      <c r="K69" s="133"/>
      <c r="M69" s="280"/>
      <c r="N69" s="282"/>
      <c r="P69" s="280"/>
      <c r="Q69" s="282"/>
      <c r="S69" s="280"/>
      <c r="T69" s="282"/>
      <c r="V69" s="280"/>
      <c r="W69" s="282"/>
      <c r="Y69" s="280"/>
      <c r="Z69" s="282"/>
      <c r="AA69" s="24"/>
      <c r="AB69" s="280"/>
      <c r="AC69" s="282"/>
      <c r="AF69" s="280"/>
      <c r="AG69" s="282"/>
      <c r="AH69" s="282"/>
      <c r="AI69" s="8381"/>
      <c r="AJ69" s="280"/>
      <c r="AK69" s="282"/>
      <c r="AM69" s="8382"/>
      <c r="AN69" s="24"/>
    </row>
    <row r="70" spans="1:40" x14ac:dyDescent="0.35">
      <c r="A70" s="9168"/>
      <c r="B70" s="287" t="s">
        <v>982</v>
      </c>
      <c r="C70" s="288"/>
      <c r="D70" s="140"/>
      <c r="E70" s="143"/>
      <c r="F70" s="143"/>
      <c r="G70" s="289"/>
      <c r="H70" s="290"/>
      <c r="I70" s="291"/>
      <c r="J70" s="292"/>
      <c r="K70" s="293"/>
      <c r="M70" s="291"/>
      <c r="N70" s="268"/>
      <c r="O70" s="143"/>
      <c r="P70" s="291"/>
      <c r="Q70" s="268"/>
      <c r="R70" s="143"/>
      <c r="S70" s="291"/>
      <c r="T70" s="268"/>
      <c r="U70" s="143"/>
      <c r="V70" s="291"/>
      <c r="W70" s="268"/>
      <c r="X70" s="143"/>
      <c r="Y70" s="291"/>
      <c r="Z70" s="268"/>
      <c r="AA70" s="18"/>
      <c r="AB70" s="291"/>
      <c r="AC70" s="268"/>
      <c r="AD70" s="143"/>
      <c r="AE70" s="143"/>
      <c r="AF70" s="291"/>
      <c r="AG70" s="268"/>
      <c r="AH70" s="268"/>
      <c r="AI70" s="254"/>
      <c r="AJ70" s="291"/>
      <c r="AK70" s="268"/>
      <c r="AL70" s="143"/>
      <c r="AM70" s="247"/>
      <c r="AN70" s="18"/>
    </row>
    <row r="71" spans="1:40" x14ac:dyDescent="0.35">
      <c r="A71" s="9168"/>
      <c r="B71" s="295"/>
      <c r="C71" s="63" t="s">
        <v>2035</v>
      </c>
      <c r="D71" s="60"/>
      <c r="G71" s="521"/>
      <c r="H71" s="272"/>
      <c r="I71" s="304">
        <f>12641+453334+597590+239444+393883</f>
        <v>1696892</v>
      </c>
      <c r="J71" s="522"/>
      <c r="K71" s="297">
        <f t="shared" ref="K71:K74" si="55">IF(I71=0,0,J71/I71)</f>
        <v>0</v>
      </c>
      <c r="M71" s="304">
        <f>5852+671793+147487+55195+104553</f>
        <v>984880</v>
      </c>
      <c r="N71" s="157">
        <f t="shared" ref="N71:N74" si="56">M71*K71</f>
        <v>0</v>
      </c>
      <c r="P71" s="3640">
        <v>490941</v>
      </c>
      <c r="Q71" s="157">
        <f t="shared" ref="Q71:Q74" si="57">P71*N71</f>
        <v>0</v>
      </c>
      <c r="S71" s="304"/>
      <c r="T71" s="157">
        <f t="shared" ref="T71:T74" si="58">S71*Q71</f>
        <v>0</v>
      </c>
      <c r="V71" s="3640"/>
      <c r="W71" s="157">
        <f t="shared" ref="W71:W74" si="59">V71*T71</f>
        <v>0</v>
      </c>
      <c r="Y71" s="304"/>
      <c r="Z71" s="157">
        <f t="shared" ref="Z71:Z74" si="60">Y71*W71</f>
        <v>0</v>
      </c>
      <c r="AA71" s="26"/>
      <c r="AB71" s="3640"/>
      <c r="AC71" s="157"/>
      <c r="AF71" s="304"/>
      <c r="AG71" s="157"/>
      <c r="AH71" s="157"/>
      <c r="AI71" s="312"/>
      <c r="AJ71" s="3640"/>
      <c r="AK71" s="157"/>
      <c r="AM71" s="157"/>
      <c r="AN71" s="26"/>
    </row>
    <row r="72" spans="1:40" x14ac:dyDescent="0.35">
      <c r="A72" s="9168"/>
      <c r="B72" s="295"/>
      <c r="C72" s="63" t="s">
        <v>937</v>
      </c>
      <c r="D72" s="60"/>
      <c r="G72" s="61"/>
      <c r="H72" s="272"/>
      <c r="I72" s="62"/>
      <c r="J72" s="63"/>
      <c r="K72" s="297">
        <f t="shared" si="55"/>
        <v>0</v>
      </c>
      <c r="M72" s="62"/>
      <c r="N72" s="157">
        <f t="shared" si="56"/>
        <v>0</v>
      </c>
      <c r="P72" s="62"/>
      <c r="Q72" s="157">
        <f t="shared" si="57"/>
        <v>0</v>
      </c>
      <c r="S72" s="62"/>
      <c r="T72" s="157">
        <f t="shared" si="58"/>
        <v>0</v>
      </c>
      <c r="V72" s="62"/>
      <c r="W72" s="157">
        <f t="shared" si="59"/>
        <v>0</v>
      </c>
      <c r="Y72" s="62"/>
      <c r="Z72" s="157">
        <f t="shared" si="60"/>
        <v>0</v>
      </c>
      <c r="AA72" s="26"/>
      <c r="AB72" s="62"/>
      <c r="AC72" s="157"/>
      <c r="AF72" s="62"/>
      <c r="AG72" s="157"/>
      <c r="AH72" s="157"/>
      <c r="AI72" s="312"/>
      <c r="AJ72" s="62"/>
      <c r="AK72" s="157"/>
      <c r="AM72" s="157"/>
      <c r="AN72" s="26"/>
    </row>
    <row r="73" spans="1:40" x14ac:dyDescent="0.35">
      <c r="A73" s="9168"/>
      <c r="B73" s="2948"/>
      <c r="C73" s="63" t="s">
        <v>1745</v>
      </c>
      <c r="D73" s="60"/>
      <c r="G73" s="61"/>
      <c r="H73" s="272"/>
      <c r="I73" s="62"/>
      <c r="J73" s="63"/>
      <c r="K73" s="297">
        <f t="shared" si="55"/>
        <v>0</v>
      </c>
      <c r="M73" s="62"/>
      <c r="N73" s="157">
        <f t="shared" si="56"/>
        <v>0</v>
      </c>
      <c r="P73" s="62"/>
      <c r="Q73" s="157">
        <f t="shared" si="57"/>
        <v>0</v>
      </c>
      <c r="S73" s="62"/>
      <c r="T73" s="157">
        <f t="shared" si="58"/>
        <v>0</v>
      </c>
      <c r="V73" s="62"/>
      <c r="W73" s="157">
        <f t="shared" si="59"/>
        <v>0</v>
      </c>
      <c r="Y73" s="62"/>
      <c r="Z73" s="157">
        <f t="shared" si="60"/>
        <v>0</v>
      </c>
      <c r="AA73" s="26"/>
      <c r="AB73" s="62"/>
      <c r="AC73" s="157"/>
      <c r="AF73" s="62"/>
      <c r="AG73" s="157"/>
      <c r="AH73" s="157"/>
      <c r="AI73" s="312"/>
      <c r="AJ73" s="62"/>
      <c r="AK73" s="157"/>
      <c r="AM73" s="157"/>
      <c r="AN73" s="26"/>
    </row>
    <row r="74" spans="1:40" x14ac:dyDescent="0.35">
      <c r="A74" s="9169"/>
      <c r="B74" s="2950"/>
      <c r="C74" s="2951" t="s">
        <v>1288</v>
      </c>
      <c r="D74" s="87"/>
      <c r="G74" s="88"/>
      <c r="H74" s="274"/>
      <c r="I74" s="89"/>
      <c r="J74" s="90"/>
      <c r="K74" s="307">
        <f t="shared" si="55"/>
        <v>0</v>
      </c>
      <c r="M74" s="89"/>
      <c r="N74" s="213">
        <f t="shared" si="56"/>
        <v>0</v>
      </c>
      <c r="P74" s="89"/>
      <c r="Q74" s="213">
        <f t="shared" si="57"/>
        <v>0</v>
      </c>
      <c r="S74" s="89"/>
      <c r="T74" s="213">
        <f t="shared" si="58"/>
        <v>0</v>
      </c>
      <c r="V74" s="89"/>
      <c r="W74" s="213">
        <f t="shared" si="59"/>
        <v>0</v>
      </c>
      <c r="Y74" s="89"/>
      <c r="Z74" s="213">
        <f t="shared" si="60"/>
        <v>0</v>
      </c>
      <c r="AA74" s="24"/>
      <c r="AB74" s="89"/>
      <c r="AC74" s="213"/>
      <c r="AF74" s="89"/>
      <c r="AG74" s="213"/>
      <c r="AH74" s="213"/>
      <c r="AI74" s="312"/>
      <c r="AJ74" s="89"/>
      <c r="AK74" s="213"/>
      <c r="AM74" s="157"/>
      <c r="AN74" s="24"/>
    </row>
    <row r="75" spans="1:40" s="462" customFormat="1" x14ac:dyDescent="0.35">
      <c r="A75" s="310"/>
      <c r="B75" s="310"/>
      <c r="C75" s="1"/>
      <c r="D75" s="5"/>
      <c r="E75" s="1"/>
      <c r="F75" s="1"/>
      <c r="G75" s="106"/>
      <c r="H75" s="1"/>
      <c r="I75" s="106"/>
      <c r="J75" s="106"/>
      <c r="K75" s="311"/>
      <c r="L75" s="1"/>
      <c r="M75" s="106"/>
      <c r="N75" s="312"/>
      <c r="O75" s="1"/>
      <c r="P75" s="106"/>
      <c r="Q75" s="312"/>
      <c r="R75" s="1"/>
      <c r="S75" s="106"/>
      <c r="T75" s="312"/>
      <c r="U75" s="1"/>
      <c r="V75" s="106"/>
      <c r="W75" s="312"/>
      <c r="X75" s="1"/>
      <c r="Y75" s="106"/>
      <c r="Z75" s="312"/>
      <c r="AA75"/>
      <c r="AB75" s="106"/>
      <c r="AC75" s="312"/>
      <c r="AD75" s="1"/>
      <c r="AE75" s="1"/>
      <c r="AF75" s="106"/>
      <c r="AG75" s="312"/>
      <c r="AH75" s="312"/>
      <c r="AI75" s="312"/>
      <c r="AJ75" s="106"/>
      <c r="AK75" s="312"/>
      <c r="AL75" s="1"/>
      <c r="AM75" s="312"/>
      <c r="AN75"/>
    </row>
    <row r="76" spans="1:40" s="462" customFormat="1" x14ac:dyDescent="0.35">
      <c r="A76" s="9167" t="s">
        <v>988</v>
      </c>
      <c r="B76" s="139" t="s">
        <v>989</v>
      </c>
      <c r="C76" s="348"/>
      <c r="D76" s="49"/>
      <c r="E76" s="141"/>
      <c r="F76" s="141"/>
      <c r="G76" s="227"/>
      <c r="H76" s="141"/>
      <c r="I76" s="102"/>
      <c r="J76" s="103"/>
      <c r="K76" s="228"/>
      <c r="L76" s="141"/>
      <c r="M76" s="102"/>
      <c r="N76" s="268"/>
      <c r="O76" s="141"/>
      <c r="P76" s="102"/>
      <c r="Q76" s="268"/>
      <c r="R76" s="141"/>
      <c r="S76" s="102"/>
      <c r="T76" s="268"/>
      <c r="U76" s="141"/>
      <c r="V76" s="102"/>
      <c r="W76" s="268"/>
      <c r="X76" s="141"/>
      <c r="Y76" s="102"/>
      <c r="Z76" s="268"/>
      <c r="AA76"/>
      <c r="AB76" s="102"/>
      <c r="AC76" s="268"/>
      <c r="AD76" s="141"/>
      <c r="AE76" s="141"/>
      <c r="AF76" s="102"/>
      <c r="AG76" s="268"/>
      <c r="AH76" s="254"/>
      <c r="AI76" s="254"/>
      <c r="AJ76" s="102"/>
      <c r="AK76" s="268"/>
      <c r="AL76" s="141"/>
      <c r="AM76" s="254"/>
      <c r="AN76"/>
    </row>
    <row r="77" spans="1:40" s="462" customFormat="1" ht="12" customHeight="1" x14ac:dyDescent="0.35">
      <c r="A77" s="9168"/>
      <c r="B77" s="6082"/>
      <c r="C77"/>
      <c r="D77" s="110" t="s">
        <v>990</v>
      </c>
      <c r="E77" s="1"/>
      <c r="F77" s="1"/>
      <c r="G77" s="349">
        <f>SUM(G30:G39)-SUM(G42:G44)</f>
        <v>0</v>
      </c>
      <c r="H77" s="350"/>
      <c r="I77" s="351">
        <f>SUM(I30:I39)-SUM(I42:I44)</f>
        <v>15334854</v>
      </c>
      <c r="J77" s="352">
        <f>SUM(J30:J39)-SUM(J42:J44)</f>
        <v>0</v>
      </c>
      <c r="K77" s="246"/>
      <c r="L77" s="350"/>
      <c r="M77" s="351">
        <f>SUM(M30:M39)-SUM(M42:M44)</f>
        <v>15506640</v>
      </c>
      <c r="N77" s="353">
        <f>SUM(N30:N39)-SUM(N42:N44)</f>
        <v>0</v>
      </c>
      <c r="O77" s="1"/>
      <c r="P77" s="351">
        <f>SUM(P30:P39)-SUM(P42:P44)</f>
        <v>18158305.583259799</v>
      </c>
      <c r="Q77" s="353">
        <f>SUM(Q30:Q39)-SUM(Q42:Q44)</f>
        <v>0</v>
      </c>
      <c r="R77" s="1"/>
      <c r="S77" s="351">
        <f>SUM(S30:S39)-SUM(S42:S44)</f>
        <v>0</v>
      </c>
      <c r="T77" s="353">
        <f>SUM(T30:T39)-SUM(T42:T44)</f>
        <v>0</v>
      </c>
      <c r="U77" s="1"/>
      <c r="V77" s="351">
        <f>SUM(V30:V39)-SUM(V42:V44)</f>
        <v>17218784</v>
      </c>
      <c r="W77" s="353">
        <f>SUM(W30:W39)-SUM(W42:W44)</f>
        <v>0</v>
      </c>
      <c r="X77" s="1"/>
      <c r="Y77" s="351">
        <f>SUM(Y30:Y39)-SUM(Y42:Y44)</f>
        <v>18264836</v>
      </c>
      <c r="Z77" s="353">
        <f>SUM(Z30:Z39)-SUM(Z42:Z44)</f>
        <v>0</v>
      </c>
      <c r="AA77"/>
      <c r="AB77" s="351">
        <f>AB30+AB37</f>
        <v>21735704.528000001</v>
      </c>
      <c r="AC77" s="353">
        <f>SUM(AC30:AC39)-SUM(AC42:AC44)</f>
        <v>0</v>
      </c>
      <c r="AD77" s="1"/>
      <c r="AE77" s="1"/>
      <c r="AF77" s="351">
        <f>AF30+AF37</f>
        <v>23082334.366</v>
      </c>
      <c r="AG77" s="353" t="e">
        <f>AG30+AG37</f>
        <v>#VALUE!</v>
      </c>
      <c r="AH77" s="352"/>
      <c r="AI77" s="352"/>
      <c r="AJ77" s="351">
        <f>AJ30+AJ37</f>
        <v>24877028.748</v>
      </c>
      <c r="AK77" s="353">
        <f>SUM(AK30:AK39)-SUM(AK42:AK44)</f>
        <v>0</v>
      </c>
      <c r="AL77" s="1"/>
      <c r="AM77" s="352"/>
      <c r="AN77"/>
    </row>
    <row r="78" spans="1:40" s="462" customFormat="1" x14ac:dyDescent="0.35">
      <c r="A78" s="9168"/>
      <c r="B78" s="6082"/>
      <c r="C78"/>
      <c r="D78" s="110" t="s">
        <v>944</v>
      </c>
      <c r="E78" s="1"/>
      <c r="F78" s="1"/>
      <c r="G78" s="349">
        <f>SUM(G46:G52)</f>
        <v>0</v>
      </c>
      <c r="H78" s="350"/>
      <c r="I78" s="351">
        <f>SUM(I46:I52)</f>
        <v>0</v>
      </c>
      <c r="J78" s="352">
        <f>SUM(J46:J52)</f>
        <v>0</v>
      </c>
      <c r="K78" s="246"/>
      <c r="L78" s="350"/>
      <c r="M78" s="351">
        <f>SUM(M46:M52)</f>
        <v>0</v>
      </c>
      <c r="N78" s="353">
        <f>SUM(N46:N52)</f>
        <v>0</v>
      </c>
      <c r="O78" s="1"/>
      <c r="P78" s="351">
        <f>SUM(P46:P52)</f>
        <v>0</v>
      </c>
      <c r="Q78" s="353">
        <f>SUM(Q46:Q52)</f>
        <v>0</v>
      </c>
      <c r="R78" s="1"/>
      <c r="S78" s="351">
        <f>SUM(S46:S52)</f>
        <v>0</v>
      </c>
      <c r="T78" s="353">
        <f>SUM(T46:T52)</f>
        <v>0</v>
      </c>
      <c r="U78" s="1"/>
      <c r="V78" s="351">
        <f>SUM(V46:V52)</f>
        <v>0</v>
      </c>
      <c r="W78" s="353">
        <f>SUM(W46:W52)</f>
        <v>0</v>
      </c>
      <c r="X78" s="1"/>
      <c r="Y78" s="351">
        <f>SUM(Y46:Y52)</f>
        <v>0</v>
      </c>
      <c r="Z78" s="353">
        <f>SUM(Z46:Z52)</f>
        <v>0</v>
      </c>
      <c r="AA78"/>
      <c r="AB78" s="351">
        <f>SUM(AB46:AB52)</f>
        <v>116430</v>
      </c>
      <c r="AC78" s="353">
        <f>SUM(AC46:AC52)</f>
        <v>0</v>
      </c>
      <c r="AD78" s="1"/>
      <c r="AE78" s="1"/>
      <c r="AF78" s="351">
        <f>SUM(AF46:AF52)</f>
        <v>130430</v>
      </c>
      <c r="AG78" s="353">
        <f>SUM(AG46:AG52)</f>
        <v>0</v>
      </c>
      <c r="AH78" s="352"/>
      <c r="AI78" s="352"/>
      <c r="AJ78" s="351">
        <f>SUM(AJ46:AJ52)</f>
        <v>259430</v>
      </c>
      <c r="AK78" s="353">
        <f>SUM(AK46:AK52)</f>
        <v>0</v>
      </c>
      <c r="AL78" s="1"/>
      <c r="AM78" s="352"/>
      <c r="AN78"/>
    </row>
    <row r="79" spans="1:40" s="462" customFormat="1" x14ac:dyDescent="0.35">
      <c r="A79" s="9168"/>
      <c r="B79" s="6082"/>
      <c r="C79"/>
      <c r="D79" s="110" t="s">
        <v>991</v>
      </c>
      <c r="E79" s="1"/>
      <c r="F79" s="1"/>
      <c r="G79" s="349">
        <f>SUM(G54:G66)*G25</f>
        <v>0</v>
      </c>
      <c r="H79" s="350"/>
      <c r="I79" s="351">
        <f>SUM(I54:I66)*I25</f>
        <v>286843.1389707714</v>
      </c>
      <c r="J79" s="352">
        <f>SUM(J54:J66)*J25</f>
        <v>0</v>
      </c>
      <c r="K79" s="246"/>
      <c r="L79" s="350"/>
      <c r="M79" s="351">
        <f>SUM(M54:M66)*M25</f>
        <v>0</v>
      </c>
      <c r="N79" s="353">
        <f>SUM(N54:N66)*N25</f>
        <v>0</v>
      </c>
      <c r="O79" s="1"/>
      <c r="P79" s="351">
        <f>SUM(P54:P66)*P25</f>
        <v>0</v>
      </c>
      <c r="Q79" s="353">
        <f>SUM(Q54:Q66)*Q25</f>
        <v>0</v>
      </c>
      <c r="R79" s="1"/>
      <c r="S79" s="351">
        <f>SUM(S54:S66)*S25</f>
        <v>0</v>
      </c>
      <c r="T79" s="353">
        <f>SUM(T54:T66)*T25</f>
        <v>0</v>
      </c>
      <c r="U79" s="1"/>
      <c r="V79" s="351">
        <f>SUM(V54:V66)*V25</f>
        <v>1111279.0701403108</v>
      </c>
      <c r="W79" s="353">
        <f>SUM(W54:W66)*W25</f>
        <v>0</v>
      </c>
      <c r="X79" s="1"/>
      <c r="Y79" s="351">
        <f>SUM(Y54:Y66)*Y25</f>
        <v>1159470.6104319089</v>
      </c>
      <c r="Z79" s="353">
        <f>SUM(Z54:Z66)*Z25</f>
        <v>0</v>
      </c>
      <c r="AA79"/>
      <c r="AB79" s="351">
        <f>(AB54+AB61)*AB25</f>
        <v>1529354.4657419345</v>
      </c>
      <c r="AC79" s="353">
        <f>SUM(AC54:AC66)*AC25</f>
        <v>0</v>
      </c>
      <c r="AD79" s="1"/>
      <c r="AE79" s="1"/>
      <c r="AF79" s="351">
        <f>(AF54+AF61)*AF25</f>
        <v>1728439.3314304363</v>
      </c>
      <c r="AG79" s="353" t="e">
        <f>(AG54+AG61)*AG25</f>
        <v>#VALUE!</v>
      </c>
      <c r="AH79" s="352"/>
      <c r="AI79" s="352"/>
      <c r="AJ79" s="351">
        <f>(AJ54+AJ61)*AJ25</f>
        <v>1790822.2962552784</v>
      </c>
      <c r="AK79" s="353">
        <f>SUM(AK54:AK66)*AK25</f>
        <v>0</v>
      </c>
      <c r="AL79" s="1"/>
      <c r="AM79" s="352"/>
      <c r="AN79"/>
    </row>
    <row r="80" spans="1:40" s="462" customFormat="1" x14ac:dyDescent="0.35">
      <c r="A80" s="9168"/>
      <c r="B80" s="6082"/>
      <c r="C80"/>
      <c r="D80" s="110" t="s">
        <v>979</v>
      </c>
      <c r="E80" s="1"/>
      <c r="F80" s="1"/>
      <c r="G80" s="349">
        <f>G68</f>
        <v>0</v>
      </c>
      <c r="H80" s="350"/>
      <c r="I80" s="351">
        <f>I68</f>
        <v>0</v>
      </c>
      <c r="J80" s="352">
        <f>J68</f>
        <v>0</v>
      </c>
      <c r="K80" s="246"/>
      <c r="L80" s="350"/>
      <c r="M80" s="351">
        <f>M68</f>
        <v>0</v>
      </c>
      <c r="N80" s="353">
        <f>N68</f>
        <v>0</v>
      </c>
      <c r="O80" s="1"/>
      <c r="P80" s="351">
        <f>P68</f>
        <v>0</v>
      </c>
      <c r="Q80" s="353">
        <f>Q68</f>
        <v>0</v>
      </c>
      <c r="R80" s="1"/>
      <c r="S80" s="351">
        <f>S68</f>
        <v>0</v>
      </c>
      <c r="T80" s="353">
        <f>T68</f>
        <v>0</v>
      </c>
      <c r="U80" s="1"/>
      <c r="V80" s="351">
        <f>V68</f>
        <v>0</v>
      </c>
      <c r="W80" s="353">
        <f>W68</f>
        <v>0</v>
      </c>
      <c r="X80" s="1"/>
      <c r="Y80" s="351">
        <f>Y68</f>
        <v>0</v>
      </c>
      <c r="Z80" s="353">
        <f>Z68</f>
        <v>0</v>
      </c>
      <c r="AA80" s="352"/>
      <c r="AB80" s="351">
        <f>AB68</f>
        <v>0</v>
      </c>
      <c r="AC80" s="353">
        <f>AC68</f>
        <v>0</v>
      </c>
      <c r="AD80" s="1"/>
      <c r="AE80" s="1"/>
      <c r="AF80" s="351">
        <f>AF68</f>
        <v>0</v>
      </c>
      <c r="AG80" s="353">
        <f>AG68</f>
        <v>0</v>
      </c>
      <c r="AH80" s="352"/>
      <c r="AI80" s="352"/>
      <c r="AJ80" s="351">
        <f>AJ68</f>
        <v>0</v>
      </c>
      <c r="AK80" s="353">
        <f>AK68</f>
        <v>0</v>
      </c>
      <c r="AL80" s="1"/>
      <c r="AM80" s="352"/>
      <c r="AN80" s="352"/>
    </row>
    <row r="81" spans="1:40" s="462" customFormat="1" x14ac:dyDescent="0.35">
      <c r="A81" s="9168"/>
      <c r="B81" s="6082"/>
      <c r="C81"/>
      <c r="D81" s="356" t="s">
        <v>992</v>
      </c>
      <c r="E81" s="143"/>
      <c r="F81" s="143"/>
      <c r="G81" s="357">
        <f>SUM(G77:G80)</f>
        <v>0</v>
      </c>
      <c r="H81" s="358"/>
      <c r="I81" s="359">
        <f t="shared" ref="I81:J81" si="61">SUM(I77:I80)</f>
        <v>15621697.138970772</v>
      </c>
      <c r="J81" s="360">
        <f t="shared" si="61"/>
        <v>0</v>
      </c>
      <c r="K81" s="361"/>
      <c r="L81" s="358"/>
      <c r="M81" s="359">
        <f t="shared" ref="M81:N81" si="62">SUM(M77:M80)</f>
        <v>15506640</v>
      </c>
      <c r="N81" s="362">
        <f t="shared" si="62"/>
        <v>0</v>
      </c>
      <c r="O81" s="143"/>
      <c r="P81" s="359">
        <f t="shared" ref="P81:Q81" si="63">SUM(P77:P80)</f>
        <v>18158305.583259799</v>
      </c>
      <c r="Q81" s="362">
        <f t="shared" si="63"/>
        <v>0</v>
      </c>
      <c r="R81" s="143"/>
      <c r="S81" s="359">
        <f t="shared" ref="S81:T81" si="64">SUM(S77:S80)</f>
        <v>0</v>
      </c>
      <c r="T81" s="362">
        <f t="shared" si="64"/>
        <v>0</v>
      </c>
      <c r="U81" s="143"/>
      <c r="V81" s="359">
        <f t="shared" ref="V81:W81" si="65">SUM(V77:V80)</f>
        <v>18330063.07014031</v>
      </c>
      <c r="W81" s="362">
        <f t="shared" si="65"/>
        <v>0</v>
      </c>
      <c r="X81" s="143"/>
      <c r="Y81" s="359">
        <f t="shared" ref="Y81:Z81" si="66">SUM(Y77:Y80)</f>
        <v>19424306.61043191</v>
      </c>
      <c r="Z81" s="362">
        <f t="shared" si="66"/>
        <v>0</v>
      </c>
      <c r="AA81"/>
      <c r="AB81" s="359">
        <f>SUM(AB77:AB80)</f>
        <v>23381488.993741937</v>
      </c>
      <c r="AC81" s="362">
        <f t="shared" ref="AC81" si="67">SUM(AC77:AC80)</f>
        <v>0</v>
      </c>
      <c r="AD81" s="143"/>
      <c r="AE81" s="143"/>
      <c r="AF81" s="359">
        <f>SUM(AF77:AF80)</f>
        <v>24941203.697430436</v>
      </c>
      <c r="AG81" s="362" t="e">
        <f t="shared" ref="AG81" si="68">SUM(AG77:AG80)</f>
        <v>#VALUE!</v>
      </c>
      <c r="AH81" s="360"/>
      <c r="AI81" s="360"/>
      <c r="AJ81" s="359">
        <f>SUM(AJ77:AJ80)</f>
        <v>26927281.044255279</v>
      </c>
      <c r="AK81" s="362">
        <f t="shared" ref="AK81" si="69">SUM(AK77:AK80)</f>
        <v>0</v>
      </c>
      <c r="AL81" s="143"/>
      <c r="AM81" s="360"/>
      <c r="AN81"/>
    </row>
    <row r="82" spans="1:40" s="462" customFormat="1" ht="15.5" x14ac:dyDescent="0.35">
      <c r="A82" s="9168"/>
      <c r="B82" s="6082"/>
      <c r="C82"/>
      <c r="D82" s="365" t="s">
        <v>993</v>
      </c>
      <c r="E82" s="1"/>
      <c r="F82" s="1"/>
      <c r="G82" s="366" t="e">
        <f>G81/(G16+G17)</f>
        <v>#DIV/0!</v>
      </c>
      <c r="H82" s="367"/>
      <c r="I82" s="368">
        <f>I81/(I16+I17)</f>
        <v>0.15792557928680218</v>
      </c>
      <c r="J82" s="369" t="e">
        <f>J81/(J16+J17)</f>
        <v>#DIV/0!</v>
      </c>
      <c r="K82" s="370"/>
      <c r="L82" s="367"/>
      <c r="M82" s="368">
        <f>M81/(M16+M17)</f>
        <v>0.15306567247248526</v>
      </c>
      <c r="N82" s="370" t="e">
        <f>N81/(N16+N17)</f>
        <v>#DIV/0!</v>
      </c>
      <c r="O82" s="1"/>
      <c r="P82" s="368">
        <f>P81/(P16+P17)</f>
        <v>0.16798050829150712</v>
      </c>
      <c r="Q82" s="370" t="e">
        <f>Q81/(Q16+Q17)</f>
        <v>#DIV/0!</v>
      </c>
      <c r="R82" s="1"/>
      <c r="S82" s="368">
        <f>S81/(S16+S17)</f>
        <v>0</v>
      </c>
      <c r="T82" s="370" t="e">
        <f>T81/(T16+T17)</f>
        <v>#DIV/0!</v>
      </c>
      <c r="U82" s="1"/>
      <c r="V82" s="368">
        <f>V81/(V16+V17)</f>
        <v>0.17543772586228121</v>
      </c>
      <c r="W82" s="370" t="e">
        <f>W81/(W16+W17)</f>
        <v>#DIV/0!</v>
      </c>
      <c r="X82" s="1"/>
      <c r="Y82" s="368">
        <f>Y81/(Y16+Y17)</f>
        <v>0.1827681281845252</v>
      </c>
      <c r="Z82" s="370" t="e">
        <f>Z81/(Z16+Z17)</f>
        <v>#DIV/0!</v>
      </c>
      <c r="AA82"/>
      <c r="AB82" s="368">
        <f>AB81/(AB16+AB17)</f>
        <v>0.22000224065955837</v>
      </c>
      <c r="AC82" s="370" t="e">
        <f>AC81/(AC16+AC17)</f>
        <v>#DIV/0!</v>
      </c>
      <c r="AD82" s="1"/>
      <c r="AE82" s="1"/>
      <c r="AF82" s="368">
        <f>AF81/(AF16+AF17)</f>
        <v>0.21355894725032995</v>
      </c>
      <c r="AG82" s="370" t="e">
        <f>AG81/(AG16+AG17)</f>
        <v>#VALUE!</v>
      </c>
      <c r="AH82" s="369"/>
      <c r="AI82" s="369"/>
      <c r="AJ82" s="368">
        <f>AJ81/(AJ16+AJ17)</f>
        <v>0.22051402763357661</v>
      </c>
      <c r="AK82" s="370" t="e">
        <f>AK81/(AK16+AK17)</f>
        <v>#DIV/0!</v>
      </c>
      <c r="AL82" s="1"/>
      <c r="AM82" s="369"/>
      <c r="AN82"/>
    </row>
    <row r="83" spans="1:40" s="462" customFormat="1" x14ac:dyDescent="0.35">
      <c r="A83" s="9168"/>
      <c r="B83" s="371"/>
      <c r="C83" s="372"/>
      <c r="D83" s="296" t="s">
        <v>997</v>
      </c>
      <c r="E83" s="374"/>
      <c r="F83" s="374"/>
      <c r="G83" s="375" t="e">
        <f>G81/G12</f>
        <v>#DIV/0!</v>
      </c>
      <c r="H83" s="376"/>
      <c r="I83" s="377">
        <f>I81/I12</f>
        <v>0.19251851235306836</v>
      </c>
      <c r="J83" s="378" t="e">
        <f>J81/J12</f>
        <v>#DIV/0!</v>
      </c>
      <c r="K83" s="379"/>
      <c r="L83" s="376"/>
      <c r="M83" s="380">
        <f>M81/M12</f>
        <v>0.17918803575297418</v>
      </c>
      <c r="N83" s="379" t="e">
        <f>N81/N12</f>
        <v>#DIV/0!</v>
      </c>
      <c r="O83" s="1"/>
      <c r="P83" s="380">
        <f>P81/P12</f>
        <v>0.18558666309542327</v>
      </c>
      <c r="Q83" s="379" t="e">
        <f>Q81/Q12</f>
        <v>#DIV/0!</v>
      </c>
      <c r="R83" s="1"/>
      <c r="S83" s="380">
        <f>S81/S12</f>
        <v>0</v>
      </c>
      <c r="T83" s="379" t="e">
        <f>T81/T12</f>
        <v>#DIV/0!</v>
      </c>
      <c r="U83" s="1"/>
      <c r="V83" s="380">
        <f>V81/V12</f>
        <v>0.17425504934723751</v>
      </c>
      <c r="W83" s="379" t="e">
        <f>W81/W12</f>
        <v>#DIV/0!</v>
      </c>
      <c r="X83" s="1"/>
      <c r="Y83" s="380">
        <f>Y81/Y12</f>
        <v>0.18099765921308233</v>
      </c>
      <c r="Z83" s="379" t="e">
        <f>Z81/Z12</f>
        <v>#DIV/0!</v>
      </c>
      <c r="AA83"/>
      <c r="AB83" s="380">
        <f>AB81/AB12</f>
        <v>0.21787108603974192</v>
      </c>
      <c r="AC83" s="379" t="e">
        <f>AC81/AC12</f>
        <v>#DIV/0!</v>
      </c>
      <c r="AD83" s="1"/>
      <c r="AE83" s="1"/>
      <c r="AF83" s="380">
        <f>AF81/AF12</f>
        <v>0.22249859372715239</v>
      </c>
      <c r="AG83" s="379" t="e">
        <f>AG81/AG12</f>
        <v>#VALUE!</v>
      </c>
      <c r="AH83" s="3191"/>
      <c r="AI83" s="3191"/>
      <c r="AJ83" s="380">
        <f>AJ81/AJ12</f>
        <v>0.20960886161823186</v>
      </c>
      <c r="AK83" s="379" t="e">
        <f>AK81/AK11</f>
        <v>#VALUE!</v>
      </c>
      <c r="AL83" s="1"/>
      <c r="AM83" s="3191"/>
      <c r="AN83"/>
    </row>
    <row r="84" spans="1:40" s="462" customFormat="1" x14ac:dyDescent="0.35">
      <c r="A84" s="9168"/>
      <c r="B84" s="58"/>
      <c r="C84" s="390"/>
      <c r="D84" s="1736"/>
      <c r="E84" s="392"/>
      <c r="F84" s="392"/>
      <c r="G84" s="393"/>
      <c r="H84" s="392"/>
      <c r="I84" s="394"/>
      <c r="J84" s="395"/>
      <c r="K84" s="229"/>
      <c r="L84" s="392"/>
      <c r="M84" s="396"/>
      <c r="N84" s="229"/>
      <c r="O84" s="1"/>
      <c r="P84" s="396"/>
      <c r="Q84" s="229"/>
      <c r="R84" s="1"/>
      <c r="S84" s="396"/>
      <c r="T84" s="229"/>
      <c r="U84" s="1"/>
      <c r="V84" s="396"/>
      <c r="W84" s="229"/>
      <c r="X84" s="1"/>
      <c r="Y84" s="396"/>
      <c r="Z84" s="229"/>
      <c r="AA84"/>
      <c r="AB84" s="396"/>
      <c r="AC84" s="229"/>
      <c r="AD84" s="1"/>
      <c r="AE84" s="1"/>
      <c r="AF84" s="396"/>
      <c r="AG84" s="229"/>
      <c r="AH84"/>
      <c r="AI84"/>
      <c r="AJ84" s="396"/>
      <c r="AK84" s="229"/>
      <c r="AL84" s="1"/>
      <c r="AM84"/>
      <c r="AN84"/>
    </row>
    <row r="85" spans="1:40" s="462" customFormat="1" x14ac:dyDescent="0.35">
      <c r="A85" s="9168"/>
      <c r="B85" s="58"/>
      <c r="C85" s="390"/>
      <c r="D85" s="1758" t="s">
        <v>2065</v>
      </c>
      <c r="E85" s="424"/>
      <c r="F85" s="424"/>
      <c r="G85" s="425">
        <f>G81-SUM(G71:G74)</f>
        <v>0</v>
      </c>
      <c r="H85" s="426"/>
      <c r="I85" s="427">
        <f>I81-SUM(I71:I74)</f>
        <v>13924805.138970772</v>
      </c>
      <c r="J85" s="428">
        <f>J81-SUM(J71:J74)</f>
        <v>0</v>
      </c>
      <c r="K85" s="429"/>
      <c r="L85" s="426"/>
      <c r="M85" s="430">
        <f>M81-SUM(M71:M74)</f>
        <v>14521760</v>
      </c>
      <c r="N85" s="431">
        <f>N81-SUM(N71:N74)</f>
        <v>0</v>
      </c>
      <c r="O85" s="1"/>
      <c r="P85" s="430">
        <f>P81-SUM(P71:P74)</f>
        <v>17667364.583259799</v>
      </c>
      <c r="Q85" s="431">
        <f>Q81-SUM(Q71:Q74)</f>
        <v>0</v>
      </c>
      <c r="R85" s="1"/>
      <c r="S85" s="430"/>
      <c r="T85" s="431"/>
      <c r="U85" s="1"/>
      <c r="V85" s="430"/>
      <c r="W85" s="431"/>
      <c r="X85" s="1"/>
      <c r="Y85" s="430"/>
      <c r="Z85" s="431"/>
      <c r="AA85"/>
      <c r="AB85" s="430"/>
      <c r="AC85" s="431"/>
      <c r="AD85" s="1"/>
      <c r="AE85" s="1"/>
      <c r="AF85" s="6637"/>
      <c r="AG85" s="6638"/>
      <c r="AH85" s="6639"/>
      <c r="AI85" s="6639"/>
      <c r="AJ85" s="430"/>
      <c r="AK85" s="431"/>
      <c r="AL85" s="1"/>
      <c r="AM85" s="6639"/>
      <c r="AN85"/>
    </row>
    <row r="86" spans="1:40" s="462" customFormat="1" x14ac:dyDescent="0.35">
      <c r="A86" s="9169"/>
      <c r="B86" s="85"/>
      <c r="C86" s="432"/>
      <c r="D86" s="86" t="s">
        <v>2066</v>
      </c>
      <c r="E86" s="274"/>
      <c r="F86" s="274"/>
      <c r="G86" s="434" t="e">
        <f>G85/G12</f>
        <v>#DIV/0!</v>
      </c>
      <c r="H86" s="435"/>
      <c r="I86" s="436">
        <f>I85/I12</f>
        <v>0.17160637197820083</v>
      </c>
      <c r="J86" s="437" t="e">
        <f>J85/J12</f>
        <v>#DIV/0!</v>
      </c>
      <c r="K86" s="438"/>
      <c r="L86" s="435"/>
      <c r="M86" s="439">
        <f>M85/M12</f>
        <v>0.16780718776447445</v>
      </c>
      <c r="N86" s="440" t="e">
        <f>N85/N12</f>
        <v>#DIV/0!</v>
      </c>
      <c r="O86" s="1"/>
      <c r="P86" s="439">
        <f>P85/P12</f>
        <v>0.18056900869210013</v>
      </c>
      <c r="Q86" s="440" t="e">
        <f>Q85/Q12</f>
        <v>#DIV/0!</v>
      </c>
      <c r="R86" s="1"/>
      <c r="S86" s="439"/>
      <c r="T86" s="440"/>
      <c r="U86" s="1"/>
      <c r="V86" s="439"/>
      <c r="W86" s="440"/>
      <c r="X86" s="1"/>
      <c r="Y86" s="439"/>
      <c r="Z86" s="440"/>
      <c r="AA86"/>
      <c r="AB86" s="439"/>
      <c r="AC86" s="440"/>
      <c r="AD86" s="1"/>
      <c r="AE86" s="1"/>
      <c r="AF86" s="6640"/>
      <c r="AG86" s="8383"/>
      <c r="AH86" s="3191"/>
      <c r="AI86" s="3191"/>
      <c r="AJ86" s="439"/>
      <c r="AK86" s="440"/>
      <c r="AL86" s="1"/>
      <c r="AM86" s="3191"/>
      <c r="AN86"/>
    </row>
    <row r="87" spans="1:40" s="462" customFormat="1" ht="12" x14ac:dyDescent="0.3">
      <c r="C87" s="456"/>
      <c r="D87" s="5"/>
      <c r="E87" s="456"/>
      <c r="F87" s="456"/>
      <c r="G87" s="456"/>
      <c r="H87" s="456"/>
      <c r="I87" s="459"/>
      <c r="J87" s="459"/>
      <c r="K87" s="7"/>
      <c r="L87" s="456"/>
      <c r="O87" s="456"/>
      <c r="R87" s="456"/>
      <c r="U87" s="456"/>
      <c r="X87" s="456"/>
      <c r="AD87" s="456"/>
      <c r="AE87" s="456"/>
      <c r="AL87" s="456"/>
    </row>
    <row r="88" spans="1:40" s="462" customFormat="1" ht="12" x14ac:dyDescent="0.3">
      <c r="A88" s="576" t="s">
        <v>582</v>
      </c>
      <c r="B88" s="576"/>
      <c r="C88" s="456"/>
      <c r="D88" s="5"/>
      <c r="E88" s="456"/>
      <c r="F88" s="456"/>
      <c r="G88" s="456"/>
      <c r="H88" s="456"/>
      <c r="I88" s="459"/>
      <c r="J88" s="459"/>
      <c r="K88" s="7"/>
      <c r="L88" s="456"/>
      <c r="O88" s="456"/>
      <c r="R88" s="456"/>
      <c r="U88" s="456"/>
      <c r="X88" s="456"/>
      <c r="AD88" s="456"/>
      <c r="AE88" s="456"/>
      <c r="AL88" s="456"/>
    </row>
    <row r="89" spans="1:40" s="462" customFormat="1" ht="12" x14ac:dyDescent="0.3">
      <c r="A89" s="463">
        <v>1</v>
      </c>
      <c r="B89" s="464"/>
      <c r="D89" s="465"/>
      <c r="E89" s="466"/>
      <c r="F89" s="466"/>
      <c r="G89" s="466"/>
      <c r="H89" s="466"/>
      <c r="I89" s="466"/>
      <c r="J89" s="466"/>
      <c r="K89" s="467"/>
      <c r="L89" s="466"/>
      <c r="M89" s="466"/>
      <c r="N89" s="466"/>
      <c r="O89" s="456"/>
      <c r="P89" s="466"/>
      <c r="Q89" s="466"/>
      <c r="R89" s="456"/>
      <c r="S89" s="466"/>
      <c r="T89" s="466"/>
      <c r="U89" s="456"/>
      <c r="V89" s="466"/>
      <c r="W89" s="466"/>
      <c r="X89" s="456"/>
      <c r="Y89" s="466"/>
      <c r="Z89" s="466"/>
      <c r="AA89" s="577"/>
      <c r="AB89" s="466"/>
      <c r="AC89" s="466"/>
      <c r="AD89" s="456"/>
      <c r="AE89" s="456"/>
      <c r="AF89" s="466"/>
      <c r="AG89" s="466"/>
      <c r="AH89" s="466"/>
      <c r="AI89" s="466"/>
      <c r="AJ89" s="466"/>
      <c r="AK89" s="466"/>
      <c r="AL89" s="456"/>
      <c r="AM89" s="466"/>
      <c r="AN89" s="577"/>
    </row>
    <row r="90" spans="1:40" s="462" customFormat="1" ht="12" x14ac:dyDescent="0.3">
      <c r="A90" s="468">
        <v>2</v>
      </c>
      <c r="B90" s="469"/>
      <c r="D90" s="5"/>
      <c r="E90" s="456"/>
      <c r="F90" s="456"/>
      <c r="G90" s="456"/>
      <c r="H90" s="456"/>
      <c r="I90" s="459"/>
      <c r="J90" s="459"/>
      <c r="K90" s="7"/>
      <c r="L90" s="456"/>
      <c r="O90" s="456"/>
      <c r="R90" s="456"/>
      <c r="U90" s="456"/>
      <c r="X90" s="456"/>
      <c r="AA90" s="577"/>
      <c r="AD90" s="456"/>
      <c r="AE90" s="456"/>
      <c r="AL90" s="456"/>
      <c r="AN90" s="577"/>
    </row>
    <row r="91" spans="1:40" s="462" customFormat="1" ht="12" x14ac:dyDescent="0.3">
      <c r="A91" s="468"/>
      <c r="B91" s="469"/>
      <c r="D91" s="5"/>
      <c r="E91" s="456"/>
      <c r="F91" s="456"/>
      <c r="G91" s="456"/>
      <c r="H91" s="456"/>
      <c r="I91" s="459"/>
      <c r="J91" s="459"/>
      <c r="K91" s="7"/>
      <c r="L91" s="456"/>
      <c r="O91" s="456"/>
      <c r="R91" s="456"/>
      <c r="U91" s="456"/>
      <c r="X91" s="456"/>
      <c r="AA91" s="577"/>
      <c r="AD91" s="456"/>
      <c r="AE91" s="456"/>
      <c r="AL91" s="456"/>
      <c r="AN91" s="577"/>
    </row>
    <row r="92" spans="1:40" s="462" customFormat="1" ht="93" customHeight="1" x14ac:dyDescent="0.3">
      <c r="A92" s="468"/>
      <c r="B92" s="469"/>
      <c r="D92" s="5"/>
      <c r="E92" s="456"/>
      <c r="F92" s="456"/>
      <c r="G92" s="456"/>
      <c r="H92" s="456"/>
      <c r="I92" s="459"/>
      <c r="J92" s="459"/>
      <c r="K92" s="7"/>
      <c r="L92" s="456"/>
      <c r="O92" s="456"/>
      <c r="R92" s="456"/>
      <c r="U92" s="456"/>
      <c r="X92" s="456"/>
      <c r="AA92" s="577"/>
      <c r="AD92" s="456"/>
      <c r="AE92" s="456"/>
      <c r="AL92" s="456"/>
      <c r="AN92" s="577"/>
    </row>
    <row r="93" spans="1:40" x14ac:dyDescent="0.35">
      <c r="A93" s="468"/>
      <c r="B93" s="469"/>
      <c r="C93" s="462"/>
      <c r="E93" s="456"/>
      <c r="F93" s="456"/>
      <c r="G93" s="456"/>
      <c r="H93" s="456"/>
      <c r="I93" s="459"/>
      <c r="J93" s="459"/>
      <c r="L93" s="456"/>
      <c r="M93" s="462"/>
      <c r="N93" s="462"/>
      <c r="O93" s="456"/>
      <c r="P93" s="462"/>
      <c r="Q93" s="462"/>
      <c r="R93" s="456"/>
      <c r="S93" s="462"/>
      <c r="T93" s="462"/>
      <c r="U93" s="456"/>
      <c r="V93" s="462"/>
      <c r="W93" s="462"/>
      <c r="X93" s="456"/>
      <c r="Y93" s="462"/>
      <c r="Z93" s="462"/>
      <c r="AA93" s="577"/>
      <c r="AB93" s="462"/>
      <c r="AC93" s="462"/>
      <c r="AD93" s="456"/>
      <c r="AE93" s="456"/>
      <c r="AF93" s="462"/>
      <c r="AG93" s="462"/>
      <c r="AH93" s="462"/>
      <c r="AI93" s="462"/>
      <c r="AJ93" s="462"/>
      <c r="AK93" s="462"/>
      <c r="AL93" s="456"/>
      <c r="AM93" s="462"/>
      <c r="AN93" s="577"/>
    </row>
    <row r="94" spans="1:40" x14ac:dyDescent="0.35">
      <c r="A94" s="468"/>
      <c r="B94" s="469"/>
      <c r="C94" s="462"/>
      <c r="E94" s="456"/>
      <c r="F94" s="456"/>
      <c r="G94" s="456"/>
      <c r="H94" s="456"/>
      <c r="I94" s="459"/>
      <c r="J94" s="459"/>
      <c r="L94" s="456"/>
      <c r="M94" s="462"/>
      <c r="N94" s="462"/>
      <c r="O94" s="456"/>
      <c r="P94" s="462"/>
      <c r="Q94" s="462"/>
      <c r="R94" s="456"/>
      <c r="S94" s="462"/>
      <c r="T94" s="462"/>
      <c r="U94" s="456"/>
      <c r="V94" s="462"/>
      <c r="W94" s="462"/>
      <c r="X94" s="456"/>
      <c r="Y94" s="462"/>
      <c r="Z94" s="462"/>
      <c r="AA94" s="577"/>
      <c r="AB94" s="462"/>
      <c r="AC94" s="462"/>
      <c r="AD94" s="456"/>
      <c r="AE94" s="456"/>
      <c r="AF94" s="462"/>
      <c r="AG94" s="462"/>
      <c r="AH94" s="462"/>
      <c r="AI94" s="462"/>
      <c r="AJ94" s="462"/>
      <c r="AK94" s="462"/>
      <c r="AL94" s="456"/>
      <c r="AM94" s="462"/>
      <c r="AN94" s="577"/>
    </row>
    <row r="95" spans="1:40" x14ac:dyDescent="0.35">
      <c r="A95" s="468"/>
      <c r="B95" s="469"/>
      <c r="C95" s="462"/>
      <c r="E95" s="456"/>
      <c r="F95" s="456"/>
      <c r="G95" s="456"/>
      <c r="H95" s="456"/>
      <c r="I95" s="459"/>
      <c r="J95" s="459"/>
      <c r="L95" s="456"/>
      <c r="M95" s="462"/>
      <c r="N95" s="462"/>
      <c r="O95" s="456"/>
      <c r="P95" s="462"/>
      <c r="Q95" s="462"/>
      <c r="R95" s="456"/>
      <c r="S95" s="462"/>
      <c r="T95" s="462"/>
      <c r="U95" s="456"/>
      <c r="V95" s="462"/>
      <c r="W95" s="462"/>
      <c r="X95" s="456"/>
      <c r="Y95" s="462"/>
      <c r="Z95" s="462"/>
      <c r="AA95" s="577"/>
      <c r="AB95" s="462"/>
      <c r="AC95" s="462"/>
      <c r="AD95" s="456"/>
      <c r="AE95" s="456"/>
      <c r="AF95" s="462"/>
      <c r="AG95" s="462"/>
      <c r="AH95" s="462"/>
      <c r="AI95" s="462"/>
      <c r="AJ95" s="462"/>
      <c r="AK95" s="462"/>
      <c r="AL95" s="456"/>
      <c r="AM95" s="462"/>
      <c r="AN95" s="577"/>
    </row>
    <row r="96" spans="1:40" x14ac:dyDescent="0.35">
      <c r="A96" s="468"/>
      <c r="B96" s="469"/>
      <c r="C96" s="462"/>
      <c r="E96" s="456"/>
      <c r="F96" s="456"/>
      <c r="G96" s="456"/>
      <c r="H96" s="456"/>
      <c r="I96" s="459"/>
      <c r="J96" s="459"/>
      <c r="L96" s="456"/>
      <c r="M96" s="462"/>
      <c r="N96" s="462"/>
      <c r="O96" s="456"/>
      <c r="P96" s="462"/>
      <c r="Q96" s="462"/>
      <c r="R96" s="456"/>
      <c r="S96" s="462"/>
      <c r="T96" s="462"/>
      <c r="U96" s="456"/>
      <c r="V96" s="462"/>
      <c r="W96" s="462"/>
      <c r="X96" s="456"/>
      <c r="Y96" s="462"/>
      <c r="Z96" s="462"/>
      <c r="AA96" s="577"/>
      <c r="AB96" s="462"/>
      <c r="AC96" s="462"/>
      <c r="AD96" s="456"/>
      <c r="AE96" s="456"/>
      <c r="AF96" s="462"/>
      <c r="AG96" s="462"/>
      <c r="AH96" s="462"/>
      <c r="AI96" s="462"/>
      <c r="AJ96" s="462"/>
      <c r="AK96" s="462"/>
      <c r="AL96" s="456"/>
      <c r="AM96" s="462"/>
      <c r="AN96" s="577"/>
    </row>
    <row r="97" spans="1:40" x14ac:dyDescent="0.35">
      <c r="A97" s="468"/>
      <c r="B97" s="469"/>
      <c r="C97" s="462"/>
      <c r="E97" s="456"/>
      <c r="F97" s="456"/>
      <c r="G97" s="456"/>
      <c r="H97" s="456"/>
      <c r="I97" s="459"/>
      <c r="J97" s="459"/>
      <c r="L97" s="456"/>
      <c r="M97" s="462"/>
      <c r="N97" s="462"/>
      <c r="O97" s="456"/>
      <c r="P97" s="462"/>
      <c r="Q97" s="462"/>
      <c r="R97" s="456"/>
      <c r="S97" s="462"/>
      <c r="T97" s="462"/>
      <c r="U97" s="456"/>
      <c r="V97" s="462"/>
      <c r="W97" s="462"/>
      <c r="X97" s="456"/>
      <c r="Y97" s="462"/>
      <c r="Z97" s="462"/>
      <c r="AA97" s="577"/>
      <c r="AB97" s="462"/>
      <c r="AC97" s="462"/>
      <c r="AD97" s="456"/>
      <c r="AE97" s="456"/>
      <c r="AF97" s="462"/>
      <c r="AG97" s="462"/>
      <c r="AH97" s="462"/>
      <c r="AI97" s="462"/>
      <c r="AJ97" s="462"/>
      <c r="AK97" s="462"/>
      <c r="AL97" s="456"/>
      <c r="AM97" s="462"/>
      <c r="AN97" s="577"/>
    </row>
    <row r="98" spans="1:40" x14ac:dyDescent="0.35">
      <c r="A98" s="468"/>
      <c r="B98" s="469"/>
      <c r="C98" s="462"/>
      <c r="E98" s="456"/>
      <c r="F98" s="456"/>
      <c r="G98" s="456"/>
      <c r="H98" s="456"/>
      <c r="I98" s="459"/>
      <c r="J98" s="459"/>
      <c r="L98" s="456"/>
      <c r="M98" s="462"/>
      <c r="N98" s="462"/>
      <c r="O98" s="456"/>
      <c r="P98" s="462"/>
      <c r="Q98" s="462"/>
      <c r="R98" s="456"/>
      <c r="S98" s="462"/>
      <c r="T98" s="462"/>
      <c r="U98" s="456"/>
      <c r="V98" s="462"/>
      <c r="W98" s="462"/>
      <c r="X98" s="456"/>
      <c r="Y98" s="462"/>
      <c r="Z98" s="462"/>
      <c r="AA98" s="577"/>
      <c r="AB98" s="462"/>
      <c r="AC98" s="462"/>
      <c r="AD98" s="456"/>
      <c r="AE98" s="456"/>
      <c r="AF98" s="462"/>
      <c r="AG98" s="462"/>
      <c r="AH98" s="462"/>
      <c r="AI98" s="462"/>
      <c r="AJ98" s="462"/>
      <c r="AK98" s="462"/>
      <c r="AL98" s="456"/>
      <c r="AM98" s="462"/>
      <c r="AN98" s="577"/>
    </row>
    <row r="99" spans="1:40" x14ac:dyDescent="0.35">
      <c r="A99" s="468"/>
      <c r="B99" s="469"/>
      <c r="C99" s="462"/>
      <c r="E99" s="456"/>
      <c r="F99" s="456"/>
      <c r="G99" s="456"/>
      <c r="H99" s="456"/>
      <c r="I99" s="459"/>
      <c r="J99" s="459"/>
      <c r="L99" s="456"/>
      <c r="M99" s="462"/>
      <c r="N99" s="462"/>
      <c r="O99" s="456"/>
      <c r="P99" s="462"/>
      <c r="Q99" s="462"/>
      <c r="R99" s="456"/>
      <c r="S99" s="462"/>
      <c r="T99" s="462"/>
      <c r="U99" s="456"/>
      <c r="V99" s="462"/>
      <c r="W99" s="462"/>
      <c r="X99" s="456"/>
      <c r="Y99" s="462"/>
      <c r="Z99" s="462"/>
      <c r="AA99" s="577"/>
      <c r="AB99" s="462"/>
      <c r="AC99" s="462"/>
      <c r="AD99" s="456"/>
      <c r="AE99" s="456"/>
      <c r="AF99" s="462"/>
      <c r="AG99" s="462"/>
      <c r="AH99" s="462"/>
      <c r="AI99" s="462"/>
      <c r="AJ99" s="462"/>
      <c r="AK99" s="462"/>
      <c r="AL99" s="456"/>
      <c r="AM99" s="462"/>
      <c r="AN99" s="577"/>
    </row>
    <row r="100" spans="1:40" x14ac:dyDescent="0.35">
      <c r="A100" s="468"/>
      <c r="B100" s="469"/>
      <c r="C100" s="462"/>
      <c r="E100" s="456"/>
      <c r="F100" s="456"/>
      <c r="G100" s="456"/>
      <c r="H100" s="456"/>
      <c r="I100" s="459"/>
      <c r="J100" s="459"/>
      <c r="L100" s="456"/>
      <c r="M100" s="462"/>
      <c r="N100" s="462"/>
      <c r="O100" s="456"/>
      <c r="P100" s="462"/>
      <c r="Q100" s="462"/>
      <c r="R100" s="456"/>
      <c r="S100" s="462"/>
      <c r="T100" s="462"/>
      <c r="U100" s="456"/>
      <c r="V100" s="462"/>
      <c r="W100" s="462"/>
      <c r="X100" s="456"/>
      <c r="Y100" s="462"/>
      <c r="Z100" s="462"/>
      <c r="AA100" s="577"/>
      <c r="AB100" s="462"/>
      <c r="AC100" s="462"/>
      <c r="AD100" s="456"/>
      <c r="AE100" s="456"/>
      <c r="AF100" s="462"/>
      <c r="AG100" s="462"/>
      <c r="AH100" s="462"/>
      <c r="AI100" s="462"/>
      <c r="AJ100" s="462"/>
      <c r="AK100" s="462"/>
      <c r="AL100" s="456"/>
      <c r="AM100" s="462"/>
      <c r="AN100" s="577"/>
    </row>
    <row r="101" spans="1:40" x14ac:dyDescent="0.35">
      <c r="A101" s="468"/>
      <c r="B101" s="469"/>
      <c r="C101" s="462"/>
      <c r="E101" s="456"/>
      <c r="F101" s="456"/>
      <c r="G101" s="456"/>
      <c r="H101" s="456"/>
      <c r="I101" s="459"/>
      <c r="J101" s="459"/>
      <c r="L101" s="456"/>
      <c r="M101" s="462"/>
      <c r="N101" s="462"/>
      <c r="O101" s="456"/>
      <c r="P101" s="462"/>
      <c r="Q101" s="462"/>
      <c r="R101" s="456"/>
      <c r="S101" s="462"/>
      <c r="T101" s="462"/>
      <c r="U101" s="456"/>
      <c r="V101" s="462"/>
      <c r="W101" s="462"/>
      <c r="X101" s="456"/>
      <c r="Y101" s="462"/>
      <c r="Z101" s="462"/>
      <c r="AA101" s="577"/>
      <c r="AB101" s="462"/>
      <c r="AC101" s="462"/>
      <c r="AD101" s="456"/>
      <c r="AE101" s="456"/>
      <c r="AF101" s="462"/>
      <c r="AG101" s="462"/>
      <c r="AH101" s="462"/>
      <c r="AI101" s="462"/>
      <c r="AJ101" s="462"/>
      <c r="AK101" s="462"/>
      <c r="AL101" s="456"/>
      <c r="AM101" s="462"/>
      <c r="AN101" s="577"/>
    </row>
    <row r="102" spans="1:40" x14ac:dyDescent="0.35">
      <c r="A102" s="468"/>
      <c r="B102" s="469"/>
      <c r="C102" s="462"/>
      <c r="E102" s="456"/>
      <c r="F102" s="456"/>
      <c r="G102" s="456"/>
      <c r="H102" s="456"/>
      <c r="I102" s="459"/>
      <c r="J102" s="459"/>
      <c r="L102" s="456"/>
      <c r="M102" s="462"/>
      <c r="N102" s="462"/>
      <c r="O102" s="456"/>
      <c r="P102" s="462"/>
      <c r="Q102" s="462"/>
      <c r="R102" s="456"/>
      <c r="S102" s="462"/>
      <c r="T102" s="462"/>
      <c r="U102" s="456"/>
      <c r="V102" s="462"/>
      <c r="W102" s="462"/>
      <c r="X102" s="456"/>
      <c r="Y102" s="462"/>
      <c r="Z102" s="462"/>
      <c r="AA102" s="577"/>
      <c r="AB102" s="462"/>
      <c r="AC102" s="462"/>
      <c r="AD102" s="456"/>
      <c r="AE102" s="456"/>
      <c r="AF102" s="462"/>
      <c r="AG102" s="462"/>
      <c r="AH102" s="462"/>
      <c r="AI102" s="462"/>
      <c r="AJ102" s="462"/>
      <c r="AK102" s="462"/>
      <c r="AL102" s="456"/>
      <c r="AM102" s="462"/>
      <c r="AN102" s="577"/>
    </row>
    <row r="103" spans="1:40" x14ac:dyDescent="0.35">
      <c r="A103" s="455" t="s">
        <v>1002</v>
      </c>
      <c r="B103" s="455"/>
      <c r="C103" s="456"/>
      <c r="E103" s="456"/>
      <c r="F103" s="456"/>
      <c r="G103" s="456"/>
      <c r="H103" s="456"/>
      <c r="I103" s="459"/>
      <c r="J103" s="459"/>
      <c r="L103" s="456"/>
      <c r="M103" s="462"/>
      <c r="N103" s="462"/>
      <c r="O103" s="456"/>
      <c r="P103" s="462"/>
      <c r="Q103" s="462"/>
      <c r="R103" s="456"/>
      <c r="S103" s="462"/>
      <c r="T103" s="462"/>
      <c r="U103" s="456"/>
      <c r="V103" s="462"/>
      <c r="W103" s="462"/>
      <c r="X103" s="456"/>
      <c r="Y103" s="462"/>
      <c r="Z103" s="462"/>
      <c r="AA103" s="577"/>
      <c r="AB103" s="462"/>
      <c r="AC103" s="462"/>
      <c r="AD103" s="456"/>
      <c r="AE103" s="456"/>
      <c r="AF103" s="462"/>
      <c r="AG103" s="462"/>
      <c r="AH103" s="462"/>
      <c r="AI103" s="462"/>
      <c r="AJ103" s="462"/>
      <c r="AK103" s="462"/>
      <c r="AL103" s="456"/>
      <c r="AM103" s="462"/>
      <c r="AN103" s="577"/>
    </row>
    <row r="104" spans="1:40" x14ac:dyDescent="0.35">
      <c r="A104" s="9170"/>
      <c r="B104" s="9171"/>
      <c r="C104" s="9171"/>
      <c r="D104" s="9171"/>
      <c r="E104" s="9171"/>
      <c r="F104" s="9171"/>
      <c r="G104" s="9171"/>
      <c r="H104" s="9171"/>
      <c r="I104" s="9171"/>
      <c r="J104" s="9171"/>
      <c r="K104" s="9171"/>
      <c r="L104" s="9171"/>
      <c r="M104" s="9172"/>
      <c r="N104" s="456"/>
      <c r="O104" s="456"/>
      <c r="P104" s="456"/>
      <c r="Q104" s="456"/>
      <c r="R104" s="456"/>
      <c r="S104" s="456"/>
      <c r="T104" s="456"/>
      <c r="U104" s="456"/>
      <c r="V104" s="456"/>
      <c r="W104" s="456"/>
      <c r="X104" s="456"/>
      <c r="Y104" s="456"/>
      <c r="Z104" s="456"/>
      <c r="AA104" s="577"/>
      <c r="AB104" s="456"/>
      <c r="AC104" s="456"/>
      <c r="AD104" s="456"/>
      <c r="AE104" s="456"/>
      <c r="AF104" s="456"/>
      <c r="AG104" s="456"/>
      <c r="AH104" s="456"/>
      <c r="AI104" s="456"/>
      <c r="AJ104" s="456"/>
      <c r="AK104" s="456"/>
      <c r="AL104" s="456"/>
      <c r="AM104" s="456"/>
      <c r="AN104" s="577"/>
    </row>
  </sheetData>
  <mergeCells count="41">
    <mergeCell ref="P7:Q7"/>
    <mergeCell ref="S7:T7"/>
    <mergeCell ref="V7:W7"/>
    <mergeCell ref="AJ7:AK7"/>
    <mergeCell ref="AL7:AL8"/>
    <mergeCell ref="Y7:Z7"/>
    <mergeCell ref="AB7:AC7"/>
    <mergeCell ref="AD7:AD8"/>
    <mergeCell ref="AF7:AG7"/>
    <mergeCell ref="AH7:AH8"/>
    <mergeCell ref="AN4:AN5"/>
    <mergeCell ref="I5:K5"/>
    <mergeCell ref="M5:N5"/>
    <mergeCell ref="P5:Q5"/>
    <mergeCell ref="S5:T5"/>
    <mergeCell ref="V5:W5"/>
    <mergeCell ref="Y5:Z5"/>
    <mergeCell ref="AB5:AD5"/>
    <mergeCell ref="AF5:AH5"/>
    <mergeCell ref="AJ5:AL5"/>
    <mergeCell ref="AJ2:AL2"/>
    <mergeCell ref="I4:K4"/>
    <mergeCell ref="M4:N4"/>
    <mergeCell ref="P4:Q4"/>
    <mergeCell ref="S4:T4"/>
    <mergeCell ref="V4:W4"/>
    <mergeCell ref="Y4:Z4"/>
    <mergeCell ref="AA4:AA5"/>
    <mergeCell ref="AB4:AD4"/>
    <mergeCell ref="AF4:AH4"/>
    <mergeCell ref="AJ4:AL4"/>
    <mergeCell ref="P2:T2"/>
    <mergeCell ref="V2:Z2"/>
    <mergeCell ref="AB2:AH2"/>
    <mergeCell ref="A104:M104"/>
    <mergeCell ref="A28:A74"/>
    <mergeCell ref="A10:A26"/>
    <mergeCell ref="A76:A86"/>
    <mergeCell ref="I7:J7"/>
    <mergeCell ref="K7:K8"/>
    <mergeCell ref="M7:N7"/>
  </mergeCells>
  <hyperlinks>
    <hyperlink ref="AA10" r:id="rId1" xr:uid="{91CB6949-C021-407D-9C3F-4C129F2939FD}"/>
    <hyperlink ref="AN46" r:id="rId2" xr:uid="{0AB36410-FA21-45F6-A55B-774A0B7873E4}"/>
    <hyperlink ref="AK39" r:id="rId3" xr:uid="{C6FD8275-F0E1-46D5-9250-5D7C5D971EF5}"/>
    <hyperlink ref="AK38" r:id="rId4" xr:uid="{F23B4301-2545-4EBA-9B45-FD55AD52841E}"/>
    <hyperlink ref="AK40" r:id="rId5" xr:uid="{C5E3B4AC-ED9A-4302-BF36-2808B0863EA9}"/>
    <hyperlink ref="AK46" r:id="rId6" xr:uid="{FA41144D-B97D-41AE-B023-DD59FFF2682F}"/>
    <hyperlink ref="AG11" r:id="rId7" xr:uid="{E42A7B7A-FF13-443C-A0B3-509159770339}"/>
  </hyperlinks>
  <pageMargins left="0.7" right="0.7" top="0.75" bottom="0.75" header="0.3" footer="0.3"/>
  <pageSetup orientation="portrait" r:id="rId8"/>
  <headerFooter>
    <oddFooter>&amp;R&amp;1#&amp;"Calibri"&amp;12&amp;K000000Official Use</oddFooter>
  </headerFooter>
  <legacyDrawing r:id="rId9"/>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B113"/>
  <sheetViews>
    <sheetView topLeftCell="A4" zoomScale="74" zoomScaleNormal="150" workbookViewId="0">
      <pane xSplit="4" topLeftCell="AM1" activePane="topRight" state="frozen"/>
      <selection activeCell="A26" sqref="A26"/>
      <selection pane="topRight" activeCell="AU21" sqref="AU21"/>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customWidth="1"/>
    <col min="18" max="18" width="10.36328125" customWidth="1"/>
    <col min="19" max="19" width="1.6328125" style="1" customWidth="1"/>
    <col min="20" max="22" width="21.6328125" customWidth="1"/>
    <col min="23" max="23" width="1.6328125" style="1" customWidth="1"/>
    <col min="24" max="26" width="21.6328125" customWidth="1"/>
    <col min="27" max="27" width="10.36328125" customWidth="1"/>
    <col min="28" max="28" width="1.6328125" style="1" customWidth="1"/>
    <col min="29" max="31" width="21.6328125" customWidth="1"/>
    <col min="32" max="32" width="2.1796875" customWidth="1"/>
    <col min="33" max="35" width="21.6328125" customWidth="1"/>
    <col min="36" max="36" width="1.6328125" style="1" customWidth="1"/>
    <col min="37" max="39" width="21.6328125" customWidth="1"/>
    <col min="40" max="40" width="10.36328125" customWidth="1"/>
    <col min="41" max="41" width="1.6328125" style="1" customWidth="1"/>
    <col min="42" max="44" width="21.6328125" customWidth="1"/>
    <col min="47" max="49" width="21.6328125" customWidth="1"/>
    <col min="50" max="50" width="10.36328125" customWidth="1"/>
    <col min="51" max="51" width="1.6328125" style="1" customWidth="1"/>
    <col min="52" max="54" width="21.6328125" customWidth="1"/>
  </cols>
  <sheetData>
    <row r="1" spans="1:54" ht="31" x14ac:dyDescent="0.7">
      <c r="F1" s="9118" t="s">
        <v>823</v>
      </c>
      <c r="G1" s="9119"/>
      <c r="H1" s="9119"/>
      <c r="I1" s="9119"/>
      <c r="J1" s="9119"/>
      <c r="K1" s="9119"/>
      <c r="L1" s="9119"/>
      <c r="M1" s="9120"/>
      <c r="N1" s="1537"/>
      <c r="O1" s="9121" t="s">
        <v>824</v>
      </c>
      <c r="P1" s="9122"/>
      <c r="Q1" s="9122"/>
      <c r="R1" s="9122"/>
      <c r="S1" s="9122"/>
      <c r="T1" s="9122"/>
      <c r="U1" s="9122"/>
      <c r="V1" s="9122"/>
      <c r="X1" s="9349" t="s">
        <v>825</v>
      </c>
      <c r="Y1" s="9350"/>
      <c r="Z1" s="9350"/>
      <c r="AA1" s="9350"/>
      <c r="AB1" s="9350"/>
      <c r="AC1" s="9350"/>
      <c r="AD1" s="9350"/>
      <c r="AE1" s="9350"/>
      <c r="AF1" s="1537"/>
      <c r="AG1" s="9235">
        <v>2019</v>
      </c>
      <c r="AH1" s="9235"/>
      <c r="AI1" s="9235"/>
      <c r="AK1" s="9349" t="s">
        <v>827</v>
      </c>
      <c r="AL1" s="9350"/>
      <c r="AM1" s="9350"/>
      <c r="AN1" s="9350"/>
      <c r="AO1" s="9350"/>
      <c r="AP1" s="9350"/>
      <c r="AQ1" s="9350"/>
      <c r="AR1" s="9350"/>
      <c r="AU1" s="9349" t="s">
        <v>828</v>
      </c>
      <c r="AV1" s="9350"/>
      <c r="AW1" s="9350"/>
      <c r="AX1" s="9350"/>
      <c r="AY1" s="9350"/>
      <c r="AZ1" s="9350"/>
      <c r="BA1" s="9350"/>
      <c r="BB1" s="9350"/>
    </row>
    <row r="2" spans="1:54" ht="21" x14ac:dyDescent="0.5">
      <c r="B2" s="1" t="s">
        <v>829</v>
      </c>
      <c r="C2" s="4" t="s">
        <v>2067</v>
      </c>
      <c r="H2"/>
    </row>
    <row r="4" spans="1:54" s="8" customFormat="1" ht="15.25" customHeight="1" x14ac:dyDescent="0.35">
      <c r="D4" s="471"/>
      <c r="F4" s="8326" t="s">
        <v>830</v>
      </c>
      <c r="H4" s="9130" t="s">
        <v>831</v>
      </c>
      <c r="I4" s="9131"/>
      <c r="J4" s="9132"/>
      <c r="L4" s="9130" t="s">
        <v>832</v>
      </c>
      <c r="M4" s="9132"/>
      <c r="O4" s="9302" t="s">
        <v>833</v>
      </c>
      <c r="P4" s="9302"/>
      <c r="Q4" s="9302"/>
      <c r="R4" s="9302"/>
      <c r="T4" s="9302" t="s">
        <v>832</v>
      </c>
      <c r="U4" s="9302"/>
      <c r="V4" s="9302"/>
      <c r="X4" s="9302" t="s">
        <v>833</v>
      </c>
      <c r="Y4" s="9302"/>
      <c r="Z4" s="9302"/>
      <c r="AA4" s="9302"/>
      <c r="AC4" s="9302" t="s">
        <v>832</v>
      </c>
      <c r="AD4" s="9302"/>
      <c r="AE4" s="9302"/>
      <c r="AF4" s="712"/>
      <c r="AG4" s="9302" t="s">
        <v>832</v>
      </c>
      <c r="AH4" s="9302"/>
      <c r="AI4" s="9302"/>
      <c r="AK4" s="9302" t="s">
        <v>833</v>
      </c>
      <c r="AL4" s="9302"/>
      <c r="AM4" s="9302"/>
      <c r="AN4" s="9302"/>
      <c r="AP4" s="9302" t="s">
        <v>832</v>
      </c>
      <c r="AQ4" s="9302"/>
      <c r="AR4" s="9302"/>
      <c r="AU4" s="9302" t="s">
        <v>833</v>
      </c>
      <c r="AV4" s="9302"/>
      <c r="AW4" s="9302"/>
      <c r="AX4" s="9302"/>
      <c r="AZ4" s="9302" t="s">
        <v>832</v>
      </c>
      <c r="BA4" s="9302"/>
      <c r="BB4" s="9302"/>
    </row>
    <row r="5" spans="1:54" x14ac:dyDescent="0.35">
      <c r="B5" s="1" t="s">
        <v>835</v>
      </c>
      <c r="C5" s="11">
        <v>2012</v>
      </c>
      <c r="F5" s="8324">
        <v>2012</v>
      </c>
      <c r="G5" s="12"/>
      <c r="H5" s="9138">
        <v>2014</v>
      </c>
      <c r="I5" s="9139"/>
      <c r="J5" s="9140"/>
      <c r="K5" s="12"/>
      <c r="L5" s="9138">
        <v>2015</v>
      </c>
      <c r="M5" s="9140"/>
      <c r="O5" s="9138">
        <v>2015</v>
      </c>
      <c r="P5" s="9139"/>
      <c r="Q5" s="9139"/>
      <c r="R5" s="9140"/>
      <c r="T5" s="9303">
        <v>2016</v>
      </c>
      <c r="U5" s="9304"/>
      <c r="V5" s="9305"/>
      <c r="X5" s="9138">
        <v>2016</v>
      </c>
      <c r="Y5" s="9139"/>
      <c r="Z5" s="9139"/>
      <c r="AA5" s="9140"/>
      <c r="AC5" s="9303">
        <v>2017</v>
      </c>
      <c r="AD5" s="9304"/>
      <c r="AE5" s="9305"/>
      <c r="AF5" s="5661"/>
      <c r="AG5" s="9303">
        <v>2018</v>
      </c>
      <c r="AH5" s="9304"/>
      <c r="AI5" s="9305"/>
      <c r="AK5" s="9138">
        <v>2018</v>
      </c>
      <c r="AL5" s="9139"/>
      <c r="AM5" s="9139"/>
      <c r="AN5" s="9140"/>
      <c r="AP5" s="9303">
        <v>2019</v>
      </c>
      <c r="AQ5" s="9304"/>
      <c r="AR5" s="9305"/>
      <c r="AU5" s="9138">
        <v>2019</v>
      </c>
      <c r="AV5" s="9139"/>
      <c r="AW5" s="9139"/>
      <c r="AX5" s="9140"/>
      <c r="AZ5" s="9303">
        <v>2020</v>
      </c>
      <c r="BA5" s="9304"/>
      <c r="BB5" s="9305"/>
    </row>
    <row r="6" spans="1:54" x14ac:dyDescent="0.35">
      <c r="C6"/>
      <c r="F6" s="6"/>
      <c r="L6" s="14"/>
      <c r="O6" s="462"/>
      <c r="P6" s="462"/>
      <c r="Q6" s="462"/>
      <c r="R6" s="462"/>
      <c r="T6" s="456"/>
      <c r="U6" s="456"/>
      <c r="V6" s="456"/>
      <c r="X6" s="462"/>
      <c r="Y6" s="462"/>
      <c r="Z6" s="462"/>
      <c r="AA6" s="462"/>
      <c r="AC6" s="456"/>
      <c r="AD6" s="456"/>
      <c r="AE6" s="456"/>
      <c r="AF6" s="456"/>
      <c r="AG6" s="456"/>
      <c r="AH6" s="456"/>
      <c r="AI6" s="456"/>
      <c r="AK6" s="462"/>
      <c r="AL6" s="462"/>
      <c r="AM6" s="462"/>
      <c r="AN6" s="462"/>
      <c r="AP6" s="456"/>
      <c r="AQ6" s="456"/>
      <c r="AR6" s="456"/>
      <c r="AU6" s="462"/>
      <c r="AV6" s="462"/>
      <c r="AW6" s="462"/>
      <c r="AX6" s="462"/>
      <c r="AZ6" s="456"/>
      <c r="BA6" s="456"/>
      <c r="BB6" s="456"/>
    </row>
    <row r="7" spans="1:54" ht="12.75" customHeight="1" x14ac:dyDescent="0.35">
      <c r="B7" s="1" t="s">
        <v>836</v>
      </c>
      <c r="C7" s="15" t="s">
        <v>2068</v>
      </c>
      <c r="D7" s="5" t="s">
        <v>417</v>
      </c>
      <c r="F7" s="8322"/>
      <c r="H7" s="9173" t="s">
        <v>2069</v>
      </c>
      <c r="I7" s="9173"/>
      <c r="J7" s="9147" t="s">
        <v>839</v>
      </c>
      <c r="L7" s="9173" t="s">
        <v>2069</v>
      </c>
      <c r="M7" s="9173"/>
      <c r="O7" s="9294" t="s">
        <v>2069</v>
      </c>
      <c r="P7" s="9295"/>
      <c r="Q7" s="9295"/>
      <c r="R7" s="9296"/>
      <c r="T7" s="9297" t="s">
        <v>2069</v>
      </c>
      <c r="U7" s="9298"/>
      <c r="V7" s="9299"/>
      <c r="X7" s="9294" t="s">
        <v>2069</v>
      </c>
      <c r="Y7" s="9295"/>
      <c r="Z7" s="9295"/>
      <c r="AA7" s="9296"/>
      <c r="AC7" s="9297" t="s">
        <v>2069</v>
      </c>
      <c r="AD7" s="9298"/>
      <c r="AE7" s="9299"/>
      <c r="AF7" s="2"/>
      <c r="AG7" s="9297" t="s">
        <v>2069</v>
      </c>
      <c r="AH7" s="9298"/>
      <c r="AI7" s="9299"/>
      <c r="AK7" s="9294" t="s">
        <v>2069</v>
      </c>
      <c r="AL7" s="9295"/>
      <c r="AM7" s="9295"/>
      <c r="AN7" s="9296"/>
      <c r="AP7" s="9297" t="s">
        <v>2069</v>
      </c>
      <c r="AQ7" s="9298"/>
      <c r="AR7" s="9299"/>
      <c r="AU7" s="9294" t="s">
        <v>2069</v>
      </c>
      <c r="AV7" s="9295"/>
      <c r="AW7" s="9295"/>
      <c r="AX7" s="9296"/>
      <c r="AZ7" s="9297" t="s">
        <v>2069</v>
      </c>
      <c r="BA7" s="9298"/>
      <c r="BB7" s="9299"/>
    </row>
    <row r="8" spans="1:54" x14ac:dyDescent="0.35">
      <c r="B8" s="1" t="s">
        <v>841</v>
      </c>
      <c r="C8" s="19" t="s">
        <v>1121</v>
      </c>
      <c r="F8" s="20" t="s">
        <v>843</v>
      </c>
      <c r="H8" s="21" t="s">
        <v>844</v>
      </c>
      <c r="I8" s="20" t="s">
        <v>843</v>
      </c>
      <c r="J8" s="9148"/>
      <c r="L8" s="21" t="s">
        <v>844</v>
      </c>
      <c r="M8" s="20" t="s">
        <v>843</v>
      </c>
      <c r="O8" s="720" t="s">
        <v>424</v>
      </c>
      <c r="P8" s="720" t="s">
        <v>845</v>
      </c>
      <c r="Q8" s="720" t="s">
        <v>846</v>
      </c>
      <c r="R8" s="720"/>
      <c r="T8" s="720" t="s">
        <v>424</v>
      </c>
      <c r="U8" s="720" t="s">
        <v>846</v>
      </c>
      <c r="V8" s="720" t="s">
        <v>1373</v>
      </c>
      <c r="X8" s="720" t="s">
        <v>424</v>
      </c>
      <c r="Y8" s="720" t="s">
        <v>845</v>
      </c>
      <c r="Z8" s="720" t="s">
        <v>846</v>
      </c>
      <c r="AA8" s="720"/>
      <c r="AC8" s="720" t="s">
        <v>424</v>
      </c>
      <c r="AD8" s="720" t="s">
        <v>846</v>
      </c>
      <c r="AE8" s="720" t="s">
        <v>1373</v>
      </c>
      <c r="AF8" s="5662"/>
      <c r="AG8" s="720" t="s">
        <v>424</v>
      </c>
      <c r="AH8" s="720" t="s">
        <v>846</v>
      </c>
      <c r="AI8" s="720" t="s">
        <v>1373</v>
      </c>
      <c r="AK8" s="720" t="s">
        <v>424</v>
      </c>
      <c r="AL8" s="720" t="s">
        <v>845</v>
      </c>
      <c r="AM8" s="720" t="s">
        <v>846</v>
      </c>
      <c r="AN8" s="720"/>
      <c r="AP8" s="720" t="s">
        <v>424</v>
      </c>
      <c r="AQ8" s="720" t="s">
        <v>846</v>
      </c>
      <c r="AR8" s="720" t="s">
        <v>1373</v>
      </c>
      <c r="AU8" s="720" t="s">
        <v>424</v>
      </c>
      <c r="AV8" s="720" t="s">
        <v>845</v>
      </c>
      <c r="AW8" s="720" t="s">
        <v>846</v>
      </c>
      <c r="AX8" s="720"/>
      <c r="AZ8" s="720" t="s">
        <v>424</v>
      </c>
      <c r="BA8" s="720" t="s">
        <v>846</v>
      </c>
      <c r="BB8" s="720" t="s">
        <v>1373</v>
      </c>
    </row>
    <row r="9" spans="1:54" x14ac:dyDescent="0.35">
      <c r="C9"/>
      <c r="E9"/>
      <c r="F9"/>
      <c r="G9"/>
      <c r="H9"/>
      <c r="I9"/>
      <c r="J9" s="25"/>
      <c r="K9"/>
      <c r="N9"/>
      <c r="S9"/>
      <c r="T9" s="462"/>
      <c r="U9" s="462"/>
      <c r="V9" s="462"/>
      <c r="W9"/>
      <c r="AB9"/>
      <c r="AC9" s="462"/>
      <c r="AD9" s="462"/>
      <c r="AE9" s="462"/>
      <c r="AF9" s="462"/>
      <c r="AG9" s="462"/>
      <c r="AH9" s="462"/>
      <c r="AI9" s="462"/>
      <c r="AJ9"/>
      <c r="AO9"/>
      <c r="AP9" s="462"/>
      <c r="AQ9" s="462"/>
      <c r="AR9" s="462"/>
      <c r="AY9"/>
      <c r="AZ9" s="462"/>
      <c r="BA9" s="462"/>
      <c r="BB9" s="462"/>
    </row>
    <row r="10" spans="1:54" ht="72" x14ac:dyDescent="0.35">
      <c r="A10" s="9167" t="s">
        <v>854</v>
      </c>
      <c r="B10" s="27"/>
      <c r="C10" s="28" t="s">
        <v>427</v>
      </c>
      <c r="D10" s="29" t="s">
        <v>428</v>
      </c>
      <c r="E10" s="30"/>
      <c r="F10" s="31" t="s">
        <v>2070</v>
      </c>
      <c r="G10"/>
      <c r="H10" s="31" t="s">
        <v>2071</v>
      </c>
      <c r="I10" s="31" t="s">
        <v>2071</v>
      </c>
      <c r="J10" s="32"/>
      <c r="K10" s="33"/>
      <c r="L10" s="31" t="s">
        <v>856</v>
      </c>
      <c r="M10" s="34" t="s">
        <v>857</v>
      </c>
      <c r="N10" s="33"/>
      <c r="O10" s="31" t="s">
        <v>2072</v>
      </c>
      <c r="P10" s="31" t="s">
        <v>2073</v>
      </c>
      <c r="Q10" s="34"/>
      <c r="R10" s="32" t="s">
        <v>865</v>
      </c>
      <c r="S10" s="33"/>
      <c r="T10" s="31" t="s">
        <v>2074</v>
      </c>
      <c r="U10" s="36"/>
      <c r="V10" s="31" t="s">
        <v>2075</v>
      </c>
      <c r="W10" s="33"/>
      <c r="X10" s="31" t="s">
        <v>2076</v>
      </c>
      <c r="Y10" s="31" t="s">
        <v>2075</v>
      </c>
      <c r="Z10" s="34" t="s">
        <v>2077</v>
      </c>
      <c r="AA10" s="32" t="s">
        <v>865</v>
      </c>
      <c r="AB10" s="33"/>
      <c r="AC10" s="31" t="s">
        <v>2078</v>
      </c>
      <c r="AD10" s="36" t="s">
        <v>2077</v>
      </c>
      <c r="AE10" s="31" t="s">
        <v>2075</v>
      </c>
      <c r="AF10" s="1844"/>
      <c r="AG10" s="31" t="s">
        <v>2079</v>
      </c>
      <c r="AH10" s="582" t="s">
        <v>2077</v>
      </c>
      <c r="AI10" s="31" t="s">
        <v>2075</v>
      </c>
      <c r="AJ10" s="33"/>
      <c r="AK10" s="31" t="s">
        <v>2076</v>
      </c>
      <c r="AL10" s="31" t="s">
        <v>2075</v>
      </c>
      <c r="AM10" s="3375" t="s">
        <v>2077</v>
      </c>
      <c r="AN10" s="32" t="s">
        <v>865</v>
      </c>
      <c r="AO10" s="30"/>
      <c r="AP10" s="31" t="s">
        <v>2078</v>
      </c>
      <c r="AQ10" s="34" t="s">
        <v>2077</v>
      </c>
      <c r="AR10" s="31" t="s">
        <v>2075</v>
      </c>
      <c r="AU10" s="31" t="s">
        <v>919</v>
      </c>
      <c r="AV10" s="31" t="s">
        <v>2075</v>
      </c>
      <c r="AW10" s="3375" t="s">
        <v>2077</v>
      </c>
      <c r="AX10" s="32" t="s">
        <v>865</v>
      </c>
      <c r="AY10" s="30"/>
      <c r="AZ10" s="31" t="s">
        <v>2080</v>
      </c>
      <c r="BA10" s="34" t="s">
        <v>2077</v>
      </c>
      <c r="BB10" s="31" t="s">
        <v>2081</v>
      </c>
    </row>
    <row r="11" spans="1:54" ht="12.75" customHeight="1" x14ac:dyDescent="0.35">
      <c r="A11" s="9168"/>
      <c r="B11" s="40" t="s">
        <v>870</v>
      </c>
      <c r="C11" s="41"/>
      <c r="D11" s="42"/>
      <c r="E11" s="43"/>
      <c r="F11" s="44"/>
      <c r="G11"/>
      <c r="H11" s="45"/>
      <c r="I11" s="46"/>
      <c r="J11" s="47"/>
      <c r="K11" s="48"/>
      <c r="L11" s="45"/>
      <c r="M11" s="49"/>
      <c r="N11" s="50"/>
      <c r="O11" s="45"/>
      <c r="P11" s="46"/>
      <c r="R11" s="47"/>
      <c r="S11" s="50"/>
      <c r="T11" s="45"/>
      <c r="V11" s="54"/>
      <c r="W11" s="50"/>
      <c r="X11" s="45"/>
      <c r="Y11" s="46" t="s">
        <v>2082</v>
      </c>
      <c r="AA11" s="47"/>
      <c r="AB11" s="50"/>
      <c r="AC11" s="45"/>
      <c r="AE11" s="54"/>
      <c r="AF11" s="1109"/>
      <c r="AG11" s="62"/>
      <c r="AI11" s="54"/>
      <c r="AJ11" s="50"/>
      <c r="AK11" s="45"/>
      <c r="AL11" s="54" t="s">
        <v>2082</v>
      </c>
      <c r="AN11" s="47"/>
      <c r="AO11" s="50"/>
      <c r="AP11" s="45"/>
      <c r="AR11" s="586"/>
      <c r="AU11" s="45"/>
      <c r="AV11" s="8105" t="s">
        <v>2082</v>
      </c>
      <c r="AX11" s="47"/>
      <c r="AY11" s="50"/>
      <c r="AZ11" s="45"/>
      <c r="BB11" s="586"/>
    </row>
    <row r="12" spans="1:54" x14ac:dyDescent="0.35">
      <c r="A12" s="9168"/>
      <c r="B12" s="58"/>
      <c r="C12" s="59" t="s">
        <v>872</v>
      </c>
      <c r="D12" s="60"/>
      <c r="F12" s="61"/>
      <c r="G12"/>
      <c r="H12" s="62">
        <v>5480395.169919</v>
      </c>
      <c r="I12" s="63"/>
      <c r="J12" s="64">
        <f>IF(H12=0,0,I12/H12)</f>
        <v>0</v>
      </c>
      <c r="K12" s="65"/>
      <c r="L12" s="62">
        <v>6004190.4587939996</v>
      </c>
      <c r="M12" s="66">
        <f>L12*J12</f>
        <v>0</v>
      </c>
      <c r="N12" s="67"/>
      <c r="O12" s="62">
        <v>6004190.4587939996</v>
      </c>
      <c r="P12" s="63">
        <v>4566718.8509259997</v>
      </c>
      <c r="Q12" s="106"/>
      <c r="R12" s="64">
        <f>IF(O12=0,0,P12/O12)</f>
        <v>0.76058860595226185</v>
      </c>
      <c r="S12" s="67"/>
      <c r="T12" s="62">
        <v>5791241.0370840002</v>
      </c>
      <c r="U12" s="106"/>
      <c r="V12" s="3082">
        <f>R12*T12</f>
        <v>4404751.9471292505</v>
      </c>
      <c r="W12" s="67"/>
      <c r="X12" s="62">
        <v>4386986</v>
      </c>
      <c r="Y12" s="63">
        <v>3655158</v>
      </c>
      <c r="Z12" s="106"/>
      <c r="AA12" s="64">
        <f>IF(X12=0,0,Y12/X12)</f>
        <v>0.83318205255270927</v>
      </c>
      <c r="AB12" s="67"/>
      <c r="AC12" s="62">
        <v>6166509.875</v>
      </c>
      <c r="AD12" s="106"/>
      <c r="AE12" s="3082">
        <f>AA12*AC12</f>
        <v>5137825.3547390504</v>
      </c>
      <c r="AF12" s="120"/>
      <c r="AG12" s="62">
        <v>6678167.7829949996</v>
      </c>
      <c r="AH12" s="106"/>
      <c r="AI12" s="3082">
        <f>AI14*AG12/AG14</f>
        <v>6312769.8584418371</v>
      </c>
      <c r="AJ12" s="67"/>
      <c r="AK12" s="62">
        <v>6678167.7829949996</v>
      </c>
      <c r="AL12" s="3082">
        <f>AL14*AK12/AK14</f>
        <v>6312769.8584418371</v>
      </c>
      <c r="AM12" s="106"/>
      <c r="AN12" s="476">
        <f>IF(AK12=0,0,AL12/AK12)</f>
        <v>0.94528470436403289</v>
      </c>
      <c r="AO12" s="67"/>
      <c r="AP12" s="62">
        <v>8443876</v>
      </c>
      <c r="AQ12" s="106"/>
      <c r="AR12" s="1773">
        <f>AN12*AP12</f>
        <v>7981866.8283465523</v>
      </c>
      <c r="AU12" s="62">
        <v>8443876</v>
      </c>
      <c r="AV12" s="4022">
        <v>6798836</v>
      </c>
      <c r="AW12" s="106"/>
      <c r="AX12" s="8106">
        <f>IF(AU12=0,0,AV12/AU12)</f>
        <v>0.80517951708433422</v>
      </c>
      <c r="AY12" s="67"/>
      <c r="AZ12" s="62">
        <v>6687781</v>
      </c>
      <c r="BA12" s="106"/>
      <c r="BB12" s="1773">
        <f>9149000+32079</f>
        <v>9181079</v>
      </c>
    </row>
    <row r="13" spans="1:54" x14ac:dyDescent="0.35">
      <c r="A13" s="9168"/>
      <c r="B13" s="58"/>
      <c r="C13" s="59" t="s">
        <v>878</v>
      </c>
      <c r="D13" s="60"/>
      <c r="F13" s="61"/>
      <c r="G13"/>
      <c r="H13" s="62">
        <v>1968609.176</v>
      </c>
      <c r="I13" s="63"/>
      <c r="J13" s="73">
        <f t="shared" ref="J13:J14" si="0">IF(H13=0,0,I13/H13)</f>
        <v>0</v>
      </c>
      <c r="K13" s="65"/>
      <c r="L13" s="62">
        <v>1582028.5046339999</v>
      </c>
      <c r="M13" s="66">
        <f t="shared" ref="M13:M14" si="1">L13*J13</f>
        <v>0</v>
      </c>
      <c r="N13" s="67"/>
      <c r="O13" s="62">
        <v>1582028.5046339999</v>
      </c>
      <c r="P13" s="63">
        <v>394810.84244099999</v>
      </c>
      <c r="Q13" s="106"/>
      <c r="R13" s="73">
        <f t="shared" ref="R13:R28" si="2">IF(O13=0,0,P13/O13)</f>
        <v>0.24955987915801739</v>
      </c>
      <c r="S13" s="67"/>
      <c r="T13" s="62">
        <v>1413856.7551899999</v>
      </c>
      <c r="U13" s="106"/>
      <c r="V13" s="3082">
        <f t="shared" ref="V13:V28" si="3">R13*T13</f>
        <v>352841.92097196297</v>
      </c>
      <c r="W13" s="67"/>
      <c r="X13" s="62">
        <v>1110486</v>
      </c>
      <c r="Y13" s="63">
        <v>852490</v>
      </c>
      <c r="Z13" s="106"/>
      <c r="AA13" s="73">
        <f t="shared" ref="AA13:AA14" si="4">IF(X13=0,0,Y13/X13)</f>
        <v>0.76767289276947215</v>
      </c>
      <c r="AB13" s="67"/>
      <c r="AC13" s="62">
        <v>3847275</v>
      </c>
      <c r="AD13" s="106"/>
      <c r="AE13" s="3082">
        <f t="shared" ref="AE13" si="5">AA13*AC13</f>
        <v>2953448.7285296707</v>
      </c>
      <c r="AF13" s="120"/>
      <c r="AG13" s="62">
        <v>2249708.0445440002</v>
      </c>
      <c r="AH13" s="106"/>
      <c r="AI13" s="3082">
        <f>AI14*AG13/AG14</f>
        <v>2126614.6037921617</v>
      </c>
      <c r="AJ13" s="67"/>
      <c r="AK13" s="62">
        <v>2249708.0445440002</v>
      </c>
      <c r="AL13" s="3082">
        <f>AL14*AK13/AK14</f>
        <v>2126614.6037921617</v>
      </c>
      <c r="AM13" s="106"/>
      <c r="AN13" s="73">
        <f>IF(AK13=0,0,AL13/AK13)</f>
        <v>0.94528470436403289</v>
      </c>
      <c r="AO13" s="67"/>
      <c r="AP13" s="62">
        <v>1161000</v>
      </c>
      <c r="AQ13" s="106"/>
      <c r="AR13" s="1773">
        <f>AN13*AP13</f>
        <v>1097475.5417666421</v>
      </c>
      <c r="AU13" s="62">
        <v>1161000</v>
      </c>
      <c r="AV13" s="4022">
        <v>430257</v>
      </c>
      <c r="AW13" s="106"/>
      <c r="AX13" s="8107">
        <f>IF(AU13=0,0,AV13/AU13)</f>
        <v>0.37059173126614986</v>
      </c>
      <c r="AY13" s="67"/>
      <c r="AZ13" s="62">
        <v>3100750</v>
      </c>
      <c r="BA13" s="106"/>
      <c r="BB13" s="1773">
        <v>364308</v>
      </c>
    </row>
    <row r="14" spans="1:54" x14ac:dyDescent="0.35">
      <c r="A14" s="9168"/>
      <c r="B14" s="85"/>
      <c r="C14" s="86" t="s">
        <v>882</v>
      </c>
      <c r="D14" s="87"/>
      <c r="F14" s="88"/>
      <c r="G14"/>
      <c r="H14" s="89">
        <f>SUM(H12:H13)</f>
        <v>7449004.345919</v>
      </c>
      <c r="I14" s="89">
        <f>SUM(I12:I13)</f>
        <v>0</v>
      </c>
      <c r="J14" s="91">
        <f t="shared" si="0"/>
        <v>0</v>
      </c>
      <c r="K14" s="80"/>
      <c r="L14" s="89">
        <f>SUM(L12:L13)</f>
        <v>7586218.963428</v>
      </c>
      <c r="M14" s="92">
        <f t="shared" si="1"/>
        <v>0</v>
      </c>
      <c r="N14" s="67"/>
      <c r="O14" s="89">
        <f>SUM(O12:O13)</f>
        <v>7586218.963428</v>
      </c>
      <c r="P14" s="89">
        <f>SUM(P12:P13)</f>
        <v>4961529.6933669997</v>
      </c>
      <c r="Q14" s="1000"/>
      <c r="R14" s="91">
        <f t="shared" si="2"/>
        <v>0.65401878291224846</v>
      </c>
      <c r="S14" s="67"/>
      <c r="T14" s="89">
        <f>SUM(T12:T13)</f>
        <v>7205097.7922740001</v>
      </c>
      <c r="U14" s="5360"/>
      <c r="V14" s="5476">
        <f>SUM(V12:V13)</f>
        <v>4757593.8681012131</v>
      </c>
      <c r="W14" s="67"/>
      <c r="X14" s="89">
        <f>SUM(X12:X13)</f>
        <v>5497472</v>
      </c>
      <c r="Y14" s="89">
        <f>SUM(Y12:Y13)</f>
        <v>4507648</v>
      </c>
      <c r="Z14" s="216"/>
      <c r="AA14" s="91">
        <f t="shared" si="4"/>
        <v>0.81994924212438003</v>
      </c>
      <c r="AB14" s="67"/>
      <c r="AC14" s="89">
        <f>SUM(AC12:AC13)</f>
        <v>10013784.875</v>
      </c>
      <c r="AD14" s="216"/>
      <c r="AE14" s="5476">
        <f>SUM(AE12:AE13)</f>
        <v>8091274.0832687207</v>
      </c>
      <c r="AF14" s="919"/>
      <c r="AG14" s="89">
        <f>AG12+AG13</f>
        <v>8927875.8275390007</v>
      </c>
      <c r="AH14" s="216"/>
      <c r="AI14" s="5476">
        <f>4219692.231117*2</f>
        <v>8439384.4622339997</v>
      </c>
      <c r="AJ14" s="67"/>
      <c r="AK14" s="768">
        <f>AK12+AK13</f>
        <v>8927875.8275390007</v>
      </c>
      <c r="AL14" s="1197">
        <f>4219692.231117*2</f>
        <v>8439384.4622339997</v>
      </c>
      <c r="AM14" s="216"/>
      <c r="AN14" s="91">
        <f>IF(AK14=0,0,AL14/AK14)</f>
        <v>0.94528470436403289</v>
      </c>
      <c r="AO14" s="67"/>
      <c r="AP14" s="89">
        <f>SUM(AP12:AP13)</f>
        <v>9604876</v>
      </c>
      <c r="AQ14" s="800"/>
      <c r="AR14" s="3084">
        <f>SUM(AR12:AR13)</f>
        <v>9079342.370113194</v>
      </c>
      <c r="AU14" s="768">
        <f>AU12+AU13</f>
        <v>9604876</v>
      </c>
      <c r="AV14" s="8108">
        <f>4219692.231117*2</f>
        <v>8439384.4622339997</v>
      </c>
      <c r="AW14" s="216"/>
      <c r="AX14" s="8109">
        <f>IF(AU14=0,0,AV14/AU14)</f>
        <v>0.87865626398862406</v>
      </c>
      <c r="AY14" s="67"/>
      <c r="AZ14" s="89">
        <f>SUM(AZ12:AZ13)</f>
        <v>9788531</v>
      </c>
      <c r="BA14" s="800"/>
      <c r="BB14" s="3084">
        <f>SUM(BB12:BB13)</f>
        <v>9545387</v>
      </c>
    </row>
    <row r="15" spans="1:54" ht="101.5" x14ac:dyDescent="0.35">
      <c r="A15" s="9168"/>
      <c r="B15" s="100" t="s">
        <v>883</v>
      </c>
      <c r="C15" s="49"/>
      <c r="D15" s="42"/>
      <c r="E15" s="43"/>
      <c r="F15" s="101"/>
      <c r="G15"/>
      <c r="H15" s="102" t="s">
        <v>2083</v>
      </c>
      <c r="I15" s="103"/>
      <c r="J15" s="104"/>
      <c r="K15" s="43"/>
      <c r="L15" s="102"/>
      <c r="M15" s="105"/>
      <c r="N15" s="43"/>
      <c r="O15" s="102"/>
      <c r="P15" s="103"/>
      <c r="Q15" s="106"/>
      <c r="R15" s="104"/>
      <c r="S15" s="43"/>
      <c r="T15" s="102"/>
      <c r="U15" s="57" t="s">
        <v>2084</v>
      </c>
      <c r="V15" s="103"/>
      <c r="W15" s="43"/>
      <c r="X15" s="481" t="s">
        <v>2085</v>
      </c>
      <c r="Z15" s="5663" t="s">
        <v>2084</v>
      </c>
      <c r="AA15" s="104"/>
      <c r="AB15" s="43"/>
      <c r="AC15" s="102"/>
      <c r="AD15" s="5664" t="s">
        <v>2086</v>
      </c>
      <c r="AE15" s="5665" t="s">
        <v>2087</v>
      </c>
      <c r="AF15" s="5666"/>
      <c r="AG15" s="5667" t="s">
        <v>2088</v>
      </c>
      <c r="AH15" s="5664"/>
      <c r="AI15" s="5665" t="s">
        <v>2089</v>
      </c>
      <c r="AJ15" s="43"/>
      <c r="AK15" s="481" t="s">
        <v>2085</v>
      </c>
      <c r="AM15" s="6641" t="s">
        <v>2084</v>
      </c>
      <c r="AN15" s="104"/>
      <c r="AO15" s="43"/>
      <c r="AP15" s="6642" t="s">
        <v>2090</v>
      </c>
      <c r="AQ15" s="6641" t="s">
        <v>2090</v>
      </c>
      <c r="AR15" s="6643" t="s">
        <v>2090</v>
      </c>
      <c r="AU15" s="481" t="s">
        <v>2085</v>
      </c>
      <c r="AW15" s="5664" t="s">
        <v>2091</v>
      </c>
      <c r="AX15" s="104"/>
      <c r="AY15" s="43"/>
      <c r="AZ15" s="8110" t="s">
        <v>2090</v>
      </c>
      <c r="BA15" s="5663" t="s">
        <v>2090</v>
      </c>
      <c r="BB15" s="6643" t="s">
        <v>2090</v>
      </c>
    </row>
    <row r="16" spans="1:54" x14ac:dyDescent="0.35">
      <c r="A16" s="9168"/>
      <c r="B16" s="6082"/>
      <c r="C16" s="110" t="s">
        <v>885</v>
      </c>
      <c r="D16" s="60"/>
      <c r="F16" s="111">
        <v>2626921</v>
      </c>
      <c r="G16"/>
      <c r="H16" s="112">
        <v>4233000</v>
      </c>
      <c r="I16" s="113">
        <v>3278678</v>
      </c>
      <c r="J16" s="64">
        <f t="shared" ref="J16:J21" si="6">IF(H16=0,0,I16/H16)</f>
        <v>0.77455185447673047</v>
      </c>
      <c r="L16" s="112">
        <v>4476030</v>
      </c>
      <c r="M16" s="66">
        <f t="shared" ref="M16:M21" si="7">L16*J16</f>
        <v>3466917.3371934798</v>
      </c>
      <c r="O16" s="112">
        <f>1821579.445853+1125899.56263+1325064.43046</f>
        <v>4272543.4389430005</v>
      </c>
      <c r="P16" s="113">
        <f>1976739.959748+613937.940657+1121895.55178</f>
        <v>3712573.4521850003</v>
      </c>
      <c r="Q16" s="106"/>
      <c r="R16" s="64">
        <f t="shared" si="2"/>
        <v>0.86893755563629027</v>
      </c>
      <c r="T16" s="262">
        <f>5947471.597-SUM(T17:T20)</f>
        <v>4251961.3908000002</v>
      </c>
      <c r="U16" s="259"/>
      <c r="V16" s="1351">
        <f>4132072.703-SUM(V17:V20)</f>
        <v>3562890.0370000005</v>
      </c>
      <c r="X16" s="112">
        <f>X21-SUM(X17:X20)</f>
        <v>3936793.8479999998</v>
      </c>
      <c r="Y16" s="113">
        <f>Y21-SUM(Y17:Y20)</f>
        <v>3556215.9</v>
      </c>
      <c r="Z16" s="106"/>
      <c r="AA16" s="64">
        <f t="shared" ref="AA16:AA17" si="8">IF(X16=0,0,Y16/X16)</f>
        <v>0.90332794586301646</v>
      </c>
      <c r="AC16" s="262">
        <f>10223312.584-SUM(AC17:AC20)</f>
        <v>5457506.3920000019</v>
      </c>
      <c r="AD16" s="259"/>
      <c r="AE16" s="1351">
        <f>4375045.687-SUM(AE17:AE20)</f>
        <v>3680329.48</v>
      </c>
      <c r="AF16" s="1798"/>
      <c r="AG16" s="262">
        <v>5767654.9309090003</v>
      </c>
      <c r="AH16" s="259"/>
      <c r="AI16" s="5668">
        <f>2828075.582444+253340.340002+498275.777662+1999942.064053</f>
        <v>5579633.764161</v>
      </c>
      <c r="AK16" s="112">
        <v>5767654.9309090003</v>
      </c>
      <c r="AL16" s="113">
        <f>2828595.6667+257731.952601+510277.753951+2014879.177383</f>
        <v>5611484.5506350007</v>
      </c>
      <c r="AM16" s="106"/>
      <c r="AN16" s="476">
        <f>IF(AK16=0,0,AL16/AK16)</f>
        <v>0.97292307148316404</v>
      </c>
      <c r="AP16" s="112">
        <f>3682500+194200+562800+1942300</f>
        <v>6381800</v>
      </c>
      <c r="AQ16" s="106"/>
      <c r="AR16" s="3254">
        <f>3855239+330904+728920+1958666</f>
        <v>6873729</v>
      </c>
      <c r="AU16" s="112">
        <f>3682500+194200+562800+1942300</f>
        <v>6381800</v>
      </c>
      <c r="AV16" s="113">
        <f>3855239+330904+728920+1958666</f>
        <v>6873729</v>
      </c>
      <c r="AW16" s="106"/>
      <c r="AX16" s="8106">
        <f>IF(AU16=0,0,AV16/AU16)</f>
        <v>1.0770831113478956</v>
      </c>
      <c r="AZ16" s="112">
        <f>4806269+211694+495220+1389244</f>
        <v>6902427</v>
      </c>
      <c r="BA16" s="106"/>
      <c r="BB16" s="3254">
        <f>5393864+294130+639910+1918746</f>
        <v>8246650</v>
      </c>
    </row>
    <row r="17" spans="1:54" x14ac:dyDescent="0.35">
      <c r="A17" s="9168"/>
      <c r="B17" s="6082"/>
      <c r="C17" s="110" t="s">
        <v>1168</v>
      </c>
      <c r="D17" s="60"/>
      <c r="F17" s="111">
        <v>662199</v>
      </c>
      <c r="G17"/>
      <c r="H17" s="112">
        <v>2846937</v>
      </c>
      <c r="I17" s="113">
        <v>369824</v>
      </c>
      <c r="J17" s="3165">
        <f t="shared" si="6"/>
        <v>0.12990241793197391</v>
      </c>
      <c r="K17" s="374"/>
      <c r="L17" s="112">
        <v>2768887</v>
      </c>
      <c r="M17" s="66">
        <f t="shared" si="7"/>
        <v>359685.11628040945</v>
      </c>
      <c r="O17" s="112">
        <v>2768887</v>
      </c>
      <c r="P17" s="113">
        <v>585289.47482200002</v>
      </c>
      <c r="Q17" s="106"/>
      <c r="R17" s="3165">
        <f t="shared" si="2"/>
        <v>0.21138077314892231</v>
      </c>
      <c r="T17" s="262">
        <f>831603.652+483937.1</f>
        <v>1315540.7519999999</v>
      </c>
      <c r="U17" s="259"/>
      <c r="V17" s="1351">
        <f>165778.446+113125.62</f>
        <v>278904.06599999999</v>
      </c>
      <c r="X17" s="112">
        <f>831603.652+483937.1</f>
        <v>1315540.7519999999</v>
      </c>
      <c r="Y17" s="113">
        <f>165383+112528</f>
        <v>277911</v>
      </c>
      <c r="Z17" s="106"/>
      <c r="AA17" s="3165">
        <f t="shared" si="8"/>
        <v>0.21125229269978557</v>
      </c>
      <c r="AC17" s="262">
        <f>2651692.732+1777363.958</f>
        <v>4429056.6899999995</v>
      </c>
      <c r="AD17" s="259"/>
      <c r="AE17" s="1351">
        <f>404272.589+55827.614</f>
        <v>460100.20299999998</v>
      </c>
      <c r="AF17" s="1798"/>
      <c r="AG17" s="262">
        <v>2620408.9280309998</v>
      </c>
      <c r="AH17" s="259"/>
      <c r="AI17" s="5668">
        <f>215110.121439+145426.395793</f>
        <v>360536.51723200001</v>
      </c>
      <c r="AK17" s="112">
        <v>2620408.9280309998</v>
      </c>
      <c r="AL17" s="113">
        <f>217481.981075+152783.804361</f>
        <v>370265.78543599998</v>
      </c>
      <c r="AM17" s="106"/>
      <c r="AN17" s="1562">
        <f>IF(AK17=0,0,AL17/AK17)</f>
        <v>0.14130076472996189</v>
      </c>
      <c r="AP17" s="112">
        <f>1158200+1456400</f>
        <v>2614600</v>
      </c>
      <c r="AQ17" s="106"/>
      <c r="AR17" s="3254">
        <f>400037+571354</f>
        <v>971391</v>
      </c>
      <c r="AU17" s="112">
        <f>1158200+1456400</f>
        <v>2614600</v>
      </c>
      <c r="AV17" s="113">
        <f>400057+571354</f>
        <v>971411</v>
      </c>
      <c r="AW17" s="106"/>
      <c r="AX17" s="8111">
        <f>IF(AU17=0,0,AV17/AU17)</f>
        <v>0.37153331293505698</v>
      </c>
      <c r="AZ17" s="112">
        <f>1824020+621534</f>
        <v>2445554</v>
      </c>
      <c r="BA17" s="106"/>
      <c r="BB17" s="3254">
        <f>472165+233182</f>
        <v>705347</v>
      </c>
    </row>
    <row r="18" spans="1:54" x14ac:dyDescent="0.35">
      <c r="A18" s="9168"/>
      <c r="B18" s="6082"/>
      <c r="C18" s="110"/>
      <c r="D18" s="60"/>
      <c r="F18" s="122"/>
      <c r="G18"/>
      <c r="H18" s="114"/>
      <c r="I18" s="123"/>
      <c r="J18" s="64"/>
      <c r="L18" s="114"/>
      <c r="M18" s="66"/>
      <c r="O18" s="114"/>
      <c r="P18" s="123"/>
      <c r="Q18" s="106"/>
      <c r="R18" s="64"/>
      <c r="T18" s="3956"/>
      <c r="U18" s="259"/>
      <c r="V18" s="3952"/>
      <c r="X18" s="114"/>
      <c r="Y18" s="123"/>
      <c r="Z18" s="106"/>
      <c r="AA18" s="64"/>
      <c r="AC18" s="3956"/>
      <c r="AD18" s="259"/>
      <c r="AE18" s="3952"/>
      <c r="AF18" s="1798"/>
      <c r="AG18" s="3956"/>
      <c r="AH18" s="259"/>
      <c r="AI18" s="5669"/>
      <c r="AK18" s="114"/>
      <c r="AL18" s="123"/>
      <c r="AM18" s="106"/>
      <c r="AN18" s="476"/>
      <c r="AP18" s="114"/>
      <c r="AQ18" s="106"/>
      <c r="AR18" s="3254"/>
      <c r="AU18" s="114"/>
      <c r="AV18" s="123"/>
      <c r="AW18" s="106"/>
      <c r="AX18" s="8106"/>
      <c r="AZ18" s="114"/>
      <c r="BA18" s="106"/>
      <c r="BB18" s="3254"/>
    </row>
    <row r="19" spans="1:54" x14ac:dyDescent="0.35">
      <c r="A19" s="9168"/>
      <c r="B19" s="6082"/>
      <c r="C19" s="110"/>
      <c r="D19" s="60"/>
      <c r="F19" s="122"/>
      <c r="G19"/>
      <c r="H19" s="114"/>
      <c r="I19" s="123"/>
      <c r="J19" s="64"/>
      <c r="L19" s="114"/>
      <c r="M19" s="66"/>
      <c r="O19" s="114"/>
      <c r="P19" s="123"/>
      <c r="Q19" s="106"/>
      <c r="R19" s="64"/>
      <c r="T19" s="3956">
        <v>78325.328200000004</v>
      </c>
      <c r="U19" s="3969" t="s">
        <v>2092</v>
      </c>
      <c r="V19" s="3952">
        <v>60076</v>
      </c>
      <c r="X19" s="114">
        <v>78325.3</v>
      </c>
      <c r="Y19" s="123">
        <v>60076</v>
      </c>
      <c r="Z19" s="106" t="s">
        <v>2092</v>
      </c>
      <c r="AA19" s="64"/>
      <c r="AC19" s="3956">
        <v>122516.23699999999</v>
      </c>
      <c r="AD19" s="3969" t="s">
        <v>2092</v>
      </c>
      <c r="AE19" s="3952">
        <v>84336.104000000007</v>
      </c>
      <c r="AF19" s="1798"/>
      <c r="AG19" s="3327">
        <v>151264.60860000001</v>
      </c>
      <c r="AH19" s="3969" t="s">
        <v>2092</v>
      </c>
      <c r="AI19" s="5669">
        <v>136245.869661</v>
      </c>
      <c r="AK19" s="242">
        <v>151264.60860000001</v>
      </c>
      <c r="AL19" s="123">
        <v>138405.164292</v>
      </c>
      <c r="AM19" s="57" t="s">
        <v>2092</v>
      </c>
      <c r="AN19" s="1562">
        <f>IF(AK19=0,0,AL19/AK19)</f>
        <v>0.9149870916467634</v>
      </c>
      <c r="AP19" s="114">
        <v>255487</v>
      </c>
      <c r="AQ19" s="57" t="s">
        <v>2092</v>
      </c>
      <c r="AR19" s="3254">
        <v>143309</v>
      </c>
      <c r="AU19" s="114">
        <v>255487</v>
      </c>
      <c r="AV19" s="123">
        <v>143309</v>
      </c>
      <c r="AW19" s="57" t="s">
        <v>2092</v>
      </c>
      <c r="AX19" s="8111">
        <f>IF(AU19=0,0,AV19/AU19)</f>
        <v>0.56092482200659921</v>
      </c>
      <c r="AZ19" s="114">
        <v>31971</v>
      </c>
      <c r="BA19" s="57" t="s">
        <v>2092</v>
      </c>
      <c r="BB19" s="3254">
        <v>55646</v>
      </c>
    </row>
    <row r="20" spans="1:54" x14ac:dyDescent="0.35">
      <c r="A20" s="9168"/>
      <c r="B20" s="6082"/>
      <c r="C20" s="110" t="s">
        <v>1169</v>
      </c>
      <c r="D20" s="60"/>
      <c r="F20" s="163">
        <v>385996</v>
      </c>
      <c r="G20" s="1569"/>
      <c r="H20" s="242">
        <v>369068</v>
      </c>
      <c r="I20" s="243">
        <v>246754</v>
      </c>
      <c r="J20" s="3025">
        <f t="shared" si="6"/>
        <v>0.66858681868923886</v>
      </c>
      <c r="K20" s="274"/>
      <c r="L20" s="242">
        <v>341302</v>
      </c>
      <c r="M20" s="66">
        <f t="shared" si="7"/>
        <v>228190.01839227459</v>
      </c>
      <c r="O20" s="242">
        <v>341302</v>
      </c>
      <c r="P20" s="243">
        <v>283610.93168899999</v>
      </c>
      <c r="Q20" s="106"/>
      <c r="R20" s="3025">
        <f t="shared" si="2"/>
        <v>0.83096768166902035</v>
      </c>
      <c r="T20" s="3327">
        <v>301644.12599999999</v>
      </c>
      <c r="U20" s="3969" t="s">
        <v>2093</v>
      </c>
      <c r="V20" s="3985">
        <v>230202.6</v>
      </c>
      <c r="X20" s="242">
        <v>167111.70000000001</v>
      </c>
      <c r="Y20" s="243">
        <v>230128.1</v>
      </c>
      <c r="Z20" s="106" t="s">
        <v>2093</v>
      </c>
      <c r="AA20" s="3025">
        <f t="shared" ref="AA20:AA21" si="9">IF(X20=0,0,Y20/X20)</f>
        <v>1.3770914903025939</v>
      </c>
      <c r="AC20" s="3327">
        <v>214233.26500000001</v>
      </c>
      <c r="AD20" s="3969" t="s">
        <v>2093</v>
      </c>
      <c r="AE20" s="3985">
        <v>150279.9</v>
      </c>
      <c r="AF20" s="1798"/>
      <c r="AG20" s="3327">
        <v>388547.36</v>
      </c>
      <c r="AH20" s="5670" t="s">
        <v>2093</v>
      </c>
      <c r="AI20" s="5671">
        <v>190526.36939499999</v>
      </c>
      <c r="AK20" s="242">
        <v>388547.36</v>
      </c>
      <c r="AL20" s="243">
        <v>195054.355965</v>
      </c>
      <c r="AM20" s="106" t="s">
        <v>2093</v>
      </c>
      <c r="AN20" s="1570">
        <f>IF(AK20=0,0,AL20/AK20)</f>
        <v>0.5020092170102507</v>
      </c>
      <c r="AP20" s="242">
        <v>352996</v>
      </c>
      <c r="AQ20" s="57" t="s">
        <v>2093</v>
      </c>
      <c r="AR20" s="3254">
        <v>253185</v>
      </c>
      <c r="AU20" s="242">
        <v>352996</v>
      </c>
      <c r="AV20" s="243">
        <v>253185</v>
      </c>
      <c r="AW20" s="106" t="s">
        <v>2093</v>
      </c>
      <c r="AX20" s="8112">
        <f>IF(AU20=0,0,AV20/AU20)</f>
        <v>0.71724608777436571</v>
      </c>
      <c r="AZ20" s="242">
        <v>408578</v>
      </c>
      <c r="BA20" s="57" t="s">
        <v>2093</v>
      </c>
      <c r="BB20" s="3254">
        <v>537742</v>
      </c>
    </row>
    <row r="21" spans="1:54" x14ac:dyDescent="0.35">
      <c r="A21" s="9168"/>
      <c r="B21" s="128"/>
      <c r="C21" s="129" t="s">
        <v>903</v>
      </c>
      <c r="D21" s="87"/>
      <c r="F21" s="130">
        <f>SUM(F16:F20)</f>
        <v>3675116</v>
      </c>
      <c r="G21" s="235"/>
      <c r="H21" s="131">
        <f>SUM(H16:H20)</f>
        <v>7449005</v>
      </c>
      <c r="I21" s="131">
        <f>SUM(I16:I20)</f>
        <v>3895256</v>
      </c>
      <c r="J21" s="133">
        <f t="shared" si="6"/>
        <v>0.52292299441334777</v>
      </c>
      <c r="L21" s="131">
        <f>SUM(L16:L20)</f>
        <v>7586219</v>
      </c>
      <c r="M21" s="92">
        <f t="shared" si="7"/>
        <v>3967008.355755433</v>
      </c>
      <c r="O21" s="131">
        <f>SUM(O16:O20)</f>
        <v>7382732.4389430005</v>
      </c>
      <c r="P21" s="131">
        <f>SUM(P16:P20)</f>
        <v>4581473.8586959997</v>
      </c>
      <c r="Q21" s="1000"/>
      <c r="R21" s="133">
        <f t="shared" si="2"/>
        <v>0.62056615170411589</v>
      </c>
      <c r="T21" s="5216">
        <f>SUM(T16:T20)</f>
        <v>5947471.5970000001</v>
      </c>
      <c r="U21" s="631"/>
      <c r="V21" s="5216">
        <f>SUM(V16:V20)</f>
        <v>4132072.7030000007</v>
      </c>
      <c r="X21" s="131">
        <v>5497771.5999999996</v>
      </c>
      <c r="Y21" s="131">
        <v>4124331</v>
      </c>
      <c r="Z21" s="216"/>
      <c r="AA21" s="133">
        <f t="shared" si="9"/>
        <v>0.75018231022911175</v>
      </c>
      <c r="AC21" s="5216">
        <f>SUM(AC16:AC20)</f>
        <v>10223312.584000003</v>
      </c>
      <c r="AD21" s="631"/>
      <c r="AE21" s="5216">
        <f>SUM(AE16:AE20)</f>
        <v>4375045.6870000008</v>
      </c>
      <c r="AF21" s="1804"/>
      <c r="AG21" s="5216">
        <f>AG16+AG17+AG19+AG20</f>
        <v>8927875.827539999</v>
      </c>
      <c r="AH21" s="631"/>
      <c r="AI21" s="5672">
        <f>AI16+AI17+AI19+AI20</f>
        <v>6266942.5204489995</v>
      </c>
      <c r="AK21" s="131">
        <f>AK16+AK17+AK19+AK20</f>
        <v>8927875.827539999</v>
      </c>
      <c r="AL21" s="132">
        <f>AL16+AL17+AL19+AL20</f>
        <v>6315209.8563280003</v>
      </c>
      <c r="AM21" s="216"/>
      <c r="AN21" s="484">
        <f>IF(AK21=0,0,AL21/AK21)</f>
        <v>0.70735861231933184</v>
      </c>
      <c r="AP21" s="131">
        <f>SUM(AP16:AP20)</f>
        <v>9604883</v>
      </c>
      <c r="AQ21" s="216"/>
      <c r="AR21" s="130">
        <f>SUM(AR16:AR20)</f>
        <v>8241614</v>
      </c>
      <c r="AU21" s="131">
        <f>AU16+AU17+AU19+AU20</f>
        <v>9604883</v>
      </c>
      <c r="AV21" s="132">
        <f>AV16+AV17+AV19+AV20</f>
        <v>8241634</v>
      </c>
      <c r="AW21" s="216"/>
      <c r="AX21" s="8113">
        <f>IF(AU21=0,0,AV21/AU21)</f>
        <v>0.85806708941691434</v>
      </c>
      <c r="AZ21" s="131">
        <f>SUM(AZ16:AZ20)</f>
        <v>9788530</v>
      </c>
      <c r="BA21" s="216"/>
      <c r="BB21" s="130">
        <f>SUM(BB16:BB20)</f>
        <v>9545385</v>
      </c>
    </row>
    <row r="22" spans="1:54" x14ac:dyDescent="0.35">
      <c r="A22" s="9168"/>
      <c r="B22" s="139" t="s">
        <v>904</v>
      </c>
      <c r="C22" s="49"/>
      <c r="D22" s="140"/>
      <c r="E22" s="141"/>
      <c r="F22" s="1578"/>
      <c r="G22" s="1579"/>
      <c r="H22" s="1580"/>
      <c r="I22" s="150"/>
      <c r="J22" s="146"/>
      <c r="K22" s="141"/>
      <c r="L22" s="147"/>
      <c r="M22" s="148"/>
      <c r="N22" s="141"/>
      <c r="O22" s="147"/>
      <c r="P22" s="150"/>
      <c r="Q22" s="312"/>
      <c r="R22" s="146"/>
      <c r="S22" s="141"/>
      <c r="T22" s="147"/>
      <c r="U22" s="312"/>
      <c r="V22" s="150"/>
      <c r="W22" s="141"/>
      <c r="X22" s="147"/>
      <c r="Y22" s="150"/>
      <c r="Z22" s="312"/>
      <c r="AA22" s="146"/>
      <c r="AB22" s="141"/>
      <c r="AC22" s="147"/>
      <c r="AD22" s="312"/>
      <c r="AE22" s="150"/>
      <c r="AF22" s="5329"/>
      <c r="AG22" s="147"/>
      <c r="AH22" s="312"/>
      <c r="AI22" s="150"/>
      <c r="AJ22" s="141"/>
      <c r="AK22" s="147"/>
      <c r="AL22" s="150"/>
      <c r="AM22" s="312"/>
      <c r="AN22" s="486"/>
      <c r="AO22" s="141"/>
      <c r="AP22" s="147"/>
      <c r="AQ22" s="312"/>
      <c r="AR22" s="5219"/>
      <c r="AU22" s="147"/>
      <c r="AV22" s="150"/>
      <c r="AW22" s="312"/>
      <c r="AX22" s="146"/>
      <c r="AY22" s="141"/>
      <c r="AZ22" s="147"/>
      <c r="BA22" s="312"/>
      <c r="BB22" s="5219"/>
    </row>
    <row r="23" spans="1:54" x14ac:dyDescent="0.35">
      <c r="A23" s="9168"/>
      <c r="B23" s="6082"/>
      <c r="C23" s="110" t="s">
        <v>905</v>
      </c>
      <c r="D23" s="60"/>
      <c r="F23" s="155">
        <v>1259286</v>
      </c>
      <c r="G23" s="235"/>
      <c r="H23" s="117">
        <v>1707597</v>
      </c>
      <c r="I23" s="115">
        <v>1633523</v>
      </c>
      <c r="J23" s="64">
        <f t="shared" ref="J23:J26" si="10">IF(H23=0,0,I23/H23)</f>
        <v>0.95662091231127722</v>
      </c>
      <c r="L23" s="156">
        <v>1960685</v>
      </c>
      <c r="M23" s="157">
        <f t="shared" ref="M23:M26" si="11">L23*J23</f>
        <v>1875632.2734550366</v>
      </c>
      <c r="O23" s="156">
        <v>1821579.445853</v>
      </c>
      <c r="P23" s="115">
        <v>1976739.9597479999</v>
      </c>
      <c r="Q23" s="312"/>
      <c r="R23" s="64">
        <f t="shared" si="2"/>
        <v>1.0851791088487728</v>
      </c>
      <c r="T23" s="156">
        <v>2045173</v>
      </c>
      <c r="U23" s="312"/>
      <c r="V23" s="115">
        <v>2031567</v>
      </c>
      <c r="X23" s="156">
        <v>2045173</v>
      </c>
      <c r="Y23" s="115">
        <v>2031567</v>
      </c>
      <c r="Z23" s="312"/>
      <c r="AA23" s="64">
        <f t="shared" ref="AA23:AA26" si="12">IF(X23=0,0,Y23/X23)</f>
        <v>0.99334726206536073</v>
      </c>
      <c r="AC23" s="156">
        <v>2045173</v>
      </c>
      <c r="AD23" s="312"/>
      <c r="AE23" s="115">
        <v>2207420.3119999999</v>
      </c>
      <c r="AF23" s="120"/>
      <c r="AG23" s="156">
        <v>2660793.5038410001</v>
      </c>
      <c r="AH23" s="312"/>
      <c r="AI23" s="115">
        <v>2828075.5824440001</v>
      </c>
      <c r="AK23" s="156">
        <v>2660793.5038410001</v>
      </c>
      <c r="AL23" s="115">
        <f>2828595.6667</f>
        <v>2828595.6666999999</v>
      </c>
      <c r="AM23" s="312"/>
      <c r="AN23" s="476">
        <f>IF(AK23=0,0,AL23/AK23)</f>
        <v>1.0630647070570369</v>
      </c>
      <c r="AP23" s="117">
        <v>3682520</v>
      </c>
      <c r="AQ23" s="312"/>
      <c r="AR23" s="3265">
        <f>3855239</f>
        <v>3855239</v>
      </c>
      <c r="AU23" s="117">
        <v>3682520</v>
      </c>
      <c r="AV23" s="115">
        <v>3855239</v>
      </c>
      <c r="AW23" s="312"/>
      <c r="AX23" s="64">
        <f>IF(AU23=0,0,AV23/AU23)</f>
        <v>1.0469023929265828</v>
      </c>
      <c r="AZ23" s="117">
        <v>4806269</v>
      </c>
      <c r="BA23" s="312"/>
      <c r="BB23" s="3265">
        <v>5393864</v>
      </c>
    </row>
    <row r="24" spans="1:54" x14ac:dyDescent="0.35">
      <c r="A24" s="9168"/>
      <c r="B24" s="6082"/>
      <c r="C24" s="110" t="s">
        <v>907</v>
      </c>
      <c r="D24" s="60"/>
      <c r="F24" s="155"/>
      <c r="G24" s="235"/>
      <c r="H24" s="117"/>
      <c r="I24" s="115"/>
      <c r="J24" s="64">
        <f t="shared" si="10"/>
        <v>0</v>
      </c>
      <c r="L24" s="156"/>
      <c r="M24" s="157">
        <f t="shared" si="11"/>
        <v>0</v>
      </c>
      <c r="O24" s="156"/>
      <c r="P24" s="115"/>
      <c r="Q24" s="312"/>
      <c r="R24" s="64">
        <f t="shared" si="2"/>
        <v>0</v>
      </c>
      <c r="T24" s="156"/>
      <c r="U24" s="312"/>
      <c r="V24" s="115">
        <f t="shared" si="3"/>
        <v>0</v>
      </c>
      <c r="X24" s="156"/>
      <c r="Y24" s="115">
        <f>U24*W24</f>
        <v>0</v>
      </c>
      <c r="Z24" s="312"/>
      <c r="AA24" s="64">
        <f t="shared" si="12"/>
        <v>0</v>
      </c>
      <c r="AC24" s="156"/>
      <c r="AD24" s="312"/>
      <c r="AE24" s="115">
        <f t="shared" ref="AE24:AE26" si="13">AA24*AC24</f>
        <v>0</v>
      </c>
      <c r="AF24" s="120"/>
      <c r="AG24" s="156"/>
      <c r="AH24" s="312"/>
      <c r="AI24" s="115">
        <f>AD24*AG24</f>
        <v>0</v>
      </c>
      <c r="AK24" s="156"/>
      <c r="AL24" s="115">
        <f>AH24*AJ24</f>
        <v>0</v>
      </c>
      <c r="AM24" s="312"/>
      <c r="AN24" s="476">
        <f>IF(AK24=0,0,AL24/AK24)</f>
        <v>0</v>
      </c>
      <c r="AP24" s="156"/>
      <c r="AQ24" s="312"/>
      <c r="AR24" s="3265">
        <f>AN24*AP24</f>
        <v>0</v>
      </c>
      <c r="AU24" s="156"/>
      <c r="AV24" s="115">
        <f>AR24*AT24</f>
        <v>0</v>
      </c>
      <c r="AW24" s="312"/>
      <c r="AX24" s="64">
        <f>IF(AU24=0,0,AV24/AU24)</f>
        <v>0</v>
      </c>
      <c r="AZ24" s="156"/>
      <c r="BA24" s="312"/>
      <c r="BB24" s="3265">
        <f>AX24*AZ24</f>
        <v>0</v>
      </c>
    </row>
    <row r="25" spans="1:54" x14ac:dyDescent="0.35">
      <c r="A25" s="9168"/>
      <c r="B25" s="6082"/>
      <c r="C25" s="110" t="s">
        <v>908</v>
      </c>
      <c r="D25" s="60"/>
      <c r="F25" s="155"/>
      <c r="G25" s="235"/>
      <c r="H25" s="117"/>
      <c r="I25" s="115"/>
      <c r="J25" s="64">
        <f t="shared" si="10"/>
        <v>0</v>
      </c>
      <c r="L25" s="156"/>
      <c r="M25" s="157">
        <f t="shared" si="11"/>
        <v>0</v>
      </c>
      <c r="O25" s="156"/>
      <c r="P25" s="115"/>
      <c r="Q25" s="312"/>
      <c r="R25" s="64">
        <f t="shared" si="2"/>
        <v>0</v>
      </c>
      <c r="T25" s="156"/>
      <c r="U25" s="312"/>
      <c r="V25" s="115">
        <f t="shared" si="3"/>
        <v>0</v>
      </c>
      <c r="X25" s="156"/>
      <c r="Y25" s="115">
        <f>U25*W25</f>
        <v>0</v>
      </c>
      <c r="Z25" s="312"/>
      <c r="AA25" s="64">
        <f t="shared" si="12"/>
        <v>0</v>
      </c>
      <c r="AC25" s="156"/>
      <c r="AD25" s="312"/>
      <c r="AE25" s="115">
        <f t="shared" si="13"/>
        <v>0</v>
      </c>
      <c r="AF25" s="120"/>
      <c r="AG25" s="156"/>
      <c r="AH25" s="312"/>
      <c r="AI25" s="115">
        <f>AD25*AG25</f>
        <v>0</v>
      </c>
      <c r="AK25" s="156"/>
      <c r="AL25" s="115">
        <f>AH25*AJ25</f>
        <v>0</v>
      </c>
      <c r="AM25" s="312"/>
      <c r="AN25" s="476">
        <f>IF(AK25=0,0,AL25/AK25)</f>
        <v>0</v>
      </c>
      <c r="AP25" s="156"/>
      <c r="AQ25" s="312"/>
      <c r="AR25" s="3265">
        <f>AN25*AP25</f>
        <v>0</v>
      </c>
      <c r="AU25" s="156"/>
      <c r="AV25" s="115">
        <f>AR25*AT25</f>
        <v>0</v>
      </c>
      <c r="AW25" s="312"/>
      <c r="AX25" s="64">
        <f>IF(AU25=0,0,AV25/AU25)</f>
        <v>0</v>
      </c>
      <c r="AZ25" s="156"/>
      <c r="BA25" s="312"/>
      <c r="BB25" s="3265">
        <f>AX25*AZ25</f>
        <v>0</v>
      </c>
    </row>
    <row r="26" spans="1:54" x14ac:dyDescent="0.35">
      <c r="A26" s="9168"/>
      <c r="B26" s="6082"/>
      <c r="C26" s="161" t="s">
        <v>910</v>
      </c>
      <c r="D26" s="162"/>
      <c r="F26" s="5673"/>
      <c r="G26" s="2675"/>
      <c r="H26" s="5674"/>
      <c r="I26" s="5675"/>
      <c r="J26" s="5676">
        <f t="shared" si="10"/>
        <v>0</v>
      </c>
      <c r="K26" s="3818"/>
      <c r="L26" s="5677"/>
      <c r="M26" s="157">
        <f t="shared" si="11"/>
        <v>0</v>
      </c>
      <c r="O26" s="5677"/>
      <c r="P26" s="5675"/>
      <c r="Q26" s="312"/>
      <c r="R26" s="5676">
        <f t="shared" si="2"/>
        <v>0</v>
      </c>
      <c r="T26" s="5677"/>
      <c r="U26" s="312"/>
      <c r="V26" s="5675">
        <f t="shared" si="3"/>
        <v>0</v>
      </c>
      <c r="X26" s="5677"/>
      <c r="Y26" s="5675">
        <f>U26*W26</f>
        <v>0</v>
      </c>
      <c r="Z26" s="312"/>
      <c r="AA26" s="5676">
        <f t="shared" si="12"/>
        <v>0</v>
      </c>
      <c r="AC26" s="5677"/>
      <c r="AD26" s="312"/>
      <c r="AE26" s="5675">
        <f t="shared" si="13"/>
        <v>0</v>
      </c>
      <c r="AF26" s="2819"/>
      <c r="AG26" s="5677"/>
      <c r="AH26" s="312"/>
      <c r="AI26" s="5675">
        <f>AD26*AG26</f>
        <v>0</v>
      </c>
      <c r="AK26" s="5677"/>
      <c r="AL26" s="5675">
        <f>AH26*AJ26</f>
        <v>0</v>
      </c>
      <c r="AM26" s="312"/>
      <c r="AN26" s="6644">
        <f>IF(AK26=0,0,AL26/AK26)</f>
        <v>0</v>
      </c>
      <c r="AP26" s="5677"/>
      <c r="AQ26" s="312"/>
      <c r="AR26" s="6645">
        <f>AN26*AP26</f>
        <v>0</v>
      </c>
      <c r="AU26" s="5677"/>
      <c r="AV26" s="5675">
        <f>AR26*AT26</f>
        <v>0</v>
      </c>
      <c r="AW26" s="312"/>
      <c r="AX26" s="5676">
        <f>IF(AU26=0,0,AV26/AU26)</f>
        <v>0</v>
      </c>
      <c r="AZ26" s="5677"/>
      <c r="BA26" s="312"/>
      <c r="BB26" s="6645">
        <f>AX26*AZ26</f>
        <v>0</v>
      </c>
    </row>
    <row r="27" spans="1:54" x14ac:dyDescent="0.35">
      <c r="A27" s="9168"/>
      <c r="B27" s="128"/>
      <c r="C27" s="129" t="s">
        <v>914</v>
      </c>
      <c r="D27" s="87"/>
      <c r="F27" s="5678">
        <f>IF(F24=0,0,(F25-F26)/F24)</f>
        <v>0</v>
      </c>
      <c r="G27" s="5679"/>
      <c r="H27" s="5680">
        <f t="shared" ref="H27:I27" si="14">IF(H24=0,0,(H25-H26)/H24)</f>
        <v>0</v>
      </c>
      <c r="I27" s="2805">
        <f t="shared" si="14"/>
        <v>0</v>
      </c>
      <c r="J27" s="2806"/>
      <c r="K27" s="5679"/>
      <c r="L27" s="4057">
        <f>IF(L24=0,0,L25/L24)</f>
        <v>0</v>
      </c>
      <c r="M27" s="175">
        <f>IF(M24=0,0,M25/M24)</f>
        <v>0</v>
      </c>
      <c r="N27" s="176"/>
      <c r="O27" s="4057">
        <f>IF(O24=0,0,O25/O24)</f>
        <v>0</v>
      </c>
      <c r="P27" s="2805">
        <f>IF(P24=0,0,P25/P24)</f>
        <v>0</v>
      </c>
      <c r="Q27" s="178"/>
      <c r="R27" s="2806"/>
      <c r="S27" s="176"/>
      <c r="T27" s="4057"/>
      <c r="U27" s="178"/>
      <c r="V27" s="2805"/>
      <c r="W27" s="176"/>
      <c r="X27" s="4057"/>
      <c r="Y27" s="2805"/>
      <c r="Z27" s="178"/>
      <c r="AA27" s="2806"/>
      <c r="AB27" s="176"/>
      <c r="AC27" s="4057"/>
      <c r="AD27" s="178"/>
      <c r="AE27" s="2805"/>
      <c r="AF27" s="5681"/>
      <c r="AG27" s="4057"/>
      <c r="AH27" s="178"/>
      <c r="AI27" s="2805"/>
      <c r="AJ27" s="176"/>
      <c r="AK27" s="6646"/>
      <c r="AL27" s="6163"/>
      <c r="AM27" s="498"/>
      <c r="AN27" s="6104"/>
      <c r="AO27" s="176"/>
      <c r="AP27" s="6646"/>
      <c r="AQ27" s="498"/>
      <c r="AR27" s="6647"/>
      <c r="AU27" s="4057"/>
      <c r="AV27" s="2805"/>
      <c r="AW27" s="178"/>
      <c r="AX27" s="2806"/>
      <c r="AY27" s="176"/>
      <c r="AZ27" s="4057"/>
      <c r="BA27" s="178"/>
      <c r="BB27" s="8114"/>
    </row>
    <row r="28" spans="1:54" x14ac:dyDescent="0.35">
      <c r="A28" s="9169"/>
      <c r="B28" s="499" t="s">
        <v>915</v>
      </c>
      <c r="C28" s="500"/>
      <c r="D28" s="501"/>
      <c r="F28" s="5682"/>
      <c r="G28" s="3818"/>
      <c r="H28" s="5683"/>
      <c r="I28" s="2812"/>
      <c r="J28" s="5684">
        <f>IF(H28=0,0,I28/H28)</f>
        <v>0</v>
      </c>
      <c r="K28" s="3818"/>
      <c r="L28" s="5683"/>
      <c r="M28" s="506">
        <f t="shared" ref="M28" si="15">L28*J28</f>
        <v>0</v>
      </c>
      <c r="O28" s="5683"/>
      <c r="P28" s="2812"/>
      <c r="Q28" s="3172"/>
      <c r="R28" s="5684">
        <f t="shared" si="2"/>
        <v>0</v>
      </c>
      <c r="T28" s="5683"/>
      <c r="U28" s="3054"/>
      <c r="V28" s="5685">
        <f t="shared" si="3"/>
        <v>0</v>
      </c>
      <c r="X28" s="5683"/>
      <c r="Y28" s="2812">
        <f>U28*W28</f>
        <v>0</v>
      </c>
      <c r="Z28" s="3054"/>
      <c r="AA28" s="5684">
        <f t="shared" ref="AA28" si="16">IF(X28=0,0,Y28/X28)</f>
        <v>0</v>
      </c>
      <c r="AC28" s="5683"/>
      <c r="AD28" s="3054"/>
      <c r="AE28" s="5685">
        <f t="shared" ref="AE28" si="17">AA28*AC28</f>
        <v>0</v>
      </c>
      <c r="AF28" s="5686"/>
      <c r="AG28" s="5683"/>
      <c r="AH28" s="3054"/>
      <c r="AI28" s="5685">
        <f>AD28*AG28</f>
        <v>0</v>
      </c>
      <c r="AK28" s="5683"/>
      <c r="AL28" s="2812">
        <f>AH28*AJ28</f>
        <v>0</v>
      </c>
      <c r="AM28" s="3054"/>
      <c r="AN28" s="6648">
        <f>IF(AK28=0,0,AL28/AK28)</f>
        <v>0</v>
      </c>
      <c r="AP28" s="5683"/>
      <c r="AQ28" s="3054"/>
      <c r="AR28" s="6649">
        <f>AN28*AP28</f>
        <v>0</v>
      </c>
      <c r="AU28" s="5683"/>
      <c r="AV28" s="2812">
        <f>AR28*AT28</f>
        <v>0</v>
      </c>
      <c r="AW28" s="3054"/>
      <c r="AX28" s="5684">
        <f>IF(AU28=0,0,AV28/AU28)</f>
        <v>0</v>
      </c>
      <c r="AZ28" s="5683"/>
      <c r="BA28" s="3054"/>
      <c r="BB28" s="6649">
        <f>AX28*AZ28</f>
        <v>0</v>
      </c>
    </row>
    <row r="29" spans="1:54" x14ac:dyDescent="0.35">
      <c r="A29" s="220"/>
      <c r="B29" s="220"/>
      <c r="F29" s="2819"/>
      <c r="G29" s="3818"/>
      <c r="H29" s="2819"/>
      <c r="I29" s="2819" t="s">
        <v>2094</v>
      </c>
      <c r="J29" s="5687"/>
      <c r="K29" s="3818"/>
      <c r="L29" s="2819"/>
      <c r="O29" s="2819"/>
      <c r="P29" s="2819"/>
      <c r="Q29" s="5055"/>
      <c r="R29" s="5687"/>
      <c r="T29" s="2819"/>
      <c r="U29" s="1696"/>
      <c r="V29" s="2819"/>
      <c r="X29" s="2819"/>
      <c r="Y29" s="2819"/>
      <c r="Z29" s="1696"/>
      <c r="AA29" s="5687"/>
      <c r="AC29" s="2819"/>
      <c r="AD29" s="1696"/>
      <c r="AE29" s="2819"/>
      <c r="AF29" s="2819"/>
      <c r="AG29" s="2819"/>
      <c r="AH29" s="1696"/>
      <c r="AI29" s="2819"/>
      <c r="AK29" s="2819"/>
      <c r="AL29" s="2819"/>
      <c r="AM29" s="1696"/>
      <c r="AN29" s="5687"/>
      <c r="AP29" s="2819"/>
      <c r="AQ29" s="1696"/>
      <c r="AR29" s="2819"/>
      <c r="AU29" s="2819"/>
      <c r="AV29" s="2819"/>
      <c r="AW29" s="1696"/>
      <c r="AX29" s="5687"/>
      <c r="AZ29" s="2819"/>
      <c r="BA29" s="1696"/>
      <c r="BB29" s="2819"/>
    </row>
    <row r="30" spans="1:54" ht="35.75" customHeight="1" x14ac:dyDescent="0.35">
      <c r="A30" s="9167" t="s">
        <v>916</v>
      </c>
      <c r="B30" s="27"/>
      <c r="C30" s="28" t="s">
        <v>427</v>
      </c>
      <c r="D30" s="42" t="s">
        <v>428</v>
      </c>
      <c r="E30" s="30"/>
      <c r="F30" s="5688" t="s">
        <v>2070</v>
      </c>
      <c r="G30" s="5689"/>
      <c r="H30" s="5688" t="s">
        <v>2095</v>
      </c>
      <c r="I30" s="5688" t="s">
        <v>2070</v>
      </c>
      <c r="J30" s="5690"/>
      <c r="K30" s="5691"/>
      <c r="L30" s="5688" t="s">
        <v>2070</v>
      </c>
      <c r="M30" s="511"/>
      <c r="N30" s="30"/>
      <c r="O30" s="5688" t="s">
        <v>2070</v>
      </c>
      <c r="P30" s="5688" t="s">
        <v>2070</v>
      </c>
      <c r="Q30" s="511"/>
      <c r="R30" s="5690"/>
      <c r="S30" s="30"/>
      <c r="T30" s="5688"/>
      <c r="U30" s="1606"/>
      <c r="V30" s="5688"/>
      <c r="W30" s="30"/>
      <c r="X30" s="9182" t="s">
        <v>2096</v>
      </c>
      <c r="Y30" s="9183"/>
      <c r="Z30" s="5692" t="s">
        <v>2097</v>
      </c>
      <c r="AA30" s="5690"/>
      <c r="AB30" s="30"/>
      <c r="AC30" s="5688" t="s">
        <v>2098</v>
      </c>
      <c r="AD30" s="1606"/>
      <c r="AE30" s="5688" t="s">
        <v>2099</v>
      </c>
      <c r="AF30" s="5693"/>
      <c r="AG30" s="5688" t="s">
        <v>2099</v>
      </c>
      <c r="AH30" s="1606"/>
      <c r="AI30" s="5688" t="s">
        <v>2099</v>
      </c>
      <c r="AJ30" s="30"/>
      <c r="AK30" s="9182" t="s">
        <v>2100</v>
      </c>
      <c r="AL30" s="9183"/>
      <c r="AM30" s="5692"/>
      <c r="AN30" s="5690"/>
      <c r="AO30" s="30"/>
      <c r="AP30" s="5688" t="s">
        <v>2098</v>
      </c>
      <c r="AQ30" s="1606"/>
      <c r="AR30" s="5688" t="s">
        <v>2099</v>
      </c>
      <c r="AU30" s="9182" t="s">
        <v>2100</v>
      </c>
      <c r="AV30" s="9183"/>
      <c r="AW30" s="5692"/>
      <c r="AX30" s="5690"/>
      <c r="AY30" s="30"/>
      <c r="AZ30" s="5688" t="s">
        <v>2099</v>
      </c>
      <c r="BA30" s="1606"/>
      <c r="BB30" s="5688" t="s">
        <v>2099</v>
      </c>
    </row>
    <row r="31" spans="1:54" x14ac:dyDescent="0.35">
      <c r="A31" s="9168"/>
      <c r="B31" s="141" t="s">
        <v>925</v>
      </c>
      <c r="C31"/>
      <c r="D31" s="140"/>
      <c r="E31" s="143"/>
      <c r="F31" s="5694"/>
      <c r="G31" s="5695"/>
      <c r="H31" s="5696"/>
      <c r="I31" s="2826"/>
      <c r="J31" s="5697"/>
      <c r="K31" s="5695"/>
      <c r="L31" s="5696"/>
      <c r="M31" s="229"/>
      <c r="N31" s="143"/>
      <c r="O31" s="5696"/>
      <c r="P31" s="2826"/>
      <c r="R31" s="5697"/>
      <c r="S31" s="143"/>
      <c r="T31" s="5696"/>
      <c r="V31" s="2826"/>
      <c r="W31" s="143"/>
      <c r="X31" s="5696"/>
      <c r="Y31" s="2826"/>
      <c r="AA31" s="5697"/>
      <c r="AB31" s="143"/>
      <c r="AC31" s="5696"/>
      <c r="AE31" s="2826"/>
      <c r="AF31" s="2819"/>
      <c r="AG31" s="5696"/>
      <c r="AI31" s="2826"/>
      <c r="AJ31" s="143"/>
      <c r="AK31" s="5696"/>
      <c r="AL31" s="2826"/>
      <c r="AN31" s="5697"/>
      <c r="AO31" s="143"/>
      <c r="AP31" s="5696"/>
      <c r="AR31" s="2826"/>
      <c r="AU31" s="5696"/>
      <c r="AV31" s="2826"/>
      <c r="AX31" s="5697"/>
      <c r="AY31" s="143"/>
      <c r="AZ31" s="5696"/>
      <c r="BB31" s="2826"/>
    </row>
    <row r="32" spans="1:54" x14ac:dyDescent="0.35">
      <c r="A32" s="9168"/>
      <c r="B32" s="232"/>
      <c r="C32" s="232" t="s">
        <v>2101</v>
      </c>
      <c r="D32" s="60"/>
      <c r="F32" s="5081">
        <v>322370</v>
      </c>
      <c r="G32" s="3818"/>
      <c r="H32" s="5698">
        <f>514931</f>
        <v>514931</v>
      </c>
      <c r="I32" s="5699">
        <f>457565</f>
        <v>457565</v>
      </c>
      <c r="J32" s="5676">
        <f>IF(H32=0,0,I32/H32)</f>
        <v>0.8885947826019408</v>
      </c>
      <c r="K32" s="3818"/>
      <c r="L32" s="5698">
        <f>599911</f>
        <v>599911</v>
      </c>
      <c r="M32" s="157">
        <f t="shared" ref="M32:M37" si="18">L32*J32</f>
        <v>533077.7846255129</v>
      </c>
      <c r="O32" s="5698">
        <f>599911</f>
        <v>599911</v>
      </c>
      <c r="P32" s="5699">
        <f>258375*12/6</f>
        <v>516750</v>
      </c>
      <c r="Q32" s="312"/>
      <c r="R32" s="5676">
        <f t="shared" ref="R32:R37" si="19">IF(O32=0,0,P32/O32)</f>
        <v>0.86137777103603697</v>
      </c>
      <c r="T32" s="262">
        <f>679575.998853-T33</f>
        <v>625307.668282</v>
      </c>
      <c r="U32" s="3064"/>
      <c r="V32" s="1351">
        <f>603484.069729-V33</f>
        <v>588554.21745200001</v>
      </c>
      <c r="X32" s="5698">
        <f>679575.998853-X33</f>
        <v>629481.97485300002</v>
      </c>
      <c r="Y32" s="5699">
        <f>616802.078692-Y33</f>
        <v>588641.77869199996</v>
      </c>
      <c r="Z32" s="312"/>
      <c r="AA32" s="5676">
        <f t="shared" ref="AA32:AA33" si="20">IF(X32=0,0,Y32/X32)</f>
        <v>0.93512094421681058</v>
      </c>
      <c r="AC32" s="262">
        <f>900162.101-AC33</f>
        <v>774588.30500000005</v>
      </c>
      <c r="AD32" s="3064"/>
      <c r="AE32" s="1351">
        <f>634728.163-AE33</f>
        <v>632584.88699999999</v>
      </c>
      <c r="AF32" s="1798"/>
      <c r="AG32" s="3327">
        <v>836793.47877699998</v>
      </c>
      <c r="AH32" s="3064"/>
      <c r="AI32" s="5668">
        <f>808793.938542-AI33</f>
        <v>760007.08825799997</v>
      </c>
      <c r="AK32" s="242">
        <v>836793.47877699998</v>
      </c>
      <c r="AL32" s="113">
        <f>809286.67533-AL33</f>
        <v>760499.82504599995</v>
      </c>
      <c r="AM32" s="312"/>
      <c r="AN32" s="6644">
        <f t="shared" ref="AN32:AN37" si="21">IF(AK32=0,0,AL32/AK32)</f>
        <v>0.90882618511498725</v>
      </c>
      <c r="AP32" s="112">
        <f>901307+9350+81568+17564</f>
        <v>1009789</v>
      </c>
      <c r="AQ32" s="312"/>
      <c r="AR32" s="113">
        <f>964589+2943+70654+14799</f>
        <v>1052985</v>
      </c>
      <c r="AU32" s="112">
        <f>901307+9350+81568+17564</f>
        <v>1009789</v>
      </c>
      <c r="AV32" s="113">
        <f>964589+2943+70654+14799</f>
        <v>1052985</v>
      </c>
      <c r="AW32" s="312"/>
      <c r="AX32" s="5676">
        <f t="shared" ref="AX32:AX37" si="22">IF(AU32=0,0,AV32/AU32)</f>
        <v>1.0427772534658231</v>
      </c>
      <c r="AZ32" s="112">
        <f>1531476.1+8908.6+50849.97+27761.05</f>
        <v>1618995.7200000002</v>
      </c>
      <c r="BA32" s="312"/>
      <c r="BB32" s="113">
        <f>1710110.7+2989+179469.9+49595.8</f>
        <v>1942165.4</v>
      </c>
    </row>
    <row r="33" spans="1:54" x14ac:dyDescent="0.35">
      <c r="A33" s="9168"/>
      <c r="B33" s="232"/>
      <c r="C33" s="232" t="s">
        <v>2102</v>
      </c>
      <c r="D33" s="60"/>
      <c r="F33" s="5082">
        <v>2379</v>
      </c>
      <c r="G33" s="3818"/>
      <c r="H33" s="5698">
        <f>486573</f>
        <v>486573</v>
      </c>
      <c r="I33" s="5699">
        <f>35379</f>
        <v>35379</v>
      </c>
      <c r="J33" s="5676">
        <f>IF(H33=0,0,I33/H33)</f>
        <v>7.2710569637032887E-2</v>
      </c>
      <c r="K33" s="3818"/>
      <c r="L33" s="5698">
        <f>466983</f>
        <v>466983</v>
      </c>
      <c r="M33" s="157">
        <f t="shared" si="18"/>
        <v>33954.599940810527</v>
      </c>
      <c r="O33" s="5698">
        <f>466983</f>
        <v>466983</v>
      </c>
      <c r="P33" s="5699">
        <f>42*12/5</f>
        <v>100.8</v>
      </c>
      <c r="Q33" s="312"/>
      <c r="R33" s="5676">
        <f t="shared" si="19"/>
        <v>2.1585368203981729E-4</v>
      </c>
      <c r="T33" s="262">
        <f>41565.446089+12702.884482</f>
        <v>54268.330570999999</v>
      </c>
      <c r="U33" s="3064"/>
      <c r="V33" s="1351">
        <f>9004.434677+5925.4176</f>
        <v>14929.852276999998</v>
      </c>
      <c r="X33" s="5698">
        <f>18487.924+13359.9+18246.2</f>
        <v>50094.024000000005</v>
      </c>
      <c r="Y33" s="5699">
        <f>19464.7+5461.2+3234.4</f>
        <v>28160.300000000003</v>
      </c>
      <c r="Z33" s="312"/>
      <c r="AA33" s="5676">
        <f t="shared" si="20"/>
        <v>0.56214889025485359</v>
      </c>
      <c r="AC33" s="262">
        <f>69364.836+56208.96</f>
        <v>125573.796</v>
      </c>
      <c r="AD33" s="3064"/>
      <c r="AE33" s="1351">
        <f>1738.408+404.868</f>
        <v>2143.2759999999998</v>
      </c>
      <c r="AF33" s="1798"/>
      <c r="AG33" s="3327">
        <v>266284.29368300003</v>
      </c>
      <c r="AH33" s="3064"/>
      <c r="AI33" s="5668">
        <f>48630.442608+156.407676</f>
        <v>48786.850284</v>
      </c>
      <c r="AK33" s="242">
        <v>266284.29368300003</v>
      </c>
      <c r="AL33" s="113">
        <f>48630.442608+156.407676</f>
        <v>48786.850284</v>
      </c>
      <c r="AM33" s="312"/>
      <c r="AN33" s="6644">
        <f t="shared" si="21"/>
        <v>0.18321339801617681</v>
      </c>
      <c r="AP33" s="112">
        <f>91760+100961</f>
        <v>192721</v>
      </c>
      <c r="AQ33" s="312"/>
      <c r="AR33" s="113">
        <f>38819+37658</f>
        <v>76477</v>
      </c>
      <c r="AU33" s="112">
        <f>91760+100961</f>
        <v>192721</v>
      </c>
      <c r="AV33" s="113">
        <f>38819+37658</f>
        <v>76477</v>
      </c>
      <c r="AW33" s="312"/>
      <c r="AX33" s="5676">
        <f t="shared" si="22"/>
        <v>0.39682753825478284</v>
      </c>
      <c r="AZ33" s="112">
        <f>277416.65+18825.45</f>
        <v>296242.10000000003</v>
      </c>
      <c r="BA33" s="312"/>
      <c r="BB33" s="113">
        <f>29116.3+2374.7</f>
        <v>31491</v>
      </c>
    </row>
    <row r="34" spans="1:54" x14ac:dyDescent="0.35">
      <c r="A34" s="9168"/>
      <c r="B34" s="232"/>
      <c r="C34" s="232" t="s">
        <v>2103</v>
      </c>
      <c r="D34" s="60"/>
      <c r="F34" s="5673"/>
      <c r="G34" s="3818"/>
      <c r="H34" s="5700"/>
      <c r="I34" s="5701"/>
      <c r="J34" s="5676"/>
      <c r="K34" s="3818"/>
      <c r="L34" s="5700"/>
      <c r="M34" s="157"/>
      <c r="O34" s="5700"/>
      <c r="P34" s="5701"/>
      <c r="Q34" s="312"/>
      <c r="R34" s="5676"/>
      <c r="T34" s="3956">
        <f>56412.792789-T35</f>
        <v>7743.140664999999</v>
      </c>
      <c r="U34" s="3064"/>
      <c r="V34" s="3952">
        <f>1735.66246-V35</f>
        <v>1503.16246</v>
      </c>
      <c r="X34" s="5700">
        <f>56412.792789-X35</f>
        <v>7743.1927890000006</v>
      </c>
      <c r="Y34" s="5701">
        <f>1735.66246-Y35</f>
        <v>1503.16246</v>
      </c>
      <c r="Z34" s="312"/>
      <c r="AA34" s="5676"/>
      <c r="AC34" s="3956">
        <f>41428.014-AC35</f>
        <v>7352.9720000000016</v>
      </c>
      <c r="AD34" s="3064"/>
      <c r="AE34" s="3952">
        <f>491.229-AE35</f>
        <v>269.142</v>
      </c>
      <c r="AF34" s="1798"/>
      <c r="AG34" s="3956">
        <v>9772.2721980000006</v>
      </c>
      <c r="AH34" s="3064"/>
      <c r="AI34" s="5669">
        <f>1621.382695-AI35</f>
        <v>1475.2600950000001</v>
      </c>
      <c r="AK34" s="114">
        <v>9772.2721980000006</v>
      </c>
      <c r="AL34" s="123">
        <f>1654.217917-AL35</f>
        <v>1508.095317</v>
      </c>
      <c r="AM34" s="312"/>
      <c r="AN34" s="6644">
        <f t="shared" si="21"/>
        <v>0.1543239163260974</v>
      </c>
      <c r="AP34" s="114">
        <f>2808+1523+7404</f>
        <v>11735</v>
      </c>
      <c r="AQ34" s="312"/>
      <c r="AR34" s="113">
        <f>765+707+2857</f>
        <v>4329</v>
      </c>
      <c r="AU34" s="114">
        <f>2808+1523+7404</f>
        <v>11735</v>
      </c>
      <c r="AV34" s="123">
        <f>765+707+2857</f>
        <v>4329</v>
      </c>
      <c r="AW34" s="312"/>
      <c r="AX34" s="5676">
        <f t="shared" si="22"/>
        <v>0.36889646357051553</v>
      </c>
      <c r="AZ34" s="112">
        <f>8620+1353+6010.7+920.5</f>
        <v>16904.2</v>
      </c>
      <c r="BA34" s="3064"/>
      <c r="BB34" s="112">
        <f>5892+1602.5+3767.7+533.4</f>
        <v>11795.6</v>
      </c>
    </row>
    <row r="35" spans="1:54" x14ac:dyDescent="0.35">
      <c r="A35" s="9168"/>
      <c r="B35" s="232"/>
      <c r="C35" s="232" t="s">
        <v>2104</v>
      </c>
      <c r="D35" s="60"/>
      <c r="F35" s="5673"/>
      <c r="G35" s="3818"/>
      <c r="H35" s="5700"/>
      <c r="I35" s="5701"/>
      <c r="J35" s="5676"/>
      <c r="K35" s="3818"/>
      <c r="L35" s="5700"/>
      <c r="M35" s="157"/>
      <c r="O35" s="5700"/>
      <c r="P35" s="5701"/>
      <c r="Q35" s="312"/>
      <c r="R35" s="5676"/>
      <c r="T35" s="3956">
        <f>13342.729994+35326.92213</f>
        <v>48669.652124</v>
      </c>
      <c r="U35" s="3064"/>
      <c r="V35" s="3952">
        <f>46.5+186</f>
        <v>232.5</v>
      </c>
      <c r="X35" s="5700">
        <f>33058+7374.2+8237.4</f>
        <v>48669.599999999999</v>
      </c>
      <c r="Y35" s="5701">
        <f>232.5</f>
        <v>232.5</v>
      </c>
      <c r="Z35" s="312"/>
      <c r="AA35" s="5676"/>
      <c r="AC35" s="3956">
        <f>3693.023+30382.019</f>
        <v>34075.042000000001</v>
      </c>
      <c r="AD35" s="3064"/>
      <c r="AE35" s="3952">
        <f>148.2+73.887</f>
        <v>222.08699999999999</v>
      </c>
      <c r="AF35" s="1798"/>
      <c r="AG35" s="3956">
        <v>59352.999573000001</v>
      </c>
      <c r="AH35" s="3064"/>
      <c r="AI35" s="5669">
        <v>146.12260000000001</v>
      </c>
      <c r="AK35" s="114">
        <v>59352.999573000001</v>
      </c>
      <c r="AL35" s="123">
        <v>146.12260000000001</v>
      </c>
      <c r="AM35" s="312"/>
      <c r="AN35" s="6644">
        <f t="shared" si="21"/>
        <v>2.4619244360224715E-3</v>
      </c>
      <c r="AP35" s="114">
        <f>26505+49587</f>
        <v>76092</v>
      </c>
      <c r="AQ35" s="312"/>
      <c r="AR35" s="113">
        <f>585+58</f>
        <v>643</v>
      </c>
      <c r="AU35" s="114">
        <f>26505+49587</f>
        <v>76092</v>
      </c>
      <c r="AV35" s="123">
        <f>57+584</f>
        <v>641</v>
      </c>
      <c r="AW35" s="312"/>
      <c r="AX35" s="5676">
        <f t="shared" si="22"/>
        <v>8.4240130368501281E-3</v>
      </c>
      <c r="AZ35" s="112">
        <f>6554+4577.5</f>
        <v>11131.5</v>
      </c>
      <c r="BA35" s="3064"/>
      <c r="BB35" s="112">
        <f>81.8</f>
        <v>81.8</v>
      </c>
    </row>
    <row r="36" spans="1:54" x14ac:dyDescent="0.35">
      <c r="A36" s="9168"/>
      <c r="B36" s="232"/>
      <c r="C36" s="232" t="s">
        <v>2105</v>
      </c>
      <c r="D36" s="60"/>
      <c r="F36" s="5673">
        <v>131700</v>
      </c>
      <c r="G36" s="3818"/>
      <c r="H36" s="5702">
        <f>I36/J36</f>
        <v>174207.64000743066</v>
      </c>
      <c r="I36" s="2907">
        <f>(154.8)*10^3</f>
        <v>154800</v>
      </c>
      <c r="J36" s="5703">
        <f>J32</f>
        <v>0.8885947826019408</v>
      </c>
      <c r="K36" s="3818"/>
      <c r="L36" s="5704">
        <f>(169.8)*10^3</f>
        <v>169800</v>
      </c>
      <c r="M36" s="157">
        <f t="shared" si="18"/>
        <v>150883.39408580956</v>
      </c>
      <c r="O36" s="5704">
        <f>(169.8)*10^3</f>
        <v>169800</v>
      </c>
      <c r="P36" s="5705">
        <f>M36</f>
        <v>150883.39408580956</v>
      </c>
      <c r="Q36" s="312"/>
      <c r="R36" s="5703">
        <f t="shared" si="19"/>
        <v>0.88859478260194091</v>
      </c>
      <c r="T36" s="3327">
        <f>175824.770415-T37</f>
        <v>172404.77041500001</v>
      </c>
      <c r="U36" s="3064"/>
      <c r="V36" s="3985">
        <f>173220.384907-V37</f>
        <v>167194.85933400001</v>
      </c>
      <c r="X36" s="5704">
        <f>175824.770415-X37</f>
        <v>172404.77041500001</v>
      </c>
      <c r="Y36" s="2907">
        <f>176339.3-Y37</f>
        <v>173432.5</v>
      </c>
      <c r="Z36" s="312"/>
      <c r="AA36" s="5703">
        <f t="shared" ref="AA36:AA37" si="23">IF(X36=0,0,Y36/X36)</f>
        <v>1.005961143549138</v>
      </c>
      <c r="AC36" s="3327">
        <f>192666.304-AC37</f>
        <v>191320.144</v>
      </c>
      <c r="AD36" s="3064"/>
      <c r="AE36" s="3985">
        <f>174838.43-AE37</f>
        <v>171921.166</v>
      </c>
      <c r="AF36" s="1798"/>
      <c r="AG36" s="3327">
        <v>206034.15888100001</v>
      </c>
      <c r="AH36" s="3064"/>
      <c r="AI36" s="5671">
        <f>245302.163739-AI37</f>
        <v>245259.44504300001</v>
      </c>
      <c r="AK36" s="242">
        <v>206034.15888100001</v>
      </c>
      <c r="AL36" s="243">
        <f>245302.163739-AL37</f>
        <v>245259.44504300001</v>
      </c>
      <c r="AM36" s="312"/>
      <c r="AN36" s="6644">
        <f t="shared" si="21"/>
        <v>1.1903824413147701</v>
      </c>
      <c r="AP36" s="114">
        <f>296102+915+2502+26504</f>
        <v>326023</v>
      </c>
      <c r="AQ36" s="312"/>
      <c r="AR36" s="113">
        <f>289193+626+506+15518</f>
        <v>305843</v>
      </c>
      <c r="AU36" s="114">
        <f>296102+915+2502+26504</f>
        <v>326023</v>
      </c>
      <c r="AV36" s="243">
        <f>289193+626+506+15518</f>
        <v>305843</v>
      </c>
      <c r="AW36" s="312"/>
      <c r="AX36" s="5676">
        <f t="shared" si="22"/>
        <v>0.93810252650886594</v>
      </c>
      <c r="AZ36" s="114">
        <f>269006.9+623.7+6907.8+15106.2</f>
        <v>291644.60000000003</v>
      </c>
      <c r="BA36" s="312"/>
      <c r="BB36" s="113">
        <f>316727.8+1522+601+44179</f>
        <v>363029.8</v>
      </c>
    </row>
    <row r="37" spans="1:54" x14ac:dyDescent="0.35">
      <c r="A37" s="9168"/>
      <c r="B37" s="232"/>
      <c r="C37" s="232" t="s">
        <v>2106</v>
      </c>
      <c r="D37" s="60"/>
      <c r="F37" s="5673">
        <v>0</v>
      </c>
      <c r="G37" s="3818"/>
      <c r="H37" s="5702">
        <f>I37/J37</f>
        <v>8251.895192063088</v>
      </c>
      <c r="I37" s="2907">
        <f>(0.6)*10^3</f>
        <v>600</v>
      </c>
      <c r="J37" s="5703">
        <f>J33</f>
        <v>7.2710569637032887E-2</v>
      </c>
      <c r="K37" s="3818"/>
      <c r="L37" s="5704">
        <f>(1.2)*10^3</f>
        <v>1200</v>
      </c>
      <c r="M37" s="157">
        <f t="shared" si="18"/>
        <v>87.252683564439465</v>
      </c>
      <c r="O37" s="5704">
        <f>(1.2)*10^3</f>
        <v>1200</v>
      </c>
      <c r="P37" s="5705">
        <f>M37</f>
        <v>87.252683564439465</v>
      </c>
      <c r="Q37" s="312"/>
      <c r="R37" s="5703">
        <f t="shared" si="19"/>
        <v>7.2710569637032887E-2</v>
      </c>
      <c r="T37" s="3327">
        <f>1920+1500</f>
        <v>3420</v>
      </c>
      <c r="U37" s="3064"/>
      <c r="V37" s="3985">
        <f>5999.341893+26.18368</f>
        <v>6025.5255729999999</v>
      </c>
      <c r="X37" s="5704">
        <f>1920+1500</f>
        <v>3420</v>
      </c>
      <c r="Y37" s="2907">
        <f>2906.8</f>
        <v>2906.8</v>
      </c>
      <c r="Z37" s="312"/>
      <c r="AA37" s="5703">
        <f t="shared" si="23"/>
        <v>0.84994152046783633</v>
      </c>
      <c r="AC37" s="3327">
        <v>1346.16</v>
      </c>
      <c r="AD37" s="3064"/>
      <c r="AE37" s="3985">
        <f>2841.61+75.654</f>
        <v>2917.2640000000001</v>
      </c>
      <c r="AF37" s="1798"/>
      <c r="AG37" s="3327">
        <v>11498.801345</v>
      </c>
      <c r="AH37" s="3064"/>
      <c r="AI37" s="5671">
        <v>42.718696000000001</v>
      </c>
      <c r="AK37" s="242">
        <v>11498.801345</v>
      </c>
      <c r="AL37" s="243">
        <v>42.718696000000001</v>
      </c>
      <c r="AM37" s="312"/>
      <c r="AN37" s="6644">
        <f t="shared" si="21"/>
        <v>3.7150564409546291E-3</v>
      </c>
      <c r="AP37" s="114">
        <f>18403</f>
        <v>18403</v>
      </c>
      <c r="AQ37" s="312"/>
      <c r="AR37" s="113">
        <f>620</f>
        <v>620</v>
      </c>
      <c r="AU37" s="114">
        <f>18403</f>
        <v>18403</v>
      </c>
      <c r="AV37" s="243">
        <v>620</v>
      </c>
      <c r="AW37" s="312"/>
      <c r="AX37" s="5676">
        <f t="shared" si="22"/>
        <v>3.3690159213171762E-2</v>
      </c>
      <c r="AZ37" s="114">
        <f>166.7+520.8</f>
        <v>687.5</v>
      </c>
      <c r="BA37" s="312"/>
      <c r="BB37" s="113">
        <v>107</v>
      </c>
    </row>
    <row r="38" spans="1:54" x14ac:dyDescent="0.35">
      <c r="A38" s="9168"/>
      <c r="B38" s="141" t="s">
        <v>940</v>
      </c>
      <c r="C38"/>
      <c r="D38" s="60"/>
      <c r="E38" s="143"/>
      <c r="F38" s="168"/>
      <c r="G38" s="143"/>
      <c r="H38" s="245"/>
      <c r="I38" s="106"/>
      <c r="J38" s="246"/>
      <c r="K38" s="143"/>
      <c r="L38" s="245"/>
      <c r="M38" s="247"/>
      <c r="N38" s="143"/>
      <c r="O38" s="245"/>
      <c r="P38" s="106"/>
      <c r="Q38" s="254"/>
      <c r="R38" s="246"/>
      <c r="S38" s="143"/>
      <c r="T38" s="245"/>
      <c r="U38" s="254"/>
      <c r="V38" s="106"/>
      <c r="W38" s="143"/>
      <c r="X38" s="245"/>
      <c r="Y38" s="106"/>
      <c r="Z38" s="254"/>
      <c r="AA38" s="246"/>
      <c r="AB38" s="143"/>
      <c r="AC38" s="245"/>
      <c r="AD38" s="254"/>
      <c r="AE38" s="106"/>
      <c r="AF38" s="106"/>
      <c r="AG38" s="245"/>
      <c r="AH38" s="254"/>
      <c r="AI38" s="106"/>
      <c r="AJ38" s="143"/>
      <c r="AK38" s="245"/>
      <c r="AL38" s="106"/>
      <c r="AM38" s="254"/>
      <c r="AN38" s="246"/>
      <c r="AO38" s="143"/>
      <c r="AP38" s="245"/>
      <c r="AQ38" s="254"/>
      <c r="AR38" s="106"/>
      <c r="AU38" s="245"/>
      <c r="AV38" s="106"/>
      <c r="AW38" s="254"/>
      <c r="AX38" s="246"/>
      <c r="AY38" s="143"/>
      <c r="AZ38" s="245"/>
      <c r="BA38" s="254"/>
      <c r="BB38" s="106"/>
    </row>
    <row r="39" spans="1:54" x14ac:dyDescent="0.35">
      <c r="A39" s="9168"/>
      <c r="B39" s="232"/>
      <c r="C39" s="232" t="s">
        <v>941</v>
      </c>
      <c r="D39" s="60"/>
      <c r="F39" s="111"/>
      <c r="H39" s="112"/>
      <c r="I39" s="113"/>
      <c r="J39" s="64">
        <f>IF(H39=0,0,I39/H39)</f>
        <v>0</v>
      </c>
      <c r="L39" s="112"/>
      <c r="M39" s="157">
        <f t="shared" ref="M39:M41" si="24">L39*J39</f>
        <v>0</v>
      </c>
      <c r="O39" s="112"/>
      <c r="P39" s="113"/>
      <c r="Q39" s="312"/>
      <c r="R39" s="64">
        <f t="shared" ref="R39:R41" si="25">IF(O39=0,0,P39/O39)</f>
        <v>0</v>
      </c>
      <c r="T39" s="112"/>
      <c r="U39" s="312"/>
      <c r="V39" s="113">
        <f t="shared" ref="V39:V41" si="26">R39*T39</f>
        <v>0</v>
      </c>
      <c r="X39" s="112"/>
      <c r="Y39" s="113">
        <f>U39*W39</f>
        <v>0</v>
      </c>
      <c r="Z39" s="312"/>
      <c r="AA39" s="64">
        <f t="shared" ref="AA39:AA41" si="27">IF(X39=0,0,Y39/X39)</f>
        <v>0</v>
      </c>
      <c r="AC39" s="112"/>
      <c r="AD39" s="312"/>
      <c r="AE39" s="113">
        <f t="shared" ref="AE39:AE41" si="28">AA39*AC39</f>
        <v>0</v>
      </c>
      <c r="AF39" s="120"/>
      <c r="AG39" s="112"/>
      <c r="AH39" s="312"/>
      <c r="AI39" s="113">
        <f>AD39*AG39</f>
        <v>0</v>
      </c>
      <c r="AK39" s="112"/>
      <c r="AL39" s="113">
        <f>AH39*AJ39</f>
        <v>0</v>
      </c>
      <c r="AM39" s="312"/>
      <c r="AN39" s="476">
        <f>IF(AK39=0,0,AL39/AK39)</f>
        <v>0</v>
      </c>
      <c r="AP39" s="112"/>
      <c r="AQ39" s="312"/>
      <c r="AR39" s="113">
        <f>AN39*AP39</f>
        <v>0</v>
      </c>
      <c r="AU39" s="112"/>
      <c r="AV39" s="113">
        <f>AR39*AT39</f>
        <v>0</v>
      </c>
      <c r="AW39" s="312"/>
      <c r="AX39" s="64">
        <f>IF(AU39=0,0,AV39/AU39)</f>
        <v>0</v>
      </c>
      <c r="AZ39" s="112"/>
      <c r="BA39" s="312"/>
      <c r="BB39" s="113">
        <f>AX39*AZ39</f>
        <v>0</v>
      </c>
    </row>
    <row r="40" spans="1:54" x14ac:dyDescent="0.35">
      <c r="A40" s="9168"/>
      <c r="B40" s="232"/>
      <c r="C40" s="232" t="s">
        <v>942</v>
      </c>
      <c r="D40" s="60"/>
      <c r="F40" s="155"/>
      <c r="H40" s="117"/>
      <c r="I40" s="115"/>
      <c r="J40" s="64">
        <f>IF(H40=0,0,I40/H40)</f>
        <v>0</v>
      </c>
      <c r="L40" s="117"/>
      <c r="M40" s="157">
        <f t="shared" si="24"/>
        <v>0</v>
      </c>
      <c r="O40" s="117"/>
      <c r="P40" s="115"/>
      <c r="Q40" s="312"/>
      <c r="R40" s="64">
        <f t="shared" si="25"/>
        <v>0</v>
      </c>
      <c r="T40" s="117"/>
      <c r="U40" s="312"/>
      <c r="V40" s="115">
        <f t="shared" si="26"/>
        <v>0</v>
      </c>
      <c r="X40" s="117"/>
      <c r="Y40" s="115">
        <f>U40*W40</f>
        <v>0</v>
      </c>
      <c r="Z40" s="312"/>
      <c r="AA40" s="64">
        <f t="shared" si="27"/>
        <v>0</v>
      </c>
      <c r="AC40" s="117"/>
      <c r="AD40" s="312"/>
      <c r="AE40" s="115">
        <f t="shared" si="28"/>
        <v>0</v>
      </c>
      <c r="AF40" s="120"/>
      <c r="AG40" s="117"/>
      <c r="AH40" s="312"/>
      <c r="AI40" s="115">
        <f>AD40*AG40</f>
        <v>0</v>
      </c>
      <c r="AK40" s="117"/>
      <c r="AL40" s="115">
        <f>AH40*AJ40</f>
        <v>0</v>
      </c>
      <c r="AM40" s="312"/>
      <c r="AN40" s="476">
        <f>IF(AK40=0,0,AL40/AK40)</f>
        <v>0</v>
      </c>
      <c r="AP40" s="117"/>
      <c r="AQ40" s="312"/>
      <c r="AR40" s="115">
        <f>AN40*AP40</f>
        <v>0</v>
      </c>
      <c r="AU40" s="117"/>
      <c r="AV40" s="115">
        <f>AR40*AT40</f>
        <v>0</v>
      </c>
      <c r="AW40" s="312"/>
      <c r="AX40" s="64">
        <f>IF(AU40=0,0,AV40/AU40)</f>
        <v>0</v>
      </c>
      <c r="AZ40" s="117"/>
      <c r="BA40" s="312"/>
      <c r="BB40" s="115">
        <f>AX40*AZ40</f>
        <v>0</v>
      </c>
    </row>
    <row r="41" spans="1:54" x14ac:dyDescent="0.35">
      <c r="A41" s="9168"/>
      <c r="B41" s="1662"/>
      <c r="C41" s="1662" t="s">
        <v>943</v>
      </c>
      <c r="D41" s="87"/>
      <c r="F41" s="130"/>
      <c r="H41" s="242"/>
      <c r="I41" s="243"/>
      <c r="J41" s="64">
        <f>IF(H41=0,0,I41/H41)</f>
        <v>0</v>
      </c>
      <c r="L41" s="131"/>
      <c r="M41" s="213">
        <f t="shared" si="24"/>
        <v>0</v>
      </c>
      <c r="O41" s="242"/>
      <c r="P41" s="243"/>
      <c r="Q41" s="3054"/>
      <c r="R41" s="64">
        <f t="shared" si="25"/>
        <v>0</v>
      </c>
      <c r="T41" s="131"/>
      <c r="U41" s="3054"/>
      <c r="V41" s="243">
        <f t="shared" si="26"/>
        <v>0</v>
      </c>
      <c r="X41" s="242"/>
      <c r="Y41" s="243">
        <f>U41*W41</f>
        <v>0</v>
      </c>
      <c r="Z41" s="3054"/>
      <c r="AA41" s="64">
        <f t="shared" si="27"/>
        <v>0</v>
      </c>
      <c r="AC41" s="131"/>
      <c r="AD41" s="3054"/>
      <c r="AE41" s="243">
        <f t="shared" si="28"/>
        <v>0</v>
      </c>
      <c r="AF41" s="120"/>
      <c r="AG41" s="131"/>
      <c r="AH41" s="3054"/>
      <c r="AI41" s="243">
        <f>AD41*AG41</f>
        <v>0</v>
      </c>
      <c r="AK41" s="242"/>
      <c r="AL41" s="243">
        <f>AH41*AJ41</f>
        <v>0</v>
      </c>
      <c r="AM41" s="3054"/>
      <c r="AN41" s="476">
        <f>IF(AK41=0,0,AL41/AK41)</f>
        <v>0</v>
      </c>
      <c r="AP41" s="131"/>
      <c r="AQ41" s="3054"/>
      <c r="AR41" s="243">
        <f>AN41*AP41</f>
        <v>0</v>
      </c>
      <c r="AU41" s="242"/>
      <c r="AV41" s="243">
        <f>AR41*AT41</f>
        <v>0</v>
      </c>
      <c r="AW41" s="3054"/>
      <c r="AX41" s="64">
        <f>IF(AU41=0,0,AV41/AU41)</f>
        <v>0</v>
      </c>
      <c r="AZ41" s="131"/>
      <c r="BA41" s="3054"/>
      <c r="BB41" s="243">
        <f>AX41*AZ41</f>
        <v>0</v>
      </c>
    </row>
    <row r="42" spans="1:54" x14ac:dyDescent="0.35">
      <c r="A42" s="9168"/>
      <c r="B42" s="141" t="s">
        <v>944</v>
      </c>
      <c r="C42" s="141"/>
      <c r="D42" s="60"/>
      <c r="E42" s="143"/>
      <c r="F42" s="227"/>
      <c r="G42" s="143"/>
      <c r="H42" s="102"/>
      <c r="I42" s="103"/>
      <c r="J42" s="252"/>
      <c r="K42" s="143"/>
      <c r="L42" s="245"/>
      <c r="M42" s="247"/>
      <c r="N42" s="143"/>
      <c r="O42" s="102"/>
      <c r="P42" s="103"/>
      <c r="Q42" s="254"/>
      <c r="R42" s="252"/>
      <c r="S42" s="143"/>
      <c r="T42" s="245"/>
      <c r="U42" s="254"/>
      <c r="V42" s="103"/>
      <c r="W42" s="143"/>
      <c r="X42" s="102"/>
      <c r="Y42" s="103"/>
      <c r="Z42" s="254"/>
      <c r="AA42" s="252"/>
      <c r="AB42" s="143"/>
      <c r="AC42" s="245"/>
      <c r="AD42" s="254"/>
      <c r="AE42" s="103"/>
      <c r="AF42" s="106"/>
      <c r="AG42" s="245"/>
      <c r="AH42" s="254"/>
      <c r="AI42" s="103"/>
      <c r="AJ42" s="143"/>
      <c r="AK42" s="102"/>
      <c r="AL42" s="103"/>
      <c r="AM42" s="254"/>
      <c r="AN42" s="516"/>
      <c r="AO42" s="143"/>
      <c r="AP42" s="245"/>
      <c r="AQ42" s="254"/>
      <c r="AR42" s="103"/>
      <c r="AU42" s="102"/>
      <c r="AV42" s="103"/>
      <c r="AW42" s="254"/>
      <c r="AX42" s="252"/>
      <c r="AY42" s="143"/>
      <c r="AZ42" s="245"/>
      <c r="BA42" s="254"/>
      <c r="BB42" s="103"/>
    </row>
    <row r="43" spans="1:54" ht="24.75" customHeight="1" x14ac:dyDescent="0.35">
      <c r="A43" s="9168"/>
      <c r="B43" s="232"/>
      <c r="C43" s="232" t="s">
        <v>1742</v>
      </c>
      <c r="D43" s="60"/>
      <c r="F43" s="111"/>
      <c r="H43" s="112"/>
      <c r="I43" s="113"/>
      <c r="J43" s="64">
        <f>IF(H43=0,0,I43/H43)</f>
        <v>0</v>
      </c>
      <c r="L43" s="112"/>
      <c r="M43" s="157">
        <f t="shared" ref="M43:M49" si="29">L43*J43</f>
        <v>0</v>
      </c>
      <c r="O43" s="112"/>
      <c r="P43" s="113"/>
      <c r="Q43" s="312"/>
      <c r="R43" s="64">
        <f t="shared" ref="R43:R49" si="30">IF(O43=0,0,P43/O43)</f>
        <v>0</v>
      </c>
      <c r="T43" s="112"/>
      <c r="U43" s="312"/>
      <c r="V43" s="113">
        <f t="shared" ref="V43:V49" si="31">R43*T43</f>
        <v>0</v>
      </c>
      <c r="X43" s="112"/>
      <c r="Y43" s="113">
        <f t="shared" ref="Y43:Y49" si="32">U43*W43</f>
        <v>0</v>
      </c>
      <c r="Z43" s="312"/>
      <c r="AA43" s="64">
        <f t="shared" ref="AA43:AA49" si="33">IF(X43=0,0,Y43/X43)</f>
        <v>0</v>
      </c>
      <c r="AC43" s="112"/>
      <c r="AD43" s="312"/>
      <c r="AE43" s="113">
        <f t="shared" ref="AE43:AE49" si="34">AA43*AC43</f>
        <v>0</v>
      </c>
      <c r="AF43" s="120"/>
      <c r="AG43" s="112"/>
      <c r="AH43" s="312"/>
      <c r="AI43" s="113">
        <f t="shared" ref="AI43:AI49" si="35">AD43*AG43</f>
        <v>0</v>
      </c>
      <c r="AK43" s="112"/>
      <c r="AL43" s="113">
        <f t="shared" ref="AL43:AL49" si="36">AH43*AJ43</f>
        <v>0</v>
      </c>
      <c r="AM43" s="312"/>
      <c r="AN43" s="476">
        <f t="shared" ref="AN43:AN49" si="37">IF(AK43=0,0,AL43/AK43)</f>
        <v>0</v>
      </c>
      <c r="AP43" s="112"/>
      <c r="AQ43" s="312"/>
      <c r="AR43" s="113">
        <f t="shared" ref="AR43:AR49" si="38">AN43*AP43</f>
        <v>0</v>
      </c>
      <c r="AU43" s="112"/>
      <c r="AV43" s="113">
        <f t="shared" ref="AV43:AV49" si="39">AR43*AT43</f>
        <v>0</v>
      </c>
      <c r="AW43" s="312"/>
      <c r="AX43" s="64">
        <f t="shared" ref="AX43:AX49" si="40">IF(AU43=0,0,AV43/AU43)</f>
        <v>0</v>
      </c>
      <c r="AZ43" s="112"/>
      <c r="BA43" s="312"/>
      <c r="BB43" s="113">
        <f t="shared" ref="BB43:BB49" si="41">AX43*AZ43</f>
        <v>0</v>
      </c>
    </row>
    <row r="44" spans="1:54" x14ac:dyDescent="0.35">
      <c r="A44" s="9168"/>
      <c r="B44" s="232"/>
      <c r="C44" s="232" t="s">
        <v>942</v>
      </c>
      <c r="D44" s="60"/>
      <c r="F44" s="155"/>
      <c r="H44" s="117"/>
      <c r="I44" s="115"/>
      <c r="J44" s="64">
        <f>IF(H44=0,0,I44/H44)</f>
        <v>0</v>
      </c>
      <c r="L44" s="117"/>
      <c r="M44" s="157">
        <f t="shared" si="29"/>
        <v>0</v>
      </c>
      <c r="O44" s="117"/>
      <c r="P44" s="115"/>
      <c r="Q44" s="312"/>
      <c r="R44" s="64">
        <f t="shared" si="30"/>
        <v>0</v>
      </c>
      <c r="T44" s="117"/>
      <c r="U44" s="312"/>
      <c r="V44" s="115">
        <f t="shared" si="31"/>
        <v>0</v>
      </c>
      <c r="X44" s="117"/>
      <c r="Y44" s="115">
        <f t="shared" si="32"/>
        <v>0</v>
      </c>
      <c r="Z44" s="312"/>
      <c r="AA44" s="64">
        <f t="shared" si="33"/>
        <v>0</v>
      </c>
      <c r="AC44" s="117"/>
      <c r="AD44" s="312"/>
      <c r="AE44" s="115">
        <f t="shared" si="34"/>
        <v>0</v>
      </c>
      <c r="AF44" s="120"/>
      <c r="AG44" s="117"/>
      <c r="AH44" s="312"/>
      <c r="AI44" s="115">
        <f t="shared" si="35"/>
        <v>0</v>
      </c>
      <c r="AK44" s="117"/>
      <c r="AL44" s="115">
        <f t="shared" si="36"/>
        <v>0</v>
      </c>
      <c r="AM44" s="312"/>
      <c r="AN44" s="476">
        <f t="shared" si="37"/>
        <v>0</v>
      </c>
      <c r="AP44" s="117"/>
      <c r="AQ44" s="312"/>
      <c r="AR44" s="115">
        <f t="shared" si="38"/>
        <v>0</v>
      </c>
      <c r="AU44" s="117"/>
      <c r="AV44" s="115">
        <f t="shared" si="39"/>
        <v>0</v>
      </c>
      <c r="AW44" s="312"/>
      <c r="AX44" s="64">
        <f t="shared" si="40"/>
        <v>0</v>
      </c>
      <c r="AZ44" s="117"/>
      <c r="BA44" s="312"/>
      <c r="BB44" s="115">
        <f t="shared" si="41"/>
        <v>0</v>
      </c>
    </row>
    <row r="45" spans="1:54" x14ac:dyDescent="0.35">
      <c r="A45" s="9168"/>
      <c r="B45" s="232"/>
      <c r="C45" s="232" t="s">
        <v>943</v>
      </c>
      <c r="D45" s="60"/>
      <c r="F45" s="155"/>
      <c r="H45" s="117"/>
      <c r="I45" s="115"/>
      <c r="J45" s="64">
        <f>IF(H45=0,0,I45/H45)</f>
        <v>0</v>
      </c>
      <c r="L45" s="117"/>
      <c r="M45" s="157">
        <f t="shared" si="29"/>
        <v>0</v>
      </c>
      <c r="O45" s="117"/>
      <c r="P45" s="115"/>
      <c r="Q45" s="312"/>
      <c r="R45" s="64">
        <f t="shared" si="30"/>
        <v>0</v>
      </c>
      <c r="T45" s="117"/>
      <c r="U45" s="312"/>
      <c r="V45" s="115">
        <f t="shared" si="31"/>
        <v>0</v>
      </c>
      <c r="X45" s="117"/>
      <c r="Y45" s="115">
        <f t="shared" si="32"/>
        <v>0</v>
      </c>
      <c r="Z45" s="312"/>
      <c r="AA45" s="64">
        <f t="shared" si="33"/>
        <v>0</v>
      </c>
      <c r="AC45" s="117"/>
      <c r="AD45" s="312"/>
      <c r="AE45" s="115">
        <f t="shared" si="34"/>
        <v>0</v>
      </c>
      <c r="AF45" s="120"/>
      <c r="AG45" s="117"/>
      <c r="AH45" s="312"/>
      <c r="AI45" s="115">
        <f t="shared" si="35"/>
        <v>0</v>
      </c>
      <c r="AK45" s="117"/>
      <c r="AL45" s="115">
        <f t="shared" si="36"/>
        <v>0</v>
      </c>
      <c r="AM45" s="312"/>
      <c r="AN45" s="476">
        <f t="shared" si="37"/>
        <v>0</v>
      </c>
      <c r="AP45" s="117"/>
      <c r="AQ45" s="312"/>
      <c r="AR45" s="115">
        <f t="shared" si="38"/>
        <v>0</v>
      </c>
      <c r="AU45" s="117"/>
      <c r="AV45" s="115">
        <f t="shared" si="39"/>
        <v>0</v>
      </c>
      <c r="AW45" s="312"/>
      <c r="AX45" s="64">
        <f t="shared" si="40"/>
        <v>0</v>
      </c>
      <c r="AZ45" s="117"/>
      <c r="BA45" s="312"/>
      <c r="BB45" s="115">
        <f t="shared" si="41"/>
        <v>0</v>
      </c>
    </row>
    <row r="46" spans="1:54" x14ac:dyDescent="0.35">
      <c r="A46" s="9168"/>
      <c r="B46" s="232"/>
      <c r="C46" s="232" t="s">
        <v>977</v>
      </c>
      <c r="D46" s="60"/>
      <c r="F46" s="155"/>
      <c r="H46" s="117"/>
      <c r="I46" s="115"/>
      <c r="J46" s="64">
        <f>IF(H46=0,0,I46/H46)</f>
        <v>0</v>
      </c>
      <c r="L46" s="117"/>
      <c r="M46" s="157">
        <f t="shared" si="29"/>
        <v>0</v>
      </c>
      <c r="O46" s="117"/>
      <c r="P46" s="115"/>
      <c r="Q46" s="312"/>
      <c r="R46" s="64">
        <f t="shared" si="30"/>
        <v>0</v>
      </c>
      <c r="T46" s="117"/>
      <c r="U46" s="312"/>
      <c r="V46" s="115">
        <f t="shared" si="31"/>
        <v>0</v>
      </c>
      <c r="X46" s="117"/>
      <c r="Y46" s="115">
        <f t="shared" si="32"/>
        <v>0</v>
      </c>
      <c r="Z46" s="312"/>
      <c r="AA46" s="64">
        <f t="shared" si="33"/>
        <v>0</v>
      </c>
      <c r="AC46" s="117"/>
      <c r="AD46" s="312"/>
      <c r="AE46" s="115">
        <f t="shared" si="34"/>
        <v>0</v>
      </c>
      <c r="AF46" s="120"/>
      <c r="AG46" s="117"/>
      <c r="AH46" s="312"/>
      <c r="AI46" s="115">
        <f t="shared" si="35"/>
        <v>0</v>
      </c>
      <c r="AK46" s="117"/>
      <c r="AL46" s="115">
        <f t="shared" si="36"/>
        <v>0</v>
      </c>
      <c r="AM46" s="312"/>
      <c r="AN46" s="476">
        <f t="shared" si="37"/>
        <v>0</v>
      </c>
      <c r="AP46" s="117"/>
      <c r="AQ46" s="312"/>
      <c r="AR46" s="115">
        <f t="shared" si="38"/>
        <v>0</v>
      </c>
      <c r="AU46" s="117"/>
      <c r="AV46" s="115">
        <f t="shared" si="39"/>
        <v>0</v>
      </c>
      <c r="AW46" s="312"/>
      <c r="AX46" s="64">
        <f t="shared" si="40"/>
        <v>0</v>
      </c>
      <c r="AZ46" s="117"/>
      <c r="BA46" s="312"/>
      <c r="BB46" s="115">
        <f t="shared" si="41"/>
        <v>0</v>
      </c>
    </row>
    <row r="47" spans="1:54" x14ac:dyDescent="0.35">
      <c r="A47" s="9168"/>
      <c r="B47" s="232"/>
      <c r="C47" s="232" t="s">
        <v>962</v>
      </c>
      <c r="D47" s="60"/>
      <c r="F47" s="155"/>
      <c r="H47" s="117"/>
      <c r="I47" s="115"/>
      <c r="J47" s="64">
        <f>IF(H47=0,0,I47/H47)</f>
        <v>0</v>
      </c>
      <c r="L47" s="117"/>
      <c r="M47" s="157">
        <f t="shared" si="29"/>
        <v>0</v>
      </c>
      <c r="O47" s="117"/>
      <c r="P47" s="115"/>
      <c r="Q47" s="312"/>
      <c r="R47" s="64">
        <f t="shared" si="30"/>
        <v>0</v>
      </c>
      <c r="T47" s="117"/>
      <c r="U47" s="312"/>
      <c r="V47" s="115">
        <f t="shared" si="31"/>
        <v>0</v>
      </c>
      <c r="X47" s="117"/>
      <c r="Y47" s="115">
        <f t="shared" si="32"/>
        <v>0</v>
      </c>
      <c r="Z47" s="312"/>
      <c r="AA47" s="64">
        <f t="shared" si="33"/>
        <v>0</v>
      </c>
      <c r="AC47" s="117"/>
      <c r="AD47" s="312"/>
      <c r="AE47" s="115">
        <f t="shared" si="34"/>
        <v>0</v>
      </c>
      <c r="AF47" s="120"/>
      <c r="AG47" s="117"/>
      <c r="AH47" s="312"/>
      <c r="AI47" s="115">
        <f t="shared" si="35"/>
        <v>0</v>
      </c>
      <c r="AK47" s="117"/>
      <c r="AL47" s="115">
        <f t="shared" si="36"/>
        <v>0</v>
      </c>
      <c r="AM47" s="312"/>
      <c r="AN47" s="476">
        <f t="shared" si="37"/>
        <v>0</v>
      </c>
      <c r="AP47" s="117"/>
      <c r="AQ47" s="312"/>
      <c r="AR47" s="115">
        <f t="shared" si="38"/>
        <v>0</v>
      </c>
      <c r="AU47" s="117"/>
      <c r="AV47" s="115">
        <f t="shared" si="39"/>
        <v>0</v>
      </c>
      <c r="AW47" s="312"/>
      <c r="AX47" s="64">
        <f t="shared" si="40"/>
        <v>0</v>
      </c>
      <c r="AZ47" s="117"/>
      <c r="BA47" s="312"/>
      <c r="BB47" s="115">
        <f t="shared" si="41"/>
        <v>0</v>
      </c>
    </row>
    <row r="48" spans="1:54" x14ac:dyDescent="0.35">
      <c r="A48" s="9168"/>
      <c r="B48" s="232"/>
      <c r="C48" s="232" t="s">
        <v>963</v>
      </c>
      <c r="D48" s="60"/>
      <c r="F48" s="155"/>
      <c r="H48" s="117"/>
      <c r="I48" s="115"/>
      <c r="J48" s="64">
        <f t="shared" ref="J48:J49" si="42">IF(H48=0,0,I48/H48)</f>
        <v>0</v>
      </c>
      <c r="L48" s="117"/>
      <c r="M48" s="157">
        <f t="shared" si="29"/>
        <v>0</v>
      </c>
      <c r="O48" s="117"/>
      <c r="P48" s="115"/>
      <c r="Q48" s="312"/>
      <c r="R48" s="64">
        <f t="shared" si="30"/>
        <v>0</v>
      </c>
      <c r="T48" s="117"/>
      <c r="U48" s="312"/>
      <c r="V48" s="115">
        <f t="shared" si="31"/>
        <v>0</v>
      </c>
      <c r="X48" s="117"/>
      <c r="Y48" s="115">
        <f t="shared" si="32"/>
        <v>0</v>
      </c>
      <c r="Z48" s="312"/>
      <c r="AA48" s="64">
        <f t="shared" si="33"/>
        <v>0</v>
      </c>
      <c r="AC48" s="117"/>
      <c r="AD48" s="312"/>
      <c r="AE48" s="115">
        <f t="shared" si="34"/>
        <v>0</v>
      </c>
      <c r="AF48" s="120"/>
      <c r="AG48" s="117"/>
      <c r="AH48" s="312"/>
      <c r="AI48" s="115">
        <f t="shared" si="35"/>
        <v>0</v>
      </c>
      <c r="AK48" s="117"/>
      <c r="AL48" s="115">
        <f t="shared" si="36"/>
        <v>0</v>
      </c>
      <c r="AM48" s="312"/>
      <c r="AN48" s="476">
        <f t="shared" si="37"/>
        <v>0</v>
      </c>
      <c r="AP48" s="117"/>
      <c r="AQ48" s="312"/>
      <c r="AR48" s="115">
        <f t="shared" si="38"/>
        <v>0</v>
      </c>
      <c r="AU48" s="117"/>
      <c r="AV48" s="115">
        <f t="shared" si="39"/>
        <v>0</v>
      </c>
      <c r="AW48" s="312"/>
      <c r="AX48" s="64">
        <f t="shared" si="40"/>
        <v>0</v>
      </c>
      <c r="AZ48" s="117"/>
      <c r="BA48" s="312"/>
      <c r="BB48" s="115">
        <f t="shared" si="41"/>
        <v>0</v>
      </c>
    </row>
    <row r="49" spans="1:54" x14ac:dyDescent="0.35">
      <c r="A49" s="9168"/>
      <c r="B49" s="1654"/>
      <c r="C49" s="1654" t="s">
        <v>964</v>
      </c>
      <c r="D49" s="87"/>
      <c r="F49" s="130"/>
      <c r="H49" s="131"/>
      <c r="I49" s="132"/>
      <c r="J49" s="133">
        <f t="shared" si="42"/>
        <v>0</v>
      </c>
      <c r="L49" s="242"/>
      <c r="M49" s="157">
        <f t="shared" si="29"/>
        <v>0</v>
      </c>
      <c r="O49" s="131"/>
      <c r="P49" s="132"/>
      <c r="Q49" s="3054"/>
      <c r="R49" s="133">
        <f t="shared" si="30"/>
        <v>0</v>
      </c>
      <c r="T49" s="242"/>
      <c r="U49" s="3054"/>
      <c r="V49" s="132">
        <f t="shared" si="31"/>
        <v>0</v>
      </c>
      <c r="X49" s="131"/>
      <c r="Y49" s="132">
        <f t="shared" si="32"/>
        <v>0</v>
      </c>
      <c r="Z49" s="3054"/>
      <c r="AA49" s="133">
        <f t="shared" si="33"/>
        <v>0</v>
      </c>
      <c r="AC49" s="242"/>
      <c r="AD49" s="3054"/>
      <c r="AE49" s="132">
        <f t="shared" si="34"/>
        <v>0</v>
      </c>
      <c r="AF49" s="120"/>
      <c r="AG49" s="242"/>
      <c r="AH49" s="3054"/>
      <c r="AI49" s="132">
        <f t="shared" si="35"/>
        <v>0</v>
      </c>
      <c r="AK49" s="131"/>
      <c r="AL49" s="132">
        <f t="shared" si="36"/>
        <v>0</v>
      </c>
      <c r="AM49" s="3054"/>
      <c r="AN49" s="484">
        <f t="shared" si="37"/>
        <v>0</v>
      </c>
      <c r="AP49" s="242"/>
      <c r="AQ49" s="3054"/>
      <c r="AR49" s="132">
        <f t="shared" si="38"/>
        <v>0</v>
      </c>
      <c r="AU49" s="131"/>
      <c r="AV49" s="132">
        <f t="shared" si="39"/>
        <v>0</v>
      </c>
      <c r="AW49" s="3054"/>
      <c r="AX49" s="133">
        <f t="shared" si="40"/>
        <v>0</v>
      </c>
      <c r="AZ49" s="242"/>
      <c r="BA49" s="3054"/>
      <c r="BB49" s="132">
        <f t="shared" si="41"/>
        <v>0</v>
      </c>
    </row>
    <row r="50" spans="1:54" x14ac:dyDescent="0.35">
      <c r="A50" s="9168"/>
      <c r="B50" s="271" t="s">
        <v>965</v>
      </c>
      <c r="C50" s="271"/>
      <c r="D50" s="140"/>
      <c r="E50" s="141"/>
      <c r="F50" s="227"/>
      <c r="G50" s="141"/>
      <c r="H50" s="245"/>
      <c r="I50" s="106"/>
      <c r="J50" s="267"/>
      <c r="K50" s="141"/>
      <c r="L50" s="102"/>
      <c r="M50" s="268"/>
      <c r="N50" s="141"/>
      <c r="O50" s="245"/>
      <c r="P50" s="106"/>
      <c r="Q50" s="254"/>
      <c r="R50" s="267"/>
      <c r="S50" s="141"/>
      <c r="T50" s="102"/>
      <c r="U50" s="254"/>
      <c r="V50" s="106"/>
      <c r="W50" s="141"/>
      <c r="X50" s="245"/>
      <c r="Y50" s="106"/>
      <c r="Z50" s="254"/>
      <c r="AA50" s="267"/>
      <c r="AB50" s="141"/>
      <c r="AC50" s="102"/>
      <c r="AD50" s="254"/>
      <c r="AE50" s="106"/>
      <c r="AF50" s="106"/>
      <c r="AG50" s="102"/>
      <c r="AH50" s="254"/>
      <c r="AI50" s="106"/>
      <c r="AJ50" s="141"/>
      <c r="AK50" s="245"/>
      <c r="AL50" s="106"/>
      <c r="AM50" s="254"/>
      <c r="AN50" s="518"/>
      <c r="AO50" s="141"/>
      <c r="AP50" s="102"/>
      <c r="AQ50" s="254"/>
      <c r="AR50" s="106"/>
      <c r="AU50" s="245"/>
      <c r="AV50" s="106"/>
      <c r="AW50" s="254"/>
      <c r="AX50" s="267"/>
      <c r="AY50" s="141"/>
      <c r="AZ50" s="102"/>
      <c r="BA50" s="254"/>
      <c r="BB50" s="106"/>
    </row>
    <row r="51" spans="1:54" x14ac:dyDescent="0.35">
      <c r="A51" s="9168"/>
      <c r="B51" s="232"/>
      <c r="C51" s="232" t="s">
        <v>1286</v>
      </c>
      <c r="D51" s="60"/>
      <c r="F51" s="111">
        <v>297399</v>
      </c>
      <c r="H51" s="112">
        <v>428134</v>
      </c>
      <c r="I51" s="113">
        <v>426259</v>
      </c>
      <c r="J51" s="64">
        <f t="shared" ref="J51:J58" si="43">IF(H51=0,0,I51/H51)</f>
        <v>0.99562053002097473</v>
      </c>
      <c r="L51" s="112">
        <v>515105</v>
      </c>
      <c r="M51" s="157">
        <f t="shared" ref="M51:M58" si="44">L51*J51</f>
        <v>512849.11311645416</v>
      </c>
      <c r="O51" s="112">
        <v>515105</v>
      </c>
      <c r="P51" s="113">
        <f>244895*12/6</f>
        <v>489790</v>
      </c>
      <c r="Q51" s="312"/>
      <c r="R51" s="64">
        <f t="shared" ref="R51:R58" si="45">IF(O51=0,0,P51/O51)</f>
        <v>0.95085468011376317</v>
      </c>
      <c r="T51" s="262">
        <v>571289.91474000004</v>
      </c>
      <c r="U51" s="3064"/>
      <c r="V51" s="1351">
        <v>577300.61512199999</v>
      </c>
      <c r="X51" s="112">
        <v>572192</v>
      </c>
      <c r="Y51" s="113">
        <v>576390.9</v>
      </c>
      <c r="Z51" s="312"/>
      <c r="AA51" s="64">
        <f t="shared" ref="AA51:AA58" si="46">IF(X51=0,0,Y51/X51)</f>
        <v>1.0073382710698506</v>
      </c>
      <c r="AC51" s="262">
        <v>719293.94299999997</v>
      </c>
      <c r="AD51" s="3064"/>
      <c r="AE51" s="1351">
        <v>625642.61499999999</v>
      </c>
      <c r="AF51" s="1798"/>
      <c r="AG51" s="262">
        <v>719028.28669800004</v>
      </c>
      <c r="AH51" s="3064"/>
      <c r="AI51" s="5668">
        <v>734018.61764099996</v>
      </c>
      <c r="AK51" s="112">
        <v>719028</v>
      </c>
      <c r="AL51" s="113">
        <v>734018</v>
      </c>
      <c r="AM51" s="312"/>
      <c r="AN51" s="476">
        <f t="shared" ref="AN51:AN58" si="47">IF(AK51=0,0,AL51/AK51)</f>
        <v>1.0208475886891748</v>
      </c>
      <c r="AP51" s="262">
        <v>901307</v>
      </c>
      <c r="AQ51" s="3064"/>
      <c r="AR51" s="1351">
        <f>964589</f>
        <v>964589</v>
      </c>
      <c r="AU51" s="262">
        <v>901307</v>
      </c>
      <c r="AV51" s="113">
        <v>964589</v>
      </c>
      <c r="AW51" s="312"/>
      <c r="AX51" s="64">
        <f t="shared" ref="AX51:AX58" si="48">IF(AU51=0,0,AV51/AU51)</f>
        <v>1.0702113708203753</v>
      </c>
      <c r="AZ51" s="262">
        <v>1531476</v>
      </c>
      <c r="BA51" s="3064"/>
      <c r="BB51" s="1351">
        <v>1710110</v>
      </c>
    </row>
    <row r="52" spans="1:54" x14ac:dyDescent="0.35">
      <c r="A52" s="9168"/>
      <c r="B52" s="232"/>
      <c r="C52" s="232" t="s">
        <v>937</v>
      </c>
      <c r="D52" s="60"/>
      <c r="F52" s="5706"/>
      <c r="H52" s="4021"/>
      <c r="I52" s="4022"/>
      <c r="J52" s="64">
        <f t="shared" si="43"/>
        <v>0</v>
      </c>
      <c r="L52" s="242">
        <v>48457</v>
      </c>
      <c r="M52" s="157">
        <f t="shared" si="44"/>
        <v>0</v>
      </c>
      <c r="O52" s="242">
        <v>48457</v>
      </c>
      <c r="P52" s="113"/>
      <c r="Q52" s="312"/>
      <c r="R52" s="64">
        <f t="shared" si="45"/>
        <v>0</v>
      </c>
      <c r="T52" s="3327">
        <v>158413.62099</v>
      </c>
      <c r="U52" s="3064"/>
      <c r="V52" s="1351">
        <v>166693.17159400001</v>
      </c>
      <c r="X52" s="242">
        <v>162143.29999999999</v>
      </c>
      <c r="Y52" s="113">
        <v>169440.7</v>
      </c>
      <c r="Z52" s="312"/>
      <c r="AA52" s="64">
        <f t="shared" si="46"/>
        <v>1.0450058682659107</v>
      </c>
      <c r="AC52" s="3327">
        <v>177643.15900000001</v>
      </c>
      <c r="AD52" s="3064"/>
      <c r="AE52" s="1351">
        <v>171527.06899999999</v>
      </c>
      <c r="AF52" s="1798"/>
      <c r="AG52" s="3327">
        <v>188168.044608</v>
      </c>
      <c r="AH52" s="3064"/>
      <c r="AI52" s="5668">
        <v>235645.309553</v>
      </c>
      <c r="AK52" s="242">
        <v>188168</v>
      </c>
      <c r="AL52" s="113">
        <v>235645</v>
      </c>
      <c r="AM52" s="312"/>
      <c r="AN52" s="476">
        <f t="shared" si="47"/>
        <v>1.2523117639556141</v>
      </c>
      <c r="AP52" s="3327">
        <v>296102</v>
      </c>
      <c r="AQ52" s="3064"/>
      <c r="AR52" s="1351">
        <f>289193</f>
        <v>289193</v>
      </c>
      <c r="AU52" s="3327">
        <v>296102</v>
      </c>
      <c r="AV52" s="113">
        <v>289193</v>
      </c>
      <c r="AW52" s="312"/>
      <c r="AX52" s="64">
        <f t="shared" si="48"/>
        <v>0.97666682427001505</v>
      </c>
      <c r="AZ52" s="3327">
        <v>269006</v>
      </c>
      <c r="BA52" s="3064"/>
      <c r="BB52" s="1351">
        <v>316727</v>
      </c>
    </row>
    <row r="53" spans="1:54" x14ac:dyDescent="0.35">
      <c r="A53" s="9168"/>
      <c r="B53" s="232"/>
      <c r="C53" s="232" t="s">
        <v>2107</v>
      </c>
      <c r="D53" s="60"/>
      <c r="F53" s="163"/>
      <c r="H53" s="242"/>
      <c r="I53" s="243"/>
      <c r="J53" s="64">
        <f t="shared" si="43"/>
        <v>0</v>
      </c>
      <c r="L53" s="242"/>
      <c r="M53" s="157">
        <f t="shared" si="44"/>
        <v>0</v>
      </c>
      <c r="O53" s="242"/>
      <c r="P53" s="243"/>
      <c r="Q53" s="312"/>
      <c r="R53" s="64">
        <f t="shared" si="45"/>
        <v>0</v>
      </c>
      <c r="T53" s="3327">
        <v>798.55596800000001</v>
      </c>
      <c r="U53" s="3064"/>
      <c r="V53" s="3985">
        <v>0</v>
      </c>
      <c r="X53" s="242">
        <v>70.2</v>
      </c>
      <c r="Y53" s="243">
        <v>0</v>
      </c>
      <c r="Z53" s="312"/>
      <c r="AA53" s="64">
        <f t="shared" si="46"/>
        <v>0</v>
      </c>
      <c r="AC53" s="3327">
        <v>1007.487</v>
      </c>
      <c r="AD53" s="3064"/>
      <c r="AE53" s="3985">
        <v>96.313000000000002</v>
      </c>
      <c r="AF53" s="1798"/>
      <c r="AG53" s="3327">
        <v>1173.912176</v>
      </c>
      <c r="AH53" s="3064"/>
      <c r="AI53" s="5671">
        <v>331.39699999999999</v>
      </c>
      <c r="AK53" s="242">
        <v>1173.912176</v>
      </c>
      <c r="AL53" s="243">
        <v>331.39699999999999</v>
      </c>
      <c r="AM53" s="312"/>
      <c r="AN53" s="476">
        <f t="shared" si="47"/>
        <v>0.28230135675839518</v>
      </c>
      <c r="AP53" s="3327">
        <v>2808</v>
      </c>
      <c r="AQ53" s="3064"/>
      <c r="AR53" s="1351">
        <f>766</f>
        <v>766</v>
      </c>
      <c r="AU53" s="3327">
        <v>2808</v>
      </c>
      <c r="AV53" s="243">
        <v>766</v>
      </c>
      <c r="AW53" s="312"/>
      <c r="AX53" s="64">
        <f t="shared" si="48"/>
        <v>0.2727920227920228</v>
      </c>
      <c r="AZ53" s="3327">
        <v>8620</v>
      </c>
      <c r="BA53" s="3064"/>
      <c r="BB53" s="1351">
        <v>5892</v>
      </c>
    </row>
    <row r="54" spans="1:54" x14ac:dyDescent="0.35">
      <c r="A54" s="9168"/>
      <c r="B54" s="232"/>
      <c r="C54" s="232" t="s">
        <v>977</v>
      </c>
      <c r="D54" s="60"/>
      <c r="F54" s="163"/>
      <c r="H54" s="242"/>
      <c r="I54" s="243"/>
      <c r="J54" s="64">
        <f t="shared" si="43"/>
        <v>0</v>
      </c>
      <c r="L54" s="242"/>
      <c r="M54" s="157">
        <f t="shared" si="44"/>
        <v>0</v>
      </c>
      <c r="O54" s="242"/>
      <c r="P54" s="243"/>
      <c r="Q54" s="312"/>
      <c r="R54" s="64">
        <f t="shared" si="45"/>
        <v>0</v>
      </c>
      <c r="T54" s="3327"/>
      <c r="U54" s="3064"/>
      <c r="V54" s="3985"/>
      <c r="X54" s="242"/>
      <c r="Y54" s="243"/>
      <c r="Z54" s="312"/>
      <c r="AA54" s="64">
        <f t="shared" si="46"/>
        <v>0</v>
      </c>
      <c r="AC54" s="3327"/>
      <c r="AD54" s="3064"/>
      <c r="AE54" s="3985"/>
      <c r="AF54" s="1798"/>
      <c r="AG54" s="3327"/>
      <c r="AH54" s="3064"/>
      <c r="AI54" s="3985"/>
      <c r="AK54" s="242"/>
      <c r="AL54" s="243"/>
      <c r="AM54" s="312"/>
      <c r="AN54" s="476">
        <f t="shared" si="47"/>
        <v>0</v>
      </c>
      <c r="AP54" s="3327"/>
      <c r="AQ54" s="3064"/>
      <c r="AR54" s="3985"/>
      <c r="AU54" s="242"/>
      <c r="AV54" s="243"/>
      <c r="AW54" s="312"/>
      <c r="AX54" s="64">
        <f t="shared" si="48"/>
        <v>0</v>
      </c>
      <c r="AZ54" s="3327"/>
      <c r="BA54" s="3064"/>
      <c r="BB54" s="3985"/>
    </row>
    <row r="55" spans="1:54" x14ac:dyDescent="0.35">
      <c r="A55" s="9168"/>
      <c r="B55" s="232"/>
      <c r="C55" s="232" t="s">
        <v>962</v>
      </c>
      <c r="D55" s="60"/>
      <c r="F55" s="163"/>
      <c r="H55" s="242"/>
      <c r="I55" s="243"/>
      <c r="J55" s="64">
        <f t="shared" si="43"/>
        <v>0</v>
      </c>
      <c r="L55" s="242"/>
      <c r="M55" s="157">
        <f t="shared" si="44"/>
        <v>0</v>
      </c>
      <c r="O55" s="242"/>
      <c r="P55" s="243"/>
      <c r="Q55" s="312"/>
      <c r="R55" s="64">
        <f t="shared" si="45"/>
        <v>0</v>
      </c>
      <c r="T55" s="3327"/>
      <c r="U55" s="3064"/>
      <c r="V55" s="3985"/>
      <c r="X55" s="242"/>
      <c r="Y55" s="243"/>
      <c r="Z55" s="312"/>
      <c r="AA55" s="64">
        <f t="shared" si="46"/>
        <v>0</v>
      </c>
      <c r="AC55" s="3327"/>
      <c r="AD55" s="3064"/>
      <c r="AE55" s="3985"/>
      <c r="AF55" s="1798"/>
      <c r="AG55" s="3327"/>
      <c r="AH55" s="3064"/>
      <c r="AI55" s="3985"/>
      <c r="AK55" s="242"/>
      <c r="AL55" s="243"/>
      <c r="AM55" s="312"/>
      <c r="AN55" s="476">
        <f t="shared" si="47"/>
        <v>0</v>
      </c>
      <c r="AP55" s="3327"/>
      <c r="AQ55" s="3064"/>
      <c r="AR55" s="3985"/>
      <c r="AU55" s="242"/>
      <c r="AV55" s="243"/>
      <c r="AW55" s="312"/>
      <c r="AX55" s="64">
        <f t="shared" si="48"/>
        <v>0</v>
      </c>
      <c r="AZ55" s="3327"/>
      <c r="BA55" s="3064"/>
      <c r="BB55" s="3985"/>
    </row>
    <row r="56" spans="1:54" x14ac:dyDescent="0.35">
      <c r="A56" s="9168"/>
      <c r="B56" s="232"/>
      <c r="C56" s="232" t="s">
        <v>963</v>
      </c>
      <c r="D56" s="60"/>
      <c r="F56" s="163"/>
      <c r="H56" s="242"/>
      <c r="I56" s="243"/>
      <c r="J56" s="64"/>
      <c r="L56" s="242"/>
      <c r="M56" s="157"/>
      <c r="O56" s="242"/>
      <c r="P56" s="243"/>
      <c r="Q56" s="312"/>
      <c r="R56" s="64">
        <f t="shared" si="45"/>
        <v>0</v>
      </c>
      <c r="T56" s="242"/>
      <c r="U56" s="312"/>
      <c r="V56" s="243"/>
      <c r="X56" s="242"/>
      <c r="Y56" s="243"/>
      <c r="Z56" s="312"/>
      <c r="AA56" s="64">
        <f t="shared" si="46"/>
        <v>0</v>
      </c>
      <c r="AC56" s="242"/>
      <c r="AD56" s="312"/>
      <c r="AE56" s="243"/>
      <c r="AF56" s="120"/>
      <c r="AG56" s="242"/>
      <c r="AH56" s="312"/>
      <c r="AI56" s="243"/>
      <c r="AK56" s="242"/>
      <c r="AL56" s="243"/>
      <c r="AM56" s="312"/>
      <c r="AN56" s="476">
        <f t="shared" si="47"/>
        <v>0</v>
      </c>
      <c r="AP56" s="242"/>
      <c r="AQ56" s="312"/>
      <c r="AR56" s="243"/>
      <c r="AU56" s="242"/>
      <c r="AV56" s="243"/>
      <c r="AW56" s="312"/>
      <c r="AX56" s="64">
        <f t="shared" si="48"/>
        <v>0</v>
      </c>
      <c r="AZ56" s="242"/>
      <c r="BA56" s="312"/>
      <c r="BB56" s="243"/>
    </row>
    <row r="57" spans="1:54" x14ac:dyDescent="0.35">
      <c r="A57" s="9168"/>
      <c r="B57" s="232"/>
      <c r="C57" s="232" t="s">
        <v>964</v>
      </c>
      <c r="D57" s="60"/>
      <c r="F57" s="163"/>
      <c r="H57" s="242"/>
      <c r="I57" s="243"/>
      <c r="J57" s="64">
        <f t="shared" si="43"/>
        <v>0</v>
      </c>
      <c r="L57" s="242"/>
      <c r="M57" s="157">
        <f t="shared" si="44"/>
        <v>0</v>
      </c>
      <c r="O57" s="242"/>
      <c r="P57" s="243"/>
      <c r="Q57" s="312"/>
      <c r="R57" s="64">
        <f t="shared" si="45"/>
        <v>0</v>
      </c>
      <c r="T57" s="242"/>
      <c r="U57" s="312"/>
      <c r="V57" s="243"/>
      <c r="X57" s="242"/>
      <c r="Y57" s="243"/>
      <c r="Z57" s="312"/>
      <c r="AA57" s="64">
        <f t="shared" si="46"/>
        <v>0</v>
      </c>
      <c r="AC57" s="242"/>
      <c r="AD57" s="312"/>
      <c r="AE57" s="243"/>
      <c r="AF57" s="120"/>
      <c r="AG57" s="242"/>
      <c r="AH57" s="312"/>
      <c r="AI57" s="243"/>
      <c r="AK57" s="242"/>
      <c r="AL57" s="243"/>
      <c r="AM57" s="312"/>
      <c r="AN57" s="476">
        <f t="shared" si="47"/>
        <v>0</v>
      </c>
      <c r="AP57" s="242"/>
      <c r="AQ57" s="312"/>
      <c r="AR57" s="243"/>
      <c r="AU57" s="242"/>
      <c r="AV57" s="243"/>
      <c r="AW57" s="312"/>
      <c r="AX57" s="64">
        <f t="shared" si="48"/>
        <v>0</v>
      </c>
      <c r="AZ57" s="242"/>
      <c r="BA57" s="312"/>
      <c r="BB57" s="243"/>
    </row>
    <row r="58" spans="1:54" x14ac:dyDescent="0.35">
      <c r="A58" s="9168"/>
      <c r="B58" s="1662"/>
      <c r="C58" s="1662" t="s">
        <v>978</v>
      </c>
      <c r="D58" s="87"/>
      <c r="F58" s="130"/>
      <c r="H58" s="242"/>
      <c r="I58" s="243"/>
      <c r="J58" s="64">
        <f t="shared" si="43"/>
        <v>0</v>
      </c>
      <c r="L58" s="242"/>
      <c r="M58" s="157">
        <f t="shared" si="44"/>
        <v>0</v>
      </c>
      <c r="O58" s="242"/>
      <c r="P58" s="243"/>
      <c r="Q58" s="3054"/>
      <c r="R58" s="64">
        <f t="shared" si="45"/>
        <v>0</v>
      </c>
      <c r="T58" s="242"/>
      <c r="U58" s="3054"/>
      <c r="V58" s="243"/>
      <c r="X58" s="242"/>
      <c r="Y58" s="243"/>
      <c r="Z58" s="3054"/>
      <c r="AA58" s="64">
        <f t="shared" si="46"/>
        <v>0</v>
      </c>
      <c r="AC58" s="242"/>
      <c r="AD58" s="3054"/>
      <c r="AE58" s="243"/>
      <c r="AF58" s="120"/>
      <c r="AG58" s="242"/>
      <c r="AH58" s="3054"/>
      <c r="AI58" s="243"/>
      <c r="AK58" s="242"/>
      <c r="AL58" s="243"/>
      <c r="AM58" s="3054"/>
      <c r="AN58" s="476">
        <f t="shared" si="47"/>
        <v>0</v>
      </c>
      <c r="AP58" s="242"/>
      <c r="AQ58" s="3054"/>
      <c r="AR58" s="243"/>
      <c r="AU58" s="242"/>
      <c r="AV58" s="243"/>
      <c r="AW58" s="3054"/>
      <c r="AX58" s="64">
        <f t="shared" si="48"/>
        <v>0</v>
      </c>
      <c r="AZ58" s="242"/>
      <c r="BA58" s="3054"/>
      <c r="BB58" s="243"/>
    </row>
    <row r="59" spans="1:54" x14ac:dyDescent="0.35">
      <c r="A59" s="9168"/>
      <c r="B59" s="271" t="s">
        <v>979</v>
      </c>
      <c r="C59" s="271"/>
      <c r="D59" s="140"/>
      <c r="E59" s="143"/>
      <c r="F59" s="227"/>
      <c r="G59" s="143"/>
      <c r="H59" s="102"/>
      <c r="I59" s="103"/>
      <c r="J59" s="228"/>
      <c r="K59" s="143"/>
      <c r="L59" s="102"/>
      <c r="M59" s="268"/>
      <c r="N59" s="143"/>
      <c r="O59" s="102"/>
      <c r="P59" s="103"/>
      <c r="Q59" s="254"/>
      <c r="R59" s="228"/>
      <c r="S59" s="143"/>
      <c r="T59" s="102"/>
      <c r="U59" s="254"/>
      <c r="V59" s="103"/>
      <c r="W59" s="143"/>
      <c r="X59" s="102"/>
      <c r="Y59" s="103"/>
      <c r="Z59" s="254"/>
      <c r="AA59" s="228"/>
      <c r="AB59" s="143"/>
      <c r="AC59" s="102"/>
      <c r="AD59" s="254"/>
      <c r="AE59" s="103"/>
      <c r="AF59" s="106"/>
      <c r="AG59" s="102"/>
      <c r="AH59" s="254"/>
      <c r="AI59" s="103"/>
      <c r="AJ59" s="143"/>
      <c r="AK59" s="102"/>
      <c r="AL59" s="103"/>
      <c r="AM59" s="254"/>
      <c r="AN59" s="228"/>
      <c r="AO59" s="143"/>
      <c r="AP59" s="102"/>
      <c r="AQ59" s="254"/>
      <c r="AR59" s="103"/>
      <c r="AU59" s="102"/>
      <c r="AV59" s="103"/>
      <c r="AW59" s="254"/>
      <c r="AX59" s="228"/>
      <c r="AY59" s="143"/>
      <c r="AZ59" s="102"/>
      <c r="BA59" s="254"/>
      <c r="BB59" s="103"/>
    </row>
    <row r="60" spans="1:54" x14ac:dyDescent="0.35">
      <c r="A60" s="9168"/>
      <c r="B60" s="272"/>
      <c r="C60" s="272" t="s">
        <v>980</v>
      </c>
      <c r="D60" s="60"/>
      <c r="F60" s="155"/>
      <c r="H60" s="117"/>
      <c r="I60" s="115"/>
      <c r="J60" s="64">
        <f t="shared" ref="J60" si="49">IF(H60=0,0,I60/H60)</f>
        <v>0</v>
      </c>
      <c r="L60" s="117"/>
      <c r="M60" s="157">
        <f>M28*M61</f>
        <v>0</v>
      </c>
      <c r="O60" s="117"/>
      <c r="P60" s="115"/>
      <c r="Q60" s="312"/>
      <c r="R60" s="64">
        <f t="shared" ref="R60" si="50">IF(O60=0,0,P60/O60)</f>
        <v>0</v>
      </c>
      <c r="T60" s="117"/>
      <c r="U60" s="312"/>
      <c r="V60" s="115"/>
      <c r="X60" s="117"/>
      <c r="Y60" s="115"/>
      <c r="Z60" s="312"/>
      <c r="AA60" s="64">
        <f t="shared" ref="AA60" si="51">IF(X60=0,0,Y60/X60)</f>
        <v>0</v>
      </c>
      <c r="AC60" s="117"/>
      <c r="AD60" s="312"/>
      <c r="AE60" s="115"/>
      <c r="AF60" s="120"/>
      <c r="AG60" s="117"/>
      <c r="AH60" s="312"/>
      <c r="AI60" s="115"/>
      <c r="AK60" s="117"/>
      <c r="AL60" s="115"/>
      <c r="AM60" s="312"/>
      <c r="AN60" s="476">
        <f>IF(AK60=0,0,AL60/AK60)</f>
        <v>0</v>
      </c>
      <c r="AP60" s="117"/>
      <c r="AQ60" s="312"/>
      <c r="AR60" s="115"/>
      <c r="AU60" s="117"/>
      <c r="AV60" s="115"/>
      <c r="AW60" s="312"/>
      <c r="AX60" s="64">
        <f>IF(AU60=0,0,AV60/AU60)</f>
        <v>0</v>
      </c>
      <c r="AZ60" s="117"/>
      <c r="BA60" s="312"/>
      <c r="BB60" s="115"/>
    </row>
    <row r="61" spans="1:54" x14ac:dyDescent="0.35">
      <c r="A61" s="9168"/>
      <c r="B61" s="277"/>
      <c r="C61" s="277" t="s">
        <v>981</v>
      </c>
      <c r="D61" s="87"/>
      <c r="F61" s="278"/>
      <c r="G61" s="279"/>
      <c r="H61" s="280"/>
      <c r="I61" s="281"/>
      <c r="J61" s="133"/>
      <c r="L61" s="280"/>
      <c r="M61" s="282"/>
      <c r="O61" s="280"/>
      <c r="P61" s="281"/>
      <c r="Q61" s="2913"/>
      <c r="R61" s="133"/>
      <c r="T61" s="280"/>
      <c r="U61" s="2913"/>
      <c r="V61" s="281"/>
      <c r="X61" s="280"/>
      <c r="Y61" s="281"/>
      <c r="Z61" s="2913"/>
      <c r="AA61" s="133"/>
      <c r="AC61" s="280"/>
      <c r="AD61" s="2913"/>
      <c r="AE61" s="281"/>
      <c r="AF61" s="5707"/>
      <c r="AG61" s="280"/>
      <c r="AH61" s="2913"/>
      <c r="AI61" s="281"/>
      <c r="AK61" s="280"/>
      <c r="AL61" s="281"/>
      <c r="AM61" s="2913"/>
      <c r="AN61" s="484"/>
      <c r="AP61" s="280"/>
      <c r="AQ61" s="2913"/>
      <c r="AR61" s="281"/>
      <c r="AU61" s="280"/>
      <c r="AV61" s="281"/>
      <c r="AW61" s="2913"/>
      <c r="AX61" s="133"/>
      <c r="AZ61" s="280"/>
      <c r="BA61" s="2913"/>
      <c r="BB61" s="281"/>
    </row>
    <row r="62" spans="1:54" ht="15.25" customHeight="1" x14ac:dyDescent="0.35">
      <c r="A62" s="9168"/>
      <c r="B62" s="287" t="s">
        <v>982</v>
      </c>
      <c r="C62" s="288"/>
      <c r="D62" s="140"/>
      <c r="E62" s="143"/>
      <c r="F62" s="289"/>
      <c r="G62" s="290"/>
      <c r="H62" s="291"/>
      <c r="I62" s="292"/>
      <c r="J62" s="293"/>
      <c r="L62" s="291"/>
      <c r="M62" s="268"/>
      <c r="N62" s="143"/>
      <c r="O62" s="291"/>
      <c r="P62" s="292"/>
      <c r="Q62" s="254"/>
      <c r="R62" s="293"/>
      <c r="S62" s="143"/>
      <c r="T62" s="291"/>
      <c r="U62" s="254"/>
      <c r="V62" s="292"/>
      <c r="W62" s="143"/>
      <c r="X62" s="291"/>
      <c r="Y62" s="292"/>
      <c r="Z62" s="2909"/>
      <c r="AA62" s="293"/>
      <c r="AB62" s="143"/>
      <c r="AC62" s="291"/>
      <c r="AD62" s="254"/>
      <c r="AE62" s="292"/>
      <c r="AF62" s="106"/>
      <c r="AG62" s="291"/>
      <c r="AH62" s="254"/>
      <c r="AI62" s="292"/>
      <c r="AJ62" s="143"/>
      <c r="AK62" s="291"/>
      <c r="AL62" s="292"/>
      <c r="AM62" s="2909"/>
      <c r="AN62" s="293"/>
      <c r="AO62" s="143"/>
      <c r="AP62" s="291"/>
      <c r="AQ62" s="254"/>
      <c r="AR62" s="292"/>
      <c r="AU62" s="291"/>
      <c r="AV62" s="292"/>
      <c r="AW62" s="2909"/>
      <c r="AX62" s="293"/>
      <c r="AY62" s="143"/>
      <c r="AZ62" s="291"/>
      <c r="BA62" s="254"/>
      <c r="BB62" s="292"/>
    </row>
    <row r="63" spans="1:54" x14ac:dyDescent="0.35">
      <c r="A63" s="9168"/>
      <c r="B63" s="295"/>
      <c r="C63" s="296" t="s">
        <v>1286</v>
      </c>
      <c r="D63" s="60"/>
      <c r="F63" s="521"/>
      <c r="G63" s="272"/>
      <c r="H63" s="304">
        <v>69206.441000000006</v>
      </c>
      <c r="I63" s="522">
        <v>69206.441000000006</v>
      </c>
      <c r="J63" s="297">
        <f t="shared" ref="J63:J66" si="52">IF(H63=0,0,I63/H63)</f>
        <v>1</v>
      </c>
      <c r="L63" s="304">
        <v>41070.776212999997</v>
      </c>
      <c r="M63" s="157">
        <f t="shared" ref="M63:M66" si="53">L63*J63</f>
        <v>41070.776212999997</v>
      </c>
      <c r="O63" s="304"/>
      <c r="P63" s="522"/>
      <c r="Q63" s="312"/>
      <c r="R63" s="297">
        <f t="shared" ref="R63:R66" si="54">IF(O63=0,0,P63/O63)</f>
        <v>0</v>
      </c>
      <c r="T63" s="304"/>
      <c r="U63" s="312"/>
      <c r="V63" s="522"/>
      <c r="X63" s="304"/>
      <c r="Y63" s="522"/>
      <c r="Z63" s="312"/>
      <c r="AA63" s="297">
        <f t="shared" ref="AA63:AA66" si="55">IF(X63=0,0,Y63/X63)</f>
        <v>0</v>
      </c>
      <c r="AC63" s="304"/>
      <c r="AD63" s="312"/>
      <c r="AE63" s="522"/>
      <c r="AF63" s="5708"/>
      <c r="AG63" s="304"/>
      <c r="AH63" s="312"/>
      <c r="AI63" s="522"/>
      <c r="AK63" s="304"/>
      <c r="AL63" s="522"/>
      <c r="AM63" s="312"/>
      <c r="AN63" s="523">
        <f>IF(AK63=0,0,AL63/AK63)</f>
        <v>0</v>
      </c>
      <c r="AP63" s="304"/>
      <c r="AQ63" s="312"/>
      <c r="AR63" s="522"/>
      <c r="AU63" s="304"/>
      <c r="AV63" s="522"/>
      <c r="AW63" s="312"/>
      <c r="AX63" s="297">
        <f>IF(AU63=0,0,AV63/AU63)</f>
        <v>0</v>
      </c>
      <c r="AZ63" s="304"/>
      <c r="BA63" s="312"/>
      <c r="BB63" s="522"/>
    </row>
    <row r="64" spans="1:54" x14ac:dyDescent="0.35">
      <c r="A64" s="9168"/>
      <c r="B64" s="295"/>
      <c r="C64" s="296"/>
      <c r="D64" s="60"/>
      <c r="F64" s="61"/>
      <c r="G64" s="272"/>
      <c r="H64" s="62"/>
      <c r="I64" s="63"/>
      <c r="J64" s="297">
        <f t="shared" si="52"/>
        <v>0</v>
      </c>
      <c r="L64" s="62"/>
      <c r="M64" s="157">
        <f t="shared" si="53"/>
        <v>0</v>
      </c>
      <c r="O64" s="62"/>
      <c r="P64" s="63"/>
      <c r="Q64" s="312"/>
      <c r="R64" s="297">
        <f t="shared" si="54"/>
        <v>0</v>
      </c>
      <c r="T64" s="62"/>
      <c r="U64" s="312"/>
      <c r="V64" s="63"/>
      <c r="X64" s="62"/>
      <c r="Y64" s="63"/>
      <c r="Z64" s="312"/>
      <c r="AA64" s="297">
        <f t="shared" si="55"/>
        <v>0</v>
      </c>
      <c r="AC64" s="62"/>
      <c r="AD64" s="312"/>
      <c r="AE64" s="63"/>
      <c r="AF64" s="120"/>
      <c r="AG64" s="62"/>
      <c r="AH64" s="312"/>
      <c r="AI64" s="63"/>
      <c r="AK64" s="62"/>
      <c r="AL64" s="63"/>
      <c r="AM64" s="312"/>
      <c r="AN64" s="523">
        <f>IF(AK64=0,0,AL64/AK64)</f>
        <v>0</v>
      </c>
      <c r="AP64" s="62"/>
      <c r="AQ64" s="312"/>
      <c r="AR64" s="63"/>
      <c r="AU64" s="62"/>
      <c r="AV64" s="63"/>
      <c r="AW64" s="312"/>
      <c r="AX64" s="297">
        <f>IF(AU64=0,0,AV64/AU64)</f>
        <v>0</v>
      </c>
      <c r="AZ64" s="62"/>
      <c r="BA64" s="312"/>
      <c r="BB64" s="63"/>
    </row>
    <row r="65" spans="1:54" x14ac:dyDescent="0.35">
      <c r="A65" s="9168"/>
      <c r="B65" s="2948"/>
      <c r="C65" s="296"/>
      <c r="D65" s="60"/>
      <c r="F65" s="61"/>
      <c r="G65" s="272"/>
      <c r="H65" s="62"/>
      <c r="I65" s="63"/>
      <c r="J65" s="297">
        <f t="shared" si="52"/>
        <v>0</v>
      </c>
      <c r="L65" s="62"/>
      <c r="M65" s="157">
        <f t="shared" si="53"/>
        <v>0</v>
      </c>
      <c r="O65" s="62"/>
      <c r="P65" s="63"/>
      <c r="Q65" s="312"/>
      <c r="R65" s="297">
        <f t="shared" si="54"/>
        <v>0</v>
      </c>
      <c r="T65" s="62"/>
      <c r="U65" s="312"/>
      <c r="V65" s="63"/>
      <c r="X65" s="62"/>
      <c r="Y65" s="63"/>
      <c r="Z65" s="312"/>
      <c r="AA65" s="297">
        <f t="shared" si="55"/>
        <v>0</v>
      </c>
      <c r="AC65" s="62"/>
      <c r="AD65" s="312"/>
      <c r="AE65" s="63"/>
      <c r="AF65" s="120"/>
      <c r="AG65" s="62"/>
      <c r="AH65" s="312"/>
      <c r="AI65" s="63"/>
      <c r="AK65" s="62"/>
      <c r="AL65" s="63"/>
      <c r="AM65" s="312"/>
      <c r="AN65" s="523">
        <f>IF(AK65=0,0,AL65/AK65)</f>
        <v>0</v>
      </c>
      <c r="AP65" s="62"/>
      <c r="AQ65" s="312"/>
      <c r="AR65" s="63"/>
      <c r="AU65" s="62"/>
      <c r="AV65" s="63"/>
      <c r="AW65" s="312"/>
      <c r="AX65" s="297">
        <f>IF(AU65=0,0,AV65/AU65)</f>
        <v>0</v>
      </c>
      <c r="AZ65" s="62"/>
      <c r="BA65" s="312"/>
      <c r="BB65" s="63"/>
    </row>
    <row r="66" spans="1:54" x14ac:dyDescent="0.35">
      <c r="A66" s="9169"/>
      <c r="B66" s="2950"/>
      <c r="C66" s="2951"/>
      <c r="D66" s="87"/>
      <c r="F66" s="88"/>
      <c r="G66" s="274"/>
      <c r="H66" s="89"/>
      <c r="I66" s="90"/>
      <c r="J66" s="307">
        <f t="shared" si="52"/>
        <v>0</v>
      </c>
      <c r="L66" s="89"/>
      <c r="M66" s="213">
        <f t="shared" si="53"/>
        <v>0</v>
      </c>
      <c r="O66" s="89"/>
      <c r="P66" s="90"/>
      <c r="Q66" s="3054"/>
      <c r="R66" s="307">
        <f t="shared" si="54"/>
        <v>0</v>
      </c>
      <c r="T66" s="89"/>
      <c r="U66" s="3054"/>
      <c r="V66" s="90"/>
      <c r="X66" s="89"/>
      <c r="Y66" s="90"/>
      <c r="Z66" s="3054"/>
      <c r="AA66" s="307">
        <f t="shared" si="55"/>
        <v>0</v>
      </c>
      <c r="AC66" s="89"/>
      <c r="AD66" s="3054"/>
      <c r="AE66" s="90"/>
      <c r="AF66" s="120"/>
      <c r="AG66" s="89"/>
      <c r="AH66" s="3054"/>
      <c r="AI66" s="90"/>
      <c r="AK66" s="89"/>
      <c r="AL66" s="90"/>
      <c r="AM66" s="3054"/>
      <c r="AN66" s="527">
        <f>IF(AK66=0,0,AL66/AK66)</f>
        <v>0</v>
      </c>
      <c r="AP66" s="89"/>
      <c r="AQ66" s="3054"/>
      <c r="AR66" s="90"/>
      <c r="AU66" s="89"/>
      <c r="AV66" s="90"/>
      <c r="AW66" s="3054"/>
      <c r="AX66" s="307">
        <f>IF(AU66=0,0,AV66/AU66)</f>
        <v>0</v>
      </c>
      <c r="AZ66" s="89"/>
      <c r="BA66" s="3054"/>
      <c r="BB66" s="90"/>
    </row>
    <row r="67" spans="1:54" x14ac:dyDescent="0.35">
      <c r="A67" s="310"/>
      <c r="B67" s="310"/>
      <c r="F67" s="106"/>
      <c r="H67" s="106"/>
      <c r="I67" s="106"/>
      <c r="J67" s="311"/>
      <c r="L67" s="106"/>
      <c r="M67" s="312"/>
      <c r="O67" s="106"/>
      <c r="P67" s="106"/>
      <c r="Q67" s="3054"/>
      <c r="R67" s="311"/>
      <c r="T67" s="106"/>
      <c r="U67" s="312"/>
      <c r="V67" s="106"/>
      <c r="X67" s="106"/>
      <c r="Y67" s="106"/>
      <c r="Z67" s="312"/>
      <c r="AA67" s="311"/>
      <c r="AC67" s="106"/>
      <c r="AD67" s="312"/>
      <c r="AE67" s="106"/>
      <c r="AF67" s="106"/>
      <c r="AG67" s="106"/>
      <c r="AH67" s="312"/>
      <c r="AI67" s="106"/>
      <c r="AK67" s="106"/>
      <c r="AL67" s="106"/>
      <c r="AM67" s="312"/>
      <c r="AN67" s="558"/>
      <c r="AP67" s="106"/>
      <c r="AQ67" s="312"/>
      <c r="AR67" s="106"/>
      <c r="AU67" s="106"/>
      <c r="AV67" s="106"/>
      <c r="AW67" s="312"/>
      <c r="AX67" s="311"/>
      <c r="AZ67" s="106"/>
      <c r="BA67" s="312"/>
      <c r="BB67" s="106"/>
    </row>
    <row r="68" spans="1:54" x14ac:dyDescent="0.35">
      <c r="A68" s="9351" t="s">
        <v>1364</v>
      </c>
      <c r="B68" s="3832"/>
      <c r="C68" s="5709" t="s">
        <v>2108</v>
      </c>
      <c r="D68" s="184"/>
      <c r="F68" s="3834"/>
      <c r="G68" s="290"/>
      <c r="H68" s="3832"/>
      <c r="I68" s="3835"/>
      <c r="J68" s="293"/>
      <c r="L68" s="3836"/>
      <c r="M68" s="268"/>
      <c r="O68" s="3837"/>
      <c r="P68" s="3835"/>
      <c r="Q68" s="5710"/>
      <c r="R68" s="293"/>
      <c r="S68" s="235"/>
      <c r="T68" s="3837"/>
      <c r="U68" s="348"/>
      <c r="V68" s="3838"/>
      <c r="W68"/>
      <c r="X68" s="3837"/>
      <c r="Y68" s="3835"/>
      <c r="Z68" s="3812"/>
      <c r="AA68" s="293"/>
      <c r="AB68"/>
      <c r="AC68" s="3837"/>
      <c r="AD68" s="348"/>
      <c r="AE68" s="3838"/>
      <c r="AG68" s="3837"/>
      <c r="AH68" s="5711" t="s">
        <v>2109</v>
      </c>
      <c r="AI68" s="3838"/>
      <c r="AJ68"/>
      <c r="AK68" s="3837"/>
      <c r="AL68" s="3835"/>
      <c r="AM68" s="3812"/>
      <c r="AN68" s="293"/>
      <c r="AO68"/>
      <c r="AP68" s="3837"/>
      <c r="AQ68" s="348"/>
      <c r="AR68" s="3838"/>
      <c r="AU68" s="3837"/>
      <c r="AV68" s="3835"/>
      <c r="AW68" s="3812"/>
      <c r="AX68" s="293"/>
      <c r="AY68"/>
      <c r="AZ68" s="3837"/>
      <c r="BA68" s="348"/>
      <c r="BB68" s="3838"/>
    </row>
    <row r="69" spans="1:54" x14ac:dyDescent="0.35">
      <c r="A69" s="9352"/>
      <c r="B69" s="3841"/>
      <c r="C69" s="3853" t="s">
        <v>1363</v>
      </c>
      <c r="D69" s="197"/>
      <c r="F69" s="3843"/>
      <c r="G69" s="272"/>
      <c r="H69" s="3844"/>
      <c r="I69" s="3845"/>
      <c r="J69" s="297">
        <f t="shared" ref="J69:J77" si="56">IF(H69=0,0,I69/H69)</f>
        <v>0</v>
      </c>
      <c r="L69" s="3844"/>
      <c r="M69" s="157">
        <f t="shared" ref="M69:M77" si="57">L69*J69</f>
        <v>0</v>
      </c>
      <c r="O69" s="3844"/>
      <c r="P69" s="5712"/>
      <c r="Q69" s="235"/>
      <c r="R69" s="297"/>
      <c r="S69" s="235"/>
      <c r="T69" s="3841"/>
      <c r="V69" s="3842"/>
      <c r="W69"/>
      <c r="X69" s="3848"/>
      <c r="Y69" s="3849"/>
      <c r="Z69" s="3850"/>
      <c r="AA69" s="3339"/>
      <c r="AB69"/>
      <c r="AC69" s="3851"/>
      <c r="AE69" s="3842"/>
      <c r="AF69" s="3758"/>
      <c r="AG69" s="3851"/>
      <c r="AH69" s="3687"/>
      <c r="AI69" s="3842"/>
      <c r="AJ69"/>
      <c r="AK69" s="3848"/>
      <c r="AL69" s="3849"/>
      <c r="AM69" s="6650"/>
      <c r="AN69" s="6651"/>
      <c r="AO69"/>
      <c r="AP69" s="3851"/>
      <c r="AR69" s="3842"/>
      <c r="AU69" s="3848"/>
      <c r="AV69" s="3849"/>
      <c r="AW69" s="3850"/>
      <c r="AX69" s="8115"/>
      <c r="AY69"/>
      <c r="AZ69" s="3851"/>
      <c r="BB69" s="3842"/>
    </row>
    <row r="70" spans="1:54" x14ac:dyDescent="0.35">
      <c r="A70" s="9352"/>
      <c r="B70" s="3852"/>
      <c r="C70" s="3853" t="s">
        <v>1586</v>
      </c>
      <c r="D70" s="197"/>
      <c r="F70" s="3854"/>
      <c r="G70" s="272"/>
      <c r="H70" s="3855"/>
      <c r="I70" s="3847"/>
      <c r="J70" s="297">
        <f t="shared" si="56"/>
        <v>0</v>
      </c>
      <c r="L70" s="3855"/>
      <c r="M70" s="157">
        <f t="shared" si="57"/>
        <v>0</v>
      </c>
      <c r="O70" s="3855"/>
      <c r="P70" s="5712"/>
      <c r="Q70" s="235"/>
      <c r="R70" s="297"/>
      <c r="S70" s="235"/>
      <c r="T70" s="3852"/>
      <c r="V70" s="3853"/>
      <c r="W70"/>
      <c r="X70" s="3856"/>
      <c r="Y70" s="3849"/>
      <c r="Z70" s="3825"/>
      <c r="AA70" s="3339"/>
      <c r="AB70"/>
      <c r="AC70" s="3857"/>
      <c r="AE70" s="3853"/>
      <c r="AF70" s="3758"/>
      <c r="AG70" s="3857"/>
      <c r="AH70" s="3687"/>
      <c r="AI70" s="3853"/>
      <c r="AJ70"/>
      <c r="AK70" s="3848"/>
      <c r="AL70" s="3849"/>
      <c r="AM70" s="6351"/>
      <c r="AN70" s="6651"/>
      <c r="AO70"/>
      <c r="AP70" s="3857"/>
      <c r="AR70" s="3853"/>
      <c r="AU70" s="3848"/>
      <c r="AV70" s="3849"/>
      <c r="AW70" s="3825"/>
      <c r="AX70" s="8115"/>
      <c r="AY70"/>
      <c r="AZ70" s="3857"/>
      <c r="BB70" s="3853"/>
    </row>
    <row r="71" spans="1:54" x14ac:dyDescent="0.35">
      <c r="A71" s="9352"/>
      <c r="B71" s="3852"/>
      <c r="C71" s="5713" t="s">
        <v>2110</v>
      </c>
      <c r="D71" s="197"/>
      <c r="F71" s="3854"/>
      <c r="G71" s="272"/>
      <c r="H71" s="3855"/>
      <c r="I71" s="3847"/>
      <c r="J71" s="297">
        <f t="shared" si="56"/>
        <v>0</v>
      </c>
      <c r="L71" s="3855"/>
      <c r="M71" s="157">
        <f t="shared" si="57"/>
        <v>0</v>
      </c>
      <c r="O71" s="3855"/>
      <c r="P71" s="5712"/>
      <c r="Q71" s="235"/>
      <c r="R71" s="297"/>
      <c r="S71" s="235"/>
      <c r="T71" s="3852"/>
      <c r="V71" s="3853"/>
      <c r="W71"/>
      <c r="X71" s="3855"/>
      <c r="Y71" s="3847"/>
      <c r="Z71" s="3825"/>
      <c r="AA71" s="297"/>
      <c r="AB71"/>
      <c r="AC71" s="3852"/>
      <c r="AE71" s="3853"/>
      <c r="AG71" s="3852">
        <v>63239.914322999997</v>
      </c>
      <c r="AH71" s="5714" t="s">
        <v>2109</v>
      </c>
      <c r="AI71" s="3853">
        <v>92.477575000000002</v>
      </c>
      <c r="AJ71"/>
      <c r="AK71" s="3848"/>
      <c r="AL71" s="3849"/>
      <c r="AM71" s="6351"/>
      <c r="AN71" s="523"/>
      <c r="AO71"/>
      <c r="AP71" s="3852"/>
      <c r="AR71" s="3853"/>
      <c r="AU71" s="3848"/>
      <c r="AV71" s="3849"/>
      <c r="AW71" s="3825"/>
      <c r="AX71" s="297"/>
      <c r="AY71"/>
      <c r="AZ71" s="3852"/>
      <c r="BB71" s="3853"/>
    </row>
    <row r="72" spans="1:54" x14ac:dyDescent="0.35">
      <c r="A72" s="9352"/>
      <c r="B72" s="3852"/>
      <c r="C72" s="3853" t="s">
        <v>1363</v>
      </c>
      <c r="D72" s="197"/>
      <c r="F72" s="3854"/>
      <c r="G72" s="272"/>
      <c r="H72" s="3855"/>
      <c r="I72" s="3847"/>
      <c r="J72" s="297">
        <f t="shared" si="56"/>
        <v>0</v>
      </c>
      <c r="L72" s="3855"/>
      <c r="M72" s="157">
        <f t="shared" si="57"/>
        <v>0</v>
      </c>
      <c r="O72" s="3855"/>
      <c r="P72" s="5712"/>
      <c r="Q72" s="235"/>
      <c r="R72" s="297"/>
      <c r="S72" s="235"/>
      <c r="T72" s="3852"/>
      <c r="V72" s="3853"/>
      <c r="W72"/>
      <c r="X72" s="3855"/>
      <c r="Y72" s="3847"/>
      <c r="Z72" s="3825"/>
      <c r="AA72" s="297"/>
      <c r="AB72"/>
      <c r="AC72" s="3852"/>
      <c r="AE72" s="3853"/>
      <c r="AG72" s="3852"/>
      <c r="AH72" s="3082"/>
      <c r="AI72" s="3853"/>
      <c r="AJ72"/>
      <c r="AK72" s="3848"/>
      <c r="AL72" s="3849"/>
      <c r="AM72" s="6351"/>
      <c r="AN72" s="523"/>
      <c r="AO72"/>
      <c r="AP72" s="3852"/>
      <c r="AR72" s="3853"/>
      <c r="AU72" s="3848"/>
      <c r="AV72" s="3849"/>
      <c r="AW72" s="3825"/>
      <c r="AX72" s="297"/>
      <c r="AY72"/>
      <c r="AZ72" s="3852"/>
      <c r="BB72" s="3853"/>
    </row>
    <row r="73" spans="1:54" x14ac:dyDescent="0.35">
      <c r="A73" s="9352"/>
      <c r="B73" s="3852"/>
      <c r="C73" s="3853" t="s">
        <v>1586</v>
      </c>
      <c r="D73" s="197"/>
      <c r="F73" s="3854"/>
      <c r="G73" s="272"/>
      <c r="H73" s="3855"/>
      <c r="I73" s="3847"/>
      <c r="J73" s="297">
        <f t="shared" si="56"/>
        <v>0</v>
      </c>
      <c r="L73" s="3855"/>
      <c r="M73" s="157">
        <f t="shared" si="57"/>
        <v>0</v>
      </c>
      <c r="O73" s="3855"/>
      <c r="P73" s="5712"/>
      <c r="Q73" s="235"/>
      <c r="R73" s="297"/>
      <c r="S73" s="235"/>
      <c r="T73" s="3852"/>
      <c r="V73" s="3853"/>
      <c r="W73"/>
      <c r="X73" s="3855"/>
      <c r="Y73" s="3847"/>
      <c r="Z73" s="3825"/>
      <c r="AA73" s="297"/>
      <c r="AB73"/>
      <c r="AC73" s="3852"/>
      <c r="AE73" s="3853"/>
      <c r="AG73" s="3852"/>
      <c r="AH73" s="3082"/>
      <c r="AI73" s="3853"/>
      <c r="AJ73"/>
      <c r="AK73" s="3855"/>
      <c r="AL73" s="3847"/>
      <c r="AM73" s="6351"/>
      <c r="AN73" s="523"/>
      <c r="AO73"/>
      <c r="AP73" s="3852"/>
      <c r="AR73" s="3853"/>
      <c r="AU73" s="3855"/>
      <c r="AV73" s="3847"/>
      <c r="AW73" s="3825"/>
      <c r="AX73" s="297"/>
      <c r="AY73"/>
      <c r="AZ73" s="3852"/>
      <c r="BB73" s="3853"/>
    </row>
    <row r="74" spans="1:54" x14ac:dyDescent="0.35">
      <c r="A74" s="9352"/>
      <c r="B74" s="3852"/>
      <c r="C74" s="3853"/>
      <c r="D74" s="197"/>
      <c r="F74" s="3854"/>
      <c r="G74" s="272"/>
      <c r="H74" s="3855"/>
      <c r="I74" s="3847"/>
      <c r="J74" s="297">
        <f t="shared" si="56"/>
        <v>0</v>
      </c>
      <c r="L74" s="3855"/>
      <c r="M74" s="157">
        <f t="shared" si="57"/>
        <v>0</v>
      </c>
      <c r="O74" s="3855"/>
      <c r="P74" s="5712"/>
      <c r="Q74" s="235"/>
      <c r="R74" s="297"/>
      <c r="S74" s="235"/>
      <c r="T74" s="3852"/>
      <c r="V74" s="3853"/>
      <c r="W74"/>
      <c r="X74" s="3855"/>
      <c r="Y74" s="3847"/>
      <c r="Z74" s="3825"/>
      <c r="AA74" s="297"/>
      <c r="AB74"/>
      <c r="AC74" s="3852"/>
      <c r="AE74" s="3853"/>
      <c r="AG74" s="3852"/>
      <c r="AH74" s="3082"/>
      <c r="AI74" s="3853"/>
      <c r="AJ74"/>
      <c r="AK74" s="3855"/>
      <c r="AL74" s="3847"/>
      <c r="AM74" s="6351"/>
      <c r="AN74" s="523"/>
      <c r="AO74"/>
      <c r="AP74" s="3852"/>
      <c r="AR74" s="3853"/>
      <c r="AU74" s="3855"/>
      <c r="AV74" s="3847"/>
      <c r="AW74" s="3825"/>
      <c r="AX74" s="297"/>
      <c r="AY74"/>
      <c r="AZ74" s="3852"/>
      <c r="BB74" s="3853"/>
    </row>
    <row r="75" spans="1:54" x14ac:dyDescent="0.35">
      <c r="A75" s="9352"/>
      <c r="B75" s="3852"/>
      <c r="C75" s="3853"/>
      <c r="D75" s="197"/>
      <c r="F75" s="3854"/>
      <c r="G75" s="272"/>
      <c r="H75" s="3855"/>
      <c r="I75" s="3847"/>
      <c r="J75" s="297">
        <f t="shared" si="56"/>
        <v>0</v>
      </c>
      <c r="L75" s="3855"/>
      <c r="M75" s="157">
        <f t="shared" si="57"/>
        <v>0</v>
      </c>
      <c r="O75" s="3855"/>
      <c r="P75" s="5712"/>
      <c r="Q75" s="235"/>
      <c r="R75" s="297"/>
      <c r="S75" s="235"/>
      <c r="T75" s="3852"/>
      <c r="V75" s="3853"/>
      <c r="W75"/>
      <c r="X75" s="3855"/>
      <c r="Y75" s="3847"/>
      <c r="Z75" s="3825"/>
      <c r="AA75" s="297"/>
      <c r="AB75"/>
      <c r="AC75" s="3852"/>
      <c r="AE75" s="3853"/>
      <c r="AG75" s="3852"/>
      <c r="AH75" s="3082"/>
      <c r="AI75" s="3853"/>
      <c r="AJ75"/>
      <c r="AK75" s="3855"/>
      <c r="AL75" s="3847"/>
      <c r="AM75" s="6351"/>
      <c r="AN75" s="523"/>
      <c r="AO75"/>
      <c r="AP75" s="3852"/>
      <c r="AR75" s="3853"/>
      <c r="AU75" s="3855"/>
      <c r="AV75" s="3847"/>
      <c r="AW75" s="3825"/>
      <c r="AX75" s="297"/>
      <c r="AY75"/>
      <c r="AZ75" s="3852"/>
      <c r="BB75" s="3853"/>
    </row>
    <row r="76" spans="1:54" x14ac:dyDescent="0.35">
      <c r="A76" s="9352"/>
      <c r="B76" s="3852"/>
      <c r="C76" s="3853"/>
      <c r="D76" s="197"/>
      <c r="F76" s="3854"/>
      <c r="G76" s="272"/>
      <c r="H76" s="3855"/>
      <c r="I76" s="3847"/>
      <c r="J76" s="297">
        <f t="shared" si="56"/>
        <v>0</v>
      </c>
      <c r="L76" s="3855"/>
      <c r="M76" s="157">
        <f t="shared" si="57"/>
        <v>0</v>
      </c>
      <c r="O76" s="3855"/>
      <c r="P76" s="5712"/>
      <c r="Q76" s="235"/>
      <c r="R76" s="297"/>
      <c r="S76" s="235"/>
      <c r="T76" s="3852"/>
      <c r="V76" s="3853"/>
      <c r="W76"/>
      <c r="X76" s="3855"/>
      <c r="Y76" s="3847"/>
      <c r="Z76" s="3825"/>
      <c r="AA76" s="297"/>
      <c r="AB76"/>
      <c r="AC76" s="3852"/>
      <c r="AE76" s="3853"/>
      <c r="AG76" s="3852"/>
      <c r="AH76" s="3082"/>
      <c r="AI76" s="3853"/>
      <c r="AJ76"/>
      <c r="AK76" s="3855"/>
      <c r="AL76" s="3847"/>
      <c r="AM76" s="6351"/>
      <c r="AN76" s="523"/>
      <c r="AO76"/>
      <c r="AP76" s="3852"/>
      <c r="AR76" s="3853"/>
      <c r="AU76" s="3855"/>
      <c r="AV76" s="3847"/>
      <c r="AW76" s="3825"/>
      <c r="AX76" s="297"/>
      <c r="AY76"/>
      <c r="AZ76" s="3852"/>
      <c r="BB76" s="3853"/>
    </row>
    <row r="77" spans="1:54" x14ac:dyDescent="0.35">
      <c r="A77" s="9353"/>
      <c r="B77" s="3858"/>
      <c r="C77" s="3859"/>
      <c r="D77" s="209"/>
      <c r="F77" s="3860"/>
      <c r="G77" s="274"/>
      <c r="H77" s="3861"/>
      <c r="I77" s="3862"/>
      <c r="J77" s="307">
        <f t="shared" si="56"/>
        <v>0</v>
      </c>
      <c r="L77" s="3861"/>
      <c r="M77" s="213">
        <f t="shared" si="57"/>
        <v>0</v>
      </c>
      <c r="O77" s="3861"/>
      <c r="P77" s="5715"/>
      <c r="Q77" s="4054"/>
      <c r="R77" s="307"/>
      <c r="S77" s="235"/>
      <c r="T77" s="3858"/>
      <c r="U77" s="1696"/>
      <c r="V77" s="3859"/>
      <c r="W77"/>
      <c r="X77" s="3861"/>
      <c r="Y77" s="3862"/>
      <c r="Z77" s="3831"/>
      <c r="AA77" s="307"/>
      <c r="AB77"/>
      <c r="AC77" s="3858"/>
      <c r="AD77" s="1696"/>
      <c r="AE77" s="3859"/>
      <c r="AG77" s="3858"/>
      <c r="AH77" s="3083"/>
      <c r="AI77" s="3859"/>
      <c r="AJ77"/>
      <c r="AK77" s="3861"/>
      <c r="AL77" s="3862"/>
      <c r="AM77" s="6352"/>
      <c r="AN77" s="527"/>
      <c r="AO77"/>
      <c r="AP77" s="3858"/>
      <c r="AQ77" s="1696"/>
      <c r="AR77" s="3859"/>
      <c r="AU77" s="3861"/>
      <c r="AV77" s="3862"/>
      <c r="AW77" s="3831"/>
      <c r="AX77" s="307"/>
      <c r="AY77"/>
      <c r="AZ77" s="3858"/>
      <c r="BA77" s="1696"/>
      <c r="BB77" s="3859"/>
    </row>
    <row r="78" spans="1:54" x14ac:dyDescent="0.35">
      <c r="A78" s="310"/>
      <c r="B78" s="310"/>
      <c r="F78" s="106"/>
      <c r="H78" s="106"/>
      <c r="I78" s="106"/>
      <c r="J78" s="311"/>
      <c r="L78" s="106"/>
      <c r="M78" s="312"/>
      <c r="O78" s="106"/>
      <c r="P78" s="106"/>
      <c r="Q78" s="3054"/>
      <c r="R78" s="311"/>
      <c r="T78" s="106"/>
      <c r="U78" s="3054"/>
      <c r="V78" s="106"/>
      <c r="X78" s="106"/>
      <c r="Y78" s="106"/>
      <c r="Z78" s="312"/>
      <c r="AA78" s="311"/>
      <c r="AC78" s="106"/>
      <c r="AD78" s="3054"/>
      <c r="AE78" s="106"/>
      <c r="AF78" s="106"/>
      <c r="AG78" s="106"/>
      <c r="AH78" s="3054"/>
      <c r="AI78" s="106"/>
      <c r="AK78" s="106"/>
      <c r="AL78" s="106"/>
      <c r="AM78" s="312"/>
      <c r="AN78" s="558"/>
      <c r="AP78" s="106"/>
      <c r="AQ78" s="3054"/>
      <c r="AR78" s="106"/>
      <c r="AU78" s="106"/>
      <c r="AV78" s="106"/>
      <c r="AW78" s="312"/>
      <c r="AX78" s="311"/>
      <c r="AZ78" s="106"/>
      <c r="BA78" s="3054"/>
      <c r="BB78" s="106"/>
    </row>
    <row r="79" spans="1:54" x14ac:dyDescent="0.35">
      <c r="A79" s="9167" t="s">
        <v>988</v>
      </c>
      <c r="B79" s="139" t="s">
        <v>989</v>
      </c>
      <c r="C79" s="348"/>
      <c r="D79" s="49"/>
      <c r="E79" s="141"/>
      <c r="F79" s="227"/>
      <c r="G79" s="141"/>
      <c r="H79" s="102"/>
      <c r="I79" s="103"/>
      <c r="J79" s="228"/>
      <c r="K79" s="141"/>
      <c r="L79" s="102"/>
      <c r="M79" s="268"/>
      <c r="N79" s="141"/>
      <c r="O79" s="777"/>
      <c r="P79" s="3724"/>
      <c r="Q79" s="254"/>
      <c r="R79" s="228"/>
      <c r="S79" s="141"/>
      <c r="T79" s="102"/>
      <c r="U79" s="254"/>
      <c r="V79" s="105"/>
      <c r="W79" s="141"/>
      <c r="X79" s="777"/>
      <c r="Y79" s="1341"/>
      <c r="Z79" s="5716"/>
      <c r="AA79" s="5717"/>
      <c r="AB79" s="141"/>
      <c r="AC79" s="102"/>
      <c r="AD79" s="254"/>
      <c r="AE79" s="105"/>
      <c r="AF79" s="106"/>
      <c r="AG79" s="102"/>
      <c r="AH79" s="254"/>
      <c r="AI79" s="105"/>
      <c r="AJ79" s="141"/>
      <c r="AK79" s="777"/>
      <c r="AL79" s="1341"/>
      <c r="AM79" s="5716"/>
      <c r="AN79" s="5717"/>
      <c r="AO79" s="141"/>
      <c r="AP79" s="102"/>
      <c r="AQ79" s="254"/>
      <c r="AR79" s="105"/>
      <c r="AU79" s="777"/>
      <c r="AV79" s="1341"/>
      <c r="AW79" s="5716"/>
      <c r="AX79" s="5717"/>
      <c r="AY79" s="141"/>
      <c r="AZ79" s="102"/>
      <c r="BA79" s="254"/>
      <c r="BB79" s="105"/>
    </row>
    <row r="80" spans="1:54" x14ac:dyDescent="0.35">
      <c r="A80" s="9168"/>
      <c r="B80" s="6082"/>
      <c r="C80"/>
      <c r="D80" s="110" t="s">
        <v>990</v>
      </c>
      <c r="F80" s="349">
        <f>SUM(F32:F37)-SUM(F39:F41)</f>
        <v>456449</v>
      </c>
      <c r="G80" s="350"/>
      <c r="H80" s="351">
        <f>SUM(H32:H37)-SUM(H39:H41)</f>
        <v>1183963.5351994939</v>
      </c>
      <c r="I80" s="352">
        <f>SUM(I32:I37)-SUM(I39:I41)</f>
        <v>648344</v>
      </c>
      <c r="J80" s="246"/>
      <c r="K80" s="350"/>
      <c r="L80" s="351">
        <f>SUM(L32:L37)-SUM(L39:L41)</f>
        <v>1237894</v>
      </c>
      <c r="M80" s="353">
        <f>SUM(M32:M37)-SUM(M39:M41)</f>
        <v>718003.03133569739</v>
      </c>
      <c r="O80" s="5718">
        <f>SUM(O32:O37)-SUM(O39:O41)</f>
        <v>1237894</v>
      </c>
      <c r="P80" s="5719">
        <f>SUM(P32:P37)-SUM(P39:P41)</f>
        <v>667821.44676937396</v>
      </c>
      <c r="Q80" s="352"/>
      <c r="R80" s="246"/>
      <c r="T80" s="351">
        <f>SUM(T32:T37)-SUM(T39:T41)</f>
        <v>911813.562057</v>
      </c>
      <c r="U80" s="352"/>
      <c r="V80" s="353">
        <f>SUM(V32:V37)-SUM(V39:V41)</f>
        <v>778440.117096</v>
      </c>
      <c r="X80" s="5718">
        <f>SUM(X32:X37)-SUM(X39:X41)</f>
        <v>911813.562057</v>
      </c>
      <c r="Y80" s="5720">
        <f>SUM(Y32:Y37)-SUM(Y39:Y41)</f>
        <v>794877.04115200008</v>
      </c>
      <c r="Z80" s="5720"/>
      <c r="AA80" s="5721"/>
      <c r="AC80" s="351">
        <f>SUM(AC32:AC37)-SUM(AC39:AC41)</f>
        <v>1134256.419</v>
      </c>
      <c r="AD80" s="352"/>
      <c r="AE80" s="353">
        <f>SUM(AE32:AE37)-SUM(AE39:AE41)</f>
        <v>810057.82199999993</v>
      </c>
      <c r="AF80" s="351"/>
      <c r="AG80" s="351">
        <f>SUM(AG32:AG37)-SUM(AG39:AG41)</f>
        <v>1389736.0044570002</v>
      </c>
      <c r="AH80" s="352"/>
      <c r="AI80" s="353">
        <f>SUM(AI32:AI37)-SUM(AI39:AI41)</f>
        <v>1055717.4849760002</v>
      </c>
      <c r="AK80" s="5718">
        <f>SUM(AK32:AK37)-SUM(AK39:AK41)</f>
        <v>1389736.0044570002</v>
      </c>
      <c r="AL80" s="5720">
        <f>SUM(AL32:AL37)-SUM(AL39:AL41)</f>
        <v>1056243.0569860002</v>
      </c>
      <c r="AM80" s="5720"/>
      <c r="AN80" s="5721"/>
      <c r="AP80" s="351">
        <f>SUM(AP32:AP37)-SUM(AP39:AP41)</f>
        <v>1634763</v>
      </c>
      <c r="AQ80" s="352"/>
      <c r="AR80" s="353">
        <f>SUM(AR32:AR37)-SUM(AR39:AR41)</f>
        <v>1440897</v>
      </c>
      <c r="AU80" s="5718">
        <f>SUM(AU32:AU37)-SUM(AU39:AU41)</f>
        <v>1634763</v>
      </c>
      <c r="AV80" s="5720">
        <f>SUM(AV32:AV37)-SUM(AV39:AV41)</f>
        <v>1440895</v>
      </c>
      <c r="AW80" s="5720"/>
      <c r="AX80" s="5721"/>
      <c r="AZ80" s="351">
        <f>SUM(AZ32:AZ37)-SUM(AZ39:AZ41)</f>
        <v>2235605.62</v>
      </c>
      <c r="BA80" s="352"/>
      <c r="BB80" s="353">
        <f>SUM(BB32:BB37)-SUM(BB39:BB41)</f>
        <v>2348670.6</v>
      </c>
    </row>
    <row r="81" spans="1:54" x14ac:dyDescent="0.35">
      <c r="A81" s="9168"/>
      <c r="B81" s="6082"/>
      <c r="C81"/>
      <c r="D81" s="110" t="s">
        <v>944</v>
      </c>
      <c r="F81" s="349">
        <f>SUM(F43:F49)</f>
        <v>0</v>
      </c>
      <c r="G81" s="350"/>
      <c r="H81" s="351">
        <f>SUM(H43:H49)</f>
        <v>0</v>
      </c>
      <c r="I81" s="352">
        <f>SUM(I43:I49)</f>
        <v>0</v>
      </c>
      <c r="J81" s="246"/>
      <c r="K81" s="350"/>
      <c r="L81" s="351">
        <f>SUM(L43:L49)</f>
        <v>0</v>
      </c>
      <c r="M81" s="353">
        <f>SUM(M43:M49)</f>
        <v>0</v>
      </c>
      <c r="O81" s="5718">
        <f>SUM(O43:O49)</f>
        <v>0</v>
      </c>
      <c r="P81" s="5719">
        <f>SUM(P43:P49)</f>
        <v>0</v>
      </c>
      <c r="Q81" s="352"/>
      <c r="R81" s="246"/>
      <c r="T81" s="351">
        <f>SUM(T43:T49)</f>
        <v>0</v>
      </c>
      <c r="U81" s="352"/>
      <c r="V81" s="353">
        <f>SUM(V43:V49)</f>
        <v>0</v>
      </c>
      <c r="X81" s="5718">
        <f>SUM(X43:X49)</f>
        <v>0</v>
      </c>
      <c r="Y81" s="5720">
        <f>SUM(Y43:Y49)</f>
        <v>0</v>
      </c>
      <c r="Z81" s="5720"/>
      <c r="AA81" s="5721"/>
      <c r="AC81" s="351">
        <f>SUM(AC43:AC49)</f>
        <v>0</v>
      </c>
      <c r="AD81" s="352"/>
      <c r="AE81" s="353">
        <f>SUM(AE43:AE49)</f>
        <v>0</v>
      </c>
      <c r="AF81" s="351"/>
      <c r="AG81" s="351">
        <f>SUM(AG43:AG49)</f>
        <v>0</v>
      </c>
      <c r="AH81" s="352"/>
      <c r="AI81" s="353">
        <f>SUM(AI43:AI49)</f>
        <v>0</v>
      </c>
      <c r="AK81" s="5718">
        <f>SUM(AK43:AK49)</f>
        <v>0</v>
      </c>
      <c r="AL81" s="5720">
        <f>SUM(AL43:AL49)</f>
        <v>0</v>
      </c>
      <c r="AM81" s="5720"/>
      <c r="AN81" s="5721"/>
      <c r="AP81" s="351">
        <f>SUM(AP43:AP49)</f>
        <v>0</v>
      </c>
      <c r="AQ81" s="352"/>
      <c r="AR81" s="353">
        <f>SUM(AR43:AR49)</f>
        <v>0</v>
      </c>
      <c r="AU81" s="5718">
        <f>SUM(AU43:AU49)</f>
        <v>0</v>
      </c>
      <c r="AV81" s="5720">
        <f>SUM(AV43:AV49)</f>
        <v>0</v>
      </c>
      <c r="AW81" s="5720"/>
      <c r="AX81" s="5721"/>
      <c r="AZ81" s="351">
        <f>SUM(AZ43:AZ49)</f>
        <v>0</v>
      </c>
      <c r="BA81" s="352"/>
      <c r="BB81" s="353">
        <f>SUM(BB43:BB49)</f>
        <v>0</v>
      </c>
    </row>
    <row r="82" spans="1:54" x14ac:dyDescent="0.35">
      <c r="A82" s="9168"/>
      <c r="B82" s="6082"/>
      <c r="C82"/>
      <c r="D82" s="110" t="s">
        <v>991</v>
      </c>
      <c r="F82" s="349">
        <f>SUM(F51:F58)*F27</f>
        <v>0</v>
      </c>
      <c r="G82" s="350"/>
      <c r="H82" s="351">
        <f>SUM(H51:H58)*H27</f>
        <v>0</v>
      </c>
      <c r="I82" s="352">
        <f>SUM(I51:I58)*I27</f>
        <v>0</v>
      </c>
      <c r="J82" s="246"/>
      <c r="K82" s="350"/>
      <c r="L82" s="351">
        <f>SUM(L51:L58)*L27</f>
        <v>0</v>
      </c>
      <c r="M82" s="353">
        <f>SUM(M51:M58)*M27</f>
        <v>0</v>
      </c>
      <c r="O82" s="5718">
        <f>SUM(O51:O58)*O27</f>
        <v>0</v>
      </c>
      <c r="P82" s="5719">
        <f>SUM(P51:P58)*P27</f>
        <v>0</v>
      </c>
      <c r="Q82" s="352"/>
      <c r="R82" s="246"/>
      <c r="T82" s="351">
        <f>SUM(T51:T58)*T27</f>
        <v>0</v>
      </c>
      <c r="U82" s="352"/>
      <c r="V82" s="353">
        <f>SUM(V51:V58)*V27</f>
        <v>0</v>
      </c>
      <c r="X82" s="5718">
        <f>SUM(X51:X58)*X27</f>
        <v>0</v>
      </c>
      <c r="Y82" s="5720">
        <f>SUM(Y51:Y58)*Y27</f>
        <v>0</v>
      </c>
      <c r="Z82" s="5720"/>
      <c r="AA82" s="5721"/>
      <c r="AC82" s="351">
        <f>SUM(AC51:AC58)*AC27</f>
        <v>0</v>
      </c>
      <c r="AD82" s="352"/>
      <c r="AE82" s="353">
        <f>SUM(AE51:AE58)*AE27</f>
        <v>0</v>
      </c>
      <c r="AF82" s="351"/>
      <c r="AG82" s="351">
        <f>SUM(AG51:AG58)*AG27</f>
        <v>0</v>
      </c>
      <c r="AH82" s="352"/>
      <c r="AI82" s="353">
        <f>SUM(AI51:AI58)*AI27</f>
        <v>0</v>
      </c>
      <c r="AK82" s="5718">
        <f>SUM(AK51:AK58)*AK27</f>
        <v>0</v>
      </c>
      <c r="AL82" s="5720">
        <f>SUM(AL51:AL58)*AL27</f>
        <v>0</v>
      </c>
      <c r="AM82" s="5720"/>
      <c r="AN82" s="5721"/>
      <c r="AP82" s="351">
        <f>SUM(AP51:AP58)*AP27</f>
        <v>0</v>
      </c>
      <c r="AQ82" s="352"/>
      <c r="AR82" s="353">
        <f>SUM(AR51:AR58)*AR27</f>
        <v>0</v>
      </c>
      <c r="AU82" s="5718">
        <f>SUM(AU51:AU58)*AU27</f>
        <v>0</v>
      </c>
      <c r="AV82" s="5720">
        <f>SUM(AV51:AV58)*AV27</f>
        <v>0</v>
      </c>
      <c r="AW82" s="5720"/>
      <c r="AX82" s="5721"/>
      <c r="AZ82" s="351">
        <f>SUM(AZ51:AZ58)*AZ27</f>
        <v>0</v>
      </c>
      <c r="BA82" s="352"/>
      <c r="BB82" s="353">
        <f>SUM(BB51:BB58)*BB27</f>
        <v>0</v>
      </c>
    </row>
    <row r="83" spans="1:54" x14ac:dyDescent="0.35">
      <c r="A83" s="9168"/>
      <c r="B83" s="6082"/>
      <c r="C83"/>
      <c r="D83" s="110" t="s">
        <v>979</v>
      </c>
      <c r="F83" s="349">
        <f>F60</f>
        <v>0</v>
      </c>
      <c r="G83" s="350"/>
      <c r="H83" s="351">
        <f>H60</f>
        <v>0</v>
      </c>
      <c r="I83" s="352">
        <f>I60</f>
        <v>0</v>
      </c>
      <c r="J83" s="246"/>
      <c r="K83" s="350"/>
      <c r="L83" s="351">
        <f>L60</f>
        <v>0</v>
      </c>
      <c r="M83" s="353">
        <f>M60</f>
        <v>0</v>
      </c>
      <c r="O83" s="5718">
        <f>O60</f>
        <v>0</v>
      </c>
      <c r="P83" s="5719">
        <f>P60</f>
        <v>0</v>
      </c>
      <c r="Q83" s="352"/>
      <c r="R83" s="246"/>
      <c r="T83" s="351">
        <f>T60</f>
        <v>0</v>
      </c>
      <c r="U83" s="352"/>
      <c r="V83" s="353">
        <f>V60</f>
        <v>0</v>
      </c>
      <c r="X83" s="5718">
        <f>X60</f>
        <v>0</v>
      </c>
      <c r="Y83" s="5720">
        <f>Y60</f>
        <v>0</v>
      </c>
      <c r="Z83" s="5720"/>
      <c r="AA83" s="5721"/>
      <c r="AC83" s="351">
        <f>AC60</f>
        <v>0</v>
      </c>
      <c r="AD83" s="352"/>
      <c r="AE83" s="353">
        <f>AE60</f>
        <v>0</v>
      </c>
      <c r="AF83" s="351"/>
      <c r="AG83" s="351">
        <f>AG60</f>
        <v>0</v>
      </c>
      <c r="AH83" s="352"/>
      <c r="AI83" s="353">
        <f>AI60</f>
        <v>0</v>
      </c>
      <c r="AK83" s="5718">
        <f>AK60</f>
        <v>0</v>
      </c>
      <c r="AL83" s="5720">
        <f>AL60</f>
        <v>0</v>
      </c>
      <c r="AM83" s="5720"/>
      <c r="AN83" s="5721"/>
      <c r="AP83" s="351">
        <f>AP60</f>
        <v>0</v>
      </c>
      <c r="AQ83" s="352"/>
      <c r="AR83" s="353">
        <f>AR60</f>
        <v>0</v>
      </c>
      <c r="AU83" s="5718">
        <f>AU60</f>
        <v>0</v>
      </c>
      <c r="AV83" s="5720">
        <f>AV60</f>
        <v>0</v>
      </c>
      <c r="AW83" s="5720"/>
      <c r="AX83" s="5721"/>
      <c r="AZ83" s="351">
        <f>AZ60</f>
        <v>0</v>
      </c>
      <c r="BA83" s="352"/>
      <c r="BB83" s="353">
        <f>BB60</f>
        <v>0</v>
      </c>
    </row>
    <row r="84" spans="1:54" x14ac:dyDescent="0.35">
      <c r="A84" s="9168"/>
      <c r="B84" s="6082"/>
      <c r="C84"/>
      <c r="D84" s="356" t="s">
        <v>992</v>
      </c>
      <c r="E84" s="143"/>
      <c r="F84" s="357">
        <f t="shared" ref="F84" si="58">SUM(F80:F83)</f>
        <v>456449</v>
      </c>
      <c r="G84" s="358"/>
      <c r="H84" s="359">
        <f t="shared" ref="H84:I84" si="59">SUM(H80:H83)</f>
        <v>1183963.5351994939</v>
      </c>
      <c r="I84" s="360">
        <f t="shared" si="59"/>
        <v>648344</v>
      </c>
      <c r="J84" s="361"/>
      <c r="K84" s="358"/>
      <c r="L84" s="359">
        <f t="shared" ref="L84:M84" si="60">SUM(L80:L83)</f>
        <v>1237894</v>
      </c>
      <c r="M84" s="362">
        <f t="shared" si="60"/>
        <v>718003.03133569739</v>
      </c>
      <c r="N84" s="143"/>
      <c r="O84" s="5722">
        <f t="shared" ref="O84:P84" si="61">SUM(O80:O83)</f>
        <v>1237894</v>
      </c>
      <c r="P84" s="5723">
        <f t="shared" si="61"/>
        <v>667821.44676937396</v>
      </c>
      <c r="Q84" s="360"/>
      <c r="R84" s="361"/>
      <c r="S84" s="143"/>
      <c r="T84" s="359">
        <f t="shared" ref="T84" si="62">SUM(T80:T83)</f>
        <v>911813.562057</v>
      </c>
      <c r="U84" s="360"/>
      <c r="V84" s="362">
        <f t="shared" ref="V84" si="63">SUM(V80:V83)</f>
        <v>778440.117096</v>
      </c>
      <c r="W84" s="143"/>
      <c r="X84" s="5722">
        <f t="shared" ref="X84:Y84" si="64">SUM(X80:X83)</f>
        <v>911813.562057</v>
      </c>
      <c r="Y84" s="5724">
        <f t="shared" si="64"/>
        <v>794877.04115200008</v>
      </c>
      <c r="Z84" s="5724"/>
      <c r="AA84" s="5725"/>
      <c r="AB84" s="143"/>
      <c r="AC84" s="359">
        <f t="shared" ref="AC84" si="65">SUM(AC80:AC83)</f>
        <v>1134256.419</v>
      </c>
      <c r="AD84" s="360"/>
      <c r="AE84" s="362">
        <f t="shared" ref="AE84:AG84" si="66">SUM(AE80:AE83)</f>
        <v>810057.82199999993</v>
      </c>
      <c r="AF84" s="359"/>
      <c r="AG84" s="359">
        <f t="shared" si="66"/>
        <v>1389736.0044570002</v>
      </c>
      <c r="AH84" s="360"/>
      <c r="AI84" s="362">
        <f t="shared" ref="AI84" si="67">SUM(AI80:AI83)</f>
        <v>1055717.4849760002</v>
      </c>
      <c r="AJ84" s="143"/>
      <c r="AK84" s="5722">
        <f>SUM(AK80:AK83)</f>
        <v>1389736.0044570002</v>
      </c>
      <c r="AL84" s="5724">
        <f>SUM(AL80:AL83)</f>
        <v>1056243.0569860002</v>
      </c>
      <c r="AM84" s="5724"/>
      <c r="AN84" s="5725">
        <f>IF(AK84=0,0,AL84/AK84)</f>
        <v>0.76003144021493285</v>
      </c>
      <c r="AO84" s="143"/>
      <c r="AP84" s="359">
        <f>SUM(AP80:AP83)</f>
        <v>1634763</v>
      </c>
      <c r="AQ84" s="360"/>
      <c r="AR84" s="362">
        <f>SUM(AR80:AR83)</f>
        <v>1440897</v>
      </c>
      <c r="AU84" s="5722">
        <f>SUM(AU80:AU83)</f>
        <v>1634763</v>
      </c>
      <c r="AV84" s="5724">
        <f>SUM(AV80:AV83)</f>
        <v>1440895</v>
      </c>
      <c r="AW84" s="5724"/>
      <c r="AX84" s="5725"/>
      <c r="AY84" s="143"/>
      <c r="AZ84" s="359">
        <f>SUM(AZ80:AZ83)</f>
        <v>2235605.62</v>
      </c>
      <c r="BA84" s="360"/>
      <c r="BB84" s="362">
        <f>SUM(BB80:BB83)</f>
        <v>2348670.6</v>
      </c>
    </row>
    <row r="85" spans="1:54" ht="15.5" x14ac:dyDescent="0.35">
      <c r="A85" s="9168"/>
      <c r="B85" s="6082"/>
      <c r="C85"/>
      <c r="D85" s="365" t="s">
        <v>993</v>
      </c>
      <c r="F85" s="366">
        <f>F84/(F16+F17)</f>
        <v>0.13877541713285013</v>
      </c>
      <c r="G85" s="367"/>
      <c r="H85" s="368">
        <f>H84/(H16+H17)</f>
        <v>0.16722797606807713</v>
      </c>
      <c r="I85" s="369">
        <f>I84/(I16+I17)</f>
        <v>0.17770142376240988</v>
      </c>
      <c r="J85" s="370"/>
      <c r="K85" s="367"/>
      <c r="L85" s="368">
        <f>L84/(L16+L17)</f>
        <v>0.17086379319459422</v>
      </c>
      <c r="M85" s="370">
        <f>M84/(M16+M17)</f>
        <v>0.18763460277507416</v>
      </c>
      <c r="O85" s="5726">
        <f>O84/(O16+O17)</f>
        <v>0.17580149526916608</v>
      </c>
      <c r="P85" s="5727">
        <f>P84/(P16+P17)</f>
        <v>0.15538453834181257</v>
      </c>
      <c r="Q85" s="369"/>
      <c r="R85" s="370"/>
      <c r="T85" s="368">
        <f>T84/(T16+T17)</f>
        <v>0.1637742633356998</v>
      </c>
      <c r="U85" s="369"/>
      <c r="V85" s="370">
        <f>V84/(V16+V17)</f>
        <v>0.2026241116066391</v>
      </c>
      <c r="X85" s="5726">
        <f>X84/(X16+X17)</f>
        <v>0.17360157558450295</v>
      </c>
      <c r="Y85" s="5728">
        <f>Y84/(Y16+Y17)</f>
        <v>0.20731631004492837</v>
      </c>
      <c r="Z85" s="5728"/>
      <c r="AA85" s="5729"/>
      <c r="AC85" s="368">
        <f>AC84/(AC16+AC17)</f>
        <v>0.11472707042805269</v>
      </c>
      <c r="AD85" s="369"/>
      <c r="AE85" s="370">
        <f>AE84/(AE16+AE17)</f>
        <v>0.19564583485766684</v>
      </c>
      <c r="AF85" s="368"/>
      <c r="AG85" s="368">
        <f>AG84/(AG16+AG17)</f>
        <v>0.16568018887646155</v>
      </c>
      <c r="AH85" s="369"/>
      <c r="AI85" s="370">
        <f>AI84/(AI16+AI17)</f>
        <v>0.17772512149743105</v>
      </c>
      <c r="AK85" s="6023">
        <f>AK84/(AK16+AK17)</f>
        <v>0.16568018887646155</v>
      </c>
      <c r="AL85" s="6652">
        <f>AL84/(AL16+AL17)</f>
        <v>0.17657758977613455</v>
      </c>
      <c r="AM85" s="6652"/>
      <c r="AN85" s="6653"/>
      <c r="AP85" s="561">
        <f>AP84/(AP16+AP17)</f>
        <v>0.18171301854074964</v>
      </c>
      <c r="AQ85" s="562"/>
      <c r="AR85" s="563">
        <f>AR84/(AR16+AR17)</f>
        <v>0.18366793624571709</v>
      </c>
      <c r="AU85" s="5726">
        <f>AU84/(AU16+AU17)</f>
        <v>0.18171301854074964</v>
      </c>
      <c r="AV85" s="5728">
        <f>AV84/(AV16+AV17)</f>
        <v>0.18366721307714076</v>
      </c>
      <c r="AW85" s="5728"/>
      <c r="AX85" s="5729"/>
      <c r="AZ85" s="368">
        <f>AZ84/(AZ16+AZ17)</f>
        <v>0.23915384723182473</v>
      </c>
      <c r="BA85" s="369"/>
      <c r="BB85" s="370">
        <f>BB84/(BB16+BB17)</f>
        <v>0.26236275548349713</v>
      </c>
    </row>
    <row r="86" spans="1:54" s="5741" customFormat="1" ht="18.5" x14ac:dyDescent="0.35">
      <c r="A86" s="9168"/>
      <c r="B86" s="5730"/>
      <c r="C86" s="5731"/>
      <c r="D86" s="5732" t="s">
        <v>994</v>
      </c>
      <c r="E86" s="5733"/>
      <c r="F86" s="5734">
        <f>F32+F34+F36</f>
        <v>454070</v>
      </c>
      <c r="G86" s="5735"/>
      <c r="H86" s="5736">
        <f>H32+H34+H36</f>
        <v>689138.64000743069</v>
      </c>
      <c r="I86" s="5737">
        <f>I32+I34+I36</f>
        <v>612365</v>
      </c>
      <c r="J86" s="5738"/>
      <c r="K86" s="5735"/>
      <c r="L86" s="5739">
        <f>L32+L34+L36</f>
        <v>769711</v>
      </c>
      <c r="M86" s="5740">
        <f>M32+M34+M36</f>
        <v>683961.17871132249</v>
      </c>
      <c r="O86" s="5736">
        <f>O32+O34+O36</f>
        <v>769711</v>
      </c>
      <c r="P86" s="5737">
        <f>P32+P34+P36</f>
        <v>667633.39408580959</v>
      </c>
      <c r="Q86" s="5742"/>
      <c r="R86" s="5738"/>
      <c r="T86" s="5739">
        <f>T32+T34+T36</f>
        <v>805455.57936199999</v>
      </c>
      <c r="U86" s="5742"/>
      <c r="V86" s="5743">
        <f>V32+V34+V36</f>
        <v>757252.23924600007</v>
      </c>
      <c r="X86" s="5736">
        <f>X32+X34+X36</f>
        <v>809629.93805700005</v>
      </c>
      <c r="Y86" s="5744">
        <f>Y32+Y34+Y36</f>
        <v>763577.44115199998</v>
      </c>
      <c r="Z86" s="5745"/>
      <c r="AA86" s="5746"/>
      <c r="AC86" s="5739">
        <f>AC32+AC34+AC36</f>
        <v>973261.42099999997</v>
      </c>
      <c r="AD86" s="5742"/>
      <c r="AE86" s="5743">
        <f>AE32+AE34+AE36</f>
        <v>804775.19499999995</v>
      </c>
      <c r="AF86" s="5747"/>
      <c r="AG86" s="5739">
        <f>AG32+AG34+AG36</f>
        <v>1052599.909856</v>
      </c>
      <c r="AH86" s="5742"/>
      <c r="AI86" s="5743">
        <f>AI32+AI34+AI36</f>
        <v>1006741.7933960001</v>
      </c>
      <c r="AK86" s="5736">
        <f>AK32+AK34+AK36</f>
        <v>1052599.909856</v>
      </c>
      <c r="AL86" s="5744">
        <f>AL32+AL34+AL36</f>
        <v>1007267.3654060001</v>
      </c>
      <c r="AM86" s="6654"/>
      <c r="AN86" s="6655"/>
      <c r="AP86" s="5739">
        <f>AP32+AP34+AP36</f>
        <v>1347547</v>
      </c>
      <c r="AQ86" s="6656"/>
      <c r="AR86" s="5743">
        <f>AR32+AR34+AR36</f>
        <v>1363157</v>
      </c>
      <c r="AT86"/>
      <c r="AU86" s="5736">
        <f>AU32+AU34+AU36</f>
        <v>1347547</v>
      </c>
      <c r="AV86" s="5744">
        <f>AV32+AV34+AV36</f>
        <v>1363157</v>
      </c>
      <c r="AW86" s="5745"/>
      <c r="AX86" s="5746"/>
      <c r="AZ86" s="5739">
        <f>AZ32+AZ34+AZ36</f>
        <v>1927544.5200000003</v>
      </c>
      <c r="BA86" s="5742"/>
      <c r="BB86" s="5743">
        <f>BB32+BB34+BB36</f>
        <v>2316990.7999999998</v>
      </c>
    </row>
    <row r="87" spans="1:54" s="5758" customFormat="1" ht="18.5" x14ac:dyDescent="0.35">
      <c r="A87" s="9168"/>
      <c r="B87" s="5748"/>
      <c r="C87" s="5749"/>
      <c r="D87" s="5750" t="s">
        <v>995</v>
      </c>
      <c r="E87" s="5751"/>
      <c r="F87" s="5752">
        <f>(F84-F86)/(F17+F18)</f>
        <v>3.5925756456895888E-3</v>
      </c>
      <c r="G87" s="5751"/>
      <c r="H87" s="5753">
        <f>(H84-H86)/(H17+H18)</f>
        <v>0.17380956979099405</v>
      </c>
      <c r="I87" s="5754">
        <f>(I84-I86)/(I17+I18)</f>
        <v>9.728681751319547E-2</v>
      </c>
      <c r="J87" s="5755"/>
      <c r="K87" s="5751"/>
      <c r="L87" s="5756">
        <f>(L84-L86)/(L17+L18)</f>
        <v>0.16908707361477734</v>
      </c>
      <c r="M87" s="5757">
        <f>(M84-M86)/(M17+M18)</f>
        <v>9.464348421310817E-2</v>
      </c>
      <c r="O87" s="5753">
        <f>(O84-O86)/(O17+O18)</f>
        <v>0.16908707361477734</v>
      </c>
      <c r="P87" s="5754">
        <f>(P84-P86)/(P17+P18)</f>
        <v>3.2129859096058372E-4</v>
      </c>
      <c r="R87" s="5755"/>
      <c r="T87" s="5756">
        <f>(T84-T86)/(T17+T18)</f>
        <v>8.0847349299750182E-2</v>
      </c>
      <c r="V87" s="5750">
        <f>(V84-V86)/(V17+V18)</f>
        <v>7.5968336187683727E-2</v>
      </c>
      <c r="X87" s="5753">
        <f>(X84-X86)/(X17+X18)</f>
        <v>7.7674236882933109E-2</v>
      </c>
      <c r="Y87" s="5759">
        <f>(Y84-Y86)/(Y17+Y18)</f>
        <v>0.11262454526808977</v>
      </c>
      <c r="Z87" s="5760"/>
      <c r="AA87" s="5761"/>
      <c r="AC87" s="5756">
        <f>(AC84-AC86)/(AC17+AC18)</f>
        <v>3.6349726198695378E-2</v>
      </c>
      <c r="AE87" s="5750">
        <f>(AE84-AE86)/(AE17+AE18)</f>
        <v>1.1481470700416054E-2</v>
      </c>
      <c r="AF87" s="5762"/>
      <c r="AG87" s="5756">
        <f>(AG84-AG86)/(AG17+AG18)</f>
        <v>0.12865781786750646</v>
      </c>
      <c r="AI87" s="5750">
        <f>(AI84-AI86)/(AI17+AI18)</f>
        <v>0.1358411401874306</v>
      </c>
      <c r="AK87" s="5753">
        <f>(AK84-AK86)/(AK17+AK18)</f>
        <v>0.12865781786750646</v>
      </c>
      <c r="AL87" s="5759">
        <f>(AL84-AL86)/(AL17+AL18)</f>
        <v>0.13227171806417284</v>
      </c>
      <c r="AM87" s="5760"/>
      <c r="AN87" s="5761"/>
      <c r="AP87" s="5756">
        <f>(AP84-AP86)/(AP17+AP18)</f>
        <v>0.10985083760422244</v>
      </c>
      <c r="AR87" s="5750">
        <f>(AR84-AR86)/(AR17+AR18)</f>
        <v>8.0029565849385059E-2</v>
      </c>
      <c r="AU87" s="5753">
        <f>(AU84-AU86)/(AU17+AU18)</f>
        <v>0.10985083760422244</v>
      </c>
      <c r="AV87" s="5759">
        <f>(AV84-AV86)/(AV17+AV18)</f>
        <v>8.0025859291278353E-2</v>
      </c>
      <c r="AW87" s="5760"/>
      <c r="AX87" s="5761"/>
      <c r="AZ87" s="5756">
        <f>(AZ84-AZ86)/(AZ17+AZ18)</f>
        <v>0.12596781751701244</v>
      </c>
      <c r="BB87" s="5750">
        <f>(BB84-BB86)/(BB17+BB18)</f>
        <v>4.4913780026001784E-2</v>
      </c>
    </row>
    <row r="88" spans="1:54" s="5758" customFormat="1" ht="18.5" x14ac:dyDescent="0.35">
      <c r="A88" s="9168"/>
      <c r="B88" s="5748"/>
      <c r="C88" s="5749"/>
      <c r="D88" s="5750" t="s">
        <v>996</v>
      </c>
      <c r="E88" s="5751"/>
      <c r="F88" s="5752">
        <f>F86/F16</f>
        <v>0.17285255247493167</v>
      </c>
      <c r="G88" s="5751"/>
      <c r="H88" s="5753">
        <f>H86/H16</f>
        <v>0.16280147413357682</v>
      </c>
      <c r="I88" s="5754">
        <f>I86/I16</f>
        <v>0.18677192453787778</v>
      </c>
      <c r="J88" s="5755"/>
      <c r="K88" s="5751"/>
      <c r="L88" s="5756">
        <f>L86/L16</f>
        <v>0.17196287781806646</v>
      </c>
      <c r="M88" s="5757">
        <f>M86/M16</f>
        <v>0.19728222861667624</v>
      </c>
      <c r="O88" s="5753">
        <f>O86/O16</f>
        <v>0.1801528787242527</v>
      </c>
      <c r="P88" s="5754">
        <f>P86/P16</f>
        <v>0.17983035290328875</v>
      </c>
      <c r="R88" s="5755"/>
      <c r="T88" s="5756">
        <f>T86/T16</f>
        <v>0.18943153649155189</v>
      </c>
      <c r="V88" s="5750">
        <f>V86/V16</f>
        <v>0.21253876246026843</v>
      </c>
      <c r="X88" s="5753">
        <f>X86/X16</f>
        <v>0.20565718432737201</v>
      </c>
      <c r="Y88" s="5759">
        <f>Y86/Y16</f>
        <v>0.21471627781429131</v>
      </c>
      <c r="Z88" s="5760"/>
      <c r="AA88" s="5761"/>
      <c r="AC88" s="5756">
        <f>AC86/AC16</f>
        <v>0.17833445370337547</v>
      </c>
      <c r="AE88" s="5750">
        <f>AE86/AE16</f>
        <v>0.21866933364889926</v>
      </c>
      <c r="AF88" s="5762"/>
      <c r="AG88" s="5756">
        <f>AG86/AG16</f>
        <v>0.18250050019724515</v>
      </c>
      <c r="AI88" s="5750">
        <f>AI86/AI16</f>
        <v>0.18043151861731235</v>
      </c>
      <c r="AK88" s="5753">
        <f>AK86/AK16</f>
        <v>0.18250050019724515</v>
      </c>
      <c r="AL88" s="5759">
        <f>AL86/AL16</f>
        <v>0.17950104937774741</v>
      </c>
      <c r="AM88" s="5760"/>
      <c r="AN88" s="5761"/>
      <c r="AP88" s="5756">
        <f>AP86/AP16</f>
        <v>0.21115468989940142</v>
      </c>
      <c r="AR88" s="5750">
        <f>AR86/AR16</f>
        <v>0.19831404467647765</v>
      </c>
      <c r="AU88" s="5753">
        <f>AU86/AU16</f>
        <v>0.21115468989940142</v>
      </c>
      <c r="AV88" s="5759">
        <f>AV86/AV16</f>
        <v>0.19831404467647765</v>
      </c>
      <c r="AW88" s="5760"/>
      <c r="AX88" s="5761"/>
      <c r="AZ88" s="5756">
        <f>AZ86/AZ16</f>
        <v>0.27925605297962591</v>
      </c>
      <c r="BB88" s="5750">
        <f>BB86/BB16</f>
        <v>0.28096145707650982</v>
      </c>
    </row>
    <row r="89" spans="1:54" s="5758" customFormat="1" ht="18.5" x14ac:dyDescent="0.35">
      <c r="A89" s="9168"/>
      <c r="B89" s="5748"/>
      <c r="C89" s="5749"/>
      <c r="D89" s="5750"/>
      <c r="E89" s="5751"/>
      <c r="F89" s="5752"/>
      <c r="G89" s="5751"/>
      <c r="H89" s="5753"/>
      <c r="I89" s="5754"/>
      <c r="J89" s="5755"/>
      <c r="K89" s="5751"/>
      <c r="L89" s="5756"/>
      <c r="M89" s="5757"/>
      <c r="O89" s="5753"/>
      <c r="P89" s="5754"/>
      <c r="R89" s="5755"/>
      <c r="T89" s="5756"/>
      <c r="V89" s="5750"/>
      <c r="X89" s="5753"/>
      <c r="Y89" s="5759"/>
      <c r="Z89" s="5760"/>
      <c r="AA89" s="5761"/>
      <c r="AC89" s="5756"/>
      <c r="AE89" s="5750"/>
      <c r="AF89" s="5762"/>
      <c r="AG89" s="5756"/>
      <c r="AI89" s="5750"/>
      <c r="AK89" s="5753"/>
      <c r="AL89" s="5759"/>
      <c r="AM89" s="5760"/>
      <c r="AN89" s="5761"/>
      <c r="AP89" s="5756"/>
      <c r="AR89" s="5750"/>
      <c r="AU89" s="5753"/>
      <c r="AV89" s="5759"/>
      <c r="AW89" s="5760"/>
      <c r="AX89" s="5761"/>
      <c r="AZ89" s="5756"/>
      <c r="BB89" s="5750"/>
    </row>
    <row r="90" spans="1:54" s="5758" customFormat="1" ht="18.5" x14ac:dyDescent="0.35">
      <c r="A90" s="9168"/>
      <c r="B90" s="5748"/>
      <c r="C90" s="5749"/>
      <c r="D90" s="5763" t="s">
        <v>997</v>
      </c>
      <c r="E90" s="5751"/>
      <c r="F90" s="5752" t="e">
        <f>F84/F12</f>
        <v>#DIV/0!</v>
      </c>
      <c r="G90" s="5751"/>
      <c r="H90" s="5753">
        <f>H84/H12</f>
        <v>0.21603616135166268</v>
      </c>
      <c r="I90" s="5754" t="e">
        <f>I84/I12</f>
        <v>#DIV/0!</v>
      </c>
      <c r="J90" s="5755"/>
      <c r="K90" s="5751"/>
      <c r="L90" s="5756">
        <f>L84/L12</f>
        <v>0.20617167434902509</v>
      </c>
      <c r="M90" s="5757" t="e">
        <f>M84/M12</f>
        <v>#DIV/0!</v>
      </c>
      <c r="O90" s="5753">
        <f>O84/O12</f>
        <v>0.20617167434902509</v>
      </c>
      <c r="P90" s="5754">
        <f>P84/P12</f>
        <v>0.14623660193882068</v>
      </c>
      <c r="R90" s="5755"/>
      <c r="T90" s="5756">
        <f>T84/T12</f>
        <v>0.15744700595575892</v>
      </c>
      <c r="V90" s="5750">
        <f>V84/V12</f>
        <v>0.1767273450218553</v>
      </c>
      <c r="X90" s="5753">
        <f>X84/X12</f>
        <v>0.20784510414598997</v>
      </c>
      <c r="Y90" s="5759">
        <f>Y84/Y12</f>
        <v>0.21746721787457618</v>
      </c>
      <c r="Z90" s="5760"/>
      <c r="AA90" s="5761"/>
      <c r="AC90" s="5756">
        <f>AC84/AC12</f>
        <v>0.18393815010310025</v>
      </c>
      <c r="AE90" s="5750">
        <f>AE84/AE12</f>
        <v>0.15766550360704945</v>
      </c>
      <c r="AF90" s="5762"/>
      <c r="AG90" s="5756">
        <f>AG84/AG12</f>
        <v>0.2081013909227864</v>
      </c>
      <c r="AI90" s="5750">
        <f>AI84/AI12</f>
        <v>0.16723522457645554</v>
      </c>
      <c r="AK90" s="5753">
        <f>AK84/AK12</f>
        <v>0.2081013909227864</v>
      </c>
      <c r="AL90" s="5759">
        <f>AL84/AL12</f>
        <v>0.16731847994957788</v>
      </c>
      <c r="AM90" s="5760"/>
      <c r="AN90" s="5761"/>
      <c r="AP90" s="5756">
        <f>AP84/AP12</f>
        <v>0.19360338782805431</v>
      </c>
      <c r="AR90" s="5750">
        <f>AR84/AR12</f>
        <v>0.18052130297173632</v>
      </c>
      <c r="AU90" s="5753">
        <f>AU84/AU12</f>
        <v>0.19360338782805431</v>
      </c>
      <c r="AV90" s="5759">
        <f>AV84/AV12</f>
        <v>0.21193260140412271</v>
      </c>
      <c r="AW90" s="5760"/>
      <c r="AX90" s="5761"/>
      <c r="AZ90" s="5756">
        <f>AZ84/AZ12</f>
        <v>0.33428212137927366</v>
      </c>
      <c r="BB90" s="5750">
        <f>BB84/BB12</f>
        <v>0.25581640240760373</v>
      </c>
    </row>
    <row r="91" spans="1:54" s="5741" customFormat="1" ht="18.5" x14ac:dyDescent="0.35">
      <c r="A91" s="9168"/>
      <c r="B91" s="5764"/>
      <c r="C91" s="5765"/>
      <c r="D91" s="5732" t="s">
        <v>998</v>
      </c>
      <c r="E91" s="5766"/>
      <c r="F91" s="5767"/>
      <c r="G91" s="5766"/>
      <c r="H91" s="5768"/>
      <c r="I91" s="5769"/>
      <c r="J91" s="5770"/>
      <c r="K91" s="5766"/>
      <c r="L91" s="5771"/>
      <c r="M91" s="5772"/>
      <c r="O91" s="5768"/>
      <c r="P91" s="5769"/>
      <c r="R91" s="5770"/>
      <c r="T91" s="5771"/>
      <c r="V91" s="5773"/>
      <c r="X91" s="5768"/>
      <c r="Y91" s="5774"/>
      <c r="Z91" s="5775"/>
      <c r="AA91" s="5776"/>
      <c r="AC91" s="5771"/>
      <c r="AE91" s="5773"/>
      <c r="AF91" s="5777"/>
      <c r="AG91" s="5771"/>
      <c r="AI91" s="5773"/>
      <c r="AK91" s="5768"/>
      <c r="AL91" s="5774"/>
      <c r="AM91" s="5775"/>
      <c r="AN91" s="5776"/>
      <c r="AP91" s="5771"/>
      <c r="AR91" s="5773"/>
      <c r="AU91" s="5768"/>
      <c r="AV91" s="5774"/>
      <c r="AW91" s="5775"/>
      <c r="AX91" s="5776"/>
      <c r="AZ91" s="5771"/>
      <c r="BB91" s="5773"/>
    </row>
    <row r="92" spans="1:54" s="5758" customFormat="1" ht="18.5" x14ac:dyDescent="0.35">
      <c r="A92" s="9168"/>
      <c r="B92" s="5748"/>
      <c r="C92" s="5749"/>
      <c r="D92" s="5763" t="s">
        <v>999</v>
      </c>
      <c r="E92" s="5751"/>
      <c r="F92" s="5752"/>
      <c r="G92" s="5751"/>
      <c r="H92" s="5753"/>
      <c r="I92" s="5754"/>
      <c r="J92" s="5755"/>
      <c r="K92" s="5751"/>
      <c r="L92" s="5756"/>
      <c r="M92" s="5757"/>
      <c r="O92" s="5753"/>
      <c r="P92" s="5754"/>
      <c r="R92" s="5755"/>
      <c r="T92" s="5756"/>
      <c r="V92" s="5750"/>
      <c r="X92" s="5753"/>
      <c r="Y92" s="5759"/>
      <c r="Z92" s="5760"/>
      <c r="AA92" s="5761"/>
      <c r="AC92" s="5756"/>
      <c r="AE92" s="5750"/>
      <c r="AF92" s="5762"/>
      <c r="AG92" s="5756"/>
      <c r="AI92" s="5750"/>
      <c r="AK92" s="5753"/>
      <c r="AL92" s="5759"/>
      <c r="AM92" s="5760"/>
      <c r="AN92" s="5761"/>
      <c r="AP92" s="5756"/>
      <c r="AR92" s="5750"/>
      <c r="AU92" s="5753"/>
      <c r="AV92" s="5759"/>
      <c r="AW92" s="5760"/>
      <c r="AX92" s="5761"/>
      <c r="AZ92" s="5756"/>
      <c r="BB92" s="5750"/>
    </row>
    <row r="93" spans="1:54" s="5758" customFormat="1" ht="18.5" x14ac:dyDescent="0.35">
      <c r="A93" s="9168"/>
      <c r="B93" s="5748"/>
      <c r="C93" s="5749"/>
      <c r="D93" s="5750"/>
      <c r="E93" s="5751"/>
      <c r="F93" s="5752"/>
      <c r="G93" s="5751"/>
      <c r="H93" s="5753"/>
      <c r="I93" s="5754"/>
      <c r="J93" s="5755"/>
      <c r="K93" s="5751"/>
      <c r="L93" s="5756"/>
      <c r="M93" s="5757"/>
      <c r="O93" s="5753"/>
      <c r="P93" s="5754"/>
      <c r="R93" s="5755"/>
      <c r="T93" s="5756"/>
      <c r="V93" s="5750"/>
      <c r="X93" s="5753"/>
      <c r="Y93" s="5759"/>
      <c r="Z93" s="5760"/>
      <c r="AA93" s="5761"/>
      <c r="AC93" s="5756"/>
      <c r="AE93" s="5750"/>
      <c r="AF93" s="5762"/>
      <c r="AG93" s="5756"/>
      <c r="AI93" s="5750"/>
      <c r="AK93" s="5753"/>
      <c r="AL93" s="5759"/>
      <c r="AM93" s="5760"/>
      <c r="AN93" s="5761"/>
      <c r="AP93" s="5756"/>
      <c r="AR93" s="5750"/>
      <c r="AU93" s="5753"/>
      <c r="AV93" s="5759"/>
      <c r="AW93" s="5760"/>
      <c r="AX93" s="5761"/>
      <c r="AZ93" s="5756"/>
      <c r="BB93" s="5750"/>
    </row>
    <row r="94" spans="1:54" s="5758" customFormat="1" ht="18.5" x14ac:dyDescent="0.35">
      <c r="A94" s="9168"/>
      <c r="B94" s="5748"/>
      <c r="C94" s="5749"/>
      <c r="D94" s="5778" t="s">
        <v>1000</v>
      </c>
      <c r="E94" s="5779"/>
      <c r="F94" s="5780"/>
      <c r="G94" s="5781"/>
      <c r="H94" s="5782"/>
      <c r="I94" s="5783"/>
      <c r="J94" s="5784"/>
      <c r="K94" s="5781"/>
      <c r="L94" s="5785"/>
      <c r="M94" s="5786"/>
      <c r="O94" s="5782"/>
      <c r="P94" s="5783"/>
      <c r="Q94" s="5787"/>
      <c r="R94" s="5784"/>
      <c r="T94" s="5785"/>
      <c r="U94" s="5787"/>
      <c r="V94" s="5788"/>
      <c r="X94" s="5782"/>
      <c r="Y94" s="5789"/>
      <c r="Z94" s="5790"/>
      <c r="AA94" s="5791"/>
      <c r="AC94" s="5785"/>
      <c r="AD94" s="5787"/>
      <c r="AE94" s="5788"/>
      <c r="AF94" s="5792"/>
      <c r="AG94" s="5785"/>
      <c r="AH94" s="5787"/>
      <c r="AI94" s="5788"/>
      <c r="AK94" s="5782"/>
      <c r="AL94" s="5789"/>
      <c r="AM94" s="5790"/>
      <c r="AN94" s="5791"/>
      <c r="AP94" s="5785"/>
      <c r="AQ94" s="5787"/>
      <c r="AR94" s="5788"/>
      <c r="AU94" s="5782"/>
      <c r="AV94" s="5789"/>
      <c r="AW94" s="5790"/>
      <c r="AX94" s="5791"/>
      <c r="AZ94" s="5785"/>
      <c r="BA94" s="5787"/>
      <c r="BB94" s="5788"/>
    </row>
    <row r="95" spans="1:54" s="5758" customFormat="1" ht="18.5" x14ac:dyDescent="0.35">
      <c r="A95" s="9169"/>
      <c r="B95" s="5793"/>
      <c r="C95" s="5794"/>
      <c r="D95" s="5778" t="s">
        <v>1001</v>
      </c>
      <c r="E95" s="5795"/>
      <c r="F95" s="5796"/>
      <c r="G95" s="5797"/>
      <c r="H95" s="5798"/>
      <c r="I95" s="5799"/>
      <c r="J95" s="5800"/>
      <c r="K95" s="5797"/>
      <c r="L95" s="5801"/>
      <c r="M95" s="5802"/>
      <c r="O95" s="5798"/>
      <c r="P95" s="5799"/>
      <c r="Q95" s="5803"/>
      <c r="R95" s="5800"/>
      <c r="T95" s="5801"/>
      <c r="U95" s="5803"/>
      <c r="V95" s="5804"/>
      <c r="X95" s="5798"/>
      <c r="Y95" s="5805"/>
      <c r="Z95" s="5806"/>
      <c r="AA95" s="5807"/>
      <c r="AC95" s="5801"/>
      <c r="AD95" s="5803"/>
      <c r="AE95" s="5804"/>
      <c r="AF95" s="5808"/>
      <c r="AG95" s="5801"/>
      <c r="AH95" s="5803"/>
      <c r="AI95" s="5804"/>
      <c r="AK95" s="5798"/>
      <c r="AL95" s="5805"/>
      <c r="AM95" s="6657"/>
      <c r="AN95" s="6658"/>
      <c r="AP95" s="5801"/>
      <c r="AQ95" s="6659"/>
      <c r="AR95" s="5804"/>
      <c r="AU95" s="5798"/>
      <c r="AV95" s="5805"/>
      <c r="AW95" s="5806"/>
      <c r="AX95" s="5807"/>
      <c r="AZ95" s="5801"/>
      <c r="BA95" s="5803"/>
      <c r="BB95" s="5804"/>
    </row>
    <row r="96" spans="1:54" s="462" customFormat="1" ht="12" x14ac:dyDescent="0.3">
      <c r="C96" s="456"/>
      <c r="D96" s="5"/>
      <c r="E96" s="456"/>
      <c r="F96" s="456"/>
      <c r="G96" s="456"/>
      <c r="H96" s="459"/>
      <c r="I96" s="459"/>
      <c r="J96" s="7"/>
      <c r="K96" s="456"/>
      <c r="N96" s="456"/>
      <c r="S96" s="456"/>
      <c r="W96" s="456"/>
      <c r="AB96" s="456"/>
      <c r="AJ96" s="456"/>
      <c r="AO96" s="456"/>
      <c r="AY96" s="456"/>
    </row>
    <row r="97" spans="1:54" s="462" customFormat="1" ht="12" x14ac:dyDescent="0.3">
      <c r="A97" s="576" t="s">
        <v>582</v>
      </c>
      <c r="B97" s="576"/>
      <c r="C97" s="456"/>
      <c r="D97" s="5"/>
      <c r="E97" s="456"/>
      <c r="F97" s="456"/>
      <c r="G97" s="456"/>
      <c r="H97" s="459"/>
      <c r="I97" s="459"/>
      <c r="J97" s="7"/>
      <c r="K97" s="456"/>
      <c r="N97" s="456"/>
      <c r="S97" s="456"/>
      <c r="W97" s="456"/>
      <c r="AB97" s="456"/>
      <c r="AJ97" s="456"/>
      <c r="AO97" s="456"/>
      <c r="AY97" s="456"/>
    </row>
    <row r="98" spans="1:54" s="462" customFormat="1" ht="12" customHeight="1" x14ac:dyDescent="0.3">
      <c r="A98" s="463">
        <v>1</v>
      </c>
      <c r="B98" s="464"/>
      <c r="D98" s="465"/>
      <c r="E98" s="466"/>
      <c r="F98" s="466"/>
      <c r="G98" s="466"/>
      <c r="H98" s="466"/>
      <c r="I98" s="466"/>
      <c r="J98" s="467"/>
      <c r="K98" s="466"/>
      <c r="L98" s="466"/>
      <c r="M98" s="466"/>
      <c r="N98" s="456"/>
      <c r="O98" s="466"/>
      <c r="P98" s="466"/>
      <c r="Q98" s="466"/>
      <c r="R98" s="466"/>
      <c r="S98" s="456"/>
      <c r="T98" s="466"/>
      <c r="U98" s="466"/>
      <c r="V98" s="466"/>
      <c r="W98" s="456"/>
      <c r="X98" s="466"/>
      <c r="Y98" s="466"/>
      <c r="Z98" s="466"/>
      <c r="AA98" s="466"/>
      <c r="AB98" s="456"/>
      <c r="AC98" s="466"/>
      <c r="AD98" s="466"/>
      <c r="AE98" s="466"/>
      <c r="AF98" s="466"/>
      <c r="AG98" s="466"/>
      <c r="AH98" s="466"/>
      <c r="AI98" s="466"/>
      <c r="AJ98" s="456"/>
      <c r="AK98" s="466"/>
      <c r="AL98" s="466"/>
      <c r="AM98" s="466"/>
      <c r="AN98" s="466"/>
      <c r="AO98" s="456"/>
      <c r="AP98" s="466"/>
      <c r="AQ98" s="466"/>
      <c r="AR98" s="466"/>
      <c r="AU98" s="466"/>
      <c r="AV98" s="466"/>
      <c r="AW98" s="466"/>
      <c r="AX98" s="466"/>
      <c r="AY98" s="456"/>
      <c r="AZ98" s="466"/>
      <c r="BA98" s="466"/>
      <c r="BB98" s="466"/>
    </row>
    <row r="99" spans="1:54" s="462" customFormat="1" ht="12" x14ac:dyDescent="0.3">
      <c r="A99" s="468">
        <v>2</v>
      </c>
      <c r="B99" s="469"/>
      <c r="D99" s="5"/>
      <c r="E99" s="456"/>
      <c r="F99" s="456"/>
      <c r="G99" s="456"/>
      <c r="H99" s="459"/>
      <c r="I99" s="459"/>
      <c r="J99" s="7"/>
      <c r="K99" s="456"/>
      <c r="N99" s="456"/>
      <c r="S99" s="456"/>
      <c r="W99" s="456"/>
      <c r="AB99" s="456"/>
      <c r="AJ99" s="456"/>
      <c r="AO99" s="456"/>
      <c r="AY99" s="456"/>
    </row>
    <row r="100" spans="1:54" s="462" customFormat="1" ht="12" x14ac:dyDescent="0.3">
      <c r="A100" s="468"/>
      <c r="B100" s="469"/>
      <c r="D100" s="5"/>
      <c r="E100" s="456"/>
      <c r="F100" s="456"/>
      <c r="G100" s="456"/>
      <c r="H100" s="459"/>
      <c r="I100" s="459"/>
      <c r="J100" s="7"/>
      <c r="K100" s="456"/>
      <c r="N100" s="456"/>
      <c r="S100" s="456"/>
      <c r="W100" s="456"/>
      <c r="AB100" s="456"/>
      <c r="AJ100" s="456"/>
      <c r="AO100" s="456"/>
      <c r="AY100" s="456"/>
    </row>
    <row r="101" spans="1:54" s="462" customFormat="1" ht="12" x14ac:dyDescent="0.3">
      <c r="A101" s="468"/>
      <c r="B101" s="469"/>
      <c r="D101" s="5"/>
      <c r="E101" s="456"/>
      <c r="F101" s="456"/>
      <c r="G101" s="456"/>
      <c r="H101" s="459"/>
      <c r="I101" s="459"/>
      <c r="J101" s="7"/>
      <c r="K101" s="456"/>
      <c r="N101" s="456"/>
      <c r="S101" s="456"/>
      <c r="W101" s="456"/>
      <c r="AB101" s="456"/>
      <c r="AJ101" s="456"/>
      <c r="AO101" s="456"/>
      <c r="AY101" s="456"/>
    </row>
    <row r="102" spans="1:54" s="462" customFormat="1" ht="12" x14ac:dyDescent="0.3">
      <c r="A102" s="468"/>
      <c r="B102" s="469"/>
      <c r="D102" s="5"/>
      <c r="E102" s="456"/>
      <c r="F102" s="456"/>
      <c r="G102" s="456"/>
      <c r="H102" s="459"/>
      <c r="I102" s="459"/>
      <c r="J102" s="7"/>
      <c r="K102" s="456"/>
      <c r="N102" s="456"/>
      <c r="S102" s="456"/>
      <c r="W102" s="456"/>
      <c r="AB102" s="456"/>
      <c r="AJ102" s="456"/>
      <c r="AO102" s="456"/>
      <c r="AY102" s="456"/>
    </row>
    <row r="103" spans="1:54" s="462" customFormat="1" ht="12" x14ac:dyDescent="0.3">
      <c r="A103" s="468"/>
      <c r="B103" s="469"/>
      <c r="D103" s="5"/>
      <c r="E103" s="456"/>
      <c r="F103" s="456"/>
      <c r="G103" s="456"/>
      <c r="H103" s="459"/>
      <c r="I103" s="459"/>
      <c r="J103" s="7"/>
      <c r="K103" s="456"/>
      <c r="N103" s="456"/>
      <c r="S103" s="456"/>
      <c r="W103" s="456"/>
      <c r="AB103" s="456"/>
      <c r="AJ103" s="456"/>
      <c r="AO103" s="456"/>
      <c r="AY103" s="456"/>
    </row>
    <row r="104" spans="1:54" s="462" customFormat="1" ht="12" x14ac:dyDescent="0.3">
      <c r="A104" s="468"/>
      <c r="B104" s="469"/>
      <c r="D104" s="5"/>
      <c r="E104" s="456"/>
      <c r="F104" s="456"/>
      <c r="G104" s="456"/>
      <c r="H104" s="459"/>
      <c r="I104" s="459"/>
      <c r="J104" s="7"/>
      <c r="K104" s="456"/>
      <c r="N104" s="456"/>
      <c r="S104" s="456"/>
      <c r="W104" s="456"/>
      <c r="AB104" s="456"/>
      <c r="AJ104" s="456"/>
      <c r="AO104" s="456"/>
      <c r="AY104" s="456"/>
    </row>
    <row r="105" spans="1:54" s="462" customFormat="1" ht="12" x14ac:dyDescent="0.3">
      <c r="A105" s="468"/>
      <c r="B105" s="469"/>
      <c r="D105" s="5"/>
      <c r="E105" s="456"/>
      <c r="F105" s="456"/>
      <c r="G105" s="456"/>
      <c r="H105" s="459"/>
      <c r="I105" s="459"/>
      <c r="J105" s="7"/>
      <c r="K105" s="456"/>
      <c r="N105" s="456"/>
      <c r="S105" s="456"/>
      <c r="W105" s="456"/>
      <c r="AB105" s="456"/>
      <c r="AJ105" s="456"/>
      <c r="AO105" s="456"/>
      <c r="AY105" s="456"/>
    </row>
    <row r="106" spans="1:54" s="462" customFormat="1" ht="12" x14ac:dyDescent="0.3">
      <c r="A106" s="468"/>
      <c r="B106" s="469"/>
      <c r="D106" s="5"/>
      <c r="E106" s="456"/>
      <c r="F106" s="456"/>
      <c r="G106" s="456"/>
      <c r="H106" s="459"/>
      <c r="I106" s="459"/>
      <c r="J106" s="7"/>
      <c r="K106" s="456"/>
      <c r="N106" s="456"/>
      <c r="S106" s="456"/>
      <c r="W106" s="456"/>
      <c r="AB106" s="456"/>
      <c r="AJ106" s="456"/>
      <c r="AO106" s="456"/>
      <c r="AY106" s="456"/>
    </row>
    <row r="107" spans="1:54" s="462" customFormat="1" ht="12" x14ac:dyDescent="0.3">
      <c r="A107" s="468"/>
      <c r="B107" s="469"/>
      <c r="D107" s="5"/>
      <c r="E107" s="456"/>
      <c r="F107" s="456"/>
      <c r="G107" s="456"/>
      <c r="H107" s="459"/>
      <c r="I107" s="459"/>
      <c r="J107" s="7"/>
      <c r="K107" s="456"/>
      <c r="N107" s="456"/>
      <c r="S107" s="456"/>
      <c r="W107" s="456"/>
      <c r="AB107" s="456"/>
      <c r="AJ107" s="456"/>
      <c r="AO107" s="456"/>
      <c r="AY107" s="456"/>
    </row>
    <row r="108" spans="1:54" s="462" customFormat="1" ht="12" x14ac:dyDescent="0.3">
      <c r="A108" s="468"/>
      <c r="B108" s="469"/>
      <c r="D108" s="5"/>
      <c r="E108" s="456"/>
      <c r="F108" s="456"/>
      <c r="G108" s="456"/>
      <c r="H108" s="459"/>
      <c r="I108" s="459"/>
      <c r="J108" s="7"/>
      <c r="K108" s="456"/>
      <c r="N108" s="456"/>
      <c r="S108" s="456"/>
      <c r="W108" s="456"/>
      <c r="AB108" s="456"/>
      <c r="AJ108" s="456"/>
      <c r="AO108" s="456"/>
      <c r="AY108" s="456"/>
    </row>
    <row r="109" spans="1:54" s="462" customFormat="1" ht="12" x14ac:dyDescent="0.3">
      <c r="A109" s="468"/>
      <c r="B109" s="469"/>
      <c r="D109" s="5"/>
      <c r="E109" s="456"/>
      <c r="F109" s="456"/>
      <c r="G109" s="456"/>
      <c r="H109" s="459"/>
      <c r="I109" s="459"/>
      <c r="J109" s="7"/>
      <c r="K109" s="456"/>
      <c r="N109" s="456"/>
      <c r="S109" s="456"/>
      <c r="W109" s="456"/>
      <c r="AB109" s="456"/>
      <c r="AJ109" s="456"/>
      <c r="AO109" s="456"/>
      <c r="AY109" s="456"/>
    </row>
    <row r="110" spans="1:54" s="462" customFormat="1" ht="12" x14ac:dyDescent="0.3">
      <c r="A110" s="468"/>
      <c r="B110" s="469"/>
      <c r="D110" s="5"/>
      <c r="E110" s="456"/>
      <c r="F110" s="456"/>
      <c r="G110" s="456"/>
      <c r="H110" s="459"/>
      <c r="I110" s="459"/>
      <c r="J110" s="7"/>
      <c r="K110" s="456"/>
      <c r="N110" s="456"/>
      <c r="S110" s="456"/>
      <c r="W110" s="456"/>
      <c r="AB110" s="456"/>
      <c r="AJ110" s="456"/>
      <c r="AO110" s="456"/>
      <c r="AY110" s="456"/>
    </row>
    <row r="111" spans="1:54" s="462" customFormat="1" ht="12" x14ac:dyDescent="0.3">
      <c r="A111" s="468"/>
      <c r="B111" s="469"/>
      <c r="D111" s="5"/>
      <c r="E111" s="456"/>
      <c r="F111" s="456"/>
      <c r="G111" s="456"/>
      <c r="H111" s="459"/>
      <c r="I111" s="459"/>
      <c r="J111" s="7"/>
      <c r="K111" s="456"/>
      <c r="N111" s="456"/>
      <c r="S111" s="456"/>
      <c r="W111" s="456"/>
      <c r="AB111" s="456"/>
      <c r="AJ111" s="456"/>
      <c r="AO111" s="456"/>
      <c r="AY111" s="456"/>
    </row>
    <row r="112" spans="1:54" s="462" customFormat="1" ht="12" x14ac:dyDescent="0.3">
      <c r="A112" s="455" t="s">
        <v>1002</v>
      </c>
      <c r="B112" s="455"/>
      <c r="C112" s="456"/>
      <c r="D112" s="5"/>
      <c r="E112" s="456"/>
      <c r="F112" s="456"/>
      <c r="G112" s="456"/>
      <c r="H112" s="459"/>
      <c r="I112" s="459"/>
      <c r="J112" s="7"/>
      <c r="K112" s="456"/>
      <c r="N112" s="456"/>
      <c r="S112" s="456"/>
      <c r="W112" s="456"/>
      <c r="AB112" s="456"/>
      <c r="AJ112" s="456"/>
      <c r="AO112" s="456"/>
      <c r="AY112" s="456"/>
    </row>
    <row r="113" spans="1:54" s="462" customFormat="1" ht="93" customHeight="1" x14ac:dyDescent="0.3">
      <c r="A113" s="9170"/>
      <c r="B113" s="9171"/>
      <c r="C113" s="9171"/>
      <c r="D113" s="9171"/>
      <c r="E113" s="9171"/>
      <c r="F113" s="9171"/>
      <c r="G113" s="9171"/>
      <c r="H113" s="9171"/>
      <c r="I113" s="9171"/>
      <c r="J113" s="9171"/>
      <c r="K113" s="9171"/>
      <c r="L113" s="9171"/>
      <c r="M113" s="9172"/>
      <c r="N113" s="456"/>
      <c r="O113" s="2978"/>
      <c r="P113" s="2978"/>
      <c r="Q113" s="2978"/>
      <c r="R113" s="2978"/>
      <c r="S113" s="456"/>
      <c r="T113" s="2978"/>
      <c r="U113" s="2978"/>
      <c r="V113" s="2978"/>
      <c r="W113" s="456"/>
      <c r="X113" s="2978"/>
      <c r="Y113" s="2978"/>
      <c r="Z113" s="2978"/>
      <c r="AA113" s="2978"/>
      <c r="AB113" s="456"/>
      <c r="AC113" s="2978"/>
      <c r="AD113" s="2978"/>
      <c r="AE113" s="2978"/>
      <c r="AF113" s="461"/>
      <c r="AG113" s="2978"/>
      <c r="AH113" s="2978"/>
      <c r="AI113" s="2978"/>
      <c r="AJ113" s="456"/>
      <c r="AK113" s="2978"/>
      <c r="AL113" s="2978"/>
      <c r="AM113" s="2978"/>
      <c r="AN113" s="2978"/>
      <c r="AO113" s="456"/>
      <c r="AP113" s="2978"/>
      <c r="AQ113" s="2978"/>
      <c r="AR113" s="2978"/>
      <c r="AU113" s="2978"/>
      <c r="AV113" s="2978"/>
      <c r="AW113" s="2978"/>
      <c r="AX113" s="2978"/>
      <c r="AY113" s="456"/>
      <c r="AZ113" s="2978"/>
      <c r="BA113" s="2978"/>
      <c r="BB113" s="2978"/>
    </row>
  </sheetData>
  <mergeCells count="48">
    <mergeCell ref="AC5:AE5"/>
    <mergeCell ref="AG5:AI5"/>
    <mergeCell ref="A79:A95"/>
    <mergeCell ref="A113:M113"/>
    <mergeCell ref="AC7:AE7"/>
    <mergeCell ref="AG7:AI7"/>
    <mergeCell ref="A10:A28"/>
    <mergeCell ref="A30:A66"/>
    <mergeCell ref="X30:Y30"/>
    <mergeCell ref="A68:A77"/>
    <mergeCell ref="H7:I7"/>
    <mergeCell ref="J7:J8"/>
    <mergeCell ref="L7:M7"/>
    <mergeCell ref="O7:R7"/>
    <mergeCell ref="T7:V7"/>
    <mergeCell ref="X7:AA7"/>
    <mergeCell ref="H5:J5"/>
    <mergeCell ref="L5:M5"/>
    <mergeCell ref="O5:R5"/>
    <mergeCell ref="T5:V5"/>
    <mergeCell ref="X5:AA5"/>
    <mergeCell ref="F1:M1"/>
    <mergeCell ref="O1:V1"/>
    <mergeCell ref="X1:AE1"/>
    <mergeCell ref="AG1:AI1"/>
    <mergeCell ref="H4:J4"/>
    <mergeCell ref="L4:M4"/>
    <mergeCell ref="O4:R4"/>
    <mergeCell ref="T4:V4"/>
    <mergeCell ref="X4:AA4"/>
    <mergeCell ref="AC4:AE4"/>
    <mergeCell ref="AG4:AI4"/>
    <mergeCell ref="AK7:AN7"/>
    <mergeCell ref="AP7:AR7"/>
    <mergeCell ref="AK30:AL30"/>
    <mergeCell ref="AK1:AR1"/>
    <mergeCell ref="AK4:AN4"/>
    <mergeCell ref="AP4:AR4"/>
    <mergeCell ref="AK5:AN5"/>
    <mergeCell ref="AP5:AR5"/>
    <mergeCell ref="AU7:AX7"/>
    <mergeCell ref="AZ7:BB7"/>
    <mergeCell ref="AU30:AV30"/>
    <mergeCell ref="AU1:BB1"/>
    <mergeCell ref="AU4:AX4"/>
    <mergeCell ref="AZ4:BB4"/>
    <mergeCell ref="AU5:AX5"/>
    <mergeCell ref="AZ5:BB5"/>
  </mergeCells>
  <hyperlinks>
    <hyperlink ref="Z15" r:id="rId1" xr:uid="{00000000-0004-0000-0B00-000000000000}"/>
    <hyperlink ref="Z30" r:id="rId2" xr:uid="{00000000-0004-0000-0B00-000001000000}"/>
    <hyperlink ref="AD15" r:id="rId3" xr:uid="{00000000-0004-0000-0B00-000002000000}"/>
    <hyperlink ref="AG15" r:id="rId4" xr:uid="{00000000-0004-0000-0B00-000003000000}"/>
    <hyperlink ref="AH10" r:id="rId5" xr:uid="{00000000-0004-0000-0B00-000004000000}"/>
    <hyperlink ref="AM15" r:id="rId6" xr:uid="{F8B2DBA0-D6E6-476A-8EB1-DF7C9EF9E4C1}"/>
    <hyperlink ref="AQ15" r:id="rId7" xr:uid="{2DC32748-699A-454C-B770-4A2C56A0425D}"/>
    <hyperlink ref="AR15" r:id="rId8" xr:uid="{3B081C7D-27D4-417E-93AA-BEE50650AAB5}"/>
    <hyperlink ref="AP15" r:id="rId9" xr:uid="{F04D6E79-9A92-43D5-B6B8-3ED9A6134FC5}"/>
    <hyperlink ref="AM10" r:id="rId10" xr:uid="{1801435C-C87F-4F93-88F3-B8C01EE89E6A}"/>
    <hyperlink ref="AW15" r:id="rId11" xr:uid="{5F4819B1-B182-4C9C-992E-5E7BECC4F279}"/>
    <hyperlink ref="BA15" r:id="rId12" xr:uid="{AE66336B-E49C-4E7D-877A-0FBD483FF6FA}"/>
    <hyperlink ref="BB15" r:id="rId13" xr:uid="{5650977C-BF53-4DA5-B572-AD6A5F00885C}"/>
    <hyperlink ref="AZ15" r:id="rId14" xr:uid="{BDEDEA66-D3D3-47AF-9957-2DA14462AD3B}"/>
    <hyperlink ref="AW10" r:id="rId15" xr:uid="{994F7C77-A6B5-49B0-85C6-6EB2214C637D}"/>
  </hyperlinks>
  <pageMargins left="0.23622047244094491" right="0.23622047244094491" top="0.35433070866141736" bottom="0.35433070866141736" header="0.31496062992125984" footer="0.31496062992125984"/>
  <pageSetup paperSize="9" scale="41" orientation="portrait" horizontalDpi="4294967293" r:id="rId16"/>
  <headerFooter>
    <oddFooter>&amp;R&amp;1#&amp;"Calibri"&amp;12&amp;K000000Official Use</oddFooter>
  </headerFooter>
  <legacyDrawing r:id="rId1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A0443-6B31-4B91-9B3D-C8BA195723F0}">
  <sheetPr>
    <pageSetUpPr fitToPage="1"/>
  </sheetPr>
  <dimension ref="A1:AG98"/>
  <sheetViews>
    <sheetView topLeftCell="G10" zoomScale="84" zoomScaleNormal="57" workbookViewId="0">
      <selection activeCell="T20" sqref="T20"/>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2" width="21.6328125" customWidth="1"/>
    <col min="23" max="23" width="1.6328125" style="1" customWidth="1"/>
    <col min="24" max="24" width="55" customWidth="1"/>
    <col min="30" max="33" width="15.1796875" customWidth="1"/>
  </cols>
  <sheetData>
    <row r="1" spans="1:24" ht="31" x14ac:dyDescent="0.7">
      <c r="F1" s="9356" t="s">
        <v>585</v>
      </c>
      <c r="G1" s="9357"/>
      <c r="H1" s="9357"/>
      <c r="I1" s="9357"/>
      <c r="J1" s="9357"/>
      <c r="K1" s="9357"/>
      <c r="L1" s="9357"/>
      <c r="M1" s="9358"/>
      <c r="O1" s="9164" t="s">
        <v>398</v>
      </c>
      <c r="P1" s="9165"/>
      <c r="Q1" s="9165"/>
      <c r="R1" s="9165"/>
      <c r="S1" s="9165"/>
      <c r="T1" s="9165"/>
      <c r="U1" s="9165"/>
      <c r="V1" s="9166"/>
    </row>
    <row r="2" spans="1:24" ht="21" x14ac:dyDescent="0.5">
      <c r="B2" s="1" t="s">
        <v>9</v>
      </c>
      <c r="C2" s="4" t="s">
        <v>110</v>
      </c>
      <c r="H2"/>
      <c r="O2"/>
      <c r="P2"/>
    </row>
    <row r="4" spans="1:24" s="8" customFormat="1" ht="15.25" customHeight="1" x14ac:dyDescent="0.35">
      <c r="D4" s="579"/>
      <c r="F4" s="8326" t="s">
        <v>400</v>
      </c>
      <c r="H4" s="9130" t="s">
        <v>401</v>
      </c>
      <c r="I4" s="9131"/>
      <c r="J4" s="9132"/>
      <c r="L4" s="9130" t="s">
        <v>402</v>
      </c>
      <c r="M4" s="9132"/>
      <c r="O4" s="9130" t="s">
        <v>401</v>
      </c>
      <c r="P4" s="9131"/>
      <c r="Q4" s="9131"/>
      <c r="R4" s="9132"/>
      <c r="T4" s="9130" t="s">
        <v>402</v>
      </c>
      <c r="U4" s="9131"/>
      <c r="V4" s="9132"/>
      <c r="X4" s="9180" t="s">
        <v>404</v>
      </c>
    </row>
    <row r="5" spans="1:24" x14ac:dyDescent="0.35">
      <c r="B5" s="1" t="s">
        <v>406</v>
      </c>
      <c r="C5" s="11">
        <v>2004</v>
      </c>
      <c r="F5" s="8324" t="s">
        <v>1007</v>
      </c>
      <c r="G5" s="12"/>
      <c r="H5" s="9138" t="s">
        <v>736</v>
      </c>
      <c r="I5" s="9139"/>
      <c r="J5" s="9140"/>
      <c r="K5" s="12"/>
      <c r="L5" s="9138" t="s">
        <v>737</v>
      </c>
      <c r="M5" s="9140"/>
      <c r="O5" s="9138" t="s">
        <v>2111</v>
      </c>
      <c r="P5" s="9139"/>
      <c r="Q5" s="9139"/>
      <c r="R5" s="9140"/>
      <c r="S5" s="12"/>
      <c r="T5" s="9138" t="s">
        <v>743</v>
      </c>
      <c r="U5" s="9139"/>
      <c r="V5" s="9140"/>
      <c r="X5" s="9181"/>
    </row>
    <row r="6" spans="1:24" x14ac:dyDescent="0.35">
      <c r="C6" t="s">
        <v>2112</v>
      </c>
      <c r="F6" s="6"/>
      <c r="H6" s="9354">
        <v>2006</v>
      </c>
      <c r="I6" s="9354"/>
      <c r="J6" s="9354"/>
      <c r="L6" s="9355">
        <v>2007</v>
      </c>
      <c r="M6" s="9355"/>
      <c r="O6" s="9354">
        <v>2010</v>
      </c>
      <c r="P6" s="9354"/>
      <c r="Q6" s="9354"/>
      <c r="R6" s="9354"/>
      <c r="T6" s="9355">
        <v>2011</v>
      </c>
      <c r="U6" s="9355"/>
      <c r="V6" s="9355"/>
      <c r="X6" s="6"/>
    </row>
    <row r="7" spans="1:24" ht="12.75" customHeight="1" x14ac:dyDescent="0.35">
      <c r="B7" s="1" t="s">
        <v>101</v>
      </c>
      <c r="C7" s="15" t="s">
        <v>2113</v>
      </c>
      <c r="D7" s="2" t="s">
        <v>417</v>
      </c>
      <c r="F7" s="8322" t="s">
        <v>1914</v>
      </c>
      <c r="H7" s="9173" t="s">
        <v>1914</v>
      </c>
      <c r="I7" s="9173"/>
      <c r="J7" s="9147" t="s">
        <v>419</v>
      </c>
      <c r="L7" s="9149" t="s">
        <v>1914</v>
      </c>
      <c r="M7" s="9151"/>
      <c r="O7" s="9173" t="s">
        <v>1914</v>
      </c>
      <c r="P7" s="9173"/>
      <c r="Q7" s="9173"/>
      <c r="R7" s="9147" t="s">
        <v>419</v>
      </c>
      <c r="T7" s="9149" t="s">
        <v>1914</v>
      </c>
      <c r="U7" s="9150"/>
      <c r="V7" s="9151"/>
      <c r="X7" s="18"/>
    </row>
    <row r="8" spans="1:24" x14ac:dyDescent="0.35">
      <c r="B8" s="1" t="s">
        <v>420</v>
      </c>
      <c r="C8" s="7112">
        <v>44085</v>
      </c>
      <c r="F8" s="20" t="s">
        <v>96</v>
      </c>
      <c r="H8" s="20" t="s">
        <v>423</v>
      </c>
      <c r="I8" s="20" t="s">
        <v>96</v>
      </c>
      <c r="J8" s="9148"/>
      <c r="L8" s="21" t="s">
        <v>2114</v>
      </c>
      <c r="M8" s="20" t="s">
        <v>96</v>
      </c>
      <c r="O8" s="20" t="s">
        <v>423</v>
      </c>
      <c r="P8" s="20"/>
      <c r="Q8" s="20" t="s">
        <v>96</v>
      </c>
      <c r="R8" s="9148"/>
      <c r="T8" s="21" t="s">
        <v>2114</v>
      </c>
      <c r="U8" s="21"/>
      <c r="V8" s="20" t="s">
        <v>96</v>
      </c>
      <c r="X8" s="24"/>
    </row>
    <row r="9" spans="1:24" x14ac:dyDescent="0.35">
      <c r="C9"/>
      <c r="E9"/>
      <c r="F9"/>
      <c r="G9"/>
      <c r="H9"/>
      <c r="I9"/>
      <c r="J9" s="25"/>
      <c r="K9"/>
      <c r="N9"/>
      <c r="O9"/>
      <c r="P9"/>
      <c r="Q9"/>
      <c r="R9" s="25"/>
      <c r="S9"/>
      <c r="W9"/>
    </row>
    <row r="10" spans="1:24" ht="33.25" customHeight="1" x14ac:dyDescent="0.35">
      <c r="A10" s="9167" t="s">
        <v>426</v>
      </c>
      <c r="B10" s="27"/>
      <c r="C10" s="28" t="s">
        <v>427</v>
      </c>
      <c r="D10" s="580" t="s">
        <v>428</v>
      </c>
      <c r="E10" s="30"/>
      <c r="F10" s="31" t="s">
        <v>2115</v>
      </c>
      <c r="G10"/>
      <c r="H10" s="31" t="s">
        <v>2115</v>
      </c>
      <c r="I10" s="31" t="s">
        <v>2115</v>
      </c>
      <c r="J10" s="32"/>
      <c r="K10" s="33"/>
      <c r="L10" s="31" t="s">
        <v>2115</v>
      </c>
      <c r="M10" s="31" t="s">
        <v>2115</v>
      </c>
      <c r="N10" s="33"/>
      <c r="O10" s="31" t="s">
        <v>2116</v>
      </c>
      <c r="P10" s="5370" t="s">
        <v>2117</v>
      </c>
      <c r="Q10" s="31" t="s">
        <v>2116</v>
      </c>
      <c r="R10" s="32"/>
      <c r="S10" s="30"/>
      <c r="T10" s="31" t="s">
        <v>2118</v>
      </c>
      <c r="U10" s="5370" t="s">
        <v>2119</v>
      </c>
      <c r="V10" s="31"/>
      <c r="W10" s="33"/>
      <c r="X10" s="39"/>
    </row>
    <row r="11" spans="1:24" ht="12.75" customHeight="1" x14ac:dyDescent="0.35">
      <c r="A11" s="9168"/>
      <c r="B11" s="40" t="s">
        <v>451</v>
      </c>
      <c r="C11" s="41"/>
      <c r="D11" s="585"/>
      <c r="E11" s="43"/>
      <c r="F11" s="5900"/>
      <c r="G11"/>
      <c r="H11" s="154"/>
      <c r="I11" s="54"/>
      <c r="J11" s="47"/>
      <c r="K11" s="48"/>
      <c r="L11" s="154"/>
      <c r="M11" s="49"/>
      <c r="N11" s="43"/>
      <c r="O11" s="154" t="s">
        <v>2120</v>
      </c>
      <c r="P11" s="1147"/>
      <c r="Q11" s="1147" t="s">
        <v>2121</v>
      </c>
      <c r="R11" s="47"/>
      <c r="S11" s="48"/>
      <c r="T11" s="154" t="s">
        <v>2120</v>
      </c>
      <c r="V11" s="49"/>
      <c r="W11" s="43"/>
      <c r="X11" s="18"/>
    </row>
    <row r="12" spans="1:24" x14ac:dyDescent="0.35">
      <c r="A12" s="9168"/>
      <c r="B12" s="58"/>
      <c r="C12" s="59" t="s">
        <v>456</v>
      </c>
      <c r="D12" s="197"/>
      <c r="F12" s="61">
        <v>69119.865390000006</v>
      </c>
      <c r="G12"/>
      <c r="H12" s="62">
        <v>147690.67244299996</v>
      </c>
      <c r="I12" s="63">
        <v>146172.77000000002</v>
      </c>
      <c r="J12" s="476">
        <f>IF(H12=0,0,I12/H12)</f>
        <v>0.98972242174883618</v>
      </c>
      <c r="K12" s="65"/>
      <c r="L12" s="62">
        <v>176980.2</v>
      </c>
      <c r="M12" s="301">
        <v>186588.75605900001</v>
      </c>
      <c r="O12" s="62">
        <v>235167.7</v>
      </c>
      <c r="P12" s="7113" t="s">
        <v>2122</v>
      </c>
      <c r="Q12" s="63">
        <f>137122.4*12/9</f>
        <v>182829.86666666664</v>
      </c>
      <c r="R12" s="476">
        <f>IF(O12=0,0,Q12/O12)</f>
        <v>0.77744463489954885</v>
      </c>
      <c r="S12" s="65"/>
      <c r="T12" s="62">
        <v>235732.6</v>
      </c>
      <c r="U12" s="106"/>
      <c r="V12" s="1553"/>
      <c r="X12" s="26"/>
    </row>
    <row r="13" spans="1:24" x14ac:dyDescent="0.35">
      <c r="A13" s="9168"/>
      <c r="B13" s="58"/>
      <c r="C13" s="59" t="s">
        <v>1041</v>
      </c>
      <c r="D13" s="197"/>
      <c r="F13" s="61">
        <v>16491.35143252011</v>
      </c>
      <c r="G13"/>
      <c r="H13" s="62">
        <v>15764.528700000003</v>
      </c>
      <c r="I13" s="63">
        <v>11903.746960000002</v>
      </c>
      <c r="J13" s="73">
        <f t="shared" ref="J13:J14" si="0">IF(H13=0,0,I13/H13)</f>
        <v>0.75509691323661332</v>
      </c>
      <c r="K13" s="65"/>
      <c r="L13" s="62">
        <v>16827.400000000001</v>
      </c>
      <c r="M13" s="301">
        <v>13020.420000000002</v>
      </c>
      <c r="O13" s="62">
        <v>17137.8</v>
      </c>
      <c r="P13" s="7113" t="s">
        <v>2123</v>
      </c>
      <c r="Q13" s="63">
        <f>2547.4*12/9</f>
        <v>3396.5333333333338</v>
      </c>
      <c r="R13" s="73">
        <f t="shared" ref="R13:R14" si="1">IF(O13=0,0,Q13/O13)</f>
        <v>0.19818957703633686</v>
      </c>
      <c r="S13" s="65"/>
      <c r="T13" s="62">
        <v>19107.099999999999</v>
      </c>
      <c r="U13" s="106"/>
      <c r="V13" s="1553"/>
      <c r="X13" s="26"/>
    </row>
    <row r="14" spans="1:24" x14ac:dyDescent="0.35">
      <c r="A14" s="9168"/>
      <c r="B14" s="85"/>
      <c r="C14" s="86" t="s">
        <v>466</v>
      </c>
      <c r="D14" s="209"/>
      <c r="F14" s="88">
        <f>SUM(F12:F13)</f>
        <v>85611.216822520117</v>
      </c>
      <c r="G14"/>
      <c r="H14" s="89">
        <f>SUM(H12:H13)</f>
        <v>163455.20114299995</v>
      </c>
      <c r="I14" s="90">
        <f>SUM(I12:I13)</f>
        <v>158076.51696000001</v>
      </c>
      <c r="J14" s="91">
        <f t="shared" si="0"/>
        <v>0.96709383277259942</v>
      </c>
      <c r="K14" s="80"/>
      <c r="L14" s="89">
        <f>SUM(L12:L13)</f>
        <v>193807.6</v>
      </c>
      <c r="M14" s="309">
        <f>SUM(M12:M13)</f>
        <v>199609.17605900002</v>
      </c>
      <c r="O14" s="1776">
        <f>SUM(O12:O13)</f>
        <v>252305.5</v>
      </c>
      <c r="P14" s="1197"/>
      <c r="Q14" s="4876">
        <f>SUM(Q12:Q13)</f>
        <v>186226.39999999997</v>
      </c>
      <c r="R14" s="91">
        <f t="shared" si="1"/>
        <v>0.73809885238332085</v>
      </c>
      <c r="S14" s="80"/>
      <c r="T14" s="1776">
        <f>SUM(T12:T13)</f>
        <v>254839.7</v>
      </c>
      <c r="U14" s="7114"/>
      <c r="V14" s="1559">
        <f>SUM(V12:V13)</f>
        <v>0</v>
      </c>
      <c r="X14" s="24"/>
    </row>
    <row r="15" spans="1:24" x14ac:dyDescent="0.35">
      <c r="A15" s="9168"/>
      <c r="B15" s="100" t="s">
        <v>468</v>
      </c>
      <c r="C15" s="49"/>
      <c r="D15" s="585"/>
      <c r="E15" s="43"/>
      <c r="F15" s="101"/>
      <c r="G15"/>
      <c r="H15" s="102"/>
      <c r="I15" s="103"/>
      <c r="J15" s="104"/>
      <c r="K15" s="43"/>
      <c r="L15" s="102"/>
      <c r="M15" s="105"/>
      <c r="N15" s="43"/>
      <c r="O15" s="102"/>
      <c r="P15" s="103" t="s">
        <v>2124</v>
      </c>
      <c r="Q15" s="6" t="s">
        <v>2125</v>
      </c>
      <c r="R15" s="104"/>
      <c r="S15" s="43"/>
      <c r="T15" s="102" t="s">
        <v>2126</v>
      </c>
      <c r="U15" s="103"/>
      <c r="V15" s="105"/>
      <c r="W15" s="43"/>
      <c r="X15" s="18"/>
    </row>
    <row r="16" spans="1:24" x14ac:dyDescent="0.35">
      <c r="A16" s="9168"/>
      <c r="B16" s="6082"/>
      <c r="C16" s="110" t="s">
        <v>470</v>
      </c>
      <c r="D16" s="197"/>
      <c r="F16" s="111">
        <f>F20-F18-F19</f>
        <v>38747.718710473331</v>
      </c>
      <c r="G16"/>
      <c r="H16" s="112">
        <f t="shared" ref="H16:I16" si="2">H20-H18-H19</f>
        <v>78229.977519999986</v>
      </c>
      <c r="I16" s="113">
        <f t="shared" si="2"/>
        <v>74292.7</v>
      </c>
      <c r="J16" s="476">
        <f t="shared" ref="J16:J20" si="3">IF(H16=0,0,I16/H16)</f>
        <v>0.94967047614204669</v>
      </c>
      <c r="L16" s="112">
        <f t="shared" ref="L16:M16" si="4">L20-L18-L19</f>
        <v>99750.12000000001</v>
      </c>
      <c r="M16" s="482">
        <f t="shared" si="4"/>
        <v>101860.76299999999</v>
      </c>
      <c r="O16" s="112">
        <v>90922.5</v>
      </c>
      <c r="P16" s="7115" t="s">
        <v>2127</v>
      </c>
      <c r="Q16" s="113">
        <f>53867.7*12/9</f>
        <v>71823.599999999991</v>
      </c>
      <c r="R16" s="476">
        <f t="shared" ref="R16:R20" si="5">IF(O16=0,0,Q16/O16)</f>
        <v>0.78994308339519914</v>
      </c>
      <c r="T16" s="112">
        <v>91675.199999999997</v>
      </c>
      <c r="U16" s="127"/>
      <c r="V16" s="276"/>
      <c r="X16" s="26"/>
    </row>
    <row r="17" spans="1:33" x14ac:dyDescent="0.35">
      <c r="A17" s="9168"/>
      <c r="B17" s="6082"/>
      <c r="C17" s="110" t="s">
        <v>2128</v>
      </c>
      <c r="D17" s="197"/>
      <c r="F17" s="111"/>
      <c r="G17"/>
      <c r="H17" s="112"/>
      <c r="I17" s="113"/>
      <c r="J17" s="476"/>
      <c r="L17" s="112"/>
      <c r="M17" s="482"/>
      <c r="O17" s="112">
        <v>122104.1</v>
      </c>
      <c r="P17" s="53" t="s">
        <v>2129</v>
      </c>
      <c r="Q17" s="113">
        <f>90812.3*12/9</f>
        <v>121083.06666666668</v>
      </c>
      <c r="R17" s="476"/>
      <c r="T17" s="112">
        <v>135604.70000000001</v>
      </c>
      <c r="U17" s="127"/>
      <c r="V17" s="276"/>
      <c r="X17" s="26"/>
    </row>
    <row r="18" spans="1:33" x14ac:dyDescent="0.35">
      <c r="A18" s="9168"/>
      <c r="B18" s="6082"/>
      <c r="C18" s="110" t="s">
        <v>474</v>
      </c>
      <c r="D18" s="197"/>
      <c r="F18" s="111">
        <v>53282.743375029997</v>
      </c>
      <c r="G18"/>
      <c r="H18" s="112">
        <v>111653.49019100002</v>
      </c>
      <c r="I18" s="113">
        <v>107384.87695999999</v>
      </c>
      <c r="J18" s="476">
        <f t="shared" si="3"/>
        <v>0.96176910167610596</v>
      </c>
      <c r="L18" s="112">
        <v>124575.19999999998</v>
      </c>
      <c r="M18" s="482">
        <v>117682.89199999999</v>
      </c>
      <c r="O18" s="112">
        <v>100361.3</v>
      </c>
      <c r="P18" s="53" t="s">
        <v>2130</v>
      </c>
      <c r="Q18" s="113">
        <f>66297.1*12/9</f>
        <v>88396.133333333346</v>
      </c>
      <c r="R18" s="476">
        <f t="shared" si="5"/>
        <v>0.88077907852263115</v>
      </c>
      <c r="T18" s="112">
        <f>113635.6+6000</f>
        <v>119635.6</v>
      </c>
      <c r="U18" s="127"/>
      <c r="V18" s="276"/>
      <c r="X18" s="26"/>
    </row>
    <row r="19" spans="1:33" x14ac:dyDescent="0.35">
      <c r="A19" s="9168"/>
      <c r="B19" s="6082"/>
      <c r="C19" s="110" t="s">
        <v>2131</v>
      </c>
      <c r="D19" s="197"/>
      <c r="F19" s="111">
        <v>1912.67</v>
      </c>
      <c r="G19"/>
      <c r="H19" s="112">
        <v>4460.2226800000008</v>
      </c>
      <c r="I19" s="113">
        <v>3794.2000000000003</v>
      </c>
      <c r="J19" s="476">
        <f t="shared" si="3"/>
        <v>0.85067501607341267</v>
      </c>
      <c r="L19" s="112">
        <v>5417.2999999999993</v>
      </c>
      <c r="M19" s="482">
        <v>5337.7000000000007</v>
      </c>
      <c r="O19" s="112"/>
      <c r="P19" s="53" t="s">
        <v>2132</v>
      </c>
      <c r="Q19" s="113"/>
      <c r="R19" s="476">
        <f t="shared" si="5"/>
        <v>0</v>
      </c>
      <c r="T19" s="112"/>
      <c r="U19" s="3081"/>
      <c r="V19" s="276"/>
      <c r="X19" s="26"/>
    </row>
    <row r="20" spans="1:33" x14ac:dyDescent="0.35">
      <c r="A20" s="9168"/>
      <c r="B20" s="128"/>
      <c r="C20" s="129" t="s">
        <v>479</v>
      </c>
      <c r="D20" s="209"/>
      <c r="F20" s="210">
        <v>93943.132085503326</v>
      </c>
      <c r="G20"/>
      <c r="H20" s="217">
        <v>194343.69039100001</v>
      </c>
      <c r="I20" s="845">
        <v>185471.77695999999</v>
      </c>
      <c r="J20" s="484">
        <f t="shared" si="3"/>
        <v>0.9543493621369924</v>
      </c>
      <c r="L20" s="217">
        <v>229742.62</v>
      </c>
      <c r="M20" s="485">
        <v>224881.35499999998</v>
      </c>
      <c r="O20" s="1781">
        <f>SUM(O16:O19)</f>
        <v>313387.90000000002</v>
      </c>
      <c r="P20" s="1197"/>
      <c r="Q20" s="1782">
        <f>SUM(Q16:Q19)</f>
        <v>281302.80000000005</v>
      </c>
      <c r="R20" s="484">
        <f t="shared" si="5"/>
        <v>0.89761857429722092</v>
      </c>
      <c r="T20" s="131">
        <f>SUM(T16:T19)</f>
        <v>346915.5</v>
      </c>
      <c r="U20" s="96"/>
      <c r="V20" s="3264">
        <v>224881.35499999998</v>
      </c>
      <c r="X20" s="24"/>
    </row>
    <row r="21" spans="1:33" x14ac:dyDescent="0.35">
      <c r="A21" s="9168"/>
      <c r="B21" s="139" t="s">
        <v>480</v>
      </c>
      <c r="C21" s="49"/>
      <c r="D21" s="184"/>
      <c r="E21" s="141"/>
      <c r="F21" s="6083"/>
      <c r="G21"/>
      <c r="H21" s="1805"/>
      <c r="I21" s="3081"/>
      <c r="J21" s="476"/>
      <c r="L21" s="1805"/>
      <c r="M21" s="66"/>
      <c r="N21" s="141"/>
      <c r="O21" s="144"/>
      <c r="P21" s="145"/>
      <c r="Q21" s="145"/>
      <c r="R21" s="486"/>
      <c r="S21" s="141"/>
      <c r="T21" s="147"/>
      <c r="U21" s="1006"/>
      <c r="V21" s="3942"/>
      <c r="W21" s="141"/>
      <c r="X21" s="18"/>
    </row>
    <row r="22" spans="1:33" x14ac:dyDescent="0.35">
      <c r="A22" s="9168"/>
      <c r="B22" s="6082"/>
      <c r="C22" s="110" t="s">
        <v>483</v>
      </c>
      <c r="D22" s="197"/>
      <c r="F22" s="155"/>
      <c r="H22" s="117"/>
      <c r="I22" s="115"/>
      <c r="J22" s="476">
        <f t="shared" ref="J22:J25" si="6">IF(H22=0,0,I22/H22)</f>
        <v>0</v>
      </c>
      <c r="L22" s="156"/>
      <c r="M22" s="3265">
        <f t="shared" ref="M22:M25" si="7">L22*J22</f>
        <v>0</v>
      </c>
      <c r="O22" s="117"/>
      <c r="P22" s="1128"/>
      <c r="Q22" s="115"/>
      <c r="R22" s="476">
        <f t="shared" ref="R22:R25" si="8">IF(O22=0,0,Q22/O22)</f>
        <v>0</v>
      </c>
      <c r="T22" s="156"/>
      <c r="U22" s="312"/>
      <c r="V22" s="3265">
        <f t="shared" ref="V22:V25" si="9">T22*R22</f>
        <v>0</v>
      </c>
      <c r="X22" s="26"/>
    </row>
    <row r="23" spans="1:33" x14ac:dyDescent="0.35">
      <c r="A23" s="9168"/>
      <c r="B23" s="6082"/>
      <c r="C23" s="110" t="s">
        <v>489</v>
      </c>
      <c r="D23" s="197"/>
      <c r="F23" s="155"/>
      <c r="H23" s="117"/>
      <c r="I23" s="115"/>
      <c r="J23" s="476">
        <f t="shared" si="6"/>
        <v>0</v>
      </c>
      <c r="L23" s="156"/>
      <c r="M23" s="3265">
        <f t="shared" si="7"/>
        <v>0</v>
      </c>
      <c r="O23" s="117"/>
      <c r="P23" s="1128"/>
      <c r="Q23" s="115"/>
      <c r="R23" s="476">
        <f t="shared" si="8"/>
        <v>0</v>
      </c>
      <c r="T23" s="156"/>
      <c r="V23" s="3265">
        <f t="shared" si="9"/>
        <v>0</v>
      </c>
      <c r="X23" s="26"/>
      <c r="AC23" t="s">
        <v>2133</v>
      </c>
    </row>
    <row r="24" spans="1:33" x14ac:dyDescent="0.35">
      <c r="A24" s="9168"/>
      <c r="B24" s="6082"/>
      <c r="C24" s="110" t="s">
        <v>490</v>
      </c>
      <c r="D24" s="197"/>
      <c r="F24" s="155"/>
      <c r="H24" s="117"/>
      <c r="I24" s="115"/>
      <c r="J24" s="476">
        <f t="shared" si="6"/>
        <v>0</v>
      </c>
      <c r="L24" s="156"/>
      <c r="M24" s="3265">
        <f t="shared" si="7"/>
        <v>0</v>
      </c>
      <c r="O24" s="117"/>
      <c r="P24" s="1128"/>
      <c r="Q24" s="115"/>
      <c r="R24" s="476">
        <f t="shared" si="8"/>
        <v>0</v>
      </c>
      <c r="T24" s="156"/>
      <c r="U24" s="312"/>
      <c r="V24" s="276">
        <f t="shared" si="9"/>
        <v>0</v>
      </c>
      <c r="X24" s="26"/>
      <c r="AC24" t="s">
        <v>2134</v>
      </c>
      <c r="AE24" t="s">
        <v>2135</v>
      </c>
      <c r="AF24" t="s">
        <v>2136</v>
      </c>
      <c r="AG24" t="s">
        <v>10</v>
      </c>
    </row>
    <row r="25" spans="1:33" x14ac:dyDescent="0.35">
      <c r="A25" s="9168"/>
      <c r="B25" s="6082"/>
      <c r="C25" s="161" t="s">
        <v>497</v>
      </c>
      <c r="D25" s="610"/>
      <c r="F25" s="163"/>
      <c r="H25" s="164"/>
      <c r="I25" s="165"/>
      <c r="J25" s="476">
        <f t="shared" si="6"/>
        <v>0</v>
      </c>
      <c r="L25" s="166"/>
      <c r="M25" s="276">
        <f t="shared" si="7"/>
        <v>0</v>
      </c>
      <c r="O25" s="164"/>
      <c r="P25" s="167"/>
      <c r="Q25" s="165"/>
      <c r="R25" s="476">
        <f t="shared" si="8"/>
        <v>0</v>
      </c>
      <c r="T25" s="166"/>
      <c r="U25" s="312"/>
      <c r="V25" s="3265">
        <f t="shared" si="9"/>
        <v>0</v>
      </c>
      <c r="X25" s="26"/>
      <c r="AC25" t="s">
        <v>1116</v>
      </c>
      <c r="AD25" s="1256">
        <v>21925.368999999999</v>
      </c>
      <c r="AE25" s="1256">
        <v>293.12599999999998</v>
      </c>
      <c r="AF25" s="1256">
        <v>314.92500000000001</v>
      </c>
      <c r="AG25" s="1256">
        <v>22533.42</v>
      </c>
    </row>
    <row r="26" spans="1:33" x14ac:dyDescent="0.35">
      <c r="A26" s="9168"/>
      <c r="B26" s="128"/>
      <c r="C26" s="129" t="s">
        <v>499</v>
      </c>
      <c r="D26" s="209"/>
      <c r="F26" s="491">
        <f>IF(F22=0,0,F24/F22)</f>
        <v>0</v>
      </c>
      <c r="G26" s="170"/>
      <c r="H26" s="492">
        <f t="shared" ref="H26:I26" si="10">IF(H22=0,0,H24/H22)</f>
        <v>0</v>
      </c>
      <c r="I26" s="493">
        <f t="shared" si="10"/>
        <v>0</v>
      </c>
      <c r="J26" s="494"/>
      <c r="K26" s="170"/>
      <c r="L26" s="495">
        <f>IF(L22=0,0,L24/L22)</f>
        <v>0</v>
      </c>
      <c r="M26" s="496">
        <f>IF(M22=0,0,M24/M22)</f>
        <v>0</v>
      </c>
      <c r="N26" s="176"/>
      <c r="O26" s="492">
        <f t="shared" ref="O26:Q26" si="11">IF(O22=0,0,O24/O22)</f>
        <v>0</v>
      </c>
      <c r="P26" s="493"/>
      <c r="Q26" s="493">
        <f t="shared" si="11"/>
        <v>0</v>
      </c>
      <c r="R26" s="494"/>
      <c r="S26" s="170"/>
      <c r="T26" s="495">
        <f>IF(T22=0,0,T24/T22)</f>
        <v>0</v>
      </c>
      <c r="U26" s="498"/>
      <c r="V26" s="496">
        <f>IF(V22=0,0,V24/V22)</f>
        <v>0</v>
      </c>
      <c r="W26" s="176"/>
      <c r="X26" s="24"/>
      <c r="AD26" s="1256"/>
      <c r="AE26" s="1256"/>
      <c r="AF26" s="1256"/>
      <c r="AG26" s="1256"/>
    </row>
    <row r="27" spans="1:33" x14ac:dyDescent="0.35">
      <c r="A27" s="9169"/>
      <c r="B27" s="5496" t="s">
        <v>501</v>
      </c>
      <c r="C27" s="500"/>
      <c r="D27" s="5497"/>
      <c r="F27" s="502"/>
      <c r="H27" s="503"/>
      <c r="I27" s="504"/>
      <c r="J27" s="505">
        <f>IF(H27=0,0,I27/H27)</f>
        <v>0</v>
      </c>
      <c r="L27" s="503"/>
      <c r="M27" s="3051">
        <f t="shared" ref="M27" si="12">L27*J27</f>
        <v>0</v>
      </c>
      <c r="O27" s="503"/>
      <c r="P27" s="7116"/>
      <c r="Q27" s="504"/>
      <c r="R27" s="505">
        <f>IF(O27=0,0,Q27/O27)</f>
        <v>0</v>
      </c>
      <c r="T27" s="503"/>
      <c r="U27" s="508"/>
      <c r="V27" s="506">
        <f t="shared" ref="V27" si="13">T27*R27</f>
        <v>0</v>
      </c>
      <c r="X27" s="617"/>
      <c r="AC27" t="s">
        <v>11</v>
      </c>
      <c r="AD27" s="1256" t="s">
        <v>2137</v>
      </c>
      <c r="AE27" s="1256" t="s">
        <v>2138</v>
      </c>
      <c r="AF27" s="1256" t="s">
        <v>10</v>
      </c>
      <c r="AG27" s="1256"/>
    </row>
    <row r="28" spans="1:33" x14ac:dyDescent="0.35">
      <c r="A28" s="220"/>
      <c r="B28" s="220"/>
      <c r="F28" s="106"/>
      <c r="H28" s="106"/>
      <c r="I28" s="106"/>
      <c r="J28" s="221"/>
      <c r="L28" s="106"/>
      <c r="O28" s="106"/>
      <c r="P28" s="106"/>
      <c r="Q28" s="106"/>
      <c r="R28" s="221"/>
      <c r="T28" s="106"/>
      <c r="U28" s="106"/>
      <c r="AD28" s="1256">
        <v>27024.812170000001</v>
      </c>
      <c r="AE28" s="1256">
        <v>1006.53892</v>
      </c>
      <c r="AF28" s="1256">
        <v>28031.35109</v>
      </c>
      <c r="AG28" s="1256"/>
    </row>
    <row r="29" spans="1:33" ht="27.75" customHeight="1" x14ac:dyDescent="0.35">
      <c r="A29" s="9167" t="s">
        <v>503</v>
      </c>
      <c r="B29" s="27"/>
      <c r="C29" s="28" t="s">
        <v>427</v>
      </c>
      <c r="D29" s="585" t="s">
        <v>428</v>
      </c>
      <c r="E29" s="30"/>
      <c r="F29" s="31" t="s">
        <v>2115</v>
      </c>
      <c r="G29"/>
      <c r="H29" s="31" t="s">
        <v>2115</v>
      </c>
      <c r="I29" s="31" t="s">
        <v>2115</v>
      </c>
      <c r="J29" s="32"/>
      <c r="K29" s="33"/>
      <c r="L29" s="31" t="s">
        <v>2115</v>
      </c>
      <c r="M29" s="31" t="s">
        <v>2115</v>
      </c>
      <c r="N29" s="30"/>
      <c r="O29" s="31" t="s">
        <v>2139</v>
      </c>
      <c r="P29" s="472"/>
      <c r="Q29" s="31"/>
      <c r="R29" s="32"/>
      <c r="S29" s="33"/>
      <c r="T29" s="31" t="s">
        <v>2118</v>
      </c>
      <c r="U29" s="34"/>
      <c r="V29" s="31"/>
      <c r="W29" s="30"/>
      <c r="X29" s="39"/>
    </row>
    <row r="30" spans="1:33" x14ac:dyDescent="0.35">
      <c r="A30" s="9168"/>
      <c r="B30" s="141" t="s">
        <v>514</v>
      </c>
      <c r="C30"/>
      <c r="D30" s="184"/>
      <c r="E30" s="143"/>
      <c r="F30" s="227"/>
      <c r="G30" s="143"/>
      <c r="H30" s="102"/>
      <c r="I30" s="103"/>
      <c r="J30" s="228"/>
      <c r="K30" s="143"/>
      <c r="L30" s="102"/>
      <c r="M30" s="49"/>
      <c r="N30" s="143"/>
      <c r="O30" s="102" t="s">
        <v>2140</v>
      </c>
      <c r="P30" s="103"/>
      <c r="Q30" s="103"/>
      <c r="R30" s="228"/>
      <c r="S30" s="143"/>
      <c r="T30" s="102" t="s">
        <v>2141</v>
      </c>
      <c r="U30" s="106"/>
      <c r="V30" s="229"/>
      <c r="W30" s="143"/>
      <c r="X30" s="18"/>
    </row>
    <row r="31" spans="1:33" x14ac:dyDescent="0.35">
      <c r="A31" s="9168"/>
      <c r="B31" s="240"/>
      <c r="C31" s="240" t="s">
        <v>2142</v>
      </c>
      <c r="D31" s="197"/>
      <c r="F31" s="111">
        <v>3401.6095235899998</v>
      </c>
      <c r="H31" s="112">
        <v>8614.8041200000007</v>
      </c>
      <c r="I31" s="113">
        <v>7808</v>
      </c>
      <c r="J31" s="476">
        <f t="shared" ref="J31:J35" si="14">IF(H31=0,0,I31/H31)</f>
        <v>0.90634678296086424</v>
      </c>
      <c r="L31" s="112">
        <v>10647.8</v>
      </c>
      <c r="M31" s="3265">
        <v>11737</v>
      </c>
      <c r="O31" s="112">
        <v>45849.8</v>
      </c>
      <c r="P31" s="920"/>
      <c r="Q31" s="113"/>
      <c r="R31" s="476">
        <f t="shared" ref="R31:R35" si="15">IF(O31=0,0,Q31/O31)</f>
        <v>0</v>
      </c>
      <c r="T31" s="112">
        <v>43314.5</v>
      </c>
      <c r="U31" s="106"/>
      <c r="V31" s="3265"/>
      <c r="X31" s="26"/>
    </row>
    <row r="32" spans="1:33" x14ac:dyDescent="0.35">
      <c r="A32" s="9168"/>
      <c r="B32" s="240"/>
      <c r="C32" s="240" t="s">
        <v>2143</v>
      </c>
      <c r="D32" s="197"/>
      <c r="F32" s="155">
        <v>8993.7852569999977</v>
      </c>
      <c r="H32" s="117">
        <v>17845.494999999995</v>
      </c>
      <c r="I32" s="115">
        <v>16493.400000000001</v>
      </c>
      <c r="J32" s="476">
        <f t="shared" si="14"/>
        <v>0.92423325887009611</v>
      </c>
      <c r="L32" s="117">
        <v>19155.330000000002</v>
      </c>
      <c r="M32" s="3265">
        <v>23915.87</v>
      </c>
      <c r="O32" s="117"/>
      <c r="P32" s="1128"/>
      <c r="Q32" s="115"/>
      <c r="R32" s="476">
        <f t="shared" si="15"/>
        <v>0</v>
      </c>
      <c r="T32" s="117"/>
      <c r="U32" s="106"/>
      <c r="V32" s="3265"/>
      <c r="X32" s="26"/>
    </row>
    <row r="33" spans="1:24" x14ac:dyDescent="0.35">
      <c r="A33" s="9168"/>
      <c r="B33" s="241"/>
      <c r="C33" s="240" t="s">
        <v>2144</v>
      </c>
      <c r="D33" s="197"/>
      <c r="F33" s="163">
        <v>7427.1945878800007</v>
      </c>
      <c r="H33" s="242">
        <v>12723.293500000003</v>
      </c>
      <c r="I33" s="243">
        <v>12777.1</v>
      </c>
      <c r="J33" s="476">
        <f t="shared" si="14"/>
        <v>1.0042289757758081</v>
      </c>
      <c r="L33" s="242">
        <v>13134.7</v>
      </c>
      <c r="M33" s="3265">
        <v>13819.7</v>
      </c>
      <c r="O33" s="242"/>
      <c r="P33" s="1188"/>
      <c r="Q33" s="243"/>
      <c r="R33" s="476">
        <f t="shared" si="15"/>
        <v>0</v>
      </c>
      <c r="T33" s="242"/>
      <c r="U33" s="106"/>
      <c r="V33" s="3265"/>
      <c r="X33" s="26"/>
    </row>
    <row r="34" spans="1:24" x14ac:dyDescent="0.35">
      <c r="A34" s="9168"/>
      <c r="B34" s="241"/>
      <c r="C34" s="240" t="s">
        <v>2145</v>
      </c>
      <c r="D34" s="197"/>
      <c r="F34" s="163">
        <v>1505.5050000000001</v>
      </c>
      <c r="H34" s="242">
        <v>4368.3235999999997</v>
      </c>
      <c r="I34" s="243">
        <v>3559.72</v>
      </c>
      <c r="J34" s="476">
        <f t="shared" si="14"/>
        <v>0.81489384165586998</v>
      </c>
      <c r="L34" s="242">
        <v>6078.2</v>
      </c>
      <c r="M34" s="3265">
        <v>4500.1099999999997</v>
      </c>
      <c r="O34" s="242"/>
      <c r="P34" s="1188"/>
      <c r="Q34" s="243"/>
      <c r="R34" s="476">
        <f t="shared" si="15"/>
        <v>0</v>
      </c>
      <c r="T34" s="242"/>
      <c r="U34" s="106"/>
      <c r="V34" s="3265"/>
      <c r="X34" s="26"/>
    </row>
    <row r="35" spans="1:24" x14ac:dyDescent="0.35">
      <c r="A35" s="9168"/>
      <c r="B35" s="241"/>
      <c r="C35" s="240" t="s">
        <v>2146</v>
      </c>
      <c r="D35" s="197"/>
      <c r="F35" s="163">
        <f>F65+F66</f>
        <v>2041.0915</v>
      </c>
      <c r="H35" s="242">
        <f t="shared" ref="H35:I35" si="16">H65+H66</f>
        <v>1247.9558500000001</v>
      </c>
      <c r="I35" s="243">
        <f t="shared" si="16"/>
        <v>1877.0967999999998</v>
      </c>
      <c r="J35" s="476">
        <f t="shared" si="14"/>
        <v>1.5041371856223917</v>
      </c>
      <c r="L35" s="242">
        <f t="shared" ref="L35:M35" si="17">L65+L66</f>
        <v>913.7</v>
      </c>
      <c r="M35" s="3265">
        <f t="shared" si="17"/>
        <v>850.86000000000013</v>
      </c>
      <c r="O35" s="242"/>
      <c r="P35" s="1188"/>
      <c r="Q35" s="243"/>
      <c r="R35" s="476">
        <f t="shared" si="15"/>
        <v>0</v>
      </c>
      <c r="T35" s="242"/>
      <c r="U35" s="106"/>
      <c r="V35" s="3265"/>
      <c r="X35" s="26"/>
    </row>
    <row r="36" spans="1:24" x14ac:dyDescent="0.35">
      <c r="A36" s="9168"/>
      <c r="B36" s="141" t="s">
        <v>531</v>
      </c>
      <c r="C36"/>
      <c r="D36" s="197"/>
      <c r="E36" s="143"/>
      <c r="F36" s="168"/>
      <c r="G36" s="143"/>
      <c r="H36" s="245"/>
      <c r="I36" s="106"/>
      <c r="J36" s="246"/>
      <c r="K36" s="143"/>
      <c r="L36" s="245"/>
      <c r="M36" s="247"/>
      <c r="N36" s="143"/>
      <c r="O36" s="245"/>
      <c r="P36" s="106"/>
      <c r="Q36" s="106"/>
      <c r="R36" s="246"/>
      <c r="S36" s="143"/>
      <c r="T36" s="245"/>
      <c r="U36" s="106"/>
      <c r="V36" s="247"/>
      <c r="W36" s="143"/>
      <c r="X36" s="18"/>
    </row>
    <row r="37" spans="1:24" x14ac:dyDescent="0.35">
      <c r="A37" s="9168"/>
      <c r="B37" s="240"/>
      <c r="C37" s="240" t="s">
        <v>532</v>
      </c>
      <c r="D37" s="197"/>
      <c r="F37" s="111"/>
      <c r="H37" s="112"/>
      <c r="I37" s="113"/>
      <c r="J37" s="476">
        <f t="shared" ref="J37:J39" si="18">IF(H37=0,0,I37/H37)</f>
        <v>0</v>
      </c>
      <c r="L37" s="112"/>
      <c r="M37" s="3265">
        <f t="shared" ref="M37:M39" si="19">L37*J37</f>
        <v>0</v>
      </c>
      <c r="O37" s="112"/>
      <c r="P37" s="920"/>
      <c r="Q37" s="113"/>
      <c r="R37" s="476">
        <f t="shared" ref="R37:R39" si="20">IF(O37=0,0,Q37/O37)</f>
        <v>0</v>
      </c>
      <c r="T37" s="112"/>
      <c r="U37" s="106"/>
      <c r="V37" s="3265">
        <f t="shared" ref="V37:V39" si="21">T37*R37</f>
        <v>0</v>
      </c>
      <c r="X37" s="26"/>
    </row>
    <row r="38" spans="1:24" x14ac:dyDescent="0.35">
      <c r="A38" s="9168"/>
      <c r="B38" s="240"/>
      <c r="C38" s="240" t="s">
        <v>533</v>
      </c>
      <c r="D38" s="197"/>
      <c r="F38" s="155"/>
      <c r="H38" s="117"/>
      <c r="I38" s="115"/>
      <c r="J38" s="476">
        <f t="shared" si="18"/>
        <v>0</v>
      </c>
      <c r="L38" s="117"/>
      <c r="M38" s="3265">
        <f t="shared" si="19"/>
        <v>0</v>
      </c>
      <c r="O38" s="117"/>
      <c r="P38" s="1128"/>
      <c r="Q38" s="115"/>
      <c r="R38" s="476">
        <f t="shared" si="20"/>
        <v>0</v>
      </c>
      <c r="T38" s="117"/>
      <c r="U38" s="106"/>
      <c r="V38" s="3265">
        <f t="shared" si="21"/>
        <v>0</v>
      </c>
      <c r="X38" s="26"/>
    </row>
    <row r="39" spans="1:24" x14ac:dyDescent="0.35">
      <c r="A39" s="9168"/>
      <c r="B39" s="250"/>
      <c r="C39" s="250" t="s">
        <v>534</v>
      </c>
      <c r="D39" s="209"/>
      <c r="F39" s="163"/>
      <c r="H39" s="242"/>
      <c r="I39" s="243"/>
      <c r="J39" s="476">
        <f t="shared" si="18"/>
        <v>0</v>
      </c>
      <c r="L39" s="131"/>
      <c r="M39" s="3264">
        <f t="shared" si="19"/>
        <v>0</v>
      </c>
      <c r="O39" s="242"/>
      <c r="P39" s="1188"/>
      <c r="Q39" s="243"/>
      <c r="R39" s="476">
        <f t="shared" si="20"/>
        <v>0</v>
      </c>
      <c r="T39" s="131"/>
      <c r="U39" s="216"/>
      <c r="V39" s="3264">
        <f t="shared" si="21"/>
        <v>0</v>
      </c>
      <c r="X39" s="24"/>
    </row>
    <row r="40" spans="1:24" x14ac:dyDescent="0.35">
      <c r="A40" s="9168"/>
      <c r="B40" s="141" t="s">
        <v>2147</v>
      </c>
      <c r="C40" s="141"/>
      <c r="D40" s="197"/>
      <c r="E40" s="143"/>
      <c r="F40" s="227"/>
      <c r="G40" s="266"/>
      <c r="H40" s="102"/>
      <c r="I40" s="103"/>
      <c r="J40" s="516"/>
      <c r="K40" s="143"/>
      <c r="L40" s="245"/>
      <c r="M40" s="247"/>
      <c r="N40" s="143"/>
      <c r="O40" s="102"/>
      <c r="P40" s="103"/>
      <c r="Q40" s="103"/>
      <c r="R40" s="516"/>
      <c r="S40" s="143"/>
      <c r="T40" s="245"/>
      <c r="U40" s="106"/>
      <c r="V40" s="247"/>
      <c r="W40" s="143"/>
      <c r="X40" s="26"/>
    </row>
    <row r="41" spans="1:24" ht="24.75" customHeight="1" x14ac:dyDescent="0.35">
      <c r="A41" s="9168"/>
      <c r="B41" s="240"/>
      <c r="C41" s="240"/>
      <c r="D41" s="197"/>
      <c r="F41" s="111"/>
      <c r="H41" s="112"/>
      <c r="I41" s="113"/>
      <c r="J41" s="476">
        <f t="shared" ref="J41:J51" si="22">IF(H41=0,0,I41/H41)</f>
        <v>0</v>
      </c>
      <c r="L41" s="112"/>
      <c r="M41" s="3265">
        <f t="shared" ref="M41:M51" si="23">L41*J41</f>
        <v>0</v>
      </c>
      <c r="O41" s="112"/>
      <c r="P41" s="920"/>
      <c r="Q41" s="113"/>
      <c r="R41" s="476">
        <f t="shared" ref="R41:R51" si="24">IF(O41=0,0,Q41/O41)</f>
        <v>0</v>
      </c>
      <c r="T41" s="112"/>
      <c r="U41" s="106"/>
      <c r="V41" s="3265">
        <f t="shared" ref="V41:V51" si="25">T41*R41</f>
        <v>0</v>
      </c>
      <c r="X41" s="257"/>
    </row>
    <row r="42" spans="1:24" x14ac:dyDescent="0.35">
      <c r="A42" s="9168"/>
      <c r="B42" s="240"/>
      <c r="C42" s="240"/>
      <c r="D42" s="197"/>
      <c r="F42" s="155"/>
      <c r="H42" s="117"/>
      <c r="I42" s="115"/>
      <c r="J42" s="476">
        <f t="shared" si="22"/>
        <v>0</v>
      </c>
      <c r="L42" s="117"/>
      <c r="M42" s="3265">
        <f t="shared" si="23"/>
        <v>0</v>
      </c>
      <c r="O42" s="117"/>
      <c r="P42" s="1128"/>
      <c r="Q42" s="115"/>
      <c r="R42" s="476">
        <f t="shared" si="24"/>
        <v>0</v>
      </c>
      <c r="T42" s="117"/>
      <c r="U42" s="106"/>
      <c r="V42" s="3265">
        <f t="shared" si="25"/>
        <v>0</v>
      </c>
      <c r="X42" s="26"/>
    </row>
    <row r="43" spans="1:24" x14ac:dyDescent="0.35">
      <c r="A43" s="9168"/>
      <c r="B43" s="240"/>
      <c r="C43" s="240"/>
      <c r="D43" s="197"/>
      <c r="F43" s="155"/>
      <c r="H43" s="117"/>
      <c r="I43" s="115"/>
      <c r="J43" s="476">
        <f t="shared" si="22"/>
        <v>0</v>
      </c>
      <c r="L43" s="117"/>
      <c r="M43" s="3265">
        <f t="shared" si="23"/>
        <v>0</v>
      </c>
      <c r="O43" s="117"/>
      <c r="P43" s="1128"/>
      <c r="Q43" s="115"/>
      <c r="R43" s="476">
        <f t="shared" si="24"/>
        <v>0</v>
      </c>
      <c r="T43" s="117"/>
      <c r="U43" s="106"/>
      <c r="V43" s="3265">
        <f t="shared" si="25"/>
        <v>0</v>
      </c>
      <c r="X43" s="26"/>
    </row>
    <row r="44" spans="1:24" x14ac:dyDescent="0.35">
      <c r="A44" s="9168"/>
      <c r="B44" s="240"/>
      <c r="C44" s="240"/>
      <c r="D44" s="197"/>
      <c r="F44" s="155"/>
      <c r="H44" s="117"/>
      <c r="I44" s="115"/>
      <c r="J44" s="476">
        <f t="shared" si="22"/>
        <v>0</v>
      </c>
      <c r="L44" s="117"/>
      <c r="M44" s="3265">
        <f t="shared" si="23"/>
        <v>0</v>
      </c>
      <c r="O44" s="117"/>
      <c r="P44" s="1128"/>
      <c r="Q44" s="115"/>
      <c r="R44" s="476">
        <f t="shared" si="24"/>
        <v>0</v>
      </c>
      <c r="T44" s="117"/>
      <c r="U44" s="106"/>
      <c r="V44" s="3265">
        <f t="shared" si="25"/>
        <v>0</v>
      </c>
      <c r="X44" s="26"/>
    </row>
    <row r="45" spans="1:24" x14ac:dyDescent="0.35">
      <c r="A45" s="9168"/>
      <c r="B45" s="240"/>
      <c r="C45" s="240"/>
      <c r="D45" s="197"/>
      <c r="F45" s="155"/>
      <c r="H45" s="117"/>
      <c r="I45" s="115"/>
      <c r="J45" s="476">
        <f t="shared" si="22"/>
        <v>0</v>
      </c>
      <c r="L45" s="117"/>
      <c r="M45" s="3265">
        <f t="shared" si="23"/>
        <v>0</v>
      </c>
      <c r="O45" s="117"/>
      <c r="P45" s="1128"/>
      <c r="Q45" s="115"/>
      <c r="R45" s="476">
        <f t="shared" si="24"/>
        <v>0</v>
      </c>
      <c r="T45" s="117"/>
      <c r="U45" s="106"/>
      <c r="V45" s="3265">
        <f t="shared" si="25"/>
        <v>0</v>
      </c>
      <c r="X45" s="26"/>
    </row>
    <row r="46" spans="1:24" x14ac:dyDescent="0.35">
      <c r="A46" s="9168"/>
      <c r="B46" s="240"/>
      <c r="C46" s="240"/>
      <c r="D46" s="197"/>
      <c r="F46" s="155"/>
      <c r="H46" s="117"/>
      <c r="I46" s="115"/>
      <c r="J46" s="476">
        <f t="shared" si="22"/>
        <v>0</v>
      </c>
      <c r="L46" s="117"/>
      <c r="M46" s="3265">
        <f t="shared" si="23"/>
        <v>0</v>
      </c>
      <c r="O46" s="117"/>
      <c r="P46" s="1128"/>
      <c r="Q46" s="115"/>
      <c r="R46" s="476">
        <f t="shared" si="24"/>
        <v>0</v>
      </c>
      <c r="T46" s="117"/>
      <c r="U46" s="106"/>
      <c r="V46" s="3265">
        <f t="shared" si="25"/>
        <v>0</v>
      </c>
      <c r="X46" s="26"/>
    </row>
    <row r="47" spans="1:24" x14ac:dyDescent="0.35">
      <c r="A47" s="9168"/>
      <c r="B47" s="240"/>
      <c r="C47" s="240"/>
      <c r="D47" s="197"/>
      <c r="F47" s="155"/>
      <c r="H47" s="117"/>
      <c r="I47" s="115"/>
      <c r="J47" s="476">
        <f t="shared" si="22"/>
        <v>0</v>
      </c>
      <c r="L47" s="117"/>
      <c r="M47" s="3265">
        <f t="shared" si="23"/>
        <v>0</v>
      </c>
      <c r="O47" s="117"/>
      <c r="P47" s="1128"/>
      <c r="Q47" s="115"/>
      <c r="R47" s="476">
        <f t="shared" si="24"/>
        <v>0</v>
      </c>
      <c r="T47" s="117"/>
      <c r="U47" s="106"/>
      <c r="V47" s="3265">
        <f t="shared" si="25"/>
        <v>0</v>
      </c>
      <c r="X47" s="26"/>
    </row>
    <row r="48" spans="1:24" x14ac:dyDescent="0.35">
      <c r="A48" s="9168"/>
      <c r="B48" s="241"/>
      <c r="C48" s="241"/>
      <c r="D48" s="197"/>
      <c r="F48" s="163"/>
      <c r="H48" s="242"/>
      <c r="I48" s="243"/>
      <c r="J48" s="476">
        <f t="shared" si="22"/>
        <v>0</v>
      </c>
      <c r="L48" s="242"/>
      <c r="M48" s="3265">
        <f t="shared" si="23"/>
        <v>0</v>
      </c>
      <c r="O48" s="242"/>
      <c r="P48" s="1188"/>
      <c r="Q48" s="243"/>
      <c r="R48" s="476">
        <f t="shared" si="24"/>
        <v>0</v>
      </c>
      <c r="T48" s="242"/>
      <c r="U48" s="106"/>
      <c r="V48" s="3265">
        <f t="shared" si="25"/>
        <v>0</v>
      </c>
      <c r="X48" s="26"/>
    </row>
    <row r="49" spans="1:24" x14ac:dyDescent="0.35">
      <c r="A49" s="9168"/>
      <c r="B49" s="241"/>
      <c r="C49" s="4067"/>
      <c r="D49" s="197"/>
      <c r="F49" s="163"/>
      <c r="H49" s="242"/>
      <c r="I49" s="243"/>
      <c r="J49" s="476">
        <f t="shared" si="22"/>
        <v>0</v>
      </c>
      <c r="L49" s="242"/>
      <c r="M49" s="3265">
        <f t="shared" si="23"/>
        <v>0</v>
      </c>
      <c r="O49" s="242"/>
      <c r="P49" s="1188"/>
      <c r="Q49" s="243"/>
      <c r="R49" s="476">
        <f t="shared" si="24"/>
        <v>0</v>
      </c>
      <c r="T49" s="242"/>
      <c r="U49" s="106"/>
      <c r="V49" s="3265">
        <f t="shared" si="25"/>
        <v>0</v>
      </c>
      <c r="X49" s="26"/>
    </row>
    <row r="50" spans="1:24" x14ac:dyDescent="0.35">
      <c r="A50" s="9168"/>
      <c r="B50" s="241"/>
      <c r="C50" s="4067"/>
      <c r="D50" s="197"/>
      <c r="F50" s="163"/>
      <c r="H50" s="242"/>
      <c r="I50" s="243"/>
      <c r="J50" s="476">
        <f t="shared" si="22"/>
        <v>0</v>
      </c>
      <c r="L50" s="242"/>
      <c r="M50" s="3265">
        <f t="shared" si="23"/>
        <v>0</v>
      </c>
      <c r="O50" s="242"/>
      <c r="P50" s="1188"/>
      <c r="Q50" s="243"/>
      <c r="R50" s="476">
        <f t="shared" si="24"/>
        <v>0</v>
      </c>
      <c r="T50" s="242"/>
      <c r="U50" s="106"/>
      <c r="V50" s="3265">
        <f t="shared" si="25"/>
        <v>0</v>
      </c>
      <c r="X50" s="26"/>
    </row>
    <row r="51" spans="1:24" x14ac:dyDescent="0.35">
      <c r="A51" s="9168"/>
      <c r="B51" s="241"/>
      <c r="C51" s="241"/>
      <c r="D51" s="209"/>
      <c r="F51" s="130"/>
      <c r="G51" s="3492"/>
      <c r="H51" s="131"/>
      <c r="I51" s="132"/>
      <c r="J51" s="484">
        <f t="shared" si="22"/>
        <v>0</v>
      </c>
      <c r="L51" s="242"/>
      <c r="M51" s="3265">
        <f t="shared" si="23"/>
        <v>0</v>
      </c>
      <c r="O51" s="131"/>
      <c r="P51" s="1197"/>
      <c r="Q51" s="132"/>
      <c r="R51" s="484">
        <f t="shared" si="24"/>
        <v>0</v>
      </c>
      <c r="T51" s="242"/>
      <c r="U51" s="106"/>
      <c r="V51" s="3265">
        <f t="shared" si="25"/>
        <v>0</v>
      </c>
      <c r="X51" s="26"/>
    </row>
    <row r="52" spans="1:24" x14ac:dyDescent="0.35">
      <c r="A52" s="9168"/>
      <c r="B52" s="271" t="s">
        <v>540</v>
      </c>
      <c r="C52" s="271"/>
      <c r="D52" s="184"/>
      <c r="E52" s="141"/>
      <c r="F52" s="168"/>
      <c r="G52" s="141"/>
      <c r="H52" s="245"/>
      <c r="I52" s="106"/>
      <c r="J52" s="518"/>
      <c r="K52" s="141"/>
      <c r="L52" s="102"/>
      <c r="M52" s="268"/>
      <c r="N52" s="141"/>
      <c r="O52" s="245"/>
      <c r="P52" s="106"/>
      <c r="Q52" s="106"/>
      <c r="R52" s="518"/>
      <c r="S52" s="141"/>
      <c r="T52" s="102"/>
      <c r="U52" s="103"/>
      <c r="V52" s="268"/>
      <c r="W52" s="141"/>
      <c r="X52" s="18"/>
    </row>
    <row r="53" spans="1:24" x14ac:dyDescent="0.35">
      <c r="A53" s="9168"/>
      <c r="B53" s="240"/>
      <c r="C53" s="240" t="s">
        <v>2148</v>
      </c>
      <c r="D53" s="197"/>
      <c r="F53" s="111"/>
      <c r="H53" s="112"/>
      <c r="I53" s="113"/>
      <c r="J53" s="476">
        <f t="shared" ref="J53:J60" si="26">IF(H53=0,0,I53/H53)</f>
        <v>0</v>
      </c>
      <c r="L53" s="112"/>
      <c r="M53" s="3265">
        <f t="shared" ref="M53:M62" si="27">L53*J53</f>
        <v>0</v>
      </c>
      <c r="O53" s="112"/>
      <c r="P53" s="920"/>
      <c r="Q53" s="113"/>
      <c r="R53" s="476">
        <f t="shared" ref="R53:R57" si="28">IF(O53=0,0,Q53/O53)</f>
        <v>0</v>
      </c>
      <c r="T53" s="112"/>
      <c r="U53" s="106"/>
      <c r="V53" s="3265">
        <f t="shared" ref="V53:V60" si="29">T53*R53</f>
        <v>0</v>
      </c>
      <c r="X53" s="26"/>
    </row>
    <row r="54" spans="1:24" x14ac:dyDescent="0.35">
      <c r="A54" s="9168"/>
      <c r="B54" s="240"/>
      <c r="C54" s="240" t="s">
        <v>533</v>
      </c>
      <c r="D54" s="197"/>
      <c r="F54" s="155"/>
      <c r="H54" s="117"/>
      <c r="I54" s="115"/>
      <c r="J54" s="476">
        <f t="shared" si="26"/>
        <v>0</v>
      </c>
      <c r="L54" s="117"/>
      <c r="M54" s="3265">
        <f t="shared" si="27"/>
        <v>0</v>
      </c>
      <c r="O54" s="117"/>
      <c r="P54" s="1128"/>
      <c r="Q54" s="115"/>
      <c r="R54" s="476">
        <f t="shared" si="28"/>
        <v>0</v>
      </c>
      <c r="T54" s="117"/>
      <c r="U54" s="106"/>
      <c r="V54" s="3265">
        <f t="shared" si="29"/>
        <v>0</v>
      </c>
      <c r="X54" s="26"/>
    </row>
    <row r="55" spans="1:24" x14ac:dyDescent="0.35">
      <c r="A55" s="9168"/>
      <c r="B55" s="240"/>
      <c r="C55" s="240" t="s">
        <v>534</v>
      </c>
      <c r="D55" s="197"/>
      <c r="F55" s="163"/>
      <c r="H55" s="242"/>
      <c r="I55" s="243"/>
      <c r="J55" s="476">
        <f t="shared" si="26"/>
        <v>0</v>
      </c>
      <c r="L55" s="242"/>
      <c r="M55" s="3265">
        <f t="shared" si="27"/>
        <v>0</v>
      </c>
      <c r="O55" s="242"/>
      <c r="P55" s="1188"/>
      <c r="Q55" s="243"/>
      <c r="R55" s="476">
        <f t="shared" si="28"/>
        <v>0</v>
      </c>
      <c r="T55" s="242"/>
      <c r="U55" s="106"/>
      <c r="V55" s="3265">
        <f t="shared" si="29"/>
        <v>0</v>
      </c>
      <c r="X55" s="26"/>
    </row>
    <row r="56" spans="1:24" x14ac:dyDescent="0.35">
      <c r="A56" s="9168"/>
      <c r="B56" s="240"/>
      <c r="C56" s="240" t="s">
        <v>536</v>
      </c>
      <c r="D56" s="197"/>
      <c r="F56" s="163"/>
      <c r="H56" s="242"/>
      <c r="I56" s="243"/>
      <c r="J56" s="476">
        <f t="shared" si="26"/>
        <v>0</v>
      </c>
      <c r="L56" s="242"/>
      <c r="M56" s="3265">
        <f t="shared" si="27"/>
        <v>0</v>
      </c>
      <c r="O56" s="242"/>
      <c r="P56" s="1188"/>
      <c r="Q56" s="243"/>
      <c r="R56" s="476">
        <f t="shared" si="28"/>
        <v>0</v>
      </c>
      <c r="T56" s="242"/>
      <c r="U56" s="106"/>
      <c r="V56" s="3265">
        <f t="shared" si="29"/>
        <v>0</v>
      </c>
      <c r="X56" s="26"/>
    </row>
    <row r="57" spans="1:24" x14ac:dyDescent="0.35">
      <c r="A57" s="9168"/>
      <c r="B57" s="240"/>
      <c r="C57" s="240" t="s">
        <v>537</v>
      </c>
      <c r="D57" s="197"/>
      <c r="F57" s="163"/>
      <c r="H57" s="242"/>
      <c r="I57" s="243"/>
      <c r="J57" s="476">
        <f t="shared" si="26"/>
        <v>0</v>
      </c>
      <c r="L57" s="242"/>
      <c r="M57" s="3265">
        <f t="shared" si="27"/>
        <v>0</v>
      </c>
      <c r="O57" s="242"/>
      <c r="P57" s="1188"/>
      <c r="Q57" s="243"/>
      <c r="R57" s="476">
        <f t="shared" si="28"/>
        <v>0</v>
      </c>
      <c r="T57" s="242"/>
      <c r="U57" s="106"/>
      <c r="V57" s="3265">
        <f t="shared" si="29"/>
        <v>0</v>
      </c>
      <c r="X57" s="26"/>
    </row>
    <row r="58" spans="1:24" x14ac:dyDescent="0.35">
      <c r="A58" s="9168"/>
      <c r="B58" s="240"/>
      <c r="C58" s="240" t="s">
        <v>538</v>
      </c>
      <c r="D58" s="197"/>
      <c r="F58" s="163"/>
      <c r="H58" s="242"/>
      <c r="I58" s="243"/>
      <c r="J58" s="476"/>
      <c r="L58" s="242"/>
      <c r="M58" s="3265">
        <f t="shared" si="27"/>
        <v>0</v>
      </c>
      <c r="O58" s="242"/>
      <c r="P58" s="1188"/>
      <c r="Q58" s="243"/>
      <c r="R58" s="476"/>
      <c r="T58" s="242"/>
      <c r="U58" s="106"/>
      <c r="V58" s="3265">
        <f t="shared" si="29"/>
        <v>0</v>
      </c>
      <c r="X58" s="26"/>
    </row>
    <row r="59" spans="1:24" x14ac:dyDescent="0.35">
      <c r="A59" s="9168"/>
      <c r="B59" s="240"/>
      <c r="C59" s="240" t="s">
        <v>539</v>
      </c>
      <c r="D59" s="197"/>
      <c r="F59" s="163"/>
      <c r="H59" s="242"/>
      <c r="I59" s="243"/>
      <c r="J59" s="476">
        <f t="shared" si="26"/>
        <v>0</v>
      </c>
      <c r="L59" s="242"/>
      <c r="M59" s="3265">
        <f t="shared" si="27"/>
        <v>0</v>
      </c>
      <c r="O59" s="242"/>
      <c r="P59" s="1188"/>
      <c r="Q59" s="243"/>
      <c r="R59" s="476">
        <f t="shared" ref="R59:R60" si="30">IF(O59=0,0,Q59/O59)</f>
        <v>0</v>
      </c>
      <c r="T59" s="242"/>
      <c r="U59" s="106"/>
      <c r="V59" s="3265">
        <f t="shared" si="29"/>
        <v>0</v>
      </c>
      <c r="X59" s="26"/>
    </row>
    <row r="60" spans="1:24" x14ac:dyDescent="0.35">
      <c r="A60" s="9168"/>
      <c r="B60" s="250"/>
      <c r="C60" s="250" t="s">
        <v>704</v>
      </c>
      <c r="D60" s="209"/>
      <c r="F60" s="130"/>
      <c r="H60" s="242"/>
      <c r="I60" s="243"/>
      <c r="J60" s="476">
        <f t="shared" si="26"/>
        <v>0</v>
      </c>
      <c r="L60" s="242"/>
      <c r="M60" s="3265">
        <f t="shared" si="27"/>
        <v>0</v>
      </c>
      <c r="O60" s="242"/>
      <c r="P60" s="1188"/>
      <c r="Q60" s="243"/>
      <c r="R60" s="476">
        <f t="shared" si="30"/>
        <v>0</v>
      </c>
      <c r="T60" s="242"/>
      <c r="U60" s="106"/>
      <c r="V60" s="3265">
        <f t="shared" si="29"/>
        <v>0</v>
      </c>
      <c r="X60" s="24"/>
    </row>
    <row r="61" spans="1:24" x14ac:dyDescent="0.35">
      <c r="A61" s="9168"/>
      <c r="B61" s="271" t="s">
        <v>552</v>
      </c>
      <c r="C61" s="271"/>
      <c r="D61" s="184"/>
      <c r="E61" s="143"/>
      <c r="F61" s="227"/>
      <c r="G61" s="143"/>
      <c r="H61" s="102"/>
      <c r="I61" s="103"/>
      <c r="J61" s="228"/>
      <c r="K61" s="143"/>
      <c r="L61" s="102"/>
      <c r="M61" s="268"/>
      <c r="N61" s="143"/>
      <c r="O61" s="102"/>
      <c r="P61" s="103"/>
      <c r="Q61" s="103"/>
      <c r="R61" s="228"/>
      <c r="S61" s="143"/>
      <c r="T61" s="102"/>
      <c r="U61" s="103"/>
      <c r="V61" s="268"/>
      <c r="W61" s="143"/>
      <c r="X61" s="18"/>
    </row>
    <row r="62" spans="1:24" x14ac:dyDescent="0.35">
      <c r="A62" s="9168"/>
      <c r="B62" s="272"/>
      <c r="C62" s="272" t="s">
        <v>980</v>
      </c>
      <c r="D62" s="197"/>
      <c r="F62" s="155"/>
      <c r="H62" s="117"/>
      <c r="I62" s="115"/>
      <c r="J62" s="476">
        <f t="shared" ref="J62" si="31">IF(H62=0,0,I62/H62)</f>
        <v>0</v>
      </c>
      <c r="L62" s="117"/>
      <c r="M62" s="3265">
        <f t="shared" si="27"/>
        <v>0</v>
      </c>
      <c r="O62" s="117"/>
      <c r="P62" s="1128"/>
      <c r="Q62" s="115"/>
      <c r="R62" s="476">
        <f t="shared" ref="R62" si="32">IF(O62=0,0,Q62/O62)</f>
        <v>0</v>
      </c>
      <c r="T62" s="117"/>
      <c r="U62" s="106"/>
      <c r="V62" s="3265">
        <f t="shared" ref="V62" si="33">T62*R62</f>
        <v>0</v>
      </c>
      <c r="X62" s="26"/>
    </row>
    <row r="63" spans="1:24" x14ac:dyDescent="0.35">
      <c r="A63" s="9168"/>
      <c r="B63" s="277"/>
      <c r="C63" s="277" t="s">
        <v>555</v>
      </c>
      <c r="D63" s="209"/>
      <c r="F63" s="665"/>
      <c r="G63" s="666"/>
      <c r="H63" s="283"/>
      <c r="I63" s="667"/>
      <c r="J63" s="484"/>
      <c r="L63" s="283"/>
      <c r="M63" s="3265"/>
      <c r="O63" s="283"/>
      <c r="P63" s="7117"/>
      <c r="Q63" s="667"/>
      <c r="R63" s="484"/>
      <c r="T63" s="283"/>
      <c r="U63" s="3329"/>
      <c r="V63" s="3265"/>
      <c r="X63" s="24"/>
    </row>
    <row r="64" spans="1:24" ht="15.25" customHeight="1" x14ac:dyDescent="0.35">
      <c r="A64" s="9168"/>
      <c r="B64" s="139" t="s">
        <v>556</v>
      </c>
      <c r="C64" s="908"/>
      <c r="D64" s="184"/>
      <c r="E64" s="143"/>
      <c r="F64" s="1387"/>
      <c r="G64" s="290"/>
      <c r="H64" s="1388"/>
      <c r="I64" s="520"/>
      <c r="J64" s="293"/>
      <c r="L64" s="1388"/>
      <c r="M64" s="268"/>
      <c r="N64" s="143"/>
      <c r="O64" s="1388"/>
      <c r="P64" s="520"/>
      <c r="Q64" s="520"/>
      <c r="R64" s="293"/>
      <c r="T64" s="1388"/>
      <c r="U64" s="103"/>
      <c r="V64" s="268"/>
      <c r="W64" s="143"/>
      <c r="X64" s="18"/>
    </row>
    <row r="65" spans="1:24" x14ac:dyDescent="0.35">
      <c r="A65" s="9168"/>
      <c r="B65" s="302"/>
      <c r="C65" s="59" t="s">
        <v>2149</v>
      </c>
      <c r="D65" s="197"/>
      <c r="F65" s="61">
        <v>655.42</v>
      </c>
      <c r="G65" s="272"/>
      <c r="H65" s="62">
        <v>307.95985000000002</v>
      </c>
      <c r="I65" s="63">
        <v>1125.0999999999999</v>
      </c>
      <c r="J65" s="6595">
        <f t="shared" ref="J65:J68" si="34">IF(H65=0,0,I65/H65)</f>
        <v>3.6533983244893768</v>
      </c>
      <c r="L65" s="62">
        <v>229.5</v>
      </c>
      <c r="M65" s="301">
        <v>303.5</v>
      </c>
      <c r="O65" s="62"/>
      <c r="P65" s="1128"/>
      <c r="Q65" s="63"/>
      <c r="R65" s="6595">
        <f t="shared" ref="R65:R68" si="35">IF(O65=0,0,Q65/O65)</f>
        <v>0</v>
      </c>
      <c r="T65" s="62"/>
      <c r="U65" s="106"/>
      <c r="V65" s="301"/>
      <c r="X65" s="26" t="s">
        <v>2150</v>
      </c>
    </row>
    <row r="66" spans="1:24" x14ac:dyDescent="0.35">
      <c r="A66" s="9168"/>
      <c r="B66" s="302"/>
      <c r="C66" s="59" t="s">
        <v>2151</v>
      </c>
      <c r="D66" s="197"/>
      <c r="F66" s="61">
        <v>1385.6715000000002</v>
      </c>
      <c r="G66" s="272"/>
      <c r="H66" s="62">
        <v>939.99600000000009</v>
      </c>
      <c r="I66" s="63">
        <v>751.99680000000001</v>
      </c>
      <c r="J66" s="6595">
        <f t="shared" si="34"/>
        <v>0.79999999999999993</v>
      </c>
      <c r="L66" s="62">
        <v>684.2</v>
      </c>
      <c r="M66" s="301">
        <v>547.36000000000013</v>
      </c>
      <c r="O66" s="62"/>
      <c r="P66" s="1128"/>
      <c r="Q66" s="63"/>
      <c r="R66" s="6595">
        <f t="shared" si="35"/>
        <v>0</v>
      </c>
      <c r="T66" s="62"/>
      <c r="U66" s="106"/>
      <c r="V66" s="301"/>
      <c r="X66" s="26"/>
    </row>
    <row r="67" spans="1:24" x14ac:dyDescent="0.35">
      <c r="A67" s="9168"/>
      <c r="B67" s="305"/>
      <c r="C67" s="59" t="s">
        <v>534</v>
      </c>
      <c r="D67" s="197"/>
      <c r="F67" s="61"/>
      <c r="G67" s="272"/>
      <c r="H67" s="62"/>
      <c r="I67" s="63"/>
      <c r="J67" s="523">
        <f t="shared" si="34"/>
        <v>0</v>
      </c>
      <c r="L67" s="62"/>
      <c r="M67" s="301"/>
      <c r="O67" s="62"/>
      <c r="P67" s="1128"/>
      <c r="Q67" s="63"/>
      <c r="R67" s="523">
        <f t="shared" si="35"/>
        <v>0</v>
      </c>
      <c r="T67" s="62"/>
      <c r="U67" s="106"/>
      <c r="V67" s="301"/>
      <c r="X67" s="26"/>
    </row>
    <row r="68" spans="1:24" x14ac:dyDescent="0.35">
      <c r="A68" s="9169"/>
      <c r="B68" s="306"/>
      <c r="C68" s="86" t="s">
        <v>536</v>
      </c>
      <c r="D68" s="209"/>
      <c r="F68" s="88"/>
      <c r="G68" s="274"/>
      <c r="H68" s="89"/>
      <c r="I68" s="90"/>
      <c r="J68" s="527">
        <f t="shared" si="34"/>
        <v>0</v>
      </c>
      <c r="L68" s="89"/>
      <c r="M68" s="309"/>
      <c r="O68" s="89"/>
      <c r="P68" s="1197"/>
      <c r="Q68" s="90"/>
      <c r="R68" s="527">
        <f t="shared" si="35"/>
        <v>0</v>
      </c>
      <c r="T68" s="89"/>
      <c r="U68" s="216"/>
      <c r="V68" s="309"/>
      <c r="X68" s="24"/>
    </row>
    <row r="69" spans="1:24" x14ac:dyDescent="0.35">
      <c r="A69" s="310"/>
      <c r="B69" s="310"/>
      <c r="F69" s="106"/>
      <c r="H69" s="106"/>
      <c r="I69" s="106"/>
      <c r="J69" s="558"/>
      <c r="L69" s="106"/>
      <c r="M69" s="312"/>
      <c r="O69" s="106"/>
      <c r="P69" s="106"/>
      <c r="Q69" s="106"/>
      <c r="R69" s="558"/>
      <c r="T69" s="106"/>
      <c r="U69" s="106"/>
      <c r="V69" s="312"/>
    </row>
    <row r="70" spans="1:24" x14ac:dyDescent="0.35">
      <c r="A70" s="9167" t="s">
        <v>566</v>
      </c>
      <c r="B70" s="139" t="s">
        <v>567</v>
      </c>
      <c r="C70" s="348"/>
      <c r="D70" s="49"/>
      <c r="E70" s="141"/>
      <c r="F70" s="227"/>
      <c r="G70" s="141"/>
      <c r="H70" s="102"/>
      <c r="I70" s="103"/>
      <c r="J70" s="228"/>
      <c r="K70" s="141"/>
      <c r="L70" s="102"/>
      <c r="M70" s="268"/>
      <c r="N70" s="141"/>
      <c r="O70" s="102"/>
      <c r="P70" s="103"/>
      <c r="Q70" s="103"/>
      <c r="R70" s="228"/>
      <c r="S70" s="141"/>
      <c r="T70" s="102"/>
      <c r="U70" s="103"/>
      <c r="V70" s="268"/>
      <c r="W70" s="141"/>
    </row>
    <row r="71" spans="1:24" x14ac:dyDescent="0.35">
      <c r="A71" s="9168"/>
      <c r="B71" s="6082"/>
      <c r="C71"/>
      <c r="D71" s="110" t="s">
        <v>568</v>
      </c>
      <c r="F71" s="349">
        <f>SUM(F31:F35)-SUM(F37:F39)</f>
        <v>23369.185868469998</v>
      </c>
      <c r="G71" s="350"/>
      <c r="H71" s="351">
        <f t="shared" ref="H71:I71" si="36">SUM(H31:H35)-SUM(H37:H39)</f>
        <v>44799.872069999998</v>
      </c>
      <c r="I71" s="352">
        <f t="shared" si="36"/>
        <v>42515.316800000001</v>
      </c>
      <c r="J71" s="246"/>
      <c r="K71" s="350"/>
      <c r="L71" s="351">
        <f>SUM(L31:L35)-SUM(L37:L39)</f>
        <v>49929.729999999996</v>
      </c>
      <c r="M71" s="353">
        <f>SUM(M31:M35)-SUM(M37:M39)</f>
        <v>54823.539999999994</v>
      </c>
      <c r="O71" s="351">
        <f>SUM(O31:O35)-SUM(O37:O39)</f>
        <v>45849.8</v>
      </c>
      <c r="P71" s="352"/>
      <c r="Q71" s="352">
        <f t="shared" ref="Q71" si="37">SUM(Q31:Q35)-SUM(Q37:Q39)</f>
        <v>0</v>
      </c>
      <c r="R71" s="246"/>
      <c r="S71" s="350"/>
      <c r="T71" s="351">
        <f>SUM(T31:T35)-SUM(T37:T39)</f>
        <v>43314.5</v>
      </c>
      <c r="U71" s="352"/>
      <c r="V71" s="353">
        <f>SUM(V31:V35)-SUM(V37:V39)</f>
        <v>0</v>
      </c>
    </row>
    <row r="72" spans="1:24" x14ac:dyDescent="0.35">
      <c r="A72" s="9168"/>
      <c r="B72" s="6082"/>
      <c r="C72"/>
      <c r="D72" s="110" t="str">
        <f>B40</f>
        <v>Subvented organizations</v>
      </c>
      <c r="F72" s="349">
        <f>SUM(F41:F51)</f>
        <v>0</v>
      </c>
      <c r="G72" s="350"/>
      <c r="H72" s="351">
        <f>SUM(H41:H51)</f>
        <v>0</v>
      </c>
      <c r="I72" s="352">
        <f>SUM(I41:I51)</f>
        <v>0</v>
      </c>
      <c r="J72" s="246"/>
      <c r="K72" s="350"/>
      <c r="L72" s="351">
        <f>SUM(L41:L51)</f>
        <v>0</v>
      </c>
      <c r="M72" s="353">
        <f>SUM(M41:M51)</f>
        <v>0</v>
      </c>
      <c r="O72" s="351">
        <f>SUM(O41:O51)</f>
        <v>0</v>
      </c>
      <c r="P72" s="352"/>
      <c r="Q72" s="352">
        <f>SUM(Q41:Q51)</f>
        <v>0</v>
      </c>
      <c r="R72" s="246"/>
      <c r="S72" s="350"/>
      <c r="T72" s="351">
        <f>SUM(T41:T51)</f>
        <v>0</v>
      </c>
      <c r="U72" s="352"/>
      <c r="V72" s="353">
        <f>SUM(V41:V51)</f>
        <v>0</v>
      </c>
    </row>
    <row r="73" spans="1:24" x14ac:dyDescent="0.35">
      <c r="A73" s="9168"/>
      <c r="B73" s="6082"/>
      <c r="C73"/>
      <c r="D73" s="110" t="s">
        <v>570</v>
      </c>
      <c r="F73" s="349">
        <f>SUM(F53:F60)*F26</f>
        <v>0</v>
      </c>
      <c r="G73" s="350"/>
      <c r="H73" s="351">
        <f>SUM(H53:H60)*H26</f>
        <v>0</v>
      </c>
      <c r="I73" s="352">
        <f>SUM(I53:I60)*I26</f>
        <v>0</v>
      </c>
      <c r="J73" s="246"/>
      <c r="K73" s="350"/>
      <c r="L73" s="351">
        <f>SUM(L53:L60)*L26</f>
        <v>0</v>
      </c>
      <c r="M73" s="353">
        <f>SUM(M53:M60)*M26</f>
        <v>0</v>
      </c>
      <c r="O73" s="351">
        <f>SUM(O53:O60)*O26</f>
        <v>0</v>
      </c>
      <c r="P73" s="352"/>
      <c r="Q73" s="352">
        <f>SUM(Q53:Q60)*Q26</f>
        <v>0</v>
      </c>
      <c r="R73" s="246"/>
      <c r="S73" s="350"/>
      <c r="T73" s="351">
        <f>SUM(T53:T60)*T26</f>
        <v>0</v>
      </c>
      <c r="U73" s="352"/>
      <c r="V73" s="353">
        <f>SUM(V53:V60)*V26</f>
        <v>0</v>
      </c>
    </row>
    <row r="74" spans="1:24" x14ac:dyDescent="0.35">
      <c r="A74" s="9168"/>
      <c r="B74" s="6082"/>
      <c r="C74"/>
      <c r="D74" s="110" t="s">
        <v>552</v>
      </c>
      <c r="F74" s="349">
        <f>F62</f>
        <v>0</v>
      </c>
      <c r="G74" s="350"/>
      <c r="H74" s="351">
        <f>H62</f>
        <v>0</v>
      </c>
      <c r="I74" s="352">
        <f>I62</f>
        <v>0</v>
      </c>
      <c r="J74" s="246"/>
      <c r="K74" s="350"/>
      <c r="L74" s="351">
        <f>L62</f>
        <v>0</v>
      </c>
      <c r="M74" s="353">
        <f>M62</f>
        <v>0</v>
      </c>
      <c r="O74" s="351">
        <f>O62</f>
        <v>0</v>
      </c>
      <c r="P74" s="352"/>
      <c r="Q74" s="352">
        <f>Q62</f>
        <v>0</v>
      </c>
      <c r="R74" s="246"/>
      <c r="S74" s="350"/>
      <c r="T74" s="351">
        <f>T62</f>
        <v>0</v>
      </c>
      <c r="U74" s="352"/>
      <c r="V74" s="353">
        <f>V62</f>
        <v>0</v>
      </c>
    </row>
    <row r="75" spans="1:24" x14ac:dyDescent="0.35">
      <c r="A75" s="9168"/>
      <c r="B75" s="6082"/>
      <c r="C75"/>
      <c r="D75" s="356" t="s">
        <v>571</v>
      </c>
      <c r="E75" s="143"/>
      <c r="F75" s="357">
        <f>SUM(F71:F74)</f>
        <v>23369.185868469998</v>
      </c>
      <c r="G75" s="358"/>
      <c r="H75" s="359">
        <f t="shared" ref="H75:I75" si="38">SUM(H71:H74)</f>
        <v>44799.872069999998</v>
      </c>
      <c r="I75" s="360">
        <f t="shared" si="38"/>
        <v>42515.316800000001</v>
      </c>
      <c r="J75" s="361"/>
      <c r="K75" s="358"/>
      <c r="L75" s="359">
        <f t="shared" ref="L75:M75" si="39">SUM(L71:L74)</f>
        <v>49929.729999999996</v>
      </c>
      <c r="M75" s="362">
        <f t="shared" si="39"/>
        <v>54823.539999999994</v>
      </c>
      <c r="N75" s="143"/>
      <c r="O75" s="359">
        <f>SUM(O71:O74)</f>
        <v>45849.8</v>
      </c>
      <c r="P75" s="360"/>
      <c r="Q75" s="360">
        <f t="shared" ref="Q75" si="40">SUM(Q71:Q74)</f>
        <v>0</v>
      </c>
      <c r="R75" s="361"/>
      <c r="S75" s="358"/>
      <c r="T75" s="359">
        <f t="shared" ref="T75:V75" si="41">SUM(T71:T74)</f>
        <v>43314.5</v>
      </c>
      <c r="U75" s="360"/>
      <c r="V75" s="362">
        <f t="shared" si="41"/>
        <v>0</v>
      </c>
      <c r="W75" s="143"/>
    </row>
    <row r="76" spans="1:24" ht="15.5" x14ac:dyDescent="0.35">
      <c r="A76" s="9168"/>
      <c r="B76" s="6082"/>
      <c r="C76"/>
      <c r="D76" s="356" t="s">
        <v>572</v>
      </c>
      <c r="F76" s="559">
        <f>F75/(F16+F18)</f>
        <v>0.25392881160107877</v>
      </c>
      <c r="G76" s="560"/>
      <c r="H76" s="561">
        <f>H75/(H16+H18)</f>
        <v>0.23593350495465346</v>
      </c>
      <c r="I76" s="562">
        <f>I75/(I16+I18)</f>
        <v>0.23401521261680308</v>
      </c>
      <c r="J76" s="563"/>
      <c r="K76" s="560"/>
      <c r="L76" s="561">
        <f>L75/(L16+L18)</f>
        <v>0.22257732653630002</v>
      </c>
      <c r="M76" s="563">
        <f>M75/(M16+M18)</f>
        <v>0.24971589363400187</v>
      </c>
      <c r="O76" s="561">
        <f>O75/(O16+O18)</f>
        <v>0.23969515452955245</v>
      </c>
      <c r="P76" s="7118"/>
      <c r="Q76" s="562">
        <f>Q75/(Q16+Q18)</f>
        <v>0</v>
      </c>
      <c r="R76" s="563"/>
      <c r="S76" s="560"/>
      <c r="T76" s="561">
        <f>T75/(T16+T18)</f>
        <v>0.20498005781058046</v>
      </c>
      <c r="U76" s="7118"/>
      <c r="V76" s="563" t="e">
        <f>V75/(V16+V18)</f>
        <v>#DIV/0!</v>
      </c>
    </row>
    <row r="77" spans="1:24" x14ac:dyDescent="0.35">
      <c r="A77" s="9168"/>
      <c r="B77" s="371"/>
      <c r="C77" s="372"/>
      <c r="D77" s="296" t="s">
        <v>577</v>
      </c>
      <c r="E77" s="374"/>
      <c r="F77" s="1054">
        <f>F75/F12</f>
        <v>0.33809651880269664</v>
      </c>
      <c r="G77" s="958"/>
      <c r="H77" s="1056">
        <f>H75/H12</f>
        <v>0.30333582567504491</v>
      </c>
      <c r="I77" s="953">
        <f>I75/I12</f>
        <v>0.29085661303401444</v>
      </c>
      <c r="J77" s="5419"/>
      <c r="K77" s="958"/>
      <c r="L77" s="1056">
        <f>L75/L12</f>
        <v>0.28212042929096021</v>
      </c>
      <c r="M77" s="1058">
        <f>M75/M12</f>
        <v>0.29382016986417231</v>
      </c>
      <c r="O77" s="1056">
        <f>O75/O12</f>
        <v>0.19496640057286779</v>
      </c>
      <c r="P77" s="7119"/>
      <c r="Q77" s="953">
        <f>Q75/Q12</f>
        <v>0</v>
      </c>
      <c r="R77" s="5419"/>
      <c r="S77" s="958"/>
      <c r="T77" s="1203">
        <f>T75/T12</f>
        <v>0.18374420848028655</v>
      </c>
      <c r="U77" s="3622"/>
      <c r="V77" s="1058" t="e">
        <f>V75/V12</f>
        <v>#DIV/0!</v>
      </c>
    </row>
    <row r="78" spans="1:24" x14ac:dyDescent="0.35">
      <c r="A78" s="9168"/>
      <c r="B78" s="58"/>
      <c r="C78" s="390"/>
      <c r="D78" s="1736"/>
      <c r="E78" s="392"/>
      <c r="F78" s="393"/>
      <c r="G78" s="392"/>
      <c r="H78" s="394"/>
      <c r="I78" s="395"/>
      <c r="J78" s="229"/>
      <c r="K78" s="392"/>
      <c r="L78" s="394"/>
      <c r="M78" s="977"/>
      <c r="O78" s="394"/>
      <c r="P78" s="392"/>
      <c r="Q78" s="395"/>
      <c r="R78" s="229"/>
      <c r="S78" s="392"/>
      <c r="T78" s="396"/>
      <c r="V78" s="977"/>
    </row>
    <row r="79" spans="1:24" x14ac:dyDescent="0.35">
      <c r="A79" s="9168"/>
      <c r="B79" s="58"/>
      <c r="C79" s="390"/>
      <c r="D79" s="59" t="s">
        <v>2152</v>
      </c>
      <c r="E79" s="424"/>
      <c r="F79" s="981">
        <f>F75-SUM(F65:F68)</f>
        <v>21328.09436847</v>
      </c>
      <c r="G79" s="982"/>
      <c r="H79" s="983">
        <f>H75-SUM(H65:H68)</f>
        <v>43551.916219999999</v>
      </c>
      <c r="I79" s="979">
        <f>I75-SUM(I65:I68)</f>
        <v>40638.22</v>
      </c>
      <c r="J79" s="246"/>
      <c r="K79" s="982"/>
      <c r="L79" s="983">
        <f>L75-SUM(L65:L68)</f>
        <v>49016.03</v>
      </c>
      <c r="M79" s="984">
        <f>M75-SUM(M65:M68)</f>
        <v>53972.679999999993</v>
      </c>
      <c r="O79" s="983">
        <f>O75-SUM(O65:O68)</f>
        <v>45849.8</v>
      </c>
      <c r="P79" s="7120"/>
      <c r="Q79" s="979">
        <f>Q75-SUM(Q65:Q68)</f>
        <v>0</v>
      </c>
      <c r="R79" s="246"/>
      <c r="S79" s="982"/>
      <c r="T79" s="986">
        <f>T75-SUM(T65:T68)</f>
        <v>43314.5</v>
      </c>
      <c r="U79" s="985"/>
      <c r="V79" s="984">
        <f>V75-SUM(V65:V68)</f>
        <v>0</v>
      </c>
    </row>
    <row r="80" spans="1:24" x14ac:dyDescent="0.35">
      <c r="A80" s="9169"/>
      <c r="B80" s="85"/>
      <c r="C80" s="432"/>
      <c r="D80" s="86" t="s">
        <v>2153</v>
      </c>
      <c r="E80" s="274"/>
      <c r="F80" s="702">
        <f>F79/F12</f>
        <v>0.3085667810278413</v>
      </c>
      <c r="G80" s="460"/>
      <c r="H80" s="704">
        <f>H79/H12</f>
        <v>0.29488603105120614</v>
      </c>
      <c r="I80" s="705">
        <f>I79/I12</f>
        <v>0.27801498186016449</v>
      </c>
      <c r="J80" s="988"/>
      <c r="K80" s="460"/>
      <c r="L80" s="704">
        <f>L79/L12</f>
        <v>0.27695770487320048</v>
      </c>
      <c r="M80" s="708">
        <f>M79/M12</f>
        <v>0.2892600880137367</v>
      </c>
      <c r="O80" s="704">
        <f>O79/O12</f>
        <v>0.19496640057286779</v>
      </c>
      <c r="P80" s="7121"/>
      <c r="Q80" s="705">
        <f>Q79/Q12</f>
        <v>0</v>
      </c>
      <c r="R80" s="988"/>
      <c r="S80" s="460"/>
      <c r="T80" s="707">
        <f>T79/T12</f>
        <v>0.18374420848028655</v>
      </c>
      <c r="U80" s="989"/>
      <c r="V80" s="708" t="e">
        <f>V79/V12</f>
        <v>#DIV/0!</v>
      </c>
    </row>
    <row r="81" spans="1:24" s="462" customFormat="1" ht="12" x14ac:dyDescent="0.3">
      <c r="C81" s="456"/>
      <c r="D81" s="2"/>
      <c r="E81" s="456"/>
      <c r="F81" s="456"/>
      <c r="G81" s="456"/>
      <c r="H81" s="459"/>
      <c r="I81" s="459"/>
      <c r="J81" s="7"/>
      <c r="K81" s="456"/>
      <c r="N81" s="456"/>
      <c r="O81" s="459"/>
      <c r="P81" s="459"/>
      <c r="Q81" s="459"/>
      <c r="R81" s="7"/>
      <c r="S81" s="456"/>
      <c r="W81" s="456"/>
    </row>
    <row r="82" spans="1:24" s="462" customFormat="1" ht="12" x14ac:dyDescent="0.3">
      <c r="A82" s="455" t="s">
        <v>582</v>
      </c>
      <c r="B82" s="455"/>
      <c r="C82" s="456"/>
      <c r="D82" s="2"/>
      <c r="E82" s="456"/>
      <c r="F82" s="456"/>
      <c r="G82" s="456"/>
      <c r="H82" s="459"/>
      <c r="I82" s="459"/>
      <c r="J82" s="7"/>
      <c r="K82" s="456"/>
      <c r="N82" s="456"/>
      <c r="O82" s="459"/>
      <c r="P82" s="459"/>
      <c r="Q82" s="459"/>
      <c r="R82" s="7"/>
      <c r="S82" s="456"/>
      <c r="W82" s="456"/>
    </row>
    <row r="83" spans="1:24" s="462" customFormat="1" ht="12" customHeight="1" x14ac:dyDescent="0.3">
      <c r="A83" s="463">
        <v>1</v>
      </c>
      <c r="B83" s="464">
        <f>X16</f>
        <v>0</v>
      </c>
      <c r="D83" s="709"/>
      <c r="E83" s="466"/>
      <c r="F83" s="466"/>
      <c r="G83" s="466"/>
      <c r="H83" s="466"/>
      <c r="I83" s="466"/>
      <c r="J83" s="467"/>
      <c r="K83" s="466"/>
      <c r="L83" s="466"/>
      <c r="M83" s="466"/>
      <c r="N83" s="456"/>
      <c r="O83" s="466"/>
      <c r="P83" s="466"/>
      <c r="Q83" s="466"/>
      <c r="R83" s="467"/>
      <c r="S83" s="466"/>
      <c r="T83" s="466"/>
      <c r="U83" s="466"/>
      <c r="V83" s="466"/>
      <c r="W83" s="456"/>
      <c r="X83" s="577"/>
    </row>
    <row r="84" spans="1:24" s="462" customFormat="1" ht="12" x14ac:dyDescent="0.3">
      <c r="A84" s="468">
        <v>2</v>
      </c>
      <c r="B84" s="469">
        <f>X18</f>
        <v>0</v>
      </c>
      <c r="D84" s="2"/>
      <c r="E84" s="456"/>
      <c r="F84" s="456"/>
      <c r="G84" s="456"/>
      <c r="H84" s="459"/>
      <c r="I84" s="459"/>
      <c r="J84" s="7"/>
      <c r="K84" s="456"/>
      <c r="N84" s="456"/>
      <c r="O84" s="459"/>
      <c r="P84" s="459"/>
      <c r="Q84" s="459"/>
      <c r="R84" s="7"/>
      <c r="S84" s="456"/>
      <c r="W84" s="456"/>
      <c r="X84" s="577"/>
    </row>
    <row r="85" spans="1:24" s="462" customFormat="1" ht="12" x14ac:dyDescent="0.3">
      <c r="A85" s="463">
        <v>3</v>
      </c>
      <c r="B85" s="469">
        <f>X22</f>
        <v>0</v>
      </c>
      <c r="D85" s="2"/>
      <c r="E85" s="456"/>
      <c r="F85" s="456"/>
      <c r="G85" s="456"/>
      <c r="H85" s="459"/>
      <c r="I85" s="459"/>
      <c r="J85" s="7"/>
      <c r="K85" s="456"/>
      <c r="N85" s="456"/>
      <c r="O85" s="459"/>
      <c r="P85" s="459"/>
      <c r="Q85" s="459"/>
      <c r="R85" s="7"/>
      <c r="S85" s="456"/>
      <c r="W85" s="456"/>
      <c r="X85" s="577"/>
    </row>
    <row r="86" spans="1:24" s="462" customFormat="1" ht="12" x14ac:dyDescent="0.3">
      <c r="A86" s="468">
        <v>4</v>
      </c>
      <c r="B86" s="469">
        <f>X24</f>
        <v>0</v>
      </c>
      <c r="D86" s="2"/>
      <c r="E86" s="456"/>
      <c r="F86" s="456"/>
      <c r="G86" s="456"/>
      <c r="H86" s="459"/>
      <c r="I86" s="459"/>
      <c r="J86" s="7"/>
      <c r="K86" s="456"/>
      <c r="N86" s="456"/>
      <c r="O86" s="459"/>
      <c r="P86" s="459"/>
      <c r="Q86" s="459"/>
      <c r="R86" s="7"/>
      <c r="S86" s="456"/>
      <c r="W86" s="456"/>
      <c r="X86" s="577"/>
    </row>
    <row r="87" spans="1:24" s="462" customFormat="1" ht="12" x14ac:dyDescent="0.3">
      <c r="A87" s="463">
        <v>5</v>
      </c>
      <c r="B87" s="469">
        <f>X27</f>
        <v>0</v>
      </c>
      <c r="D87" s="2"/>
      <c r="E87" s="456"/>
      <c r="F87" s="456"/>
      <c r="G87" s="456"/>
      <c r="H87" s="459"/>
      <c r="I87" s="459"/>
      <c r="J87" s="7"/>
      <c r="K87" s="456"/>
      <c r="N87" s="456"/>
      <c r="O87" s="459"/>
      <c r="P87" s="459"/>
      <c r="Q87" s="459"/>
      <c r="R87" s="7"/>
      <c r="S87" s="456"/>
      <c r="W87" s="456"/>
      <c r="X87" s="577"/>
    </row>
    <row r="88" spans="1:24" s="462" customFormat="1" ht="12" x14ac:dyDescent="0.3">
      <c r="A88" s="468">
        <v>6</v>
      </c>
      <c r="B88" s="469" t="str">
        <f>X65</f>
        <v xml:space="preserve">Development part 1 </v>
      </c>
      <c r="D88" s="2"/>
      <c r="E88" s="456"/>
      <c r="F88" s="456"/>
      <c r="G88" s="456"/>
      <c r="H88" s="459"/>
      <c r="I88" s="459"/>
      <c r="J88" s="7"/>
      <c r="K88" s="456"/>
      <c r="N88" s="456"/>
      <c r="O88" s="459"/>
      <c r="P88" s="459"/>
      <c r="Q88" s="459"/>
      <c r="R88" s="7"/>
      <c r="S88" s="456"/>
      <c r="W88" s="456"/>
      <c r="X88" s="577"/>
    </row>
    <row r="89" spans="1:24" s="462" customFormat="1" ht="12" x14ac:dyDescent="0.3">
      <c r="A89" s="468"/>
      <c r="B89" s="469"/>
      <c r="D89" s="2"/>
      <c r="E89" s="456"/>
      <c r="F89" s="456"/>
      <c r="G89" s="456"/>
      <c r="H89" s="459"/>
      <c r="I89" s="459"/>
      <c r="J89" s="7"/>
      <c r="K89" s="456"/>
      <c r="N89" s="456"/>
      <c r="O89" s="459"/>
      <c r="P89" s="459"/>
      <c r="Q89" s="459"/>
      <c r="R89" s="7"/>
      <c r="S89" s="456"/>
      <c r="W89" s="456"/>
      <c r="X89" s="577"/>
    </row>
    <row r="90" spans="1:24" s="462" customFormat="1" ht="12" x14ac:dyDescent="0.3">
      <c r="A90" s="468"/>
      <c r="B90" s="469"/>
      <c r="D90" s="2"/>
      <c r="E90" s="456"/>
      <c r="F90" s="456"/>
      <c r="G90" s="456"/>
      <c r="H90" s="459"/>
      <c r="I90" s="459"/>
      <c r="J90" s="7"/>
      <c r="K90" s="456"/>
      <c r="N90" s="456"/>
      <c r="O90" s="459"/>
      <c r="P90" s="459"/>
      <c r="Q90" s="459"/>
      <c r="R90" s="7"/>
      <c r="S90" s="456"/>
      <c r="W90" s="456"/>
      <c r="X90" s="577"/>
    </row>
    <row r="91" spans="1:24" s="462" customFormat="1" ht="12" x14ac:dyDescent="0.3">
      <c r="A91" s="468"/>
      <c r="B91" s="469"/>
      <c r="D91" s="2"/>
      <c r="E91" s="456"/>
      <c r="F91" s="456"/>
      <c r="G91" s="456"/>
      <c r="H91" s="459"/>
      <c r="I91" s="459"/>
      <c r="J91" s="7"/>
      <c r="K91" s="456"/>
      <c r="N91" s="456"/>
      <c r="O91" s="459"/>
      <c r="P91" s="459"/>
      <c r="Q91" s="459"/>
      <c r="R91" s="7"/>
      <c r="S91" s="456"/>
      <c r="W91" s="456"/>
      <c r="X91" s="577"/>
    </row>
    <row r="92" spans="1:24" s="462" customFormat="1" ht="12" x14ac:dyDescent="0.3">
      <c r="A92" s="468"/>
      <c r="B92" s="469"/>
      <c r="D92" s="2"/>
      <c r="E92" s="456"/>
      <c r="F92" s="456"/>
      <c r="G92" s="456"/>
      <c r="H92" s="459"/>
      <c r="I92" s="459"/>
      <c r="J92" s="7"/>
      <c r="K92" s="456"/>
      <c r="N92" s="456"/>
      <c r="O92" s="459"/>
      <c r="P92" s="459"/>
      <c r="Q92" s="459"/>
      <c r="R92" s="7"/>
      <c r="S92" s="456"/>
      <c r="W92" s="456"/>
      <c r="X92" s="577"/>
    </row>
    <row r="93" spans="1:24" s="462" customFormat="1" ht="12" x14ac:dyDescent="0.3">
      <c r="A93" s="468"/>
      <c r="B93" s="469"/>
      <c r="D93" s="2"/>
      <c r="E93" s="456"/>
      <c r="F93" s="456"/>
      <c r="G93" s="456"/>
      <c r="H93" s="459"/>
      <c r="I93" s="459"/>
      <c r="J93" s="7"/>
      <c r="K93" s="456"/>
      <c r="N93" s="456"/>
      <c r="O93" s="459"/>
      <c r="P93" s="459"/>
      <c r="Q93" s="459"/>
      <c r="R93" s="7"/>
      <c r="S93" s="456"/>
      <c r="W93" s="456"/>
      <c r="X93" s="577"/>
    </row>
    <row r="94" spans="1:24" s="462" customFormat="1" ht="12" x14ac:dyDescent="0.3">
      <c r="A94" s="468"/>
      <c r="B94" s="469"/>
      <c r="D94" s="2"/>
      <c r="E94" s="456"/>
      <c r="F94" s="456"/>
      <c r="G94" s="456"/>
      <c r="H94" s="459"/>
      <c r="I94" s="459"/>
      <c r="J94" s="7"/>
      <c r="K94" s="456"/>
      <c r="N94" s="456"/>
      <c r="O94" s="459"/>
      <c r="P94" s="459"/>
      <c r="Q94" s="459"/>
      <c r="R94" s="7"/>
      <c r="S94" s="456"/>
      <c r="W94" s="456"/>
      <c r="X94" s="577"/>
    </row>
    <row r="95" spans="1:24" s="462" customFormat="1" ht="12" x14ac:dyDescent="0.3">
      <c r="A95" s="468"/>
      <c r="B95" s="469"/>
      <c r="D95" s="2"/>
      <c r="E95" s="456"/>
      <c r="F95" s="456"/>
      <c r="G95" s="456"/>
      <c r="H95" s="459"/>
      <c r="I95" s="459"/>
      <c r="J95" s="7"/>
      <c r="K95" s="456"/>
      <c r="N95" s="456"/>
      <c r="O95" s="459"/>
      <c r="P95" s="459"/>
      <c r="Q95" s="459"/>
      <c r="R95" s="7"/>
      <c r="S95" s="456"/>
      <c r="W95" s="456"/>
      <c r="X95" s="577"/>
    </row>
    <row r="96" spans="1:24" s="462" customFormat="1" ht="12" x14ac:dyDescent="0.3">
      <c r="A96" s="468"/>
      <c r="B96" s="469"/>
      <c r="D96" s="2"/>
      <c r="E96" s="456"/>
      <c r="F96" s="456"/>
      <c r="G96" s="456"/>
      <c r="H96" s="459"/>
      <c r="I96" s="459"/>
      <c r="J96" s="7"/>
      <c r="K96" s="456"/>
      <c r="N96" s="456"/>
      <c r="O96" s="459"/>
      <c r="P96" s="459"/>
      <c r="Q96" s="459"/>
      <c r="R96" s="7"/>
      <c r="S96" s="456"/>
      <c r="W96" s="456"/>
      <c r="X96" s="577"/>
    </row>
    <row r="97" spans="1:24" s="462" customFormat="1" ht="12" x14ac:dyDescent="0.3">
      <c r="A97" s="455" t="s">
        <v>583</v>
      </c>
      <c r="B97" s="455"/>
      <c r="C97" s="456"/>
      <c r="D97" s="2"/>
      <c r="E97" s="456"/>
      <c r="F97" s="456"/>
      <c r="G97" s="456"/>
      <c r="H97" s="459"/>
      <c r="I97" s="459"/>
      <c r="J97" s="7"/>
      <c r="K97" s="456"/>
      <c r="N97" s="456"/>
      <c r="O97" s="459"/>
      <c r="P97" s="459"/>
      <c r="Q97" s="459"/>
      <c r="R97" s="7"/>
      <c r="S97" s="456"/>
      <c r="W97" s="456"/>
      <c r="X97" s="577"/>
    </row>
    <row r="98" spans="1:24" s="462" customFormat="1" ht="93" customHeight="1" x14ac:dyDescent="0.3">
      <c r="A98" s="9170"/>
      <c r="B98" s="9171"/>
      <c r="C98" s="9171"/>
      <c r="D98" s="9171"/>
      <c r="E98" s="9171"/>
      <c r="F98" s="9171"/>
      <c r="G98" s="9171"/>
      <c r="H98" s="9171"/>
      <c r="I98" s="9171"/>
      <c r="J98" s="9171"/>
      <c r="K98" s="9171"/>
      <c r="L98" s="9171"/>
      <c r="M98" s="9172"/>
      <c r="N98" s="456"/>
      <c r="O98" s="456"/>
      <c r="P98" s="456"/>
      <c r="Q98" s="456"/>
      <c r="R98" s="456"/>
      <c r="S98" s="456"/>
      <c r="T98" s="456"/>
      <c r="U98" s="456"/>
      <c r="V98" s="456"/>
      <c r="W98" s="456"/>
      <c r="X98" s="577"/>
    </row>
  </sheetData>
  <mergeCells count="25">
    <mergeCell ref="F1:M1"/>
    <mergeCell ref="O1:V1"/>
    <mergeCell ref="H4:J4"/>
    <mergeCell ref="L4:M4"/>
    <mergeCell ref="O4:R4"/>
    <mergeCell ref="T4:V4"/>
    <mergeCell ref="O7:Q7"/>
    <mergeCell ref="R7:R8"/>
    <mergeCell ref="T7:V7"/>
    <mergeCell ref="X4:X5"/>
    <mergeCell ref="H5:J5"/>
    <mergeCell ref="L5:M5"/>
    <mergeCell ref="O5:R5"/>
    <mergeCell ref="T5:V5"/>
    <mergeCell ref="H6:J6"/>
    <mergeCell ref="L6:M6"/>
    <mergeCell ref="O6:R6"/>
    <mergeCell ref="T6:V6"/>
    <mergeCell ref="A10:A27"/>
    <mergeCell ref="A29:A68"/>
    <mergeCell ref="A70:A80"/>
    <mergeCell ref="A98:M98"/>
    <mergeCell ref="H7:I7"/>
    <mergeCell ref="J7:J8"/>
    <mergeCell ref="L7:M7"/>
  </mergeCells>
  <hyperlinks>
    <hyperlink ref="P10" r:id="rId1" xr:uid="{4A490E60-3F02-4DCC-A4B1-37B46995D2C6}"/>
    <hyperlink ref="U10" r:id="rId2" xr:uid="{70245439-F535-44C7-A046-98622D93A7FE}"/>
  </hyperlinks>
  <pageMargins left="0.23622047244094491" right="0.23622047244094491" top="0.35433070866141736" bottom="0.35433070866141736" header="0.31496062992125984" footer="0.31496062992125984"/>
  <pageSetup paperSize="9" scale="51" orientation="portrait" horizontalDpi="4294967293" r:id="rId3"/>
  <headerFooter>
    <oddFooter>&amp;R&amp;1#&amp;"Calibri"&amp;12&amp;K000000Official Use</oddFooter>
  </headerFooter>
  <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J98"/>
  <sheetViews>
    <sheetView topLeftCell="A7" zoomScale="68" workbookViewId="0">
      <pane xSplit="4" topLeftCell="V1" activePane="topRight" state="frozen"/>
      <selection activeCell="A68" sqref="A68"/>
      <selection pane="topRight" activeCell="AC72" sqref="AC72"/>
    </sheetView>
  </sheetViews>
  <sheetFormatPr defaultColWidth="9.1796875" defaultRowHeight="14.5" x14ac:dyDescent="0.35"/>
  <cols>
    <col min="1" max="1" width="6.6328125" style="1828" customWidth="1"/>
    <col min="2" max="2" width="19.1796875" style="1828" customWidth="1"/>
    <col min="3" max="3" width="27.1796875" style="30" customWidth="1"/>
    <col min="4" max="4" width="4.6328125" style="1829" customWidth="1"/>
    <col min="5" max="5" width="1.6328125" style="30" customWidth="1"/>
    <col min="6" max="6" width="21.6328125" style="30" customWidth="1"/>
    <col min="7" max="7" width="1.6328125" style="30" customWidth="1"/>
    <col min="8" max="8" width="16.6328125" style="14" customWidth="1"/>
    <col min="9" max="9" width="19.1796875" style="14" customWidth="1"/>
    <col min="10" max="10" width="8.6328125" style="3508" customWidth="1"/>
    <col min="11" max="11" width="1.6328125" style="30" customWidth="1"/>
    <col min="12" max="13" width="21.6328125" style="1828" customWidth="1"/>
    <col min="14" max="14" width="1.6328125" style="30" customWidth="1"/>
    <col min="15" max="15" width="17.453125" style="30" customWidth="1"/>
    <col min="16" max="16" width="17.1796875" style="30" customWidth="1"/>
    <col min="17" max="17" width="23.81640625" style="1110" customWidth="1"/>
    <col min="18" max="18" width="8.81640625" style="4133" customWidth="1"/>
    <col min="19" max="19" width="21.453125" style="1828" customWidth="1"/>
    <col min="20" max="20" width="19.453125" style="1828" customWidth="1"/>
    <col min="21" max="21" width="21.1796875" style="1110" customWidth="1"/>
    <col min="22" max="22" width="13.6328125" style="1828" customWidth="1"/>
    <col min="23" max="23" width="2.81640625" style="1828" customWidth="1"/>
    <col min="24" max="24" width="24.81640625" style="1828" customWidth="1"/>
    <col min="25" max="25" width="23.81640625" style="1110" customWidth="1"/>
    <col min="26" max="26" width="21.6328125" style="1828" customWidth="1"/>
    <col min="27" max="27" width="2.81640625" style="1828" customWidth="1"/>
    <col min="28" max="29" width="25.81640625" style="1828" customWidth="1"/>
    <col min="30" max="30" width="23.81640625" style="1110" customWidth="1"/>
    <col min="31" max="31" width="13.6328125" style="1828" customWidth="1"/>
    <col min="32" max="32" width="2.81640625" style="1828" customWidth="1"/>
    <col min="33" max="33" width="24.81640625" style="1828" customWidth="1"/>
    <col min="34" max="34" width="23.81640625" style="1110" customWidth="1"/>
    <col min="35" max="35" width="21.6328125" style="1828" customWidth="1"/>
    <col min="36" max="36" width="2.81640625" style="1828" customWidth="1"/>
    <col min="37" max="38" width="25.81640625" style="1828" customWidth="1"/>
    <col min="39" max="39" width="24.36328125" style="1110" customWidth="1"/>
    <col min="40" max="40" width="13.6328125" style="1828" customWidth="1"/>
    <col min="41" max="41" width="2.81640625" style="1828" customWidth="1"/>
    <col min="42" max="42" width="24.81640625" style="1828" customWidth="1"/>
    <col min="43" max="43" width="23.81640625" style="1110" customWidth="1"/>
    <col min="44" max="44" width="21.6328125" style="1828" customWidth="1"/>
    <col min="45" max="45" width="2.453125" style="1828" customWidth="1"/>
    <col min="46" max="47" width="25.81640625" style="1828" customWidth="1"/>
    <col min="48" max="48" width="24.36328125" style="1110" customWidth="1"/>
    <col min="49" max="49" width="11.453125" style="1828" customWidth="1"/>
    <col min="50" max="50" width="2.81640625" style="1828" customWidth="1"/>
    <col min="51" max="51" width="24.81640625" style="1828" customWidth="1"/>
    <col min="52" max="52" width="23.81640625" style="1110" customWidth="1"/>
    <col min="53" max="53" width="21.6328125" style="1828" customWidth="1"/>
    <col min="54" max="54" width="8.453125" style="1828" customWidth="1"/>
    <col min="55" max="55" width="24.6328125" style="1828" bestFit="1" customWidth="1"/>
    <col min="56" max="56" width="25.81640625" style="1828" customWidth="1"/>
    <col min="57" max="57" width="54.36328125" style="1110" bestFit="1" customWidth="1"/>
    <col min="58" max="58" width="11.453125" style="1828" customWidth="1"/>
    <col min="59" max="59" width="2.81640625" style="1828" customWidth="1"/>
    <col min="60" max="60" width="24.81640625" style="1828" customWidth="1"/>
    <col min="61" max="61" width="23.81640625" style="1110" customWidth="1"/>
    <col min="62" max="62" width="21.6328125" style="1828" customWidth="1"/>
    <col min="63" max="16384" width="9.1796875" style="1828"/>
  </cols>
  <sheetData>
    <row r="1" spans="1:62" ht="15" thickBot="1" x14ac:dyDescent="0.4">
      <c r="A1" s="6044" t="s">
        <v>2154</v>
      </c>
      <c r="H1" s="1828"/>
    </row>
    <row r="2" spans="1:62" ht="31" x14ac:dyDescent="0.35">
      <c r="B2" s="30" t="s">
        <v>9</v>
      </c>
      <c r="C2" s="4134" t="s">
        <v>38</v>
      </c>
      <c r="F2" s="9390" t="s">
        <v>394</v>
      </c>
      <c r="G2" s="9391"/>
      <c r="H2" s="9391"/>
      <c r="I2" s="9391"/>
      <c r="J2" s="9391"/>
      <c r="K2" s="9391"/>
      <c r="L2" s="9391"/>
      <c r="M2" s="9392"/>
      <c r="O2" s="9393" t="s">
        <v>395</v>
      </c>
      <c r="P2" s="9394"/>
      <c r="Q2" s="9394"/>
      <c r="R2" s="9394"/>
      <c r="S2" s="9394"/>
      <c r="T2" s="9394"/>
      <c r="U2" s="9394"/>
      <c r="V2" s="9394"/>
      <c r="W2" s="9394"/>
      <c r="X2" s="9394"/>
      <c r="Y2" s="9394"/>
      <c r="Z2" s="9395"/>
      <c r="AA2" s="1834"/>
      <c r="AB2" s="9360" t="s">
        <v>396</v>
      </c>
      <c r="AC2" s="9360"/>
      <c r="AD2" s="9360"/>
      <c r="AE2" s="9360"/>
      <c r="AF2" s="9360"/>
      <c r="AG2" s="9360"/>
      <c r="AH2" s="9360"/>
      <c r="AI2" s="9360"/>
      <c r="AJ2" s="1834"/>
      <c r="AK2" s="9360" t="s">
        <v>397</v>
      </c>
      <c r="AL2" s="9360"/>
      <c r="AM2" s="9360"/>
      <c r="AN2" s="9360"/>
      <c r="AO2" s="9360"/>
      <c r="AP2" s="9360"/>
      <c r="AQ2" s="9360"/>
      <c r="AR2" s="9360"/>
      <c r="AT2" s="9360" t="s">
        <v>398</v>
      </c>
      <c r="AU2" s="9360"/>
      <c r="AV2" s="9360"/>
      <c r="AW2" s="9360"/>
      <c r="AX2" s="9360"/>
      <c r="AY2" s="9360"/>
      <c r="AZ2" s="9360"/>
      <c r="BA2" s="9360"/>
      <c r="BB2" s="1834"/>
      <c r="BC2" s="9360" t="s">
        <v>399</v>
      </c>
      <c r="BD2" s="9360"/>
      <c r="BE2" s="9360"/>
      <c r="BF2" s="9360"/>
      <c r="BG2" s="9360"/>
      <c r="BH2" s="9360"/>
      <c r="BI2" s="9360"/>
      <c r="BJ2" s="9360"/>
    </row>
    <row r="3" spans="1:62" x14ac:dyDescent="0.35">
      <c r="F3" s="4135"/>
      <c r="M3" s="4136"/>
      <c r="O3" s="4135"/>
      <c r="Z3" s="4136"/>
      <c r="AI3" s="4136"/>
      <c r="AR3" s="4136"/>
      <c r="BA3" s="4136"/>
      <c r="BJ3" s="4136"/>
    </row>
    <row r="4" spans="1:62" s="8" customFormat="1" ht="15.25" customHeight="1" x14ac:dyDescent="0.35">
      <c r="D4" s="579"/>
      <c r="F4" s="4137" t="s">
        <v>400</v>
      </c>
      <c r="H4" s="9130" t="s">
        <v>401</v>
      </c>
      <c r="I4" s="9131"/>
      <c r="J4" s="9132"/>
      <c r="L4" s="9130" t="s">
        <v>402</v>
      </c>
      <c r="M4" s="9361"/>
      <c r="O4" s="4138"/>
      <c r="Q4" s="4139"/>
      <c r="R4" s="712"/>
      <c r="S4" s="9130" t="s">
        <v>403</v>
      </c>
      <c r="T4" s="9131"/>
      <c r="U4" s="9131"/>
      <c r="V4" s="9132"/>
      <c r="X4" s="9130" t="s">
        <v>402</v>
      </c>
      <c r="Y4" s="9131"/>
      <c r="Z4" s="9361"/>
      <c r="AB4" s="9130" t="s">
        <v>403</v>
      </c>
      <c r="AC4" s="9131"/>
      <c r="AD4" s="9131"/>
      <c r="AE4" s="9132"/>
      <c r="AG4" s="9130" t="s">
        <v>402</v>
      </c>
      <c r="AH4" s="9131"/>
      <c r="AI4" s="9361"/>
      <c r="AK4" s="9130" t="s">
        <v>403</v>
      </c>
      <c r="AL4" s="9131"/>
      <c r="AM4" s="9131"/>
      <c r="AN4" s="9132"/>
      <c r="AP4" s="9130" t="s">
        <v>402</v>
      </c>
      <c r="AQ4" s="9131"/>
      <c r="AR4" s="9361"/>
      <c r="AS4" s="9387" t="s">
        <v>404</v>
      </c>
      <c r="AT4" s="9130" t="s">
        <v>403</v>
      </c>
      <c r="AU4" s="9131"/>
      <c r="AV4" s="9131"/>
      <c r="AW4" s="9132"/>
      <c r="AY4" s="9130" t="s">
        <v>402</v>
      </c>
      <c r="AZ4" s="9131"/>
      <c r="BA4" s="9361"/>
      <c r="BB4" s="8" t="s">
        <v>404</v>
      </c>
      <c r="BC4" s="9130" t="s">
        <v>403</v>
      </c>
      <c r="BD4" s="9131"/>
      <c r="BE4" s="9131"/>
      <c r="BF4" s="9132"/>
      <c r="BH4" s="9130" t="s">
        <v>402</v>
      </c>
      <c r="BI4" s="9131"/>
      <c r="BJ4" s="9361"/>
    </row>
    <row r="5" spans="1:62" ht="23.5" customHeight="1" x14ac:dyDescent="0.35">
      <c r="B5" s="30" t="s">
        <v>406</v>
      </c>
      <c r="C5" s="4140">
        <v>2003</v>
      </c>
      <c r="F5" s="4141">
        <v>2011</v>
      </c>
      <c r="G5" s="12"/>
      <c r="H5" s="9138">
        <v>2014</v>
      </c>
      <c r="I5" s="9139"/>
      <c r="J5" s="9140"/>
      <c r="K5" s="12"/>
      <c r="L5" s="9138">
        <v>2015</v>
      </c>
      <c r="M5" s="9362"/>
      <c r="O5" s="9389">
        <v>2014</v>
      </c>
      <c r="P5" s="9139"/>
      <c r="Q5" s="9139"/>
      <c r="R5" s="9140"/>
      <c r="S5" s="9138">
        <v>2015</v>
      </c>
      <c r="T5" s="9139"/>
      <c r="U5" s="9139"/>
      <c r="V5" s="9140"/>
      <c r="X5" s="9138">
        <v>2016</v>
      </c>
      <c r="Y5" s="9139"/>
      <c r="Z5" s="9362"/>
      <c r="AB5" s="9138">
        <v>2016</v>
      </c>
      <c r="AC5" s="9139"/>
      <c r="AD5" s="9139"/>
      <c r="AE5" s="9140"/>
      <c r="AG5" s="9138">
        <v>2017</v>
      </c>
      <c r="AH5" s="9139"/>
      <c r="AI5" s="9362"/>
      <c r="AK5" s="9138">
        <v>2017</v>
      </c>
      <c r="AL5" s="9139"/>
      <c r="AM5" s="9139"/>
      <c r="AN5" s="9140"/>
      <c r="AP5" s="9138">
        <v>2018</v>
      </c>
      <c r="AQ5" s="9139"/>
      <c r="AR5" s="9362"/>
      <c r="AS5" s="9388"/>
      <c r="AT5" s="9138">
        <v>2018</v>
      </c>
      <c r="AU5" s="9139"/>
      <c r="AV5" s="9139"/>
      <c r="AW5" s="9140"/>
      <c r="AY5" s="9138">
        <v>2019</v>
      </c>
      <c r="AZ5" s="9139"/>
      <c r="BA5" s="9362"/>
      <c r="BC5" s="9138">
        <v>2019</v>
      </c>
      <c r="BD5" s="9139"/>
      <c r="BE5" s="9139"/>
      <c r="BF5" s="9140"/>
      <c r="BH5" s="9138">
        <v>2020</v>
      </c>
      <c r="BI5" s="9139"/>
      <c r="BJ5" s="9362"/>
    </row>
    <row r="6" spans="1:62" x14ac:dyDescent="0.35">
      <c r="C6" s="1828"/>
      <c r="F6" s="4142"/>
      <c r="L6" s="14"/>
      <c r="M6" s="4136"/>
      <c r="O6" s="4135"/>
      <c r="S6" s="14"/>
      <c r="T6" s="14"/>
      <c r="V6" s="3508"/>
      <c r="X6" s="14"/>
      <c r="Z6" s="4136"/>
      <c r="AB6" s="14"/>
      <c r="AC6" s="14"/>
      <c r="AE6" s="3508"/>
      <c r="AG6" s="14"/>
      <c r="AI6" s="4136"/>
      <c r="AK6" s="14"/>
      <c r="AL6" s="14"/>
      <c r="AN6" s="3508"/>
      <c r="AP6" s="14"/>
      <c r="AR6" s="4136"/>
      <c r="AS6" s="14"/>
      <c r="AT6" s="14"/>
      <c r="AU6" s="14"/>
      <c r="AW6" s="3508"/>
      <c r="AY6" s="14"/>
      <c r="BA6" s="4136"/>
      <c r="BC6" s="14"/>
      <c r="BD6" s="14"/>
      <c r="BF6" s="3508"/>
      <c r="BH6" s="14"/>
      <c r="BJ6" s="4136"/>
    </row>
    <row r="7" spans="1:62" ht="12.75" customHeight="1" x14ac:dyDescent="0.35">
      <c r="B7" s="30" t="s">
        <v>101</v>
      </c>
      <c r="C7" s="4143" t="s">
        <v>2155</v>
      </c>
      <c r="D7" s="1829" t="s">
        <v>417</v>
      </c>
      <c r="F7" s="8334"/>
      <c r="H7" s="9232"/>
      <c r="I7" s="9232"/>
      <c r="J7" s="9147" t="s">
        <v>419</v>
      </c>
      <c r="L7" s="9232" t="s">
        <v>2156</v>
      </c>
      <c r="M7" s="9385"/>
      <c r="O7" s="9386" t="s">
        <v>1591</v>
      </c>
      <c r="P7" s="9232"/>
      <c r="S7" s="9232" t="s">
        <v>1591</v>
      </c>
      <c r="T7" s="9232"/>
      <c r="U7" s="4144"/>
      <c r="V7" s="9147" t="s">
        <v>419</v>
      </c>
      <c r="X7" s="9149" t="s">
        <v>1591</v>
      </c>
      <c r="Y7" s="9150"/>
      <c r="Z7" s="9359"/>
      <c r="AB7" s="9232" t="s">
        <v>1591</v>
      </c>
      <c r="AC7" s="9232"/>
      <c r="AD7" s="4144"/>
      <c r="AE7" s="9147" t="s">
        <v>860</v>
      </c>
      <c r="AG7" s="9149" t="s">
        <v>1591</v>
      </c>
      <c r="AH7" s="9150"/>
      <c r="AI7" s="9359"/>
      <c r="AK7" s="9232" t="s">
        <v>1591</v>
      </c>
      <c r="AL7" s="9232"/>
      <c r="AM7" s="4144"/>
      <c r="AN7" s="9147" t="s">
        <v>860</v>
      </c>
      <c r="AP7" s="9149" t="s">
        <v>1591</v>
      </c>
      <c r="AQ7" s="9150"/>
      <c r="AR7" s="9359"/>
      <c r="AS7" s="1832"/>
      <c r="AT7" s="9232" t="s">
        <v>2157</v>
      </c>
      <c r="AU7" s="9232"/>
      <c r="AV7" s="4144"/>
      <c r="AW7" s="9147" t="s">
        <v>860</v>
      </c>
      <c r="AY7" s="9149" t="s">
        <v>2157</v>
      </c>
      <c r="AZ7" s="9150"/>
      <c r="BA7" s="9359"/>
      <c r="BC7" s="9232" t="s">
        <v>2157</v>
      </c>
      <c r="BD7" s="9232"/>
      <c r="BE7" s="4144"/>
      <c r="BF7" s="9147" t="s">
        <v>860</v>
      </c>
      <c r="BH7" s="9149" t="s">
        <v>2157</v>
      </c>
      <c r="BI7" s="9150"/>
      <c r="BJ7" s="9359"/>
    </row>
    <row r="8" spans="1:62" ht="25.5" customHeight="1" x14ac:dyDescent="0.35">
      <c r="B8" s="30" t="s">
        <v>420</v>
      </c>
      <c r="C8" s="4145" t="s">
        <v>589</v>
      </c>
      <c r="F8" s="4146" t="s">
        <v>96</v>
      </c>
      <c r="H8" s="21" t="s">
        <v>423</v>
      </c>
      <c r="I8" s="21" t="s">
        <v>96</v>
      </c>
      <c r="J8" s="9148"/>
      <c r="L8" s="21" t="s">
        <v>1298</v>
      </c>
      <c r="M8" s="4147" t="s">
        <v>96</v>
      </c>
      <c r="O8" s="4148" t="s">
        <v>2158</v>
      </c>
      <c r="P8" s="4149" t="s">
        <v>2159</v>
      </c>
      <c r="R8" s="9383" t="s">
        <v>419</v>
      </c>
      <c r="S8" s="4149" t="s">
        <v>2158</v>
      </c>
      <c r="T8" s="4149" t="s">
        <v>2159</v>
      </c>
      <c r="U8" s="4150" t="s">
        <v>425</v>
      </c>
      <c r="V8" s="9148"/>
      <c r="X8" s="4149" t="s">
        <v>2158</v>
      </c>
      <c r="Y8" s="4151" t="s">
        <v>425</v>
      </c>
      <c r="Z8" s="4147" t="s">
        <v>96</v>
      </c>
      <c r="AB8" s="4149" t="s">
        <v>2158</v>
      </c>
      <c r="AC8" s="4149" t="s">
        <v>2159</v>
      </c>
      <c r="AD8" s="4150" t="s">
        <v>425</v>
      </c>
      <c r="AE8" s="9148"/>
      <c r="AG8" s="4149" t="s">
        <v>2158</v>
      </c>
      <c r="AH8" s="4151" t="s">
        <v>425</v>
      </c>
      <c r="AI8" s="4147" t="s">
        <v>96</v>
      </c>
      <c r="AK8" s="4149" t="s">
        <v>2158</v>
      </c>
      <c r="AL8" s="4149" t="s">
        <v>2159</v>
      </c>
      <c r="AM8" s="4150" t="s">
        <v>425</v>
      </c>
      <c r="AN8" s="9148"/>
      <c r="AP8" s="4149" t="s">
        <v>2158</v>
      </c>
      <c r="AQ8" s="4151" t="s">
        <v>425</v>
      </c>
      <c r="AR8" s="4147" t="s">
        <v>96</v>
      </c>
      <c r="AS8" s="4152"/>
      <c r="AT8" s="4149" t="s">
        <v>2158</v>
      </c>
      <c r="AU8" s="4149" t="s">
        <v>2159</v>
      </c>
      <c r="AV8" s="4150" t="s">
        <v>425</v>
      </c>
      <c r="AW8" s="9148"/>
      <c r="AY8" s="4149" t="s">
        <v>2158</v>
      </c>
      <c r="AZ8" s="4151" t="s">
        <v>425</v>
      </c>
      <c r="BA8" s="4147" t="s">
        <v>96</v>
      </c>
      <c r="BC8" s="4149" t="s">
        <v>2158</v>
      </c>
      <c r="BD8" s="4149" t="s">
        <v>2159</v>
      </c>
      <c r="BE8" s="4150" t="s">
        <v>425</v>
      </c>
      <c r="BF8" s="9148"/>
      <c r="BH8" s="4149" t="s">
        <v>2158</v>
      </c>
      <c r="BI8" s="4151" t="s">
        <v>425</v>
      </c>
      <c r="BJ8" s="4147" t="s">
        <v>96</v>
      </c>
    </row>
    <row r="9" spans="1:62" ht="9.75" customHeight="1" x14ac:dyDescent="0.35">
      <c r="C9" s="1828"/>
      <c r="E9" s="1828"/>
      <c r="F9" s="4153"/>
      <c r="G9" s="1828"/>
      <c r="H9" s="1828"/>
      <c r="I9" s="1828"/>
      <c r="J9" s="3511"/>
      <c r="K9" s="1828"/>
      <c r="M9" s="4136"/>
      <c r="N9" s="1828"/>
      <c r="O9" s="4153"/>
      <c r="P9" s="1828"/>
      <c r="R9" s="9384"/>
      <c r="V9" s="3511"/>
      <c r="Z9" s="4136"/>
      <c r="AE9" s="3511"/>
      <c r="AI9" s="4136"/>
      <c r="AN9" s="3511"/>
      <c r="AR9" s="4136"/>
      <c r="AW9" s="3511"/>
      <c r="BA9" s="4136"/>
      <c r="BF9" s="3511"/>
      <c r="BJ9" s="4136"/>
    </row>
    <row r="10" spans="1:62" ht="52.5" customHeight="1" x14ac:dyDescent="0.3">
      <c r="A10" s="9382" t="s">
        <v>426</v>
      </c>
      <c r="B10" s="27"/>
      <c r="C10" s="28" t="s">
        <v>427</v>
      </c>
      <c r="D10" s="580" t="s">
        <v>428</v>
      </c>
      <c r="F10" s="4154"/>
      <c r="G10" s="1828"/>
      <c r="H10" s="8314" t="s">
        <v>2160</v>
      </c>
      <c r="I10" s="36" t="s">
        <v>2161</v>
      </c>
      <c r="J10" s="4155"/>
      <c r="L10" s="31" t="s">
        <v>2162</v>
      </c>
      <c r="M10" s="4156" t="s">
        <v>2161</v>
      </c>
      <c r="O10" s="4154" t="s">
        <v>2163</v>
      </c>
      <c r="P10" s="36" t="s">
        <v>2164</v>
      </c>
      <c r="Q10" s="21" t="s">
        <v>2165</v>
      </c>
      <c r="R10" s="4157"/>
      <c r="S10" s="36" t="s">
        <v>2164</v>
      </c>
      <c r="T10" s="31" t="s">
        <v>2166</v>
      </c>
      <c r="U10" s="21" t="s">
        <v>2165</v>
      </c>
      <c r="V10" s="32"/>
      <c r="X10" s="31" t="s">
        <v>2166</v>
      </c>
      <c r="Y10" s="21" t="s">
        <v>2165</v>
      </c>
      <c r="Z10" s="4158" t="s">
        <v>593</v>
      </c>
      <c r="AB10" s="36" t="s">
        <v>2164</v>
      </c>
      <c r="AC10" s="31" t="s">
        <v>2166</v>
      </c>
      <c r="AD10" s="21" t="s">
        <v>2165</v>
      </c>
      <c r="AE10" s="32"/>
      <c r="AG10" s="31"/>
      <c r="AH10" s="21" t="s">
        <v>2165</v>
      </c>
      <c r="AI10" s="4159" t="s">
        <v>2167</v>
      </c>
      <c r="AK10" s="36" t="s">
        <v>2164</v>
      </c>
      <c r="AL10" s="31" t="s">
        <v>2168</v>
      </c>
      <c r="AM10" s="4160" t="s">
        <v>2169</v>
      </c>
      <c r="AN10" s="32"/>
      <c r="AP10" s="4160" t="s">
        <v>2169</v>
      </c>
      <c r="AQ10" s="31" t="s">
        <v>2170</v>
      </c>
      <c r="AR10" s="31" t="s">
        <v>2170</v>
      </c>
      <c r="AS10" s="4161"/>
      <c r="AT10" s="36" t="s">
        <v>2171</v>
      </c>
      <c r="AU10" s="31" t="s">
        <v>2172</v>
      </c>
      <c r="AV10" s="34" t="s">
        <v>2173</v>
      </c>
      <c r="AW10" s="32" t="s">
        <v>865</v>
      </c>
      <c r="AY10" s="6660" t="s">
        <v>2174</v>
      </c>
      <c r="AZ10" s="472" t="s">
        <v>2175</v>
      </c>
      <c r="BA10" s="31" t="s">
        <v>2176</v>
      </c>
      <c r="BC10" s="36" t="s">
        <v>2171</v>
      </c>
      <c r="BD10" s="31" t="s">
        <v>2172</v>
      </c>
      <c r="BE10" s="34" t="s">
        <v>2173</v>
      </c>
      <c r="BF10" s="32" t="s">
        <v>865</v>
      </c>
      <c r="BH10" s="6660" t="s">
        <v>2177</v>
      </c>
      <c r="BI10" s="472" t="s">
        <v>2175</v>
      </c>
      <c r="BJ10" s="31" t="s">
        <v>2176</v>
      </c>
    </row>
    <row r="11" spans="1:62" ht="12.75" customHeight="1" x14ac:dyDescent="0.35">
      <c r="A11" s="9218"/>
      <c r="B11" s="40" t="s">
        <v>451</v>
      </c>
      <c r="C11" s="4162"/>
      <c r="D11" s="585"/>
      <c r="E11" s="43"/>
      <c r="F11" s="4163"/>
      <c r="G11" s="1828"/>
      <c r="H11" s="4164"/>
      <c r="I11" s="4165"/>
      <c r="J11" s="47"/>
      <c r="K11" s="48"/>
      <c r="L11" s="44"/>
      <c r="M11" s="4166"/>
      <c r="N11" s="43"/>
      <c r="O11" s="4167"/>
      <c r="P11" s="4168"/>
      <c r="Q11" s="4169"/>
      <c r="R11" s="4170"/>
      <c r="S11" s="44"/>
      <c r="T11" s="46"/>
      <c r="U11" s="4171"/>
      <c r="V11" s="1347"/>
      <c r="X11" s="44"/>
      <c r="Y11" s="487"/>
      <c r="Z11" s="4166"/>
      <c r="AB11" s="44"/>
      <c r="AC11" s="46"/>
      <c r="AD11" s="4171"/>
      <c r="AE11" s="1347"/>
      <c r="AG11" s="44"/>
      <c r="AH11" s="487"/>
      <c r="AI11" s="4166"/>
      <c r="AK11" s="44"/>
      <c r="AL11" s="46"/>
      <c r="AM11" s="4171"/>
      <c r="AN11" s="1347"/>
      <c r="AP11" s="44"/>
      <c r="AQ11" s="487"/>
      <c r="AR11" s="4166"/>
      <c r="AS11" s="1832"/>
      <c r="AT11" s="154"/>
      <c r="AU11" s="54"/>
      <c r="AV11" s="487"/>
      <c r="AW11" s="47"/>
      <c r="AY11" s="54"/>
      <c r="AZ11" s="487"/>
      <c r="BA11" s="4166"/>
      <c r="BC11" s="154"/>
      <c r="BD11" s="54"/>
      <c r="BE11" s="487"/>
      <c r="BF11" s="47"/>
      <c r="BH11" s="54"/>
      <c r="BI11" s="487"/>
      <c r="BJ11" s="4166"/>
    </row>
    <row r="12" spans="1:62" ht="15.25" customHeight="1" x14ac:dyDescent="0.35">
      <c r="A12" s="9218"/>
      <c r="B12" s="58"/>
      <c r="C12" s="4172" t="s">
        <v>456</v>
      </c>
      <c r="D12" s="1855"/>
      <c r="F12" s="4173"/>
      <c r="G12" s="1828"/>
      <c r="H12" s="4174">
        <v>6559.9989999999998</v>
      </c>
      <c r="I12" s="4175">
        <v>4724.139827</v>
      </c>
      <c r="J12" s="4176">
        <f>IF(H12=0,0,I12/H12)</f>
        <v>0.72014337608892931</v>
      </c>
      <c r="K12" s="4177"/>
      <c r="L12" s="4178"/>
      <c r="M12" s="4179"/>
      <c r="O12" s="4180">
        <v>6786121</v>
      </c>
      <c r="P12" s="4181">
        <v>5370537</v>
      </c>
      <c r="Q12" s="9375" t="s">
        <v>2178</v>
      </c>
      <c r="R12" s="4182">
        <f>IF(O12=0,0,P12/O12)</f>
        <v>0.79140012387047032</v>
      </c>
      <c r="S12" s="4183">
        <v>8234451</v>
      </c>
      <c r="T12" s="4184">
        <v>6552387</v>
      </c>
      <c r="U12" s="9378" t="s">
        <v>2178</v>
      </c>
      <c r="V12" s="4185">
        <f>IF(S12=0,0,T12/S12)</f>
        <v>0.79572845839995887</v>
      </c>
      <c r="X12" s="4183">
        <v>8797783</v>
      </c>
      <c r="Y12" s="9378" t="str">
        <f>U12</f>
        <v>overview of revenue, grants and financing</v>
      </c>
      <c r="Z12" s="4186">
        <f>X12*V12</f>
        <v>7000646.3039273657</v>
      </c>
      <c r="AB12" s="4187">
        <f>X12</f>
        <v>8797783</v>
      </c>
      <c r="AC12" s="4188">
        <f>Z12</f>
        <v>7000646.3039273657</v>
      </c>
      <c r="AD12" s="9378" t="str">
        <f>Y12</f>
        <v>overview of revenue, grants and financing</v>
      </c>
      <c r="AE12" s="4185">
        <f>IF(AB12=0,0,AC12/AB12)</f>
        <v>0.79572845839995887</v>
      </c>
      <c r="AG12" s="4187"/>
      <c r="AH12" s="9378"/>
      <c r="AI12" s="4189">
        <v>7715762.4060000004</v>
      </c>
      <c r="AK12" s="4187"/>
      <c r="AL12" s="4188"/>
      <c r="AM12" s="9378"/>
      <c r="AN12" s="4185"/>
      <c r="AP12" s="4187">
        <f>8500000000+1000000000</f>
        <v>9500000000</v>
      </c>
      <c r="AQ12" s="9378" t="s">
        <v>2179</v>
      </c>
      <c r="AR12" s="4190">
        <f>AP12*0.796</f>
        <v>7562000000</v>
      </c>
      <c r="AS12" s="4191"/>
      <c r="AT12" s="6661">
        <f>9632759000</f>
        <v>9632759000</v>
      </c>
      <c r="AU12" s="4188"/>
      <c r="AV12" s="6181"/>
      <c r="AW12" s="6662"/>
      <c r="AY12" s="4184">
        <v>11891465000</v>
      </c>
      <c r="AZ12" s="6181" t="s">
        <v>459</v>
      </c>
      <c r="BA12" s="4190"/>
      <c r="BC12" s="4184">
        <v>11891465000</v>
      </c>
      <c r="BD12" s="4188"/>
      <c r="BE12" s="6181"/>
      <c r="BF12" s="8143"/>
      <c r="BH12" s="4184">
        <v>13636582000</v>
      </c>
      <c r="BI12" s="6181" t="s">
        <v>2180</v>
      </c>
      <c r="BJ12" s="4190"/>
    </row>
    <row r="13" spans="1:62" ht="21" x14ac:dyDescent="0.35">
      <c r="A13" s="9218"/>
      <c r="B13" s="58"/>
      <c r="C13" s="4192" t="s">
        <v>462</v>
      </c>
      <c r="D13" s="1855"/>
      <c r="F13" s="4173"/>
      <c r="G13" s="1828"/>
      <c r="H13" s="4174">
        <v>1997.702</v>
      </c>
      <c r="I13" s="4175">
        <v>292.739621</v>
      </c>
      <c r="J13" s="4193">
        <f t="shared" ref="J13:J15" si="0">IF(H13=0,0,I13/H13)</f>
        <v>0.14653818287212006</v>
      </c>
      <c r="K13" s="4177"/>
      <c r="L13" s="4178"/>
      <c r="M13" s="4194"/>
      <c r="O13" s="4180">
        <f>H13*1000</f>
        <v>1997702</v>
      </c>
      <c r="P13" s="4181">
        <v>292740</v>
      </c>
      <c r="Q13" s="9377"/>
      <c r="R13" s="4182">
        <f t="shared" ref="R13:R38" si="1">IF(O13=0,0,P13/O13)</f>
        <v>0.14653837259010602</v>
      </c>
      <c r="S13" s="4183">
        <v>3189000</v>
      </c>
      <c r="T13" s="4195">
        <f>17734</f>
        <v>17734</v>
      </c>
      <c r="U13" s="9379"/>
      <c r="V13" s="4185">
        <f t="shared" ref="V13:V15" si="2">IF(S13=0,0,T13/S13)</f>
        <v>5.560990906240201E-3</v>
      </c>
      <c r="X13" s="4183">
        <v>4396909</v>
      </c>
      <c r="Y13" s="9379"/>
      <c r="Z13" s="4186">
        <f>X13*R13</f>
        <v>644315.88928679051</v>
      </c>
      <c r="AB13" s="4187">
        <f>X13</f>
        <v>4396909</v>
      </c>
      <c r="AC13" s="4188">
        <f>Z13</f>
        <v>644315.88928679051</v>
      </c>
      <c r="AD13" s="9379"/>
      <c r="AE13" s="4185">
        <f t="shared" ref="AE13" si="3">IF(AB13=0,0,AC13/AB13)</f>
        <v>0.14653837259010602</v>
      </c>
      <c r="AG13" s="4187"/>
      <c r="AH13" s="9379"/>
      <c r="AI13" s="4189">
        <v>22913.998</v>
      </c>
      <c r="AK13" s="4187"/>
      <c r="AL13" s="4188"/>
      <c r="AM13" s="9379"/>
      <c r="AN13" s="4185"/>
      <c r="AP13" s="4187"/>
      <c r="AQ13" s="9379"/>
      <c r="AR13" s="4189"/>
      <c r="AS13" s="4196"/>
      <c r="AT13" s="6661">
        <v>10212097000</v>
      </c>
      <c r="AU13" s="4188"/>
      <c r="AV13" s="6181"/>
      <c r="AW13" s="6662"/>
      <c r="AY13" s="4184">
        <v>13392397000</v>
      </c>
      <c r="AZ13" s="6181"/>
      <c r="BA13" s="4189"/>
      <c r="BC13" s="4184">
        <v>13392397000</v>
      </c>
      <c r="BD13" s="4188"/>
      <c r="BE13" s="6181"/>
      <c r="BF13" s="8143"/>
      <c r="BH13" s="4184">
        <v>10836034000</v>
      </c>
      <c r="BI13" s="6181" t="s">
        <v>2180</v>
      </c>
      <c r="BJ13" s="4189"/>
    </row>
    <row r="14" spans="1:62" x14ac:dyDescent="0.35">
      <c r="A14" s="9218"/>
      <c r="B14" s="75"/>
      <c r="C14" s="4197" t="s">
        <v>465</v>
      </c>
      <c r="D14" s="1855"/>
      <c r="F14" s="4198"/>
      <c r="G14" s="1828"/>
      <c r="H14" s="4199"/>
      <c r="I14" s="4200"/>
      <c r="J14" s="4193"/>
      <c r="K14" s="4201"/>
      <c r="L14" s="4202"/>
      <c r="M14" s="4194"/>
      <c r="O14" s="4180"/>
      <c r="P14" s="4181"/>
      <c r="Q14" s="8330"/>
      <c r="R14" s="4182"/>
      <c r="S14" s="4203"/>
      <c r="T14" s="4204">
        <v>6430</v>
      </c>
      <c r="U14" s="8331"/>
      <c r="V14" s="4185"/>
      <c r="X14" s="4203"/>
      <c r="Y14" s="8331"/>
      <c r="Z14" s="4186"/>
      <c r="AB14" s="4203"/>
      <c r="AC14" s="4204"/>
      <c r="AD14" s="8331"/>
      <c r="AE14" s="4185"/>
      <c r="AG14" s="4203"/>
      <c r="AH14" s="8331"/>
      <c r="AI14" s="4186"/>
      <c r="AK14" s="4203"/>
      <c r="AL14" s="4204"/>
      <c r="AM14" s="8331"/>
      <c r="AN14" s="4185"/>
      <c r="AP14" s="4203"/>
      <c r="AQ14" s="8331"/>
      <c r="AR14" s="4186"/>
      <c r="AS14" s="4196"/>
      <c r="AT14" s="6663"/>
      <c r="AU14" s="4204"/>
      <c r="AV14" s="6664"/>
      <c r="AW14" s="6662"/>
      <c r="AY14" s="4204"/>
      <c r="AZ14" s="6664"/>
      <c r="BA14" s="4186"/>
      <c r="BC14" s="4204"/>
      <c r="BD14" s="4204"/>
      <c r="BE14" s="6664"/>
      <c r="BF14" s="8143"/>
      <c r="BH14" s="4204"/>
      <c r="BI14" s="6664"/>
      <c r="BJ14" s="4186"/>
    </row>
    <row r="15" spans="1:62" x14ac:dyDescent="0.35">
      <c r="A15" s="9218"/>
      <c r="B15" s="85"/>
      <c r="C15" s="4205" t="s">
        <v>466</v>
      </c>
      <c r="D15" s="1872"/>
      <c r="F15" s="4206"/>
      <c r="G15" s="1828"/>
      <c r="H15" s="4207">
        <f>SUM(H12:H13)</f>
        <v>8557.7009999999991</v>
      </c>
      <c r="I15" s="4208">
        <f>SUM(I12:I13)</f>
        <v>5016.8794479999997</v>
      </c>
      <c r="J15" s="4209">
        <f t="shared" si="0"/>
        <v>0.58624149733672637</v>
      </c>
      <c r="K15" s="4201"/>
      <c r="L15" s="4208"/>
      <c r="M15" s="4210"/>
      <c r="O15" s="4180">
        <f>SUM(O12:O13)</f>
        <v>8783823</v>
      </c>
      <c r="P15" s="4181">
        <f>SUM(P12:P13)</f>
        <v>5663277</v>
      </c>
      <c r="Q15" s="4211"/>
      <c r="R15" s="4182">
        <f t="shared" si="1"/>
        <v>0.64473942610182378</v>
      </c>
      <c r="S15" s="4212">
        <f>SUM(S12:S13)</f>
        <v>11423451</v>
      </c>
      <c r="T15" s="4213">
        <f>SUM(T12:T13)</f>
        <v>6570121</v>
      </c>
      <c r="U15" s="4214"/>
      <c r="V15" s="4215">
        <f t="shared" si="2"/>
        <v>0.57514327325429071</v>
      </c>
      <c r="X15" s="4212">
        <f>SUM(X12:X13)</f>
        <v>13194692</v>
      </c>
      <c r="Y15" s="4214"/>
      <c r="Z15" s="4186">
        <f t="shared" ref="Z15" si="4">X15*V15</f>
        <v>7588838.3464622032</v>
      </c>
      <c r="AB15" s="4216">
        <f>SUM(AB12:AB13)</f>
        <v>13194692</v>
      </c>
      <c r="AC15" s="4217">
        <f>Z15</f>
        <v>7588838.3464622032</v>
      </c>
      <c r="AD15" s="4214"/>
      <c r="AE15" s="4215">
        <f t="shared" ref="AE15" si="5">IF(AB15=0,0,AC15/AB15)</f>
        <v>0.57514327325429071</v>
      </c>
      <c r="AG15" s="4216"/>
      <c r="AH15" s="4214"/>
      <c r="AI15" s="4189">
        <f>SUM(AI12:AI13)</f>
        <v>7738676.4040000001</v>
      </c>
      <c r="AK15" s="4216"/>
      <c r="AL15" s="4217"/>
      <c r="AM15" s="4214"/>
      <c r="AN15" s="4215"/>
      <c r="AP15" s="4216">
        <v>19740000000</v>
      </c>
      <c r="AQ15" s="9378" t="s">
        <v>2179</v>
      </c>
      <c r="AR15" s="4190">
        <f>AP15*0.572</f>
        <v>11291280000</v>
      </c>
      <c r="AS15" s="4152"/>
      <c r="AT15" s="6665">
        <f>SUM(AT12:AT14)</f>
        <v>19844856000</v>
      </c>
      <c r="AU15" s="4217"/>
      <c r="AV15" s="5061"/>
      <c r="AW15" s="6666"/>
      <c r="AY15" s="4213">
        <f>SUM(AY12:AY14)</f>
        <v>25283862000</v>
      </c>
      <c r="AZ15" s="5061"/>
      <c r="BA15" s="4190"/>
      <c r="BC15" s="4213">
        <f>SUM(BC12:BC14)</f>
        <v>25283862000</v>
      </c>
      <c r="BD15" s="4217"/>
      <c r="BE15" s="5061"/>
      <c r="BF15" s="8144"/>
      <c r="BH15" s="4213">
        <f>SUM(BH12:BH14)</f>
        <v>24472616000</v>
      </c>
      <c r="BI15" s="5061"/>
      <c r="BJ15" s="4190"/>
    </row>
    <row r="16" spans="1:62" x14ac:dyDescent="0.35">
      <c r="A16" s="9218"/>
      <c r="B16" s="100" t="s">
        <v>468</v>
      </c>
      <c r="C16" s="1874"/>
      <c r="D16" s="585"/>
      <c r="E16" s="43"/>
      <c r="F16" s="4218"/>
      <c r="G16" s="1828"/>
      <c r="H16" s="4219"/>
      <c r="I16" s="4220"/>
      <c r="J16" s="4221"/>
      <c r="K16" s="43"/>
      <c r="L16" s="4220"/>
      <c r="M16" s="4222"/>
      <c r="N16" s="43"/>
      <c r="O16" s="4223"/>
      <c r="P16" s="4224"/>
      <c r="Q16" s="4225"/>
      <c r="R16" s="4182">
        <f t="shared" si="1"/>
        <v>0</v>
      </c>
      <c r="S16" s="4226"/>
      <c r="T16" s="1875"/>
      <c r="U16" s="4227"/>
      <c r="V16" s="4228"/>
      <c r="X16" s="4226"/>
      <c r="Y16" s="4227"/>
      <c r="Z16" s="4229"/>
      <c r="AB16" s="4226"/>
      <c r="AC16" s="1875"/>
      <c r="AD16" s="4227"/>
      <c r="AE16" s="4228"/>
      <c r="AG16" s="4226"/>
      <c r="AH16" s="4227"/>
      <c r="AI16" s="4229"/>
      <c r="AK16" s="4226"/>
      <c r="AL16" s="1875"/>
      <c r="AM16" s="4227"/>
      <c r="AN16" s="4228"/>
      <c r="AP16" s="4226"/>
      <c r="AQ16" s="9379"/>
      <c r="AR16" s="4229"/>
      <c r="AS16" s="1832"/>
      <c r="AT16" s="6667"/>
      <c r="AU16" s="6668" t="s">
        <v>2181</v>
      </c>
      <c r="AV16" s="4360"/>
      <c r="AW16" s="4221"/>
      <c r="AY16" s="6669"/>
      <c r="AZ16" s="6668" t="s">
        <v>2182</v>
      </c>
      <c r="BA16" s="6670"/>
      <c r="BC16" s="6667"/>
      <c r="BD16" s="6668"/>
      <c r="BE16" s="4360"/>
      <c r="BF16" s="4221"/>
      <c r="BH16" s="6669"/>
      <c r="BI16" s="6668"/>
      <c r="BJ16" s="6670"/>
    </row>
    <row r="17" spans="1:62" ht="48" x14ac:dyDescent="0.35">
      <c r="A17" s="9218"/>
      <c r="B17" s="6082"/>
      <c r="C17" s="1876" t="s">
        <v>470</v>
      </c>
      <c r="D17" s="1855"/>
      <c r="F17" s="4230"/>
      <c r="G17" s="1828"/>
      <c r="H17" s="4231">
        <v>5275.0838789999998</v>
      </c>
      <c r="I17" s="1877">
        <v>5139.582488</v>
      </c>
      <c r="J17" s="4176">
        <f t="shared" ref="J17:J21" si="6">IF(H17=0,0,I17/H17)</f>
        <v>0.97431294096773935</v>
      </c>
      <c r="L17" s="4232">
        <v>5123.75</v>
      </c>
      <c r="M17" s="4179"/>
      <c r="O17" s="4233">
        <v>7526412</v>
      </c>
      <c r="P17" s="4234">
        <v>7383504</v>
      </c>
      <c r="Q17" s="9380" t="s">
        <v>2183</v>
      </c>
      <c r="R17" s="4182">
        <f t="shared" si="1"/>
        <v>0.98101246649798068</v>
      </c>
      <c r="S17" s="4234">
        <v>9832181</v>
      </c>
      <c r="T17" s="1910">
        <f>S17*R17</f>
        <v>9645492.1338645816</v>
      </c>
      <c r="U17" s="9381" t="s">
        <v>2184</v>
      </c>
      <c r="V17" s="4235">
        <f>IF(S17=0,0,T17/S17)</f>
        <v>0.98101246649798057</v>
      </c>
      <c r="X17" s="4234">
        <f>2209072+8147507</f>
        <v>10356579</v>
      </c>
      <c r="Y17" s="8333" t="s">
        <v>2184</v>
      </c>
      <c r="Z17" s="4236">
        <f>X17*R17</f>
        <v>10159933.109271191</v>
      </c>
      <c r="AB17" s="4237">
        <f>X17</f>
        <v>10356579</v>
      </c>
      <c r="AC17" s="4238">
        <f>Z17</f>
        <v>10159933.109271191</v>
      </c>
      <c r="AD17" s="4239" t="str">
        <f>Y17</f>
        <v>Expenditure Budget Funding Overview</v>
      </c>
      <c r="AE17" s="4235">
        <f>IF(AB17=0,0,AC17/AB17)</f>
        <v>0.9810124664979808</v>
      </c>
      <c r="AG17" s="4237"/>
      <c r="AH17" s="8333"/>
      <c r="AI17" s="4240">
        <f>2266588.865-14932.982+2466561.832+1455999.799+158381.974+193263.713+186204.947</f>
        <v>6712068.148000001</v>
      </c>
      <c r="AK17" s="4237"/>
      <c r="AL17" s="4238">
        <f>2286298648+1453699382+2830580563</f>
        <v>6570578593</v>
      </c>
      <c r="AM17" s="31" t="s">
        <v>2185</v>
      </c>
      <c r="AN17" s="4235"/>
      <c r="AP17" s="4237">
        <f>2830669000+1966537000+3043635000</f>
        <v>7840841000</v>
      </c>
      <c r="AQ17" s="31" t="s">
        <v>2186</v>
      </c>
      <c r="AR17" s="4240">
        <f>3029469951+1752819713+3430128753</f>
        <v>8212418417</v>
      </c>
      <c r="AS17" s="4196"/>
      <c r="AT17" s="6671">
        <f>AT21-AT18-AT19-AT20</f>
        <v>7840841000</v>
      </c>
      <c r="AU17" s="6672">
        <f>AU21-AU18-AU19-AU20</f>
        <v>8212418216</v>
      </c>
      <c r="AV17" s="1540"/>
      <c r="AW17" s="4193">
        <f>AU17/AT17</f>
        <v>1.0473899695198512</v>
      </c>
      <c r="AY17" s="6673">
        <f>AY21-AY18-AY19-AY20</f>
        <v>10897922000</v>
      </c>
      <c r="AZ17" s="1540"/>
      <c r="BA17" s="6674">
        <f>BA21-BA18-BA19-BA20</f>
        <v>10358458832</v>
      </c>
      <c r="BC17" s="6673">
        <f>BC21-BC18-BC19-BC20</f>
        <v>10897922000</v>
      </c>
      <c r="BD17" s="6672">
        <f>BD21-BD20-BD18</f>
        <v>10358458833</v>
      </c>
      <c r="BE17" s="1540" t="s">
        <v>2187</v>
      </c>
      <c r="BF17" s="4193">
        <f>BD17/BC17</f>
        <v>0.95049852926089951</v>
      </c>
      <c r="BG17" s="8345"/>
      <c r="BH17" s="6673">
        <f>BH21-BH20-BH18</f>
        <v>14222624373</v>
      </c>
      <c r="BI17" s="1540" t="s">
        <v>2188</v>
      </c>
      <c r="BJ17" s="6672">
        <f>BJ21-BJ20-BJ18</f>
        <v>13219115057</v>
      </c>
    </row>
    <row r="18" spans="1:62" ht="24" x14ac:dyDescent="0.35">
      <c r="A18" s="9218"/>
      <c r="B18" s="6082"/>
      <c r="C18" s="1876" t="s">
        <v>502</v>
      </c>
      <c r="D18" s="1855"/>
      <c r="F18" s="4241"/>
      <c r="G18" s="1828"/>
      <c r="H18" s="4242">
        <v>2700</v>
      </c>
      <c r="I18" s="1878">
        <v>692.15962200000001</v>
      </c>
      <c r="J18" s="4176">
        <f t="shared" si="6"/>
        <v>0.25635541555555558</v>
      </c>
      <c r="L18" s="4243">
        <v>3880.0720000000001</v>
      </c>
      <c r="M18" s="4179"/>
      <c r="O18" s="4233">
        <v>2737064</v>
      </c>
      <c r="P18" s="4234">
        <v>730719</v>
      </c>
      <c r="Q18" s="9380"/>
      <c r="R18" s="4182">
        <f>IF(O18=0,0,P18/O18)</f>
        <v>0.26697183551425907</v>
      </c>
      <c r="S18" s="4234">
        <v>1989956</v>
      </c>
      <c r="T18" s="1910">
        <f t="shared" ref="T18:T19" si="7">S18*R18</f>
        <v>531262.20591261296</v>
      </c>
      <c r="U18" s="9381"/>
      <c r="V18" s="4244">
        <f>IF(S18=0,0,T18/S18)</f>
        <v>0.26697183551425907</v>
      </c>
      <c r="X18" s="4234">
        <v>2843483</v>
      </c>
      <c r="Y18" s="4245"/>
      <c r="Z18" s="4236">
        <f>X18*V18</f>
        <v>759129.87576359196</v>
      </c>
      <c r="AB18" s="4237">
        <f t="shared" ref="AB18:AB19" si="8">X18</f>
        <v>2843483</v>
      </c>
      <c r="AC18" s="4238">
        <f>Z18</f>
        <v>759129.87576359196</v>
      </c>
      <c r="AD18" s="4246"/>
      <c r="AE18" s="4244">
        <f>IF(AB18=0,0,AC18/AB18)</f>
        <v>0.26697183551425907</v>
      </c>
      <c r="AG18" s="4237"/>
      <c r="AH18" s="4245"/>
      <c r="AI18" s="4240">
        <v>621100.82999999996</v>
      </c>
      <c r="AK18" s="4237"/>
      <c r="AL18" s="4238">
        <v>565939854</v>
      </c>
      <c r="AM18" s="4246"/>
      <c r="AN18" s="4244"/>
      <c r="AP18" s="4237">
        <v>1467522000</v>
      </c>
      <c r="AQ18" s="4245"/>
      <c r="AR18" s="4240">
        <v>680973767</v>
      </c>
      <c r="AS18" s="4196"/>
      <c r="AT18" s="6675">
        <v>1467522000</v>
      </c>
      <c r="AU18" s="6676">
        <v>680973967</v>
      </c>
      <c r="AV18" s="6677"/>
      <c r="AW18" s="4193">
        <f>AU18/AT18</f>
        <v>0.46402981829233225</v>
      </c>
      <c r="AY18" s="6678">
        <v>1411492000</v>
      </c>
      <c r="AZ18" s="6677"/>
      <c r="BA18" s="6679">
        <v>786757657</v>
      </c>
      <c r="BC18" s="6678">
        <v>1411492000</v>
      </c>
      <c r="BD18" s="6676">
        <v>786757657</v>
      </c>
      <c r="BE18" s="1540" t="s">
        <v>2187</v>
      </c>
      <c r="BF18" s="4193">
        <f>BD18/BC18</f>
        <v>0.55739434371572771</v>
      </c>
      <c r="BH18" s="6676">
        <v>1952034123</v>
      </c>
      <c r="BI18" s="1540" t="s">
        <v>2188</v>
      </c>
      <c r="BJ18" s="6679">
        <v>2226675839</v>
      </c>
    </row>
    <row r="19" spans="1:62" ht="24" x14ac:dyDescent="0.35">
      <c r="A19" s="9218"/>
      <c r="B19" s="6082"/>
      <c r="C19" s="1876" t="s">
        <v>634</v>
      </c>
      <c r="D19" s="1855"/>
      <c r="F19" s="4241"/>
      <c r="H19" s="4242">
        <v>2409.0294610000001</v>
      </c>
      <c r="I19" s="1878">
        <v>1806.1264329999999</v>
      </c>
      <c r="J19" s="4176">
        <f t="shared" si="6"/>
        <v>0.74973198221090576</v>
      </c>
      <c r="L19" s="4247">
        <f>L21-L17-L18</f>
        <v>2308.9779999999992</v>
      </c>
      <c r="M19" s="4179"/>
      <c r="O19" s="4233">
        <v>2404029</v>
      </c>
      <c r="P19" s="4234">
        <v>2328639</v>
      </c>
      <c r="Q19" s="8332" t="s">
        <v>2184</v>
      </c>
      <c r="R19" s="4182">
        <f t="shared" si="1"/>
        <v>0.96864014535598364</v>
      </c>
      <c r="S19" s="4234">
        <v>3797078</v>
      </c>
      <c r="T19" s="1910">
        <f t="shared" si="7"/>
        <v>3678002.1858480074</v>
      </c>
      <c r="U19" s="8333" t="s">
        <v>2184</v>
      </c>
      <c r="V19" s="4248" t="s">
        <v>2189</v>
      </c>
      <c r="X19" s="4234">
        <v>3720397</v>
      </c>
      <c r="Y19" s="8333" t="s">
        <v>2184</v>
      </c>
      <c r="Z19" s="4236">
        <f>X19*R19</f>
        <v>3603725.8908619653</v>
      </c>
      <c r="AB19" s="4237">
        <f t="shared" si="8"/>
        <v>3720397</v>
      </c>
      <c r="AC19" s="4238">
        <f>Z19</f>
        <v>3603725.8908619653</v>
      </c>
      <c r="AD19" s="8333" t="s">
        <v>2184</v>
      </c>
      <c r="AE19" s="4248"/>
      <c r="AG19" s="4237"/>
      <c r="AH19" s="8333"/>
      <c r="AI19" s="4240">
        <v>2636891.0279999999</v>
      </c>
      <c r="AK19" s="4237"/>
      <c r="AL19" s="4238"/>
      <c r="AM19" s="8333"/>
      <c r="AN19" s="4248"/>
      <c r="AP19" s="4237"/>
      <c r="AQ19" s="8333"/>
      <c r="AR19" s="4240"/>
      <c r="AS19" s="4196"/>
      <c r="AT19" s="6675"/>
      <c r="AU19" s="6676"/>
      <c r="AV19" s="6680"/>
      <c r="AW19" s="4193"/>
      <c r="AY19" s="6678"/>
      <c r="AZ19" s="6680"/>
      <c r="BA19" s="6679"/>
      <c r="BC19" s="6678"/>
      <c r="BD19" s="6676"/>
      <c r="BE19" s="1540" t="s">
        <v>2187</v>
      </c>
      <c r="BF19" s="4193"/>
      <c r="BH19" s="6678"/>
      <c r="BI19" s="1540" t="s">
        <v>2188</v>
      </c>
      <c r="BJ19" s="6679"/>
    </row>
    <row r="20" spans="1:62" ht="24" x14ac:dyDescent="0.35">
      <c r="A20" s="9218"/>
      <c r="B20" s="6082"/>
      <c r="C20" s="1876" t="s">
        <v>2190</v>
      </c>
      <c r="D20" s="1855"/>
      <c r="F20" s="4241"/>
      <c r="H20" s="4242"/>
      <c r="I20" s="1878"/>
      <c r="J20" s="4176"/>
      <c r="L20" s="4247"/>
      <c r="M20" s="4179"/>
      <c r="O20" s="4233"/>
      <c r="P20" s="4234"/>
      <c r="Q20" s="8330"/>
      <c r="R20" s="4182"/>
      <c r="S20" s="4234"/>
      <c r="T20" s="1910"/>
      <c r="U20" s="8329"/>
      <c r="V20" s="4248"/>
      <c r="X20" s="4234">
        <v>-9355</v>
      </c>
      <c r="Y20" s="8329" t="s">
        <v>2191</v>
      </c>
      <c r="Z20" s="4236"/>
      <c r="AB20" s="4237">
        <f>X20</f>
        <v>-9355</v>
      </c>
      <c r="AC20" s="4238"/>
      <c r="AD20" s="8329" t="s">
        <v>2191</v>
      </c>
      <c r="AE20" s="4248"/>
      <c r="AG20" s="4237"/>
      <c r="AH20" s="8329"/>
      <c r="AI20" s="4240">
        <f>21828.579+369415.517</f>
        <v>391244.09600000002</v>
      </c>
      <c r="AK20" s="4237"/>
      <c r="AL20" s="4238">
        <v>3777746829</v>
      </c>
      <c r="AM20" s="8329"/>
      <c r="AN20" s="4248"/>
      <c r="AP20" s="4237">
        <v>4227691000</v>
      </c>
      <c r="AQ20" s="8329"/>
      <c r="AR20" s="4240">
        <v>4148583270</v>
      </c>
      <c r="AS20" s="4196"/>
      <c r="AT20" s="6675">
        <v>4227691000</v>
      </c>
      <c r="AU20" s="6676">
        <v>4148583270</v>
      </c>
      <c r="AV20" s="6680"/>
      <c r="AW20" s="4193">
        <f>AU20/AT20</f>
        <v>0.98128819490355379</v>
      </c>
      <c r="AY20" s="6678">
        <v>4789725000</v>
      </c>
      <c r="AZ20" s="6680"/>
      <c r="BA20" s="6679">
        <v>3983967770</v>
      </c>
      <c r="BC20" s="6678">
        <v>4789725000</v>
      </c>
      <c r="BD20" s="6676">
        <v>3983967770</v>
      </c>
      <c r="BE20" s="1540" t="s">
        <v>2187</v>
      </c>
      <c r="BF20" s="4193">
        <f>BD20/BC20</f>
        <v>0.83177380120988154</v>
      </c>
      <c r="BH20" s="6678">
        <v>7955938398</v>
      </c>
      <c r="BI20" s="1540" t="s">
        <v>2188</v>
      </c>
      <c r="BJ20" s="6679">
        <v>4216170790</v>
      </c>
    </row>
    <row r="21" spans="1:62" x14ac:dyDescent="0.35">
      <c r="A21" s="9218"/>
      <c r="B21" s="128"/>
      <c r="C21" s="1882" t="s">
        <v>479</v>
      </c>
      <c r="D21" s="1872"/>
      <c r="F21" s="4249"/>
      <c r="H21" s="4250">
        <f>SUM(H17:H19)</f>
        <v>10384.11334</v>
      </c>
      <c r="I21" s="1857">
        <f>SUM(I17:I19)</f>
        <v>7637.8685430000005</v>
      </c>
      <c r="J21" s="4251">
        <f t="shared" si="6"/>
        <v>0.73553401170792698</v>
      </c>
      <c r="L21" s="1857">
        <v>11312.8</v>
      </c>
      <c r="M21" s="4252"/>
      <c r="O21" s="4253">
        <f>SUM(O16:O19)</f>
        <v>12667505</v>
      </c>
      <c r="P21" s="4254">
        <f>SUM(P17:P19)</f>
        <v>10442862</v>
      </c>
      <c r="Q21" s="4211"/>
      <c r="R21" s="4182">
        <f t="shared" si="1"/>
        <v>0.82438191261815175</v>
      </c>
      <c r="S21" s="4255">
        <f>SUM(S17:S19)</f>
        <v>15619215</v>
      </c>
      <c r="T21" s="4256">
        <f>SUM(T17:T19)</f>
        <v>13854756.525625201</v>
      </c>
      <c r="U21" s="4257"/>
      <c r="V21" s="4185">
        <f t="shared" ref="V21:V27" si="9">IF(S21=0,0,T21/S21)</f>
        <v>0.88703283267598276</v>
      </c>
      <c r="X21" s="4237">
        <f>SUM(X17:X20)</f>
        <v>16911104</v>
      </c>
      <c r="Y21" s="4257"/>
      <c r="Z21" s="4258">
        <f>SUM(Z17:Z19)</f>
        <v>14522788.875896748</v>
      </c>
      <c r="AB21" s="4255">
        <f>X21</f>
        <v>16911104</v>
      </c>
      <c r="AC21" s="4256">
        <f>Z21</f>
        <v>14522788.875896748</v>
      </c>
      <c r="AD21" s="4257"/>
      <c r="AE21" s="4185">
        <f t="shared" ref="AE21:AE27" si="10">IF(AB21=0,0,AC21/AB21)</f>
        <v>0.85877237085744063</v>
      </c>
      <c r="AG21" s="4237"/>
      <c r="AH21" s="4257"/>
      <c r="AI21" s="4258">
        <f>SUM(AI17:AI20)</f>
        <v>10361304.102000002</v>
      </c>
      <c r="AK21" s="4255"/>
      <c r="AL21" s="4256">
        <v>10914265276</v>
      </c>
      <c r="AM21" s="4257"/>
      <c r="AN21" s="4185"/>
      <c r="AP21" s="4237">
        <v>13536054000</v>
      </c>
      <c r="AQ21" s="4257"/>
      <c r="AR21" s="4258">
        <v>13041975453</v>
      </c>
      <c r="AS21" s="4152"/>
      <c r="AT21" s="6681">
        <v>13536054000</v>
      </c>
      <c r="AU21" s="6682">
        <v>13041975453</v>
      </c>
      <c r="AV21" s="6683"/>
      <c r="AW21" s="4209">
        <f>AU21/AT21</f>
        <v>0.9634990709256922</v>
      </c>
      <c r="AY21" s="6684">
        <v>17099139000</v>
      </c>
      <c r="AZ21" s="6683"/>
      <c r="BA21" s="6685">
        <v>15129184259</v>
      </c>
      <c r="BC21" s="6684">
        <v>17099139000</v>
      </c>
      <c r="BD21" s="6682">
        <v>15129184260</v>
      </c>
      <c r="BE21" s="6683"/>
      <c r="BF21" s="4209">
        <f>BD21/BC21</f>
        <v>0.88479216760563206</v>
      </c>
      <c r="BH21" s="6684">
        <v>24130596894</v>
      </c>
      <c r="BI21" s="6683"/>
      <c r="BJ21" s="6685">
        <v>19661961686</v>
      </c>
    </row>
    <row r="22" spans="1:62" x14ac:dyDescent="0.35">
      <c r="A22" s="9218"/>
      <c r="B22" s="100" t="s">
        <v>480</v>
      </c>
      <c r="C22" s="1874"/>
      <c r="D22" s="585"/>
      <c r="E22" s="43"/>
      <c r="F22" s="4259"/>
      <c r="G22" s="12"/>
      <c r="H22" s="1322"/>
      <c r="I22" s="1320"/>
      <c r="J22" s="146"/>
      <c r="K22" s="43"/>
      <c r="L22" s="4260"/>
      <c r="M22" s="4261"/>
      <c r="N22" s="43"/>
      <c r="O22" s="4262"/>
      <c r="P22" s="4225"/>
      <c r="Q22" s="4225"/>
      <c r="R22" s="4263">
        <f t="shared" si="1"/>
        <v>0</v>
      </c>
      <c r="S22" s="4226"/>
      <c r="T22" s="4264"/>
      <c r="U22" s="4227"/>
      <c r="V22" s="4265">
        <f t="shared" si="9"/>
        <v>0</v>
      </c>
      <c r="X22" s="4226"/>
      <c r="Y22" s="4227"/>
      <c r="Z22" s="4229"/>
      <c r="AB22" s="4226"/>
      <c r="AC22" s="4264"/>
      <c r="AD22" s="4227"/>
      <c r="AE22" s="4265">
        <f t="shared" si="10"/>
        <v>0</v>
      </c>
      <c r="AG22" s="4226"/>
      <c r="AH22" s="4227"/>
      <c r="AI22" s="4229"/>
      <c r="AK22" s="4226"/>
      <c r="AL22" s="4264"/>
      <c r="AM22" s="4227"/>
      <c r="AN22" s="4265"/>
      <c r="AP22" s="4226"/>
      <c r="AQ22" s="4227"/>
      <c r="AR22" s="4229"/>
      <c r="AS22" s="1832"/>
      <c r="AT22" s="6667"/>
      <c r="AU22" s="4360"/>
      <c r="AV22" s="4472"/>
      <c r="AW22" s="6686"/>
      <c r="AY22" s="6667"/>
      <c r="AZ22" s="2985"/>
      <c r="BA22" s="6687"/>
      <c r="BC22" s="6667"/>
      <c r="BD22" s="4360"/>
      <c r="BE22" s="4472"/>
      <c r="BF22" s="4313"/>
      <c r="BH22" s="6667"/>
      <c r="BI22" s="2985"/>
      <c r="BJ22" s="6687"/>
    </row>
    <row r="23" spans="1:62" ht="34.5" customHeight="1" x14ac:dyDescent="0.35">
      <c r="A23" s="9218"/>
      <c r="B23" s="6082"/>
      <c r="C23" s="1876" t="s">
        <v>483</v>
      </c>
      <c r="D23" s="1855"/>
      <c r="F23" s="4266"/>
      <c r="H23" s="4267">
        <v>2066.3868299999999</v>
      </c>
      <c r="I23" s="1856">
        <v>1782.970763</v>
      </c>
      <c r="J23" s="4176">
        <f>IF(H23=0,0,I23/H23)</f>
        <v>0.86284462188524502</v>
      </c>
      <c r="L23" s="4268">
        <f>M23/J23</f>
        <v>2386.3052927202925</v>
      </c>
      <c r="M23" s="4269">
        <v>2059.0106879999998</v>
      </c>
      <c r="O23" s="4270">
        <v>2056733</v>
      </c>
      <c r="P23" s="4234">
        <v>1926558</v>
      </c>
      <c r="Q23" s="9375" t="s">
        <v>2183</v>
      </c>
      <c r="R23" s="4263">
        <f t="shared" si="1"/>
        <v>0.93670787603446826</v>
      </c>
      <c r="S23" s="4234">
        <v>2031360</v>
      </c>
      <c r="T23" s="4271"/>
      <c r="U23" s="9370" t="s">
        <v>2183</v>
      </c>
      <c r="V23" s="4272">
        <f t="shared" si="9"/>
        <v>0</v>
      </c>
      <c r="X23" s="4273">
        <v>3527000</v>
      </c>
      <c r="Y23" s="9370" t="s">
        <v>2183</v>
      </c>
      <c r="Z23" s="4274">
        <f>X23*R23</f>
        <v>3303768.6787735694</v>
      </c>
      <c r="AB23" s="4237">
        <f>X23</f>
        <v>3527000</v>
      </c>
      <c r="AC23" s="4275">
        <f>Z23</f>
        <v>3303768.6787735694</v>
      </c>
      <c r="AD23" s="9370" t="s">
        <v>2183</v>
      </c>
      <c r="AE23" s="4272">
        <f t="shared" si="10"/>
        <v>0.93670787603446826</v>
      </c>
      <c r="AG23" s="4276"/>
      <c r="AH23" s="4277"/>
      <c r="AI23" s="4278">
        <f>2266588.865+193263.713</f>
        <v>2459852.5780000002</v>
      </c>
      <c r="AK23" s="4237"/>
      <c r="AL23" s="4275">
        <v>1180929185</v>
      </c>
      <c r="AM23" s="9370"/>
      <c r="AN23" s="4272"/>
      <c r="AP23" s="4276">
        <v>1277608000</v>
      </c>
      <c r="AQ23" s="31" t="s">
        <v>2192</v>
      </c>
      <c r="AR23" s="4278">
        <v>1267950487</v>
      </c>
      <c r="AS23" s="4196"/>
      <c r="AT23" s="6675">
        <v>2830669000</v>
      </c>
      <c r="AU23" s="6676">
        <v>3029469951</v>
      </c>
      <c r="AV23" s="6677" t="s">
        <v>2193</v>
      </c>
      <c r="AW23" s="6688">
        <f>AU23/AT23</f>
        <v>1.0702310835353763</v>
      </c>
      <c r="AY23" s="6673">
        <v>4233569000</v>
      </c>
      <c r="AZ23" s="1540"/>
      <c r="BA23" s="6689">
        <v>3957007471</v>
      </c>
      <c r="BB23" s="6690">
        <f>BA23/AY23</f>
        <v>0.93467414160487283</v>
      </c>
      <c r="BC23" s="6673">
        <v>4233569000</v>
      </c>
      <c r="BD23" s="6676">
        <v>3957007471</v>
      </c>
      <c r="BE23" s="1540" t="s">
        <v>2187</v>
      </c>
      <c r="BF23" s="8145">
        <f>BD23/BC23</f>
        <v>0.93467414160487283</v>
      </c>
      <c r="BH23" s="6673">
        <v>4468902000</v>
      </c>
      <c r="BI23" s="1540" t="s">
        <v>2188</v>
      </c>
      <c r="BJ23" s="6689">
        <v>4073272732</v>
      </c>
    </row>
    <row r="24" spans="1:62" x14ac:dyDescent="0.35">
      <c r="A24" s="9218"/>
      <c r="B24" s="6082"/>
      <c r="C24" s="1876" t="s">
        <v>489</v>
      </c>
      <c r="D24" s="1855"/>
      <c r="F24" s="4266"/>
      <c r="H24" s="4267">
        <v>1063.428478</v>
      </c>
      <c r="I24" s="1856">
        <v>921.89319499999999</v>
      </c>
      <c r="J24" s="4176">
        <f t="shared" ref="J24:J27" si="11">IF(H24=0,0,I24/H24)</f>
        <v>0.86690662707642852</v>
      </c>
      <c r="L24" s="4268">
        <f t="shared" ref="L24" si="12">M24/J24</f>
        <v>1239.5083996805877</v>
      </c>
      <c r="M24" s="4269">
        <v>1074.5380459999999</v>
      </c>
      <c r="O24" s="4270">
        <v>2052036</v>
      </c>
      <c r="P24" s="4234">
        <v>1922575</v>
      </c>
      <c r="Q24" s="9376"/>
      <c r="R24" s="4263">
        <f t="shared" si="1"/>
        <v>0.93691095088000409</v>
      </c>
      <c r="S24" s="4279">
        <v>2016246</v>
      </c>
      <c r="T24" s="4280"/>
      <c r="U24" s="9371"/>
      <c r="V24" s="4281">
        <f t="shared" si="9"/>
        <v>0</v>
      </c>
      <c r="X24" s="4273">
        <v>3527000</v>
      </c>
      <c r="Y24" s="9371"/>
      <c r="Z24" s="4274">
        <f t="shared" ref="Z24:Z25" si="13">X24*R24</f>
        <v>3304484.9237537743</v>
      </c>
      <c r="AB24" s="4282">
        <f>X24</f>
        <v>3527000</v>
      </c>
      <c r="AC24" s="4283">
        <f>Z24</f>
        <v>3304484.9237537743</v>
      </c>
      <c r="AD24" s="9371"/>
      <c r="AE24" s="4281">
        <f t="shared" si="10"/>
        <v>0.93691095088000409</v>
      </c>
      <c r="AG24" s="4276"/>
      <c r="AH24" s="4284" t="s">
        <v>2194</v>
      </c>
      <c r="AI24" s="4278">
        <f>1159285.97+7115.329</f>
        <v>1166401.2989999999</v>
      </c>
      <c r="AK24" s="4282"/>
      <c r="AL24" s="4283">
        <v>6597835</v>
      </c>
      <c r="AM24" s="9371"/>
      <c r="AN24" s="4281"/>
      <c r="AP24" s="4276">
        <v>7525000</v>
      </c>
      <c r="AQ24" s="4284"/>
      <c r="AR24" s="4278">
        <v>6489351</v>
      </c>
      <c r="AS24" s="4196"/>
      <c r="AT24" s="6675">
        <v>1277608000</v>
      </c>
      <c r="AU24" s="6676">
        <v>1267950487</v>
      </c>
      <c r="AV24" s="6677"/>
      <c r="AW24" s="6688">
        <f>AU24/AT24</f>
        <v>0.9924409419790734</v>
      </c>
      <c r="AY24" s="6673">
        <v>2192863000</v>
      </c>
      <c r="AZ24" s="8321"/>
      <c r="BA24" s="6689">
        <v>1942480312</v>
      </c>
      <c r="BB24" s="6690">
        <f>BA24/AY24</f>
        <v>0.88581927461952703</v>
      </c>
      <c r="BC24" s="6673">
        <v>2192863000</v>
      </c>
      <c r="BD24" s="6676">
        <v>1942480313</v>
      </c>
      <c r="BE24" s="6677"/>
      <c r="BF24" s="8145">
        <f>BD24/BC24</f>
        <v>0.88581927507555192</v>
      </c>
      <c r="BH24" s="6673">
        <v>2223355000</v>
      </c>
      <c r="BI24" s="8321"/>
      <c r="BJ24" s="6689">
        <v>1999993613</v>
      </c>
    </row>
    <row r="25" spans="1:62" x14ac:dyDescent="0.35">
      <c r="A25" s="9218"/>
      <c r="B25" s="6082"/>
      <c r="C25" s="1876" t="s">
        <v>490</v>
      </c>
      <c r="D25" s="1855"/>
      <c r="F25" s="4266"/>
      <c r="H25" s="4267">
        <v>98.343000000000004</v>
      </c>
      <c r="I25" s="1856">
        <v>103.008833</v>
      </c>
      <c r="J25" s="4176">
        <f t="shared" si="11"/>
        <v>1.0474444851184119</v>
      </c>
      <c r="L25" s="4268">
        <f>M25/J25</f>
        <v>123.3310612976268</v>
      </c>
      <c r="M25" s="4269">
        <v>129.18244000000001</v>
      </c>
      <c r="O25" s="4270">
        <v>4697</v>
      </c>
      <c r="P25" s="4285">
        <v>3983</v>
      </c>
      <c r="Q25" s="9377"/>
      <c r="R25" s="4263">
        <f t="shared" si="1"/>
        <v>0.84798807749627425</v>
      </c>
      <c r="S25" s="4234">
        <v>15113</v>
      </c>
      <c r="T25" s="4271"/>
      <c r="U25" s="9372"/>
      <c r="V25" s="4265">
        <f t="shared" si="9"/>
        <v>0</v>
      </c>
      <c r="X25" s="4286">
        <v>0</v>
      </c>
      <c r="Y25" s="9372"/>
      <c r="Z25" s="4274">
        <f t="shared" si="13"/>
        <v>0</v>
      </c>
      <c r="AB25" s="4237">
        <f>X25</f>
        <v>0</v>
      </c>
      <c r="AC25" s="4271"/>
      <c r="AD25" s="9372"/>
      <c r="AE25" s="4265">
        <f t="shared" si="10"/>
        <v>0</v>
      </c>
      <c r="AG25" s="4276"/>
      <c r="AH25" s="4287" t="s">
        <v>2195</v>
      </c>
      <c r="AI25" s="4278">
        <f>9664.643</f>
        <v>9664.643</v>
      </c>
      <c r="AK25" s="4237"/>
      <c r="AL25" s="4271">
        <v>9664643</v>
      </c>
      <c r="AM25" s="9372"/>
      <c r="AN25" s="4265"/>
      <c r="AP25" s="4276">
        <v>14550000</v>
      </c>
      <c r="AQ25" s="4287"/>
      <c r="AR25" s="4278">
        <v>10842050</v>
      </c>
      <c r="AS25" s="4288" t="s">
        <v>2196</v>
      </c>
      <c r="AT25" s="6675">
        <v>163000000</v>
      </c>
      <c r="AU25" s="6676">
        <v>157706767</v>
      </c>
      <c r="AV25" s="6677" t="s">
        <v>2197</v>
      </c>
      <c r="AW25" s="6688">
        <f>AU25/AT25</f>
        <v>0.96752617791411044</v>
      </c>
      <c r="AY25" s="6673">
        <v>375678000</v>
      </c>
      <c r="AZ25" s="8321" t="s">
        <v>2198</v>
      </c>
      <c r="BA25" s="6689">
        <v>263756907</v>
      </c>
      <c r="BB25" s="6690">
        <f>BA25/AY25</f>
        <v>0.70208238704422399</v>
      </c>
      <c r="BC25" s="6673">
        <v>375678000</v>
      </c>
      <c r="BD25" s="6676">
        <v>263756907</v>
      </c>
      <c r="BE25" t="s">
        <v>2199</v>
      </c>
      <c r="BF25" s="8145">
        <f>BD25/BC25</f>
        <v>0.70208238704422399</v>
      </c>
      <c r="BH25" s="6673">
        <v>375678000</v>
      </c>
      <c r="BI25" t="s">
        <v>2199</v>
      </c>
      <c r="BJ25" s="6689">
        <v>289902224</v>
      </c>
    </row>
    <row r="26" spans="1:62" x14ac:dyDescent="0.35">
      <c r="A26" s="9218"/>
      <c r="B26" s="6082"/>
      <c r="C26" s="1876"/>
      <c r="D26" s="1855"/>
      <c r="F26" s="4289"/>
      <c r="H26" s="4290"/>
      <c r="I26" s="4291"/>
      <c r="J26" s="4176">
        <f t="shared" si="11"/>
        <v>0</v>
      </c>
      <c r="L26" s="4268"/>
      <c r="M26" s="4269"/>
      <c r="O26" s="4292"/>
      <c r="P26" s="4293"/>
      <c r="Q26" s="4294"/>
      <c r="R26" s="4263">
        <f t="shared" si="1"/>
        <v>0</v>
      </c>
      <c r="S26" s="4295"/>
      <c r="T26" s="4271"/>
      <c r="U26" s="4245"/>
      <c r="V26" s="4265">
        <f t="shared" si="9"/>
        <v>0</v>
      </c>
      <c r="X26" s="4296"/>
      <c r="Y26" s="4245"/>
      <c r="Z26" s="4297"/>
      <c r="AB26" s="4298"/>
      <c r="AC26" s="4271"/>
      <c r="AD26" s="4245"/>
      <c r="AE26" s="4265">
        <f t="shared" si="10"/>
        <v>0</v>
      </c>
      <c r="AG26" s="4296"/>
      <c r="AH26" s="4245"/>
      <c r="AI26" s="4297"/>
      <c r="AK26" s="4298"/>
      <c r="AL26" s="4271"/>
      <c r="AM26" s="4245"/>
      <c r="AN26" s="4265"/>
      <c r="AP26" s="4296"/>
      <c r="AQ26" s="4245"/>
      <c r="AR26" s="4297"/>
      <c r="AS26" s="4196"/>
      <c r="AT26" s="6675"/>
      <c r="AU26" s="6676"/>
      <c r="AV26" s="2990"/>
      <c r="AW26" s="6691"/>
      <c r="AY26" s="6673"/>
      <c r="AZ26" s="2990"/>
      <c r="BA26" s="6689"/>
      <c r="BC26" s="6673"/>
      <c r="BD26" s="6676"/>
      <c r="BE26" s="2990"/>
      <c r="BF26" s="4176"/>
      <c r="BH26" s="6673"/>
      <c r="BI26" s="2990"/>
      <c r="BJ26" s="6689"/>
    </row>
    <row r="27" spans="1:62" x14ac:dyDescent="0.35">
      <c r="A27" s="9218"/>
      <c r="B27" s="6082"/>
      <c r="C27" s="1885" t="s">
        <v>497</v>
      </c>
      <c r="D27" s="1886"/>
      <c r="F27" s="4289"/>
      <c r="H27" s="4290"/>
      <c r="I27" s="4291"/>
      <c r="J27" s="4176">
        <f t="shared" si="11"/>
        <v>0</v>
      </c>
      <c r="L27" s="4299"/>
      <c r="M27" s="4269"/>
      <c r="O27" s="4292"/>
      <c r="P27" s="4293"/>
      <c r="Q27" s="4294"/>
      <c r="R27" s="4263">
        <f t="shared" si="1"/>
        <v>0</v>
      </c>
      <c r="S27" s="4295"/>
      <c r="T27" s="4271"/>
      <c r="U27" s="4245"/>
      <c r="V27" s="4265">
        <f t="shared" si="9"/>
        <v>0</v>
      </c>
      <c r="X27" s="4296"/>
      <c r="Y27" s="4245"/>
      <c r="Z27" s="4297"/>
      <c r="AB27" s="4298"/>
      <c r="AC27" s="4271"/>
      <c r="AD27" s="4245"/>
      <c r="AE27" s="4265">
        <f t="shared" si="10"/>
        <v>0</v>
      </c>
      <c r="AG27" s="4296"/>
      <c r="AH27" s="4245"/>
      <c r="AI27" s="4297"/>
      <c r="AK27" s="4298"/>
      <c r="AL27" s="4271"/>
      <c r="AM27" s="4245"/>
      <c r="AN27" s="4265"/>
      <c r="AP27" s="4296"/>
      <c r="AQ27" s="4245"/>
      <c r="AR27" s="4297"/>
      <c r="AS27" s="4196"/>
      <c r="AT27" s="6675"/>
      <c r="AU27" s="6676"/>
      <c r="AV27" s="2990"/>
      <c r="AW27" s="6691"/>
      <c r="AY27" s="6673"/>
      <c r="AZ27" s="2990"/>
      <c r="BA27" s="6689"/>
      <c r="BC27" s="6673"/>
      <c r="BD27" s="6676"/>
      <c r="BE27" s="2990"/>
      <c r="BF27" s="4176"/>
      <c r="BH27" s="6673"/>
      <c r="BI27" s="2990"/>
      <c r="BJ27" s="6689"/>
    </row>
    <row r="28" spans="1:62" x14ac:dyDescent="0.35">
      <c r="A28" s="9218"/>
      <c r="B28" s="6082"/>
      <c r="C28" s="1876" t="s">
        <v>499</v>
      </c>
      <c r="D28" s="1855"/>
      <c r="F28" s="4300">
        <f>IF(F23=0,0,(F25+F26-F27)/F23)</f>
        <v>0</v>
      </c>
      <c r="G28" s="1888"/>
      <c r="H28" s="4301">
        <f>IF(H23=0,0,(H25+H26-H27)/H23)</f>
        <v>4.759176673614398E-2</v>
      </c>
      <c r="I28" s="4302">
        <f>IF(I23=0,0,(I25+I26-I27)/I23)</f>
        <v>5.7773708429564412E-2</v>
      </c>
      <c r="J28" s="4176"/>
      <c r="K28" s="1888"/>
      <c r="L28" s="4303">
        <f t="shared" ref="L28" si="14">IF(L23=0,0,(L25+L26-L27)/L23)</f>
        <v>5.168285117326054E-2</v>
      </c>
      <c r="M28" s="4304">
        <f>IF(M23=0,0,(M25+M26-M27)/M23)</f>
        <v>6.2740053149253017E-2</v>
      </c>
      <c r="N28" s="4305"/>
      <c r="O28" s="4306">
        <f>IF(O23=0,0,(O25+O26-O27)/O23)</f>
        <v>2.2837188881590369E-3</v>
      </c>
      <c r="P28" s="4307">
        <f>IF(P23=0,0,(P25+P26-P27)/P23)</f>
        <v>2.0674176432788423E-3</v>
      </c>
      <c r="Q28" s="4308"/>
      <c r="R28" s="4263"/>
      <c r="S28" s="4307">
        <f>IF(S23=0,0,(S25+S26-S27)/S23)</f>
        <v>7.4398432577189666E-3</v>
      </c>
      <c r="T28" s="4309">
        <f>S28</f>
        <v>7.4398432577189666E-3</v>
      </c>
      <c r="U28" s="4245"/>
      <c r="V28" s="4265"/>
      <c r="X28" s="4310">
        <f>S28</f>
        <v>7.4398432577189666E-3</v>
      </c>
      <c r="Y28" s="4311"/>
      <c r="Z28" s="4312">
        <f>S28</f>
        <v>7.4398432577189666E-3</v>
      </c>
      <c r="AB28" s="4309">
        <f>X28</f>
        <v>7.4398432577189666E-3</v>
      </c>
      <c r="AC28" s="4309">
        <f>AB28</f>
        <v>7.4398432577189666E-3</v>
      </c>
      <c r="AD28" s="4245"/>
      <c r="AE28" s="4265"/>
      <c r="AG28" s="4310"/>
      <c r="AH28" s="4311"/>
      <c r="AI28" s="4312">
        <f>IF(AI23=0,0,(AI25+AI26-AI27)/AI23)</f>
        <v>3.9289521195038047E-3</v>
      </c>
      <c r="AK28" s="4309">
        <f>AG28</f>
        <v>0</v>
      </c>
      <c r="AL28" s="4309">
        <f>AK28</f>
        <v>0</v>
      </c>
      <c r="AM28" s="4245"/>
      <c r="AN28" s="4265"/>
      <c r="AP28" s="4310"/>
      <c r="AQ28" s="4311"/>
      <c r="AR28" s="4312">
        <f>IF(AR23=0,0,(AR25+AR26-AR27)/AR23)</f>
        <v>8.5508465126682819E-3</v>
      </c>
      <c r="AS28" s="4196"/>
      <c r="AT28" s="3472">
        <f>AT25/AT24</f>
        <v>0.12758216917865262</v>
      </c>
      <c r="AU28" s="6009">
        <f>AU25/AU24</f>
        <v>0.12437927869970525</v>
      </c>
      <c r="AV28" s="6692" t="s">
        <v>2200</v>
      </c>
      <c r="AW28" s="6693"/>
      <c r="AY28" s="6694">
        <f>AY25/AY24</f>
        <v>0.17131850006133534</v>
      </c>
      <c r="AZ28" s="6692" t="s">
        <v>2201</v>
      </c>
      <c r="BA28" s="6695">
        <f>BA25/BA24</f>
        <v>0.13578356772555025</v>
      </c>
      <c r="BC28" s="8146">
        <f>BC25/BC24</f>
        <v>0.17131850006133534</v>
      </c>
      <c r="BD28" s="5493">
        <f>BD25/BD24</f>
        <v>0.13578356765564811</v>
      </c>
      <c r="BE28" s="6692" t="s">
        <v>2200</v>
      </c>
      <c r="BF28" s="4251"/>
      <c r="BH28" s="8146">
        <f>BH25/BH24</f>
        <v>0.16896896806852707</v>
      </c>
      <c r="BI28" s="6692" t="s">
        <v>2201</v>
      </c>
      <c r="BJ28" s="8147">
        <f>BJ25/BJ24</f>
        <v>0.14495157490285446</v>
      </c>
    </row>
    <row r="29" spans="1:62" x14ac:dyDescent="0.35">
      <c r="A29" s="9218"/>
      <c r="B29" s="100" t="s">
        <v>552</v>
      </c>
      <c r="C29" s="1874"/>
      <c r="D29" s="1891"/>
      <c r="F29" s="4218"/>
      <c r="H29" s="4264"/>
      <c r="I29" s="1875"/>
      <c r="J29" s="4313"/>
      <c r="L29" s="1875"/>
      <c r="M29" s="4314">
        <f>L29*J29</f>
        <v>0</v>
      </c>
      <c r="O29" s="4262"/>
      <c r="P29" s="4315"/>
      <c r="Q29" s="4316"/>
      <c r="R29" s="4317"/>
      <c r="S29" s="4318"/>
      <c r="T29" s="4318"/>
      <c r="U29" s="4319"/>
      <c r="V29" s="4320"/>
      <c r="X29" s="4321"/>
      <c r="Y29" s="4322"/>
      <c r="Z29" s="4323"/>
      <c r="AB29" s="4318"/>
      <c r="AC29" s="4318"/>
      <c r="AD29" s="4319"/>
      <c r="AE29" s="4320"/>
      <c r="AG29" s="4321"/>
      <c r="AH29" s="4322"/>
      <c r="AI29" s="4323"/>
      <c r="AK29" s="4318"/>
      <c r="AL29" s="4318"/>
      <c r="AM29" s="4319"/>
      <c r="AN29" s="4320"/>
      <c r="AP29" s="4321"/>
      <c r="AQ29" s="4322"/>
      <c r="AR29" s="4323"/>
      <c r="AS29" s="4324"/>
      <c r="AT29" s="6696"/>
      <c r="AU29" s="6697"/>
      <c r="AV29" s="6698"/>
      <c r="AW29" s="6699"/>
      <c r="AY29" s="6696"/>
      <c r="AZ29" s="6698"/>
      <c r="BA29" s="6700"/>
      <c r="BC29" s="8148"/>
      <c r="BD29" s="8149"/>
      <c r="BE29" s="4319"/>
      <c r="BF29" s="4320"/>
      <c r="BH29" s="8148"/>
      <c r="BI29" s="4319"/>
      <c r="BJ29" s="8150"/>
    </row>
    <row r="30" spans="1:62" x14ac:dyDescent="0.35">
      <c r="A30" s="9218"/>
      <c r="B30" s="6082"/>
      <c r="C30" s="1893" t="s">
        <v>11</v>
      </c>
      <c r="D30" s="1894"/>
      <c r="F30" s="4241"/>
      <c r="H30" s="3530"/>
      <c r="I30" s="1869"/>
      <c r="J30" s="4176"/>
      <c r="L30" s="1869"/>
      <c r="M30" s="4325"/>
      <c r="O30" s="4326"/>
      <c r="P30" s="4285"/>
      <c r="Q30" s="4327"/>
      <c r="R30" s="4328"/>
      <c r="S30" s="4329"/>
      <c r="T30" s="4329"/>
      <c r="U30" s="4330"/>
      <c r="V30" s="4331"/>
      <c r="X30" s="4332"/>
      <c r="Y30" s="4333"/>
      <c r="Z30" s="4334"/>
      <c r="AB30" s="4329"/>
      <c r="AC30" s="4329"/>
      <c r="AD30" s="4330"/>
      <c r="AE30" s="4331"/>
      <c r="AG30" s="4332"/>
      <c r="AH30" s="4333"/>
      <c r="AI30" s="4334"/>
      <c r="AK30" s="4329"/>
      <c r="AL30" s="4329"/>
      <c r="AM30" s="4330"/>
      <c r="AN30" s="4331"/>
      <c r="AP30" s="4332"/>
      <c r="AQ30" s="4333"/>
      <c r="AR30" s="4334"/>
      <c r="AS30" s="4335"/>
      <c r="AT30" s="6675"/>
      <c r="AU30" s="6676"/>
      <c r="AV30" s="6701"/>
      <c r="AW30" s="6702"/>
      <c r="AY30" s="6678"/>
      <c r="AZ30" s="6701"/>
      <c r="BA30" s="6703"/>
      <c r="BC30" s="6675"/>
      <c r="BD30" s="6676"/>
      <c r="BE30" s="4330"/>
      <c r="BF30" s="4331"/>
      <c r="BH30" s="6678"/>
      <c r="BI30" s="4330"/>
      <c r="BJ30" s="6703"/>
    </row>
    <row r="31" spans="1:62" x14ac:dyDescent="0.35">
      <c r="A31" s="9218"/>
      <c r="B31" s="844"/>
      <c r="C31" s="1896" t="s">
        <v>502</v>
      </c>
      <c r="D31" s="1897"/>
      <c r="F31" s="4336"/>
      <c r="H31" s="4337"/>
      <c r="I31" s="1898"/>
      <c r="J31" s="4251"/>
      <c r="L31" s="1898"/>
      <c r="M31" s="4338"/>
      <c r="O31" s="4339"/>
      <c r="P31" s="4340"/>
      <c r="Q31" s="4341"/>
      <c r="R31" s="4342"/>
      <c r="S31" s="4343"/>
      <c r="T31" s="4343"/>
      <c r="U31" s="4344"/>
      <c r="V31" s="4345"/>
      <c r="X31" s="4346"/>
      <c r="Y31" s="4347"/>
      <c r="Z31" s="4348"/>
      <c r="AB31" s="4343"/>
      <c r="AC31" s="4343"/>
      <c r="AD31" s="4344"/>
      <c r="AE31" s="4345"/>
      <c r="AG31" s="4346"/>
      <c r="AH31" s="4347"/>
      <c r="AI31" s="4348"/>
      <c r="AK31" s="4343"/>
      <c r="AL31" s="4343"/>
      <c r="AM31" s="4344"/>
      <c r="AN31" s="4345"/>
      <c r="AP31" s="4346"/>
      <c r="AQ31" s="4347"/>
      <c r="AR31" s="4348"/>
      <c r="AS31" s="4349"/>
      <c r="AT31" s="6681"/>
      <c r="AU31" s="6682"/>
      <c r="AV31" s="6704"/>
      <c r="AW31" s="6705"/>
      <c r="AY31" s="6684"/>
      <c r="AZ31" s="6704"/>
      <c r="BA31" s="6706"/>
      <c r="BC31" s="6681"/>
      <c r="BD31" s="6682"/>
      <c r="BE31" s="4344"/>
      <c r="BF31" s="4345"/>
      <c r="BH31" s="6684"/>
      <c r="BI31" s="4344"/>
      <c r="BJ31" s="6706"/>
    </row>
    <row r="32" spans="1:62" x14ac:dyDescent="0.35">
      <c r="A32" s="1901"/>
      <c r="B32" s="1901"/>
      <c r="F32" s="4350"/>
      <c r="H32" s="1864"/>
      <c r="I32" s="1864"/>
      <c r="J32" s="4351"/>
      <c r="L32" s="1864"/>
      <c r="M32" s="4136"/>
      <c r="O32" s="4352"/>
      <c r="P32" s="4353"/>
      <c r="Q32" s="4327"/>
      <c r="R32" s="4263"/>
      <c r="S32" s="4354"/>
      <c r="T32" s="4354"/>
      <c r="U32" s="4330"/>
      <c r="V32" s="4355"/>
      <c r="X32" s="1022"/>
      <c r="Y32" s="4330"/>
      <c r="Z32" s="4334"/>
      <c r="AB32" s="4354"/>
      <c r="AC32" s="4354"/>
      <c r="AD32" s="4330"/>
      <c r="AE32" s="4355"/>
      <c r="AG32" s="1022"/>
      <c r="AH32" s="4330"/>
      <c r="AI32" s="4334"/>
      <c r="AK32" s="4354"/>
      <c r="AL32" s="4354"/>
      <c r="AM32" s="4330"/>
      <c r="AN32" s="4355"/>
      <c r="AP32" s="1022"/>
      <c r="AQ32" s="4330"/>
      <c r="AR32" s="4334"/>
      <c r="AT32" s="6707"/>
      <c r="AU32" s="6707"/>
      <c r="AV32" s="6701"/>
      <c r="AW32" s="6708"/>
      <c r="AY32" s="5341"/>
      <c r="AZ32" s="6701"/>
      <c r="BA32" s="6709"/>
      <c r="BC32" s="4354"/>
      <c r="BD32" s="4354"/>
      <c r="BE32" s="4330"/>
      <c r="BF32" s="4355"/>
      <c r="BH32" s="1022"/>
      <c r="BI32" s="4330"/>
      <c r="BJ32" s="4334"/>
    </row>
    <row r="33" spans="1:62" ht="45" customHeight="1" x14ac:dyDescent="0.35">
      <c r="A33" s="9167" t="s">
        <v>503</v>
      </c>
      <c r="B33" s="27"/>
      <c r="C33" s="28" t="s">
        <v>427</v>
      </c>
      <c r="D33" s="585"/>
      <c r="F33" s="4154"/>
      <c r="G33" s="223"/>
      <c r="H33" s="36" t="s">
        <v>2202</v>
      </c>
      <c r="I33" s="36"/>
      <c r="J33" s="224"/>
      <c r="K33" s="223"/>
      <c r="L33" s="31" t="s">
        <v>2162</v>
      </c>
      <c r="M33" s="4158" t="s">
        <v>593</v>
      </c>
      <c r="O33" s="4356" t="s">
        <v>2203</v>
      </c>
      <c r="P33" s="4357" t="s">
        <v>2204</v>
      </c>
      <c r="Q33" s="4358"/>
      <c r="R33" s="4328"/>
      <c r="S33" s="4357" t="s">
        <v>2205</v>
      </c>
      <c r="T33" s="4357" t="s">
        <v>2206</v>
      </c>
      <c r="U33" s="4322"/>
      <c r="V33" s="4355"/>
      <c r="X33" s="36" t="s">
        <v>2207</v>
      </c>
      <c r="Y33" s="4322"/>
      <c r="Z33" s="4158" t="s">
        <v>593</v>
      </c>
      <c r="AB33" s="4357" t="s">
        <v>2205</v>
      </c>
      <c r="AC33" s="4357" t="s">
        <v>2206</v>
      </c>
      <c r="AD33" s="4322"/>
      <c r="AE33" s="4355"/>
      <c r="AG33" s="36" t="s">
        <v>2207</v>
      </c>
      <c r="AH33" s="4322"/>
      <c r="AI33" s="4158" t="s">
        <v>593</v>
      </c>
      <c r="AK33" s="4357" t="s">
        <v>2205</v>
      </c>
      <c r="AL33" s="4357" t="s">
        <v>2206</v>
      </c>
      <c r="AM33" s="4322"/>
      <c r="AN33" s="4355"/>
      <c r="AP33" s="31" t="s">
        <v>2208</v>
      </c>
      <c r="AQ33" s="31" t="s">
        <v>2209</v>
      </c>
      <c r="AR33" s="4158"/>
      <c r="AS33" s="4359"/>
      <c r="AT33" s="9182" t="s">
        <v>2210</v>
      </c>
      <c r="AU33" s="9183"/>
      <c r="AV33" s="6710" t="s">
        <v>2211</v>
      </c>
      <c r="AW33" s="6711"/>
      <c r="AY33" s="31" t="s">
        <v>2212</v>
      </c>
      <c r="AZ33" s="6712" t="s">
        <v>2175</v>
      </c>
      <c r="BA33" s="31" t="s">
        <v>2212</v>
      </c>
      <c r="BC33" s="9182" t="s">
        <v>2210</v>
      </c>
      <c r="BD33" s="9183"/>
      <c r="BE33" s="8151" t="s">
        <v>2211</v>
      </c>
      <c r="BF33" s="8152"/>
      <c r="BH33" s="31" t="s">
        <v>2212</v>
      </c>
      <c r="BI33" s="6712" t="s">
        <v>2175</v>
      </c>
      <c r="BJ33" s="31" t="s">
        <v>2212</v>
      </c>
    </row>
    <row r="34" spans="1:62" x14ac:dyDescent="0.35">
      <c r="A34" s="9168"/>
      <c r="B34" s="43" t="s">
        <v>514</v>
      </c>
      <c r="C34" s="1828"/>
      <c r="D34" s="585"/>
      <c r="E34" s="12"/>
      <c r="F34" s="4218"/>
      <c r="G34" s="12"/>
      <c r="H34" s="4264"/>
      <c r="I34" s="4360"/>
      <c r="J34" s="4361"/>
      <c r="K34" s="12"/>
      <c r="L34" s="4264"/>
      <c r="M34" s="4136"/>
      <c r="N34" s="12"/>
      <c r="O34" s="4262"/>
      <c r="P34" s="4362"/>
      <c r="Q34" s="4225"/>
      <c r="R34" s="4328"/>
      <c r="S34" s="4295"/>
      <c r="T34" s="4363"/>
      <c r="U34" s="4245"/>
      <c r="V34" s="4265"/>
      <c r="X34" s="1865"/>
      <c r="Y34" s="4245"/>
      <c r="Z34" s="4297"/>
      <c r="AB34" s="4295"/>
      <c r="AC34" s="4363"/>
      <c r="AD34" s="4245"/>
      <c r="AE34" s="4265"/>
      <c r="AG34" s="1865"/>
      <c r="AH34" s="4245"/>
      <c r="AI34" s="4297"/>
      <c r="AK34" s="4295"/>
      <c r="AL34" s="4363"/>
      <c r="AM34" s="4245"/>
      <c r="AN34" s="4265"/>
      <c r="AP34" s="1865"/>
      <c r="AQ34" s="4245"/>
      <c r="AR34" s="4297"/>
      <c r="AS34" s="1832"/>
      <c r="AT34" s="4271"/>
      <c r="AU34" s="1864"/>
      <c r="AV34" s="4472"/>
      <c r="AW34" s="6686"/>
      <c r="AY34" s="6667"/>
      <c r="AZ34" s="4472" t="s">
        <v>2198</v>
      </c>
      <c r="BA34" s="6687"/>
      <c r="BC34" s="4271"/>
      <c r="BD34" s="1864"/>
      <c r="BE34" s="4472"/>
      <c r="BF34" s="4313"/>
      <c r="BH34" s="6667"/>
      <c r="BI34" s="4472"/>
      <c r="BJ34" s="6687"/>
    </row>
    <row r="35" spans="1:62" ht="15.5" x14ac:dyDescent="0.35">
      <c r="A35" s="9168"/>
      <c r="B35" s="1903"/>
      <c r="C35" s="1903" t="s">
        <v>2213</v>
      </c>
      <c r="D35" s="1855"/>
      <c r="F35" s="4230"/>
      <c r="H35" s="4231">
        <v>962.61</v>
      </c>
      <c r="I35" s="4364"/>
      <c r="J35" s="4176">
        <f t="shared" ref="J35:J38" si="15">IF(H35=0,0,I35/H35)</f>
        <v>0</v>
      </c>
      <c r="L35" s="4365">
        <v>772.75400000000002</v>
      </c>
      <c r="M35" s="4179">
        <f t="shared" ref="M35:M36" si="16">L35*J35</f>
        <v>0</v>
      </c>
      <c r="O35" s="4366">
        <v>844109</v>
      </c>
      <c r="P35" s="4273">
        <v>841986</v>
      </c>
      <c r="Q35" s="9375" t="s">
        <v>2214</v>
      </c>
      <c r="R35" s="4367">
        <f>IF(O35=0,0,P35/O35)</f>
        <v>0.99748492197097771</v>
      </c>
      <c r="S35" s="4234">
        <v>924754</v>
      </c>
      <c r="T35" s="4368">
        <f>S35*R35</f>
        <v>922428.17153234954</v>
      </c>
      <c r="U35" s="9370" t="s">
        <v>2214</v>
      </c>
      <c r="V35" s="4265">
        <f t="shared" ref="V35:V37" si="17">IF(S35=0,0,T35/S35)</f>
        <v>0.99748492197097771</v>
      </c>
      <c r="X35" s="4369">
        <v>1081470.5930000001</v>
      </c>
      <c r="Y35" s="9370" t="s">
        <v>2214</v>
      </c>
      <c r="Z35" s="4297">
        <f>X35*V35</f>
        <v>1078750.6100725122</v>
      </c>
      <c r="AB35" s="4237">
        <f>X35</f>
        <v>1081470.5930000001</v>
      </c>
      <c r="AC35" s="4370">
        <f>Z35</f>
        <v>1078750.6100725122</v>
      </c>
      <c r="AD35" s="9370" t="s">
        <v>2215</v>
      </c>
      <c r="AE35" s="4265">
        <f t="shared" ref="AE35:AE37" si="18">IF(AB35=0,0,AC35/AB35)</f>
        <v>0.99748492197097782</v>
      </c>
      <c r="AG35" s="4369"/>
      <c r="AH35" s="9370"/>
      <c r="AI35" s="4371"/>
      <c r="AK35" s="4237">
        <f>AG35</f>
        <v>0</v>
      </c>
      <c r="AL35" s="4370">
        <f>AI35</f>
        <v>0</v>
      </c>
      <c r="AM35" s="9370" t="s">
        <v>2215</v>
      </c>
      <c r="AN35" s="4265"/>
      <c r="AP35" s="4369">
        <v>1413247960</v>
      </c>
      <c r="AQ35" s="9370"/>
      <c r="AR35" s="4371">
        <v>1658143765</v>
      </c>
      <c r="AS35" s="4196"/>
      <c r="AT35" s="6675">
        <v>1413247960</v>
      </c>
      <c r="AU35" s="6676">
        <v>1658143765</v>
      </c>
      <c r="AV35" s="6677" t="s">
        <v>2216</v>
      </c>
      <c r="AW35" s="6691">
        <f>AU35/AT35</f>
        <v>1.1732858011696687</v>
      </c>
      <c r="AY35" s="6678">
        <v>2069170828</v>
      </c>
      <c r="AZ35" s="8321"/>
      <c r="BA35" s="6703">
        <v>2255224711</v>
      </c>
      <c r="BC35" s="6678">
        <v>2069170828</v>
      </c>
      <c r="BD35" s="6676">
        <v>2255224711</v>
      </c>
      <c r="BE35" t="s">
        <v>2199</v>
      </c>
      <c r="BF35" s="4176">
        <f>BD35/BC35</f>
        <v>1.08991712065641</v>
      </c>
      <c r="BH35" s="6678">
        <v>2610674224</v>
      </c>
      <c r="BI35" t="s">
        <v>2199</v>
      </c>
      <c r="BJ35" s="6703">
        <v>2448928387</v>
      </c>
    </row>
    <row r="36" spans="1:62" x14ac:dyDescent="0.35">
      <c r="A36" s="9168"/>
      <c r="B36" s="1903"/>
      <c r="C36" s="1903" t="s">
        <v>2217</v>
      </c>
      <c r="D36" s="1855"/>
      <c r="F36" s="4266"/>
      <c r="H36" s="4290">
        <v>346.62</v>
      </c>
      <c r="I36" s="4364"/>
      <c r="J36" s="4176">
        <f t="shared" si="15"/>
        <v>0</v>
      </c>
      <c r="L36" s="4365">
        <v>631.81100000000004</v>
      </c>
      <c r="M36" s="4179">
        <f t="shared" si="16"/>
        <v>0</v>
      </c>
      <c r="O36" s="4366">
        <v>291623</v>
      </c>
      <c r="P36" s="4273">
        <v>135882</v>
      </c>
      <c r="Q36" s="9376"/>
      <c r="R36" s="4367">
        <f t="shared" si="1"/>
        <v>0.46595090236366815</v>
      </c>
      <c r="S36" s="4234">
        <v>592811</v>
      </c>
      <c r="T36" s="4372">
        <v>144071</v>
      </c>
      <c r="U36" s="9371"/>
      <c r="V36" s="4265">
        <f t="shared" si="17"/>
        <v>0.24303024066692419</v>
      </c>
      <c r="X36" s="4369">
        <v>284831</v>
      </c>
      <c r="Y36" s="9371"/>
      <c r="Z36" s="4297">
        <f t="shared" ref="Z36:Z38" si="19">X36*V36</f>
        <v>69222.546479400684</v>
      </c>
      <c r="AB36" s="4237">
        <f>X36</f>
        <v>284831</v>
      </c>
      <c r="AC36" s="4373">
        <f>Z36</f>
        <v>69222.546479400684</v>
      </c>
      <c r="AD36" s="9371"/>
      <c r="AE36" s="4265">
        <f t="shared" si="18"/>
        <v>0.24303024066692419</v>
      </c>
      <c r="AG36" s="4369"/>
      <c r="AH36" s="9371"/>
      <c r="AI36" s="4371"/>
      <c r="AK36" s="4237">
        <f>AG36</f>
        <v>0</v>
      </c>
      <c r="AL36" s="4373">
        <f>AI36</f>
        <v>0</v>
      </c>
      <c r="AM36" s="9371"/>
      <c r="AN36" s="4265"/>
      <c r="AP36" s="4369"/>
      <c r="AQ36" s="9371"/>
      <c r="AR36" s="4371"/>
      <c r="AS36" s="4196"/>
      <c r="AT36" s="6675"/>
      <c r="AU36" s="6676"/>
      <c r="AV36" s="6677"/>
      <c r="AW36" s="6691"/>
      <c r="AY36" s="6678"/>
      <c r="AZ36" s="8321"/>
      <c r="BA36" s="6703"/>
      <c r="BC36" s="6678"/>
      <c r="BD36" s="6676"/>
      <c r="BE36" s="6677"/>
      <c r="BF36" s="4176"/>
      <c r="BH36" s="6678"/>
      <c r="BI36" s="6677"/>
      <c r="BJ36" s="6703"/>
    </row>
    <row r="37" spans="1:62" ht="15.5" x14ac:dyDescent="0.35">
      <c r="A37" s="9168"/>
      <c r="B37" s="1905"/>
      <c r="C37" s="1903" t="s">
        <v>2218</v>
      </c>
      <c r="D37" s="1855"/>
      <c r="F37" s="4266"/>
      <c r="H37" s="4290">
        <v>97.9</v>
      </c>
      <c r="I37" s="4364"/>
      <c r="J37" s="4176">
        <f t="shared" si="15"/>
        <v>0</v>
      </c>
      <c r="L37" s="4374">
        <v>142.78399999999999</v>
      </c>
      <c r="M37" s="4179">
        <f>L37*J37</f>
        <v>0</v>
      </c>
      <c r="O37" s="4366">
        <v>97897</v>
      </c>
      <c r="P37" s="4273">
        <v>132679.546</v>
      </c>
      <c r="Q37" s="9376"/>
      <c r="R37" s="4367">
        <f t="shared" si="1"/>
        <v>1.3552973635555738</v>
      </c>
      <c r="S37" s="4234">
        <v>142784</v>
      </c>
      <c r="T37" s="4368">
        <f>S37</f>
        <v>142784</v>
      </c>
      <c r="U37" s="9371"/>
      <c r="V37" s="4265">
        <f t="shared" si="17"/>
        <v>1</v>
      </c>
      <c r="X37" s="4369">
        <v>140817.522</v>
      </c>
      <c r="Y37" s="9371"/>
      <c r="Z37" s="4297">
        <f t="shared" si="19"/>
        <v>140817.522</v>
      </c>
      <c r="AB37" s="4237">
        <f>X37</f>
        <v>140817.522</v>
      </c>
      <c r="AC37" s="4370">
        <f>Z37</f>
        <v>140817.522</v>
      </c>
      <c r="AD37" s="9371"/>
      <c r="AE37" s="4265">
        <f t="shared" si="18"/>
        <v>1</v>
      </c>
      <c r="AG37" s="4369"/>
      <c r="AH37" s="9371"/>
      <c r="AI37" s="4371"/>
      <c r="AK37" s="4237">
        <f>AG37</f>
        <v>0</v>
      </c>
      <c r="AL37" s="4370">
        <f>AI37</f>
        <v>0</v>
      </c>
      <c r="AM37" s="9371"/>
      <c r="AN37" s="4265"/>
      <c r="AP37" s="4369">
        <v>239941950</v>
      </c>
      <c r="AQ37" s="9371"/>
      <c r="AR37" s="4371">
        <v>244756482</v>
      </c>
      <c r="AS37" s="4196"/>
      <c r="AT37" s="6675">
        <v>239941950</v>
      </c>
      <c r="AU37" s="6676">
        <v>244756482</v>
      </c>
      <c r="AV37" s="6677"/>
      <c r="AW37" s="6691">
        <f>AU37/AT37</f>
        <v>1.0200654033194279</v>
      </c>
      <c r="AY37" s="6678">
        <v>341139522</v>
      </c>
      <c r="AZ37" s="8321"/>
      <c r="BA37" s="6703">
        <v>294352296</v>
      </c>
      <c r="BC37" s="6678">
        <v>341139522</v>
      </c>
      <c r="BD37" s="6676">
        <v>294352296</v>
      </c>
      <c r="BE37" t="s">
        <v>2199</v>
      </c>
      <c r="BF37" s="4176">
        <f>BD37/BC37</f>
        <v>0.8628501742463015</v>
      </c>
      <c r="BH37" s="6678">
        <v>298016066</v>
      </c>
      <c r="BI37" t="s">
        <v>2199</v>
      </c>
      <c r="BJ37" s="6703">
        <v>258205504</v>
      </c>
    </row>
    <row r="38" spans="1:62" x14ac:dyDescent="0.35">
      <c r="A38" s="9168"/>
      <c r="B38" s="1905"/>
      <c r="C38" s="1903" t="s">
        <v>2219</v>
      </c>
      <c r="D38" s="1855"/>
      <c r="F38" s="4289"/>
      <c r="H38" s="4290">
        <v>168.26</v>
      </c>
      <c r="I38" s="4364"/>
      <c r="J38" s="4176">
        <f t="shared" si="15"/>
        <v>0</v>
      </c>
      <c r="L38" s="4374">
        <v>1102.6130000000001</v>
      </c>
      <c r="M38" s="4179">
        <f>L38*J38</f>
        <v>0</v>
      </c>
      <c r="O38" s="4366">
        <v>757309</v>
      </c>
      <c r="P38" s="4273">
        <v>34470</v>
      </c>
      <c r="Q38" s="9377"/>
      <c r="R38" s="4367">
        <f t="shared" si="1"/>
        <v>4.5516427244361286E-2</v>
      </c>
      <c r="S38" s="4234">
        <v>1102613</v>
      </c>
      <c r="T38" s="4372">
        <v>15800</v>
      </c>
      <c r="U38" s="9372"/>
      <c r="V38" s="4265">
        <f>IF(S38=0,0,T38/S38)</f>
        <v>1.4329597057172372E-2</v>
      </c>
      <c r="X38" s="4369">
        <v>795937</v>
      </c>
      <c r="Y38" s="9372"/>
      <c r="Z38" s="4297">
        <f t="shared" si="19"/>
        <v>11405.456492894606</v>
      </c>
      <c r="AB38" s="4237">
        <f>X38</f>
        <v>795937</v>
      </c>
      <c r="AC38" s="4373">
        <f>Z38</f>
        <v>11405.456492894606</v>
      </c>
      <c r="AD38" s="9372"/>
      <c r="AE38" s="4265">
        <f>IF(AB38=0,0,AC38/AB38)</f>
        <v>1.432959705717237E-2</v>
      </c>
      <c r="AG38" s="4369"/>
      <c r="AH38" s="9372"/>
      <c r="AI38" s="4371"/>
      <c r="AK38" s="4237">
        <f>AG38</f>
        <v>0</v>
      </c>
      <c r="AL38" s="4373">
        <f>AI38</f>
        <v>0</v>
      </c>
      <c r="AM38" s="9372"/>
      <c r="AN38" s="4265"/>
      <c r="AP38" s="4369"/>
      <c r="AQ38" s="9372"/>
      <c r="AR38" s="4371"/>
      <c r="AS38" s="4196"/>
      <c r="AT38" s="6675"/>
      <c r="AU38" s="6676"/>
      <c r="AV38" s="6677"/>
      <c r="AW38" s="6691"/>
      <c r="AY38" s="6678"/>
      <c r="AZ38" s="8321"/>
      <c r="BA38" s="6703"/>
      <c r="BC38" s="6678"/>
      <c r="BD38" s="6676"/>
      <c r="BE38" s="6677"/>
      <c r="BF38" s="4176"/>
      <c r="BH38" s="6678"/>
      <c r="BI38" s="8321"/>
      <c r="BJ38" s="6703"/>
    </row>
    <row r="39" spans="1:62" x14ac:dyDescent="0.35">
      <c r="A39" s="9168"/>
      <c r="B39" s="43" t="s">
        <v>531</v>
      </c>
      <c r="C39" s="1828"/>
      <c r="D39" s="1855"/>
      <c r="E39" s="12"/>
      <c r="F39" s="4375"/>
      <c r="G39" s="12"/>
      <c r="H39" s="4363"/>
      <c r="I39" s="1864"/>
      <c r="J39" s="4376"/>
      <c r="K39" s="12"/>
      <c r="L39" s="4363"/>
      <c r="M39" s="4377"/>
      <c r="N39" s="12"/>
      <c r="O39" s="4378"/>
      <c r="P39" s="4379"/>
      <c r="Q39" s="4380"/>
      <c r="R39" s="4367"/>
      <c r="S39" s="4295"/>
      <c r="T39" s="4363"/>
      <c r="U39" s="4245"/>
      <c r="V39" s="4265"/>
      <c r="X39" s="1865"/>
      <c r="Y39" s="4245"/>
      <c r="Z39" s="4297"/>
      <c r="AB39" s="4295"/>
      <c r="AC39" s="4363"/>
      <c r="AD39" s="4245"/>
      <c r="AE39" s="4265"/>
      <c r="AG39" s="1865"/>
      <c r="AH39" s="4245"/>
      <c r="AI39" s="4297"/>
      <c r="AK39" s="4295"/>
      <c r="AL39" s="4363"/>
      <c r="AM39" s="4245"/>
      <c r="AN39" s="4265"/>
      <c r="AP39" s="1865"/>
      <c r="AQ39" s="4245"/>
      <c r="AR39" s="4297"/>
      <c r="AS39" s="4196" t="s">
        <v>1099</v>
      </c>
      <c r="AT39" s="4271"/>
      <c r="AU39" s="1864"/>
      <c r="AV39" s="2990"/>
      <c r="AW39" s="6691"/>
      <c r="AY39" s="4271"/>
      <c r="AZ39" s="2990"/>
      <c r="BA39" s="6713"/>
      <c r="BB39" s="1828" t="s">
        <v>1099</v>
      </c>
      <c r="BC39" s="4271"/>
      <c r="BD39" s="1864"/>
      <c r="BE39" s="2990"/>
      <c r="BF39" s="4176"/>
      <c r="BH39" s="4271"/>
      <c r="BI39" s="2990"/>
      <c r="BJ39" s="6713"/>
    </row>
    <row r="40" spans="1:62" x14ac:dyDescent="0.35">
      <c r="A40" s="9168"/>
      <c r="B40" s="1903"/>
      <c r="C40" s="1903" t="s">
        <v>532</v>
      </c>
      <c r="D40" s="1855"/>
      <c r="F40" s="4230"/>
      <c r="H40" s="4381"/>
      <c r="I40" s="4382"/>
      <c r="J40" s="4176"/>
      <c r="L40" s="4381"/>
      <c r="M40" s="4325"/>
      <c r="O40" s="4383"/>
      <c r="P40" s="4384"/>
      <c r="Q40" s="4385"/>
      <c r="S40" s="1869">
        <f t="shared" ref="S40" si="20">L40</f>
        <v>0</v>
      </c>
      <c r="T40" s="3530"/>
      <c r="U40" s="4245"/>
      <c r="V40" s="4265">
        <f>IF(S40=0,0,T40/S40)</f>
        <v>0</v>
      </c>
      <c r="X40" s="1869"/>
      <c r="Y40" s="4245"/>
      <c r="Z40" s="4297">
        <f>X40*V40</f>
        <v>0</v>
      </c>
      <c r="AB40" s="1869">
        <f t="shared" ref="AB40" si="21">U40</f>
        <v>0</v>
      </c>
      <c r="AC40" s="3530"/>
      <c r="AD40" s="4245"/>
      <c r="AE40" s="4265">
        <f>IF(AB40=0,0,AC40/AB40)</f>
        <v>0</v>
      </c>
      <c r="AG40" s="1869"/>
      <c r="AH40" s="4245"/>
      <c r="AI40" s="4297"/>
      <c r="AK40" s="1869">
        <f t="shared" ref="AK40" si="22">AD40</f>
        <v>0</v>
      </c>
      <c r="AL40" s="3530"/>
      <c r="AM40" s="4245"/>
      <c r="AN40" s="4265"/>
      <c r="AP40" s="1869"/>
      <c r="AQ40" s="4245"/>
      <c r="AR40" s="4297"/>
      <c r="AS40" s="4196"/>
      <c r="AT40" s="6675">
        <f>AM40</f>
        <v>0</v>
      </c>
      <c r="AU40" s="6676"/>
      <c r="AV40" s="2990"/>
      <c r="AW40" s="6691"/>
      <c r="AY40" s="6678"/>
      <c r="AZ40" s="2990"/>
      <c r="BA40" s="6703"/>
      <c r="BC40" s="6678"/>
      <c r="BD40" s="6676"/>
      <c r="BE40" s="2990"/>
      <c r="BF40" s="4176"/>
      <c r="BH40" s="6678"/>
      <c r="BI40" s="2990"/>
      <c r="BJ40" s="6703"/>
    </row>
    <row r="41" spans="1:62" x14ac:dyDescent="0.35">
      <c r="A41" s="9168"/>
      <c r="B41" s="1903"/>
      <c r="C41" s="1903" t="s">
        <v>533</v>
      </c>
      <c r="D41" s="1855"/>
      <c r="F41" s="4266"/>
      <c r="H41" s="4386"/>
      <c r="I41" s="4387"/>
      <c r="J41" s="4176"/>
      <c r="L41" s="4386"/>
      <c r="M41" s="4325"/>
      <c r="O41" s="4383"/>
      <c r="P41" s="4384"/>
      <c r="Q41" s="4385"/>
      <c r="S41" s="1869"/>
      <c r="T41" s="3530"/>
      <c r="U41" s="4245"/>
      <c r="V41" s="4265">
        <f>IF(S41=0,0,T41/S41)</f>
        <v>0</v>
      </c>
      <c r="X41" s="1869"/>
      <c r="Y41" s="4245"/>
      <c r="Z41" s="4297">
        <f>X41*V41</f>
        <v>0</v>
      </c>
      <c r="AB41" s="1869"/>
      <c r="AC41" s="3530"/>
      <c r="AD41" s="4245"/>
      <c r="AE41" s="4265">
        <f>IF(AB41=0,0,AC41/AB41)</f>
        <v>0</v>
      </c>
      <c r="AG41" s="1869"/>
      <c r="AH41" s="4245"/>
      <c r="AI41" s="4297"/>
      <c r="AK41" s="1869"/>
      <c r="AL41" s="3530"/>
      <c r="AM41" s="4245"/>
      <c r="AN41" s="4265"/>
      <c r="AP41" s="1869"/>
      <c r="AQ41" s="4245"/>
      <c r="AR41" s="4297"/>
      <c r="AS41" s="4196"/>
      <c r="AT41" s="6675"/>
      <c r="AU41" s="6676"/>
      <c r="AV41" s="2990"/>
      <c r="AW41" s="6691"/>
      <c r="AY41" s="6678"/>
      <c r="AZ41" s="2990"/>
      <c r="BA41" s="6703"/>
      <c r="BC41" s="6678"/>
      <c r="BD41" s="6676"/>
      <c r="BE41" s="2990"/>
      <c r="BF41" s="4176"/>
      <c r="BH41" s="6678"/>
      <c r="BI41" s="2990"/>
      <c r="BJ41" s="6703"/>
    </row>
    <row r="42" spans="1:62" x14ac:dyDescent="0.35">
      <c r="A42" s="9168"/>
      <c r="B42" s="1906"/>
      <c r="C42" s="1906" t="s">
        <v>534</v>
      </c>
      <c r="D42" s="1872"/>
      <c r="F42" s="4249"/>
      <c r="H42" s="4388"/>
      <c r="I42" s="4389"/>
      <c r="J42" s="4176"/>
      <c r="L42" s="4390"/>
      <c r="M42" s="4338"/>
      <c r="O42" s="4383"/>
      <c r="P42" s="4384"/>
      <c r="Q42" s="4150"/>
      <c r="S42" s="1898"/>
      <c r="T42" s="4337"/>
      <c r="U42" s="4257"/>
      <c r="V42" s="4351"/>
      <c r="X42" s="1898"/>
      <c r="Y42" s="4257"/>
      <c r="Z42" s="4391"/>
      <c r="AB42" s="1898"/>
      <c r="AC42" s="4337"/>
      <c r="AD42" s="4257"/>
      <c r="AE42" s="4351"/>
      <c r="AG42" s="1898"/>
      <c r="AH42" s="4257"/>
      <c r="AI42" s="4391"/>
      <c r="AK42" s="1898"/>
      <c r="AL42" s="4337"/>
      <c r="AM42" s="4257"/>
      <c r="AN42" s="4351"/>
      <c r="AP42" s="1898"/>
      <c r="AQ42" s="4257"/>
      <c r="AR42" s="4391"/>
      <c r="AS42" s="4152"/>
      <c r="AT42" s="6714"/>
      <c r="AU42" s="6715"/>
      <c r="AV42" s="2990"/>
      <c r="AW42" s="4376"/>
      <c r="AY42" s="6684"/>
      <c r="AZ42" s="6683"/>
      <c r="BA42" s="6706"/>
      <c r="BC42" s="6684"/>
      <c r="BD42" s="6715"/>
      <c r="BE42" s="2990"/>
      <c r="BF42" s="4376"/>
      <c r="BH42" s="6684"/>
      <c r="BI42" s="6683"/>
      <c r="BJ42" s="6706"/>
    </row>
    <row r="43" spans="1:62" x14ac:dyDescent="0.35">
      <c r="A43" s="9168"/>
      <c r="B43" s="43" t="s">
        <v>535</v>
      </c>
      <c r="C43" s="43"/>
      <c r="D43" s="1855"/>
      <c r="E43" s="12"/>
      <c r="F43" s="4218"/>
      <c r="G43" s="12"/>
      <c r="H43" s="4264"/>
      <c r="I43" s="4360"/>
      <c r="J43" s="4392"/>
      <c r="K43" s="12"/>
      <c r="L43" s="4363"/>
      <c r="M43" s="4377"/>
      <c r="N43" s="12"/>
      <c r="O43" s="4393"/>
      <c r="P43" s="4394"/>
      <c r="Q43" s="4169"/>
      <c r="R43" s="4395"/>
      <c r="S43" s="1875"/>
      <c r="T43" s="4264"/>
      <c r="U43" s="4227"/>
      <c r="V43" s="4265">
        <f>V38</f>
        <v>1.4329597057172372E-2</v>
      </c>
      <c r="X43" s="4264"/>
      <c r="Y43" s="4227"/>
      <c r="Z43" s="4396">
        <f>X43*V43</f>
        <v>0</v>
      </c>
      <c r="AB43" s="1875"/>
      <c r="AC43" s="4264"/>
      <c r="AD43" s="4227"/>
      <c r="AE43" s="4265">
        <f>AE38</f>
        <v>1.432959705717237E-2</v>
      </c>
      <c r="AG43" s="4264"/>
      <c r="AH43" s="4227"/>
      <c r="AI43" s="4396"/>
      <c r="AK43" s="1875"/>
      <c r="AL43" s="4264"/>
      <c r="AM43" s="4227"/>
      <c r="AN43" s="4265"/>
      <c r="AP43" s="4264"/>
      <c r="AQ43" s="4227"/>
      <c r="AR43" s="4396"/>
      <c r="AS43" s="4196"/>
      <c r="AT43" s="6716"/>
      <c r="AU43" s="6717"/>
      <c r="AV43" s="4472"/>
      <c r="AW43" s="6686"/>
      <c r="AY43" s="6667"/>
      <c r="AZ43" s="4472"/>
      <c r="BA43" s="6687"/>
      <c r="BC43" s="6716"/>
      <c r="BD43" s="6717"/>
      <c r="BE43" s="4472"/>
      <c r="BF43" s="4313"/>
      <c r="BH43" s="6667"/>
      <c r="BI43" s="4472"/>
      <c r="BJ43" s="6687"/>
    </row>
    <row r="44" spans="1:62" ht="24.75" customHeight="1" x14ac:dyDescent="0.35">
      <c r="A44" s="9168"/>
      <c r="B44" s="1908"/>
      <c r="C44" s="1908" t="s">
        <v>2220</v>
      </c>
      <c r="D44" s="1855"/>
      <c r="F44" s="4397"/>
      <c r="H44" s="4381"/>
      <c r="I44" s="4398"/>
      <c r="J44" s="4176">
        <f>IF(H44=0,0,I44/H44)</f>
        <v>0</v>
      </c>
      <c r="L44" s="4381"/>
      <c r="M44" s="4325">
        <f t="shared" ref="M44:M47" si="23">L44*J44</f>
        <v>0</v>
      </c>
      <c r="O44" s="4399"/>
      <c r="P44" s="4400"/>
      <c r="Q44" s="4385"/>
      <c r="S44" s="1869"/>
      <c r="T44" s="3530"/>
      <c r="U44" s="4245"/>
      <c r="V44" s="4265">
        <f>IF(S44=0,0,T44/S44)</f>
        <v>0</v>
      </c>
      <c r="X44" s="3530"/>
      <c r="Y44" s="4245"/>
      <c r="Z44" s="4297">
        <f>X44*V44</f>
        <v>0</v>
      </c>
      <c r="AB44" s="1869"/>
      <c r="AC44" s="3530"/>
      <c r="AD44" s="4245"/>
      <c r="AE44" s="4265">
        <f>IF(AB44=0,0,AC44/AB44)</f>
        <v>0</v>
      </c>
      <c r="AG44" s="3530"/>
      <c r="AH44" s="4245"/>
      <c r="AI44" s="4297"/>
      <c r="AK44" s="1869"/>
      <c r="AL44" s="3530"/>
      <c r="AM44" s="4245"/>
      <c r="AN44" s="4265"/>
      <c r="AP44" s="3530"/>
      <c r="AQ44" s="4245"/>
      <c r="AR44" s="4297"/>
      <c r="AS44" s="4196"/>
      <c r="AT44" s="6675"/>
      <c r="AU44" s="6676"/>
      <c r="AV44" s="2990"/>
      <c r="AW44" s="6691"/>
      <c r="AY44" s="6678"/>
      <c r="AZ44" s="2990"/>
      <c r="BA44" s="6703"/>
      <c r="BC44" s="6675"/>
      <c r="BD44" s="6676"/>
      <c r="BE44" s="2990"/>
      <c r="BF44" s="4176"/>
      <c r="BH44" s="6678"/>
      <c r="BI44" s="2990"/>
      <c r="BJ44" s="6703"/>
    </row>
    <row r="45" spans="1:62" x14ac:dyDescent="0.35">
      <c r="A45" s="9168"/>
      <c r="B45" s="9373" t="s">
        <v>2221</v>
      </c>
      <c r="C45" s="9374"/>
      <c r="D45" s="1855"/>
      <c r="F45" s="4266"/>
      <c r="H45" s="4386"/>
      <c r="I45" s="4398"/>
      <c r="J45" s="4176">
        <f t="shared" ref="J45:J47" si="24">IF(H45=0,0,I45/H45)</f>
        <v>0</v>
      </c>
      <c r="L45" s="4386"/>
      <c r="M45" s="4325">
        <f t="shared" si="23"/>
        <v>0</v>
      </c>
      <c r="O45" s="4399"/>
      <c r="P45" s="4400"/>
      <c r="Q45" s="4385"/>
      <c r="S45" s="1869"/>
      <c r="T45" s="3530"/>
      <c r="U45" s="4245"/>
      <c r="V45" s="4265">
        <f>IF(S45=0,0,T45/S45)</f>
        <v>0</v>
      </c>
      <c r="X45" s="3530"/>
      <c r="Y45" s="4245"/>
      <c r="Z45" s="4297">
        <f>X45*V45</f>
        <v>0</v>
      </c>
      <c r="AB45" s="1869"/>
      <c r="AC45" s="3530"/>
      <c r="AD45" s="4245"/>
      <c r="AE45" s="4265">
        <f>IF(AB45=0,0,AC45/AB45)</f>
        <v>0</v>
      </c>
      <c r="AG45" s="3530"/>
      <c r="AH45" s="4245"/>
      <c r="AI45" s="4297"/>
      <c r="AK45" s="1869"/>
      <c r="AL45" s="3530"/>
      <c r="AM45" s="4245"/>
      <c r="AN45" s="4265"/>
      <c r="AP45" s="3530"/>
      <c r="AQ45" s="4245"/>
      <c r="AR45" s="4297"/>
      <c r="AS45" s="4196"/>
      <c r="AT45" s="6675"/>
      <c r="AU45" s="6676"/>
      <c r="AV45" s="2990"/>
      <c r="AW45" s="6691"/>
      <c r="AY45" s="6678"/>
      <c r="AZ45" s="2990"/>
      <c r="BA45" s="6703"/>
      <c r="BC45" s="6675"/>
      <c r="BD45" s="6676"/>
      <c r="BE45" s="2990"/>
      <c r="BF45" s="4176"/>
      <c r="BH45" s="6678"/>
      <c r="BI45" s="2990"/>
      <c r="BJ45" s="6703"/>
    </row>
    <row r="46" spans="1:62" x14ac:dyDescent="0.35">
      <c r="A46" s="9168"/>
      <c r="B46" s="1903"/>
      <c r="C46" s="1903"/>
      <c r="D46" s="1855"/>
      <c r="F46" s="4266"/>
      <c r="H46" s="4386"/>
      <c r="I46" s="4387"/>
      <c r="J46" s="4176">
        <f t="shared" si="24"/>
        <v>0</v>
      </c>
      <c r="L46" s="4386"/>
      <c r="M46" s="4325">
        <f t="shared" si="23"/>
        <v>0</v>
      </c>
      <c r="O46" s="4399"/>
      <c r="P46" s="4400"/>
      <c r="Q46" s="4385"/>
      <c r="S46" s="1869"/>
      <c r="T46" s="3530"/>
      <c r="U46" s="4245"/>
      <c r="V46" s="4401"/>
      <c r="X46" s="3530"/>
      <c r="Y46" s="4245"/>
      <c r="Z46" s="4402"/>
      <c r="AB46" s="1869"/>
      <c r="AC46" s="3530"/>
      <c r="AD46" s="4245"/>
      <c r="AE46" s="4401"/>
      <c r="AG46" s="3530"/>
      <c r="AH46" s="4245"/>
      <c r="AI46" s="4402"/>
      <c r="AK46" s="1869"/>
      <c r="AL46" s="3530"/>
      <c r="AM46" s="4245"/>
      <c r="AN46" s="4401"/>
      <c r="AP46" s="3530"/>
      <c r="AQ46" s="4245"/>
      <c r="AR46" s="4402"/>
      <c r="AS46" s="4196"/>
      <c r="AT46" s="6675"/>
      <c r="AU46" s="6676"/>
      <c r="AV46" s="2990"/>
      <c r="AW46" s="6718"/>
      <c r="AY46" s="6678"/>
      <c r="AZ46" s="2990"/>
      <c r="BA46" s="6703"/>
      <c r="BC46" s="6675"/>
      <c r="BD46" s="6676"/>
      <c r="BE46" s="2990"/>
      <c r="BF46" s="8153"/>
      <c r="BH46" s="6678"/>
      <c r="BI46" s="2990"/>
      <c r="BJ46" s="6703"/>
    </row>
    <row r="47" spans="1:62" x14ac:dyDescent="0.35">
      <c r="A47" s="9168"/>
      <c r="B47" s="1905"/>
      <c r="C47" s="1903"/>
      <c r="D47" s="1872"/>
      <c r="F47" s="4404"/>
      <c r="H47" s="4405"/>
      <c r="I47" s="4406"/>
      <c r="J47" s="4176">
        <f t="shared" si="24"/>
        <v>0</v>
      </c>
      <c r="L47" s="4388"/>
      <c r="M47" s="4325">
        <f t="shared" si="23"/>
        <v>0</v>
      </c>
      <c r="O47" s="4407"/>
      <c r="P47" s="4408"/>
      <c r="Q47" s="4150"/>
      <c r="S47" s="1869"/>
      <c r="T47" s="3530"/>
      <c r="U47" s="4257"/>
      <c r="V47" s="4265"/>
      <c r="X47" s="3530"/>
      <c r="Y47" s="4245"/>
      <c r="Z47" s="4297"/>
      <c r="AB47" s="1869"/>
      <c r="AC47" s="3530"/>
      <c r="AD47" s="4257"/>
      <c r="AE47" s="4265"/>
      <c r="AG47" s="3530"/>
      <c r="AH47" s="4245"/>
      <c r="AI47" s="4297"/>
      <c r="AK47" s="1869"/>
      <c r="AL47" s="3530"/>
      <c r="AM47" s="4257"/>
      <c r="AN47" s="4265"/>
      <c r="AP47" s="3530"/>
      <c r="AQ47" s="4245"/>
      <c r="AR47" s="4297"/>
      <c r="AS47" s="4196"/>
      <c r="AT47" s="6681"/>
      <c r="AU47" s="6682"/>
      <c r="AV47" s="6683"/>
      <c r="AW47" s="6693"/>
      <c r="AY47" s="6684"/>
      <c r="AZ47" s="6683"/>
      <c r="BA47" s="6706"/>
      <c r="BC47" s="6681"/>
      <c r="BD47" s="6682"/>
      <c r="BE47" s="6683"/>
      <c r="BF47" s="4251"/>
      <c r="BH47" s="6684"/>
      <c r="BI47" s="6683"/>
      <c r="BJ47" s="6706"/>
    </row>
    <row r="48" spans="1:62" x14ac:dyDescent="0.35">
      <c r="A48" s="9168"/>
      <c r="B48" s="1914" t="s">
        <v>540</v>
      </c>
      <c r="C48" s="1914"/>
      <c r="D48" s="585"/>
      <c r="E48" s="43"/>
      <c r="F48" s="4409"/>
      <c r="G48" s="43"/>
      <c r="H48" s="1917"/>
      <c r="I48" s="1917"/>
      <c r="J48" s="4392"/>
      <c r="K48" s="43"/>
      <c r="L48" s="4410"/>
      <c r="M48" s="4411"/>
      <c r="N48" s="43"/>
      <c r="O48" s="4412"/>
      <c r="P48" s="1927"/>
      <c r="Q48" s="1927"/>
      <c r="R48" s="4170"/>
      <c r="S48" s="4413"/>
      <c r="T48" s="1875"/>
      <c r="U48" s="4414"/>
      <c r="V48" s="4265"/>
      <c r="X48" s="4413"/>
      <c r="Y48" s="4414"/>
      <c r="Z48" s="4415"/>
      <c r="AB48" s="4413"/>
      <c r="AC48" s="1875"/>
      <c r="AD48" s="4414"/>
      <c r="AE48" s="4265"/>
      <c r="AG48" s="4413"/>
      <c r="AH48" s="4414"/>
      <c r="AI48" s="4415"/>
      <c r="AK48" s="4413"/>
      <c r="AL48" s="1875"/>
      <c r="AM48" s="4414"/>
      <c r="AN48" s="4265"/>
      <c r="AP48" s="4413"/>
      <c r="AQ48" s="4414"/>
      <c r="AR48" s="4415"/>
      <c r="AS48" s="1832"/>
      <c r="AT48" s="6719" t="s">
        <v>2222</v>
      </c>
      <c r="AU48" s="6720" t="s">
        <v>2223</v>
      </c>
      <c r="AV48" s="6720"/>
      <c r="AW48" s="6686"/>
      <c r="AY48" s="6721"/>
      <c r="AZ48" s="8342" t="s">
        <v>2223</v>
      </c>
      <c r="BA48" s="6722"/>
      <c r="BC48" s="8154" t="s">
        <v>2222</v>
      </c>
      <c r="BD48" s="8155" t="s">
        <v>2223</v>
      </c>
      <c r="BE48" s="8155"/>
      <c r="BF48" s="4313"/>
      <c r="BH48" s="8156"/>
      <c r="BI48" s="8342" t="s">
        <v>2223</v>
      </c>
      <c r="BJ48" s="8157"/>
    </row>
    <row r="49" spans="1:62" ht="30.75" customHeight="1" x14ac:dyDescent="0.35">
      <c r="A49" s="9168"/>
      <c r="B49" s="9365" t="s">
        <v>2224</v>
      </c>
      <c r="C49" s="9366"/>
      <c r="D49" s="1855"/>
      <c r="F49" s="4230"/>
      <c r="H49" s="4416">
        <f>H35*H23/H17</f>
        <v>377.07924121263062</v>
      </c>
      <c r="I49" s="1858">
        <f t="shared" ref="I49:I50" si="25">H49*J49</f>
        <v>0</v>
      </c>
      <c r="J49" s="4417">
        <f>J35</f>
        <v>0</v>
      </c>
      <c r="L49" s="4416">
        <f>L35*L23/L17</f>
        <v>359.89791855004188</v>
      </c>
      <c r="M49" s="4418">
        <f>L49*J49</f>
        <v>0</v>
      </c>
      <c r="O49" s="4419">
        <v>434100.745</v>
      </c>
      <c r="P49" s="4420">
        <f>O49</f>
        <v>434100.745</v>
      </c>
      <c r="Q49" s="9363" t="s">
        <v>2225</v>
      </c>
      <c r="S49" s="4273">
        <v>443027.77088000003</v>
      </c>
      <c r="T49" s="1910">
        <f>S49</f>
        <v>443027.77088000003</v>
      </c>
      <c r="U49" s="9363" t="s">
        <v>2225</v>
      </c>
      <c r="V49" s="4351"/>
      <c r="X49" s="4421">
        <v>443322.78499999997</v>
      </c>
      <c r="Y49" s="9363" t="s">
        <v>2225</v>
      </c>
      <c r="Z49" s="4422">
        <f>X49</f>
        <v>443322.78499999997</v>
      </c>
      <c r="AB49" s="4276">
        <f>X49</f>
        <v>443322.78499999997</v>
      </c>
      <c r="AC49" s="4238">
        <f>Z49</f>
        <v>443322.78499999997</v>
      </c>
      <c r="AD49" s="9363" t="s">
        <v>2225</v>
      </c>
      <c r="AE49" s="4351"/>
      <c r="AG49" s="4421"/>
      <c r="AH49" s="9363"/>
      <c r="AI49" s="4371"/>
      <c r="AK49" s="4276"/>
      <c r="AL49" s="4238"/>
      <c r="AM49" s="9363"/>
      <c r="AN49" s="4351"/>
      <c r="AP49" s="4421"/>
      <c r="AQ49" s="9363"/>
      <c r="AR49" s="4371"/>
      <c r="AS49" s="4196"/>
      <c r="AT49" s="4403">
        <f>AU49*(1/BB24)</f>
        <v>553132349.94852865</v>
      </c>
      <c r="AU49" s="6676">
        <v>489975297</v>
      </c>
      <c r="AV49" s="1941" t="s">
        <v>2226</v>
      </c>
      <c r="AW49" s="4376"/>
      <c r="AY49" s="6723">
        <v>777168546</v>
      </c>
      <c r="AZ49" s="6724" t="s">
        <v>2227</v>
      </c>
      <c r="BA49" s="6725">
        <v>775888380</v>
      </c>
      <c r="BC49" s="8158">
        <v>777168546</v>
      </c>
      <c r="BD49" s="6676">
        <v>775888381</v>
      </c>
      <c r="BE49" s="1941" t="s">
        <v>2226</v>
      </c>
      <c r="BF49" s="4376"/>
      <c r="BH49" s="8158">
        <v>907800000</v>
      </c>
      <c r="BI49" s="8159" t="s">
        <v>2227</v>
      </c>
      <c r="BJ49" s="6725">
        <v>825152485</v>
      </c>
    </row>
    <row r="50" spans="1:62" ht="30.75" customHeight="1" x14ac:dyDescent="0.35">
      <c r="A50" s="9168"/>
      <c r="B50" s="9365" t="s">
        <v>2228</v>
      </c>
      <c r="C50" s="9366"/>
      <c r="D50" s="1855"/>
      <c r="F50" s="4266"/>
      <c r="H50" s="4416">
        <f>H37*H23/H17</f>
        <v>38.349962824733318</v>
      </c>
      <c r="I50" s="1858">
        <f t="shared" si="25"/>
        <v>0</v>
      </c>
      <c r="J50" s="4417">
        <f>J37</f>
        <v>0</v>
      </c>
      <c r="L50" s="4416">
        <f>L37*L23/L17</f>
        <v>66.499383247772485</v>
      </c>
      <c r="M50" s="4418">
        <f>L50*J50</f>
        <v>0</v>
      </c>
      <c r="O50" s="4419">
        <v>2667.0529999999999</v>
      </c>
      <c r="P50" s="4420">
        <f>O50</f>
        <v>2667.0529999999999</v>
      </c>
      <c r="Q50" s="9364"/>
      <c r="S50" s="4273">
        <v>3901.0880000000002</v>
      </c>
      <c r="T50" s="1910">
        <f>S50</f>
        <v>3901.0880000000002</v>
      </c>
      <c r="U50" s="9364"/>
      <c r="V50" s="4265">
        <f>IF(S50=0,0,T50/S50)</f>
        <v>1</v>
      </c>
      <c r="X50" s="4423">
        <v>4505.1769999999997</v>
      </c>
      <c r="Y50" s="9364"/>
      <c r="Z50" s="4422">
        <f>X50</f>
        <v>4505.1769999999997</v>
      </c>
      <c r="AB50" s="4276">
        <f>X50</f>
        <v>4505.1769999999997</v>
      </c>
      <c r="AC50" s="4238">
        <f>Z50</f>
        <v>4505.1769999999997</v>
      </c>
      <c r="AD50" s="9364"/>
      <c r="AE50" s="4265">
        <f>IF(AB50=0,0,AC50/AB50)</f>
        <v>1</v>
      </c>
      <c r="AG50" s="4423"/>
      <c r="AH50" s="9364"/>
      <c r="AI50" s="4371"/>
      <c r="AK50" s="4276"/>
      <c r="AL50" s="4238"/>
      <c r="AM50" s="9364"/>
      <c r="AN50" s="4265"/>
      <c r="AP50" s="4423"/>
      <c r="AQ50" s="9364"/>
      <c r="AR50" s="4371"/>
      <c r="AS50" s="4196"/>
      <c r="AT50" s="4403">
        <f>AU50*(1/BB24)</f>
        <v>2914858.6782659758</v>
      </c>
      <c r="AU50" s="6676">
        <v>2582038</v>
      </c>
      <c r="AV50" s="1941"/>
      <c r="AW50" s="6691"/>
      <c r="AY50" s="6723">
        <v>8001311</v>
      </c>
      <c r="AZ50" s="6726"/>
      <c r="BA50" s="6725">
        <v>6013876</v>
      </c>
      <c r="BC50" s="8158">
        <v>8001311</v>
      </c>
      <c r="BD50" s="6676">
        <v>6013877</v>
      </c>
      <c r="BE50" s="1941" t="s">
        <v>2229</v>
      </c>
      <c r="BF50" s="4176"/>
      <c r="BH50" s="8158">
        <v>6050887</v>
      </c>
      <c r="BI50" s="6726"/>
      <c r="BJ50" s="6725">
        <v>4025181</v>
      </c>
    </row>
    <row r="51" spans="1:62" x14ac:dyDescent="0.35">
      <c r="A51" s="9168"/>
      <c r="B51" s="1903"/>
      <c r="C51" s="1903"/>
      <c r="D51" s="1855"/>
      <c r="F51" s="4289"/>
      <c r="H51" s="4363"/>
      <c r="I51" s="1864"/>
      <c r="J51" s="4176">
        <f t="shared" ref="J51:J56" si="26">IF(H51=0,0,I51/H51)</f>
        <v>0</v>
      </c>
      <c r="L51" s="4363"/>
      <c r="M51" s="4325">
        <f>L51*J51</f>
        <v>0</v>
      </c>
      <c r="O51" s="4399"/>
      <c r="P51" s="33"/>
      <c r="Q51" s="4424"/>
      <c r="S51" s="1869"/>
      <c r="T51" s="1865"/>
      <c r="U51" s="4245"/>
      <c r="V51" s="4265">
        <f>IF(S51=0,0,T51/S51)</f>
        <v>0</v>
      </c>
      <c r="X51" s="1869"/>
      <c r="Y51" s="4245"/>
      <c r="Z51" s="4297">
        <f>X51*V51</f>
        <v>0</v>
      </c>
      <c r="AB51" s="1869"/>
      <c r="AC51" s="1865"/>
      <c r="AD51" s="4245"/>
      <c r="AE51" s="4265">
        <f>IF(AB51=0,0,AC51/AB51)</f>
        <v>0</v>
      </c>
      <c r="AG51" s="1869"/>
      <c r="AH51" s="4245"/>
      <c r="AI51" s="4297"/>
      <c r="AK51" s="1869"/>
      <c r="AL51" s="1865"/>
      <c r="AM51" s="4245"/>
      <c r="AN51" s="4265"/>
      <c r="AP51" s="1869"/>
      <c r="AQ51" s="4245"/>
      <c r="AR51" s="4297"/>
      <c r="AS51" s="4196"/>
      <c r="AT51" s="4403"/>
      <c r="AU51" s="6676"/>
      <c r="AV51" s="2990"/>
      <c r="AW51" s="6691"/>
      <c r="AY51" s="3530"/>
      <c r="AZ51" s="2990"/>
      <c r="BA51" s="6725"/>
      <c r="BC51" s="3530"/>
      <c r="BD51" s="6676"/>
      <c r="BE51" s="2990"/>
      <c r="BF51" s="4176"/>
      <c r="BH51" s="3530"/>
      <c r="BI51" s="2990"/>
      <c r="BJ51" s="6725"/>
    </row>
    <row r="52" spans="1:62" x14ac:dyDescent="0.35">
      <c r="A52" s="9168"/>
      <c r="B52" s="1903"/>
      <c r="C52" s="1903"/>
      <c r="D52" s="1855"/>
      <c r="F52" s="4289"/>
      <c r="H52" s="4363"/>
      <c r="I52" s="1864"/>
      <c r="J52" s="4176">
        <f t="shared" si="26"/>
        <v>0</v>
      </c>
      <c r="L52" s="4363"/>
      <c r="M52" s="4325">
        <f>L52*J52</f>
        <v>0</v>
      </c>
      <c r="O52" s="4399"/>
      <c r="P52" s="33"/>
      <c r="Q52" s="4424"/>
      <c r="S52" s="1869"/>
      <c r="T52" s="1865"/>
      <c r="U52" s="4245"/>
      <c r="V52" s="4265">
        <f>IF(S52=0,0,T52/S52)</f>
        <v>0</v>
      </c>
      <c r="X52" s="1869"/>
      <c r="Y52" s="4245"/>
      <c r="Z52" s="4297">
        <f>X52*V52</f>
        <v>0</v>
      </c>
      <c r="AB52" s="1869"/>
      <c r="AC52" s="1865"/>
      <c r="AD52" s="4245"/>
      <c r="AE52" s="4265">
        <f>IF(AB52=0,0,AC52/AB52)</f>
        <v>0</v>
      </c>
      <c r="AG52" s="1869"/>
      <c r="AH52" s="4245"/>
      <c r="AI52" s="4297"/>
      <c r="AK52" s="1869"/>
      <c r="AL52" s="1865"/>
      <c r="AM52" s="4245"/>
      <c r="AN52" s="4265"/>
      <c r="AP52" s="1869"/>
      <c r="AQ52" s="4245"/>
      <c r="AR52" s="4297"/>
      <c r="AS52" s="4196"/>
      <c r="AT52" s="4403"/>
      <c r="AU52" s="6676"/>
      <c r="AV52" s="2990"/>
      <c r="AW52" s="6691"/>
      <c r="AY52" s="3530"/>
      <c r="AZ52" s="2990"/>
      <c r="BA52" s="6725"/>
      <c r="BC52" s="3530"/>
      <c r="BD52" s="6676"/>
      <c r="BE52" s="2990"/>
      <c r="BF52" s="4176"/>
      <c r="BH52" s="3530"/>
      <c r="BI52" s="2990"/>
      <c r="BJ52" s="6725"/>
    </row>
    <row r="53" spans="1:62" x14ac:dyDescent="0.35">
      <c r="A53" s="9168"/>
      <c r="B53" s="1903"/>
      <c r="C53" s="1903"/>
      <c r="D53" s="1855"/>
      <c r="F53" s="4289"/>
      <c r="H53" s="4363"/>
      <c r="I53" s="1864"/>
      <c r="J53" s="4176">
        <f t="shared" si="26"/>
        <v>0</v>
      </c>
      <c r="L53" s="4363"/>
      <c r="M53" s="4325">
        <f>L53*J53</f>
        <v>0</v>
      </c>
      <c r="O53" s="4399"/>
      <c r="P53" s="33"/>
      <c r="Q53" s="4424"/>
      <c r="S53" s="1869"/>
      <c r="T53" s="1865"/>
      <c r="U53" s="4245"/>
      <c r="V53" s="4265">
        <f>IF(S53=0,0,T53/S53)</f>
        <v>0</v>
      </c>
      <c r="X53" s="1869"/>
      <c r="Y53" s="4245"/>
      <c r="Z53" s="4297">
        <f>X53*V53</f>
        <v>0</v>
      </c>
      <c r="AB53" s="1869"/>
      <c r="AC53" s="1865"/>
      <c r="AD53" s="4245"/>
      <c r="AE53" s="4265">
        <f>IF(AB53=0,0,AC53/AB53)</f>
        <v>0</v>
      </c>
      <c r="AG53" s="1869"/>
      <c r="AH53" s="4245"/>
      <c r="AI53" s="4297"/>
      <c r="AK53" s="1869"/>
      <c r="AL53" s="1865"/>
      <c r="AM53" s="4245"/>
      <c r="AN53" s="4265"/>
      <c r="AP53" s="1869"/>
      <c r="AQ53" s="4245"/>
      <c r="AR53" s="4297"/>
      <c r="AS53" s="4196"/>
      <c r="AT53" s="4403"/>
      <c r="AU53" s="6676"/>
      <c r="AV53" s="2990"/>
      <c r="AW53" s="6691"/>
      <c r="AY53" s="3530"/>
      <c r="AZ53" s="2990"/>
      <c r="BA53" s="6725"/>
      <c r="BC53" s="3530"/>
      <c r="BD53" s="6676"/>
      <c r="BE53" s="2990"/>
      <c r="BF53" s="4176"/>
      <c r="BH53" s="3530"/>
      <c r="BI53" s="2990"/>
      <c r="BJ53" s="6725"/>
    </row>
    <row r="54" spans="1:62" x14ac:dyDescent="0.35">
      <c r="A54" s="9168"/>
      <c r="B54" s="1903"/>
      <c r="C54" s="1903"/>
      <c r="D54" s="1855"/>
      <c r="F54" s="4289"/>
      <c r="H54" s="4363"/>
      <c r="I54" s="1864"/>
      <c r="J54" s="4176">
        <f t="shared" si="26"/>
        <v>0</v>
      </c>
      <c r="L54" s="4363"/>
      <c r="M54" s="4325"/>
      <c r="O54" s="4399"/>
      <c r="P54" s="33"/>
      <c r="Q54" s="4424"/>
      <c r="S54" s="1869"/>
      <c r="T54" s="1865"/>
      <c r="U54" s="4245"/>
      <c r="V54" s="4265"/>
      <c r="X54" s="1869"/>
      <c r="Y54" s="4245"/>
      <c r="Z54" s="4297"/>
      <c r="AB54" s="1869"/>
      <c r="AC54" s="1865"/>
      <c r="AD54" s="4245"/>
      <c r="AE54" s="4265"/>
      <c r="AG54" s="1869"/>
      <c r="AH54" s="4245"/>
      <c r="AI54" s="4297"/>
      <c r="AK54" s="1869"/>
      <c r="AL54" s="1865"/>
      <c r="AM54" s="4245"/>
      <c r="AN54" s="4265"/>
      <c r="AP54" s="1869"/>
      <c r="AQ54" s="4245"/>
      <c r="AR54" s="4297"/>
      <c r="AS54" s="4196"/>
      <c r="AT54" s="4403"/>
      <c r="AU54" s="6676"/>
      <c r="AV54" s="2990"/>
      <c r="AW54" s="6691"/>
      <c r="AY54" s="3530"/>
      <c r="AZ54" s="2990"/>
      <c r="BA54" s="6725"/>
      <c r="BC54" s="3530"/>
      <c r="BD54" s="6676"/>
      <c r="BE54" s="2990"/>
      <c r="BF54" s="4176"/>
      <c r="BH54" s="3530"/>
      <c r="BI54" s="2990"/>
      <c r="BJ54" s="6725"/>
    </row>
    <row r="55" spans="1:62" x14ac:dyDescent="0.35">
      <c r="A55" s="9168"/>
      <c r="B55" s="1903"/>
      <c r="C55" s="1903"/>
      <c r="D55" s="1855"/>
      <c r="F55" s="4289"/>
      <c r="H55" s="4363"/>
      <c r="I55" s="1864"/>
      <c r="J55" s="4176">
        <f t="shared" si="26"/>
        <v>0</v>
      </c>
      <c r="L55" s="4363"/>
      <c r="M55" s="4325">
        <f>L55*J55</f>
        <v>0</v>
      </c>
      <c r="O55" s="4399"/>
      <c r="P55" s="33"/>
      <c r="Q55" s="4424"/>
      <c r="S55" s="1869"/>
      <c r="T55" s="1865"/>
      <c r="U55" s="4245"/>
      <c r="V55" s="4351"/>
      <c r="X55" s="1869"/>
      <c r="Y55" s="4245"/>
      <c r="Z55" s="4402"/>
      <c r="AB55" s="1869"/>
      <c r="AC55" s="1865"/>
      <c r="AD55" s="4245"/>
      <c r="AE55" s="4351"/>
      <c r="AG55" s="1869"/>
      <c r="AH55" s="4245"/>
      <c r="AI55" s="4402"/>
      <c r="AK55" s="1869"/>
      <c r="AL55" s="1865"/>
      <c r="AM55" s="4245"/>
      <c r="AN55" s="4351"/>
      <c r="AP55" s="1869"/>
      <c r="AQ55" s="4245"/>
      <c r="AR55" s="4402"/>
      <c r="AS55" s="4196"/>
      <c r="AT55" s="4403"/>
      <c r="AU55" s="6676"/>
      <c r="AV55" s="2990"/>
      <c r="AW55" s="4376"/>
      <c r="AY55" s="3530"/>
      <c r="AZ55" s="2990"/>
      <c r="BA55" s="6727"/>
      <c r="BC55" s="3530"/>
      <c r="BD55" s="6676"/>
      <c r="BE55" s="2990"/>
      <c r="BF55" s="4376"/>
      <c r="BH55" s="3530"/>
      <c r="BI55" s="2990"/>
      <c r="BJ55" s="6727"/>
    </row>
    <row r="56" spans="1:62" x14ac:dyDescent="0.35">
      <c r="A56" s="9168"/>
      <c r="B56" s="1906"/>
      <c r="C56" s="1903" t="s">
        <v>704</v>
      </c>
      <c r="D56" s="1872"/>
      <c r="F56" s="4249"/>
      <c r="H56" s="4425"/>
      <c r="I56" s="4426"/>
      <c r="J56" s="4251">
        <f t="shared" si="26"/>
        <v>0</v>
      </c>
      <c r="L56" s="4425"/>
      <c r="M56" s="4338">
        <f>L56*J56</f>
        <v>0</v>
      </c>
      <c r="O56" s="4407"/>
      <c r="P56" s="4427"/>
      <c r="Q56" s="4428"/>
      <c r="S56" s="4429"/>
      <c r="T56" s="4430"/>
      <c r="U56" s="4431"/>
      <c r="V56" s="4265">
        <f>IF(S56=0,0,T56/S56)</f>
        <v>0</v>
      </c>
      <c r="X56" s="4429"/>
      <c r="Y56" s="4432"/>
      <c r="Z56" s="4433">
        <f>X56*V56</f>
        <v>0</v>
      </c>
      <c r="AB56" s="4429"/>
      <c r="AC56" s="4430"/>
      <c r="AD56" s="4431"/>
      <c r="AE56" s="4265">
        <f>IF(AB56=0,0,AC56/AB56)</f>
        <v>0</v>
      </c>
      <c r="AG56" s="4429"/>
      <c r="AH56" s="4432"/>
      <c r="AI56" s="4433"/>
      <c r="AK56" s="4429"/>
      <c r="AL56" s="4430"/>
      <c r="AM56" s="4431"/>
      <c r="AN56" s="4265"/>
      <c r="AP56" s="4429"/>
      <c r="AQ56" s="4432"/>
      <c r="AR56" s="4433"/>
      <c r="AS56" s="4152"/>
      <c r="AT56" s="4405"/>
      <c r="AU56" s="6715"/>
      <c r="AV56" s="6728"/>
      <c r="AW56" s="6691"/>
      <c r="AY56" s="4337"/>
      <c r="AZ56" s="2990"/>
      <c r="BA56" s="6729"/>
      <c r="BC56" s="4337"/>
      <c r="BD56" s="6715"/>
      <c r="BE56" s="6728"/>
      <c r="BF56" s="4176"/>
      <c r="BH56" s="4337"/>
      <c r="BI56" s="2990"/>
      <c r="BJ56" s="6729"/>
    </row>
    <row r="57" spans="1:62" x14ac:dyDescent="0.35">
      <c r="A57" s="9168"/>
      <c r="B57" s="1914" t="s">
        <v>2230</v>
      </c>
      <c r="C57" s="1914"/>
      <c r="D57" s="585"/>
      <c r="E57" s="12"/>
      <c r="F57" s="4218"/>
      <c r="G57" s="12"/>
      <c r="H57" s="4363"/>
      <c r="I57" s="1864"/>
      <c r="J57" s="4376"/>
      <c r="K57" s="12"/>
      <c r="L57" s="4264"/>
      <c r="M57" s="4411"/>
      <c r="N57" s="12"/>
      <c r="O57" s="4393"/>
      <c r="P57" s="4394"/>
      <c r="Q57" s="4169"/>
      <c r="R57" s="4395"/>
      <c r="S57" s="1875"/>
      <c r="T57" s="1875"/>
      <c r="U57" s="4227"/>
      <c r="V57" s="4265">
        <f>IF(S57=0,0,T57/S57)</f>
        <v>0</v>
      </c>
      <c r="X57" s="1875"/>
      <c r="Y57" s="4227"/>
      <c r="Z57" s="4396">
        <f>X57*V57</f>
        <v>0</v>
      </c>
      <c r="AB57" s="1875"/>
      <c r="AC57" s="1875"/>
      <c r="AD57" s="4227"/>
      <c r="AE57" s="4265">
        <f>IF(AB57=0,0,AC57/AB57)</f>
        <v>0</v>
      </c>
      <c r="AG57" s="1875"/>
      <c r="AH57" s="4227"/>
      <c r="AI57" s="4396"/>
      <c r="AK57" s="1875"/>
      <c r="AL57" s="1875"/>
      <c r="AM57" s="4227"/>
      <c r="AN57" s="4265"/>
      <c r="AP57" s="1875"/>
      <c r="AQ57" s="4227"/>
      <c r="AR57" s="4396"/>
      <c r="AS57" s="1832"/>
      <c r="AT57" s="4264"/>
      <c r="AU57" s="4360"/>
      <c r="AV57" s="4472"/>
      <c r="AW57" s="6686"/>
      <c r="AY57" s="4264"/>
      <c r="AZ57" s="4472"/>
      <c r="BA57" s="4314"/>
      <c r="BC57" s="4264"/>
      <c r="BD57" s="4360"/>
      <c r="BE57" s="4472"/>
      <c r="BF57" s="4313"/>
      <c r="BH57" s="4264"/>
      <c r="BI57" s="4472"/>
      <c r="BJ57" s="4314"/>
    </row>
    <row r="58" spans="1:62" x14ac:dyDescent="0.35">
      <c r="A58" s="9168"/>
      <c r="B58" s="1919"/>
      <c r="C58" s="1919" t="s">
        <v>2231</v>
      </c>
      <c r="D58" s="1855"/>
      <c r="F58" s="4266"/>
      <c r="H58" s="4386"/>
      <c r="I58" s="4387"/>
      <c r="J58" s="4176"/>
      <c r="L58" s="4386"/>
      <c r="M58" s="4325">
        <f>M29*M60</f>
        <v>0</v>
      </c>
      <c r="O58" s="4135"/>
      <c r="P58" s="33"/>
      <c r="Q58" s="4385"/>
      <c r="S58" s="1865"/>
      <c r="T58" s="1865"/>
      <c r="U58" s="4245"/>
      <c r="V58" s="4265">
        <f t="shared" ref="V58:V63" si="27">IF(S58=0,0,T58/S58)</f>
        <v>0</v>
      </c>
      <c r="X58" s="1865"/>
      <c r="Y58" s="4245"/>
      <c r="Z58" s="4297">
        <f t="shared" ref="Z58:Z63" si="28">X58*V58</f>
        <v>0</v>
      </c>
      <c r="AB58" s="1865"/>
      <c r="AC58" s="1865"/>
      <c r="AD58" s="4245"/>
      <c r="AE58" s="4265">
        <f t="shared" ref="AE58" si="29">IF(AB58=0,0,AC58/AB58)</f>
        <v>0</v>
      </c>
      <c r="AG58" s="1865"/>
      <c r="AH58" s="4245"/>
      <c r="AI58" s="4297"/>
      <c r="AK58" s="1865"/>
      <c r="AL58" s="1865"/>
      <c r="AM58" s="4245"/>
      <c r="AN58" s="4265"/>
      <c r="AP58" s="1865"/>
      <c r="AQ58" s="4245"/>
      <c r="AR58" s="4297"/>
      <c r="AS58" s="4196"/>
      <c r="AT58" s="4363"/>
      <c r="AU58" s="1864"/>
      <c r="AV58" s="2990"/>
      <c r="AW58" s="6691"/>
      <c r="AY58" s="4363"/>
      <c r="AZ58" s="2990"/>
      <c r="BA58" s="4325"/>
      <c r="BC58" s="4363"/>
      <c r="BD58" s="1864"/>
      <c r="BE58" s="2990"/>
      <c r="BF58" s="4176"/>
      <c r="BH58" s="4363"/>
      <c r="BI58" s="2990"/>
      <c r="BJ58" s="4325"/>
    </row>
    <row r="59" spans="1:62" x14ac:dyDescent="0.35">
      <c r="A59" s="9168"/>
      <c r="B59" s="1920"/>
      <c r="C59" s="1919" t="s">
        <v>2232</v>
      </c>
      <c r="D59" s="1855"/>
      <c r="F59" s="4289"/>
      <c r="H59" s="4388"/>
      <c r="I59" s="4389"/>
      <c r="J59" s="4176"/>
      <c r="L59" s="4388"/>
      <c r="M59" s="4325"/>
      <c r="O59" s="4135"/>
      <c r="P59" s="33"/>
      <c r="Q59" s="4385"/>
      <c r="S59" s="1865"/>
      <c r="T59" s="1865"/>
      <c r="U59" s="4245"/>
      <c r="V59" s="4265"/>
      <c r="X59" s="1865"/>
      <c r="Y59" s="4245"/>
      <c r="Z59" s="4297"/>
      <c r="AB59" s="1865"/>
      <c r="AC59" s="1865"/>
      <c r="AD59" s="4245"/>
      <c r="AE59" s="4265"/>
      <c r="AG59" s="1865"/>
      <c r="AH59" s="4245"/>
      <c r="AI59" s="4297"/>
      <c r="AK59" s="1865"/>
      <c r="AL59" s="1865"/>
      <c r="AM59" s="4245"/>
      <c r="AN59" s="4265"/>
      <c r="AP59" s="1865"/>
      <c r="AQ59" s="4245"/>
      <c r="AR59" s="4297"/>
      <c r="AS59" s="4196"/>
      <c r="AT59" s="4363"/>
      <c r="AU59" s="1864"/>
      <c r="AV59" s="2990"/>
      <c r="AW59" s="6691"/>
      <c r="AY59" s="4363"/>
      <c r="AZ59" s="2990"/>
      <c r="BA59" s="4325"/>
      <c r="BC59" s="4363"/>
      <c r="BD59" s="1864"/>
      <c r="BE59" s="2990"/>
      <c r="BF59" s="4176"/>
      <c r="BH59" s="4363"/>
      <c r="BI59" s="2990"/>
      <c r="BJ59" s="4325"/>
    </row>
    <row r="60" spans="1:62" x14ac:dyDescent="0.35">
      <c r="A60" s="9168"/>
      <c r="B60" s="1921"/>
      <c r="C60" s="1921" t="s">
        <v>555</v>
      </c>
      <c r="D60" s="1872"/>
      <c r="F60" s="4434" t="e">
        <f>F58/F28</f>
        <v>#DIV/0!</v>
      </c>
      <c r="G60" s="1923"/>
      <c r="H60" s="4435" t="e">
        <f>H58/H29</f>
        <v>#DIV/0!</v>
      </c>
      <c r="I60" s="4436" t="e">
        <f>I58/I29</f>
        <v>#DIV/0!</v>
      </c>
      <c r="J60" s="4251"/>
      <c r="L60" s="4435" t="e">
        <f>L58/L29</f>
        <v>#DIV/0!</v>
      </c>
      <c r="M60" s="4437"/>
      <c r="O60" s="4438"/>
      <c r="P60" s="4427"/>
      <c r="Q60" s="4150"/>
      <c r="S60" s="1899"/>
      <c r="T60" s="1899"/>
      <c r="U60" s="4257"/>
      <c r="V60" s="4265">
        <f t="shared" si="27"/>
        <v>0</v>
      </c>
      <c r="X60" s="1865"/>
      <c r="Y60" s="4245"/>
      <c r="Z60" s="4297">
        <f t="shared" si="28"/>
        <v>0</v>
      </c>
      <c r="AB60" s="1899"/>
      <c r="AC60" s="1899"/>
      <c r="AD60" s="4257"/>
      <c r="AE60" s="4265">
        <f t="shared" ref="AE60:AE63" si="30">IF(AB60=0,0,AC60/AB60)</f>
        <v>0</v>
      </c>
      <c r="AG60" s="1865"/>
      <c r="AH60" s="4245"/>
      <c r="AI60" s="4297"/>
      <c r="AK60" s="1899"/>
      <c r="AL60" s="1899"/>
      <c r="AM60" s="4257"/>
      <c r="AN60" s="4265"/>
      <c r="AP60" s="1865"/>
      <c r="AQ60" s="4245"/>
      <c r="AR60" s="4297"/>
      <c r="AS60" s="4152"/>
      <c r="AT60" s="4425"/>
      <c r="AU60" s="4426"/>
      <c r="AV60" s="6683"/>
      <c r="AW60" s="6693"/>
      <c r="AY60" s="4363"/>
      <c r="AZ60" s="6683"/>
      <c r="BA60" s="4325"/>
      <c r="BC60" s="4425"/>
      <c r="BD60" s="4426"/>
      <c r="BE60" s="6683"/>
      <c r="BF60" s="4251"/>
      <c r="BH60" s="4363"/>
      <c r="BI60" s="6683"/>
      <c r="BJ60" s="4325"/>
    </row>
    <row r="61" spans="1:62" ht="15.25" customHeight="1" x14ac:dyDescent="0.35">
      <c r="A61" s="9168"/>
      <c r="B61" s="4439" t="s">
        <v>556</v>
      </c>
      <c r="C61" s="4440"/>
      <c r="D61" s="585"/>
      <c r="E61" s="12"/>
      <c r="F61" s="4441"/>
      <c r="G61" s="1929"/>
      <c r="H61" s="4442"/>
      <c r="I61" s="4443"/>
      <c r="J61" s="4444"/>
      <c r="L61" s="4442"/>
      <c r="M61" s="4411"/>
      <c r="N61" s="12"/>
      <c r="O61" s="4445"/>
      <c r="P61" s="4446"/>
      <c r="Q61" s="4169"/>
      <c r="R61" s="4395"/>
      <c r="S61" s="4447"/>
      <c r="T61" s="4447"/>
      <c r="U61" s="4227"/>
      <c r="V61" s="4265">
        <f t="shared" si="27"/>
        <v>0</v>
      </c>
      <c r="X61" s="4447"/>
      <c r="Y61" s="4227"/>
      <c r="Z61" s="4448">
        <f t="shared" si="28"/>
        <v>0</v>
      </c>
      <c r="AB61" s="4447"/>
      <c r="AC61" s="4447"/>
      <c r="AD61" s="4227"/>
      <c r="AE61" s="4265">
        <f t="shared" si="30"/>
        <v>0</v>
      </c>
      <c r="AG61" s="4447"/>
      <c r="AH61" s="4227"/>
      <c r="AI61" s="4448"/>
      <c r="AK61" s="4447"/>
      <c r="AL61" s="4447"/>
      <c r="AM61" s="4227"/>
      <c r="AN61" s="4265"/>
      <c r="AP61" s="4447"/>
      <c r="AQ61" s="4227"/>
      <c r="AR61" s="4448"/>
      <c r="AS61" s="1832"/>
      <c r="AT61" s="6730"/>
      <c r="AU61" s="6731"/>
      <c r="AV61" s="4472"/>
      <c r="AW61" s="6686"/>
      <c r="AY61" s="6732"/>
      <c r="AZ61" s="2990"/>
      <c r="BA61" s="6733"/>
      <c r="BC61" s="6730"/>
      <c r="BD61" s="6731"/>
      <c r="BE61" s="4472"/>
      <c r="BF61" s="4313"/>
      <c r="BH61" s="6732"/>
      <c r="BI61" s="2990"/>
      <c r="BJ61" s="6733"/>
    </row>
    <row r="62" spans="1:62" x14ac:dyDescent="0.35">
      <c r="A62" s="9168"/>
      <c r="B62" s="4449"/>
      <c r="C62" s="4172" t="s">
        <v>532</v>
      </c>
      <c r="D62" s="1855"/>
      <c r="F62" s="4450"/>
      <c r="G62" s="1919"/>
      <c r="H62" s="4451"/>
      <c r="I62" s="4452"/>
      <c r="J62" s="4453">
        <f t="shared" ref="J62:J65" si="31">IF(H62=0,0,I62/H62)</f>
        <v>0</v>
      </c>
      <c r="L62" s="4451"/>
      <c r="M62" s="4325">
        <f>L62*J62</f>
        <v>0</v>
      </c>
      <c r="O62" s="4454"/>
      <c r="P62" s="4455"/>
      <c r="Q62" s="4385"/>
      <c r="S62" s="4451"/>
      <c r="T62" s="4451"/>
      <c r="U62" s="4245"/>
      <c r="V62" s="4265">
        <f t="shared" si="27"/>
        <v>0</v>
      </c>
      <c r="X62" s="4451"/>
      <c r="Y62" s="4245"/>
      <c r="Z62" s="4456">
        <f t="shared" si="28"/>
        <v>0</v>
      </c>
      <c r="AB62" s="4451"/>
      <c r="AC62" s="4451"/>
      <c r="AD62" s="4245"/>
      <c r="AE62" s="4265">
        <f t="shared" si="30"/>
        <v>0</v>
      </c>
      <c r="AG62" s="4451"/>
      <c r="AH62" s="4245"/>
      <c r="AI62" s="4456"/>
      <c r="AK62" s="4451"/>
      <c r="AL62" s="4451"/>
      <c r="AM62" s="4245"/>
      <c r="AN62" s="4265"/>
      <c r="AP62" s="4451"/>
      <c r="AQ62" s="4245"/>
      <c r="AR62" s="4456"/>
      <c r="AS62" s="4196"/>
      <c r="AT62" s="6734"/>
      <c r="AU62" s="6735"/>
      <c r="AV62" s="2990"/>
      <c r="AW62" s="6691"/>
      <c r="AY62" s="6736"/>
      <c r="AZ62" s="2990"/>
      <c r="BA62" s="6737"/>
      <c r="BC62" s="6734"/>
      <c r="BD62" s="6735"/>
      <c r="BE62" s="2990"/>
      <c r="BF62" s="4176"/>
      <c r="BH62" s="6736"/>
      <c r="BI62" s="2990"/>
      <c r="BJ62" s="6737"/>
    </row>
    <row r="63" spans="1:62" x14ac:dyDescent="0.35">
      <c r="A63" s="9168"/>
      <c r="B63" s="4449"/>
      <c r="C63" s="4172" t="s">
        <v>533</v>
      </c>
      <c r="D63" s="1855"/>
      <c r="F63" s="4173"/>
      <c r="G63" s="1919"/>
      <c r="H63" s="4457"/>
      <c r="I63" s="4458"/>
      <c r="J63" s="4453">
        <f t="shared" si="31"/>
        <v>0</v>
      </c>
      <c r="L63" s="4457"/>
      <c r="M63" s="4325">
        <f>L63*J63</f>
        <v>0</v>
      </c>
      <c r="O63" s="4454"/>
      <c r="P63" s="4455"/>
      <c r="Q63" s="4385"/>
      <c r="S63" s="4451"/>
      <c r="T63" s="4451"/>
      <c r="U63" s="4245"/>
      <c r="V63" s="4265">
        <f t="shared" si="27"/>
        <v>0</v>
      </c>
      <c r="X63" s="4451"/>
      <c r="Y63" s="4245"/>
      <c r="Z63" s="4456">
        <f t="shared" si="28"/>
        <v>0</v>
      </c>
      <c r="AB63" s="4451"/>
      <c r="AC63" s="4451"/>
      <c r="AD63" s="4245"/>
      <c r="AE63" s="4265">
        <f t="shared" si="30"/>
        <v>0</v>
      </c>
      <c r="AG63" s="4451"/>
      <c r="AH63" s="4245"/>
      <c r="AI63" s="4456"/>
      <c r="AK63" s="4451"/>
      <c r="AL63" s="4451"/>
      <c r="AM63" s="4245"/>
      <c r="AN63" s="4265"/>
      <c r="AP63" s="4451"/>
      <c r="AQ63" s="4245"/>
      <c r="AR63" s="4456"/>
      <c r="AS63" s="4196"/>
      <c r="AT63" s="6734"/>
      <c r="AU63" s="6735"/>
      <c r="AV63" s="2990"/>
      <c r="AW63" s="6691"/>
      <c r="AY63" s="6736"/>
      <c r="AZ63" s="2990"/>
      <c r="BA63" s="6737"/>
      <c r="BC63" s="6734"/>
      <c r="BD63" s="6735"/>
      <c r="BE63" s="2990"/>
      <c r="BF63" s="4176"/>
      <c r="BH63" s="6736"/>
      <c r="BI63" s="2990"/>
      <c r="BJ63" s="6737"/>
    </row>
    <row r="64" spans="1:62" x14ac:dyDescent="0.35">
      <c r="A64" s="9168"/>
      <c r="B64" s="4459"/>
      <c r="C64" s="4172" t="s">
        <v>534</v>
      </c>
      <c r="D64" s="1855"/>
      <c r="F64" s="4173"/>
      <c r="G64" s="1919"/>
      <c r="H64" s="4457"/>
      <c r="I64" s="4458"/>
      <c r="J64" s="4453">
        <f t="shared" si="31"/>
        <v>0</v>
      </c>
      <c r="L64" s="4457"/>
      <c r="M64" s="4325">
        <f>L64*J64</f>
        <v>0</v>
      </c>
      <c r="O64" s="4454"/>
      <c r="P64" s="4455"/>
      <c r="Q64" s="4385"/>
      <c r="S64" s="4451"/>
      <c r="T64" s="4451"/>
      <c r="U64" s="4245"/>
      <c r="V64" s="4265">
        <f>IF(S64=0,0,T64/S64)</f>
        <v>0</v>
      </c>
      <c r="X64" s="4451"/>
      <c r="Y64" s="4245"/>
      <c r="Z64" s="4456">
        <f>X64*V64</f>
        <v>0</v>
      </c>
      <c r="AB64" s="4451"/>
      <c r="AC64" s="4451"/>
      <c r="AD64" s="4245"/>
      <c r="AE64" s="4265">
        <f>IF(AB64=0,0,AC64/AB64)</f>
        <v>0</v>
      </c>
      <c r="AG64" s="4451"/>
      <c r="AH64" s="4245"/>
      <c r="AI64" s="4456"/>
      <c r="AK64" s="4451"/>
      <c r="AL64" s="4451"/>
      <c r="AM64" s="4245"/>
      <c r="AN64" s="4265"/>
      <c r="AP64" s="4451"/>
      <c r="AQ64" s="4245"/>
      <c r="AR64" s="4456">
        <f>AP64*AN64</f>
        <v>0</v>
      </c>
      <c r="AS64" s="4196"/>
      <c r="AT64" s="6734"/>
      <c r="AU64" s="6735"/>
      <c r="AV64" s="2990"/>
      <c r="AW64" s="6691"/>
      <c r="AY64" s="6736"/>
      <c r="AZ64" s="2990"/>
      <c r="BA64" s="6737">
        <f>AY64*AW64</f>
        <v>0</v>
      </c>
      <c r="BC64" s="6734"/>
      <c r="BD64" s="6735"/>
      <c r="BE64" s="2990"/>
      <c r="BF64" s="4176"/>
      <c r="BH64" s="6736"/>
      <c r="BI64" s="2990"/>
      <c r="BJ64" s="6737">
        <f>BH64*BF64</f>
        <v>0</v>
      </c>
    </row>
    <row r="65" spans="1:62" x14ac:dyDescent="0.35">
      <c r="A65" s="9169"/>
      <c r="B65" s="4460"/>
      <c r="C65" s="4461" t="s">
        <v>536</v>
      </c>
      <c r="D65" s="1872"/>
      <c r="F65" s="4206"/>
      <c r="G65" s="1920"/>
      <c r="H65" s="4462"/>
      <c r="I65" s="4463"/>
      <c r="J65" s="4464">
        <f t="shared" si="31"/>
        <v>0</v>
      </c>
      <c r="L65" s="4462"/>
      <c r="M65" s="4338">
        <f>L65*J65</f>
        <v>0</v>
      </c>
      <c r="O65" s="4465"/>
      <c r="P65" s="4466"/>
      <c r="Q65" s="4150"/>
      <c r="S65" s="4467"/>
      <c r="T65" s="4467"/>
      <c r="U65" s="4257"/>
      <c r="V65" s="4265">
        <f>IF(S65=0,0,T65/S65)</f>
        <v>0</v>
      </c>
      <c r="X65" s="4467"/>
      <c r="Y65" s="4257"/>
      <c r="Z65" s="4468">
        <f>X65*V65</f>
        <v>0</v>
      </c>
      <c r="AB65" s="4467"/>
      <c r="AC65" s="4467"/>
      <c r="AD65" s="4257"/>
      <c r="AE65" s="4265">
        <f>IF(AB65=0,0,AC65/AB65)</f>
        <v>0</v>
      </c>
      <c r="AG65" s="4467"/>
      <c r="AH65" s="4257"/>
      <c r="AI65" s="4468"/>
      <c r="AK65" s="4467"/>
      <c r="AL65" s="4467"/>
      <c r="AM65" s="4257"/>
      <c r="AN65" s="4265"/>
      <c r="AP65" s="4467"/>
      <c r="AQ65" s="4257"/>
      <c r="AR65" s="4468">
        <f>AP65*AN65</f>
        <v>0</v>
      </c>
      <c r="AS65" s="4152"/>
      <c r="AT65" s="6738"/>
      <c r="AU65" s="6739"/>
      <c r="AV65" s="6683"/>
      <c r="AW65" s="6693"/>
      <c r="AY65" s="6740"/>
      <c r="AZ65" s="6683"/>
      <c r="BA65" s="6741">
        <f>AY65*AW65</f>
        <v>0</v>
      </c>
      <c r="BC65" s="6738"/>
      <c r="BD65" s="6739"/>
      <c r="BE65" s="6683"/>
      <c r="BF65" s="4251"/>
      <c r="BH65" s="6740"/>
      <c r="BI65" s="6683"/>
      <c r="BJ65" s="6741">
        <f>BH65*BF65</f>
        <v>0</v>
      </c>
    </row>
    <row r="66" spans="1:62" x14ac:dyDescent="0.35">
      <c r="A66" s="310"/>
      <c r="B66" s="310"/>
      <c r="F66" s="4350"/>
      <c r="H66" s="1864"/>
      <c r="I66" s="1864"/>
      <c r="J66" s="4265"/>
      <c r="L66" s="1864"/>
      <c r="M66" s="4325"/>
      <c r="O66" s="4135"/>
      <c r="S66" s="1864"/>
      <c r="T66" s="1864"/>
      <c r="U66" s="2990"/>
      <c r="V66" s="4265"/>
      <c r="X66" s="1864"/>
      <c r="Y66" s="2990"/>
      <c r="Z66" s="4325"/>
      <c r="AB66" s="1864"/>
      <c r="AC66" s="1864"/>
      <c r="AD66" s="2990"/>
      <c r="AE66" s="4265"/>
      <c r="AG66" s="1864"/>
      <c r="AH66" s="2990"/>
      <c r="AI66" s="4325"/>
      <c r="AK66" s="1864"/>
      <c r="AL66" s="1864"/>
      <c r="AM66" s="2990"/>
      <c r="AN66" s="4265"/>
      <c r="AP66" s="1864"/>
      <c r="AQ66" s="2990"/>
      <c r="AR66" s="4325"/>
      <c r="AT66" s="1864"/>
      <c r="AU66" s="1864"/>
      <c r="AV66" s="2990"/>
      <c r="AW66" s="6742"/>
      <c r="AY66" s="1864"/>
      <c r="AZ66" s="1864"/>
      <c r="BA66" s="1864"/>
      <c r="BB66" s="1864"/>
      <c r="BC66" s="1864"/>
      <c r="BD66" s="1864"/>
      <c r="BE66" s="2990"/>
      <c r="BF66" s="4265"/>
      <c r="BH66" s="1864"/>
      <c r="BI66" s="1864"/>
      <c r="BJ66" s="1864"/>
    </row>
    <row r="67" spans="1:62" x14ac:dyDescent="0.35">
      <c r="A67" s="9167" t="s">
        <v>566</v>
      </c>
      <c r="B67" s="100" t="s">
        <v>567</v>
      </c>
      <c r="C67" s="1831"/>
      <c r="D67" s="1832"/>
      <c r="E67" s="43"/>
      <c r="F67" s="4218"/>
      <c r="G67" s="43"/>
      <c r="H67" s="4264"/>
      <c r="I67" s="4360"/>
      <c r="J67" s="4361"/>
      <c r="K67" s="43"/>
      <c r="L67" s="4264"/>
      <c r="M67" s="4411"/>
      <c r="N67" s="43"/>
      <c r="O67" s="4469"/>
      <c r="P67" s="4470"/>
      <c r="R67" s="4170"/>
      <c r="S67" s="4264"/>
      <c r="T67" s="4471"/>
      <c r="U67" s="2990"/>
      <c r="V67" s="4351"/>
      <c r="X67" s="4264"/>
      <c r="Y67" s="4472"/>
      <c r="Z67" s="4411"/>
      <c r="AB67" s="4264"/>
      <c r="AC67" s="4471"/>
      <c r="AD67" s="2990"/>
      <c r="AE67" s="4351"/>
      <c r="AG67" s="4264"/>
      <c r="AH67" s="4472"/>
      <c r="AI67" s="4411"/>
      <c r="AK67" s="4264"/>
      <c r="AL67" s="4471"/>
      <c r="AM67" s="2990"/>
      <c r="AN67" s="4351"/>
      <c r="AP67" s="4264"/>
      <c r="AQ67" s="4472"/>
      <c r="AR67" s="4411"/>
      <c r="AT67" s="4264"/>
      <c r="AU67" s="4360"/>
      <c r="AV67" s="4472"/>
      <c r="AW67" s="4361"/>
      <c r="AY67" s="4264"/>
      <c r="AZ67" s="4472"/>
      <c r="BA67" s="4470"/>
      <c r="BC67" s="4264"/>
      <c r="BD67" s="4360"/>
      <c r="BE67" s="4472"/>
      <c r="BF67" s="4361"/>
      <c r="BH67" s="4264"/>
      <c r="BI67" s="4472"/>
      <c r="BJ67" s="4470"/>
    </row>
    <row r="68" spans="1:62" x14ac:dyDescent="0.35">
      <c r="A68" s="9168"/>
      <c r="B68" s="6082"/>
      <c r="C68" s="1828"/>
      <c r="D68" s="33" t="s">
        <v>568</v>
      </c>
      <c r="F68" s="4473">
        <f>SUM(F35:F38)-SUM(F40:F42)</f>
        <v>0</v>
      </c>
      <c r="G68" s="1940"/>
      <c r="H68" s="4474">
        <f>SUM(H35:H38)-SUM(H40:H42)</f>
        <v>1575.39</v>
      </c>
      <c r="I68" s="1940">
        <f>SUM(I35:I38)-SUM(I40:I42)</f>
        <v>0</v>
      </c>
      <c r="J68" s="4475"/>
      <c r="K68" s="1940"/>
      <c r="L68" s="4474">
        <f>SUM(L35:L38)-SUM(L40:L42)</f>
        <v>2649.9620000000004</v>
      </c>
      <c r="M68" s="4476">
        <f>SUM(M35:M38)-SUM(M40:M42)</f>
        <v>0</v>
      </c>
      <c r="O68" s="4477">
        <f>SUM(O35:O38)-SUM(O40:O42)</f>
        <v>1990938</v>
      </c>
      <c r="P68" s="4478">
        <f>SUM(P35:P38)-SUM(P40:P42)</f>
        <v>1145017.5460000001</v>
      </c>
      <c r="S68" s="4479">
        <f>SUM(S35:S38)-SUM(S40:S42)</f>
        <v>2762962</v>
      </c>
      <c r="T68" s="4478">
        <f>SUM(T35:T38)-SUM(T40:T42)</f>
        <v>1225083.1715323497</v>
      </c>
      <c r="U68" s="4480"/>
      <c r="V68" s="4351"/>
      <c r="X68" s="4479">
        <f>SUM(X35:X38)-SUM(X40:X42)</f>
        <v>2303056.1150000002</v>
      </c>
      <c r="Y68" s="4480"/>
      <c r="Z68" s="4481">
        <f>SUM(Z35:Z38)-SUM(Z40:Z42)</f>
        <v>1300196.1350448073</v>
      </c>
      <c r="AB68" s="4479">
        <f>SUM(AB35:AB38)-SUM(AB40:AB42)</f>
        <v>2303056.1150000002</v>
      </c>
      <c r="AC68" s="4478">
        <f>SUM(AC35:AC38)-SUM(AC40:AC42)</f>
        <v>1300196.1350448073</v>
      </c>
      <c r="AD68" s="4480"/>
      <c r="AE68" s="4351"/>
      <c r="AG68" s="4479">
        <f>SUM(AG35:AG38)-SUM(AG40:AG42)</f>
        <v>0</v>
      </c>
      <c r="AH68" s="4480"/>
      <c r="AI68" s="4481">
        <f>SUM(AI35:AI38)-SUM(AI40:AI42)</f>
        <v>0</v>
      </c>
      <c r="AK68" s="4479">
        <f>SUM(AK35:AK38)-SUM(AK40:AK42)</f>
        <v>0</v>
      </c>
      <c r="AL68" s="4478">
        <f>SUM(AL35:AL38)-SUM(AL40:AL42)</f>
        <v>0</v>
      </c>
      <c r="AM68" s="4480"/>
      <c r="AN68" s="4351"/>
      <c r="AP68" s="4479">
        <f>SUM(AP35:AP38)-SUM(AP40:AP42)</f>
        <v>1653189910</v>
      </c>
      <c r="AQ68" s="4480"/>
      <c r="AR68" s="4481">
        <f>SUM(AR35:AR38)-SUM(AR40:AR42)</f>
        <v>1902900247</v>
      </c>
      <c r="AT68" s="4479">
        <f>SUM(AT35:AT38)-SUM(AT40:AT42)</f>
        <v>1653189910</v>
      </c>
      <c r="AU68" s="6743">
        <f>SUM(AU35:AU38)-SUM(AU40:AU42)</f>
        <v>1902900247</v>
      </c>
      <c r="AV68" s="4480"/>
      <c r="AW68" s="4376"/>
      <c r="AY68" s="4479">
        <f>SUM(AY35:AY38)-SUM(AY40:AY42)</f>
        <v>2410310350</v>
      </c>
      <c r="AZ68" s="4480"/>
      <c r="BA68" s="4478">
        <f>SUM(BA35:BA38)-SUM(BA40:BA42)</f>
        <v>2549577007</v>
      </c>
      <c r="BC68" s="4479">
        <f>SUM(BC35:BC38)-SUM(BC40:BC42)</f>
        <v>2410310350</v>
      </c>
      <c r="BD68" s="6743">
        <f>SUM(BD35:BD38)-SUM(BD40:BD42)</f>
        <v>2549577007</v>
      </c>
      <c r="BE68" s="4480"/>
      <c r="BF68" s="4376"/>
      <c r="BH68" s="4479">
        <f>SUM(BH35:BH38)-SUM(BH40:BH42)</f>
        <v>2908690290</v>
      </c>
      <c r="BI68" s="4480"/>
      <c r="BJ68" s="4478">
        <f>SUM(BJ35:BJ38)-SUM(BJ40:BJ42)</f>
        <v>2707133891</v>
      </c>
    </row>
    <row r="69" spans="1:62" x14ac:dyDescent="0.35">
      <c r="A69" s="9168"/>
      <c r="B69" s="6082"/>
      <c r="C69" s="1828"/>
      <c r="D69" s="33" t="s">
        <v>569</v>
      </c>
      <c r="F69" s="4473">
        <f>SUM(F44:F47)</f>
        <v>0</v>
      </c>
      <c r="G69" s="1940"/>
      <c r="H69" s="4474">
        <f>SUM(H44:H47)</f>
        <v>0</v>
      </c>
      <c r="I69" s="1940">
        <f>SUM(I44:I47)</f>
        <v>0</v>
      </c>
      <c r="J69" s="4475"/>
      <c r="K69" s="1940"/>
      <c r="L69" s="4474">
        <f>SUM(L44:L47)</f>
        <v>0</v>
      </c>
      <c r="M69" s="4476">
        <f>SUM(M44:M47)</f>
        <v>0</v>
      </c>
      <c r="O69" s="4477">
        <f>SUM(O44:O47)</f>
        <v>0</v>
      </c>
      <c r="P69" s="4478">
        <f>SUM(P44:P47)</f>
        <v>0</v>
      </c>
      <c r="S69" s="4479">
        <f>SUM(S44:S47)</f>
        <v>0</v>
      </c>
      <c r="T69" s="4478">
        <f>SUM(T44:T47)</f>
        <v>0</v>
      </c>
      <c r="U69" s="4480"/>
      <c r="V69" s="4351"/>
      <c r="X69" s="4479">
        <f>SUM(X44:X47)</f>
        <v>0</v>
      </c>
      <c r="Y69" s="4480"/>
      <c r="Z69" s="4481">
        <f>SUM(Z44:Z47)</f>
        <v>0</v>
      </c>
      <c r="AB69" s="4479">
        <f>SUM(AB44:AB47)</f>
        <v>0</v>
      </c>
      <c r="AC69" s="4478">
        <f>SUM(AC44:AC47)</f>
        <v>0</v>
      </c>
      <c r="AD69" s="4480"/>
      <c r="AE69" s="4351"/>
      <c r="AG69" s="4479">
        <f>SUM(AG44:AG47)</f>
        <v>0</v>
      </c>
      <c r="AH69" s="4480"/>
      <c r="AI69" s="4481">
        <f>SUM(AI44:AI47)</f>
        <v>0</v>
      </c>
      <c r="AK69" s="4479">
        <f>SUM(AK44:AK47)</f>
        <v>0</v>
      </c>
      <c r="AL69" s="4478">
        <f>SUM(AL44:AL47)</f>
        <v>0</v>
      </c>
      <c r="AM69" s="4480"/>
      <c r="AN69" s="4351"/>
      <c r="AP69" s="4479">
        <f>SUM(AP44:AP47)</f>
        <v>0</v>
      </c>
      <c r="AQ69" s="4480"/>
      <c r="AR69" s="4481">
        <f>SUM(AR44:AR47)</f>
        <v>0</v>
      </c>
      <c r="AT69" s="4479">
        <f>SUM(AT44:AT47)</f>
        <v>0</v>
      </c>
      <c r="AU69" s="6743">
        <f>SUM(AU44:AU47)</f>
        <v>0</v>
      </c>
      <c r="AV69" s="4480"/>
      <c r="AW69" s="4376"/>
      <c r="AY69" s="4479">
        <f>SUM(AY44:AY47)</f>
        <v>0</v>
      </c>
      <c r="AZ69" s="4480"/>
      <c r="BA69" s="4478">
        <f>SUM(BA44:BA47)</f>
        <v>0</v>
      </c>
      <c r="BC69" s="4479">
        <f>SUM(BC44:BC47)</f>
        <v>0</v>
      </c>
      <c r="BD69" s="6743">
        <f>SUM(BD44:BD47)</f>
        <v>0</v>
      </c>
      <c r="BE69" s="4480"/>
      <c r="BF69" s="4376"/>
      <c r="BH69" s="4479">
        <f>SUM(BH44:BH47)</f>
        <v>0</v>
      </c>
      <c r="BI69" s="4480"/>
      <c r="BJ69" s="4478">
        <f>SUM(BJ44:BJ47)</f>
        <v>0</v>
      </c>
    </row>
    <row r="70" spans="1:62" x14ac:dyDescent="0.35">
      <c r="A70" s="9168"/>
      <c r="B70" s="6082"/>
      <c r="C70" s="1828"/>
      <c r="D70" s="33" t="s">
        <v>570</v>
      </c>
      <c r="F70" s="4473">
        <f>SUM(F49:F56)*F28</f>
        <v>0</v>
      </c>
      <c r="G70" s="1940"/>
      <c r="H70" s="4474">
        <f>SUM(H49:H56)*H28</f>
        <v>19.771009773928188</v>
      </c>
      <c r="I70" s="1940">
        <f>SUM(I49:I56)*I28</f>
        <v>0</v>
      </c>
      <c r="J70" s="4475"/>
      <c r="K70" s="1940"/>
      <c r="L70" s="4474">
        <f>SUM(L49:L56)*L28</f>
        <v>22.037428289496297</v>
      </c>
      <c r="M70" s="4476">
        <f>SUM(M49:M56)*M28</f>
        <v>0</v>
      </c>
      <c r="O70" s="4477">
        <f>SUM(O49:O56)*O28</f>
        <v>997.45487003223082</v>
      </c>
      <c r="P70" s="4478">
        <f>SUM(P49:P56)*P28</f>
        <v>902.98145160124943</v>
      </c>
      <c r="Q70" s="3000"/>
      <c r="R70" s="4482"/>
      <c r="S70" s="4479">
        <f>SUM(S49:S56)*S28</f>
        <v>3325.0806574183998</v>
      </c>
      <c r="T70" s="4478">
        <f>SUM(T49:T56)*T28</f>
        <v>3325.0806574183998</v>
      </c>
      <c r="U70" s="4483"/>
      <c r="V70" s="4484"/>
      <c r="W70" s="4485"/>
      <c r="X70" s="4474">
        <f>SUM(X49:X56)*X28</f>
        <v>3331.7698437037257</v>
      </c>
      <c r="Y70" s="4483"/>
      <c r="Z70" s="4476">
        <f>SUM(Z49:Z56)*Z28</f>
        <v>3331.7698437037257</v>
      </c>
      <c r="AA70" s="4485"/>
      <c r="AB70" s="4479">
        <f>SUM(AB49:AB56)*AB28</f>
        <v>3331.7698437037257</v>
      </c>
      <c r="AC70" s="4478">
        <f>SUM(AC49:AC56)*AC28</f>
        <v>3331.7698437037257</v>
      </c>
      <c r="AD70" s="4483"/>
      <c r="AE70" s="4484"/>
      <c r="AF70" s="4485"/>
      <c r="AG70" s="4474">
        <f>SUM(AG49:AG56)*AG28</f>
        <v>0</v>
      </c>
      <c r="AH70" s="4483"/>
      <c r="AI70" s="4476">
        <f>SUM(AI49:AI56)*AI28</f>
        <v>0</v>
      </c>
      <c r="AJ70" s="4485"/>
      <c r="AK70" s="4479">
        <f>SUM(AK49:AK56)*AK28</f>
        <v>0</v>
      </c>
      <c r="AL70" s="4478">
        <f>SUM(AL49:AL56)*AL28</f>
        <v>0</v>
      </c>
      <c r="AM70" s="4483"/>
      <c r="AN70" s="4484"/>
      <c r="AO70" s="4485"/>
      <c r="AP70" s="4474">
        <f>SUM(AP49:AP56)*AP28</f>
        <v>0</v>
      </c>
      <c r="AQ70" s="4483"/>
      <c r="AR70" s="4476">
        <f>SUM(AR49:AR56)*AR28</f>
        <v>0</v>
      </c>
      <c r="AT70" s="4479">
        <f>SUM(AT49:AT56)*AT28</f>
        <v>70941709.042341247</v>
      </c>
      <c r="AU70" s="6743">
        <f>SUM(AU49:AU56)*AU28</f>
        <v>61263926.04554908</v>
      </c>
      <c r="AV70" s="4483"/>
      <c r="AW70" s="4475"/>
      <c r="AX70" s="4485"/>
      <c r="AY70" s="4474">
        <f>SUM(AY49:AY56)*AY28</f>
        <v>134514122.19461316</v>
      </c>
      <c r="AZ70" s="4483"/>
      <c r="BA70" s="4478">
        <f>SUM(BA49:BA56)*BA28</f>
        <v>106169477.93233652</v>
      </c>
      <c r="BC70" s="4479">
        <f>SUM(BC49:BC56)*BC28</f>
        <v>134514122.19461316</v>
      </c>
      <c r="BD70" s="6743">
        <f>SUM(BD49:BD56)*BD28</f>
        <v>106169478.14924702</v>
      </c>
      <c r="BE70" s="4483"/>
      <c r="BF70" s="4475"/>
      <c r="BG70" s="4485"/>
      <c r="BH70" s="4474">
        <f>SUM(BH49:BH56)*BH28</f>
        <v>154412441.34489813</v>
      </c>
      <c r="BI70" s="4483"/>
      <c r="BJ70" s="4478">
        <f>SUM(BJ49:BJ56)*BJ28</f>
        <v>120190608.56097303</v>
      </c>
    </row>
    <row r="71" spans="1:62" x14ac:dyDescent="0.35">
      <c r="A71" s="9168"/>
      <c r="B71" s="6082"/>
      <c r="C71" s="1828"/>
      <c r="D71" s="33" t="s">
        <v>552</v>
      </c>
      <c r="F71" s="4473">
        <f>F58</f>
        <v>0</v>
      </c>
      <c r="G71" s="1940"/>
      <c r="H71" s="4474">
        <f t="shared" ref="H71:I71" si="32">H58</f>
        <v>0</v>
      </c>
      <c r="I71" s="1940">
        <f t="shared" si="32"/>
        <v>0</v>
      </c>
      <c r="J71" s="4475"/>
      <c r="K71" s="1940"/>
      <c r="L71" s="4474">
        <f t="shared" ref="L71:M71" si="33">L58</f>
        <v>0</v>
      </c>
      <c r="M71" s="4476">
        <f t="shared" si="33"/>
        <v>0</v>
      </c>
      <c r="O71" s="4477">
        <f>O58</f>
        <v>0</v>
      </c>
      <c r="P71" s="4478">
        <f>P58</f>
        <v>0</v>
      </c>
      <c r="S71" s="4479">
        <f t="shared" ref="S71:T71" si="34">S58</f>
        <v>0</v>
      </c>
      <c r="T71" s="4478">
        <f t="shared" si="34"/>
        <v>0</v>
      </c>
      <c r="U71" s="4480"/>
      <c r="V71" s="4351"/>
      <c r="X71" s="4479">
        <f>X58</f>
        <v>0</v>
      </c>
      <c r="Y71" s="4480"/>
      <c r="Z71" s="4481">
        <f>Z58</f>
        <v>0</v>
      </c>
      <c r="AB71" s="4479">
        <f t="shared" ref="AB71:AC71" si="35">AB58</f>
        <v>0</v>
      </c>
      <c r="AC71" s="4478">
        <f t="shared" si="35"/>
        <v>0</v>
      </c>
      <c r="AD71" s="4480"/>
      <c r="AE71" s="4351"/>
      <c r="AG71" s="4479">
        <f>AG58</f>
        <v>0</v>
      </c>
      <c r="AH71" s="4480"/>
      <c r="AI71" s="4481">
        <f>AI58</f>
        <v>0</v>
      </c>
      <c r="AK71" s="4479">
        <f t="shared" ref="AK71:AL71" si="36">AK58</f>
        <v>0</v>
      </c>
      <c r="AL71" s="4478">
        <f t="shared" si="36"/>
        <v>0</v>
      </c>
      <c r="AM71" s="4480"/>
      <c r="AN71" s="4351"/>
      <c r="AP71" s="4479">
        <f>AP58</f>
        <v>0</v>
      </c>
      <c r="AQ71" s="4480"/>
      <c r="AR71" s="4481">
        <f>AR58</f>
        <v>0</v>
      </c>
      <c r="AT71" s="4479">
        <f>AT58</f>
        <v>0</v>
      </c>
      <c r="AU71" s="6743">
        <f>AU58</f>
        <v>0</v>
      </c>
      <c r="AV71" s="4480"/>
      <c r="AW71" s="4376"/>
      <c r="AY71" s="4479">
        <f>AY58</f>
        <v>0</v>
      </c>
      <c r="AZ71" s="4480"/>
      <c r="BA71" s="4478">
        <f>BA58</f>
        <v>0</v>
      </c>
      <c r="BC71" s="4479">
        <f>BC58</f>
        <v>0</v>
      </c>
      <c r="BD71" s="6743">
        <f>BD58</f>
        <v>0</v>
      </c>
      <c r="BE71" s="4480"/>
      <c r="BF71" s="4376"/>
      <c r="BH71" s="4479">
        <f>BH58</f>
        <v>0</v>
      </c>
      <c r="BI71" s="4480"/>
      <c r="BJ71" s="4478">
        <f>BJ58</f>
        <v>0</v>
      </c>
    </row>
    <row r="72" spans="1:62" x14ac:dyDescent="0.35">
      <c r="A72" s="9168"/>
      <c r="B72" s="6082"/>
      <c r="C72" s="1828"/>
      <c r="D72" s="1942" t="s">
        <v>571</v>
      </c>
      <c r="E72" s="12"/>
      <c r="F72" s="4486">
        <f>SUM(F68:F71)</f>
        <v>0</v>
      </c>
      <c r="G72" s="1944"/>
      <c r="H72" s="4487">
        <f t="shared" ref="H72:I72" si="37">SUM(H68:H71)</f>
        <v>1595.1610097739283</v>
      </c>
      <c r="I72" s="1944">
        <f t="shared" si="37"/>
        <v>0</v>
      </c>
      <c r="J72" s="4488"/>
      <c r="K72" s="1944"/>
      <c r="L72" s="4487">
        <f t="shared" ref="L72:M72" si="38">SUM(L68:L71)</f>
        <v>2671.9994282894968</v>
      </c>
      <c r="M72" s="4489">
        <f t="shared" si="38"/>
        <v>0</v>
      </c>
      <c r="N72" s="12"/>
      <c r="O72" s="4490">
        <f>SUM(O68:O71)</f>
        <v>1991935.4548700321</v>
      </c>
      <c r="P72" s="4491">
        <f>SUM(P68:P71)</f>
        <v>1145920.5274516013</v>
      </c>
      <c r="R72" s="4395"/>
      <c r="S72" s="4492">
        <f t="shared" ref="S72:T72" si="39">SUM(S68:S71)</f>
        <v>2766287.0806574184</v>
      </c>
      <c r="T72" s="4491">
        <f t="shared" si="39"/>
        <v>1228408.252189768</v>
      </c>
      <c r="U72" s="4493"/>
      <c r="V72" s="4494"/>
      <c r="X72" s="4492">
        <f>SUM(X68:X71)</f>
        <v>2306387.8848437038</v>
      </c>
      <c r="Y72" s="4493"/>
      <c r="Z72" s="4495">
        <f>SUM(Z68:Z71)</f>
        <v>1303527.9048885112</v>
      </c>
      <c r="AB72" s="4492">
        <f t="shared" ref="AB72:AC72" si="40">SUM(AB68:AB71)</f>
        <v>2306387.8848437038</v>
      </c>
      <c r="AC72" s="4491">
        <f t="shared" si="40"/>
        <v>1303527.9048885112</v>
      </c>
      <c r="AD72" s="4493"/>
      <c r="AE72" s="4494"/>
      <c r="AG72" s="4492">
        <f>SUM(AG68:AG71)</f>
        <v>0</v>
      </c>
      <c r="AH72" s="4493"/>
      <c r="AI72" s="4495">
        <f>SUM(AI68:AI71)</f>
        <v>0</v>
      </c>
      <c r="AK72" s="4492">
        <f t="shared" ref="AK72:AL72" si="41">SUM(AK68:AK71)</f>
        <v>0</v>
      </c>
      <c r="AL72" s="4491">
        <f t="shared" si="41"/>
        <v>0</v>
      </c>
      <c r="AM72" s="4493"/>
      <c r="AN72" s="4494"/>
      <c r="AP72" s="4492">
        <f>SUM(AP68:AP71)</f>
        <v>1653189910</v>
      </c>
      <c r="AQ72" s="4493"/>
      <c r="AR72" s="4495">
        <f>SUM(AR68:AR71)</f>
        <v>1902900247</v>
      </c>
      <c r="AT72" s="4492">
        <f>SUM(AT68:AT71)</f>
        <v>1724131619.0423412</v>
      </c>
      <c r="AU72" s="6744">
        <f>SUM(AU68:AU71)</f>
        <v>1964164173.0455492</v>
      </c>
      <c r="AV72" s="4493"/>
      <c r="AW72" s="6745"/>
      <c r="AY72" s="4492">
        <f>SUM(AY68:AY71)</f>
        <v>2544824472.194613</v>
      </c>
      <c r="AZ72" s="4493"/>
      <c r="BA72" s="4491">
        <f>SUM(BA68:BA71)</f>
        <v>2655746484.9323363</v>
      </c>
      <c r="BC72" s="4492">
        <f>SUM(BC68:BC71)</f>
        <v>2544824472.194613</v>
      </c>
      <c r="BD72" s="6744">
        <f>SUM(BD68:BD71)</f>
        <v>2655746485.1492472</v>
      </c>
      <c r="BE72" s="4493"/>
      <c r="BF72" s="6745"/>
      <c r="BH72" s="4492">
        <f>SUM(BH68:BH71)</f>
        <v>3063102731.3448982</v>
      </c>
      <c r="BI72" s="4493"/>
      <c r="BJ72" s="4491">
        <f>SUM(BJ68:BJ71)</f>
        <v>2827324499.5609732</v>
      </c>
    </row>
    <row r="73" spans="1:62" ht="15.5" x14ac:dyDescent="0.35">
      <c r="A73" s="9168"/>
      <c r="B73" s="6082"/>
      <c r="C73" s="1828"/>
      <c r="D73" s="1942" t="s">
        <v>572</v>
      </c>
      <c r="F73" s="4496" t="e">
        <f>F72/(F17+F18)</f>
        <v>#DIV/0!</v>
      </c>
      <c r="G73" s="4497"/>
      <c r="H73" s="4498">
        <f>H72/(H17+H18)</f>
        <v>0.20001808557453649</v>
      </c>
      <c r="I73" s="4497">
        <f>I72/(I17+I18)</f>
        <v>0</v>
      </c>
      <c r="J73" s="4499"/>
      <c r="K73" s="4497"/>
      <c r="L73" s="4498">
        <f>L72/(L17+L18)</f>
        <v>0.29676280009639205</v>
      </c>
      <c r="M73" s="4500" t="e">
        <f>M72/(M17+M18)</f>
        <v>#DIV/0!</v>
      </c>
      <c r="N73" s="4497" t="e">
        <f>N72/(N17+N18)</f>
        <v>#DIV/0!</v>
      </c>
      <c r="O73" s="4501">
        <f>O72/(O17+O18)</f>
        <v>0.19408000319482718</v>
      </c>
      <c r="P73" s="4502">
        <f>P72/(P17+P18)</f>
        <v>0.14122369171411747</v>
      </c>
      <c r="Q73" s="4503"/>
      <c r="R73" s="4504"/>
      <c r="S73" s="4505">
        <f>S72/(S17+S18)</f>
        <v>0.23399213531846386</v>
      </c>
      <c r="T73" s="4506">
        <f>T72/(T17+T18)</f>
        <v>0.12070727180554722</v>
      </c>
      <c r="U73" s="4507"/>
      <c r="V73" s="4508"/>
      <c r="W73" s="4508"/>
      <c r="X73" s="4505">
        <f>X72/(X17+X18)</f>
        <v>0.17472553423186224</v>
      </c>
      <c r="Y73" s="4507"/>
      <c r="Z73" s="4509">
        <f>Z72/(Z17+Z18)</f>
        <v>0.11938093100800616</v>
      </c>
      <c r="AA73" s="4508"/>
      <c r="AB73" s="4505">
        <f>AB72/(AB17+AB18)</f>
        <v>0.17472553423186224</v>
      </c>
      <c r="AC73" s="4506">
        <f>AC72/(AC17+AC18)</f>
        <v>0.11938093100800616</v>
      </c>
      <c r="AD73" s="4507"/>
      <c r="AE73" s="4508"/>
      <c r="AF73" s="4508"/>
      <c r="AG73" s="4505" t="e">
        <f>AG72/(AG17+AG18)</f>
        <v>#DIV/0!</v>
      </c>
      <c r="AH73" s="4507"/>
      <c r="AI73" s="4509">
        <f>AI72/(AI17+AI18)</f>
        <v>0</v>
      </c>
      <c r="AJ73" s="4508"/>
      <c r="AK73" s="4505" t="e">
        <f>AK72/(AK17+AK18)</f>
        <v>#DIV/0!</v>
      </c>
      <c r="AL73" s="4506">
        <f>AL72/(AL17+AL18)</f>
        <v>0</v>
      </c>
      <c r="AM73" s="4507"/>
      <c r="AN73" s="4508"/>
      <c r="AO73" s="4508"/>
      <c r="AP73" s="4505">
        <f>AP72/(AP17+AP18)</f>
        <v>0.17760264721090058</v>
      </c>
      <c r="AQ73" s="4507"/>
      <c r="AR73" s="4509">
        <f>AR72/(AR17+AR18)</f>
        <v>0.21396787723175933</v>
      </c>
      <c r="AT73" s="6746">
        <f>AT72/(AT17+AT18)</f>
        <v>0.18522393454599281</v>
      </c>
      <c r="AU73" s="6746">
        <f>AU72/(AU17+AU18)</f>
        <v>0.22085657897782929</v>
      </c>
      <c r="AV73" s="6747"/>
      <c r="AW73" s="6748"/>
      <c r="AX73" s="6749"/>
      <c r="AY73" s="6746">
        <f>AY72/(AY17+AY18)</f>
        <v>0.20673806829428379</v>
      </c>
      <c r="AZ73" s="6747"/>
      <c r="BA73" s="6748">
        <f>BA72/(BA17+BA18)</f>
        <v>0.23828576928527856</v>
      </c>
      <c r="BC73" s="4505">
        <f>BC72/(BC17+BC18)</f>
        <v>0.20673806829428379</v>
      </c>
      <c r="BD73" s="4505">
        <f>BD72/(BD17+BD18)</f>
        <v>0.2382857692833607</v>
      </c>
      <c r="BE73" s="4507"/>
      <c r="BF73" s="4502"/>
      <c r="BG73" s="4508"/>
      <c r="BH73" s="4505">
        <f>BH72/(BH17+BH18)</f>
        <v>0.18937665559383557</v>
      </c>
      <c r="BI73" s="4507"/>
      <c r="BJ73" s="4502">
        <f>BJ72/(BJ17+BJ18)</f>
        <v>0.18304821802897553</v>
      </c>
    </row>
    <row r="74" spans="1:62" s="1941" customFormat="1" x14ac:dyDescent="0.35">
      <c r="A74" s="9168"/>
      <c r="B74" s="3186"/>
      <c r="C74" s="4510"/>
      <c r="D74" s="1741" t="s">
        <v>573</v>
      </c>
      <c r="E74" s="1951"/>
      <c r="F74" s="4511">
        <f>F35+F37+F70</f>
        <v>0</v>
      </c>
      <c r="G74" s="4512"/>
      <c r="H74" s="4513">
        <f>H35+H37+H70</f>
        <v>1080.2810097739282</v>
      </c>
      <c r="I74" s="4514">
        <f>I35+I37+I70</f>
        <v>0</v>
      </c>
      <c r="J74" s="4515"/>
      <c r="K74" s="4512"/>
      <c r="L74" s="4516">
        <f>L35+L37+L70</f>
        <v>937.57542828949636</v>
      </c>
      <c r="M74" s="4517">
        <f>M35+M37+M70</f>
        <v>0</v>
      </c>
      <c r="N74" s="1864"/>
      <c r="O74" s="4518">
        <f>O35+O37+O70</f>
        <v>943003.45487003226</v>
      </c>
      <c r="P74" s="4519">
        <f>P35+P37+P70</f>
        <v>975568.52745160123</v>
      </c>
      <c r="Q74" s="2990"/>
      <c r="R74" s="4520"/>
      <c r="S74" s="4521">
        <f>S35+S37+S70</f>
        <v>1070863.0806574184</v>
      </c>
      <c r="T74" s="4519">
        <f>T35+T37+T70</f>
        <v>1068537.252189768</v>
      </c>
      <c r="U74" s="4522"/>
      <c r="V74" s="4523"/>
      <c r="X74" s="4521">
        <f>X35+X37+X70</f>
        <v>1225619.8848437041</v>
      </c>
      <c r="Y74" s="4522"/>
      <c r="Z74" s="4524">
        <f>Z35+Z37+Z70</f>
        <v>1222899.9019162159</v>
      </c>
      <c r="AB74" s="4521">
        <f>AB35+AB37+AB70</f>
        <v>1225619.8848437041</v>
      </c>
      <c r="AC74" s="4519">
        <f>AC35+AC37+AC70</f>
        <v>1222899.9019162159</v>
      </c>
      <c r="AD74" s="4522"/>
      <c r="AE74" s="4523"/>
      <c r="AG74" s="4521">
        <f>AG35+AG35+AG37+AG70</f>
        <v>0</v>
      </c>
      <c r="AH74" s="4522"/>
      <c r="AI74" s="4524">
        <f>AI35+AI35+AI37+AI70</f>
        <v>0</v>
      </c>
      <c r="AK74" s="4521">
        <f>AK35+AK35+AK37+AK70</f>
        <v>0</v>
      </c>
      <c r="AL74" s="4519">
        <f>AL35+AL35+AL37+AL70</f>
        <v>0</v>
      </c>
      <c r="AM74" s="4522"/>
      <c r="AN74" s="4523"/>
      <c r="AP74" s="4521">
        <f>AP35+AP37+AP70</f>
        <v>1653189910</v>
      </c>
      <c r="AQ74" s="4522"/>
      <c r="AR74" s="4524">
        <f>AR35+AR37+AR70</f>
        <v>1902900247</v>
      </c>
      <c r="AT74" s="6734"/>
      <c r="AU74" s="6735"/>
      <c r="AV74" s="6750"/>
      <c r="AW74" s="6751"/>
      <c r="AY74" s="6736"/>
      <c r="AZ74" s="2990"/>
      <c r="BA74" s="6752"/>
      <c r="BB74" s="1828"/>
      <c r="BC74" s="6734"/>
      <c r="BD74" s="6735"/>
      <c r="BE74" s="4522"/>
      <c r="BF74" s="4515"/>
      <c r="BH74" s="6736"/>
      <c r="BI74" s="2990"/>
      <c r="BJ74" s="6752"/>
    </row>
    <row r="75" spans="1:62" s="1965" customFormat="1" x14ac:dyDescent="0.35">
      <c r="A75" s="9168"/>
      <c r="B75" s="681"/>
      <c r="C75" s="4525"/>
      <c r="D75" s="4526" t="s">
        <v>575</v>
      </c>
      <c r="E75" s="4527"/>
      <c r="F75" s="4528" t="e">
        <f>(F72-F74)/F18</f>
        <v>#DIV/0!</v>
      </c>
      <c r="G75" s="4527"/>
      <c r="H75" s="4529">
        <f>(H72-H74)/H18</f>
        <v>0.19069629629629634</v>
      </c>
      <c r="I75" s="4530">
        <f>(I72-I74)/I18</f>
        <v>0</v>
      </c>
      <c r="J75" s="4531"/>
      <c r="K75" s="4527"/>
      <c r="L75" s="4532">
        <f>(L72-L74)/L18</f>
        <v>0.44700819984783796</v>
      </c>
      <c r="M75" s="4533" t="e">
        <f>(M72-M74)/M18</f>
        <v>#DIV/0!</v>
      </c>
      <c r="N75" s="4534"/>
      <c r="O75" s="4535">
        <f>(O72-O74)/O18</f>
        <v>0.38323254406911933</v>
      </c>
      <c r="P75" s="4536">
        <f>(P72-P74)/P18</f>
        <v>0.23312928772893562</v>
      </c>
      <c r="Q75" s="4537"/>
      <c r="R75" s="4538"/>
      <c r="S75" s="4539">
        <f>(S72-S74)/S18</f>
        <v>0.85199069728174892</v>
      </c>
      <c r="T75" s="4536">
        <f>(T72-T74)/T18</f>
        <v>0.30092673301570616</v>
      </c>
      <c r="U75" s="4537"/>
      <c r="V75" s="4540"/>
      <c r="W75" s="4541"/>
      <c r="X75" s="4539">
        <f>(X72-X74)/X18</f>
        <v>0.38008597202796701</v>
      </c>
      <c r="Y75" s="4537"/>
      <c r="Z75" s="4542">
        <f>(Z72-Z74)/Z18</f>
        <v>0.10621107869215837</v>
      </c>
      <c r="AA75" s="4541"/>
      <c r="AB75" s="4539">
        <f>(AB72-AB74)/AB18</f>
        <v>0.38008597202796701</v>
      </c>
      <c r="AC75" s="4536">
        <f>(AC72-AC74)/AC18</f>
        <v>0.10621107869215837</v>
      </c>
      <c r="AD75" s="4537"/>
      <c r="AE75" s="4540"/>
      <c r="AF75" s="4541"/>
      <c r="AG75" s="4539" t="e">
        <f>(AG72-AG74)/AG18</f>
        <v>#DIV/0!</v>
      </c>
      <c r="AH75" s="4537"/>
      <c r="AI75" s="4542">
        <f>(AI72-AI74)/AI18</f>
        <v>0</v>
      </c>
      <c r="AJ75" s="4541"/>
      <c r="AK75" s="4539" t="e">
        <f>(AK72-AK74)/AK18</f>
        <v>#DIV/0!</v>
      </c>
      <c r="AL75" s="4536">
        <f>(AL72-AL74)/AL18</f>
        <v>0</v>
      </c>
      <c r="AM75" s="4537"/>
      <c r="AN75" s="4540"/>
      <c r="AO75" s="4541"/>
      <c r="AP75" s="4539">
        <f>(AP72-AP74)/AP18</f>
        <v>0</v>
      </c>
      <c r="AQ75" s="4537"/>
      <c r="AR75" s="4542">
        <f>(AR72-AR74)/AR18</f>
        <v>0</v>
      </c>
      <c r="AT75" s="6734"/>
      <c r="AU75" s="6735"/>
      <c r="AV75" s="6753"/>
      <c r="AW75" s="6754"/>
      <c r="AX75" s="6755"/>
      <c r="AY75" s="6736"/>
      <c r="AZ75" s="2990"/>
      <c r="BA75" s="6752"/>
      <c r="BB75" s="1828"/>
      <c r="BC75" s="6734"/>
      <c r="BD75" s="6735"/>
      <c r="BE75" s="8160"/>
      <c r="BF75" s="8161"/>
      <c r="BG75" s="8162"/>
      <c r="BH75" s="6736"/>
      <c r="BI75" s="2990"/>
      <c r="BJ75" s="6752"/>
    </row>
    <row r="76" spans="1:62" s="1965" customFormat="1" x14ac:dyDescent="0.35">
      <c r="A76" s="9168"/>
      <c r="B76" s="681"/>
      <c r="C76" s="4525"/>
      <c r="D76" s="4526" t="s">
        <v>576</v>
      </c>
      <c r="E76" s="4527"/>
      <c r="F76" s="4528" t="e">
        <f>F74/F17</f>
        <v>#DIV/0!</v>
      </c>
      <c r="G76" s="4527"/>
      <c r="H76" s="4529">
        <f>H74/H17</f>
        <v>0.20478935208490326</v>
      </c>
      <c r="I76" s="4530">
        <f>I74/I17</f>
        <v>0</v>
      </c>
      <c r="J76" s="4531"/>
      <c r="K76" s="4527"/>
      <c r="L76" s="4532">
        <f>L74/L17</f>
        <v>0.18298617775837939</v>
      </c>
      <c r="M76" s="4533" t="e">
        <f>M74/M17</f>
        <v>#DIV/0!</v>
      </c>
      <c r="N76" s="4534"/>
      <c r="O76" s="4535">
        <f>O74/O17</f>
        <v>0.12529256369037892</v>
      </c>
      <c r="P76" s="4536">
        <f>P74/P17</f>
        <v>0.13212812337497226</v>
      </c>
      <c r="Q76" s="4537"/>
      <c r="R76" s="4538"/>
      <c r="S76" s="4539">
        <f>S74/S17</f>
        <v>0.10891409349130354</v>
      </c>
      <c r="T76" s="4536">
        <f>T74/T17</f>
        <v>0.11078099876710447</v>
      </c>
      <c r="U76" s="4537"/>
      <c r="V76" s="4540"/>
      <c r="W76" s="4541"/>
      <c r="X76" s="4539">
        <f>X74/X17</f>
        <v>0.11834215572958059</v>
      </c>
      <c r="Y76" s="4537"/>
      <c r="Z76" s="4542">
        <f>Z74/Z17</f>
        <v>0.12036495602518184</v>
      </c>
      <c r="AA76" s="4541"/>
      <c r="AB76" s="4539">
        <f>AB74/AB17</f>
        <v>0.11834215572958059</v>
      </c>
      <c r="AC76" s="4536">
        <f>AC74/AC17</f>
        <v>0.12036495602518184</v>
      </c>
      <c r="AD76" s="4537"/>
      <c r="AE76" s="4540"/>
      <c r="AF76" s="4541"/>
      <c r="AG76" s="4539" t="e">
        <f>AG74/AG17</f>
        <v>#DIV/0!</v>
      </c>
      <c r="AH76" s="4537"/>
      <c r="AI76" s="4542">
        <f>AI74/AI17</f>
        <v>0</v>
      </c>
      <c r="AJ76" s="4541"/>
      <c r="AK76" s="4539" t="e">
        <f>AK74/AK17</f>
        <v>#DIV/0!</v>
      </c>
      <c r="AL76" s="4536">
        <f>AL74/AL17</f>
        <v>0</v>
      </c>
      <c r="AM76" s="4537"/>
      <c r="AN76" s="4540"/>
      <c r="AO76" s="4541"/>
      <c r="AP76" s="4539">
        <f>AP74/AP17</f>
        <v>0.21084344268682403</v>
      </c>
      <c r="AQ76" s="4537"/>
      <c r="AR76" s="4542">
        <f>AR74/AR17</f>
        <v>0.23171009444196466</v>
      </c>
      <c r="AT76" s="6734"/>
      <c r="AU76" s="6735"/>
      <c r="AV76" s="6753"/>
      <c r="AW76" s="6754"/>
      <c r="AX76" s="6755"/>
      <c r="AY76" s="6736"/>
      <c r="AZ76" s="2990"/>
      <c r="BA76" s="6752"/>
      <c r="BB76" s="1828"/>
      <c r="BC76" s="6734"/>
      <c r="BD76" s="6735"/>
      <c r="BE76" s="8160"/>
      <c r="BF76" s="8161"/>
      <c r="BG76" s="8162"/>
      <c r="BH76" s="6736"/>
      <c r="BI76" s="2990"/>
      <c r="BJ76" s="6752"/>
    </row>
    <row r="77" spans="1:62" s="1965" customFormat="1" x14ac:dyDescent="0.35">
      <c r="A77" s="9168"/>
      <c r="B77" s="681"/>
      <c r="C77" s="4525"/>
      <c r="D77" s="4526"/>
      <c r="E77" s="4527"/>
      <c r="F77" s="4528"/>
      <c r="G77" s="4527"/>
      <c r="H77" s="4529"/>
      <c r="I77" s="4530"/>
      <c r="J77" s="4531"/>
      <c r="K77" s="4527"/>
      <c r="L77" s="4532"/>
      <c r="M77" s="4533"/>
      <c r="N77" s="4534"/>
      <c r="O77" s="4535"/>
      <c r="P77" s="4536"/>
      <c r="Q77" s="4537"/>
      <c r="R77" s="4538"/>
      <c r="S77" s="4539"/>
      <c r="T77" s="4536"/>
      <c r="U77" s="4537"/>
      <c r="V77" s="4540"/>
      <c r="W77" s="4541"/>
      <c r="X77" s="4539"/>
      <c r="Y77" s="4537"/>
      <c r="Z77" s="4542"/>
      <c r="AA77" s="4541"/>
      <c r="AB77" s="4539"/>
      <c r="AC77" s="4536"/>
      <c r="AD77" s="4537"/>
      <c r="AE77" s="4540"/>
      <c r="AF77" s="4541"/>
      <c r="AG77" s="4539"/>
      <c r="AH77" s="4537"/>
      <c r="AI77" s="4542"/>
      <c r="AJ77" s="4541"/>
      <c r="AK77" s="4539"/>
      <c r="AL77" s="4536"/>
      <c r="AM77" s="4537"/>
      <c r="AN77" s="4540"/>
      <c r="AO77" s="4541"/>
      <c r="AP77" s="4539"/>
      <c r="AQ77" s="4537"/>
      <c r="AR77" s="4542"/>
      <c r="AT77" s="6734"/>
      <c r="AU77" s="6735"/>
      <c r="AV77" s="6753"/>
      <c r="AW77" s="6754"/>
      <c r="AX77" s="6755"/>
      <c r="AY77" s="6736"/>
      <c r="AZ77" s="2990"/>
      <c r="BA77" s="6752"/>
      <c r="BB77" s="1828"/>
      <c r="BC77" s="6734"/>
      <c r="BD77" s="6735"/>
      <c r="BE77" s="8160"/>
      <c r="BF77" s="8161"/>
      <c r="BG77" s="8162"/>
      <c r="BH77" s="6736"/>
      <c r="BI77" s="2990"/>
      <c r="BJ77" s="6752"/>
    </row>
    <row r="78" spans="1:62" s="1965" customFormat="1" x14ac:dyDescent="0.35">
      <c r="A78" s="9168"/>
      <c r="B78" s="681"/>
      <c r="C78" s="4525"/>
      <c r="D78" s="4526" t="s">
        <v>577</v>
      </c>
      <c r="E78" s="4527"/>
      <c r="F78" s="4528" t="e">
        <f>F72/F12</f>
        <v>#DIV/0!</v>
      </c>
      <c r="G78" s="4527"/>
      <c r="H78" s="4529">
        <f>H72/H12</f>
        <v>0.24316482514310267</v>
      </c>
      <c r="I78" s="4530">
        <f>I72/I12</f>
        <v>0</v>
      </c>
      <c r="J78" s="4531"/>
      <c r="K78" s="4527"/>
      <c r="L78" s="4532" t="e">
        <f>L72/L12</f>
        <v>#DIV/0!</v>
      </c>
      <c r="M78" s="4533" t="e">
        <f>M72/M12</f>
        <v>#DIV/0!</v>
      </c>
      <c r="N78" s="4534"/>
      <c r="O78" s="4535">
        <f>O72/O12</f>
        <v>0.29353078951436795</v>
      </c>
      <c r="P78" s="4536">
        <f>P72/P12</f>
        <v>0.21337168470333626</v>
      </c>
      <c r="Q78" s="4537"/>
      <c r="R78" s="4538"/>
      <c r="S78" s="4539">
        <f>S72/S12</f>
        <v>0.33594068149259959</v>
      </c>
      <c r="T78" s="4536">
        <f>T72/T12</f>
        <v>0.18747492359498424</v>
      </c>
      <c r="U78" s="4537"/>
      <c r="V78" s="4540"/>
      <c r="W78" s="4541"/>
      <c r="X78" s="4539">
        <f>X72/X12</f>
        <v>0.26215557769993914</v>
      </c>
      <c r="Y78" s="4537"/>
      <c r="Z78" s="4542">
        <f>Z72/Z12</f>
        <v>0.18620108034271513</v>
      </c>
      <c r="AA78" s="4541"/>
      <c r="AB78" s="4539">
        <f>AB72/AB12</f>
        <v>0.26215557769993914</v>
      </c>
      <c r="AC78" s="4536">
        <f>AC72/AC12</f>
        <v>0.18620108034271513</v>
      </c>
      <c r="AD78" s="4537"/>
      <c r="AE78" s="4540"/>
      <c r="AF78" s="4541"/>
      <c r="AG78" s="4539" t="e">
        <f>AG72/AG12</f>
        <v>#DIV/0!</v>
      </c>
      <c r="AH78" s="4537"/>
      <c r="AI78" s="4542">
        <f>AI72/AI12</f>
        <v>0</v>
      </c>
      <c r="AJ78" s="4541"/>
      <c r="AK78" s="4539" t="e">
        <f>AK72/AK12</f>
        <v>#DIV/0!</v>
      </c>
      <c r="AL78" s="4536" t="e">
        <f>AL72/AL12</f>
        <v>#DIV/0!</v>
      </c>
      <c r="AM78" s="4537"/>
      <c r="AN78" s="4540"/>
      <c r="AO78" s="4541"/>
      <c r="AP78" s="4539">
        <f>AP72/AP12</f>
        <v>0.17401999052631578</v>
      </c>
      <c r="AQ78" s="4537"/>
      <c r="AR78" s="4542">
        <f>AR72/AR12</f>
        <v>0.25163981049986778</v>
      </c>
      <c r="AT78" s="6756">
        <f>AT72/AT12</f>
        <v>0.17898627164266656</v>
      </c>
      <c r="AU78" s="6735"/>
      <c r="AV78" s="6753"/>
      <c r="AW78" s="6754"/>
      <c r="AX78" s="6755"/>
      <c r="AY78" s="6756">
        <f>AY72/AY12</f>
        <v>0.21400428561111798</v>
      </c>
      <c r="AZ78" s="2990"/>
      <c r="BA78" s="6752" t="e">
        <f>BA72/BA12</f>
        <v>#DIV/0!</v>
      </c>
      <c r="BB78" s="1828"/>
      <c r="BC78" s="6756">
        <f>BC72/BC12</f>
        <v>0.21400428561111798</v>
      </c>
      <c r="BD78" s="6735"/>
      <c r="BE78" s="8160"/>
      <c r="BF78" s="8161"/>
      <c r="BG78" s="8162"/>
      <c r="BH78" s="6756">
        <f>BH72/BH12</f>
        <v>0.22462393665398692</v>
      </c>
      <c r="BI78" s="2990"/>
      <c r="BJ78" s="6752" t="e">
        <f>BJ72/BJ12</f>
        <v>#DIV/0!</v>
      </c>
    </row>
    <row r="79" spans="1:62" x14ac:dyDescent="0.35">
      <c r="A79" s="9168"/>
      <c r="B79" s="58"/>
      <c r="C79" s="4543"/>
      <c r="D79" s="3608" t="s">
        <v>578</v>
      </c>
      <c r="E79" s="1966"/>
      <c r="F79" s="4544"/>
      <c r="G79" s="1966"/>
      <c r="H79" s="4545"/>
      <c r="I79" s="4546"/>
      <c r="J79" s="4196"/>
      <c r="K79" s="1966"/>
      <c r="L79" s="4547"/>
      <c r="M79" s="4136"/>
      <c r="O79" s="4548"/>
      <c r="P79" s="4549"/>
      <c r="S79" s="4550"/>
      <c r="T79" s="4549"/>
      <c r="X79" s="4550"/>
      <c r="Z79" s="4551"/>
      <c r="AB79" s="4550"/>
      <c r="AC79" s="4549"/>
      <c r="AG79" s="4550"/>
      <c r="AI79" s="4551"/>
      <c r="AK79" s="4550"/>
      <c r="AL79" s="4549"/>
      <c r="AP79" s="4550"/>
      <c r="AR79" s="4551"/>
      <c r="AT79" s="6734"/>
      <c r="AU79" s="6735"/>
      <c r="AW79" s="4196"/>
      <c r="AX79" s="6755"/>
      <c r="AY79" s="6736"/>
      <c r="AZ79" s="2990"/>
      <c r="BA79" s="6752"/>
      <c r="BC79" s="6734"/>
      <c r="BD79" s="6735"/>
      <c r="BF79" s="4196"/>
      <c r="BG79" s="8162"/>
      <c r="BH79" s="6736"/>
      <c r="BI79" s="2990"/>
      <c r="BJ79" s="6752"/>
    </row>
    <row r="80" spans="1:62" x14ac:dyDescent="0.35">
      <c r="A80" s="9168"/>
      <c r="B80" s="58"/>
      <c r="C80" s="4543"/>
      <c r="D80" s="3195" t="s">
        <v>579</v>
      </c>
      <c r="E80" s="1966"/>
      <c r="F80" s="4544"/>
      <c r="G80" s="1966"/>
      <c r="H80" s="4545"/>
      <c r="I80" s="4546"/>
      <c r="J80" s="4196"/>
      <c r="K80" s="1966"/>
      <c r="L80" s="4547"/>
      <c r="M80" s="4136"/>
      <c r="O80" s="4548"/>
      <c r="P80" s="4549"/>
      <c r="S80" s="4550"/>
      <c r="T80" s="4549"/>
      <c r="X80" s="4550"/>
      <c r="Z80" s="4551"/>
      <c r="AB80" s="4550"/>
      <c r="AC80" s="4549"/>
      <c r="AG80" s="4550"/>
      <c r="AI80" s="4551"/>
      <c r="AK80" s="4550"/>
      <c r="AL80" s="4549"/>
      <c r="AP80" s="4550"/>
      <c r="AR80" s="4551"/>
      <c r="AT80" s="6734"/>
      <c r="AU80" s="6735"/>
      <c r="AW80" s="4196"/>
      <c r="AX80" s="6755"/>
      <c r="AY80" s="6736"/>
      <c r="AZ80" s="2990"/>
      <c r="BA80" s="6752"/>
      <c r="BC80" s="6734"/>
      <c r="BD80" s="6735"/>
      <c r="BF80" s="4196"/>
      <c r="BG80" s="8162"/>
      <c r="BH80" s="6736"/>
      <c r="BI80" s="2990"/>
      <c r="BJ80" s="6752"/>
    </row>
    <row r="81" spans="1:62" x14ac:dyDescent="0.35">
      <c r="A81" s="9168"/>
      <c r="B81" s="58"/>
      <c r="C81" s="4543"/>
      <c r="D81" s="59"/>
      <c r="E81" s="1966"/>
      <c r="F81" s="4544"/>
      <c r="G81" s="1966"/>
      <c r="H81" s="4545"/>
      <c r="I81" s="4546"/>
      <c r="J81" s="4196"/>
      <c r="K81" s="1966"/>
      <c r="L81" s="4547"/>
      <c r="M81" s="4136"/>
      <c r="O81" s="4548"/>
      <c r="P81" s="4549"/>
      <c r="S81" s="4550"/>
      <c r="T81" s="4549"/>
      <c r="X81" s="4550"/>
      <c r="Z81" s="4551"/>
      <c r="AB81" s="4550"/>
      <c r="AC81" s="4549"/>
      <c r="AG81" s="4550"/>
      <c r="AI81" s="4551"/>
      <c r="AK81" s="4550"/>
      <c r="AL81" s="4549"/>
      <c r="AP81" s="4550"/>
      <c r="AR81" s="4551"/>
      <c r="AT81" s="6734"/>
      <c r="AU81" s="6735"/>
      <c r="AW81" s="4196"/>
      <c r="AX81" s="6755"/>
      <c r="AY81" s="6736"/>
      <c r="AZ81" s="2990"/>
      <c r="BA81" s="6752"/>
      <c r="BC81" s="6734"/>
      <c r="BD81" s="6735"/>
      <c r="BF81" s="4196"/>
      <c r="BG81" s="8162"/>
      <c r="BH81" s="6736"/>
      <c r="BI81" s="2990"/>
      <c r="BJ81" s="6752"/>
    </row>
    <row r="82" spans="1:62" x14ac:dyDescent="0.35">
      <c r="A82" s="9168"/>
      <c r="B82" s="58"/>
      <c r="C82" s="4543"/>
      <c r="D82" s="3195" t="s">
        <v>580</v>
      </c>
      <c r="E82" s="1972"/>
      <c r="F82" s="4552"/>
      <c r="G82" s="1974"/>
      <c r="H82" s="4553"/>
      <c r="I82" s="4554"/>
      <c r="J82" s="4376"/>
      <c r="K82" s="1974"/>
      <c r="L82" s="4555"/>
      <c r="M82" s="4556"/>
      <c r="O82" s="4557"/>
      <c r="P82" s="4558"/>
      <c r="S82" s="4559"/>
      <c r="T82" s="4558"/>
      <c r="U82" s="4560"/>
      <c r="V82" s="4351"/>
      <c r="X82" s="4559"/>
      <c r="Y82" s="4560"/>
      <c r="Z82" s="4561"/>
      <c r="AB82" s="4559"/>
      <c r="AC82" s="4558"/>
      <c r="AD82" s="4560"/>
      <c r="AE82" s="4351"/>
      <c r="AG82" s="4559"/>
      <c r="AH82" s="4560"/>
      <c r="AI82" s="4561"/>
      <c r="AK82" s="4559"/>
      <c r="AL82" s="4558"/>
      <c r="AM82" s="4560"/>
      <c r="AN82" s="4351"/>
      <c r="AP82" s="4559"/>
      <c r="AQ82" s="4560"/>
      <c r="AR82" s="4561"/>
      <c r="AT82" s="6734"/>
      <c r="AU82" s="6735"/>
      <c r="AV82" s="4560"/>
      <c r="AW82" s="4376"/>
      <c r="AX82" s="6755"/>
      <c r="AY82" s="6736"/>
      <c r="AZ82" s="2990"/>
      <c r="BA82" s="6752"/>
      <c r="BC82" s="6734"/>
      <c r="BD82" s="6735"/>
      <c r="BE82" s="4560"/>
      <c r="BF82" s="4376"/>
      <c r="BG82" s="8162"/>
      <c r="BH82" s="6736"/>
      <c r="BI82" s="2990"/>
      <c r="BJ82" s="6752"/>
    </row>
    <row r="83" spans="1:62" ht="15" thickBot="1" x14ac:dyDescent="0.4">
      <c r="A83" s="9169"/>
      <c r="B83" s="85"/>
      <c r="C83" s="1976"/>
      <c r="D83" s="1977" t="s">
        <v>581</v>
      </c>
      <c r="E83" s="1920"/>
      <c r="F83" s="4562"/>
      <c r="G83" s="4563"/>
      <c r="H83" s="4564"/>
      <c r="I83" s="4565"/>
      <c r="J83" s="4566"/>
      <c r="K83" s="4563"/>
      <c r="L83" s="4567"/>
      <c r="M83" s="4568"/>
      <c r="O83" s="4569"/>
      <c r="P83" s="4570"/>
      <c r="Q83" s="4571"/>
      <c r="R83" s="4572"/>
      <c r="S83" s="4573"/>
      <c r="T83" s="4570"/>
      <c r="U83" s="4574"/>
      <c r="V83" s="4575"/>
      <c r="W83" s="4576"/>
      <c r="X83" s="4573"/>
      <c r="Y83" s="4574"/>
      <c r="Z83" s="4577"/>
      <c r="AA83" s="4576"/>
      <c r="AB83" s="4573"/>
      <c r="AC83" s="4570"/>
      <c r="AD83" s="4574"/>
      <c r="AE83" s="4575"/>
      <c r="AF83" s="4576"/>
      <c r="AG83" s="4573"/>
      <c r="AH83" s="4574"/>
      <c r="AI83" s="4577"/>
      <c r="AJ83" s="4576"/>
      <c r="AK83" s="4573"/>
      <c r="AL83" s="4570"/>
      <c r="AM83" s="4574"/>
      <c r="AN83" s="4575"/>
      <c r="AO83" s="4576"/>
      <c r="AP83" s="4573"/>
      <c r="AQ83" s="4574"/>
      <c r="AR83" s="4577"/>
      <c r="AT83" s="6738"/>
      <c r="AU83" s="6739"/>
      <c r="AV83" s="6757"/>
      <c r="AW83" s="6758"/>
      <c r="AX83" s="6755"/>
      <c r="AY83" s="6740"/>
      <c r="AZ83" s="6683"/>
      <c r="BA83" s="6759"/>
      <c r="BC83" s="6738"/>
      <c r="BD83" s="6739"/>
      <c r="BE83" s="8163"/>
      <c r="BF83" s="8164"/>
      <c r="BG83" s="8162"/>
      <c r="BH83" s="6740"/>
      <c r="BI83" s="6683"/>
      <c r="BJ83" s="6759"/>
    </row>
    <row r="84" spans="1:62" s="1587" customFormat="1" x14ac:dyDescent="0.35">
      <c r="C84" s="223"/>
      <c r="D84" s="1829"/>
      <c r="E84" s="223"/>
      <c r="F84" s="223"/>
      <c r="G84" s="223"/>
      <c r="H84" s="715"/>
      <c r="I84" s="715"/>
      <c r="J84" s="3508"/>
      <c r="K84" s="223"/>
      <c r="N84" s="223"/>
      <c r="O84" s="223"/>
      <c r="P84" s="223"/>
      <c r="Q84" s="1984"/>
      <c r="R84" s="4133"/>
      <c r="U84" s="1984"/>
      <c r="Y84" s="1984"/>
      <c r="AD84" s="1984"/>
      <c r="AH84" s="1984"/>
      <c r="AM84" s="1984"/>
      <c r="AQ84" s="1984"/>
      <c r="AV84" s="1984"/>
      <c r="AX84" s="6755"/>
      <c r="AZ84" s="1984"/>
      <c r="BB84" s="1828"/>
      <c r="BE84" s="1984"/>
      <c r="BG84" s="8162"/>
      <c r="BI84" s="1984"/>
    </row>
    <row r="85" spans="1:62" s="1587" customFormat="1" x14ac:dyDescent="0.35">
      <c r="A85" s="1983" t="s">
        <v>582</v>
      </c>
      <c r="B85" s="1983"/>
      <c r="C85" s="223"/>
      <c r="D85" s="1829"/>
      <c r="E85" s="223"/>
      <c r="F85" s="223"/>
      <c r="G85" s="223"/>
      <c r="H85" s="715"/>
      <c r="I85" s="715"/>
      <c r="J85" s="3508"/>
      <c r="K85" s="223"/>
      <c r="N85" s="223"/>
      <c r="O85" s="223"/>
      <c r="P85" s="223"/>
      <c r="Q85" s="1984"/>
      <c r="R85" s="4133"/>
      <c r="U85" s="1984"/>
      <c r="Y85" s="1984"/>
      <c r="AD85" s="1984"/>
      <c r="AH85" s="1984"/>
      <c r="AM85" s="1984"/>
      <c r="AQ85" s="1984"/>
      <c r="AV85" s="1984"/>
      <c r="AX85" s="6755"/>
      <c r="AZ85" s="1984"/>
      <c r="BB85" s="1828"/>
      <c r="BE85" s="1984"/>
      <c r="BG85" s="8162"/>
      <c r="BI85" s="1984"/>
    </row>
    <row r="86" spans="1:62" s="1587" customFormat="1" ht="12" customHeight="1" x14ac:dyDescent="0.35">
      <c r="A86" s="223">
        <v>1</v>
      </c>
      <c r="B86" s="1984"/>
      <c r="D86" s="1829"/>
      <c r="J86" s="3511"/>
      <c r="N86" s="223"/>
      <c r="O86" s="223"/>
      <c r="P86" s="223"/>
      <c r="Q86" s="1984"/>
      <c r="R86" s="4133"/>
      <c r="S86" s="4578"/>
      <c r="U86" s="1984"/>
      <c r="Y86" s="1984"/>
      <c r="AB86" s="4578"/>
      <c r="AD86" s="1984"/>
      <c r="AH86" s="1984"/>
      <c r="AK86" s="4578"/>
      <c r="AM86" s="1984"/>
      <c r="AQ86" s="1984"/>
      <c r="AT86" s="4578"/>
      <c r="AV86" s="1984"/>
      <c r="AZ86" s="1984"/>
      <c r="BB86" s="1828"/>
      <c r="BC86" s="4578"/>
      <c r="BE86" s="1984"/>
      <c r="BI86" s="1984"/>
    </row>
    <row r="87" spans="1:62" s="1587" customFormat="1" x14ac:dyDescent="0.35">
      <c r="A87" s="223">
        <v>2</v>
      </c>
      <c r="B87" s="1984"/>
      <c r="D87" s="1829"/>
      <c r="E87" s="223"/>
      <c r="F87" s="223"/>
      <c r="G87" s="223"/>
      <c r="H87" s="715"/>
      <c r="I87" s="715"/>
      <c r="J87" s="3508"/>
      <c r="K87" s="223"/>
      <c r="N87" s="223"/>
      <c r="O87" s="223"/>
      <c r="P87" s="223"/>
      <c r="Q87" s="1984"/>
      <c r="R87" s="4133"/>
      <c r="S87" s="4578"/>
      <c r="U87" s="1984"/>
      <c r="Y87" s="1984"/>
      <c r="AB87" s="4578"/>
      <c r="AD87" s="1984"/>
      <c r="AH87" s="1984"/>
      <c r="AK87" s="4578"/>
      <c r="AM87" s="1984"/>
      <c r="AQ87" s="1984"/>
      <c r="AT87" s="4578"/>
      <c r="AV87" s="1984"/>
      <c r="AZ87" s="1984"/>
      <c r="BB87" s="1828"/>
      <c r="BC87" s="4578"/>
      <c r="BE87" s="1984"/>
      <c r="BI87" s="1984"/>
    </row>
    <row r="88" spans="1:62" s="1587" customFormat="1" x14ac:dyDescent="0.35">
      <c r="A88" s="223">
        <v>3</v>
      </c>
      <c r="B88" s="1984"/>
      <c r="D88" s="1829"/>
      <c r="E88" s="223"/>
      <c r="F88" s="223"/>
      <c r="G88" s="223"/>
      <c r="H88" s="715"/>
      <c r="I88" s="715"/>
      <c r="J88" s="3508"/>
      <c r="K88" s="223"/>
      <c r="N88" s="223"/>
      <c r="O88" s="223"/>
      <c r="P88" s="223"/>
      <c r="Q88" s="1984"/>
      <c r="R88" s="4133"/>
      <c r="S88" s="4578"/>
      <c r="U88" s="1984"/>
      <c r="Y88" s="1984"/>
      <c r="AB88" s="4578"/>
      <c r="AD88" s="1984"/>
      <c r="AH88" s="1984"/>
      <c r="AK88" s="4578"/>
      <c r="AM88" s="1984"/>
      <c r="AQ88" s="1984"/>
      <c r="AT88" s="4578"/>
      <c r="AV88" s="1984"/>
      <c r="AZ88" s="1984"/>
      <c r="BB88" s="1828"/>
      <c r="BC88" s="4578"/>
      <c r="BE88" s="1984"/>
      <c r="BI88" s="1984"/>
    </row>
    <row r="89" spans="1:62" s="1587" customFormat="1" x14ac:dyDescent="0.35">
      <c r="A89" s="223">
        <v>4</v>
      </c>
      <c r="B89" s="1984"/>
      <c r="D89" s="1829"/>
      <c r="E89" s="223"/>
      <c r="F89" s="223"/>
      <c r="G89" s="223"/>
      <c r="H89" s="715"/>
      <c r="I89" s="715"/>
      <c r="J89" s="3508"/>
      <c r="K89" s="223"/>
      <c r="N89" s="223"/>
      <c r="O89" s="223"/>
      <c r="P89" s="223"/>
      <c r="Q89" s="1984" t="s">
        <v>1099</v>
      </c>
      <c r="R89" s="4133"/>
      <c r="S89" s="4578"/>
      <c r="U89" s="1984"/>
      <c r="Y89" s="1984"/>
      <c r="AB89" s="4578"/>
      <c r="AD89" s="1984"/>
      <c r="AH89" s="1984"/>
      <c r="AK89" s="4578"/>
      <c r="AM89" s="1984"/>
      <c r="AQ89" s="1984"/>
      <c r="AT89" s="4578"/>
      <c r="AV89" s="1984"/>
      <c r="AZ89" s="1984"/>
      <c r="BB89" s="1828"/>
      <c r="BC89" s="4578"/>
      <c r="BE89" s="1984"/>
      <c r="BI89" s="1984"/>
    </row>
    <row r="90" spans="1:62" s="1587" customFormat="1" x14ac:dyDescent="0.35">
      <c r="A90" s="223">
        <v>5</v>
      </c>
      <c r="B90" s="1984"/>
      <c r="D90" s="1829"/>
      <c r="E90" s="223"/>
      <c r="F90" s="223"/>
      <c r="G90" s="223"/>
      <c r="H90" s="715"/>
      <c r="I90" s="715"/>
      <c r="J90" s="3508"/>
      <c r="K90" s="223"/>
      <c r="N90" s="223"/>
      <c r="O90" s="223"/>
      <c r="P90" s="223"/>
      <c r="Q90" s="1984"/>
      <c r="R90" s="4133"/>
      <c r="S90" s="4578"/>
      <c r="U90" s="1984"/>
      <c r="Y90" s="1984"/>
      <c r="AB90" s="4578"/>
      <c r="AD90" s="1984"/>
      <c r="AH90" s="1984"/>
      <c r="AK90" s="4578"/>
      <c r="AM90" s="1984"/>
      <c r="AQ90" s="1984"/>
      <c r="AT90" s="4578"/>
      <c r="AV90" s="1984"/>
      <c r="AZ90" s="1984"/>
      <c r="BB90" s="1828"/>
      <c r="BC90" s="4578"/>
      <c r="BE90" s="1984"/>
      <c r="BI90" s="1984"/>
    </row>
    <row r="91" spans="1:62" s="1587" customFormat="1" ht="13" x14ac:dyDescent="0.35">
      <c r="A91" s="223">
        <v>6</v>
      </c>
      <c r="B91" s="1984"/>
      <c r="D91" s="1829"/>
      <c r="E91" s="223"/>
      <c r="F91" s="223"/>
      <c r="G91" s="223"/>
      <c r="H91" s="715"/>
      <c r="I91" s="715"/>
      <c r="J91" s="3508"/>
      <c r="K91" s="223"/>
      <c r="N91" s="223"/>
      <c r="O91" s="223"/>
      <c r="P91" s="223"/>
      <c r="Q91" s="1984"/>
      <c r="R91" s="4133"/>
      <c r="S91" s="4578"/>
      <c r="U91" s="1984"/>
      <c r="Y91" s="1984"/>
      <c r="AB91" s="4578"/>
      <c r="AD91" s="1984"/>
      <c r="AH91" s="1984"/>
      <c r="AK91" s="4578"/>
      <c r="AM91" s="1984"/>
      <c r="AQ91" s="1984"/>
      <c r="AT91" s="4578"/>
      <c r="AV91" s="1984"/>
      <c r="AZ91" s="1984"/>
      <c r="BC91" s="4578"/>
      <c r="BE91" s="1984"/>
      <c r="BI91" s="1984"/>
    </row>
    <row r="92" spans="1:62" s="1587" customFormat="1" ht="13" x14ac:dyDescent="0.35">
      <c r="A92" s="223">
        <v>7</v>
      </c>
      <c r="B92" s="1984"/>
      <c r="D92" s="1829"/>
      <c r="E92" s="223"/>
      <c r="F92" s="223"/>
      <c r="G92" s="223"/>
      <c r="H92" s="715"/>
      <c r="I92" s="715"/>
      <c r="J92" s="3508"/>
      <c r="K92" s="223"/>
      <c r="N92" s="223"/>
      <c r="O92" s="223"/>
      <c r="P92" s="223"/>
      <c r="Q92" s="1984"/>
      <c r="R92" s="4133"/>
      <c r="S92" s="4578"/>
      <c r="U92" s="1984"/>
      <c r="Y92" s="1984"/>
      <c r="AB92" s="4578"/>
      <c r="AD92" s="1984"/>
      <c r="AH92" s="1984"/>
      <c r="AK92" s="4578"/>
      <c r="AM92" s="1984"/>
      <c r="AQ92" s="1984"/>
      <c r="AT92" s="4578"/>
      <c r="AV92" s="1984"/>
      <c r="AZ92" s="1984"/>
      <c r="BC92" s="4578"/>
      <c r="BE92" s="1984"/>
      <c r="BI92" s="1984"/>
    </row>
    <row r="93" spans="1:62" s="1587" customFormat="1" ht="13" x14ac:dyDescent="0.35">
      <c r="A93" s="223">
        <v>8</v>
      </c>
      <c r="B93" s="1984"/>
      <c r="D93" s="1829"/>
      <c r="E93" s="223"/>
      <c r="F93" s="223"/>
      <c r="G93" s="223"/>
      <c r="H93" s="715"/>
      <c r="I93" s="715"/>
      <c r="J93" s="3508"/>
      <c r="K93" s="223"/>
      <c r="N93" s="223"/>
      <c r="O93" s="223"/>
      <c r="P93" s="223"/>
      <c r="Q93" s="1984"/>
      <c r="R93" s="4133"/>
      <c r="S93" s="4578"/>
      <c r="U93" s="1984"/>
      <c r="Y93" s="1984"/>
      <c r="AB93" s="4578"/>
      <c r="AD93" s="1984"/>
      <c r="AH93" s="1984"/>
      <c r="AK93" s="4578"/>
      <c r="AM93" s="1984"/>
      <c r="AQ93" s="1984"/>
      <c r="AT93" s="4578"/>
      <c r="AV93" s="1984"/>
      <c r="AZ93" s="1984"/>
      <c r="BC93" s="4578"/>
      <c r="BE93" s="1984"/>
      <c r="BI93" s="1984"/>
    </row>
    <row r="94" spans="1:62" s="1587" customFormat="1" ht="13" x14ac:dyDescent="0.35">
      <c r="A94" s="223">
        <v>9</v>
      </c>
      <c r="B94" s="1984"/>
      <c r="D94" s="1829"/>
      <c r="E94" s="223"/>
      <c r="F94" s="223"/>
      <c r="G94" s="223"/>
      <c r="H94" s="715"/>
      <c r="I94" s="715"/>
      <c r="J94" s="3508"/>
      <c r="K94" s="223"/>
      <c r="N94" s="223"/>
      <c r="O94" s="223"/>
      <c r="P94" s="223"/>
      <c r="Q94" s="1984"/>
      <c r="R94" s="4133"/>
      <c r="S94" s="4578"/>
      <c r="U94" s="1984"/>
      <c r="Y94" s="1984"/>
      <c r="AB94" s="4578"/>
      <c r="AD94" s="1984"/>
      <c r="AH94" s="1984"/>
      <c r="AK94" s="4578"/>
      <c r="AM94" s="1984"/>
      <c r="AQ94" s="1984"/>
      <c r="AT94" s="4578"/>
      <c r="AV94" s="1984"/>
      <c r="AZ94" s="1984"/>
      <c r="BC94" s="4578"/>
      <c r="BE94" s="1984"/>
      <c r="BI94" s="1984"/>
    </row>
    <row r="95" spans="1:62" s="1587" customFormat="1" ht="13" x14ac:dyDescent="0.35">
      <c r="A95" s="223">
        <v>10</v>
      </c>
      <c r="B95" s="1984"/>
      <c r="D95" s="1829"/>
      <c r="E95" s="223"/>
      <c r="F95" s="223"/>
      <c r="G95" s="223"/>
      <c r="H95" s="715"/>
      <c r="I95" s="715"/>
      <c r="J95" s="3508"/>
      <c r="K95" s="223"/>
      <c r="N95" s="223"/>
      <c r="O95" s="223"/>
      <c r="P95" s="223"/>
      <c r="Q95" s="1984"/>
      <c r="R95" s="4133"/>
      <c r="S95" s="4578"/>
      <c r="U95" s="1984"/>
      <c r="Y95" s="1984"/>
      <c r="AB95" s="4578"/>
      <c r="AD95" s="1984"/>
      <c r="AH95" s="1984"/>
      <c r="AK95" s="4578"/>
      <c r="AM95" s="1984"/>
      <c r="AQ95" s="1984"/>
      <c r="AT95" s="4578"/>
      <c r="AV95" s="1984"/>
      <c r="AZ95" s="1984"/>
      <c r="BC95" s="4578"/>
      <c r="BE95" s="1984"/>
      <c r="BI95" s="1984"/>
    </row>
    <row r="96" spans="1:62" s="1587" customFormat="1" ht="13" x14ac:dyDescent="0.35">
      <c r="A96" s="223"/>
      <c r="B96" s="1984"/>
      <c r="D96" s="1829"/>
      <c r="E96" s="223"/>
      <c r="F96" s="223"/>
      <c r="G96" s="223"/>
      <c r="H96" s="715"/>
      <c r="I96" s="715"/>
      <c r="J96" s="3508"/>
      <c r="K96" s="223"/>
      <c r="N96" s="223"/>
      <c r="O96" s="223"/>
      <c r="P96" s="223"/>
      <c r="Q96" s="1984"/>
      <c r="R96" s="4133"/>
      <c r="S96" s="4578"/>
      <c r="U96" s="1984"/>
      <c r="Y96" s="1984"/>
      <c r="AB96" s="4578"/>
      <c r="AD96" s="1984"/>
      <c r="AH96" s="1984"/>
      <c r="AK96" s="4578"/>
      <c r="AM96" s="1984"/>
      <c r="AQ96" s="1984"/>
      <c r="AT96" s="4578"/>
      <c r="AV96" s="1984"/>
      <c r="AZ96" s="1984"/>
      <c r="BC96" s="4578"/>
      <c r="BE96" s="1984"/>
      <c r="BI96" s="1984"/>
    </row>
    <row r="97" spans="1:61" s="1587" customFormat="1" ht="13" x14ac:dyDescent="0.35">
      <c r="A97" s="1983" t="s">
        <v>583</v>
      </c>
      <c r="B97" s="1983"/>
      <c r="C97" s="223"/>
      <c r="D97" s="1829"/>
      <c r="E97" s="223"/>
      <c r="F97" s="223"/>
      <c r="G97" s="223"/>
      <c r="H97" s="715"/>
      <c r="I97" s="715"/>
      <c r="J97" s="3508"/>
      <c r="K97" s="223"/>
      <c r="N97" s="223"/>
      <c r="O97" s="223"/>
      <c r="P97" s="223"/>
      <c r="Q97" s="1984"/>
      <c r="R97" s="4133"/>
      <c r="S97" s="4578"/>
      <c r="U97" s="1984"/>
      <c r="Y97" s="1984"/>
      <c r="AB97" s="4578"/>
      <c r="AD97" s="1984"/>
      <c r="AH97" s="1984"/>
      <c r="AK97" s="4578"/>
      <c r="AM97" s="1984"/>
      <c r="AQ97" s="1984"/>
      <c r="AT97" s="4578"/>
      <c r="AV97" s="1984"/>
      <c r="AZ97" s="1984"/>
      <c r="BC97" s="4578"/>
      <c r="BE97" s="1984"/>
      <c r="BI97" s="1984"/>
    </row>
    <row r="98" spans="1:61" s="1587" customFormat="1" ht="93" customHeight="1" x14ac:dyDescent="0.35">
      <c r="A98" s="9367"/>
      <c r="B98" s="9368"/>
      <c r="C98" s="9368"/>
      <c r="D98" s="9368"/>
      <c r="E98" s="9368"/>
      <c r="F98" s="9368"/>
      <c r="G98" s="9368"/>
      <c r="H98" s="9368"/>
      <c r="I98" s="9368"/>
      <c r="J98" s="9368"/>
      <c r="K98" s="9368"/>
      <c r="L98" s="9368"/>
      <c r="M98" s="9369"/>
      <c r="N98" s="223"/>
      <c r="O98" s="223"/>
      <c r="P98" s="223"/>
      <c r="Q98" s="1984"/>
      <c r="R98" s="4133"/>
      <c r="S98" s="4578"/>
      <c r="U98" s="1984"/>
      <c r="Y98" s="1984"/>
      <c r="AB98" s="4578"/>
      <c r="AD98" s="1984"/>
      <c r="AH98" s="1984"/>
      <c r="AK98" s="4578"/>
      <c r="AM98" s="1984"/>
      <c r="AQ98" s="1984"/>
      <c r="AT98" s="4578"/>
      <c r="AV98" s="1984"/>
      <c r="AZ98" s="1984"/>
      <c r="BC98" s="4578"/>
      <c r="BE98" s="1984"/>
      <c r="BI98" s="1984"/>
    </row>
  </sheetData>
  <mergeCells count="90">
    <mergeCell ref="F2:M2"/>
    <mergeCell ref="O2:Z2"/>
    <mergeCell ref="AB2:AI2"/>
    <mergeCell ref="AK2:AR2"/>
    <mergeCell ref="H4:J4"/>
    <mergeCell ref="L4:M4"/>
    <mergeCell ref="S4:V4"/>
    <mergeCell ref="X4:Z4"/>
    <mergeCell ref="AB4:AE4"/>
    <mergeCell ref="AG4:AI4"/>
    <mergeCell ref="AK4:AN4"/>
    <mergeCell ref="AP4:AR4"/>
    <mergeCell ref="AS4:AS5"/>
    <mergeCell ref="H5:J5"/>
    <mergeCell ref="L5:M5"/>
    <mergeCell ref="O5:R5"/>
    <mergeCell ref="S5:V5"/>
    <mergeCell ref="X5:Z5"/>
    <mergeCell ref="AB5:AE5"/>
    <mergeCell ref="AG5:AI5"/>
    <mergeCell ref="R8:R9"/>
    <mergeCell ref="AK5:AN5"/>
    <mergeCell ref="AP5:AR5"/>
    <mergeCell ref="H7:I7"/>
    <mergeCell ref="J7:J8"/>
    <mergeCell ref="L7:M7"/>
    <mergeCell ref="O7:P7"/>
    <mergeCell ref="S7:T7"/>
    <mergeCell ref="V7:V8"/>
    <mergeCell ref="X7:Z7"/>
    <mergeCell ref="AB7:AC7"/>
    <mergeCell ref="AE7:AE8"/>
    <mergeCell ref="AG7:AI7"/>
    <mergeCell ref="AK7:AL7"/>
    <mergeCell ref="AN7:AN8"/>
    <mergeCell ref="AP7:AR7"/>
    <mergeCell ref="A10:A31"/>
    <mergeCell ref="Q12:Q13"/>
    <mergeCell ref="U12:U13"/>
    <mergeCell ref="Y12:Y13"/>
    <mergeCell ref="AD12:AD13"/>
    <mergeCell ref="AQ12:AQ13"/>
    <mergeCell ref="AQ15:AQ16"/>
    <mergeCell ref="Q17:Q18"/>
    <mergeCell ref="U17:U18"/>
    <mergeCell ref="Q23:Q25"/>
    <mergeCell ref="U23:U25"/>
    <mergeCell ref="Y23:Y25"/>
    <mergeCell ref="AD23:AD25"/>
    <mergeCell ref="AM23:AM25"/>
    <mergeCell ref="AH12:AH13"/>
    <mergeCell ref="U35:U38"/>
    <mergeCell ref="Y35:Y38"/>
    <mergeCell ref="AD35:AD38"/>
    <mergeCell ref="AH35:AH38"/>
    <mergeCell ref="AM12:AM13"/>
    <mergeCell ref="AQ49:AQ50"/>
    <mergeCell ref="B50:C50"/>
    <mergeCell ref="A67:A83"/>
    <mergeCell ref="A98:M98"/>
    <mergeCell ref="AM35:AM38"/>
    <mergeCell ref="AQ35:AQ38"/>
    <mergeCell ref="B45:C45"/>
    <mergeCell ref="B49:C49"/>
    <mergeCell ref="Q49:Q50"/>
    <mergeCell ref="U49:U50"/>
    <mergeCell ref="Y49:Y50"/>
    <mergeCell ref="AD49:AD50"/>
    <mergeCell ref="AH49:AH50"/>
    <mergeCell ref="AM49:AM50"/>
    <mergeCell ref="A33:A65"/>
    <mergeCell ref="Q35:Q38"/>
    <mergeCell ref="AT7:AU7"/>
    <mergeCell ref="AW7:AW8"/>
    <mergeCell ref="AY7:BA7"/>
    <mergeCell ref="AT33:AU33"/>
    <mergeCell ref="AT2:BA2"/>
    <mergeCell ref="AT4:AW4"/>
    <mergeCell ref="AY4:BA4"/>
    <mergeCell ref="AT5:AW5"/>
    <mergeCell ref="AY5:BA5"/>
    <mergeCell ref="BC7:BD7"/>
    <mergeCell ref="BF7:BF8"/>
    <mergeCell ref="BH7:BJ7"/>
    <mergeCell ref="BC33:BD33"/>
    <mergeCell ref="BC2:BJ2"/>
    <mergeCell ref="BC4:BF4"/>
    <mergeCell ref="BH4:BJ4"/>
    <mergeCell ref="BC5:BF5"/>
    <mergeCell ref="BH5:BJ5"/>
  </mergeCells>
  <hyperlinks>
    <hyperlink ref="AZ33" r:id="rId1" xr:uid="{DF92ED37-FC35-496C-90E3-27CBA710CD6D}"/>
    <hyperlink ref="BI33" r:id="rId2" xr:uid="{9829A215-7EE5-4A2A-BC8A-C542A95B3977}"/>
  </hyperlinks>
  <pageMargins left="0.7" right="0.7" top="0.75" bottom="0.75" header="0.3" footer="0.3"/>
  <pageSetup orientation="portrait" r:id="rId3"/>
  <headerFooter>
    <oddFooter>&amp;R&amp;1#&amp;"Calibri"&amp;12&amp;K000000Official Use</oddFooter>
  </headerFooter>
  <legacy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H112"/>
  <sheetViews>
    <sheetView topLeftCell="A79" zoomScale="73" zoomScaleNormal="100" zoomScalePageLayoutView="93" workbookViewId="0">
      <pane xSplit="4" topLeftCell="AX1" activePane="topRight" state="frozen"/>
      <selection pane="topRight" activeCell="AB17" sqref="AB17"/>
    </sheetView>
  </sheetViews>
  <sheetFormatPr defaultColWidth="9.1796875" defaultRowHeight="14.5" x14ac:dyDescent="0.35"/>
  <cols>
    <col min="1" max="1" width="6.6328125" style="462" customWidth="1"/>
    <col min="2" max="2" width="15.81640625" style="462" customWidth="1"/>
    <col min="3" max="3" width="19.36328125" style="456" customWidth="1"/>
    <col min="4" max="4" width="3.453125" style="456" customWidth="1"/>
    <col min="5" max="5" width="1.6328125" style="456" customWidth="1"/>
    <col min="6" max="6" width="21.6328125" style="456" customWidth="1"/>
    <col min="7" max="7" width="1.6328125" style="456" customWidth="1"/>
    <col min="8" max="9" width="21.6328125" style="459" customWidth="1"/>
    <col min="10" max="10" width="8.6328125" style="459" customWidth="1"/>
    <col min="11" max="11" width="1.6328125" style="456" customWidth="1"/>
    <col min="12" max="13" width="21.6328125" style="462" customWidth="1"/>
    <col min="14" max="14" width="1.6328125" style="1" customWidth="1"/>
    <col min="15" max="15" width="16.453125" style="6" customWidth="1"/>
    <col min="16" max="16" width="17.81640625" style="6" customWidth="1"/>
    <col min="17" max="17" width="11.36328125" style="6" customWidth="1"/>
    <col min="18" max="18" width="7.1796875" style="7" customWidth="1"/>
    <col min="19" max="19" width="1.6328125" style="1" customWidth="1"/>
    <col min="20" max="20" width="21.36328125" customWidth="1"/>
    <col min="21" max="21" width="11.453125" customWidth="1"/>
    <col min="22" max="22" width="20.453125" customWidth="1"/>
    <col min="23" max="23" width="0.6328125" style="1" customWidth="1"/>
    <col min="24" max="24" width="1.81640625" style="711" customWidth="1"/>
    <col min="25" max="25" width="1.36328125" style="462" customWidth="1"/>
    <col min="26" max="26" width="21.1796875" style="462" customWidth="1"/>
    <col min="27" max="27" width="20.453125" style="462" customWidth="1"/>
    <col min="28" max="28" width="20.1796875" style="462" customWidth="1"/>
    <col min="29" max="29" width="2.6328125" style="462" customWidth="1"/>
    <col min="30" max="30" width="18.36328125" style="462" customWidth="1"/>
    <col min="31" max="31" width="1.6328125" style="462" customWidth="1"/>
    <col min="32" max="32" width="20.1796875" style="4914" customWidth="1"/>
    <col min="33" max="33" width="21.1796875" style="462" customWidth="1"/>
    <col min="34" max="34" width="3" style="462" customWidth="1"/>
    <col min="35" max="35" width="25.36328125" style="462" customWidth="1"/>
    <col min="36" max="36" width="15.453125" style="462" customWidth="1"/>
    <col min="37" max="37" width="20.81640625" style="462" bestFit="1" customWidth="1"/>
    <col min="38" max="38" width="1.6328125" style="462" customWidth="1"/>
    <col min="39" max="39" width="7.81640625" style="462" customWidth="1"/>
    <col min="40" max="40" width="9.1796875" style="462"/>
    <col min="41" max="41" width="25.36328125" style="462" customWidth="1"/>
    <col min="42" max="42" width="21.1796875" style="4914" bestFit="1" customWidth="1"/>
    <col min="43" max="43" width="21.1796875" style="462" customWidth="1"/>
    <col min="44" max="44" width="9.453125" style="462" customWidth="1"/>
    <col min="45" max="45" width="3" style="462" customWidth="1"/>
    <col min="46" max="46" width="25.36328125" style="462" customWidth="1"/>
    <col min="47" max="47" width="15.453125" style="462" customWidth="1"/>
    <col min="48" max="48" width="20.36328125" style="462" customWidth="1"/>
    <col min="49" max="49" width="1.6328125" style="462" customWidth="1"/>
    <col min="50" max="50" width="33.1796875" style="462" customWidth="1"/>
    <col min="51" max="51" width="9.1796875" style="462"/>
    <col min="52" max="52" width="25.36328125" style="462" customWidth="1"/>
    <col min="53" max="53" width="21.1796875" style="4914" bestFit="1" customWidth="1"/>
    <col min="54" max="54" width="21.1796875" style="462" customWidth="1"/>
    <col min="55" max="55" width="9.453125" style="462" customWidth="1"/>
    <col min="56" max="56" width="3" style="462" customWidth="1"/>
    <col min="57" max="57" width="25.36328125" style="462" customWidth="1"/>
    <col min="58" max="58" width="15.453125" style="462" customWidth="1"/>
    <col min="59" max="59" width="20.36328125" style="462" customWidth="1"/>
    <col min="60" max="60" width="9.453125" style="462" customWidth="1"/>
    <col min="61" max="16384" width="9.1796875" style="462"/>
  </cols>
  <sheetData>
    <row r="1" spans="1:60" s="470" customFormat="1" ht="31" x14ac:dyDescent="0.7">
      <c r="F1" s="9118" t="s">
        <v>394</v>
      </c>
      <c r="G1" s="9119"/>
      <c r="H1" s="9119"/>
      <c r="I1" s="9119"/>
      <c r="J1" s="9119"/>
      <c r="K1" s="9119"/>
      <c r="L1" s="9119"/>
      <c r="M1" s="9120"/>
      <c r="N1" s="710"/>
      <c r="O1" s="9174" t="s">
        <v>395</v>
      </c>
      <c r="P1" s="9175"/>
      <c r="Q1" s="9175"/>
      <c r="R1" s="9175"/>
      <c r="S1" s="9175"/>
      <c r="T1" s="9175"/>
      <c r="U1" s="9175"/>
      <c r="V1" s="9176"/>
      <c r="W1" s="710"/>
      <c r="Z1" s="9396" t="s">
        <v>396</v>
      </c>
      <c r="AA1" s="9396"/>
      <c r="AB1" s="9396"/>
      <c r="AC1" s="9396"/>
      <c r="AD1" s="9396"/>
      <c r="AF1" s="9121" t="s">
        <v>397</v>
      </c>
      <c r="AG1" s="9122"/>
      <c r="AH1" s="9122"/>
      <c r="AI1" s="9122"/>
      <c r="AJ1" s="9122"/>
      <c r="AK1" s="9123"/>
      <c r="AO1" s="9121" t="s">
        <v>398</v>
      </c>
      <c r="AP1" s="9122"/>
      <c r="AQ1" s="9122"/>
      <c r="AR1" s="9122"/>
      <c r="AS1" s="9122"/>
      <c r="AT1" s="9122"/>
      <c r="AU1" s="9122"/>
      <c r="AV1" s="9123"/>
      <c r="AZ1" s="9210" t="s">
        <v>399</v>
      </c>
      <c r="BA1" s="9211"/>
      <c r="BB1" s="9211"/>
      <c r="BC1" s="9211"/>
      <c r="BD1" s="9211"/>
      <c r="BE1" s="9211"/>
      <c r="BF1" s="9211"/>
      <c r="BG1" s="9212"/>
      <c r="BH1" s="8165"/>
    </row>
    <row r="2" spans="1:60" ht="21" x14ac:dyDescent="0.5">
      <c r="B2" s="456" t="s">
        <v>9</v>
      </c>
      <c r="C2" s="4" t="s">
        <v>40</v>
      </c>
      <c r="H2" s="462"/>
    </row>
    <row r="3" spans="1:60" x14ac:dyDescent="0.35">
      <c r="F3" s="459"/>
      <c r="H3" s="462"/>
    </row>
    <row r="4" spans="1:60" ht="14.5" customHeight="1" x14ac:dyDescent="0.3">
      <c r="F4" s="8323" t="s">
        <v>400</v>
      </c>
      <c r="G4" s="712"/>
      <c r="H4" s="9133" t="s">
        <v>401</v>
      </c>
      <c r="I4" s="9134"/>
      <c r="J4" s="9135"/>
      <c r="K4" s="712"/>
      <c r="L4" s="9133" t="s">
        <v>402</v>
      </c>
      <c r="M4" s="9135"/>
      <c r="N4" s="8"/>
      <c r="O4" s="9130" t="s">
        <v>403</v>
      </c>
      <c r="P4" s="9131"/>
      <c r="Q4" s="9131"/>
      <c r="R4" s="9132"/>
      <c r="S4" s="8"/>
      <c r="T4" s="9130" t="s">
        <v>402</v>
      </c>
      <c r="U4" s="9131"/>
      <c r="V4" s="9132"/>
      <c r="W4" s="8"/>
      <c r="X4" s="9136" t="s">
        <v>404</v>
      </c>
      <c r="Z4" s="9130" t="s">
        <v>402</v>
      </c>
      <c r="AA4" s="9131"/>
      <c r="AB4" s="9132"/>
      <c r="AC4" s="4915"/>
      <c r="AD4" s="9136" t="s">
        <v>404</v>
      </c>
      <c r="AF4" s="9130" t="s">
        <v>403</v>
      </c>
      <c r="AG4" s="9131"/>
      <c r="AH4" s="8"/>
      <c r="AI4" s="9130" t="s">
        <v>402</v>
      </c>
      <c r="AJ4" s="9131"/>
      <c r="AK4" s="9132"/>
      <c r="AL4" s="8"/>
      <c r="AM4" s="9136" t="s">
        <v>404</v>
      </c>
      <c r="AO4" s="9318" t="s">
        <v>403</v>
      </c>
      <c r="AP4" s="9318"/>
      <c r="AQ4" s="9318"/>
      <c r="AR4" s="8"/>
      <c r="AS4" s="8"/>
      <c r="AT4" s="9130" t="s">
        <v>402</v>
      </c>
      <c r="AU4" s="9131"/>
      <c r="AV4" s="9132"/>
      <c r="AW4" s="8"/>
      <c r="AX4" s="9136" t="s">
        <v>404</v>
      </c>
      <c r="AZ4" s="9318" t="s">
        <v>403</v>
      </c>
      <c r="BA4" s="9318"/>
      <c r="BB4" s="9318"/>
      <c r="BC4" s="8"/>
      <c r="BD4" s="8"/>
      <c r="BE4" s="9130" t="s">
        <v>402</v>
      </c>
      <c r="BF4" s="9131"/>
      <c r="BG4" s="9132"/>
      <c r="BH4" s="8"/>
    </row>
    <row r="5" spans="1:60" x14ac:dyDescent="0.3">
      <c r="B5" s="456" t="s">
        <v>406</v>
      </c>
      <c r="C5" s="714">
        <v>2004</v>
      </c>
      <c r="F5" s="8324">
        <v>2013</v>
      </c>
      <c r="G5" s="12"/>
      <c r="H5" s="9138">
        <v>2014</v>
      </c>
      <c r="I5" s="9139"/>
      <c r="J5" s="9140"/>
      <c r="K5" s="12"/>
      <c r="L5" s="9138">
        <v>2015</v>
      </c>
      <c r="M5" s="9140"/>
      <c r="N5" s="12"/>
      <c r="O5" s="9138">
        <v>2015</v>
      </c>
      <c r="P5" s="9139"/>
      <c r="Q5" s="9139"/>
      <c r="R5" s="9140"/>
      <c r="S5" s="12"/>
      <c r="T5" s="9138">
        <v>2016</v>
      </c>
      <c r="U5" s="9139"/>
      <c r="V5" s="9140"/>
      <c r="W5" s="12"/>
      <c r="X5" s="9137"/>
      <c r="Z5" s="9138">
        <v>2017</v>
      </c>
      <c r="AA5" s="9139"/>
      <c r="AB5" s="9140"/>
      <c r="AC5" s="4916"/>
      <c r="AD5" s="9137"/>
      <c r="AF5" s="9138">
        <v>2017</v>
      </c>
      <c r="AG5" s="9139"/>
      <c r="AH5" s="12"/>
      <c r="AI5" s="9138">
        <v>2018</v>
      </c>
      <c r="AJ5" s="9139"/>
      <c r="AK5" s="9140"/>
      <c r="AL5" s="12"/>
      <c r="AM5" s="9137"/>
      <c r="AO5" s="9234">
        <v>2018</v>
      </c>
      <c r="AP5" s="9234"/>
      <c r="AQ5" s="9234"/>
      <c r="AR5" s="12"/>
      <c r="AS5" s="12"/>
      <c r="AT5" s="9138">
        <v>2019</v>
      </c>
      <c r="AU5" s="9139"/>
      <c r="AV5" s="9140"/>
      <c r="AW5" s="12"/>
      <c r="AX5" s="9137"/>
      <c r="AZ5" s="9234">
        <v>2019</v>
      </c>
      <c r="BA5" s="9234"/>
      <c r="BB5" s="9234"/>
      <c r="BC5" s="12"/>
      <c r="BD5" s="12"/>
      <c r="BE5" s="9138">
        <v>2020</v>
      </c>
      <c r="BF5" s="9139"/>
      <c r="BG5" s="9140"/>
      <c r="BH5" s="12"/>
    </row>
    <row r="6" spans="1:60" x14ac:dyDescent="0.35">
      <c r="F6" s="459"/>
      <c r="L6" s="715"/>
      <c r="T6" s="14"/>
      <c r="U6" s="14"/>
      <c r="X6" s="716"/>
      <c r="Z6" s="14"/>
      <c r="AA6" s="14"/>
      <c r="AB6"/>
      <c r="AC6"/>
      <c r="AF6" s="6"/>
      <c r="AG6" s="6"/>
      <c r="AH6" s="1"/>
      <c r="AI6" s="14"/>
      <c r="AJ6" s="14"/>
      <c r="AK6"/>
      <c r="AL6" s="1"/>
      <c r="AM6" s="716"/>
      <c r="AO6" s="14"/>
      <c r="AP6" s="6"/>
      <c r="AQ6" s="6"/>
      <c r="AR6" s="1"/>
      <c r="AS6" s="1"/>
      <c r="AT6" s="14"/>
      <c r="AU6" s="14"/>
      <c r="AV6"/>
      <c r="AW6" s="1"/>
      <c r="AX6" s="716"/>
      <c r="AZ6" s="14"/>
      <c r="BA6" s="6"/>
      <c r="BB6" s="6"/>
      <c r="BC6" s="1"/>
      <c r="BD6" s="1"/>
      <c r="BE6" s="14"/>
      <c r="BF6" s="14"/>
      <c r="BG6"/>
      <c r="BH6" s="1"/>
    </row>
    <row r="7" spans="1:60" ht="15.25" customHeight="1" x14ac:dyDescent="0.35">
      <c r="B7" s="456" t="s">
        <v>101</v>
      </c>
      <c r="C7" s="714" t="s">
        <v>2233</v>
      </c>
      <c r="D7" s="456" t="s">
        <v>417</v>
      </c>
      <c r="F7" s="717"/>
      <c r="H7" s="9141"/>
      <c r="I7" s="9142"/>
      <c r="J7" s="9143" t="s">
        <v>419</v>
      </c>
      <c r="L7" s="9145"/>
      <c r="M7" s="9146"/>
      <c r="O7" s="9346" t="s">
        <v>1591</v>
      </c>
      <c r="P7" s="9347"/>
      <c r="Q7" s="16"/>
      <c r="R7" s="9147" t="s">
        <v>419</v>
      </c>
      <c r="T7" s="9149" t="s">
        <v>1591</v>
      </c>
      <c r="U7" s="9150"/>
      <c r="V7" s="9151"/>
      <c r="X7" s="718"/>
      <c r="Z7" s="9149" t="s">
        <v>1591</v>
      </c>
      <c r="AA7" s="9150"/>
      <c r="AB7" s="9151"/>
      <c r="AC7" s="4917"/>
      <c r="AD7" s="718"/>
      <c r="AF7" s="9346" t="s">
        <v>1591</v>
      </c>
      <c r="AG7" s="9347"/>
      <c r="AH7" s="1"/>
      <c r="AI7" s="9149" t="s">
        <v>1591</v>
      </c>
      <c r="AJ7" s="9150"/>
      <c r="AK7" s="9151"/>
      <c r="AL7" s="1"/>
      <c r="AM7" s="718"/>
      <c r="AO7" s="9173" t="s">
        <v>1591</v>
      </c>
      <c r="AP7" s="9173"/>
      <c r="AQ7" s="9173"/>
      <c r="AR7" s="1"/>
      <c r="AS7" s="1"/>
      <c r="AT7" s="9149" t="s">
        <v>1591</v>
      </c>
      <c r="AU7" s="9150"/>
      <c r="AV7" s="9151"/>
      <c r="AW7" s="1"/>
      <c r="AX7" s="718"/>
      <c r="AZ7" s="9173" t="s">
        <v>2234</v>
      </c>
      <c r="BA7" s="9173"/>
      <c r="BB7" s="9173"/>
      <c r="BC7" s="1"/>
      <c r="BD7" s="1"/>
      <c r="BE7" s="9149" t="s">
        <v>2234</v>
      </c>
      <c r="BF7" s="9150"/>
      <c r="BG7" s="9151"/>
      <c r="BH7" s="1"/>
    </row>
    <row r="8" spans="1:60" s="712" customFormat="1" ht="15.25" customHeight="1" x14ac:dyDescent="0.35">
      <c r="B8" s="456" t="s">
        <v>420</v>
      </c>
      <c r="C8" s="714" t="s">
        <v>589</v>
      </c>
      <c r="F8" s="720" t="s">
        <v>2235</v>
      </c>
      <c r="G8" s="456"/>
      <c r="H8" s="720" t="s">
        <v>423</v>
      </c>
      <c r="I8" s="720" t="s">
        <v>96</v>
      </c>
      <c r="J8" s="9144"/>
      <c r="K8" s="456"/>
      <c r="L8" s="721" t="s">
        <v>423</v>
      </c>
      <c r="M8" s="720" t="s">
        <v>2236</v>
      </c>
      <c r="N8" s="1"/>
      <c r="O8" s="20" t="s">
        <v>748</v>
      </c>
      <c r="P8" s="20" t="s">
        <v>2237</v>
      </c>
      <c r="Q8" s="22" t="s">
        <v>425</v>
      </c>
      <c r="R8" s="9148"/>
      <c r="S8" s="1"/>
      <c r="T8" s="21" t="s">
        <v>424</v>
      </c>
      <c r="U8" s="22" t="s">
        <v>425</v>
      </c>
      <c r="V8" s="20" t="s">
        <v>96</v>
      </c>
      <c r="W8" s="1"/>
      <c r="X8" s="722"/>
      <c r="Z8" s="21" t="s">
        <v>424</v>
      </c>
      <c r="AA8" s="22" t="s">
        <v>425</v>
      </c>
      <c r="AB8" s="20" t="s">
        <v>96</v>
      </c>
      <c r="AC8" s="4918"/>
      <c r="AD8" s="722" t="s">
        <v>2238</v>
      </c>
      <c r="AF8" s="20" t="s">
        <v>96</v>
      </c>
      <c r="AG8" s="22" t="s">
        <v>425</v>
      </c>
      <c r="AH8" s="1"/>
      <c r="AI8" s="21" t="s">
        <v>424</v>
      </c>
      <c r="AJ8" s="22" t="s">
        <v>425</v>
      </c>
      <c r="AK8" s="21" t="s">
        <v>748</v>
      </c>
      <c r="AL8" s="1"/>
      <c r="AM8" s="722"/>
      <c r="AO8" s="21" t="s">
        <v>424</v>
      </c>
      <c r="AP8" s="20" t="s">
        <v>96</v>
      </c>
      <c r="AQ8" s="22" t="s">
        <v>425</v>
      </c>
      <c r="AR8" s="1"/>
      <c r="AS8" s="1"/>
      <c r="AT8" s="21" t="s">
        <v>424</v>
      </c>
      <c r="AU8" s="22" t="s">
        <v>425</v>
      </c>
      <c r="AV8" s="21" t="s">
        <v>748</v>
      </c>
      <c r="AW8" s="1"/>
      <c r="AX8" s="722"/>
      <c r="AZ8" s="21" t="s">
        <v>424</v>
      </c>
      <c r="BA8" s="20" t="s">
        <v>96</v>
      </c>
      <c r="BB8" s="22" t="s">
        <v>425</v>
      </c>
      <c r="BC8" s="1"/>
      <c r="BD8" s="1"/>
      <c r="BE8" s="21" t="s">
        <v>424</v>
      </c>
      <c r="BF8" s="22" t="s">
        <v>425</v>
      </c>
      <c r="BG8" s="21" t="s">
        <v>748</v>
      </c>
      <c r="BH8" s="1"/>
    </row>
    <row r="9" spans="1:60" x14ac:dyDescent="0.35">
      <c r="F9" s="462"/>
      <c r="G9" s="462"/>
      <c r="H9" s="462"/>
      <c r="I9" s="462"/>
      <c r="J9" s="462"/>
      <c r="K9" s="462"/>
      <c r="N9"/>
      <c r="O9"/>
      <c r="P9"/>
      <c r="Q9"/>
      <c r="R9" s="25"/>
      <c r="S9"/>
      <c r="W9"/>
      <c r="Z9"/>
      <c r="AA9"/>
      <c r="AB9"/>
      <c r="AC9"/>
      <c r="AD9" s="711"/>
      <c r="AF9"/>
      <c r="AG9"/>
      <c r="AH9"/>
      <c r="AI9"/>
      <c r="AJ9"/>
      <c r="AK9"/>
      <c r="AL9"/>
      <c r="AM9" s="711"/>
      <c r="AO9"/>
      <c r="AP9"/>
      <c r="AQ9"/>
      <c r="AR9"/>
      <c r="AS9"/>
      <c r="AT9"/>
      <c r="AU9"/>
      <c r="AV9"/>
      <c r="AW9"/>
      <c r="AX9" s="711"/>
      <c r="AZ9"/>
      <c r="BA9"/>
      <c r="BB9"/>
      <c r="BC9"/>
      <c r="BD9"/>
      <c r="BE9"/>
      <c r="BF9"/>
      <c r="BG9"/>
      <c r="BH9"/>
    </row>
    <row r="10" spans="1:60" ht="46.5" customHeight="1" x14ac:dyDescent="0.35">
      <c r="A10" s="9152" t="s">
        <v>426</v>
      </c>
      <c r="B10" s="724"/>
      <c r="C10" s="725" t="s">
        <v>427</v>
      </c>
      <c r="D10" s="580" t="s">
        <v>428</v>
      </c>
      <c r="F10" s="31" t="s">
        <v>2239</v>
      </c>
      <c r="G10"/>
      <c r="H10" s="31" t="s">
        <v>2240</v>
      </c>
      <c r="I10" s="31" t="s">
        <v>2241</v>
      </c>
      <c r="J10" s="32"/>
      <c r="K10" s="33"/>
      <c r="L10" s="31" t="s">
        <v>2242</v>
      </c>
      <c r="M10" s="36" t="s">
        <v>593</v>
      </c>
      <c r="N10" s="33"/>
      <c r="O10" s="31" t="s">
        <v>2243</v>
      </c>
      <c r="P10" s="31"/>
      <c r="Q10" s="581" t="s">
        <v>2244</v>
      </c>
      <c r="R10" s="32"/>
      <c r="S10" s="33"/>
      <c r="T10" s="31" t="s">
        <v>2245</v>
      </c>
      <c r="U10" s="727" t="s">
        <v>2246</v>
      </c>
      <c r="V10" s="34" t="s">
        <v>2247</v>
      </c>
      <c r="W10" s="33"/>
      <c r="X10" s="726"/>
      <c r="Z10" s="31" t="s">
        <v>2245</v>
      </c>
      <c r="AA10" s="727" t="s">
        <v>2246</v>
      </c>
      <c r="AB10" s="34" t="s">
        <v>2247</v>
      </c>
      <c r="AC10" s="1844"/>
      <c r="AD10" s="726" t="s">
        <v>2248</v>
      </c>
      <c r="AF10" s="34" t="s">
        <v>2247</v>
      </c>
      <c r="AG10" s="727" t="s">
        <v>2246</v>
      </c>
      <c r="AH10" s="33"/>
      <c r="AI10" s="31" t="s">
        <v>2249</v>
      </c>
      <c r="AJ10" s="727"/>
      <c r="AK10" s="31" t="s">
        <v>2249</v>
      </c>
      <c r="AL10" s="33"/>
      <c r="AM10" s="726"/>
      <c r="AO10" s="36" t="s">
        <v>2249</v>
      </c>
      <c r="AP10" s="34" t="s">
        <v>2249</v>
      </c>
      <c r="AQ10" s="1612" t="s">
        <v>2250</v>
      </c>
      <c r="AR10" s="34" t="s">
        <v>2251</v>
      </c>
      <c r="AS10" s="30"/>
      <c r="AT10" s="31" t="s">
        <v>2252</v>
      </c>
      <c r="AU10" s="6760" t="s">
        <v>2253</v>
      </c>
      <c r="AV10" s="31" t="s">
        <v>2249</v>
      </c>
      <c r="AW10" s="33"/>
      <c r="AX10" s="726"/>
      <c r="AZ10" s="36" t="s">
        <v>2254</v>
      </c>
      <c r="BA10" s="36" t="s">
        <v>2255</v>
      </c>
      <c r="BB10" s="8166" t="s">
        <v>2256</v>
      </c>
      <c r="BC10" s="34" t="s">
        <v>2251</v>
      </c>
      <c r="BD10" s="30"/>
      <c r="BE10" s="31" t="s">
        <v>2257</v>
      </c>
      <c r="BF10" s="8166" t="s">
        <v>2258</v>
      </c>
      <c r="BG10" s="31" t="s">
        <v>2257</v>
      </c>
      <c r="BH10" s="34" t="s">
        <v>2251</v>
      </c>
    </row>
    <row r="11" spans="1:60" ht="12.75" customHeight="1" x14ac:dyDescent="0.35">
      <c r="A11" s="9153"/>
      <c r="B11" s="40" t="s">
        <v>451</v>
      </c>
      <c r="C11" s="728"/>
      <c r="D11" s="729"/>
      <c r="F11" s="730"/>
      <c r="G11" s="731"/>
      <c r="H11" s="732"/>
      <c r="I11" s="733"/>
      <c r="J11" s="734"/>
      <c r="K11" s="731"/>
      <c r="L11" s="732"/>
      <c r="M11" s="735"/>
      <c r="N11" s="48"/>
      <c r="O11" s="736"/>
      <c r="P11" s="737"/>
      <c r="Q11" s="474"/>
      <c r="R11" s="47"/>
      <c r="S11" s="48"/>
      <c r="T11" s="46"/>
      <c r="U11" s="474"/>
      <c r="V11" s="49"/>
      <c r="W11" s="48"/>
      <c r="X11" s="718"/>
      <c r="Z11" s="46"/>
      <c r="AA11" s="474"/>
      <c r="AB11" s="49"/>
      <c r="AC11" s="229"/>
      <c r="AD11" s="718"/>
      <c r="AF11" s="49"/>
      <c r="AG11" s="474"/>
      <c r="AH11" s="48"/>
      <c r="AI11" s="46"/>
      <c r="AJ11" s="474"/>
      <c r="AK11" s="4919"/>
      <c r="AL11" s="48"/>
      <c r="AM11" s="718"/>
      <c r="AO11" s="154"/>
      <c r="AP11" s="348"/>
      <c r="AQ11" s="6400" t="s">
        <v>2259</v>
      </c>
      <c r="AR11" s="1927"/>
      <c r="AS11" s="739"/>
      <c r="AT11" s="154"/>
      <c r="AU11" s="106" t="s">
        <v>2256</v>
      </c>
      <c r="AV11" s="586"/>
      <c r="AW11" s="48"/>
      <c r="AX11" s="718"/>
      <c r="AZ11" s="6123" t="s">
        <v>423</v>
      </c>
      <c r="BA11" s="1147" t="s">
        <v>2260</v>
      </c>
      <c r="BB11" s="6400"/>
      <c r="BC11" s="1927"/>
      <c r="BD11" s="739"/>
      <c r="BE11" s="154"/>
      <c r="BF11" s="106"/>
      <c r="BG11" s="586"/>
      <c r="BH11" s="1927"/>
    </row>
    <row r="12" spans="1:60" x14ac:dyDescent="0.35">
      <c r="A12" s="9153"/>
      <c r="B12" s="58"/>
      <c r="C12" s="743" t="s">
        <v>456</v>
      </c>
      <c r="F12" s="744">
        <v>19542489601.733765</v>
      </c>
      <c r="G12" s="745"/>
      <c r="H12" s="746">
        <v>24839443534</v>
      </c>
      <c r="I12" s="747">
        <f>(19229.76+4483.36)*1000000</f>
        <v>23713120000</v>
      </c>
      <c r="J12" s="997">
        <f>IF(H12=0,0,I12/H12)</f>
        <v>0.95465584676008142</v>
      </c>
      <c r="K12" s="745"/>
      <c r="L12" s="746">
        <v>28524461136</v>
      </c>
      <c r="M12" s="749">
        <f>21216764959*12/9</f>
        <v>28289019945.333332</v>
      </c>
      <c r="N12" s="65"/>
      <c r="O12" s="62">
        <f>28524.46*1000000</f>
        <v>28524460000</v>
      </c>
      <c r="P12" s="63">
        <f>29351.65*1000000</f>
        <v>29351650000</v>
      </c>
      <c r="Q12" s="789" t="s">
        <v>2261</v>
      </c>
      <c r="R12" s="64">
        <f>IF(O12=0,0,P12/O12)</f>
        <v>1.0289993219854119</v>
      </c>
      <c r="S12" s="65"/>
      <c r="T12" s="63">
        <v>36430187242</v>
      </c>
      <c r="U12" s="106" t="s">
        <v>2262</v>
      </c>
      <c r="V12" s="66">
        <v>32537445681</v>
      </c>
      <c r="W12" s="65"/>
      <c r="X12" s="723"/>
      <c r="Z12" s="63">
        <f>Z15-Z13</f>
        <v>43430116179</v>
      </c>
      <c r="AA12" s="106" t="s">
        <v>2263</v>
      </c>
      <c r="AB12" s="66">
        <f>AB15-AB13</f>
        <v>39739073904</v>
      </c>
      <c r="AC12" s="66"/>
      <c r="AD12" s="723" t="s">
        <v>2264</v>
      </c>
      <c r="AF12" s="66">
        <f>AF15-AF13</f>
        <v>39739073904</v>
      </c>
      <c r="AG12" s="106" t="s">
        <v>2263</v>
      </c>
      <c r="AH12" s="65"/>
      <c r="AI12" s="63">
        <v>48814274479</v>
      </c>
      <c r="AJ12" s="106" t="s">
        <v>2265</v>
      </c>
      <c r="AK12" s="4920">
        <v>48297908686</v>
      </c>
      <c r="AL12" s="65"/>
      <c r="AM12" s="723"/>
      <c r="AO12" s="62">
        <v>48814274479</v>
      </c>
      <c r="AP12" s="671">
        <v>46034636555</v>
      </c>
      <c r="AQ12" s="57" t="s">
        <v>2266</v>
      </c>
      <c r="AR12" s="6761">
        <f>AP12/AO12</f>
        <v>0.94305686290194057</v>
      </c>
      <c r="AS12" s="272"/>
      <c r="AT12" s="62">
        <f>AT15-AT13</f>
        <v>57794999111</v>
      </c>
      <c r="AU12" s="106" t="s">
        <v>2267</v>
      </c>
      <c r="AV12" s="301">
        <f>AV15-AV13</f>
        <v>53731877792</v>
      </c>
      <c r="AW12" s="65"/>
      <c r="AX12" s="723"/>
      <c r="AZ12" s="298">
        <v>57786.664713999999</v>
      </c>
      <c r="BA12" s="7395">
        <v>52393.5</v>
      </c>
      <c r="BB12" s="57"/>
      <c r="BC12" s="8167">
        <f>BA12/AZ12</f>
        <v>0.90667111970050429</v>
      </c>
      <c r="BD12" s="272"/>
      <c r="BE12" s="62">
        <f>BE15-BE13</f>
        <v>65831.114820000003</v>
      </c>
      <c r="BF12" s="106"/>
      <c r="BG12" s="301">
        <f>BG15-BG13</f>
        <v>53899.737918999999</v>
      </c>
      <c r="BH12" s="8167">
        <f>BG12/BE12</f>
        <v>0.81875778750483563</v>
      </c>
    </row>
    <row r="13" spans="1:60" x14ac:dyDescent="0.35">
      <c r="A13" s="9153"/>
      <c r="B13" s="58"/>
      <c r="C13" s="752" t="s">
        <v>774</v>
      </c>
      <c r="E13" s="462"/>
      <c r="F13" s="753">
        <v>1258471700</v>
      </c>
      <c r="G13" s="745"/>
      <c r="H13" s="746">
        <v>1390835540</v>
      </c>
      <c r="I13" s="747">
        <f>(814.14)*1000000</f>
        <v>814140000</v>
      </c>
      <c r="J13" s="754">
        <f>IF(H13=0,0,I13/H13)</f>
        <v>0.58536036546779646</v>
      </c>
      <c r="K13" s="745"/>
      <c r="L13" s="746">
        <v>2001764510</v>
      </c>
      <c r="M13" s="749">
        <f>1507880748*12/9</f>
        <v>2010507664</v>
      </c>
      <c r="N13" s="65"/>
      <c r="O13" s="62">
        <f>2001.76*1000000</f>
        <v>2001760000</v>
      </c>
      <c r="P13" s="63">
        <f>2688.76*1000000</f>
        <v>2688760000</v>
      </c>
      <c r="Q13" s="789" t="s">
        <v>2261</v>
      </c>
      <c r="R13" s="73">
        <f>IF(O13=0,0,P13/O13)</f>
        <v>1.3431979857725203</v>
      </c>
      <c r="S13" s="65"/>
      <c r="T13" s="63">
        <v>1607865766</v>
      </c>
      <c r="U13" s="106" t="s">
        <v>2262</v>
      </c>
      <c r="V13" s="66">
        <v>1140726850</v>
      </c>
      <c r="W13" s="65"/>
      <c r="X13" s="723"/>
      <c r="Z13" s="63">
        <v>1531519476</v>
      </c>
      <c r="AA13" s="106" t="s">
        <v>2268</v>
      </c>
      <c r="AB13" s="66">
        <v>1515187333</v>
      </c>
      <c r="AC13" s="66"/>
      <c r="AD13" s="723"/>
      <c r="AF13" s="66">
        <v>1515187333</v>
      </c>
      <c r="AG13" s="106" t="s">
        <v>2268</v>
      </c>
      <c r="AH13" s="65"/>
      <c r="AI13" s="63">
        <v>586767083</v>
      </c>
      <c r="AJ13" s="106" t="s">
        <v>2265</v>
      </c>
      <c r="AK13" s="4920">
        <v>761135540</v>
      </c>
      <c r="AL13" s="65"/>
      <c r="AM13" s="723"/>
      <c r="AO13" s="62">
        <v>586767083</v>
      </c>
      <c r="AP13" s="671">
        <v>773226314</v>
      </c>
      <c r="AQ13" s="57" t="s">
        <v>2266</v>
      </c>
      <c r="AR13" s="6761">
        <f t="shared" ref="AR13:AR27" si="0">AP13/AO13</f>
        <v>1.3177738431520025</v>
      </c>
      <c r="AS13" s="272"/>
      <c r="AT13" s="62">
        <v>1109865516</v>
      </c>
      <c r="AU13" s="106" t="s">
        <v>2269</v>
      </c>
      <c r="AV13" s="301">
        <v>833165221</v>
      </c>
      <c r="AW13" s="65"/>
      <c r="AX13" s="723"/>
      <c r="AZ13" s="298">
        <v>1109.8655160000001</v>
      </c>
      <c r="BA13" s="7395">
        <v>986.1</v>
      </c>
      <c r="BB13" s="57"/>
      <c r="BC13" s="8167">
        <f>BA13/AZ13</f>
        <v>0.88848602446352609</v>
      </c>
      <c r="BD13" s="272"/>
      <c r="BE13" s="62">
        <v>1240.0450880000001</v>
      </c>
      <c r="BF13" s="106"/>
      <c r="BG13" s="301">
        <v>1228.697406</v>
      </c>
      <c r="BH13" s="8167">
        <f t="shared" ref="BH13:BH27" si="1">BG13/BE13</f>
        <v>0.99084897629141688</v>
      </c>
    </row>
    <row r="14" spans="1:60" ht="14.75" customHeight="1" x14ac:dyDescent="0.35">
      <c r="A14" s="9153"/>
      <c r="B14" s="75"/>
      <c r="C14" s="755" t="s">
        <v>465</v>
      </c>
      <c r="E14" s="462"/>
      <c r="F14" s="756"/>
      <c r="G14" s="745"/>
      <c r="H14" s="757"/>
      <c r="I14" s="758"/>
      <c r="J14" s="754"/>
      <c r="K14" s="745"/>
      <c r="L14" s="746"/>
      <c r="M14" s="749"/>
      <c r="N14" s="80"/>
      <c r="O14" s="62"/>
      <c r="P14" s="63"/>
      <c r="Q14" s="789"/>
      <c r="R14" s="73">
        <f>IF(O14=0,0,P14/O14)</f>
        <v>0</v>
      </c>
      <c r="S14" s="80"/>
      <c r="T14" s="79"/>
      <c r="U14" s="106"/>
      <c r="V14" s="66">
        <f>T14*R14</f>
        <v>0</v>
      </c>
      <c r="W14" s="80"/>
      <c r="X14" s="723"/>
      <c r="Z14" s="79"/>
      <c r="AA14" s="106"/>
      <c r="AB14" s="66">
        <f>Z14*X14</f>
        <v>0</v>
      </c>
      <c r="AC14" s="66"/>
      <c r="AD14" s="723"/>
      <c r="AF14" s="66">
        <f>AD14*AB14</f>
        <v>0</v>
      </c>
      <c r="AG14" s="106"/>
      <c r="AH14" s="80"/>
      <c r="AI14" s="79"/>
      <c r="AJ14" s="106"/>
      <c r="AK14" s="4920"/>
      <c r="AL14" s="80"/>
      <c r="AM14" s="723"/>
      <c r="AO14" s="78"/>
      <c r="AP14" s="4874"/>
      <c r="AQ14" s="57"/>
      <c r="AR14" s="6761"/>
      <c r="AS14" s="1"/>
      <c r="AT14" s="6762"/>
      <c r="AU14" s="106"/>
      <c r="AV14" s="1553"/>
      <c r="AW14" s="80"/>
      <c r="AX14" s="723"/>
      <c r="AZ14" s="588"/>
      <c r="BA14" s="7397"/>
      <c r="BB14" s="57"/>
      <c r="BC14" s="8167"/>
      <c r="BD14" s="1"/>
      <c r="BE14" s="6762"/>
      <c r="BF14" s="106"/>
      <c r="BG14" s="1553"/>
      <c r="BH14" s="8167"/>
    </row>
    <row r="15" spans="1:60" ht="12.75" customHeight="1" x14ac:dyDescent="0.35">
      <c r="A15" s="9153"/>
      <c r="B15" s="85"/>
      <c r="C15" s="762" t="s">
        <v>466</v>
      </c>
      <c r="E15" s="223"/>
      <c r="F15" s="763">
        <v>20800961301.733765</v>
      </c>
      <c r="G15" s="745"/>
      <c r="H15" s="764">
        <f>SUM(H12:H13)</f>
        <v>26230279074</v>
      </c>
      <c r="I15" s="765">
        <f>(24745.46)*1000000</f>
        <v>24745460000</v>
      </c>
      <c r="J15" s="766">
        <f>IF(H15=0,0,I15/H15)</f>
        <v>0.94339293646815281</v>
      </c>
      <c r="K15" s="745"/>
      <c r="L15" s="764">
        <v>30526225646</v>
      </c>
      <c r="M15" s="767">
        <f>22724645707*12/9</f>
        <v>30299527609.333332</v>
      </c>
      <c r="N15" s="80"/>
      <c r="O15" s="89">
        <f>30526.23*1000000</f>
        <v>30526230000</v>
      </c>
      <c r="P15" s="90">
        <f>32040.41*1000000</f>
        <v>32040410000</v>
      </c>
      <c r="Q15" s="1000" t="s">
        <v>2261</v>
      </c>
      <c r="R15" s="91">
        <f>IF(O15=0,0,P15/O15)</f>
        <v>1.0496025876762378</v>
      </c>
      <c r="S15" s="80"/>
      <c r="T15" s="90">
        <v>38038053009</v>
      </c>
      <c r="U15" s="216" t="s">
        <v>2262</v>
      </c>
      <c r="V15" s="92">
        <v>33678172530</v>
      </c>
      <c r="W15" s="80"/>
      <c r="X15" s="722"/>
      <c r="Z15" s="90">
        <v>44961635655</v>
      </c>
      <c r="AA15" s="216" t="s">
        <v>2268</v>
      </c>
      <c r="AB15" s="92">
        <v>41254261237</v>
      </c>
      <c r="AC15" s="66"/>
      <c r="AD15" s="722" t="s">
        <v>2270</v>
      </c>
      <c r="AF15" s="92">
        <v>41254261237</v>
      </c>
      <c r="AG15" s="216" t="s">
        <v>2268</v>
      </c>
      <c r="AH15" s="80"/>
      <c r="AI15" s="90">
        <f>SUM(AI12:AI13)</f>
        <v>49401041562</v>
      </c>
      <c r="AJ15" s="216" t="s">
        <v>2265</v>
      </c>
      <c r="AK15" s="4921">
        <f>SUM(AK12:AK13)</f>
        <v>49059044226</v>
      </c>
      <c r="AL15" s="80"/>
      <c r="AM15" s="722"/>
      <c r="AO15" s="89">
        <f>SUM(AO12:AO13)</f>
        <v>49401041562</v>
      </c>
      <c r="AP15" s="672">
        <v>46807862869</v>
      </c>
      <c r="AQ15" s="98" t="s">
        <v>2266</v>
      </c>
      <c r="AR15" s="6763">
        <f t="shared" si="0"/>
        <v>0.9475076109529903</v>
      </c>
      <c r="AS15" s="274"/>
      <c r="AT15" s="1776">
        <v>58904864627</v>
      </c>
      <c r="AU15" s="216"/>
      <c r="AV15" s="1778">
        <v>54565043013</v>
      </c>
      <c r="AW15" s="80"/>
      <c r="AX15" s="722"/>
      <c r="AZ15" s="590">
        <f>AZ12+AZ13</f>
        <v>58896.530229999997</v>
      </c>
      <c r="BA15" s="7398">
        <f>BA12+BA13</f>
        <v>53379.6</v>
      </c>
      <c r="BB15" s="98"/>
      <c r="BC15" s="8168">
        <f>BA15/AZ15</f>
        <v>0.90632843380661754</v>
      </c>
      <c r="BD15" s="274"/>
      <c r="BE15" s="1776">
        <v>67071.159908000001</v>
      </c>
      <c r="BF15" s="216"/>
      <c r="BG15" s="1778">
        <v>55128.435324999999</v>
      </c>
      <c r="BH15" s="8167">
        <f t="shared" si="1"/>
        <v>0.82193949531539978</v>
      </c>
    </row>
    <row r="16" spans="1:60" x14ac:dyDescent="0.35">
      <c r="A16" s="9153"/>
      <c r="B16" s="100" t="s">
        <v>468</v>
      </c>
      <c r="C16" s="771"/>
      <c r="D16" s="729"/>
      <c r="E16" s="729"/>
      <c r="F16" s="772"/>
      <c r="G16" s="729"/>
      <c r="H16" s="773"/>
      <c r="I16" s="774"/>
      <c r="J16" s="775"/>
      <c r="K16" s="729"/>
      <c r="L16" s="773"/>
      <c r="M16" s="776"/>
      <c r="N16" s="43"/>
      <c r="O16" s="102"/>
      <c r="P16" s="106"/>
      <c r="Q16" s="106"/>
      <c r="R16" s="104"/>
      <c r="S16" s="43"/>
      <c r="T16" s="777"/>
      <c r="U16" s="106"/>
      <c r="V16" s="105"/>
      <c r="W16" s="43"/>
      <c r="X16" s="718"/>
      <c r="Z16" s="777"/>
      <c r="AA16" s="106"/>
      <c r="AB16" s="105"/>
      <c r="AC16" s="66"/>
      <c r="AD16" s="718"/>
      <c r="AF16" s="105"/>
      <c r="AG16" s="106"/>
      <c r="AH16" s="43"/>
      <c r="AI16" s="777"/>
      <c r="AJ16" s="106"/>
      <c r="AK16" s="4922"/>
      <c r="AL16" s="43"/>
      <c r="AM16" s="718"/>
      <c r="AO16" s="777"/>
      <c r="AP16" s="103"/>
      <c r="AQ16" s="231" t="s">
        <v>2271</v>
      </c>
      <c r="AR16" s="1927"/>
      <c r="AS16" s="43"/>
      <c r="AT16" s="777"/>
      <c r="AU16" s="106" t="s">
        <v>2272</v>
      </c>
      <c r="AV16" s="4922"/>
      <c r="AW16" s="43"/>
      <c r="AX16" s="718"/>
      <c r="AZ16" s="777"/>
      <c r="BA16" s="103"/>
      <c r="BB16" s="231"/>
      <c r="BC16" s="1927"/>
      <c r="BD16" s="43"/>
      <c r="BE16" s="777"/>
      <c r="BF16" s="106"/>
      <c r="BG16" s="4922"/>
      <c r="BH16" s="1927"/>
    </row>
    <row r="17" spans="1:60" x14ac:dyDescent="0.35">
      <c r="A17" s="9153"/>
      <c r="B17" s="6082"/>
      <c r="C17" s="778" t="s">
        <v>470</v>
      </c>
      <c r="F17" s="779">
        <f>F23-SUM(F18:F21)</f>
        <v>17943608309.204742</v>
      </c>
      <c r="H17" s="780">
        <f>H23-SUM(H18:H21)</f>
        <v>19908071025</v>
      </c>
      <c r="I17" s="781">
        <f>I23-SUM(I18:I21)</f>
        <v>23015870000</v>
      </c>
      <c r="J17" s="1003">
        <f>IF(H17=0,0,I17/H17)</f>
        <v>1.156107488821861</v>
      </c>
      <c r="L17" s="780">
        <f>L23-SUM(L18:L21)</f>
        <v>22223521371</v>
      </c>
      <c r="M17" s="783">
        <f>M23-(M18+M21)</f>
        <v>21757584972</v>
      </c>
      <c r="O17" s="112"/>
      <c r="P17" s="115"/>
      <c r="Q17" s="789"/>
      <c r="R17" s="64">
        <f>IF(O17=0,0,P17/O17)</f>
        <v>0</v>
      </c>
      <c r="T17" s="117">
        <f>T23-T18-T21</f>
        <v>26337625924</v>
      </c>
      <c r="U17" s="789" t="s">
        <v>2273</v>
      </c>
      <c r="V17" s="66">
        <f>V23-V18-V21</f>
        <v>32676505777</v>
      </c>
      <c r="X17" s="723"/>
      <c r="Z17" s="117">
        <f>Z23-Z18-Z21</f>
        <v>33326561203</v>
      </c>
      <c r="AA17" s="789"/>
      <c r="AB17" s="66">
        <f>Z17*X17</f>
        <v>0</v>
      </c>
      <c r="AC17" s="66"/>
      <c r="AD17" s="723"/>
      <c r="AF17" s="66">
        <f>AD17*AB17</f>
        <v>0</v>
      </c>
      <c r="AG17" s="789"/>
      <c r="AH17" s="1"/>
      <c r="AI17" s="117">
        <f>AI23-AI21-AI18</f>
        <v>37707580781</v>
      </c>
      <c r="AJ17" s="789" t="s">
        <v>2272</v>
      </c>
      <c r="AK17" s="482">
        <f>AK23-AK21-AK18</f>
        <v>37686791035</v>
      </c>
      <c r="AL17" s="1"/>
      <c r="AM17" s="723"/>
      <c r="AO17" s="117">
        <f>AO23-AO21-AO20-AO19-AO18</f>
        <v>37707580781</v>
      </c>
      <c r="AP17" s="6764">
        <f>AP23-AP22-AP21-AP18</f>
        <v>42147089928</v>
      </c>
      <c r="AQ17" s="57" t="s">
        <v>2267</v>
      </c>
      <c r="AR17" s="6761">
        <f t="shared" si="0"/>
        <v>1.11773518892087</v>
      </c>
      <c r="AS17" s="1"/>
      <c r="AT17" s="117">
        <f>AT23-AT21-AT19-AT20-AT18</f>
        <v>45634043779</v>
      </c>
      <c r="AU17" s="789" t="s">
        <v>2274</v>
      </c>
      <c r="AV17" s="482">
        <f>AV23-AV21-AV19-AV20-AV18</f>
        <v>44560263883</v>
      </c>
      <c r="AW17" s="1"/>
      <c r="AX17" s="723"/>
      <c r="AZ17" s="595">
        <f>AZ23-AZ19-AZ20-AZ21</f>
        <v>46572.171700000006</v>
      </c>
      <c r="BA17" s="8169">
        <f>BA23-BA19-BA20-BA21</f>
        <v>41934.961787000007</v>
      </c>
      <c r="BB17" s="57"/>
      <c r="BC17" s="8167">
        <f>BA17/AZ17</f>
        <v>0.90042959682294565</v>
      </c>
      <c r="BD17" s="1"/>
      <c r="BE17" s="117">
        <f>BE23-BE21-BE20-BE19</f>
        <v>53557.339783000003</v>
      </c>
      <c r="BF17" s="789"/>
      <c r="BG17" s="482">
        <f>BG23-BG21-BG20-BG19</f>
        <v>59718.298157999991</v>
      </c>
      <c r="BH17" s="8167">
        <f t="shared" si="1"/>
        <v>1.1150348094203808</v>
      </c>
    </row>
    <row r="18" spans="1:60" x14ac:dyDescent="0.35">
      <c r="A18" s="9153"/>
      <c r="B18" s="6082"/>
      <c r="C18" s="778" t="s">
        <v>1624</v>
      </c>
      <c r="F18" s="779">
        <v>4544127700</v>
      </c>
      <c r="H18" s="785">
        <v>5990232857</v>
      </c>
      <c r="I18" s="786">
        <f>(6095.69)*1000000</f>
        <v>6095690000</v>
      </c>
      <c r="J18" s="1003"/>
      <c r="L18" s="785">
        <v>6356966127</v>
      </c>
      <c r="M18" s="783">
        <f>4787600458*12/9</f>
        <v>6383467277.333333</v>
      </c>
      <c r="O18" s="117">
        <f>6401.54*1000000</f>
        <v>6401540000</v>
      </c>
      <c r="P18" s="115">
        <f>7133.56*1000000</f>
        <v>7133560000</v>
      </c>
      <c r="Q18" s="789" t="s">
        <v>2261</v>
      </c>
      <c r="R18" s="64">
        <f>IF(O18=0,0,P18/O18)</f>
        <v>1.1143506093846167</v>
      </c>
      <c r="T18" s="117">
        <v>6676877262</v>
      </c>
      <c r="U18" s="789" t="s">
        <v>2273</v>
      </c>
      <c r="V18" s="66">
        <v>7678097236</v>
      </c>
      <c r="X18" s="723"/>
      <c r="Z18" s="117">
        <f>SUM(Z19:Z20)</f>
        <v>7127711771</v>
      </c>
      <c r="AA18" s="789" t="s">
        <v>2268</v>
      </c>
      <c r="AB18" s="66">
        <v>4597361170</v>
      </c>
      <c r="AC18" s="66"/>
      <c r="AD18" s="723"/>
      <c r="AF18" s="66">
        <v>4597361170</v>
      </c>
      <c r="AG18" s="789" t="s">
        <v>2268</v>
      </c>
      <c r="AH18" s="1"/>
      <c r="AI18" s="117">
        <f>AI20+AI19</f>
        <v>6896301891</v>
      </c>
      <c r="AJ18" s="789" t="s">
        <v>2272</v>
      </c>
      <c r="AK18" s="482">
        <f>AK20+AK19</f>
        <v>6393327238</v>
      </c>
      <c r="AL18" s="1"/>
      <c r="AM18" s="723"/>
      <c r="AO18" s="117"/>
      <c r="AP18" s="6765"/>
      <c r="AQ18" s="57"/>
      <c r="AR18" s="6761"/>
      <c r="AS18" s="1"/>
      <c r="AT18" s="117"/>
      <c r="AU18" s="789"/>
      <c r="AV18" s="482"/>
      <c r="AW18" s="1"/>
      <c r="AX18" s="723"/>
      <c r="AZ18" s="595"/>
      <c r="BA18" s="8170"/>
      <c r="BB18" s="57"/>
      <c r="BC18" s="8167"/>
      <c r="BD18" s="1"/>
      <c r="BE18" s="117"/>
      <c r="BF18" s="789"/>
      <c r="BG18" s="482"/>
      <c r="BH18" s="8167"/>
    </row>
    <row r="19" spans="1:60" x14ac:dyDescent="0.35">
      <c r="A19" s="9153"/>
      <c r="B19" s="6082"/>
      <c r="C19" s="778" t="s">
        <v>2275</v>
      </c>
      <c r="F19" s="779"/>
      <c r="H19" s="785"/>
      <c r="I19" s="786"/>
      <c r="J19" s="1003"/>
      <c r="L19" s="785"/>
      <c r="M19" s="783"/>
      <c r="O19" s="117"/>
      <c r="P19" s="115"/>
      <c r="Q19" s="789"/>
      <c r="R19" s="64"/>
      <c r="T19" s="117">
        <v>1783212516</v>
      </c>
      <c r="U19" s="789" t="s">
        <v>2273</v>
      </c>
      <c r="V19" s="66">
        <v>2048531384</v>
      </c>
      <c r="X19" s="723"/>
      <c r="Z19" s="117">
        <v>2779694661</v>
      </c>
      <c r="AA19" s="789"/>
      <c r="AB19" s="66"/>
      <c r="AC19" s="66"/>
      <c r="AD19" s="723"/>
      <c r="AF19" s="66"/>
      <c r="AG19" s="789"/>
      <c r="AH19" s="1"/>
      <c r="AI19" s="117">
        <v>3339114808</v>
      </c>
      <c r="AJ19" s="789" t="s">
        <v>2272</v>
      </c>
      <c r="AK19" s="482">
        <v>2674945808</v>
      </c>
      <c r="AL19" s="1"/>
      <c r="AM19" s="723"/>
      <c r="AO19" s="117">
        <v>3339114808</v>
      </c>
      <c r="AP19" s="6766">
        <v>1470747243</v>
      </c>
      <c r="AQ19" s="57" t="s">
        <v>2276</v>
      </c>
      <c r="AR19" s="6761">
        <f t="shared" si="0"/>
        <v>0.44046022001888591</v>
      </c>
      <c r="AS19" s="1"/>
      <c r="AT19" s="117">
        <v>3222211330</v>
      </c>
      <c r="AU19" s="119" t="s">
        <v>2277</v>
      </c>
      <c r="AV19" s="482">
        <v>2217211329</v>
      </c>
      <c r="AW19" s="1"/>
      <c r="AX19" s="723"/>
      <c r="AZ19" s="595">
        <v>3617.2113290000002</v>
      </c>
      <c r="BA19" s="8170">
        <v>2528.5043329999999</v>
      </c>
      <c r="BB19" s="57" t="s">
        <v>2278</v>
      </c>
      <c r="BC19" s="8167">
        <f>BA19/AZ19</f>
        <v>0.69902035104457672</v>
      </c>
      <c r="BD19" s="1"/>
      <c r="BE19" s="117">
        <v>3775.5385339999998</v>
      </c>
      <c r="BF19" s="119"/>
      <c r="BG19" s="482">
        <v>4811.2140390000004</v>
      </c>
      <c r="BH19" s="8167">
        <f t="shared" si="1"/>
        <v>1.2743119943481951</v>
      </c>
    </row>
    <row r="20" spans="1:60" x14ac:dyDescent="0.35">
      <c r="A20" s="9153"/>
      <c r="B20" s="6082"/>
      <c r="C20" s="778" t="s">
        <v>2279</v>
      </c>
      <c r="F20" s="779"/>
      <c r="H20" s="785"/>
      <c r="I20" s="786"/>
      <c r="J20" s="1003"/>
      <c r="L20" s="785"/>
      <c r="M20" s="783"/>
      <c r="O20" s="117"/>
      <c r="P20" s="115"/>
      <c r="Q20" s="789"/>
      <c r="R20" s="64"/>
      <c r="T20" s="117">
        <v>4893664746</v>
      </c>
      <c r="U20" s="789" t="s">
        <v>2273</v>
      </c>
      <c r="V20" s="66">
        <v>5629565852</v>
      </c>
      <c r="X20" s="723"/>
      <c r="Z20" s="117">
        <v>4348017110</v>
      </c>
      <c r="AA20" s="789"/>
      <c r="AB20" s="66"/>
      <c r="AC20" s="66"/>
      <c r="AD20" s="723"/>
      <c r="AF20" s="66"/>
      <c r="AG20" s="789"/>
      <c r="AH20" s="1"/>
      <c r="AI20" s="117">
        <v>3557187083</v>
      </c>
      <c r="AJ20" s="789" t="s">
        <v>2272</v>
      </c>
      <c r="AK20" s="482">
        <v>3718381430</v>
      </c>
      <c r="AL20" s="1"/>
      <c r="AM20" s="723"/>
      <c r="AO20" s="117">
        <v>3557187083</v>
      </c>
      <c r="AP20" s="6766">
        <v>4009011859</v>
      </c>
      <c r="AQ20" s="57" t="s">
        <v>2276</v>
      </c>
      <c r="AR20" s="6761">
        <f t="shared" si="0"/>
        <v>1.1270174341291457</v>
      </c>
      <c r="AS20" s="1"/>
      <c r="AT20" s="117">
        <v>5308805917</v>
      </c>
      <c r="AU20" s="119" t="s">
        <v>2280</v>
      </c>
      <c r="AV20" s="482">
        <v>3817240249</v>
      </c>
      <c r="AW20" s="1"/>
      <c r="AX20" s="723"/>
      <c r="AZ20" s="595">
        <v>4093.940544</v>
      </c>
      <c r="BA20" s="8170">
        <v>3623.3338800000001</v>
      </c>
      <c r="BB20" s="57" t="s">
        <v>2278</v>
      </c>
      <c r="BC20" s="8167">
        <f>BA20/AZ20</f>
        <v>0.88504799741419993</v>
      </c>
      <c r="BD20" s="1"/>
      <c r="BE20" s="117">
        <v>5484.5023359999996</v>
      </c>
      <c r="BF20" s="119"/>
      <c r="BG20" s="482">
        <v>7271.6590919999999</v>
      </c>
      <c r="BH20" s="8167">
        <f t="shared" si="1"/>
        <v>1.3258557744189829</v>
      </c>
    </row>
    <row r="21" spans="1:60" x14ac:dyDescent="0.35">
      <c r="A21" s="9153"/>
      <c r="B21" s="6082"/>
      <c r="C21" s="787" t="s">
        <v>2281</v>
      </c>
      <c r="F21" s="788">
        <v>4443528723.8095236</v>
      </c>
      <c r="H21" s="785">
        <v>7884706682</v>
      </c>
      <c r="I21" s="786">
        <f>7087.87*1000000</f>
        <v>7087870000</v>
      </c>
      <c r="J21" s="1003">
        <f>IF(H21=0,0,I21/H21)</f>
        <v>0.89893895687722936</v>
      </c>
      <c r="L21" s="785">
        <v>9349795000</v>
      </c>
      <c r="M21" s="783">
        <f>6384988900*12/9</f>
        <v>8513318533.333333</v>
      </c>
      <c r="O21" s="117">
        <f>9349.8*1000000</f>
        <v>9349800000</v>
      </c>
      <c r="P21" s="115">
        <f>9075.34*1000000</f>
        <v>9075340000</v>
      </c>
      <c r="Q21" s="789" t="s">
        <v>2261</v>
      </c>
      <c r="R21" s="64">
        <f>IF(O21=0,0,P21/O21)</f>
        <v>0.97064536139810476</v>
      </c>
      <c r="T21" s="117">
        <v>10490600361</v>
      </c>
      <c r="U21" s="789" t="s">
        <v>2273</v>
      </c>
      <c r="V21" s="66">
        <v>10770439587</v>
      </c>
      <c r="X21" s="723"/>
      <c r="Z21" s="117">
        <v>13940521981</v>
      </c>
      <c r="AA21" s="789" t="s">
        <v>2268</v>
      </c>
      <c r="AB21" s="66">
        <v>13283516710</v>
      </c>
      <c r="AC21" s="66"/>
      <c r="AD21" s="723"/>
      <c r="AF21" s="66">
        <v>13283516710</v>
      </c>
      <c r="AG21" s="789" t="s">
        <v>2268</v>
      </c>
      <c r="AH21" s="1"/>
      <c r="AI21" s="117">
        <v>14909848896</v>
      </c>
      <c r="AJ21" s="789" t="s">
        <v>2272</v>
      </c>
      <c r="AK21" s="482">
        <v>15091615959</v>
      </c>
      <c r="AL21" s="1"/>
      <c r="AM21" s="723"/>
      <c r="AO21" s="117">
        <v>14909848896</v>
      </c>
      <c r="AP21" s="6766">
        <v>14917667286</v>
      </c>
      <c r="AQ21" s="57" t="s">
        <v>2276</v>
      </c>
      <c r="AR21" s="6761">
        <f t="shared" si="0"/>
        <v>1.0005243775476556</v>
      </c>
      <c r="AS21" s="1"/>
      <c r="AT21" s="117">
        <v>18545707469</v>
      </c>
      <c r="AU21" s="119" t="s">
        <v>2282</v>
      </c>
      <c r="AV21" s="482">
        <v>19595109697</v>
      </c>
      <c r="AW21" s="1"/>
      <c r="AX21" s="723"/>
      <c r="AZ21" s="598">
        <v>19598.376426999999</v>
      </c>
      <c r="BA21" s="8170">
        <v>19769.3</v>
      </c>
      <c r="BB21" s="57"/>
      <c r="BC21" s="8167">
        <f>BA21/AZ21</f>
        <v>1.0087213128922519</v>
      </c>
      <c r="BD21" s="1"/>
      <c r="BE21" s="117">
        <v>21691.482220000002</v>
      </c>
      <c r="BF21" s="119"/>
      <c r="BG21" s="482">
        <v>24599.258892999998</v>
      </c>
      <c r="BH21" s="8167">
        <f t="shared" si="1"/>
        <v>1.1340515435279459</v>
      </c>
    </row>
    <row r="22" spans="1:60" x14ac:dyDescent="0.35">
      <c r="A22" s="9153"/>
      <c r="B22" s="6082"/>
      <c r="C22" s="787" t="s">
        <v>478</v>
      </c>
      <c r="F22" s="790"/>
      <c r="H22" s="791"/>
      <c r="I22" s="792"/>
      <c r="J22" s="1003"/>
      <c r="L22" s="785"/>
      <c r="M22" s="783"/>
      <c r="O22" s="117"/>
      <c r="P22" s="123"/>
      <c r="Q22" s="789"/>
      <c r="R22" s="64">
        <f>IF(O22=0,0,P22/O22)</f>
        <v>0</v>
      </c>
      <c r="T22" s="114"/>
      <c r="U22" s="789"/>
      <c r="V22" s="66">
        <f>T22*R22</f>
        <v>0</v>
      </c>
      <c r="X22" s="723"/>
      <c r="Z22" s="114"/>
      <c r="AA22" s="789"/>
      <c r="AB22" s="66">
        <f>Z22*X22</f>
        <v>0</v>
      </c>
      <c r="AC22" s="66"/>
      <c r="AD22" s="723"/>
      <c r="AF22" s="66">
        <f>AD22*AB22</f>
        <v>0</v>
      </c>
      <c r="AG22" s="789"/>
      <c r="AH22" s="1"/>
      <c r="AI22" s="114"/>
      <c r="AJ22" s="789"/>
      <c r="AK22" s="482"/>
      <c r="AL22" s="1"/>
      <c r="AM22" s="723"/>
      <c r="AO22" s="114"/>
      <c r="AP22" s="6766">
        <f>AM22*AK22</f>
        <v>0</v>
      </c>
      <c r="AQ22" s="57"/>
      <c r="AR22" s="6761"/>
      <c r="AS22" s="1"/>
      <c r="AT22" s="114"/>
      <c r="AU22" s="789"/>
      <c r="AV22" s="482"/>
      <c r="AW22" s="1"/>
      <c r="AX22" s="723"/>
      <c r="AZ22" s="598"/>
      <c r="BA22" s="8170"/>
      <c r="BB22" s="57"/>
      <c r="BC22" s="8167"/>
      <c r="BD22" s="1"/>
      <c r="BE22" s="114"/>
      <c r="BF22" s="789"/>
      <c r="BG22" s="482"/>
      <c r="BH22" s="8167"/>
    </row>
    <row r="23" spans="1:60" x14ac:dyDescent="0.35">
      <c r="A23" s="9153"/>
      <c r="B23" s="128"/>
      <c r="C23" s="794" t="s">
        <v>479</v>
      </c>
      <c r="E23" s="729"/>
      <c r="F23" s="795">
        <v>26931264733.014267</v>
      </c>
      <c r="H23" s="796">
        <v>33783010564</v>
      </c>
      <c r="I23" s="797">
        <f>(36199.43)*1000000</f>
        <v>36199430000</v>
      </c>
      <c r="J23" s="1004">
        <f>IF(H23=0,0,I23/H23)</f>
        <v>1.0715276523808388</v>
      </c>
      <c r="L23" s="796">
        <v>37930282498</v>
      </c>
      <c r="M23" s="799">
        <f>27490778087*12/9</f>
        <v>36654370782.666664</v>
      </c>
      <c r="O23" s="131">
        <f>40298.22*1000000</f>
        <v>40298220000</v>
      </c>
      <c r="P23" s="132">
        <f>41146.13*1000000</f>
        <v>41146130000</v>
      </c>
      <c r="Q23" s="789" t="s">
        <v>2261</v>
      </c>
      <c r="R23" s="133">
        <f>IF(O23=0,0,P23/O23)</f>
        <v>1.0210408797212382</v>
      </c>
      <c r="T23" s="131">
        <v>43505103547</v>
      </c>
      <c r="U23" s="789" t="s">
        <v>2273</v>
      </c>
      <c r="V23" s="92">
        <v>51125042600</v>
      </c>
      <c r="X23" s="723"/>
      <c r="Z23" s="131">
        <v>54394794955</v>
      </c>
      <c r="AA23" s="789" t="s">
        <v>2268</v>
      </c>
      <c r="AB23" s="92">
        <v>51416499435</v>
      </c>
      <c r="AC23" s="66"/>
      <c r="AD23" s="723"/>
      <c r="AF23" s="92">
        <v>51416499435</v>
      </c>
      <c r="AG23" s="789" t="s">
        <v>2268</v>
      </c>
      <c r="AH23" s="1"/>
      <c r="AI23" s="131">
        <v>59513731568</v>
      </c>
      <c r="AJ23" s="789" t="s">
        <v>2272</v>
      </c>
      <c r="AK23" s="485">
        <v>59171734232</v>
      </c>
      <c r="AL23" s="1"/>
      <c r="AM23" s="723"/>
      <c r="AO23" s="131">
        <v>59513731568</v>
      </c>
      <c r="AP23" s="6767">
        <v>57064757214</v>
      </c>
      <c r="AQ23" s="98" t="s">
        <v>2276</v>
      </c>
      <c r="AR23" s="6763">
        <f t="shared" si="0"/>
        <v>0.95885026380505445</v>
      </c>
      <c r="AS23" s="1"/>
      <c r="AT23" s="131">
        <v>72710768495</v>
      </c>
      <c r="AU23" s="119" t="s">
        <v>479</v>
      </c>
      <c r="AV23" s="485">
        <v>70189825158</v>
      </c>
      <c r="AW23" s="1"/>
      <c r="AX23" s="723"/>
      <c r="AZ23" s="602">
        <v>73881.7</v>
      </c>
      <c r="BA23" s="8171">
        <v>67856.100000000006</v>
      </c>
      <c r="BB23" s="98"/>
      <c r="BC23" s="8168">
        <f>BA23/AZ23</f>
        <v>0.91844259133181838</v>
      </c>
      <c r="BD23" s="1"/>
      <c r="BE23" s="131">
        <v>84508.862873000005</v>
      </c>
      <c r="BF23" s="119"/>
      <c r="BG23" s="485">
        <v>96400.430181999996</v>
      </c>
      <c r="BH23" s="8167">
        <f t="shared" si="1"/>
        <v>1.1407138482844179</v>
      </c>
    </row>
    <row r="24" spans="1:60" ht="25.5" customHeight="1" x14ac:dyDescent="0.35">
      <c r="A24" s="9153"/>
      <c r="B24" s="139" t="s">
        <v>480</v>
      </c>
      <c r="C24" s="771"/>
      <c r="D24" s="801"/>
      <c r="F24" s="802"/>
      <c r="G24" s="801"/>
      <c r="H24" s="803"/>
      <c r="I24" s="804" t="s">
        <v>2283</v>
      </c>
      <c r="J24" s="1005"/>
      <c r="K24" s="801"/>
      <c r="L24" s="147"/>
      <c r="M24" s="806"/>
      <c r="N24" s="141"/>
      <c r="O24" s="144"/>
      <c r="P24" s="145"/>
      <c r="Q24" s="145"/>
      <c r="R24" s="146"/>
      <c r="S24" s="141"/>
      <c r="T24" s="151"/>
      <c r="U24" s="145"/>
      <c r="V24" s="148"/>
      <c r="W24" s="141"/>
      <c r="X24" s="718"/>
      <c r="Z24" s="151"/>
      <c r="AA24" s="145"/>
      <c r="AB24" s="148"/>
      <c r="AC24" s="157"/>
      <c r="AD24" s="718"/>
      <c r="AF24" s="148"/>
      <c r="AG24" s="145"/>
      <c r="AH24" s="141"/>
      <c r="AI24" s="151"/>
      <c r="AJ24" s="145"/>
      <c r="AK24" s="148"/>
      <c r="AL24" s="141"/>
      <c r="AM24" s="718"/>
      <c r="AO24" s="151"/>
      <c r="AP24" s="148"/>
      <c r="AQ24" s="231" t="s">
        <v>2271</v>
      </c>
      <c r="AR24" s="908"/>
      <c r="AS24" s="141"/>
      <c r="AT24" s="151"/>
      <c r="AU24" s="3724" t="s">
        <v>2272</v>
      </c>
      <c r="AV24" s="148"/>
      <c r="AW24" s="141"/>
      <c r="AX24" s="718"/>
      <c r="AZ24" s="151"/>
      <c r="BA24" s="148"/>
      <c r="BB24" s="231"/>
      <c r="BC24" s="908"/>
      <c r="BD24" s="141"/>
      <c r="BE24" s="151"/>
      <c r="BF24" s="3724"/>
      <c r="BG24" s="148"/>
      <c r="BH24" s="908"/>
    </row>
    <row r="25" spans="1:60" x14ac:dyDescent="0.35">
      <c r="A25" s="9153"/>
      <c r="B25" s="6082"/>
      <c r="C25" s="778" t="s">
        <v>483</v>
      </c>
      <c r="F25" s="788">
        <v>9720564132.6249504</v>
      </c>
      <c r="H25" s="785">
        <v>10793436075</v>
      </c>
      <c r="I25" s="786">
        <v>11159715698</v>
      </c>
      <c r="J25" s="1003">
        <f>IF(H25=0,0,I25/H25)</f>
        <v>1.0339354048566967</v>
      </c>
      <c r="L25" s="807">
        <v>12312909378</v>
      </c>
      <c r="M25" s="808">
        <f>8936852599*12/9</f>
        <v>11915803465.333334</v>
      </c>
      <c r="O25" s="117">
        <f>12312.91*1000000</f>
        <v>12312910000</v>
      </c>
      <c r="P25" s="115">
        <f>12111.18*1000000</f>
        <v>12111180000</v>
      </c>
      <c r="Q25" s="789" t="s">
        <v>2261</v>
      </c>
      <c r="R25" s="64">
        <f>IF(O25=0,0,P25/O25)</f>
        <v>0.983616383129577</v>
      </c>
      <c r="T25" s="156">
        <v>14023994590</v>
      </c>
      <c r="U25" s="789" t="s">
        <v>2273</v>
      </c>
      <c r="V25" s="157">
        <v>14164789917</v>
      </c>
      <c r="X25" s="723"/>
      <c r="Z25" s="156">
        <v>16005515552</v>
      </c>
      <c r="AA25" s="789" t="s">
        <v>2268</v>
      </c>
      <c r="AB25" s="157">
        <v>17031585880</v>
      </c>
      <c r="AC25" s="157"/>
      <c r="AD25" s="723"/>
      <c r="AF25" s="157">
        <v>17031585880</v>
      </c>
      <c r="AG25" s="789" t="s">
        <v>2268</v>
      </c>
      <c r="AH25" s="1"/>
      <c r="AI25" s="156">
        <v>19595126198</v>
      </c>
      <c r="AJ25" s="789"/>
      <c r="AK25" s="611">
        <v>19728998472</v>
      </c>
      <c r="AL25" s="1"/>
      <c r="AM25" s="723"/>
      <c r="AO25" s="156">
        <v>19595126198</v>
      </c>
      <c r="AP25" s="649">
        <v>19835297769</v>
      </c>
      <c r="AQ25" s="119" t="s">
        <v>2276</v>
      </c>
      <c r="AR25" s="6761">
        <f t="shared" si="0"/>
        <v>1.0122566993737714</v>
      </c>
      <c r="AS25" s="1"/>
      <c r="AT25" s="156">
        <v>22837993208</v>
      </c>
      <c r="AU25" s="789"/>
      <c r="AV25" s="611">
        <v>22453830752</v>
      </c>
      <c r="AW25" s="1"/>
      <c r="AX25" s="723"/>
      <c r="AZ25" s="156">
        <v>22837.993208</v>
      </c>
      <c r="BA25" s="649">
        <v>22219</v>
      </c>
      <c r="BB25" s="119"/>
      <c r="BC25" s="8167">
        <f>BA25/AZ25</f>
        <v>0.97289633978071377</v>
      </c>
      <c r="BD25" s="1"/>
      <c r="BE25" s="156">
        <v>27061.783898000001</v>
      </c>
      <c r="BF25" s="789"/>
      <c r="BG25" s="611">
        <v>28268.93489</v>
      </c>
      <c r="BH25" s="8167">
        <f t="shared" si="1"/>
        <v>1.0446072216284756</v>
      </c>
    </row>
    <row r="26" spans="1:60" x14ac:dyDescent="0.35">
      <c r="A26" s="9153"/>
      <c r="B26" s="6082"/>
      <c r="C26" s="778" t="s">
        <v>489</v>
      </c>
      <c r="F26" s="788">
        <v>8538695687.1499996</v>
      </c>
      <c r="H26" s="785">
        <v>9218904568</v>
      </c>
      <c r="I26" s="786">
        <v>9351340000</v>
      </c>
      <c r="J26" s="1003">
        <f>IF(H26=0,0,I26/H26)</f>
        <v>1.0143656365051983</v>
      </c>
      <c r="L26" s="807">
        <v>10286474000</v>
      </c>
      <c r="M26" s="808">
        <f>7659376140*12/9</f>
        <v>10212501520</v>
      </c>
      <c r="O26" s="117"/>
      <c r="P26" s="115"/>
      <c r="Q26" s="789"/>
      <c r="R26" s="64">
        <f>IF(O26=0,0,P26/O26)</f>
        <v>0</v>
      </c>
      <c r="T26" s="156">
        <v>11722807482</v>
      </c>
      <c r="U26" s="789" t="s">
        <v>2273</v>
      </c>
      <c r="V26" s="157">
        <v>12109850439</v>
      </c>
      <c r="X26" s="723"/>
      <c r="Z26" s="156">
        <v>14047426509</v>
      </c>
      <c r="AA26" s="789" t="s">
        <v>2268</v>
      </c>
      <c r="AB26" s="157">
        <v>14646580000</v>
      </c>
      <c r="AC26" s="157"/>
      <c r="AD26" s="723"/>
      <c r="AF26" s="157">
        <v>14646580000</v>
      </c>
      <c r="AG26" s="789" t="s">
        <v>2268</v>
      </c>
      <c r="AH26" s="1"/>
      <c r="AI26" s="156">
        <v>16762297860</v>
      </c>
      <c r="AJ26" s="789"/>
      <c r="AK26" s="611">
        <v>17041871155</v>
      </c>
      <c r="AL26" s="1"/>
      <c r="AM26" s="723"/>
      <c r="AO26" s="156">
        <v>16762297860</v>
      </c>
      <c r="AP26" s="649">
        <v>17485818208</v>
      </c>
      <c r="AQ26" s="119" t="s">
        <v>2276</v>
      </c>
      <c r="AR26" s="6761">
        <f t="shared" si="0"/>
        <v>1.0431635539496373</v>
      </c>
      <c r="AS26" s="1"/>
      <c r="AT26" s="156">
        <v>19436589964</v>
      </c>
      <c r="AU26" s="119" t="s">
        <v>2284</v>
      </c>
      <c r="AV26" s="611">
        <v>19800200523</v>
      </c>
      <c r="AW26" s="1"/>
      <c r="AX26" s="723"/>
      <c r="AZ26" s="156">
        <v>19766.884488</v>
      </c>
      <c r="BA26" s="649">
        <v>19479.3</v>
      </c>
      <c r="BB26" s="119"/>
      <c r="BC26" s="8167">
        <f>BA26/AZ26</f>
        <v>0.98545119802897685</v>
      </c>
      <c r="BD26" s="1"/>
      <c r="BE26" s="156">
        <v>23851.598207999999</v>
      </c>
      <c r="BF26" s="119"/>
      <c r="BG26" s="611">
        <v>25047.385021999999</v>
      </c>
      <c r="BH26" s="8167">
        <f t="shared" si="1"/>
        <v>1.0501344523571139</v>
      </c>
    </row>
    <row r="27" spans="1:60" x14ac:dyDescent="0.35">
      <c r="A27" s="9153"/>
      <c r="B27" s="6082"/>
      <c r="C27" s="778" t="s">
        <v>490</v>
      </c>
      <c r="F27" s="788">
        <v>985478444.67050004</v>
      </c>
      <c r="H27" s="785">
        <f>645323320+726392286</f>
        <v>1371715606</v>
      </c>
      <c r="I27" s="786">
        <f>654593800+948052418</f>
        <v>1602646218</v>
      </c>
      <c r="J27" s="1003">
        <f>IF(H27=0,0,I27/H27)</f>
        <v>1.1683516692453524</v>
      </c>
      <c r="L27" s="807">
        <f>750912602+1059506822</f>
        <v>1810419424</v>
      </c>
      <c r="M27" s="808">
        <f>(503819814+650468138)*12/9</f>
        <v>1539050602.6666667</v>
      </c>
      <c r="O27" s="117"/>
      <c r="P27" s="115"/>
      <c r="Q27" s="789"/>
      <c r="R27" s="64">
        <f>IF(O27=0,0,P27/O27)</f>
        <v>0</v>
      </c>
      <c r="T27" s="156">
        <v>2301187109</v>
      </c>
      <c r="U27" s="789" t="s">
        <v>2273</v>
      </c>
      <c r="V27" s="157">
        <v>2054939478</v>
      </c>
      <c r="X27" s="4923" t="s">
        <v>2285</v>
      </c>
      <c r="Z27" s="156">
        <v>1958089043</v>
      </c>
      <c r="AA27" s="789" t="s">
        <v>2268</v>
      </c>
      <c r="AB27" s="157">
        <v>2385005880</v>
      </c>
      <c r="AC27" s="157"/>
      <c r="AD27" s="4923"/>
      <c r="AF27" s="157">
        <v>2385005880</v>
      </c>
      <c r="AG27" s="789" t="s">
        <v>2268</v>
      </c>
      <c r="AH27" s="1"/>
      <c r="AI27" s="156">
        <v>2832828338</v>
      </c>
      <c r="AJ27" s="789"/>
      <c r="AK27" s="611">
        <v>2687127318</v>
      </c>
      <c r="AL27" s="1"/>
      <c r="AM27" s="4923" t="s">
        <v>2285</v>
      </c>
      <c r="AO27" s="156">
        <v>2832828338</v>
      </c>
      <c r="AP27" s="649">
        <v>2349479561</v>
      </c>
      <c r="AQ27" s="119" t="s">
        <v>2276</v>
      </c>
      <c r="AR27" s="6761">
        <f t="shared" si="0"/>
        <v>0.82937590304492359</v>
      </c>
      <c r="AS27" s="1"/>
      <c r="AT27" s="156">
        <v>3401403244</v>
      </c>
      <c r="AU27" s="119" t="s">
        <v>2286</v>
      </c>
      <c r="AV27" s="611">
        <v>2653690229</v>
      </c>
      <c r="AW27" s="1"/>
      <c r="AX27" s="4923" t="s">
        <v>2285</v>
      </c>
      <c r="AZ27" s="156">
        <v>3071.1087200000002</v>
      </c>
      <c r="BA27" s="649">
        <v>2739.7</v>
      </c>
      <c r="BB27" s="119"/>
      <c r="BC27" s="8167">
        <f>BA27/AZ27</f>
        <v>0.89208824883281879</v>
      </c>
      <c r="BD27" s="1"/>
      <c r="BE27" s="156">
        <v>3210.1856899999998</v>
      </c>
      <c r="BF27" s="119"/>
      <c r="BG27" s="611">
        <v>3221.5498680000001</v>
      </c>
      <c r="BH27" s="8167">
        <f t="shared" si="1"/>
        <v>1.003540037585801</v>
      </c>
    </row>
    <row r="28" spans="1:60" x14ac:dyDescent="0.35">
      <c r="A28" s="9153"/>
      <c r="B28" s="6082"/>
      <c r="C28" s="817" t="s">
        <v>497</v>
      </c>
      <c r="E28" s="801"/>
      <c r="F28" s="790"/>
      <c r="H28" s="818"/>
      <c r="I28" s="819"/>
      <c r="J28" s="1003">
        <f>IF(H28=0,0,I28/H28)</f>
        <v>0</v>
      </c>
      <c r="L28" s="820"/>
      <c r="M28" s="808"/>
      <c r="O28" s="164"/>
      <c r="P28" s="165"/>
      <c r="Q28" s="106"/>
      <c r="R28" s="64">
        <f>IF(O28=0,0,P28/O28)</f>
        <v>0</v>
      </c>
      <c r="T28" s="156"/>
      <c r="U28" s="106"/>
      <c r="V28" s="157">
        <f>T28*R28</f>
        <v>0</v>
      </c>
      <c r="X28" s="723"/>
      <c r="Z28" s="156"/>
      <c r="AA28" s="106"/>
      <c r="AB28" s="157">
        <f>Z28*X28</f>
        <v>0</v>
      </c>
      <c r="AC28" s="157"/>
      <c r="AD28" s="723"/>
      <c r="AF28" s="157">
        <f>AD28*AB28</f>
        <v>0</v>
      </c>
      <c r="AG28" s="106"/>
      <c r="AH28" s="1"/>
      <c r="AI28" s="156"/>
      <c r="AJ28" s="106"/>
      <c r="AK28" s="611"/>
      <c r="AL28" s="1"/>
      <c r="AM28" s="723"/>
      <c r="AO28" s="156"/>
      <c r="AP28" s="649"/>
      <c r="AQ28" s="106"/>
      <c r="AR28" s="110"/>
      <c r="AS28" s="1"/>
      <c r="AT28" s="156"/>
      <c r="AU28" s="106"/>
      <c r="AV28" s="611"/>
      <c r="AW28" s="1"/>
      <c r="AX28" s="723"/>
      <c r="AZ28" s="156"/>
      <c r="BA28" s="649"/>
      <c r="BB28" s="106"/>
      <c r="BC28" s="110"/>
      <c r="BD28" s="1"/>
      <c r="BE28" s="156"/>
      <c r="BF28" s="106"/>
      <c r="BG28" s="611"/>
      <c r="BH28" s="110"/>
    </row>
    <row r="29" spans="1:60" ht="13" x14ac:dyDescent="0.3">
      <c r="A29" s="9153"/>
      <c r="B29" s="128"/>
      <c r="C29" s="794" t="s">
        <v>499</v>
      </c>
      <c r="F29" s="1010">
        <f>IF(F26=0,0,(F27-F28)/F26)</f>
        <v>0.11541322946472493</v>
      </c>
      <c r="G29" s="823"/>
      <c r="H29" s="1011">
        <f>IF(H26=0,0,(H27-H28)/H26)</f>
        <v>0.14879377434509961</v>
      </c>
      <c r="I29" s="1012">
        <f>IF(I26=0,0,(I27-I28)/I26)</f>
        <v>0.17138145100060526</v>
      </c>
      <c r="J29" s="1013"/>
      <c r="K29" s="823"/>
      <c r="L29" s="1014">
        <f>IF(L26=0,0,L27/L26)</f>
        <v>0.17599999999999999</v>
      </c>
      <c r="M29" s="1015">
        <f>IF(M26=0,0,M27/M26)</f>
        <v>0.15070260696192941</v>
      </c>
      <c r="N29" s="170"/>
      <c r="O29" s="171"/>
      <c r="P29" s="177"/>
      <c r="Q29" s="177"/>
      <c r="R29" s="173"/>
      <c r="S29" s="170"/>
      <c r="T29" s="174">
        <f>IF(T26=0,0,T27/T25)</f>
        <v>0.16408927529399453</v>
      </c>
      <c r="U29" s="177"/>
      <c r="V29" s="175">
        <f>IF(V26=0,0,V27/V25)</f>
        <v>0.14507377024587889</v>
      </c>
      <c r="W29" s="170"/>
      <c r="X29" s="723"/>
      <c r="Z29" s="174">
        <f>IF(Z26=0,0,Z27/Z25)</f>
        <v>0.12233839245217711</v>
      </c>
      <c r="AA29" s="177"/>
      <c r="AB29" s="175">
        <f>IF(AB26=0,0,AB27/AB25)</f>
        <v>0.14003428082411784</v>
      </c>
      <c r="AC29" s="1020"/>
      <c r="AD29" s="723"/>
      <c r="AF29" s="175">
        <f>IF(AF26=0,0,AF27/AF25)</f>
        <v>0.14003428082411784</v>
      </c>
      <c r="AG29" s="177"/>
      <c r="AH29" s="170"/>
      <c r="AI29" s="174">
        <f>IF(AI26=0,0,AI27/AI25)</f>
        <v>0.14456800682861312</v>
      </c>
      <c r="AJ29" s="177"/>
      <c r="AK29" s="175">
        <f>IF(AK26=0,0,AK27/AK25)</f>
        <v>0.13620191221635775</v>
      </c>
      <c r="AL29" s="170"/>
      <c r="AM29" s="723"/>
      <c r="AO29" s="495">
        <f>IF(AO26=0,0,AO27/AO26)</f>
        <v>0.16899999997971638</v>
      </c>
      <c r="AP29" s="498">
        <f>IF(AP26=0,0,AP27/AP26)</f>
        <v>0.13436486260191594</v>
      </c>
      <c r="AQ29" s="497"/>
      <c r="AR29" s="6768"/>
      <c r="AS29" s="170"/>
      <c r="AT29" s="495">
        <f>IF(AT26=0,0,AT27/AT26)</f>
        <v>0.17500000001543481</v>
      </c>
      <c r="AU29" s="497"/>
      <c r="AV29" s="496">
        <f>IF(AV26=0,0,AV27/AV26)</f>
        <v>0.13402340172855631</v>
      </c>
      <c r="AW29" s="170"/>
      <c r="AX29" s="723"/>
      <c r="AZ29" s="174">
        <f>IF(AZ26=0,0,AZ27/AZ26)</f>
        <v>0.15536635132685661</v>
      </c>
      <c r="BA29" s="178">
        <f>IF(BA26=0,0,BA27/BA26)</f>
        <v>0.14064673781912079</v>
      </c>
      <c r="BB29" s="177"/>
      <c r="BC29" s="6768"/>
      <c r="BD29" s="170"/>
      <c r="BE29" s="174">
        <f>IF(BE26=0,0,BE27/BE26)</f>
        <v>0.13458996172941065</v>
      </c>
      <c r="BF29" s="177"/>
      <c r="BG29" s="175">
        <f>IF(BG26=0,0,BG27/BG26)</f>
        <v>0.12861821164845749</v>
      </c>
      <c r="BH29" s="6768"/>
    </row>
    <row r="30" spans="1:60" ht="26" x14ac:dyDescent="0.35">
      <c r="A30" s="9153"/>
      <c r="B30" s="139" t="s">
        <v>501</v>
      </c>
      <c r="C30" s="831"/>
      <c r="E30" s="1"/>
      <c r="F30" s="205"/>
      <c r="G30" s="170"/>
      <c r="H30" s="1018"/>
      <c r="I30" s="202"/>
      <c r="J30" s="203">
        <f>IF(H30=0,0,I30/H30)</f>
        <v>0</v>
      </c>
      <c r="K30" s="170"/>
      <c r="L30" s="1019"/>
      <c r="M30" s="1020">
        <f>L30*J30</f>
        <v>0</v>
      </c>
      <c r="N30" s="170"/>
      <c r="O30" s="189"/>
      <c r="P30" s="190"/>
      <c r="Q30" s="190"/>
      <c r="R30" s="191"/>
      <c r="S30" s="170"/>
      <c r="T30" s="1019"/>
      <c r="U30" s="202"/>
      <c r="V30" s="1020"/>
      <c r="W30" s="170"/>
      <c r="X30" s="718"/>
      <c r="Z30" s="1019"/>
      <c r="AA30" s="202"/>
      <c r="AB30" s="1020"/>
      <c r="AC30" s="1020"/>
      <c r="AD30" s="718"/>
      <c r="AF30" s="1020"/>
      <c r="AG30" s="202"/>
      <c r="AH30" s="170"/>
      <c r="AI30" s="1019"/>
      <c r="AJ30" s="202"/>
      <c r="AK30" s="1020"/>
      <c r="AL30" s="170"/>
      <c r="AM30" s="718"/>
      <c r="AO30" s="3364"/>
      <c r="AP30" s="3366"/>
      <c r="AQ30" s="231" t="s">
        <v>2271</v>
      </c>
      <c r="AR30" s="6769"/>
      <c r="AS30" s="170"/>
      <c r="AT30" s="836"/>
      <c r="AU30" s="106" t="s">
        <v>2272</v>
      </c>
      <c r="AV30" s="837"/>
      <c r="AW30" s="170"/>
      <c r="AX30" s="718"/>
      <c r="AZ30" s="8166" t="s">
        <v>2287</v>
      </c>
      <c r="BA30" s="8172" t="s">
        <v>2257</v>
      </c>
      <c r="BB30" s="231"/>
      <c r="BC30" s="6769"/>
      <c r="BD30" s="170"/>
      <c r="BE30" s="8172" t="s">
        <v>2257</v>
      </c>
      <c r="BF30" s="2669" t="s">
        <v>2288</v>
      </c>
      <c r="BG30" s="8172" t="s">
        <v>2257</v>
      </c>
      <c r="BH30" s="6769"/>
    </row>
    <row r="31" spans="1:60" x14ac:dyDescent="0.35">
      <c r="A31" s="9153"/>
      <c r="B31" s="6082"/>
      <c r="C31" s="121" t="s">
        <v>11</v>
      </c>
      <c r="E31" s="1"/>
      <c r="F31" s="841"/>
      <c r="G31" s="170"/>
      <c r="H31" s="112"/>
      <c r="I31" s="113"/>
      <c r="J31" s="64"/>
      <c r="K31" s="170"/>
      <c r="L31" s="117"/>
      <c r="M31" s="842"/>
      <c r="N31" s="170"/>
      <c r="O31" s="117"/>
      <c r="P31" s="115"/>
      <c r="Q31" s="202"/>
      <c r="R31" s="1023">
        <f>IF(O31=0,0,P31/O31)</f>
        <v>0</v>
      </c>
      <c r="S31" s="170"/>
      <c r="T31" s="200">
        <f>1021526914+2013913015</f>
        <v>3035439929</v>
      </c>
      <c r="U31" s="789" t="s">
        <v>2289</v>
      </c>
      <c r="V31" s="157">
        <v>762459827</v>
      </c>
      <c r="W31" s="170"/>
      <c r="X31" s="723"/>
      <c r="Z31" s="200">
        <v>1575935339</v>
      </c>
      <c r="AA31" s="789" t="s">
        <v>2290</v>
      </c>
      <c r="AB31" s="157">
        <v>1432458336</v>
      </c>
      <c r="AC31" s="157"/>
      <c r="AD31" s="723"/>
      <c r="AF31" s="157">
        <v>1432458336</v>
      </c>
      <c r="AG31" s="789" t="s">
        <v>2290</v>
      </c>
      <c r="AH31" s="170"/>
      <c r="AI31" s="200"/>
      <c r="AJ31" s="789"/>
      <c r="AK31" s="611"/>
      <c r="AL31" s="170"/>
      <c r="AM31" s="723"/>
      <c r="AO31" s="200">
        <v>1812144435</v>
      </c>
      <c r="AP31" s="649">
        <v>1758602870</v>
      </c>
      <c r="AQ31" s="57" t="s">
        <v>2290</v>
      </c>
      <c r="AR31" s="6761">
        <f>AP31/AO31</f>
        <v>0.97045403006190289</v>
      </c>
      <c r="AS31" s="170"/>
      <c r="AT31" s="200">
        <v>2079426613</v>
      </c>
      <c r="AU31" s="789" t="s">
        <v>2291</v>
      </c>
      <c r="AV31" s="611">
        <v>1710132461</v>
      </c>
      <c r="AW31" s="170"/>
      <c r="AX31" s="723"/>
      <c r="AZ31" s="200">
        <v>2090.2512729999999</v>
      </c>
      <c r="BA31" s="3749">
        <v>1606.1079420000001</v>
      </c>
      <c r="BB31" s="57" t="s">
        <v>2288</v>
      </c>
      <c r="BC31" s="8167"/>
      <c r="BD31" s="170"/>
      <c r="BE31" s="200">
        <v>1874.464189</v>
      </c>
      <c r="BF31" s="789"/>
      <c r="BG31" s="611">
        <v>2184.1347529999998</v>
      </c>
      <c r="BH31" s="8167">
        <f>BG31/BE31</f>
        <v>1.1652048440387675</v>
      </c>
    </row>
    <row r="32" spans="1:60" x14ac:dyDescent="0.35">
      <c r="A32" s="9154"/>
      <c r="B32" s="844"/>
      <c r="C32" s="208" t="s">
        <v>502</v>
      </c>
      <c r="E32" s="1"/>
      <c r="F32" s="210"/>
      <c r="G32" s="1"/>
      <c r="H32" s="217"/>
      <c r="I32" s="845"/>
      <c r="J32" s="133"/>
      <c r="K32" s="1"/>
      <c r="L32" s="131"/>
      <c r="M32" s="846"/>
      <c r="O32" s="131"/>
      <c r="P32" s="132"/>
      <c r="Q32" s="216"/>
      <c r="R32" s="133">
        <f>IF(O32=0,0,P32/O32)</f>
        <v>0</v>
      </c>
      <c r="T32" s="211"/>
      <c r="U32" s="216"/>
      <c r="V32" s="213">
        <f>T32*R32</f>
        <v>0</v>
      </c>
      <c r="X32" s="722"/>
      <c r="Z32" s="211"/>
      <c r="AA32" s="216"/>
      <c r="AB32" s="213">
        <f>Z32*X32</f>
        <v>0</v>
      </c>
      <c r="AC32" s="157"/>
      <c r="AD32" s="722"/>
      <c r="AF32" s="213">
        <f>AD32*AB32</f>
        <v>0</v>
      </c>
      <c r="AG32" s="216"/>
      <c r="AH32" s="1"/>
      <c r="AI32" s="211"/>
      <c r="AJ32" s="216"/>
      <c r="AK32" s="1345"/>
      <c r="AL32" s="1"/>
      <c r="AM32" s="722"/>
      <c r="AO32" s="211"/>
      <c r="AP32" s="3029"/>
      <c r="AQ32" s="216"/>
      <c r="AR32" s="129"/>
      <c r="AS32" s="1"/>
      <c r="AT32" s="211"/>
      <c r="AU32" s="216"/>
      <c r="AV32" s="1345"/>
      <c r="AW32" s="1"/>
      <c r="AX32" s="722"/>
      <c r="AZ32" s="211"/>
      <c r="BA32" s="3029"/>
      <c r="BB32" s="216"/>
      <c r="BC32" s="129"/>
      <c r="BD32" s="1"/>
      <c r="BE32" s="211"/>
      <c r="BF32" s="216"/>
      <c r="BG32" s="1345"/>
      <c r="BH32" s="129"/>
    </row>
    <row r="33" spans="1:60" ht="15.25" customHeight="1" x14ac:dyDescent="0.3">
      <c r="F33" s="847"/>
      <c r="H33" s="847"/>
      <c r="I33" s="847"/>
      <c r="J33" s="847"/>
      <c r="L33" s="847"/>
      <c r="N33" s="462"/>
      <c r="O33" s="462"/>
      <c r="P33" s="462"/>
      <c r="Q33" s="462"/>
      <c r="R33" s="462"/>
      <c r="S33" s="462"/>
      <c r="T33" s="462"/>
      <c r="U33" s="462"/>
      <c r="V33" s="462"/>
      <c r="W33" s="462"/>
      <c r="X33" s="462"/>
      <c r="AF33" s="462"/>
      <c r="AP33" s="462"/>
      <c r="BA33" s="462"/>
    </row>
    <row r="34" spans="1:60" ht="23.5" customHeight="1" x14ac:dyDescent="0.35">
      <c r="A34" s="9152" t="s">
        <v>503</v>
      </c>
      <c r="B34" s="848"/>
      <c r="C34" s="725" t="s">
        <v>427</v>
      </c>
      <c r="D34" s="456" t="s">
        <v>428</v>
      </c>
      <c r="F34" s="849"/>
      <c r="G34" s="223"/>
      <c r="H34" s="850" t="s">
        <v>2292</v>
      </c>
      <c r="I34" s="8327" t="s">
        <v>2293</v>
      </c>
      <c r="J34" s="851"/>
      <c r="K34" s="223"/>
      <c r="L34" s="850"/>
      <c r="M34" s="8315" t="s">
        <v>2294</v>
      </c>
      <c r="N34" s="170"/>
      <c r="O34" s="1024"/>
      <c r="P34" s="1025"/>
      <c r="Q34" s="1026"/>
      <c r="R34" s="1027"/>
      <c r="S34" s="170"/>
      <c r="T34" s="4924" t="s">
        <v>2295</v>
      </c>
      <c r="U34" s="4925" t="s">
        <v>2296</v>
      </c>
      <c r="V34" s="1028"/>
      <c r="W34" s="170"/>
      <c r="X34" s="858"/>
      <c r="Z34" s="4924" t="s">
        <v>2295</v>
      </c>
      <c r="AA34" s="4926" t="s">
        <v>2296</v>
      </c>
      <c r="AB34" s="1028"/>
      <c r="AC34" s="4927"/>
      <c r="AD34" s="858"/>
      <c r="AF34" s="1028"/>
      <c r="AG34" s="4925" t="s">
        <v>2296</v>
      </c>
      <c r="AH34" s="170"/>
      <c r="AI34" s="4924" t="s">
        <v>2295</v>
      </c>
      <c r="AJ34" s="4925" t="s">
        <v>2296</v>
      </c>
      <c r="AK34" s="1028"/>
      <c r="AL34" s="170"/>
      <c r="AM34" s="858"/>
      <c r="AO34" s="3446" t="s">
        <v>2297</v>
      </c>
      <c r="AP34" s="6770" t="s">
        <v>2298</v>
      </c>
      <c r="AQ34" s="1612" t="s">
        <v>2250</v>
      </c>
      <c r="AR34" s="6771"/>
      <c r="AS34" s="170"/>
      <c r="AT34" s="6772" t="s">
        <v>2299</v>
      </c>
      <c r="AU34" s="4767" t="s">
        <v>2250</v>
      </c>
      <c r="AV34" s="6773" t="s">
        <v>2300</v>
      </c>
      <c r="AW34" s="170"/>
      <c r="AX34" s="858"/>
      <c r="AZ34" s="34" t="s">
        <v>2301</v>
      </c>
      <c r="BA34" s="8173"/>
      <c r="BB34" s="8166"/>
      <c r="BC34" s="6771"/>
      <c r="BD34" s="170"/>
      <c r="BE34" s="8172" t="s">
        <v>2302</v>
      </c>
      <c r="BF34" s="4767"/>
      <c r="BG34" s="8174"/>
      <c r="BH34" s="6771"/>
    </row>
    <row r="35" spans="1:60" x14ac:dyDescent="0.35">
      <c r="A35" s="9153"/>
      <c r="B35" s="863" t="s">
        <v>514</v>
      </c>
      <c r="C35" s="864"/>
      <c r="F35" s="865"/>
      <c r="G35" s="457"/>
      <c r="H35" s="866"/>
      <c r="I35" s="847"/>
      <c r="J35" s="776"/>
      <c r="K35" s="457"/>
      <c r="L35" s="773"/>
      <c r="M35" s="867"/>
      <c r="O35" s="773"/>
      <c r="P35" s="868"/>
      <c r="Q35" s="103"/>
      <c r="R35" s="188"/>
      <c r="T35" s="773"/>
      <c r="U35" s="103"/>
      <c r="V35" s="1031"/>
      <c r="X35" s="718"/>
      <c r="Z35" s="773" t="s">
        <v>2303</v>
      </c>
      <c r="AA35" s="103"/>
      <c r="AB35" s="1031"/>
      <c r="AC35" s="234"/>
      <c r="AD35" s="718"/>
      <c r="AF35" s="1031"/>
      <c r="AG35" s="103"/>
      <c r="AH35" s="1"/>
      <c r="AI35" s="773"/>
      <c r="AJ35" s="103"/>
      <c r="AK35" s="1031"/>
      <c r="AL35" s="1"/>
      <c r="AM35" s="718"/>
      <c r="AO35" s="866" t="s">
        <v>2304</v>
      </c>
      <c r="AP35" s="6774" t="s">
        <v>1481</v>
      </c>
      <c r="AQ35" s="254" t="s">
        <v>2305</v>
      </c>
      <c r="AR35" s="831"/>
      <c r="AS35" s="1"/>
      <c r="AT35" s="773"/>
      <c r="AU35" s="103"/>
      <c r="AV35" s="533"/>
      <c r="AW35" s="1"/>
      <c r="AX35" s="718"/>
      <c r="AZ35" s="866"/>
      <c r="BA35" s="8175" t="s">
        <v>2306</v>
      </c>
      <c r="BB35" s="254"/>
      <c r="BC35" s="831"/>
      <c r="BD35" s="1"/>
      <c r="BE35" s="773"/>
      <c r="BF35" s="103" t="s">
        <v>2307</v>
      </c>
      <c r="BG35" s="8175" t="s">
        <v>2306</v>
      </c>
      <c r="BH35" s="831"/>
    </row>
    <row r="36" spans="1:60" ht="15.5" customHeight="1" x14ac:dyDescent="0.35">
      <c r="A36" s="9153"/>
      <c r="B36" s="873"/>
      <c r="C36" s="874" t="s">
        <v>2308</v>
      </c>
      <c r="D36" s="456">
        <v>1</v>
      </c>
      <c r="F36" s="779">
        <v>4161091620.9866691</v>
      </c>
      <c r="H36" s="780">
        <v>4776620896.1999998</v>
      </c>
      <c r="I36" s="781">
        <v>5576502548.1300001</v>
      </c>
      <c r="J36" s="1003">
        <f>IF(H36=0,0,I36/H36)</f>
        <v>1.1674576377971171</v>
      </c>
      <c r="L36" s="780">
        <v>7058320456.7399998</v>
      </c>
      <c r="M36" s="875">
        <f>4776620896.2*12/9</f>
        <v>6368827861.5999994</v>
      </c>
      <c r="O36" s="780">
        <f>6327210497-O37</f>
        <v>6248252645</v>
      </c>
      <c r="P36" s="876">
        <f>5670909266-P37</f>
        <v>5622978870</v>
      </c>
      <c r="Q36" s="106" t="s">
        <v>2309</v>
      </c>
      <c r="R36" s="877">
        <f>IF(O36=0,0,P36/O36)</f>
        <v>0.8999282182514885</v>
      </c>
      <c r="T36" s="878">
        <f>4855888734+6524210+1268582212+22230057+28904053</f>
        <v>6182129266</v>
      </c>
      <c r="U36" s="106" t="s">
        <v>2310</v>
      </c>
      <c r="V36" s="157">
        <f>T36*R36</f>
        <v>5563472575.3517628</v>
      </c>
      <c r="X36" s="723" t="s">
        <v>2311</v>
      </c>
      <c r="Z36" s="878">
        <f>6538286933+803368195+5766604+486258632+63684622</f>
        <v>7897364986</v>
      </c>
      <c r="AA36" s="106" t="s">
        <v>2312</v>
      </c>
      <c r="AB36" s="157">
        <v>7199744624</v>
      </c>
      <c r="AC36" s="157"/>
      <c r="AD36" s="723"/>
      <c r="AF36" s="157"/>
      <c r="AG36" s="106" t="s">
        <v>2312</v>
      </c>
      <c r="AH36" s="1"/>
      <c r="AI36" s="878">
        <f>9258839827-AI37</f>
        <v>8919968531</v>
      </c>
      <c r="AJ36" s="106" t="s">
        <v>2312</v>
      </c>
      <c r="AK36" s="611"/>
      <c r="AL36" s="1"/>
      <c r="AM36" s="723" t="s">
        <v>2311</v>
      </c>
      <c r="AO36" s="112">
        <f>7305420494-AO37</f>
        <v>7292597584</v>
      </c>
      <c r="AP36" s="6775">
        <f>9001001362-AP37</f>
        <v>8995773699</v>
      </c>
      <c r="AQ36" s="254" t="s">
        <v>2305</v>
      </c>
      <c r="AR36" s="6761">
        <f>AP36/AO36</f>
        <v>1.2335486217883156</v>
      </c>
      <c r="AS36" s="1"/>
      <c r="AT36" s="878">
        <f>9120000000+211245273</f>
        <v>9331245273</v>
      </c>
      <c r="AU36" s="57" t="s">
        <v>2307</v>
      </c>
      <c r="AV36" s="6776">
        <f>AT36</f>
        <v>9331245273</v>
      </c>
      <c r="AW36" s="1"/>
      <c r="AX36" s="723" t="s">
        <v>2311</v>
      </c>
      <c r="AZ36" s="2755">
        <f>9120+1893.887197+86.869138+1156.109701+100.248989</f>
        <v>12357.115024999999</v>
      </c>
      <c r="BA36" s="8176">
        <f>AZ36*BC36</f>
        <v>11126.712099855513</v>
      </c>
      <c r="BB36" s="254" t="s">
        <v>2313</v>
      </c>
      <c r="BC36" s="8167">
        <f>BC17</f>
        <v>0.90042959682294565</v>
      </c>
      <c r="BD36" s="1"/>
      <c r="BE36" s="2755">
        <f>10445.711542+0.2205+85.516692+1150.745696</f>
        <v>11682.194429999998</v>
      </c>
      <c r="BF36" s="57" t="s">
        <v>2314</v>
      </c>
      <c r="BG36" s="2788">
        <f>BE36*BH36</f>
        <v>13026.053439866882</v>
      </c>
      <c r="BH36" s="8167">
        <f>BH17</f>
        <v>1.1150348094203808</v>
      </c>
    </row>
    <row r="37" spans="1:60" x14ac:dyDescent="0.35">
      <c r="A37" s="9153"/>
      <c r="B37" s="873"/>
      <c r="C37" s="874" t="s">
        <v>2315</v>
      </c>
      <c r="F37" s="788"/>
      <c r="H37" s="785"/>
      <c r="I37" s="786"/>
      <c r="J37" s="1003">
        <f>IF(H37=0,0,I37/H37)</f>
        <v>0</v>
      </c>
      <c r="L37" s="785"/>
      <c r="M37" s="881">
        <f>L37*J37</f>
        <v>0</v>
      </c>
      <c r="N37" s="223"/>
      <c r="O37" s="785">
        <v>78957852</v>
      </c>
      <c r="P37" s="882">
        <f>47930396</f>
        <v>47930396</v>
      </c>
      <c r="Q37" s="106" t="s">
        <v>2316</v>
      </c>
      <c r="R37" s="883">
        <f>IF(O37=0,0,P37/O37)</f>
        <v>0.60703773957781937</v>
      </c>
      <c r="S37" s="223"/>
      <c r="T37" s="1035">
        <f>234604250+115618511</f>
        <v>350222761</v>
      </c>
      <c r="U37" s="106" t="s">
        <v>932</v>
      </c>
      <c r="V37" s="157">
        <f>T37*R37</f>
        <v>212598433.18614286</v>
      </c>
      <c r="W37" s="223"/>
      <c r="X37" s="723" t="s">
        <v>2317</v>
      </c>
      <c r="Z37" s="1035">
        <f>16558132+161438221+254738489</f>
        <v>432734842</v>
      </c>
      <c r="AA37" s="106" t="s">
        <v>2318</v>
      </c>
      <c r="AB37" s="157">
        <f>16558132+161438221+254738489</f>
        <v>432734842</v>
      </c>
      <c r="AC37" s="245"/>
      <c r="AD37" s="723"/>
      <c r="AF37" s="157"/>
      <c r="AG37" s="106" t="s">
        <v>2318</v>
      </c>
      <c r="AH37" s="223"/>
      <c r="AI37" s="1035">
        <f>326048386+12822910</f>
        <v>338871296</v>
      </c>
      <c r="AJ37" s="106" t="s">
        <v>2318</v>
      </c>
      <c r="AK37" s="611"/>
      <c r="AL37" s="223"/>
      <c r="AM37" s="723" t="s">
        <v>2317</v>
      </c>
      <c r="AO37" s="117">
        <v>12822910</v>
      </c>
      <c r="AP37" s="3544">
        <v>5227663</v>
      </c>
      <c r="AQ37" s="254" t="s">
        <v>2305</v>
      </c>
      <c r="AR37" s="6761">
        <f>AP37/AO37</f>
        <v>0.40768148571580087</v>
      </c>
      <c r="AS37" s="223"/>
      <c r="AT37" s="1035">
        <v>9500000</v>
      </c>
      <c r="AU37" s="57" t="s">
        <v>2319</v>
      </c>
      <c r="AV37" s="157">
        <f>AT37*AR37</f>
        <v>3872974.1143001085</v>
      </c>
      <c r="AW37" s="223"/>
      <c r="AX37" s="723" t="s">
        <v>2317</v>
      </c>
      <c r="AZ37" s="2747">
        <f>9.5</f>
        <v>9.5</v>
      </c>
      <c r="BA37" s="8177">
        <f>AZ37*BC37</f>
        <v>6.6406933349234789</v>
      </c>
      <c r="BB37" s="254" t="s">
        <v>2320</v>
      </c>
      <c r="BC37" s="8167">
        <f>BC19</f>
        <v>0.69902035104457672</v>
      </c>
      <c r="BD37" s="223"/>
      <c r="BE37" s="2747">
        <f>16.8</f>
        <v>16.8</v>
      </c>
      <c r="BF37" s="57"/>
      <c r="BG37" s="2788">
        <f>BE37*BH37</f>
        <v>21.40844150504968</v>
      </c>
      <c r="BH37" s="8167">
        <f>BH19</f>
        <v>1.2743119943481951</v>
      </c>
    </row>
    <row r="38" spans="1:60" x14ac:dyDescent="0.35">
      <c r="A38" s="9153"/>
      <c r="B38" s="873"/>
      <c r="C38" s="874" t="s">
        <v>2321</v>
      </c>
      <c r="F38" s="790"/>
      <c r="H38" s="791"/>
      <c r="I38" s="792"/>
      <c r="J38" s="1003"/>
      <c r="L38" s="785"/>
      <c r="M38" s="881"/>
      <c r="N38" s="223"/>
      <c r="O38" s="791"/>
      <c r="P38" s="882"/>
      <c r="Q38" s="106"/>
      <c r="R38" s="883"/>
      <c r="S38" s="223"/>
      <c r="T38" s="818"/>
      <c r="U38" s="106"/>
      <c r="V38" s="157"/>
      <c r="W38" s="223"/>
      <c r="X38" s="723"/>
      <c r="Z38" s="818"/>
      <c r="AA38" s="106"/>
      <c r="AB38" s="157"/>
      <c r="AC38" s="106"/>
      <c r="AD38" s="723"/>
      <c r="AF38" s="157"/>
      <c r="AG38" s="106"/>
      <c r="AH38" s="223"/>
      <c r="AI38" s="818"/>
      <c r="AJ38" s="106"/>
      <c r="AK38" s="611"/>
      <c r="AL38" s="223"/>
      <c r="AM38" s="723"/>
      <c r="AO38" s="117">
        <v>1627370946</v>
      </c>
      <c r="AP38" s="6777">
        <f>AO38</f>
        <v>1627370946</v>
      </c>
      <c r="AQ38" s="254"/>
      <c r="AR38" s="6761">
        <f>AP38/AO38</f>
        <v>1</v>
      </c>
      <c r="AS38" s="223"/>
      <c r="AT38" s="818">
        <v>1555204562</v>
      </c>
      <c r="AU38" s="57" t="s">
        <v>2138</v>
      </c>
      <c r="AV38" s="157">
        <f>AT38*AR38</f>
        <v>1555204562</v>
      </c>
      <c r="AW38" s="223"/>
      <c r="AX38" s="723"/>
      <c r="AZ38" s="2747">
        <v>312.22572300000002</v>
      </c>
      <c r="BA38" s="8177">
        <f>AZ38*BC38</f>
        <v>218.25213449660677</v>
      </c>
      <c r="BB38" s="254" t="s">
        <v>2322</v>
      </c>
      <c r="BC38" s="8167">
        <f>BC19</f>
        <v>0.69902035104457672</v>
      </c>
      <c r="BD38" s="223"/>
      <c r="BE38" s="2747">
        <v>470.61789800000003</v>
      </c>
      <c r="BF38" s="57"/>
      <c r="BG38" s="2788">
        <f>BE38*BC38</f>
        <v>328.9714882678208</v>
      </c>
      <c r="BH38" s="8167">
        <f>BH19</f>
        <v>1.2743119943481951</v>
      </c>
    </row>
    <row r="39" spans="1:60" x14ac:dyDescent="0.35">
      <c r="A39" s="9153"/>
      <c r="B39" s="873"/>
      <c r="C39" s="874" t="s">
        <v>2323</v>
      </c>
      <c r="F39" s="790"/>
      <c r="H39" s="791"/>
      <c r="I39" s="792"/>
      <c r="J39" s="1003"/>
      <c r="L39" s="785"/>
      <c r="M39" s="881"/>
      <c r="N39" s="223"/>
      <c r="O39" s="791"/>
      <c r="P39" s="882"/>
      <c r="Q39" s="106"/>
      <c r="R39" s="883"/>
      <c r="S39" s="223"/>
      <c r="T39" s="818"/>
      <c r="U39" s="106"/>
      <c r="V39" s="157"/>
      <c r="W39" s="223"/>
      <c r="X39" s="723"/>
      <c r="Z39" s="818"/>
      <c r="AA39" s="106"/>
      <c r="AB39" s="157"/>
      <c r="AC39" s="106"/>
      <c r="AD39" s="723"/>
      <c r="AF39" s="157"/>
      <c r="AG39" s="106"/>
      <c r="AH39" s="223"/>
      <c r="AI39" s="818"/>
      <c r="AJ39" s="106"/>
      <c r="AK39" s="611"/>
      <c r="AL39" s="223"/>
      <c r="AM39" s="723"/>
      <c r="AO39" s="117">
        <v>326048386</v>
      </c>
      <c r="AP39" s="6777">
        <f>AO39</f>
        <v>326048386</v>
      </c>
      <c r="AQ39" s="254"/>
      <c r="AR39" s="6761">
        <f>AP39/AO39</f>
        <v>1</v>
      </c>
      <c r="AS39" s="223"/>
      <c r="AT39" s="818">
        <v>299451386</v>
      </c>
      <c r="AU39" s="57" t="s">
        <v>2324</v>
      </c>
      <c r="AV39" s="157">
        <f>AT39*AR39</f>
        <v>299451386</v>
      </c>
      <c r="AW39" s="223"/>
      <c r="AX39" s="723"/>
      <c r="AZ39" s="2747">
        <v>199.20239699999999</v>
      </c>
      <c r="BA39" s="8177">
        <f>AZ39*BC39</f>
        <v>176.30368254495841</v>
      </c>
      <c r="BB39" s="254" t="s">
        <v>2325</v>
      </c>
      <c r="BC39" s="8167">
        <f>BC20</f>
        <v>0.88504799741419993</v>
      </c>
      <c r="BD39" s="223"/>
      <c r="BE39" s="2747">
        <v>911.29086299999994</v>
      </c>
      <c r="BF39" s="57"/>
      <c r="BG39" s="2788">
        <f>BE39*BC39</f>
        <v>806.53615336000792</v>
      </c>
      <c r="BH39" s="8167">
        <f>BH20</f>
        <v>1.3258557744189829</v>
      </c>
    </row>
    <row r="40" spans="1:60" x14ac:dyDescent="0.35">
      <c r="A40" s="9153"/>
      <c r="B40" s="873"/>
      <c r="C40" s="874" t="s">
        <v>2326</v>
      </c>
      <c r="F40" s="790"/>
      <c r="H40" s="791"/>
      <c r="I40" s="792"/>
      <c r="J40" s="1003">
        <f>IF(H40=0,0,I40/H40)</f>
        <v>0</v>
      </c>
      <c r="L40" s="785"/>
      <c r="M40" s="881">
        <f>L40*J40</f>
        <v>0</v>
      </c>
      <c r="N40" s="223"/>
      <c r="O40" s="791">
        <v>843899218</v>
      </c>
      <c r="P40" s="882">
        <v>860949588</v>
      </c>
      <c r="Q40" s="313" t="s">
        <v>2327</v>
      </c>
      <c r="R40" s="883">
        <f>IF(O40=0,0,P40/O40)</f>
        <v>1.0202042727808287</v>
      </c>
      <c r="S40" s="223"/>
      <c r="T40" s="818">
        <v>1021526914</v>
      </c>
      <c r="U40" s="106" t="s">
        <v>2328</v>
      </c>
      <c r="V40" s="157">
        <f>T40*R40</f>
        <v>1042166122.4234141</v>
      </c>
      <c r="W40" s="223"/>
      <c r="X40" s="723"/>
      <c r="Z40" s="818">
        <v>790224149</v>
      </c>
      <c r="AA40" s="106" t="s">
        <v>2329</v>
      </c>
      <c r="AB40" s="157">
        <v>737013575</v>
      </c>
      <c r="AC40" s="157"/>
      <c r="AD40" s="723"/>
      <c r="AF40" s="157">
        <v>737013575</v>
      </c>
      <c r="AG40" s="106" t="s">
        <v>2329</v>
      </c>
      <c r="AH40" s="223"/>
      <c r="AI40" s="818">
        <v>924804543</v>
      </c>
      <c r="AJ40" s="106" t="s">
        <v>2330</v>
      </c>
      <c r="AK40" s="5358">
        <v>10789828480</v>
      </c>
      <c r="AL40" s="223"/>
      <c r="AM40" s="723"/>
      <c r="AO40" s="117">
        <v>928041133</v>
      </c>
      <c r="AP40" s="3544">
        <v>1078982848</v>
      </c>
      <c r="AQ40" s="254" t="s">
        <v>2331</v>
      </c>
      <c r="AR40" s="6761">
        <f>AP40/AO40</f>
        <v>1.1626455009726384</v>
      </c>
      <c r="AS40" s="223"/>
      <c r="AT40" s="818">
        <v>1206763545</v>
      </c>
      <c r="AU40" s="57" t="s">
        <v>2332</v>
      </c>
      <c r="AV40" s="1794">
        <v>1122325748</v>
      </c>
      <c r="AW40" s="223"/>
      <c r="AX40" s="723"/>
      <c r="AZ40" s="2747">
        <v>1206.763545</v>
      </c>
      <c r="BA40" s="8177">
        <f>AZ40*BC40</f>
        <v>1108.3430373945714</v>
      </c>
      <c r="BB40" s="254"/>
      <c r="BC40" s="8167">
        <f>BC23</f>
        <v>0.91844259133181838</v>
      </c>
      <c r="BD40" s="223"/>
      <c r="BE40" s="2747">
        <v>1228.038448</v>
      </c>
      <c r="BF40" s="57"/>
      <c r="BG40" s="2788">
        <f>BE40*BH40</f>
        <v>1400.840463859304</v>
      </c>
      <c r="BH40" s="8167">
        <f>BH23</f>
        <v>1.1407138482844179</v>
      </c>
    </row>
    <row r="41" spans="1:60" x14ac:dyDescent="0.35">
      <c r="A41" s="9153"/>
      <c r="B41" s="885"/>
      <c r="C41" s="886" t="s">
        <v>2333</v>
      </c>
      <c r="E41" s="223"/>
      <c r="F41" s="790"/>
      <c r="H41" s="791"/>
      <c r="I41" s="792"/>
      <c r="J41" s="1003">
        <f>IF(H41=0,0,I41/H41)</f>
        <v>0</v>
      </c>
      <c r="L41" s="791"/>
      <c r="M41" s="808">
        <f>L41*J41</f>
        <v>0</v>
      </c>
      <c r="N41" s="143"/>
      <c r="O41" s="791">
        <v>1585919077</v>
      </c>
      <c r="P41" s="887">
        <v>1605751791</v>
      </c>
      <c r="Q41" s="313" t="s">
        <v>2327</v>
      </c>
      <c r="R41" s="877">
        <f>IF(O41=0,0,P41/O41)</f>
        <v>1.0125055018806612</v>
      </c>
      <c r="S41" s="143"/>
      <c r="T41" s="818">
        <v>2013913015</v>
      </c>
      <c r="U41" s="106" t="s">
        <v>2328</v>
      </c>
      <c r="V41" s="157">
        <f>T41*R41</f>
        <v>2039098007.9965706</v>
      </c>
      <c r="W41" s="143"/>
      <c r="X41" s="723"/>
      <c r="Z41" s="818">
        <f>431586</f>
        <v>431586</v>
      </c>
      <c r="AA41" s="106" t="s">
        <v>2329</v>
      </c>
      <c r="AB41" s="157">
        <f>431586</f>
        <v>431586</v>
      </c>
      <c r="AC41" s="157"/>
      <c r="AD41" s="723"/>
      <c r="AF41" s="157"/>
      <c r="AG41" s="106" t="s">
        <v>2329</v>
      </c>
      <c r="AH41" s="143"/>
      <c r="AI41" s="818"/>
      <c r="AJ41" s="106" t="s">
        <v>2330</v>
      </c>
      <c r="AK41" s="611"/>
      <c r="AL41" s="143"/>
      <c r="AM41" s="723"/>
      <c r="AO41" s="791"/>
      <c r="AP41" s="6778"/>
      <c r="AQ41" s="106"/>
      <c r="AR41" s="356"/>
      <c r="AS41" s="143"/>
      <c r="AT41" s="818"/>
      <c r="AU41" s="106"/>
      <c r="AV41" s="1795"/>
      <c r="AW41" s="143"/>
      <c r="AX41" s="723"/>
      <c r="AZ41" s="791"/>
      <c r="BA41" s="6778"/>
      <c r="BB41" s="106"/>
      <c r="BC41" s="356"/>
      <c r="BD41" s="143"/>
      <c r="BE41" s="818"/>
      <c r="BF41" s="106"/>
      <c r="BG41" s="1795"/>
      <c r="BH41" s="356"/>
    </row>
    <row r="42" spans="1:60" x14ac:dyDescent="0.35">
      <c r="A42" s="9153"/>
      <c r="B42" s="196" t="s">
        <v>531</v>
      </c>
      <c r="C42" s="889"/>
      <c r="E42" s="457"/>
      <c r="F42" s="865"/>
      <c r="G42" s="457"/>
      <c r="H42" s="866"/>
      <c r="I42" s="847"/>
      <c r="J42" s="890"/>
      <c r="K42" s="457"/>
      <c r="L42" s="866"/>
      <c r="M42" s="891"/>
      <c r="O42" s="866"/>
      <c r="P42" s="892"/>
      <c r="Q42" s="106"/>
      <c r="R42" s="64"/>
      <c r="T42" s="866"/>
      <c r="U42" s="106"/>
      <c r="V42" s="157"/>
      <c r="X42" s="893"/>
      <c r="Z42" s="866"/>
      <c r="AA42" s="106"/>
      <c r="AB42" s="157"/>
      <c r="AC42" s="157"/>
      <c r="AD42" s="893"/>
      <c r="AF42" s="157"/>
      <c r="AG42" s="106"/>
      <c r="AH42" s="1"/>
      <c r="AI42" s="866"/>
      <c r="AJ42" s="106"/>
      <c r="AK42" s="157"/>
      <c r="AL42" s="1"/>
      <c r="AM42" s="893"/>
      <c r="AO42" s="866"/>
      <c r="AP42" s="312"/>
      <c r="AQ42" s="106"/>
      <c r="AR42" s="110"/>
      <c r="AS42" s="1"/>
      <c r="AT42" s="866"/>
      <c r="AU42" s="106"/>
      <c r="AV42" s="157"/>
      <c r="AW42" s="1"/>
      <c r="AX42" s="893"/>
      <c r="AZ42" s="866"/>
      <c r="BA42" s="312"/>
      <c r="BB42" s="106"/>
      <c r="BC42" s="110"/>
      <c r="BD42" s="1"/>
      <c r="BE42" s="866"/>
      <c r="BF42" s="106"/>
      <c r="BG42" s="157"/>
      <c r="BH42" s="110"/>
    </row>
    <row r="43" spans="1:60" x14ac:dyDescent="0.35">
      <c r="A43" s="9153"/>
      <c r="B43" s="873"/>
      <c r="C43" s="874" t="s">
        <v>532</v>
      </c>
      <c r="F43" s="779"/>
      <c r="H43" s="780"/>
      <c r="I43" s="781"/>
      <c r="J43" s="1003">
        <f>IF(H43=0,0,I43/H43)</f>
        <v>0</v>
      </c>
      <c r="L43" s="780"/>
      <c r="M43" s="875">
        <f>L43*J43</f>
        <v>0</v>
      </c>
      <c r="O43" s="780"/>
      <c r="P43" s="876">
        <f>O43*M43</f>
        <v>0</v>
      </c>
      <c r="Q43" s="106"/>
      <c r="R43" s="64">
        <f>IF(O43=0,0,P43/O43)</f>
        <v>0</v>
      </c>
      <c r="T43" s="780"/>
      <c r="U43" s="106"/>
      <c r="V43" s="157">
        <f>T43*R43</f>
        <v>0</v>
      </c>
      <c r="X43" s="723"/>
      <c r="Z43" s="780"/>
      <c r="AA43" s="106"/>
      <c r="AB43" s="157">
        <f>Z43*X43</f>
        <v>0</v>
      </c>
      <c r="AC43" s="157"/>
      <c r="AD43" s="723"/>
      <c r="AF43" s="157">
        <f>AD43*AB43</f>
        <v>0</v>
      </c>
      <c r="AG43" s="106"/>
      <c r="AH43" s="1"/>
      <c r="AI43" s="780">
        <v>0</v>
      </c>
      <c r="AJ43" s="106"/>
      <c r="AK43" s="611">
        <v>0</v>
      </c>
      <c r="AL43" s="1"/>
      <c r="AM43" s="723"/>
      <c r="AO43" s="780"/>
      <c r="AP43" s="6778"/>
      <c r="AQ43" s="106"/>
      <c r="AR43" s="110"/>
      <c r="AS43" s="1"/>
      <c r="AT43" s="780"/>
      <c r="AU43" s="106"/>
      <c r="AV43" s="6779"/>
      <c r="AW43" s="1"/>
      <c r="AX43" s="723"/>
      <c r="AZ43" s="780"/>
      <c r="BA43" s="6778"/>
      <c r="BB43" s="106"/>
      <c r="BC43" s="110"/>
      <c r="BD43" s="1"/>
      <c r="BE43" s="780"/>
      <c r="BF43" s="106"/>
      <c r="BG43" s="6779"/>
      <c r="BH43" s="110"/>
    </row>
    <row r="44" spans="1:60" x14ac:dyDescent="0.35">
      <c r="A44" s="9153"/>
      <c r="B44" s="873"/>
      <c r="C44" s="874" t="s">
        <v>533</v>
      </c>
      <c r="F44" s="788"/>
      <c r="H44" s="785"/>
      <c r="I44" s="786"/>
      <c r="J44" s="1003">
        <f>IF(H44=0,0,I44/H44)</f>
        <v>0</v>
      </c>
      <c r="L44" s="785"/>
      <c r="M44" s="881">
        <f>L44*J44</f>
        <v>0</v>
      </c>
      <c r="O44" s="785"/>
      <c r="P44" s="882">
        <f>O44*M44</f>
        <v>0</v>
      </c>
      <c r="Q44" s="106"/>
      <c r="R44" s="64">
        <f>IF(O44=0,0,P44/O44)</f>
        <v>0</v>
      </c>
      <c r="T44" s="785"/>
      <c r="U44" s="106"/>
      <c r="V44" s="157">
        <f>T44*R44</f>
        <v>0</v>
      </c>
      <c r="X44" s="723"/>
      <c r="Z44" s="785"/>
      <c r="AA44" s="106"/>
      <c r="AB44" s="157">
        <f>Z44*X44</f>
        <v>0</v>
      </c>
      <c r="AC44" s="157"/>
      <c r="AD44" s="723"/>
      <c r="AF44" s="157">
        <f>AD44*AB44</f>
        <v>0</v>
      </c>
      <c r="AG44" s="106"/>
      <c r="AH44" s="1"/>
      <c r="AI44" s="785">
        <v>0</v>
      </c>
      <c r="AJ44" s="106"/>
      <c r="AK44" s="611">
        <v>0</v>
      </c>
      <c r="AL44" s="1"/>
      <c r="AM44" s="723"/>
      <c r="AO44" s="785"/>
      <c r="AP44" s="6778"/>
      <c r="AQ44" s="6780" t="s">
        <v>2334</v>
      </c>
      <c r="AR44" s="110"/>
      <c r="AS44" s="1"/>
      <c r="AT44" s="785"/>
      <c r="AU44" s="106"/>
      <c r="AV44" s="6779"/>
      <c r="AW44" s="1"/>
      <c r="AX44" s="723"/>
      <c r="AZ44" s="785"/>
      <c r="BA44" s="6778"/>
      <c r="BB44" s="8178"/>
      <c r="BC44" s="110"/>
      <c r="BD44" s="1"/>
      <c r="BE44" s="785"/>
      <c r="BF44" s="106"/>
      <c r="BG44" s="6779"/>
      <c r="BH44" s="110"/>
    </row>
    <row r="45" spans="1:60" x14ac:dyDescent="0.35">
      <c r="A45" s="9153"/>
      <c r="B45" s="895"/>
      <c r="C45" s="896" t="s">
        <v>534</v>
      </c>
      <c r="F45" s="795"/>
      <c r="H45" s="791"/>
      <c r="I45" s="792"/>
      <c r="J45" s="1003">
        <f>IF(H45=0,0,I45/H45)</f>
        <v>0</v>
      </c>
      <c r="L45" s="796"/>
      <c r="M45" s="897">
        <f>L45*J45</f>
        <v>0</v>
      </c>
      <c r="O45" s="796"/>
      <c r="P45" s="898">
        <f>O45*M45</f>
        <v>0</v>
      </c>
      <c r="Q45" s="216"/>
      <c r="R45" s="133">
        <f>IF(O45=0,0,P45/O45)</f>
        <v>0</v>
      </c>
      <c r="T45" s="796"/>
      <c r="U45" s="216"/>
      <c r="V45" s="1043">
        <f>T45*R45</f>
        <v>0</v>
      </c>
      <c r="X45" s="722"/>
      <c r="Z45" s="796"/>
      <c r="AA45" s="216"/>
      <c r="AB45" s="1043">
        <f>Z45*X45</f>
        <v>0</v>
      </c>
      <c r="AC45" s="234"/>
      <c r="AD45" s="722"/>
      <c r="AF45" s="1043">
        <f>AD45*AB45</f>
        <v>0</v>
      </c>
      <c r="AG45" s="216"/>
      <c r="AH45" s="1"/>
      <c r="AI45" s="796">
        <v>0</v>
      </c>
      <c r="AJ45" s="216"/>
      <c r="AK45" s="4928">
        <v>0</v>
      </c>
      <c r="AL45" s="1"/>
      <c r="AM45" s="722"/>
      <c r="AO45" s="796"/>
      <c r="AP45" s="3545"/>
      <c r="AQ45" s="216"/>
      <c r="AR45" s="129"/>
      <c r="AS45" s="1"/>
      <c r="AT45" s="796"/>
      <c r="AU45" s="216"/>
      <c r="AV45" s="846"/>
      <c r="AW45" s="1"/>
      <c r="AX45" s="722"/>
      <c r="AZ45" s="796"/>
      <c r="BA45" s="3545"/>
      <c r="BB45" s="216"/>
      <c r="BC45" s="129"/>
      <c r="BD45" s="1"/>
      <c r="BE45" s="796"/>
      <c r="BF45" s="216"/>
      <c r="BG45" s="846"/>
      <c r="BH45" s="129"/>
    </row>
    <row r="46" spans="1:60" x14ac:dyDescent="0.35">
      <c r="A46" s="9153"/>
      <c r="B46" s="141" t="s">
        <v>535</v>
      </c>
      <c r="C46" s="899"/>
      <c r="E46" s="457"/>
      <c r="F46" s="870"/>
      <c r="G46" s="457"/>
      <c r="H46" s="773"/>
      <c r="I46" s="774"/>
      <c r="J46" s="1047"/>
      <c r="K46" s="457"/>
      <c r="L46" s="866"/>
      <c r="M46" s="891"/>
      <c r="N46" s="143"/>
      <c r="O46" s="866"/>
      <c r="P46" s="892"/>
      <c r="Q46" s="106"/>
      <c r="R46" s="877"/>
      <c r="S46" s="143"/>
      <c r="T46" s="866"/>
      <c r="U46" s="106"/>
      <c r="V46" s="901"/>
      <c r="W46" s="143"/>
      <c r="X46" s="718"/>
      <c r="Z46" s="866"/>
      <c r="AA46" s="106"/>
      <c r="AB46" s="901"/>
      <c r="AC46" s="901"/>
      <c r="AD46" s="718"/>
      <c r="AF46" s="901"/>
      <c r="AG46" s="106"/>
      <c r="AH46" s="143"/>
      <c r="AI46" s="866"/>
      <c r="AJ46" s="106"/>
      <c r="AK46" s="901"/>
      <c r="AL46" s="143"/>
      <c r="AM46" s="718"/>
      <c r="AO46" s="773"/>
      <c r="AP46" s="152"/>
      <c r="AQ46" s="103"/>
      <c r="AR46" s="6781"/>
      <c r="AS46" s="143"/>
      <c r="AT46" s="866"/>
      <c r="AU46" s="106"/>
      <c r="AV46" s="148"/>
      <c r="AW46" s="143"/>
      <c r="AX46" s="718"/>
      <c r="AZ46" s="773"/>
      <c r="BA46" s="8179" t="s">
        <v>1284</v>
      </c>
      <c r="BB46" s="481"/>
      <c r="BC46" s="6781"/>
      <c r="BD46" s="143"/>
      <c r="BE46" s="866"/>
      <c r="BF46" s="313" t="s">
        <v>2314</v>
      </c>
      <c r="BG46" s="8180" t="s">
        <v>1284</v>
      </c>
      <c r="BH46" s="6781"/>
    </row>
    <row r="47" spans="1:60" x14ac:dyDescent="0.35">
      <c r="A47" s="9153"/>
      <c r="B47" s="240"/>
      <c r="C47" s="874" t="s">
        <v>532</v>
      </c>
      <c r="F47" s="779"/>
      <c r="H47" s="780"/>
      <c r="I47" s="781"/>
      <c r="J47" s="1003">
        <f t="shared" ref="J47:J53" si="2">IF(H47=0,0,I47/H47)</f>
        <v>0</v>
      </c>
      <c r="L47" s="780"/>
      <c r="M47" s="902">
        <f t="shared" ref="M47:M53" si="3">L47*J47</f>
        <v>0</v>
      </c>
      <c r="O47" s="780"/>
      <c r="P47" s="882">
        <f t="shared" ref="P47:P53" si="4">O47*M47</f>
        <v>0</v>
      </c>
      <c r="Q47" s="106"/>
      <c r="R47" s="64">
        <f t="shared" ref="R47:R53" si="5">IF(O47=0,0,P47/O47)</f>
        <v>0</v>
      </c>
      <c r="T47" s="780"/>
      <c r="U47" s="106"/>
      <c r="V47" s="234">
        <f t="shared" ref="V47:V53" si="6">T47*R47</f>
        <v>0</v>
      </c>
      <c r="X47" s="903"/>
      <c r="Z47" s="780"/>
      <c r="AA47" s="106"/>
      <c r="AB47" s="234">
        <f t="shared" ref="AB47:AB53" si="7">Z47*X47</f>
        <v>0</v>
      </c>
      <c r="AC47" s="234"/>
      <c r="AD47" s="903"/>
      <c r="AF47" s="234">
        <f t="shared" ref="AF47:AF53" si="8">AD47*AB47</f>
        <v>0</v>
      </c>
      <c r="AG47" s="106"/>
      <c r="AH47" s="1"/>
      <c r="AI47" s="780">
        <v>0</v>
      </c>
      <c r="AJ47" s="106"/>
      <c r="AK47" s="4929">
        <v>0</v>
      </c>
      <c r="AL47" s="1"/>
      <c r="AM47" s="903"/>
      <c r="AO47" s="791"/>
      <c r="AP47" s="6778"/>
      <c r="AQ47" s="106"/>
      <c r="AR47" s="356"/>
      <c r="AS47" s="1"/>
      <c r="AT47" s="780"/>
      <c r="AU47" s="106"/>
      <c r="AV47" s="6779"/>
      <c r="AW47" s="1"/>
      <c r="AX47" s="903"/>
      <c r="AZ47" s="8181">
        <v>262.01651700000002</v>
      </c>
      <c r="BA47" s="8182">
        <f>AZ47</f>
        <v>262.01651700000002</v>
      </c>
      <c r="BB47" s="313" t="s">
        <v>2335</v>
      </c>
      <c r="BC47" s="356"/>
      <c r="BD47" s="1"/>
      <c r="BE47" s="8183">
        <v>470</v>
      </c>
      <c r="BF47" s="5935" t="s">
        <v>2335</v>
      </c>
      <c r="BG47" s="8184">
        <f>BE47</f>
        <v>470</v>
      </c>
      <c r="BH47" s="356"/>
    </row>
    <row r="48" spans="1:60" x14ac:dyDescent="0.35">
      <c r="A48" s="9153"/>
      <c r="B48" s="240"/>
      <c r="C48" s="874" t="s">
        <v>533</v>
      </c>
      <c r="F48" s="788"/>
      <c r="H48" s="785"/>
      <c r="I48" s="786"/>
      <c r="J48" s="1003">
        <f t="shared" si="2"/>
        <v>0</v>
      </c>
      <c r="L48" s="785"/>
      <c r="M48" s="905">
        <f t="shared" si="3"/>
        <v>0</v>
      </c>
      <c r="O48" s="785"/>
      <c r="P48" s="882">
        <f t="shared" si="4"/>
        <v>0</v>
      </c>
      <c r="Q48" s="106"/>
      <c r="R48" s="64">
        <f t="shared" si="5"/>
        <v>0</v>
      </c>
      <c r="T48" s="785"/>
      <c r="U48" s="106"/>
      <c r="V48" s="234">
        <f t="shared" si="6"/>
        <v>0</v>
      </c>
      <c r="X48" s="723"/>
      <c r="Z48" s="785"/>
      <c r="AA48" s="106"/>
      <c r="AB48" s="234">
        <f t="shared" si="7"/>
        <v>0</v>
      </c>
      <c r="AC48" s="234"/>
      <c r="AD48" s="723"/>
      <c r="AF48" s="234">
        <f t="shared" si="8"/>
        <v>0</v>
      </c>
      <c r="AG48" s="106"/>
      <c r="AH48" s="1"/>
      <c r="AI48" s="785">
        <v>0</v>
      </c>
      <c r="AJ48" s="106"/>
      <c r="AK48" s="4929">
        <v>0</v>
      </c>
      <c r="AL48" s="1"/>
      <c r="AM48" s="723"/>
      <c r="AO48" s="791"/>
      <c r="AP48" s="6778"/>
      <c r="AQ48" s="106"/>
      <c r="AR48" s="356"/>
      <c r="AS48" s="1"/>
      <c r="AT48" s="785"/>
      <c r="AU48" s="106"/>
      <c r="AV48" s="6779"/>
      <c r="AW48" s="1"/>
      <c r="AX48" s="723"/>
      <c r="AZ48" s="791"/>
      <c r="BA48" s="6778"/>
      <c r="BB48" s="106"/>
      <c r="BC48" s="356"/>
      <c r="BD48" s="1"/>
      <c r="BE48" s="785"/>
      <c r="BF48" s="106"/>
      <c r="BG48" s="6779"/>
      <c r="BH48" s="356"/>
    </row>
    <row r="49" spans="1:60" x14ac:dyDescent="0.35">
      <c r="A49" s="9153"/>
      <c r="B49" s="240"/>
      <c r="C49" s="874" t="s">
        <v>534</v>
      </c>
      <c r="F49" s="788"/>
      <c r="H49" s="785"/>
      <c r="I49" s="786"/>
      <c r="J49" s="1003">
        <f t="shared" si="2"/>
        <v>0</v>
      </c>
      <c r="L49" s="785"/>
      <c r="M49" s="905">
        <f t="shared" si="3"/>
        <v>0</v>
      </c>
      <c r="O49" s="785"/>
      <c r="P49" s="882">
        <f t="shared" si="4"/>
        <v>0</v>
      </c>
      <c r="Q49" s="106"/>
      <c r="R49" s="64">
        <f t="shared" si="5"/>
        <v>0</v>
      </c>
      <c r="T49" s="785"/>
      <c r="U49" s="106"/>
      <c r="V49" s="234">
        <f t="shared" si="6"/>
        <v>0</v>
      </c>
      <c r="X49" s="723"/>
      <c r="Z49" s="785"/>
      <c r="AA49" s="106"/>
      <c r="AB49" s="234">
        <f t="shared" si="7"/>
        <v>0</v>
      </c>
      <c r="AC49" s="234"/>
      <c r="AD49" s="723"/>
      <c r="AF49" s="234">
        <f t="shared" si="8"/>
        <v>0</v>
      </c>
      <c r="AG49" s="106"/>
      <c r="AH49" s="1"/>
      <c r="AI49" s="785">
        <v>0</v>
      </c>
      <c r="AJ49" s="106"/>
      <c r="AK49" s="4929">
        <v>0</v>
      </c>
      <c r="AL49" s="1"/>
      <c r="AM49" s="723"/>
      <c r="AO49" s="791"/>
      <c r="AP49" s="6778"/>
      <c r="AQ49" s="106"/>
      <c r="AR49" s="356"/>
      <c r="AS49" s="1"/>
      <c r="AT49" s="785"/>
      <c r="AU49" s="106"/>
      <c r="AV49" s="6779"/>
      <c r="AW49" s="1"/>
      <c r="AX49" s="723"/>
      <c r="AZ49" s="791"/>
      <c r="BA49" s="6778"/>
      <c r="BB49" s="106"/>
      <c r="BC49" s="356"/>
      <c r="BD49" s="1"/>
      <c r="BE49" s="785"/>
      <c r="BF49" s="106"/>
      <c r="BG49" s="6779"/>
      <c r="BH49" s="356"/>
    </row>
    <row r="50" spans="1:60" x14ac:dyDescent="0.35">
      <c r="A50" s="9153"/>
      <c r="B50" s="240"/>
      <c r="C50" s="874" t="s">
        <v>536</v>
      </c>
      <c r="E50" s="457"/>
      <c r="F50" s="788"/>
      <c r="H50" s="785"/>
      <c r="I50" s="786"/>
      <c r="J50" s="1003">
        <f t="shared" si="2"/>
        <v>0</v>
      </c>
      <c r="L50" s="785"/>
      <c r="M50" s="905">
        <f t="shared" si="3"/>
        <v>0</v>
      </c>
      <c r="N50" s="143"/>
      <c r="O50" s="785"/>
      <c r="P50" s="882">
        <f t="shared" si="4"/>
        <v>0</v>
      </c>
      <c r="Q50" s="106"/>
      <c r="R50" s="64">
        <f t="shared" si="5"/>
        <v>0</v>
      </c>
      <c r="S50" s="143"/>
      <c r="T50" s="785"/>
      <c r="U50" s="106"/>
      <c r="V50" s="234">
        <f t="shared" si="6"/>
        <v>0</v>
      </c>
      <c r="W50" s="143"/>
      <c r="X50" s="893"/>
      <c r="Z50" s="785"/>
      <c r="AA50" s="106"/>
      <c r="AB50" s="234">
        <f t="shared" si="7"/>
        <v>0</v>
      </c>
      <c r="AC50" s="234"/>
      <c r="AD50" s="893"/>
      <c r="AF50" s="234">
        <f t="shared" si="8"/>
        <v>0</v>
      </c>
      <c r="AG50" s="106"/>
      <c r="AH50" s="143"/>
      <c r="AI50" s="785">
        <v>0</v>
      </c>
      <c r="AJ50" s="106"/>
      <c r="AK50" s="4929">
        <v>0</v>
      </c>
      <c r="AL50" s="143"/>
      <c r="AM50" s="893"/>
      <c r="AO50" s="791"/>
      <c r="AP50" s="6778"/>
      <c r="AQ50" s="106"/>
      <c r="AR50" s="356"/>
      <c r="AS50" s="143"/>
      <c r="AT50" s="785"/>
      <c r="AU50" s="106"/>
      <c r="AV50" s="6779"/>
      <c r="AW50" s="143"/>
      <c r="AX50" s="893"/>
      <c r="AZ50" s="791"/>
      <c r="BA50" s="6778"/>
      <c r="BB50" s="106"/>
      <c r="BC50" s="356"/>
      <c r="BD50" s="143"/>
      <c r="BE50" s="785"/>
      <c r="BF50" s="106"/>
      <c r="BG50" s="6779"/>
      <c r="BH50" s="356"/>
    </row>
    <row r="51" spans="1:60" x14ac:dyDescent="0.35">
      <c r="A51" s="9153"/>
      <c r="B51" s="240"/>
      <c r="C51" s="874" t="s">
        <v>537</v>
      </c>
      <c r="F51" s="788"/>
      <c r="H51" s="785"/>
      <c r="I51" s="786"/>
      <c r="J51" s="1003">
        <f t="shared" si="2"/>
        <v>0</v>
      </c>
      <c r="L51" s="785"/>
      <c r="M51" s="905">
        <f t="shared" si="3"/>
        <v>0</v>
      </c>
      <c r="O51" s="785"/>
      <c r="P51" s="882">
        <f t="shared" si="4"/>
        <v>0</v>
      </c>
      <c r="Q51" s="106"/>
      <c r="R51" s="64">
        <f t="shared" si="5"/>
        <v>0</v>
      </c>
      <c r="T51" s="785"/>
      <c r="U51" s="106"/>
      <c r="V51" s="234">
        <f t="shared" si="6"/>
        <v>0</v>
      </c>
      <c r="X51" s="723"/>
      <c r="Z51" s="785"/>
      <c r="AA51" s="106"/>
      <c r="AB51" s="234">
        <f t="shared" si="7"/>
        <v>0</v>
      </c>
      <c r="AC51" s="234"/>
      <c r="AD51" s="723"/>
      <c r="AF51" s="234">
        <f t="shared" si="8"/>
        <v>0</v>
      </c>
      <c r="AG51" s="106"/>
      <c r="AH51" s="1"/>
      <c r="AI51" s="785">
        <v>0</v>
      </c>
      <c r="AJ51" s="106"/>
      <c r="AK51" s="4929">
        <v>0</v>
      </c>
      <c r="AL51" s="1"/>
      <c r="AM51" s="723"/>
      <c r="AO51" s="791"/>
      <c r="AP51" s="6778"/>
      <c r="AQ51" s="106"/>
      <c r="AR51" s="356"/>
      <c r="AS51" s="1"/>
      <c r="AT51" s="785"/>
      <c r="AU51" s="106"/>
      <c r="AV51" s="6779"/>
      <c r="AW51" s="1"/>
      <c r="AX51" s="723"/>
      <c r="AZ51" s="791"/>
      <c r="BA51" s="6778"/>
      <c r="BB51" s="106"/>
      <c r="BC51" s="356"/>
      <c r="BD51" s="1"/>
      <c r="BE51" s="785"/>
      <c r="BF51" s="106"/>
      <c r="BG51" s="6779"/>
      <c r="BH51" s="356"/>
    </row>
    <row r="52" spans="1:60" x14ac:dyDescent="0.35">
      <c r="A52" s="9153"/>
      <c r="B52" s="240"/>
      <c r="C52" s="874" t="s">
        <v>538</v>
      </c>
      <c r="F52" s="788"/>
      <c r="H52" s="785"/>
      <c r="I52" s="786"/>
      <c r="J52" s="1003">
        <f t="shared" si="2"/>
        <v>0</v>
      </c>
      <c r="L52" s="785"/>
      <c r="M52" s="905">
        <f t="shared" si="3"/>
        <v>0</v>
      </c>
      <c r="O52" s="785"/>
      <c r="P52" s="882">
        <f t="shared" si="4"/>
        <v>0</v>
      </c>
      <c r="Q52" s="106"/>
      <c r="R52" s="64">
        <f t="shared" si="5"/>
        <v>0</v>
      </c>
      <c r="T52" s="785"/>
      <c r="U52" s="106"/>
      <c r="V52" s="234">
        <f t="shared" si="6"/>
        <v>0</v>
      </c>
      <c r="X52" s="723"/>
      <c r="Z52" s="785"/>
      <c r="AA52" s="106"/>
      <c r="AB52" s="234">
        <f t="shared" si="7"/>
        <v>0</v>
      </c>
      <c r="AC52" s="234"/>
      <c r="AD52" s="723"/>
      <c r="AF52" s="234">
        <f t="shared" si="8"/>
        <v>0</v>
      </c>
      <c r="AG52" s="106"/>
      <c r="AH52" s="1"/>
      <c r="AI52" s="785">
        <v>0</v>
      </c>
      <c r="AJ52" s="106"/>
      <c r="AK52" s="4929">
        <v>0</v>
      </c>
      <c r="AL52" s="1"/>
      <c r="AM52" s="723"/>
      <c r="AO52" s="791"/>
      <c r="AP52" s="6778"/>
      <c r="AQ52" s="106"/>
      <c r="AR52" s="356"/>
      <c r="AS52" s="1"/>
      <c r="AT52" s="785"/>
      <c r="AU52" s="106"/>
      <c r="AV52" s="6779"/>
      <c r="AW52" s="1"/>
      <c r="AX52" s="723"/>
      <c r="AZ52" s="791"/>
      <c r="BA52" s="6778"/>
      <c r="BB52" s="106"/>
      <c r="BC52" s="356"/>
      <c r="BD52" s="1"/>
      <c r="BE52" s="785"/>
      <c r="BF52" s="106"/>
      <c r="BG52" s="6779"/>
      <c r="BH52" s="356"/>
    </row>
    <row r="53" spans="1:60" x14ac:dyDescent="0.35">
      <c r="A53" s="9153"/>
      <c r="B53" s="241"/>
      <c r="C53" s="874" t="s">
        <v>539</v>
      </c>
      <c r="F53" s="795"/>
      <c r="H53" s="796"/>
      <c r="I53" s="797"/>
      <c r="J53" s="1004">
        <f t="shared" si="2"/>
        <v>0</v>
      </c>
      <c r="L53" s="791"/>
      <c r="M53" s="906">
        <f t="shared" si="3"/>
        <v>0</v>
      </c>
      <c r="O53" s="791"/>
      <c r="P53" s="907">
        <f t="shared" si="4"/>
        <v>0</v>
      </c>
      <c r="Q53" s="216"/>
      <c r="R53" s="133">
        <f t="shared" si="5"/>
        <v>0</v>
      </c>
      <c r="T53" s="791"/>
      <c r="U53" s="216"/>
      <c r="V53" s="1043">
        <f t="shared" si="6"/>
        <v>0</v>
      </c>
      <c r="X53" s="722"/>
      <c r="Z53" s="791"/>
      <c r="AA53" s="216"/>
      <c r="AB53" s="1043">
        <f t="shared" si="7"/>
        <v>0</v>
      </c>
      <c r="AC53" s="234"/>
      <c r="AD53" s="722"/>
      <c r="AF53" s="1043">
        <f t="shared" si="8"/>
        <v>0</v>
      </c>
      <c r="AG53" s="216"/>
      <c r="AH53" s="1"/>
      <c r="AI53" s="791">
        <v>0</v>
      </c>
      <c r="AJ53" s="216"/>
      <c r="AK53" s="4928">
        <v>0</v>
      </c>
      <c r="AL53" s="1"/>
      <c r="AM53" s="722"/>
      <c r="AO53" s="796"/>
      <c r="AP53" s="3545"/>
      <c r="AQ53" s="216"/>
      <c r="AR53" s="6782"/>
      <c r="AS53" s="1"/>
      <c r="AT53" s="791"/>
      <c r="AU53" s="216"/>
      <c r="AV53" s="846"/>
      <c r="AW53" s="1"/>
      <c r="AX53" s="722"/>
      <c r="AZ53" s="796"/>
      <c r="BA53" s="3545"/>
      <c r="BB53" s="216"/>
      <c r="BC53" s="6782"/>
      <c r="BD53" s="1"/>
      <c r="BE53" s="791"/>
      <c r="BF53" s="216"/>
      <c r="BG53" s="846"/>
      <c r="BH53" s="6782"/>
    </row>
    <row r="54" spans="1:60" x14ac:dyDescent="0.35">
      <c r="A54" s="9153"/>
      <c r="B54" s="139" t="s">
        <v>540</v>
      </c>
      <c r="C54" s="908"/>
      <c r="F54" s="870"/>
      <c r="G54" s="801"/>
      <c r="H54" s="866"/>
      <c r="I54" s="847"/>
      <c r="J54" s="1048"/>
      <c r="K54" s="801"/>
      <c r="L54" s="773"/>
      <c r="M54" s="910"/>
      <c r="O54" s="773"/>
      <c r="P54" s="912"/>
      <c r="Q54" s="106"/>
      <c r="R54" s="64"/>
      <c r="T54" s="773"/>
      <c r="U54" s="106"/>
      <c r="V54" s="234"/>
      <c r="X54" s="718"/>
      <c r="Z54" s="773" t="s">
        <v>2303</v>
      </c>
      <c r="AA54" s="106"/>
      <c r="AB54" s="234"/>
      <c r="AC54" s="234"/>
      <c r="AD54" s="718"/>
      <c r="AF54" s="234"/>
      <c r="AG54" s="106"/>
      <c r="AH54" s="1"/>
      <c r="AI54" s="773"/>
      <c r="AJ54" s="106"/>
      <c r="AK54" s="234"/>
      <c r="AL54" s="1"/>
      <c r="AM54" s="718"/>
      <c r="AO54" s="866" t="s">
        <v>2304</v>
      </c>
      <c r="AP54" s="6780" t="s">
        <v>2334</v>
      </c>
      <c r="AQ54" s="103"/>
      <c r="AR54" s="831"/>
      <c r="AS54" s="1"/>
      <c r="AT54" s="773"/>
      <c r="AU54" s="106"/>
      <c r="AV54" s="543"/>
      <c r="AW54" s="1"/>
      <c r="AX54" s="718"/>
      <c r="AZ54" s="866"/>
      <c r="BA54" s="8185" t="s">
        <v>2336</v>
      </c>
      <c r="BB54" s="103"/>
      <c r="BC54" s="831"/>
      <c r="BD54" s="1"/>
      <c r="BE54" s="773"/>
      <c r="BF54" s="106"/>
      <c r="BG54" s="8186" t="s">
        <v>2337</v>
      </c>
      <c r="BH54" s="831"/>
    </row>
    <row r="55" spans="1:60" x14ac:dyDescent="0.35">
      <c r="A55" s="9153"/>
      <c r="B55" s="873"/>
      <c r="C55" s="914" t="s">
        <v>551</v>
      </c>
      <c r="D55" s="456">
        <v>2</v>
      </c>
      <c r="F55" s="779">
        <f>(3016930952.98)*12/9</f>
        <v>4022574603.9733334</v>
      </c>
      <c r="H55" s="780">
        <v>4387062473</v>
      </c>
      <c r="I55" s="781">
        <v>5114256299</v>
      </c>
      <c r="J55" s="1003">
        <f>IF(H55=0,0,I55/H55)</f>
        <v>1.165758712230675</v>
      </c>
      <c r="L55" s="780">
        <v>4855888734</v>
      </c>
      <c r="M55" s="902">
        <f>L55*J55</f>
        <v>5660794597.2832823</v>
      </c>
      <c r="O55" s="780">
        <v>4914366857</v>
      </c>
      <c r="P55" s="876">
        <v>5530646389</v>
      </c>
      <c r="Q55" s="106" t="s">
        <v>2338</v>
      </c>
      <c r="R55" s="64">
        <f t="shared" ref="R55:R62" si="9">IF(O55=0,0,P55/O55)</f>
        <v>1.1254036481062</v>
      </c>
      <c r="T55" s="780">
        <v>4855888734</v>
      </c>
      <c r="U55" s="106" t="s">
        <v>2261</v>
      </c>
      <c r="V55" s="157">
        <f t="shared" ref="V55:V62" si="10">T55*R55</f>
        <v>5464834896.0413971</v>
      </c>
      <c r="X55" s="723"/>
      <c r="Z55" s="780">
        <v>6538286933</v>
      </c>
      <c r="AA55" s="106" t="s">
        <v>2339</v>
      </c>
      <c r="AB55" s="157">
        <f>Z55</f>
        <v>6538286933</v>
      </c>
      <c r="AC55" s="245"/>
      <c r="AD55" s="723"/>
      <c r="AF55" s="157"/>
      <c r="AG55" s="253"/>
      <c r="AH55" s="1"/>
      <c r="AI55" s="780">
        <v>7199744624</v>
      </c>
      <c r="AJ55" s="106" t="s">
        <v>2312</v>
      </c>
      <c r="AK55" s="611">
        <f>AI55</f>
        <v>7199744624</v>
      </c>
      <c r="AL55" s="1"/>
      <c r="AM55" s="723"/>
      <c r="AO55" s="780">
        <v>7199744624</v>
      </c>
      <c r="AP55" s="6778">
        <v>8836915058</v>
      </c>
      <c r="AR55" s="6761">
        <f>AP55/AO55</f>
        <v>1.2273928478716554</v>
      </c>
      <c r="AS55" s="1"/>
      <c r="AT55" s="112">
        <v>9120000000</v>
      </c>
      <c r="AU55" s="106" t="s">
        <v>2312</v>
      </c>
      <c r="AV55" s="6783">
        <f>AT55</f>
        <v>9120000000</v>
      </c>
      <c r="AW55" s="1"/>
      <c r="AX55" s="723"/>
      <c r="AZ55" s="2747">
        <v>9120</v>
      </c>
      <c r="BA55" s="6778">
        <f>AZ55*BC25</f>
        <v>8872.8146188001101</v>
      </c>
      <c r="BB55" s="462" t="s">
        <v>2288</v>
      </c>
      <c r="BC55" s="8167">
        <f>BA55/AZ55</f>
        <v>0.97289633978071388</v>
      </c>
      <c r="BD55" s="1"/>
      <c r="BE55" s="2755">
        <v>10445.711541999999</v>
      </c>
      <c r="BF55" s="106" t="s">
        <v>2340</v>
      </c>
      <c r="BG55" s="1009">
        <f>BE55*BC55</f>
        <v>10162.594525616956</v>
      </c>
      <c r="BH55" s="8167">
        <f>BG55/BE55</f>
        <v>0.97289633978071388</v>
      </c>
    </row>
    <row r="56" spans="1:60" x14ac:dyDescent="0.35">
      <c r="A56" s="9153"/>
      <c r="B56" s="873"/>
      <c r="C56" s="914" t="s">
        <v>2341</v>
      </c>
      <c r="F56" s="788"/>
      <c r="H56" s="785"/>
      <c r="I56" s="786"/>
      <c r="J56" s="1003">
        <f>IF(H56=0,0,I56/H56)</f>
        <v>0</v>
      </c>
      <c r="L56" s="785"/>
      <c r="M56" s="905">
        <f>L56*J56</f>
        <v>0</v>
      </c>
      <c r="O56" s="785"/>
      <c r="P56" s="882">
        <f t="shared" ref="P56:P61" si="11">O56*M56</f>
        <v>0</v>
      </c>
      <c r="Q56" s="106"/>
      <c r="R56" s="64">
        <f t="shared" si="9"/>
        <v>0</v>
      </c>
      <c r="T56" s="785">
        <v>22230057</v>
      </c>
      <c r="U56" s="106" t="s">
        <v>2342</v>
      </c>
      <c r="V56" s="157">
        <f t="shared" si="10"/>
        <v>0</v>
      </c>
      <c r="X56" s="723"/>
      <c r="Z56" s="785">
        <v>5766604</v>
      </c>
      <c r="AA56" s="106" t="s">
        <v>2343</v>
      </c>
      <c r="AB56" s="157">
        <v>5766604</v>
      </c>
      <c r="AC56" s="157"/>
      <c r="AD56" s="723"/>
      <c r="AF56" s="157"/>
      <c r="AG56" s="253"/>
      <c r="AH56" s="1"/>
      <c r="AI56" s="780">
        <v>1627370946</v>
      </c>
      <c r="AJ56" s="106"/>
      <c r="AK56" s="611">
        <f>AI56</f>
        <v>1627370946</v>
      </c>
      <c r="AL56" s="1"/>
      <c r="AM56" s="723"/>
      <c r="AO56" s="780">
        <v>94730897</v>
      </c>
      <c r="AP56" s="6784">
        <f>AO56</f>
        <v>94730897</v>
      </c>
      <c r="AQ56" s="253" t="s">
        <v>2344</v>
      </c>
      <c r="AR56" s="6761">
        <f>AP56/AO56</f>
        <v>1</v>
      </c>
      <c r="AS56" s="1"/>
      <c r="AT56" s="112">
        <v>86869138</v>
      </c>
      <c r="AU56" s="106" t="s">
        <v>2312</v>
      </c>
      <c r="AV56" s="6785">
        <f>AT56</f>
        <v>86869138</v>
      </c>
      <c r="AW56" s="1"/>
      <c r="AX56" s="723"/>
      <c r="AZ56" s="2747">
        <v>86.869138000000007</v>
      </c>
      <c r="BA56" s="6778">
        <f>AZ56*BC25</f>
        <v>84.514666400105725</v>
      </c>
      <c r="BB56" s="57" t="s">
        <v>2345</v>
      </c>
      <c r="BC56" s="8167">
        <f>BA55/AZ55</f>
        <v>0.97289633978071388</v>
      </c>
      <c r="BD56" s="1"/>
      <c r="BE56" s="2755">
        <v>85.516692000000006</v>
      </c>
      <c r="BF56" s="106" t="s">
        <v>2346</v>
      </c>
      <c r="BG56" s="1009">
        <f>BE56*BC56</f>
        <v>83.198876636954665</v>
      </c>
      <c r="BH56" s="8167">
        <f>BG56/BE56</f>
        <v>0.97289633978071388</v>
      </c>
    </row>
    <row r="57" spans="1:60" x14ac:dyDescent="0.35">
      <c r="A57" s="9153"/>
      <c r="B57" s="873"/>
      <c r="C57" s="914" t="s">
        <v>534</v>
      </c>
      <c r="F57" s="790"/>
      <c r="H57" s="791"/>
      <c r="I57" s="792"/>
      <c r="J57" s="1003">
        <f>IF(H57=0,0,I57/H57)</f>
        <v>0</v>
      </c>
      <c r="L57" s="791"/>
      <c r="M57" s="905">
        <f>L57*J57</f>
        <v>0</v>
      </c>
      <c r="O57" s="791"/>
      <c r="P57" s="882">
        <f t="shared" si="11"/>
        <v>0</v>
      </c>
      <c r="Q57" s="106"/>
      <c r="R57" s="64">
        <f t="shared" si="9"/>
        <v>0</v>
      </c>
      <c r="T57" s="791"/>
      <c r="U57" s="106"/>
      <c r="V57" s="157">
        <f t="shared" si="10"/>
        <v>0</v>
      </c>
      <c r="X57" s="723"/>
      <c r="Z57" s="791"/>
      <c r="AA57" s="106"/>
      <c r="AB57" s="157">
        <f t="shared" ref="AB57:AB62" si="12">Z57*X57</f>
        <v>0</v>
      </c>
      <c r="AC57" s="157"/>
      <c r="AD57" s="723"/>
      <c r="AF57" s="157"/>
      <c r="AG57" s="106"/>
      <c r="AH57" s="1"/>
      <c r="AI57" s="791"/>
      <c r="AJ57" s="106"/>
      <c r="AK57" s="611"/>
      <c r="AL57" s="1"/>
      <c r="AM57" s="723"/>
      <c r="AO57" s="791"/>
      <c r="AP57" s="6778"/>
      <c r="AQ57" s="106"/>
      <c r="AR57" s="110"/>
      <c r="AS57" s="1"/>
      <c r="AT57" s="242"/>
      <c r="AU57" s="106"/>
      <c r="AV57" s="1009"/>
      <c r="AW57" s="1"/>
      <c r="AX57" s="723"/>
      <c r="AZ57" s="791"/>
      <c r="BA57" s="6778"/>
      <c r="BB57" s="106"/>
      <c r="BC57" s="110"/>
      <c r="BD57" s="1"/>
      <c r="BE57" s="242"/>
      <c r="BF57" s="106"/>
      <c r="BG57" s="1009"/>
      <c r="BH57" s="110"/>
    </row>
    <row r="58" spans="1:60" x14ac:dyDescent="0.35">
      <c r="A58" s="9153"/>
      <c r="B58" s="873"/>
      <c r="C58" s="914" t="s">
        <v>536</v>
      </c>
      <c r="E58" s="801"/>
      <c r="F58" s="790"/>
      <c r="H58" s="791"/>
      <c r="I58" s="792"/>
      <c r="J58" s="1003">
        <f>IF(H58=0,0,I58/H58)</f>
        <v>0</v>
      </c>
      <c r="L58" s="791"/>
      <c r="M58" s="905">
        <f>L58*J58</f>
        <v>0</v>
      </c>
      <c r="N58" s="141"/>
      <c r="O58" s="791"/>
      <c r="P58" s="882">
        <f t="shared" si="11"/>
        <v>0</v>
      </c>
      <c r="Q58" s="106"/>
      <c r="R58" s="64">
        <f t="shared" si="9"/>
        <v>0</v>
      </c>
      <c r="S58" s="141"/>
      <c r="T58" s="791"/>
      <c r="U58" s="106"/>
      <c r="V58" s="157">
        <f t="shared" si="10"/>
        <v>0</v>
      </c>
      <c r="W58" s="141"/>
      <c r="X58" s="893"/>
      <c r="Z58" s="791"/>
      <c r="AA58" s="106"/>
      <c r="AB58" s="157">
        <f t="shared" si="12"/>
        <v>0</v>
      </c>
      <c r="AC58" s="157"/>
      <c r="AD58" s="893"/>
      <c r="AF58" s="157">
        <f t="shared" ref="AF58:AF62" si="13">AD58*AB58</f>
        <v>0</v>
      </c>
      <c r="AG58" s="106"/>
      <c r="AH58" s="141"/>
      <c r="AI58" s="791"/>
      <c r="AJ58" s="106"/>
      <c r="AK58" s="611"/>
      <c r="AL58" s="141"/>
      <c r="AM58" s="893"/>
      <c r="AO58" s="791"/>
      <c r="AP58" s="6778"/>
      <c r="AQ58" s="106"/>
      <c r="AR58" s="5595"/>
      <c r="AS58" s="141"/>
      <c r="AT58" s="242"/>
      <c r="AU58" s="106"/>
      <c r="AV58" s="1009"/>
      <c r="AW58" s="141"/>
      <c r="AX58" s="893"/>
      <c r="AZ58" s="791"/>
      <c r="BA58" s="6778"/>
      <c r="BB58" s="106"/>
      <c r="BC58" s="5595"/>
      <c r="BD58" s="141"/>
      <c r="BE58" s="242"/>
      <c r="BF58" s="106"/>
      <c r="BG58" s="1009"/>
      <c r="BH58" s="5595"/>
    </row>
    <row r="59" spans="1:60" x14ac:dyDescent="0.35">
      <c r="A59" s="9153"/>
      <c r="B59" s="873"/>
      <c r="C59" s="914" t="s">
        <v>537</v>
      </c>
      <c r="F59" s="790"/>
      <c r="H59" s="791"/>
      <c r="I59" s="792"/>
      <c r="J59" s="1003">
        <f>IF(H59=0,0,I59/H59)</f>
        <v>0</v>
      </c>
      <c r="L59" s="791"/>
      <c r="M59" s="905">
        <f>L59*J59</f>
        <v>0</v>
      </c>
      <c r="O59" s="791"/>
      <c r="P59" s="882">
        <f t="shared" si="11"/>
        <v>0</v>
      </c>
      <c r="Q59" s="106"/>
      <c r="R59" s="64">
        <f t="shared" si="9"/>
        <v>0</v>
      </c>
      <c r="T59" s="791"/>
      <c r="U59" s="106"/>
      <c r="V59" s="157">
        <f t="shared" si="10"/>
        <v>0</v>
      </c>
      <c r="X59" s="723"/>
      <c r="Z59" s="791"/>
      <c r="AA59" s="106"/>
      <c r="AB59" s="157">
        <f t="shared" si="12"/>
        <v>0</v>
      </c>
      <c r="AC59" s="157"/>
      <c r="AD59" s="723"/>
      <c r="AF59" s="157">
        <f t="shared" si="13"/>
        <v>0</v>
      </c>
      <c r="AG59" s="106"/>
      <c r="AH59" s="1"/>
      <c r="AI59" s="791"/>
      <c r="AJ59" s="106"/>
      <c r="AK59" s="611"/>
      <c r="AL59" s="1"/>
      <c r="AM59" s="723"/>
      <c r="AO59" s="791"/>
      <c r="AP59" s="6778"/>
      <c r="AQ59" s="106"/>
      <c r="AR59" s="110"/>
      <c r="AS59" s="1"/>
      <c r="AT59" s="242"/>
      <c r="AU59" s="106"/>
      <c r="AV59" s="1009"/>
      <c r="AW59" s="1"/>
      <c r="AX59" s="723"/>
      <c r="AZ59" s="791"/>
      <c r="BA59" s="6778"/>
      <c r="BB59" s="106"/>
      <c r="BC59" s="110"/>
      <c r="BD59" s="1"/>
      <c r="BE59" s="242"/>
      <c r="BF59" s="106"/>
      <c r="BG59" s="1009"/>
      <c r="BH59" s="110"/>
    </row>
    <row r="60" spans="1:60" x14ac:dyDescent="0.35">
      <c r="A60" s="9153"/>
      <c r="B60" s="873"/>
      <c r="C60" s="914" t="s">
        <v>538</v>
      </c>
      <c r="F60" s="790"/>
      <c r="H60" s="791"/>
      <c r="I60" s="792"/>
      <c r="J60" s="1003"/>
      <c r="L60" s="791"/>
      <c r="M60" s="905"/>
      <c r="O60" s="791"/>
      <c r="P60" s="882">
        <f t="shared" si="11"/>
        <v>0</v>
      </c>
      <c r="Q60" s="106"/>
      <c r="R60" s="64">
        <f t="shared" si="9"/>
        <v>0</v>
      </c>
      <c r="T60" s="791"/>
      <c r="U60" s="106"/>
      <c r="V60" s="157">
        <f t="shared" si="10"/>
        <v>0</v>
      </c>
      <c r="X60" s="723"/>
      <c r="Z60" s="791"/>
      <c r="AA60" s="106"/>
      <c r="AB60" s="157">
        <f t="shared" si="12"/>
        <v>0</v>
      </c>
      <c r="AC60" s="157"/>
      <c r="AD60" s="723"/>
      <c r="AF60" s="157">
        <f t="shared" si="13"/>
        <v>0</v>
      </c>
      <c r="AG60" s="106"/>
      <c r="AH60" s="1"/>
      <c r="AI60" s="791"/>
      <c r="AJ60" s="106"/>
      <c r="AK60" s="611"/>
      <c r="AL60" s="1"/>
      <c r="AM60" s="723"/>
      <c r="AO60" s="791"/>
      <c r="AP60" s="6778"/>
      <c r="AQ60" s="106"/>
      <c r="AR60" s="110"/>
      <c r="AS60" s="1"/>
      <c r="AT60" s="242"/>
      <c r="AU60" s="106"/>
      <c r="AV60" s="1009"/>
      <c r="AW60" s="1"/>
      <c r="AX60" s="723"/>
      <c r="AZ60" s="791"/>
      <c r="BA60" s="6778"/>
      <c r="BB60" s="106"/>
      <c r="BC60" s="110"/>
      <c r="BD60" s="1"/>
      <c r="BE60" s="242"/>
      <c r="BF60" s="106"/>
      <c r="BG60" s="1009"/>
      <c r="BH60" s="110"/>
    </row>
    <row r="61" spans="1:60" x14ac:dyDescent="0.35">
      <c r="A61" s="9153"/>
      <c r="B61" s="873"/>
      <c r="C61" s="914" t="s">
        <v>539</v>
      </c>
      <c r="F61" s="790"/>
      <c r="H61" s="791"/>
      <c r="I61" s="792"/>
      <c r="J61" s="1003">
        <f>IF(H61=0,0,I61/H61)</f>
        <v>0</v>
      </c>
      <c r="L61" s="791"/>
      <c r="M61" s="905">
        <f>L61*J61</f>
        <v>0</v>
      </c>
      <c r="O61" s="791"/>
      <c r="P61" s="882">
        <f t="shared" si="11"/>
        <v>0</v>
      </c>
      <c r="Q61" s="106"/>
      <c r="R61" s="64">
        <f t="shared" si="9"/>
        <v>0</v>
      </c>
      <c r="T61" s="791"/>
      <c r="U61" s="106"/>
      <c r="V61" s="157">
        <f t="shared" si="10"/>
        <v>0</v>
      </c>
      <c r="X61" s="723"/>
      <c r="Z61" s="791"/>
      <c r="AA61" s="106"/>
      <c r="AB61" s="157">
        <f t="shared" si="12"/>
        <v>0</v>
      </c>
      <c r="AC61" s="157"/>
      <c r="AD61" s="723"/>
      <c r="AF61" s="157">
        <f t="shared" si="13"/>
        <v>0</v>
      </c>
      <c r="AG61" s="106"/>
      <c r="AH61" s="1"/>
      <c r="AI61" s="791"/>
      <c r="AJ61" s="106"/>
      <c r="AK61" s="611"/>
      <c r="AL61" s="1"/>
      <c r="AM61" s="723"/>
      <c r="AO61" s="791"/>
      <c r="AP61" s="6778"/>
      <c r="AQ61" s="106"/>
      <c r="AR61" s="110"/>
      <c r="AS61" s="1"/>
      <c r="AT61" s="242"/>
      <c r="AU61" s="106"/>
      <c r="AV61" s="1009"/>
      <c r="AW61" s="1"/>
      <c r="AX61" s="723"/>
      <c r="AZ61" s="791"/>
      <c r="BA61" s="6778"/>
      <c r="BB61" s="106"/>
      <c r="BC61" s="110"/>
      <c r="BD61" s="1"/>
      <c r="BE61" s="242"/>
      <c r="BF61" s="106"/>
      <c r="BG61" s="1009"/>
      <c r="BH61" s="110"/>
    </row>
    <row r="62" spans="1:60" x14ac:dyDescent="0.35">
      <c r="A62" s="9153"/>
      <c r="B62" s="895"/>
      <c r="C62" s="917" t="s">
        <v>704</v>
      </c>
      <c r="F62" s="795"/>
      <c r="H62" s="791"/>
      <c r="I62" s="792"/>
      <c r="J62" s="1003">
        <f>IF(H62=0,0,I62/H62)</f>
        <v>0</v>
      </c>
      <c r="L62" s="791"/>
      <c r="M62" s="906">
        <f>L62*J62</f>
        <v>0</v>
      </c>
      <c r="O62" s="796"/>
      <c r="P62" s="898">
        <f>M62*O62</f>
        <v>0</v>
      </c>
      <c r="Q62" s="216"/>
      <c r="R62" s="133">
        <f t="shared" si="9"/>
        <v>0</v>
      </c>
      <c r="T62" s="796"/>
      <c r="U62" s="216"/>
      <c r="V62" s="1043">
        <f t="shared" si="10"/>
        <v>0</v>
      </c>
      <c r="X62" s="722"/>
      <c r="Z62" s="796"/>
      <c r="AA62" s="216"/>
      <c r="AB62" s="1043">
        <f t="shared" si="12"/>
        <v>0</v>
      </c>
      <c r="AC62" s="234"/>
      <c r="AD62" s="722"/>
      <c r="AF62" s="1043">
        <f t="shared" si="13"/>
        <v>0</v>
      </c>
      <c r="AG62" s="216"/>
      <c r="AH62" s="1"/>
      <c r="AI62" s="796"/>
      <c r="AJ62" s="216"/>
      <c r="AK62" s="4928"/>
      <c r="AL62" s="1"/>
      <c r="AM62" s="722"/>
      <c r="AO62" s="796"/>
      <c r="AP62" s="3545"/>
      <c r="AQ62" s="216"/>
      <c r="AR62" s="129"/>
      <c r="AS62" s="1"/>
      <c r="AT62" s="131"/>
      <c r="AU62" s="216"/>
      <c r="AV62" s="6786"/>
      <c r="AW62" s="1"/>
      <c r="AX62" s="722"/>
      <c r="AZ62" s="796"/>
      <c r="BA62" s="3545"/>
      <c r="BB62" s="216"/>
      <c r="BC62" s="129"/>
      <c r="BD62" s="1"/>
      <c r="BE62" s="131"/>
      <c r="BF62" s="216"/>
      <c r="BG62" s="8187"/>
      <c r="BH62" s="129"/>
    </row>
    <row r="63" spans="1:60" x14ac:dyDescent="0.35">
      <c r="A63" s="9153"/>
      <c r="B63" s="139" t="s">
        <v>552</v>
      </c>
      <c r="C63" s="908"/>
      <c r="F63" s="870"/>
      <c r="G63" s="457"/>
      <c r="H63" s="773"/>
      <c r="I63" s="774" t="s">
        <v>2347</v>
      </c>
      <c r="J63" s="776"/>
      <c r="K63" s="457"/>
      <c r="L63" s="773"/>
      <c r="M63" s="910"/>
      <c r="O63" s="919"/>
      <c r="P63" s="920"/>
      <c r="Q63" s="106"/>
      <c r="R63" s="64"/>
      <c r="T63" s="919"/>
      <c r="U63" s="106"/>
      <c r="V63" s="64"/>
      <c r="X63" s="723"/>
      <c r="Z63" s="919"/>
      <c r="AA63" s="106"/>
      <c r="AB63" s="64"/>
      <c r="AC63" s="64"/>
      <c r="AD63" s="723"/>
      <c r="AF63" s="64"/>
      <c r="AG63" s="106"/>
      <c r="AH63" s="1"/>
      <c r="AI63" s="919"/>
      <c r="AJ63" s="106"/>
      <c r="AK63" s="64"/>
      <c r="AL63" s="1"/>
      <c r="AM63" s="723"/>
      <c r="AO63" s="777"/>
      <c r="AP63" s="6787"/>
      <c r="AQ63" s="103"/>
      <c r="AR63" s="831"/>
      <c r="AS63" s="1"/>
      <c r="AT63" s="919"/>
      <c r="AU63" s="106"/>
      <c r="AV63" s="476"/>
      <c r="AW63" s="1"/>
      <c r="AX63" s="723"/>
      <c r="AZ63" s="777"/>
      <c r="BA63" s="6787"/>
      <c r="BB63" s="103"/>
      <c r="BC63" s="831"/>
      <c r="BD63" s="1"/>
      <c r="BE63" s="919"/>
      <c r="BF63" s="106"/>
      <c r="BG63" s="64"/>
      <c r="BH63" s="831"/>
    </row>
    <row r="64" spans="1:60" x14ac:dyDescent="0.35">
      <c r="A64" s="9153"/>
      <c r="B64" s="65"/>
      <c r="C64" s="921" t="s">
        <v>2348</v>
      </c>
      <c r="F64" s="779">
        <v>166171600</v>
      </c>
      <c r="H64" s="780">
        <v>712030693</v>
      </c>
      <c r="I64" s="781">
        <f>510741736*12/9</f>
        <v>680988981.33333337</v>
      </c>
      <c r="J64" s="1003">
        <f>IF(H64=0,0,I64/H64)</f>
        <v>0.95640396969984742</v>
      </c>
      <c r="L64" s="780">
        <v>853200063</v>
      </c>
      <c r="M64" s="902">
        <f>569135487*12/9</f>
        <v>758847316</v>
      </c>
      <c r="O64" s="242"/>
      <c r="P64" s="201"/>
      <c r="Q64" s="106"/>
      <c r="R64" s="64">
        <f>IF(O64=0,0,P64/O64)</f>
        <v>0</v>
      </c>
      <c r="T64" s="242"/>
      <c r="U64" s="106"/>
      <c r="V64" s="64">
        <f>T64*R64</f>
        <v>0</v>
      </c>
      <c r="X64" s="723"/>
      <c r="Z64" s="242"/>
      <c r="AA64" s="106"/>
      <c r="AB64" s="64">
        <f>Z64*X64</f>
        <v>0</v>
      </c>
      <c r="AC64" s="64"/>
      <c r="AD64" s="723"/>
      <c r="AF64" s="64">
        <f>AD64*AB64</f>
        <v>0</v>
      </c>
      <c r="AG64" s="106"/>
      <c r="AH64" s="1"/>
      <c r="AI64" s="242"/>
      <c r="AJ64" s="106"/>
      <c r="AK64" s="4930"/>
      <c r="AL64" s="1"/>
      <c r="AM64" s="723"/>
      <c r="AO64" s="242"/>
      <c r="AP64" s="6778"/>
      <c r="AQ64" s="106"/>
      <c r="AR64" s="110"/>
      <c r="AS64" s="1"/>
      <c r="AT64" s="242"/>
      <c r="AU64" s="106"/>
      <c r="AV64" s="3235"/>
      <c r="AW64" s="1"/>
      <c r="AX64" s="723"/>
      <c r="AZ64" s="242"/>
      <c r="BA64" s="6778"/>
      <c r="BB64" s="106"/>
      <c r="BC64" s="110"/>
      <c r="BD64" s="1"/>
      <c r="BE64" s="242"/>
      <c r="BF64" s="106"/>
      <c r="BG64" s="4930"/>
      <c r="BH64" s="110"/>
    </row>
    <row r="65" spans="1:60" x14ac:dyDescent="0.35">
      <c r="A65" s="9153"/>
      <c r="B65" s="80"/>
      <c r="C65" s="921" t="s">
        <v>554</v>
      </c>
      <c r="F65" s="788"/>
      <c r="H65" s="785"/>
      <c r="I65" s="786"/>
      <c r="J65" s="1003"/>
      <c r="L65" s="785"/>
      <c r="M65" s="905"/>
      <c r="O65" s="242"/>
      <c r="P65" s="201"/>
      <c r="Q65" s="106"/>
      <c r="R65" s="64">
        <f>IF(O65=0,0,P65/O65)</f>
        <v>0</v>
      </c>
      <c r="T65" s="242"/>
      <c r="U65" s="106"/>
      <c r="V65" s="64">
        <f>T65*R65</f>
        <v>0</v>
      </c>
      <c r="X65" s="723"/>
      <c r="Z65" s="242"/>
      <c r="AA65" s="106"/>
      <c r="AB65" s="64">
        <f>Z65*X65</f>
        <v>0</v>
      </c>
      <c r="AC65" s="64"/>
      <c r="AD65" s="723"/>
      <c r="AF65" s="64">
        <f>AD65*AB65</f>
        <v>0</v>
      </c>
      <c r="AG65" s="106"/>
      <c r="AH65" s="1"/>
      <c r="AI65" s="242"/>
      <c r="AJ65" s="106"/>
      <c r="AK65" s="4930"/>
      <c r="AL65" s="1"/>
      <c r="AM65" s="723"/>
      <c r="AO65" s="242"/>
      <c r="AP65" s="6778"/>
      <c r="AQ65" s="106"/>
      <c r="AR65" s="110"/>
      <c r="AS65" s="1"/>
      <c r="AT65" s="242"/>
      <c r="AU65" s="106"/>
      <c r="AV65" s="3235"/>
      <c r="AW65" s="1"/>
      <c r="AX65" s="723"/>
      <c r="AZ65" s="242"/>
      <c r="BA65" s="6778"/>
      <c r="BB65" s="106"/>
      <c r="BC65" s="110"/>
      <c r="BD65" s="1"/>
      <c r="BE65" s="242"/>
      <c r="BF65" s="106"/>
      <c r="BG65" s="4930"/>
      <c r="BH65" s="110"/>
    </row>
    <row r="66" spans="1:60" x14ac:dyDescent="0.35">
      <c r="A66" s="9153"/>
      <c r="B66" s="922"/>
      <c r="C66" s="923" t="s">
        <v>555</v>
      </c>
      <c r="F66" s="924" t="e">
        <f>F64/(F31+F32)</f>
        <v>#DIV/0!</v>
      </c>
      <c r="H66" s="925" t="e">
        <f t="shared" ref="H66:I66" si="14">H64/(H31+H32)</f>
        <v>#DIV/0!</v>
      </c>
      <c r="I66" s="926" t="e">
        <f t="shared" si="14"/>
        <v>#DIV/0!</v>
      </c>
      <c r="J66" s="1004"/>
      <c r="L66" s="925" t="e">
        <f t="shared" ref="L66:M66" si="15">L64/(L31+L32)</f>
        <v>#DIV/0!</v>
      </c>
      <c r="M66" s="927" t="e">
        <f t="shared" si="15"/>
        <v>#DIV/0!</v>
      </c>
      <c r="O66" s="242" t="e">
        <f t="shared" ref="O66:P66" si="16">O64/(O31+O32)</f>
        <v>#DIV/0!</v>
      </c>
      <c r="P66" s="201" t="e">
        <f t="shared" si="16"/>
        <v>#DIV/0!</v>
      </c>
      <c r="Q66" s="216"/>
      <c r="R66" s="64" t="e">
        <f>IF(O66=0,0,P66/O66)</f>
        <v>#DIV/0!</v>
      </c>
      <c r="T66" s="242"/>
      <c r="U66" s="216"/>
      <c r="V66" s="64" t="e">
        <f>T66*R66</f>
        <v>#DIV/0!</v>
      </c>
      <c r="X66" s="722"/>
      <c r="Z66" s="242"/>
      <c r="AA66" s="216"/>
      <c r="AB66" s="64">
        <f>Z66*X66</f>
        <v>0</v>
      </c>
      <c r="AC66" s="64"/>
      <c r="AD66" s="722"/>
      <c r="AF66" s="64">
        <f>AD66*AB66</f>
        <v>0</v>
      </c>
      <c r="AG66" s="216"/>
      <c r="AH66" s="1"/>
      <c r="AI66" s="242"/>
      <c r="AJ66" s="216"/>
      <c r="AK66" s="4930"/>
      <c r="AL66" s="1"/>
      <c r="AM66" s="722"/>
      <c r="AO66" s="131"/>
      <c r="AP66" s="3545"/>
      <c r="AQ66" s="216"/>
      <c r="AR66" s="129"/>
      <c r="AS66" s="1"/>
      <c r="AT66" s="242"/>
      <c r="AU66" s="216"/>
      <c r="AV66" s="3235"/>
      <c r="AW66" s="1"/>
      <c r="AX66" s="722"/>
      <c r="AZ66" s="131"/>
      <c r="BA66" s="3545"/>
      <c r="BB66" s="216"/>
      <c r="BC66" s="129"/>
      <c r="BD66" s="1"/>
      <c r="BE66" s="242"/>
      <c r="BF66" s="216"/>
      <c r="BG66" s="4930"/>
      <c r="BH66" s="129"/>
    </row>
    <row r="67" spans="1:60" x14ac:dyDescent="0.35">
      <c r="A67" s="9153"/>
      <c r="B67" s="287" t="s">
        <v>556</v>
      </c>
      <c r="C67" s="288"/>
      <c r="E67" s="457"/>
      <c r="F67" s="289"/>
      <c r="H67" s="928"/>
      <c r="I67" s="929"/>
      <c r="J67" s="1049"/>
      <c r="L67" s="928"/>
      <c r="M67" s="931"/>
      <c r="N67" s="143"/>
      <c r="O67" s="928"/>
      <c r="P67" s="929"/>
      <c r="Q67" s="106"/>
      <c r="R67" s="293"/>
      <c r="T67" s="291"/>
      <c r="U67" s="106"/>
      <c r="V67" s="268"/>
      <c r="X67" s="718"/>
      <c r="Z67" s="291"/>
      <c r="AA67" s="106"/>
      <c r="AB67" s="268"/>
      <c r="AC67" s="247"/>
      <c r="AD67" s="718"/>
      <c r="AF67" s="268"/>
      <c r="AG67" s="106"/>
      <c r="AH67" s="1"/>
      <c r="AI67" s="291"/>
      <c r="AJ67" s="106"/>
      <c r="AK67" s="4931"/>
      <c r="AL67" s="1"/>
      <c r="AM67" s="718"/>
      <c r="AO67" s="6788"/>
      <c r="AP67" s="6787"/>
      <c r="AQ67" s="103"/>
      <c r="AR67" s="831"/>
      <c r="AS67" s="1"/>
      <c r="AT67" s="291"/>
      <c r="AU67" s="106"/>
      <c r="AV67" s="4931"/>
      <c r="AW67" s="1"/>
      <c r="AX67" s="718"/>
      <c r="AZ67" s="6788"/>
      <c r="BA67" s="8188" t="s">
        <v>2337</v>
      </c>
      <c r="BB67" s="103"/>
      <c r="BC67" s="831"/>
      <c r="BD67" s="1"/>
      <c r="BE67" s="1388"/>
      <c r="BF67" s="106"/>
      <c r="BG67" s="8189" t="s">
        <v>2337</v>
      </c>
      <c r="BH67" s="831"/>
    </row>
    <row r="68" spans="1:60" x14ac:dyDescent="0.35">
      <c r="A68" s="9153"/>
      <c r="B68" s="302"/>
      <c r="C68" s="59" t="s">
        <v>2349</v>
      </c>
      <c r="F68" s="521"/>
      <c r="G68" s="457"/>
      <c r="H68" s="304"/>
      <c r="I68" s="932"/>
      <c r="J68" s="890">
        <f>IF(H68=0,0,I68/H68)</f>
        <v>0</v>
      </c>
      <c r="K68" s="457"/>
      <c r="L68" s="304"/>
      <c r="M68" s="933">
        <f>L68*J68</f>
        <v>0</v>
      </c>
      <c r="O68" s="304"/>
      <c r="P68" s="932"/>
      <c r="Q68" s="332"/>
      <c r="R68" s="297">
        <f>IF(O68=0,0,P68/O68)</f>
        <v>0</v>
      </c>
      <c r="T68" s="62">
        <v>28904053</v>
      </c>
      <c r="U68" s="106" t="s">
        <v>932</v>
      </c>
      <c r="V68" s="157">
        <f>T68*R68</f>
        <v>0</v>
      </c>
      <c r="X68" s="723"/>
      <c r="Z68" s="62">
        <v>63684622</v>
      </c>
      <c r="AA68" s="106" t="s">
        <v>2350</v>
      </c>
      <c r="AB68" s="157" t="s">
        <v>2351</v>
      </c>
      <c r="AC68" s="245"/>
      <c r="AD68" s="723"/>
      <c r="AF68" s="157" t="s">
        <v>2351</v>
      </c>
      <c r="AG68" s="106" t="s">
        <v>2350</v>
      </c>
      <c r="AH68" s="1"/>
      <c r="AI68" s="62"/>
      <c r="AJ68" s="106"/>
      <c r="AK68" s="4932"/>
      <c r="AL68" s="1"/>
      <c r="AM68" s="723"/>
      <c r="AO68" s="62">
        <f>AO39</f>
        <v>326048386</v>
      </c>
      <c r="AP68" s="6789"/>
      <c r="AQ68" s="106"/>
      <c r="AR68" s="110"/>
      <c r="AS68" s="1"/>
      <c r="AT68" s="62">
        <f>AT39</f>
        <v>299451386</v>
      </c>
      <c r="AU68" s="106"/>
      <c r="AV68" s="4932"/>
      <c r="AW68" s="1"/>
      <c r="AX68" s="723"/>
      <c r="AZ68" s="2707">
        <v>100.24898899999999</v>
      </c>
      <c r="BA68" s="6789">
        <f>AZ68*AR38</f>
        <v>100.24898899999999</v>
      </c>
      <c r="BB68" s="106"/>
      <c r="BC68" s="110"/>
      <c r="BD68" s="1"/>
      <c r="BE68" s="2707">
        <v>0</v>
      </c>
      <c r="BF68" s="106"/>
      <c r="BG68" s="4932"/>
      <c r="BH68" s="110"/>
    </row>
    <row r="69" spans="1:60" x14ac:dyDescent="0.35">
      <c r="A69" s="9153"/>
      <c r="B69" s="302"/>
      <c r="C69" s="59" t="s">
        <v>2352</v>
      </c>
      <c r="F69" s="61"/>
      <c r="H69" s="62"/>
      <c r="I69" s="72"/>
      <c r="J69" s="1003">
        <f>IF(H69=0,0,I69/H69)</f>
        <v>0</v>
      </c>
      <c r="L69" s="62"/>
      <c r="M69" s="934">
        <f>L69*J69</f>
        <v>0</v>
      </c>
      <c r="O69" s="62"/>
      <c r="P69" s="72"/>
      <c r="Q69" s="106"/>
      <c r="R69" s="297">
        <f>IF(O69=0,0,P69/O69)</f>
        <v>0</v>
      </c>
      <c r="T69" s="62">
        <v>115618511</v>
      </c>
      <c r="U69" s="106" t="s">
        <v>932</v>
      </c>
      <c r="V69" s="157">
        <f>T69*R69</f>
        <v>0</v>
      </c>
      <c r="X69" s="723"/>
      <c r="Z69" s="62">
        <v>254738489</v>
      </c>
      <c r="AA69" s="106"/>
      <c r="AB69" s="157" t="s">
        <v>2351</v>
      </c>
      <c r="AC69" s="245"/>
      <c r="AD69" s="723"/>
      <c r="AF69" s="157" t="s">
        <v>2351</v>
      </c>
      <c r="AG69" s="106"/>
      <c r="AH69" s="1"/>
      <c r="AI69" s="62"/>
      <c r="AJ69" s="106"/>
      <c r="AK69" s="4932"/>
      <c r="AL69" s="1"/>
      <c r="AM69" s="723"/>
      <c r="AO69" s="62"/>
      <c r="AP69" s="6789"/>
      <c r="AQ69" s="106"/>
      <c r="AR69" s="110"/>
      <c r="AS69" s="1"/>
      <c r="AT69" s="62"/>
      <c r="AU69" s="106"/>
      <c r="AV69" s="4932"/>
      <c r="AW69" s="1"/>
      <c r="AX69" s="723"/>
      <c r="AZ69" s="2707">
        <v>199.20239699999999</v>
      </c>
      <c r="BA69" s="6789">
        <f>AZ69*AR39</f>
        <v>199.20239699999999</v>
      </c>
      <c r="BB69" s="106"/>
      <c r="BC69" s="110"/>
      <c r="BD69" s="1"/>
      <c r="BE69" s="2707">
        <v>911.29086299999994</v>
      </c>
      <c r="BF69" s="106" t="s">
        <v>2314</v>
      </c>
      <c r="BG69" s="4932">
        <f>BE69*AR39</f>
        <v>911.29086299999994</v>
      </c>
      <c r="BH69" s="110"/>
    </row>
    <row r="70" spans="1:60" x14ac:dyDescent="0.35">
      <c r="A70" s="9153"/>
      <c r="B70" s="305"/>
      <c r="C70" s="59" t="s">
        <v>534</v>
      </c>
      <c r="F70" s="61"/>
      <c r="H70" s="62"/>
      <c r="I70" s="72"/>
      <c r="J70" s="1003">
        <f>IF(H70=0,0,I70/H70)</f>
        <v>0</v>
      </c>
      <c r="L70" s="62"/>
      <c r="M70" s="934">
        <f>L70*J70</f>
        <v>0</v>
      </c>
      <c r="O70" s="62"/>
      <c r="P70" s="72"/>
      <c r="Q70" s="106"/>
      <c r="R70" s="297">
        <f>IF(O70=0,0,P70/O70)</f>
        <v>0</v>
      </c>
      <c r="T70" s="62"/>
      <c r="U70" s="106"/>
      <c r="V70" s="157">
        <f>T70*R70</f>
        <v>0</v>
      </c>
      <c r="X70" s="723"/>
      <c r="Z70" s="62"/>
      <c r="AA70" s="106"/>
      <c r="AB70" s="157">
        <f>Z70*X70</f>
        <v>0</v>
      </c>
      <c r="AC70" s="157"/>
      <c r="AD70" s="723"/>
      <c r="AF70" s="157">
        <f>AD70*AB70</f>
        <v>0</v>
      </c>
      <c r="AG70" s="106"/>
      <c r="AH70" s="1"/>
      <c r="AI70" s="62"/>
      <c r="AJ70" s="106"/>
      <c r="AK70" s="4932"/>
      <c r="AL70" s="1"/>
      <c r="AM70" s="723"/>
      <c r="AO70" s="62"/>
      <c r="AP70" s="6789"/>
      <c r="AQ70" s="106"/>
      <c r="AR70" s="110"/>
      <c r="AS70" s="1"/>
      <c r="AT70" s="62"/>
      <c r="AU70" s="106"/>
      <c r="AV70" s="4932"/>
      <c r="AW70" s="1"/>
      <c r="AX70" s="723"/>
      <c r="AZ70" s="62"/>
      <c r="BA70" s="6789"/>
      <c r="BB70" s="106"/>
      <c r="BC70" s="110"/>
      <c r="BD70" s="1"/>
      <c r="BE70" s="62"/>
      <c r="BF70" s="106"/>
      <c r="BG70" s="4932"/>
      <c r="BH70" s="110"/>
    </row>
    <row r="71" spans="1:60" x14ac:dyDescent="0.35">
      <c r="A71" s="9154"/>
      <c r="B71" s="306"/>
      <c r="C71" s="86" t="s">
        <v>536</v>
      </c>
      <c r="F71" s="88"/>
      <c r="H71" s="89"/>
      <c r="I71" s="308"/>
      <c r="J71" s="1004">
        <f>IF(H71=0,0,I71/H71)</f>
        <v>0</v>
      </c>
      <c r="L71" s="89"/>
      <c r="M71" s="935">
        <f>L71*J71</f>
        <v>0</v>
      </c>
      <c r="O71" s="89"/>
      <c r="P71" s="308"/>
      <c r="Q71" s="216"/>
      <c r="R71" s="307">
        <f>IF(O71=0,0,P71/O71)</f>
        <v>0</v>
      </c>
      <c r="T71" s="89"/>
      <c r="U71" s="216"/>
      <c r="V71" s="213">
        <f>T71*R71</f>
        <v>0</v>
      </c>
      <c r="X71" s="722"/>
      <c r="Z71" s="89"/>
      <c r="AA71" s="216"/>
      <c r="AB71" s="213">
        <f>Z71*X71</f>
        <v>0</v>
      </c>
      <c r="AC71" s="157"/>
      <c r="AD71" s="722"/>
      <c r="AF71" s="213">
        <f>AD71*AB71</f>
        <v>0</v>
      </c>
      <c r="AG71" s="216"/>
      <c r="AH71" s="1"/>
      <c r="AI71" s="89"/>
      <c r="AJ71" s="216"/>
      <c r="AK71" s="4933"/>
      <c r="AL71" s="1"/>
      <c r="AM71" s="722"/>
      <c r="AO71" s="89"/>
      <c r="AP71" s="6790"/>
      <c r="AQ71" s="216"/>
      <c r="AR71" s="129"/>
      <c r="AS71" s="1"/>
      <c r="AT71" s="89"/>
      <c r="AU71" s="216"/>
      <c r="AV71" s="4933"/>
      <c r="AW71" s="1"/>
      <c r="AX71" s="722"/>
      <c r="AZ71" s="89"/>
      <c r="BA71" s="6790"/>
      <c r="BB71" s="216"/>
      <c r="BC71" s="129"/>
      <c r="BD71" s="1"/>
      <c r="BE71" s="89"/>
      <c r="BF71" s="216"/>
      <c r="BG71" s="4933"/>
      <c r="BH71" s="129"/>
    </row>
    <row r="72" spans="1:60" x14ac:dyDescent="0.35">
      <c r="A72" s="936"/>
      <c r="B72" s="936"/>
      <c r="E72" s="457"/>
      <c r="F72" s="847"/>
      <c r="H72" s="847"/>
      <c r="I72" s="847"/>
      <c r="J72" s="1052"/>
      <c r="L72" s="847"/>
      <c r="M72" s="938"/>
      <c r="O72" s="106"/>
      <c r="P72" s="106"/>
      <c r="Q72" s="106"/>
      <c r="R72" s="311"/>
      <c r="T72" s="106"/>
      <c r="U72" s="106"/>
      <c r="V72" s="312"/>
      <c r="Z72" s="106"/>
      <c r="AA72" s="106"/>
      <c r="AB72" s="312"/>
      <c r="AC72" s="312"/>
      <c r="AD72" s="711"/>
      <c r="AF72" s="312"/>
      <c r="AG72" s="106"/>
      <c r="AH72" s="1"/>
      <c r="AI72" s="106"/>
      <c r="AJ72" s="106"/>
      <c r="AK72" s="312"/>
      <c r="AL72" s="1"/>
      <c r="AM72" s="711"/>
      <c r="AO72" s="106"/>
      <c r="AP72" s="312"/>
      <c r="AQ72" s="106"/>
      <c r="AR72" s="1"/>
      <c r="AS72" s="1"/>
      <c r="AT72" s="106"/>
      <c r="AU72" s="106"/>
      <c r="AV72" s="312"/>
      <c r="AW72" s="1"/>
      <c r="AX72" s="711"/>
      <c r="AZ72" s="106"/>
      <c r="BA72" s="312"/>
      <c r="BB72" s="106"/>
      <c r="BC72" s="1"/>
      <c r="BD72" s="1"/>
      <c r="BE72" s="106"/>
      <c r="BF72" s="106"/>
      <c r="BG72" s="312"/>
      <c r="BH72" s="1"/>
    </row>
    <row r="73" spans="1:60" customFormat="1" ht="15.25" customHeight="1" x14ac:dyDescent="0.35">
      <c r="A73" s="9159" t="s">
        <v>559</v>
      </c>
      <c r="B73" s="939" t="s">
        <v>560</v>
      </c>
      <c r="C73" s="940"/>
      <c r="D73" s="184"/>
      <c r="E73" s="1"/>
      <c r="F73" s="316"/>
      <c r="G73" s="290"/>
      <c r="H73" s="941"/>
      <c r="I73" s="942"/>
      <c r="J73" s="293"/>
      <c r="K73" s="1"/>
      <c r="L73" s="317"/>
      <c r="M73" s="268"/>
      <c r="N73" s="1"/>
      <c r="O73" s="941"/>
      <c r="P73" s="942"/>
      <c r="Q73" s="103"/>
      <c r="R73" s="293"/>
      <c r="S73" s="1"/>
      <c r="T73" s="317"/>
      <c r="U73" s="103"/>
      <c r="V73" s="323"/>
      <c r="W73" s="1"/>
      <c r="X73" s="18"/>
      <c r="Z73" s="317" t="s">
        <v>2353</v>
      </c>
      <c r="AA73" s="103"/>
      <c r="AB73" s="323"/>
      <c r="AC73" s="247"/>
      <c r="AD73" s="18"/>
      <c r="AF73" s="323"/>
      <c r="AG73" s="103"/>
      <c r="AH73" s="1"/>
      <c r="AI73" s="317"/>
      <c r="AJ73" s="652" t="s">
        <v>2354</v>
      </c>
      <c r="AK73" s="323"/>
      <c r="AL73" s="1"/>
      <c r="AM73" s="18"/>
      <c r="AO73" s="6791" t="s">
        <v>2355</v>
      </c>
      <c r="AP73" s="6792"/>
      <c r="AQ73" s="6760" t="s">
        <v>2354</v>
      </c>
      <c r="AR73" s="831"/>
      <c r="AS73" s="1"/>
      <c r="AT73" s="6791" t="s">
        <v>2355</v>
      </c>
      <c r="AU73" s="6760" t="s">
        <v>2356</v>
      </c>
      <c r="AV73" s="6793"/>
      <c r="AW73" s="1"/>
      <c r="AX73" s="18"/>
      <c r="AZ73" s="6791"/>
      <c r="BA73" s="6792"/>
      <c r="BB73" s="6760"/>
      <c r="BC73" s="831"/>
      <c r="BD73" s="1"/>
      <c r="BE73" s="6791"/>
      <c r="BF73" s="6760"/>
      <c r="BG73" s="6793"/>
      <c r="BH73" s="831"/>
    </row>
    <row r="74" spans="1:60" customFormat="1" x14ac:dyDescent="0.35">
      <c r="A74" s="9160"/>
      <c r="B74" s="944"/>
      <c r="C74" s="945" t="s">
        <v>562</v>
      </c>
      <c r="D74" s="197"/>
      <c r="E74" s="1"/>
      <c r="F74" s="327"/>
      <c r="G74" s="272"/>
      <c r="H74" s="325"/>
      <c r="I74" s="946"/>
      <c r="J74" s="297">
        <f t="shared" ref="J74:J82" si="17">IF(H74=0,0,I74/H74)</f>
        <v>0</v>
      </c>
      <c r="K74" s="1"/>
      <c r="L74" s="325"/>
      <c r="M74" s="157">
        <f t="shared" ref="M74:M82" si="18">L74*J74</f>
        <v>0</v>
      </c>
      <c r="N74" s="1"/>
      <c r="O74" s="325"/>
      <c r="P74" s="947"/>
      <c r="Q74" s="332"/>
      <c r="R74" s="297">
        <f t="shared" ref="R74:R82" si="19">IF(O74=0,0,P74/O74)</f>
        <v>0</v>
      </c>
      <c r="S74" s="1"/>
      <c r="T74" s="325"/>
      <c r="U74" s="332"/>
      <c r="V74" s="333">
        <f t="shared" ref="V74:V82" si="20">T74*R74</f>
        <v>0</v>
      </c>
      <c r="W74" s="1"/>
      <c r="X74" s="26"/>
      <c r="Z74" s="330">
        <v>425834072</v>
      </c>
      <c r="AA74" s="253" t="s">
        <v>2357</v>
      </c>
      <c r="AB74" s="333">
        <f t="shared" ref="AB74:AB82" si="21">Z74*X74</f>
        <v>0</v>
      </c>
      <c r="AC74" s="157"/>
      <c r="AD74" s="26"/>
      <c r="AF74" s="333">
        <f t="shared" ref="AF74:AF82" si="22">AD74*AB74</f>
        <v>0</v>
      </c>
      <c r="AG74" s="106" t="s">
        <v>2357</v>
      </c>
      <c r="AH74" s="1"/>
      <c r="AI74" s="330">
        <v>478063096</v>
      </c>
      <c r="AJ74" s="106" t="s">
        <v>2358</v>
      </c>
      <c r="AK74" s="333"/>
      <c r="AL74" s="1"/>
      <c r="AM74" s="26"/>
      <c r="AO74" s="330">
        <v>478063096</v>
      </c>
      <c r="AP74" s="6794"/>
      <c r="AQ74" s="106" t="s">
        <v>2357</v>
      </c>
      <c r="AR74" s="110"/>
      <c r="AS74" s="1"/>
      <c r="AT74" s="330">
        <v>983294008</v>
      </c>
      <c r="AU74" s="106" t="s">
        <v>2359</v>
      </c>
      <c r="AV74" s="6795"/>
      <c r="AW74" s="1"/>
      <c r="AX74" s="26"/>
      <c r="AZ74" s="330"/>
      <c r="BA74" s="6794"/>
      <c r="BB74" s="106"/>
      <c r="BC74" s="110"/>
      <c r="BD74" s="1"/>
      <c r="BE74" s="330"/>
      <c r="BF74" s="106"/>
      <c r="BG74" s="6795"/>
      <c r="BH74" s="110"/>
    </row>
    <row r="75" spans="1:60" customFormat="1" x14ac:dyDescent="0.35">
      <c r="A75" s="9160"/>
      <c r="B75" s="944"/>
      <c r="C75" s="945" t="s">
        <v>565</v>
      </c>
      <c r="D75" s="197"/>
      <c r="E75" s="1"/>
      <c r="F75" s="336"/>
      <c r="G75" s="272"/>
      <c r="H75" s="330"/>
      <c r="I75" s="948"/>
      <c r="J75" s="297">
        <f t="shared" si="17"/>
        <v>0</v>
      </c>
      <c r="K75" s="1"/>
      <c r="L75" s="330"/>
      <c r="M75" s="157">
        <f t="shared" si="18"/>
        <v>0</v>
      </c>
      <c r="N75" s="1"/>
      <c r="O75" s="330"/>
      <c r="P75" s="331"/>
      <c r="Q75" s="106"/>
      <c r="R75" s="297">
        <f t="shared" si="19"/>
        <v>0</v>
      </c>
      <c r="S75" s="1"/>
      <c r="T75" s="330"/>
      <c r="U75" s="106"/>
      <c r="V75" s="333">
        <f t="shared" si="20"/>
        <v>0</v>
      </c>
      <c r="W75" s="1"/>
      <c r="X75" s="26"/>
      <c r="Z75" s="330">
        <f>1412999535</f>
        <v>1412999535</v>
      </c>
      <c r="AA75" s="253" t="s">
        <v>2360</v>
      </c>
      <c r="AB75" s="333">
        <f t="shared" si="21"/>
        <v>0</v>
      </c>
      <c r="AC75" s="157"/>
      <c r="AD75" s="26"/>
      <c r="AF75" s="333">
        <f t="shared" si="22"/>
        <v>0</v>
      </c>
      <c r="AG75" s="106" t="s">
        <v>2360</v>
      </c>
      <c r="AH75" s="1"/>
      <c r="AI75" s="330">
        <v>1435837241</v>
      </c>
      <c r="AJ75" s="106" t="s">
        <v>2361</v>
      </c>
      <c r="AK75" s="333"/>
      <c r="AL75" s="1"/>
      <c r="AM75" s="26"/>
      <c r="AO75" s="330">
        <v>1435837241</v>
      </c>
      <c r="AP75" s="6794"/>
      <c r="AQ75" s="106" t="s">
        <v>2360</v>
      </c>
      <c r="AR75" s="110"/>
      <c r="AS75" s="1"/>
      <c r="AT75" s="330">
        <v>1816019864</v>
      </c>
      <c r="AU75" s="106" t="s">
        <v>779</v>
      </c>
      <c r="AV75" s="6795"/>
      <c r="AW75" s="1"/>
      <c r="AX75" s="26"/>
      <c r="AZ75" s="330"/>
      <c r="BA75" s="6794"/>
      <c r="BB75" s="106"/>
      <c r="BC75" s="110"/>
      <c r="BD75" s="1"/>
      <c r="BE75" s="330"/>
      <c r="BF75" s="106"/>
      <c r="BG75" s="6795"/>
      <c r="BH75" s="110"/>
    </row>
    <row r="76" spans="1:60" customFormat="1" x14ac:dyDescent="0.35">
      <c r="A76" s="9160"/>
      <c r="B76" s="944"/>
      <c r="C76" s="945"/>
      <c r="D76" s="197"/>
      <c r="E76" s="1"/>
      <c r="F76" s="336"/>
      <c r="G76" s="272"/>
      <c r="H76" s="330"/>
      <c r="I76" s="948"/>
      <c r="J76" s="297">
        <f t="shared" si="17"/>
        <v>0</v>
      </c>
      <c r="K76" s="1"/>
      <c r="L76" s="330"/>
      <c r="M76" s="157">
        <f t="shared" si="18"/>
        <v>0</v>
      </c>
      <c r="N76" s="1"/>
      <c r="O76" s="330"/>
      <c r="P76" s="331"/>
      <c r="Q76" s="106"/>
      <c r="R76" s="297">
        <f t="shared" si="19"/>
        <v>0</v>
      </c>
      <c r="S76" s="1"/>
      <c r="T76" s="330"/>
      <c r="U76" s="106"/>
      <c r="V76" s="333">
        <f t="shared" si="20"/>
        <v>0</v>
      </c>
      <c r="W76" s="1"/>
      <c r="X76" s="26"/>
      <c r="Z76" s="330">
        <f>1760859999-Z80</f>
        <v>1585337621</v>
      </c>
      <c r="AA76" s="253" t="s">
        <v>2362</v>
      </c>
      <c r="AB76" s="333">
        <f t="shared" si="21"/>
        <v>0</v>
      </c>
      <c r="AC76" s="157"/>
      <c r="AD76" s="26"/>
      <c r="AF76" s="333">
        <f t="shared" si="22"/>
        <v>0</v>
      </c>
      <c r="AG76" s="106" t="s">
        <v>2362</v>
      </c>
      <c r="AH76" s="1"/>
      <c r="AI76" s="330">
        <f>905626533+1244521435+41112265+17111</f>
        <v>2191277344</v>
      </c>
      <c r="AJ76" s="106" t="s">
        <v>2363</v>
      </c>
      <c r="AK76" s="333"/>
      <c r="AL76" s="1"/>
      <c r="AM76" s="26"/>
      <c r="AO76" s="330">
        <f>905626533+1244521435+41112265+17111</f>
        <v>2191277344</v>
      </c>
      <c r="AP76" s="6794"/>
      <c r="AQ76" s="106" t="s">
        <v>2362</v>
      </c>
      <c r="AR76" s="110"/>
      <c r="AS76" s="1"/>
      <c r="AT76" s="330">
        <v>2811146445</v>
      </c>
      <c r="AU76" s="106" t="s">
        <v>2363</v>
      </c>
      <c r="AV76" s="6795"/>
      <c r="AW76" s="1"/>
      <c r="AX76" s="26"/>
      <c r="AZ76" s="330"/>
      <c r="BA76" s="6794"/>
      <c r="BB76" s="106"/>
      <c r="BC76" s="110"/>
      <c r="BD76" s="1"/>
      <c r="BE76" s="330"/>
      <c r="BF76" s="106"/>
      <c r="BG76" s="6795"/>
      <c r="BH76" s="110"/>
    </row>
    <row r="77" spans="1:60" customFormat="1" x14ac:dyDescent="0.35">
      <c r="A77" s="9160"/>
      <c r="B77" s="944"/>
      <c r="C77" s="945"/>
      <c r="D77" s="197"/>
      <c r="E77" s="1"/>
      <c r="F77" s="336"/>
      <c r="G77" s="272"/>
      <c r="H77" s="330"/>
      <c r="I77" s="948"/>
      <c r="J77" s="297">
        <f t="shared" si="17"/>
        <v>0</v>
      </c>
      <c r="K77" s="1"/>
      <c r="L77" s="330"/>
      <c r="M77" s="157">
        <f t="shared" si="18"/>
        <v>0</v>
      </c>
      <c r="N77" s="1"/>
      <c r="O77" s="330"/>
      <c r="P77" s="331"/>
      <c r="Q77" s="106"/>
      <c r="R77" s="297">
        <f t="shared" si="19"/>
        <v>0</v>
      </c>
      <c r="S77" s="1"/>
      <c r="T77" s="330"/>
      <c r="U77" s="106"/>
      <c r="V77" s="333">
        <f t="shared" si="20"/>
        <v>0</v>
      </c>
      <c r="W77" s="1"/>
      <c r="X77" s="26"/>
      <c r="Z77" s="330"/>
      <c r="AA77" s="253"/>
      <c r="AB77" s="333">
        <f t="shared" si="21"/>
        <v>0</v>
      </c>
      <c r="AC77" s="157"/>
      <c r="AD77" s="26"/>
      <c r="AF77" s="333">
        <f t="shared" si="22"/>
        <v>0</v>
      </c>
      <c r="AG77" s="106"/>
      <c r="AH77" s="1"/>
      <c r="AI77" s="330"/>
      <c r="AJ77" s="106"/>
      <c r="AK77" s="333"/>
      <c r="AL77" s="1"/>
      <c r="AM77" s="26"/>
      <c r="AO77" s="330"/>
      <c r="AP77" s="6794"/>
      <c r="AQ77" s="106"/>
      <c r="AR77" s="110"/>
      <c r="AS77" s="1"/>
      <c r="AT77" s="330"/>
      <c r="AU77" s="106"/>
      <c r="AV77" s="6795"/>
      <c r="AW77" s="1"/>
      <c r="AX77" s="26"/>
      <c r="AZ77" s="330"/>
      <c r="BA77" s="6794"/>
      <c r="BB77" s="106"/>
      <c r="BC77" s="110"/>
      <c r="BD77" s="1"/>
      <c r="BE77" s="330"/>
      <c r="BF77" s="106"/>
      <c r="BG77" s="6795"/>
      <c r="BH77" s="110"/>
    </row>
    <row r="78" spans="1:60" customFormat="1" x14ac:dyDescent="0.35">
      <c r="A78" s="9160"/>
      <c r="B78" s="944"/>
      <c r="C78" s="945" t="s">
        <v>562</v>
      </c>
      <c r="D78" s="197"/>
      <c r="E78" s="1"/>
      <c r="F78" s="336"/>
      <c r="G78" s="272"/>
      <c r="H78" s="330"/>
      <c r="I78" s="948"/>
      <c r="J78" s="297">
        <f t="shared" si="17"/>
        <v>0</v>
      </c>
      <c r="K78" s="1"/>
      <c r="L78" s="330"/>
      <c r="M78" s="157">
        <f t="shared" si="18"/>
        <v>0</v>
      </c>
      <c r="N78" s="1"/>
      <c r="O78" s="330"/>
      <c r="P78" s="331"/>
      <c r="Q78" s="106"/>
      <c r="R78" s="297">
        <f t="shared" si="19"/>
        <v>0</v>
      </c>
      <c r="S78" s="1"/>
      <c r="T78" s="330"/>
      <c r="U78" s="106"/>
      <c r="V78" s="333">
        <f t="shared" si="20"/>
        <v>0</v>
      </c>
      <c r="W78" s="1"/>
      <c r="X78" s="26"/>
      <c r="Z78" s="330">
        <v>0</v>
      </c>
      <c r="AA78" s="253" t="s">
        <v>2364</v>
      </c>
      <c r="AB78" s="333">
        <f t="shared" si="21"/>
        <v>0</v>
      </c>
      <c r="AC78" s="157"/>
      <c r="AD78" s="26"/>
      <c r="AF78" s="333">
        <f t="shared" si="22"/>
        <v>0</v>
      </c>
      <c r="AG78" s="106" t="s">
        <v>2364</v>
      </c>
      <c r="AH78" s="1"/>
      <c r="AI78" s="330"/>
      <c r="AJ78" s="106"/>
      <c r="AK78" s="333"/>
      <c r="AL78" s="1"/>
      <c r="AM78" s="26"/>
      <c r="AO78" s="330"/>
      <c r="AP78" s="6794"/>
      <c r="AQ78" s="106" t="s">
        <v>2364</v>
      </c>
      <c r="AR78" s="110"/>
      <c r="AS78" s="1"/>
      <c r="AT78" s="330"/>
      <c r="AU78" s="106"/>
      <c r="AV78" s="6795"/>
      <c r="AW78" s="1"/>
      <c r="AX78" s="26"/>
      <c r="AZ78" s="330"/>
      <c r="BA78" s="6794"/>
      <c r="BB78" s="106"/>
      <c r="BC78" s="110"/>
      <c r="BD78" s="1"/>
      <c r="BE78" s="330"/>
      <c r="BF78" s="106"/>
      <c r="BG78" s="6795"/>
      <c r="BH78" s="110"/>
    </row>
    <row r="79" spans="1:60" customFormat="1" x14ac:dyDescent="0.35">
      <c r="A79" s="9160"/>
      <c r="B79" s="944"/>
      <c r="C79" s="945" t="s">
        <v>565</v>
      </c>
      <c r="D79" s="197"/>
      <c r="E79" s="1"/>
      <c r="F79" s="336"/>
      <c r="G79" s="272"/>
      <c r="H79" s="330"/>
      <c r="I79" s="948"/>
      <c r="J79" s="297">
        <f t="shared" si="17"/>
        <v>0</v>
      </c>
      <c r="K79" s="1"/>
      <c r="L79" s="330"/>
      <c r="M79" s="157">
        <f t="shared" si="18"/>
        <v>0</v>
      </c>
      <c r="N79" s="1"/>
      <c r="O79" s="330"/>
      <c r="P79" s="331"/>
      <c r="Q79" s="106"/>
      <c r="R79" s="297">
        <f t="shared" si="19"/>
        <v>0</v>
      </c>
      <c r="S79" s="1"/>
      <c r="T79" s="330"/>
      <c r="U79" s="106"/>
      <c r="V79" s="333">
        <f t="shared" si="20"/>
        <v>0</v>
      </c>
      <c r="W79" s="1"/>
      <c r="X79" s="26"/>
      <c r="Z79" s="330">
        <v>0</v>
      </c>
      <c r="AA79" s="253" t="s">
        <v>2365</v>
      </c>
      <c r="AB79" s="333">
        <f t="shared" si="21"/>
        <v>0</v>
      </c>
      <c r="AC79" s="157"/>
      <c r="AD79" s="26"/>
      <c r="AF79" s="333">
        <f t="shared" si="22"/>
        <v>0</v>
      </c>
      <c r="AG79" s="106" t="s">
        <v>2365</v>
      </c>
      <c r="AH79" s="1"/>
      <c r="AI79" s="330"/>
      <c r="AJ79" s="106"/>
      <c r="AK79" s="333"/>
      <c r="AL79" s="1"/>
      <c r="AM79" s="26"/>
      <c r="AO79" s="330"/>
      <c r="AP79" s="6794"/>
      <c r="AQ79" s="106" t="s">
        <v>2365</v>
      </c>
      <c r="AR79" s="110"/>
      <c r="AS79" s="1"/>
      <c r="AT79" s="330"/>
      <c r="AU79" s="106"/>
      <c r="AV79" s="6795"/>
      <c r="AW79" s="1"/>
      <c r="AX79" s="26"/>
      <c r="AZ79" s="330"/>
      <c r="BA79" s="6794"/>
      <c r="BB79" s="106"/>
      <c r="BC79" s="110"/>
      <c r="BD79" s="1"/>
      <c r="BE79" s="330"/>
      <c r="BF79" s="106"/>
      <c r="BG79" s="6795"/>
      <c r="BH79" s="110"/>
    </row>
    <row r="80" spans="1:60" customFormat="1" x14ac:dyDescent="0.35">
      <c r="A80" s="9160"/>
      <c r="B80" s="944"/>
      <c r="C80" s="945"/>
      <c r="D80" s="197"/>
      <c r="E80" s="1"/>
      <c r="F80" s="336"/>
      <c r="G80" s="272"/>
      <c r="H80" s="330"/>
      <c r="I80" s="948"/>
      <c r="J80" s="297">
        <f t="shared" si="17"/>
        <v>0</v>
      </c>
      <c r="K80" s="1"/>
      <c r="L80" s="330"/>
      <c r="M80" s="157">
        <f t="shared" si="18"/>
        <v>0</v>
      </c>
      <c r="N80" s="1"/>
      <c r="O80" s="330"/>
      <c r="P80" s="331"/>
      <c r="Q80" s="106"/>
      <c r="R80" s="297">
        <f t="shared" si="19"/>
        <v>0</v>
      </c>
      <c r="S80" s="1"/>
      <c r="T80" s="330"/>
      <c r="U80" s="106"/>
      <c r="V80" s="333">
        <f t="shared" si="20"/>
        <v>0</v>
      </c>
      <c r="W80" s="1"/>
      <c r="X80" s="26"/>
      <c r="Z80" s="330">
        <v>175522378</v>
      </c>
      <c r="AA80" s="253" t="s">
        <v>2362</v>
      </c>
      <c r="AB80" s="333">
        <f t="shared" si="21"/>
        <v>0</v>
      </c>
      <c r="AC80" s="157"/>
      <c r="AD80" s="26"/>
      <c r="AF80" s="333">
        <f t="shared" si="22"/>
        <v>0</v>
      </c>
      <c r="AG80" s="106" t="s">
        <v>2362</v>
      </c>
      <c r="AH80" s="1"/>
      <c r="AI80" s="330">
        <v>1893547654</v>
      </c>
      <c r="AJ80" s="106" t="s">
        <v>2363</v>
      </c>
      <c r="AK80" s="333"/>
      <c r="AL80" s="1"/>
      <c r="AM80" s="26"/>
      <c r="AO80" s="330">
        <v>1893547654</v>
      </c>
      <c r="AP80" s="6794"/>
      <c r="AQ80" s="106" t="s">
        <v>2362</v>
      </c>
      <c r="AR80" s="110"/>
      <c r="AS80" s="1"/>
      <c r="AT80" s="330">
        <v>1713271998</v>
      </c>
      <c r="AU80" s="106" t="s">
        <v>2366</v>
      </c>
      <c r="AV80" s="6795"/>
      <c r="AW80" s="1"/>
      <c r="AX80" s="26"/>
      <c r="AZ80" s="330"/>
      <c r="BA80" s="6794"/>
      <c r="BB80" s="106"/>
      <c r="BC80" s="110"/>
      <c r="BD80" s="1"/>
      <c r="BE80" s="330"/>
      <c r="BF80" s="106"/>
      <c r="BG80" s="6795"/>
      <c r="BH80" s="110"/>
    </row>
    <row r="81" spans="1:60" customFormat="1" x14ac:dyDescent="0.35">
      <c r="A81" s="9160"/>
      <c r="B81" s="944"/>
      <c r="C81" s="945"/>
      <c r="D81" s="197"/>
      <c r="E81" s="1"/>
      <c r="F81" s="336"/>
      <c r="G81" s="272"/>
      <c r="H81" s="330"/>
      <c r="I81" s="948"/>
      <c r="J81" s="297">
        <f t="shared" si="17"/>
        <v>0</v>
      </c>
      <c r="K81" s="1"/>
      <c r="L81" s="330"/>
      <c r="M81" s="157">
        <f t="shared" si="18"/>
        <v>0</v>
      </c>
      <c r="N81" s="1"/>
      <c r="O81" s="330"/>
      <c r="P81" s="331"/>
      <c r="Q81" s="106"/>
      <c r="R81" s="297">
        <f t="shared" si="19"/>
        <v>0</v>
      </c>
      <c r="S81" s="1"/>
      <c r="T81" s="330"/>
      <c r="U81" s="106"/>
      <c r="V81" s="333">
        <f t="shared" si="20"/>
        <v>0</v>
      </c>
      <c r="W81" s="1"/>
      <c r="X81" s="26"/>
      <c r="Z81" s="330"/>
      <c r="AA81" s="253"/>
      <c r="AB81" s="333">
        <f t="shared" si="21"/>
        <v>0</v>
      </c>
      <c r="AC81" s="157"/>
      <c r="AD81" s="26"/>
      <c r="AF81" s="333">
        <f t="shared" si="22"/>
        <v>0</v>
      </c>
      <c r="AG81" s="106"/>
      <c r="AH81" s="1"/>
      <c r="AI81" s="330"/>
      <c r="AJ81" s="106"/>
      <c r="AK81" s="333"/>
      <c r="AL81" s="1"/>
      <c r="AM81" s="26"/>
      <c r="AO81" s="330"/>
      <c r="AP81" s="6794"/>
      <c r="AQ81" s="106"/>
      <c r="AR81" s="110"/>
      <c r="AS81" s="1"/>
      <c r="AT81" s="330"/>
      <c r="AU81" s="106"/>
      <c r="AV81" s="6795"/>
      <c r="AW81" s="1"/>
      <c r="AX81" s="26"/>
      <c r="AZ81" s="330"/>
      <c r="BA81" s="6794"/>
      <c r="BB81" s="106"/>
      <c r="BC81" s="110"/>
      <c r="BD81" s="1"/>
      <c r="BE81" s="330"/>
      <c r="BF81" s="106"/>
      <c r="BG81" s="6795"/>
      <c r="BH81" s="110"/>
    </row>
    <row r="82" spans="1:60" customFormat="1" x14ac:dyDescent="0.35">
      <c r="A82" s="9161"/>
      <c r="B82" s="949"/>
      <c r="C82" s="950" t="s">
        <v>10</v>
      </c>
      <c r="D82" s="209"/>
      <c r="E82" s="1"/>
      <c r="F82" s="343"/>
      <c r="G82" s="274"/>
      <c r="H82" s="341"/>
      <c r="I82" s="951"/>
      <c r="J82" s="307">
        <f t="shared" si="17"/>
        <v>0</v>
      </c>
      <c r="K82" s="1"/>
      <c r="L82" s="341"/>
      <c r="M82" s="213">
        <f t="shared" si="18"/>
        <v>0</v>
      </c>
      <c r="N82" s="1"/>
      <c r="O82" s="341"/>
      <c r="P82" s="952"/>
      <c r="Q82" s="216"/>
      <c r="R82" s="307">
        <f t="shared" si="19"/>
        <v>0</v>
      </c>
      <c r="S82" s="1"/>
      <c r="T82" s="341"/>
      <c r="U82" s="216"/>
      <c r="V82" s="347">
        <f t="shared" si="20"/>
        <v>0</v>
      </c>
      <c r="W82" s="1"/>
      <c r="X82" s="24"/>
      <c r="Z82" s="341"/>
      <c r="AA82" s="216"/>
      <c r="AB82" s="347">
        <f t="shared" si="21"/>
        <v>0</v>
      </c>
      <c r="AC82" s="157"/>
      <c r="AD82" s="24"/>
      <c r="AF82" s="347">
        <f t="shared" si="22"/>
        <v>0</v>
      </c>
      <c r="AG82" s="216"/>
      <c r="AH82" s="1"/>
      <c r="AI82" s="341"/>
      <c r="AJ82" s="216"/>
      <c r="AK82" s="347"/>
      <c r="AL82" s="1"/>
      <c r="AM82" s="24"/>
      <c r="AO82" s="341"/>
      <c r="AP82" s="6796"/>
      <c r="AQ82" s="216"/>
      <c r="AR82" s="129"/>
      <c r="AS82" s="1"/>
      <c r="AT82" s="341"/>
      <c r="AU82" s="216"/>
      <c r="AV82" s="6797"/>
      <c r="AW82" s="1"/>
      <c r="AX82" s="24"/>
      <c r="AZ82" s="341"/>
      <c r="BA82" s="6796"/>
      <c r="BB82" s="216"/>
      <c r="BC82" s="129"/>
      <c r="BD82" s="1"/>
      <c r="BE82" s="341"/>
      <c r="BF82" s="216"/>
      <c r="BG82" s="6797"/>
      <c r="BH82" s="129"/>
    </row>
    <row r="83" spans="1:60" x14ac:dyDescent="0.35">
      <c r="A83" s="936"/>
      <c r="B83" s="936"/>
      <c r="E83" s="457"/>
      <c r="F83" s="847"/>
      <c r="H83" s="847"/>
      <c r="I83" s="847"/>
      <c r="J83" s="1052"/>
      <c r="L83" s="847"/>
      <c r="M83" s="938"/>
      <c r="O83" s="106"/>
      <c r="P83" s="106"/>
      <c r="Q83" s="106"/>
      <c r="R83" s="311"/>
      <c r="T83" s="106"/>
      <c r="U83" s="106"/>
      <c r="V83" s="312"/>
      <c r="Z83" s="106"/>
      <c r="AA83" s="106"/>
      <c r="AB83" s="312"/>
      <c r="AC83" s="312"/>
      <c r="AD83" s="711"/>
      <c r="AF83" s="312"/>
      <c r="AG83" s="106"/>
      <c r="AH83" s="1"/>
      <c r="AI83" s="106"/>
      <c r="AJ83" s="106"/>
      <c r="AK83" s="312"/>
      <c r="AL83" s="1"/>
      <c r="AM83" s="711"/>
      <c r="AO83" s="106"/>
      <c r="AP83" s="312"/>
      <c r="AQ83" s="106"/>
      <c r="AR83" s="1"/>
      <c r="AS83" s="1"/>
      <c r="AT83" s="106"/>
      <c r="AU83" s="106"/>
      <c r="AV83" s="312"/>
      <c r="AW83" s="1"/>
      <c r="AX83" s="711"/>
      <c r="AZ83" s="106"/>
      <c r="BA83" s="312"/>
      <c r="BB83" s="106"/>
      <c r="BC83" s="1"/>
      <c r="BD83" s="1"/>
      <c r="BE83" s="106"/>
      <c r="BF83" s="106"/>
      <c r="BG83" s="312"/>
      <c r="BH83" s="1"/>
    </row>
    <row r="84" spans="1:60" customFormat="1" ht="15.25" customHeight="1" x14ac:dyDescent="0.35">
      <c r="A84" s="9152" t="s">
        <v>566</v>
      </c>
      <c r="B84" s="139" t="s">
        <v>567</v>
      </c>
      <c r="C84" s="348"/>
      <c r="D84" s="49"/>
      <c r="E84" s="141"/>
      <c r="F84" s="227"/>
      <c r="G84" s="141"/>
      <c r="H84" s="102"/>
      <c r="I84" s="103"/>
      <c r="J84" s="228"/>
      <c r="K84" s="141"/>
      <c r="L84" s="102"/>
      <c r="M84" s="268"/>
      <c r="N84" s="141"/>
      <c r="O84" s="102"/>
      <c r="P84" s="103"/>
      <c r="Q84" s="103"/>
      <c r="R84" s="228"/>
      <c r="S84" s="141"/>
      <c r="T84" s="102"/>
      <c r="U84" s="103"/>
      <c r="V84" s="268"/>
      <c r="W84" s="141"/>
      <c r="X84" s="18"/>
      <c r="Z84" s="102"/>
      <c r="AA84" s="103"/>
      <c r="AB84" s="268"/>
      <c r="AC84" s="247"/>
      <c r="AD84" s="18"/>
      <c r="AF84" s="268"/>
      <c r="AG84" s="103"/>
      <c r="AH84" s="141"/>
      <c r="AI84" s="102"/>
      <c r="AJ84" s="103"/>
      <c r="AK84" s="268"/>
      <c r="AL84" s="141"/>
      <c r="AM84" s="18"/>
      <c r="AO84" s="102"/>
      <c r="AP84" s="2909"/>
      <c r="AQ84" s="103"/>
      <c r="AR84" s="908"/>
      <c r="AS84" s="141"/>
      <c r="AT84" s="102"/>
      <c r="AU84" s="103"/>
      <c r="AV84" s="268"/>
      <c r="AW84" s="141"/>
      <c r="AX84" s="18"/>
      <c r="AZ84" s="102"/>
      <c r="BA84" s="2909"/>
      <c r="BB84" s="103"/>
      <c r="BC84" s="908"/>
      <c r="BD84" s="141"/>
      <c r="BE84" s="102"/>
      <c r="BF84" s="103"/>
      <c r="BG84" s="268"/>
      <c r="BH84" s="908"/>
    </row>
    <row r="85" spans="1:60" customFormat="1" ht="14.5" customHeight="1" x14ac:dyDescent="0.35">
      <c r="A85" s="9153"/>
      <c r="B85" t="s">
        <v>568</v>
      </c>
      <c r="C85" s="110"/>
      <c r="E85" s="1"/>
      <c r="F85" s="349">
        <f>SUM(F36:F40)-SUM(F43:F45)</f>
        <v>4161091620.9866691</v>
      </c>
      <c r="G85" s="350"/>
      <c r="H85" s="351">
        <f>SUM(H36:H40)-SUM(H43:H45)</f>
        <v>4776620896.1999998</v>
      </c>
      <c r="I85" s="352">
        <f>SUM(I36:I40)-SUM(I43:I45)</f>
        <v>5576502548.1300001</v>
      </c>
      <c r="J85" s="246"/>
      <c r="K85" s="350"/>
      <c r="L85" s="351">
        <f>SUM(L36:L40)-SUM(L43:L45)</f>
        <v>7058320456.7399998</v>
      </c>
      <c r="M85" s="353">
        <f>SUM(M36:M40)-SUM(M43:M45)</f>
        <v>6368827861.5999994</v>
      </c>
      <c r="N85" s="350"/>
      <c r="O85" s="351">
        <f>SUM(O36:O41)-SUM(O43:O45)</f>
        <v>8757028792</v>
      </c>
      <c r="P85" s="352">
        <f>SUM(P36:P41)-SUM(P43:P45)</f>
        <v>8137610645</v>
      </c>
      <c r="Q85" s="352"/>
      <c r="R85" s="246"/>
      <c r="S85" s="350"/>
      <c r="T85" s="351">
        <f>SUM(T36:T41)-SUM(T43:T45)</f>
        <v>9567791956</v>
      </c>
      <c r="U85" s="352"/>
      <c r="V85" s="353">
        <f>SUM(V36:V41)-SUM(V43:V45)</f>
        <v>8857335138.9578896</v>
      </c>
      <c r="W85" s="350"/>
      <c r="X85" s="26"/>
      <c r="Z85" s="351">
        <f>SUM(Z36:Z41)-SUM(Z43:Z45)</f>
        <v>9120755563</v>
      </c>
      <c r="AA85" s="352"/>
      <c r="AB85" s="353">
        <f>SUM(AB36:AB41)-SUM(AB43:AB45)</f>
        <v>8369924627</v>
      </c>
      <c r="AC85" s="353"/>
      <c r="AD85" s="26"/>
      <c r="AF85" s="353">
        <f>SUM(AF36:AF41)-SUM(AF43:AF45)</f>
        <v>737013575</v>
      </c>
      <c r="AG85" s="352"/>
      <c r="AH85" s="350"/>
      <c r="AI85" s="351">
        <f>SUM(AI36:AI41)-SUM(AI43:AI45)</f>
        <v>10183644370</v>
      </c>
      <c r="AJ85" s="352"/>
      <c r="AK85" s="353">
        <f>SUM(AK36:AK41)-SUM(AK43:AK45)</f>
        <v>10789828480</v>
      </c>
      <c r="AL85" s="350"/>
      <c r="AM85" s="26"/>
      <c r="AO85" s="351">
        <f>SUM(AO36:AO41)-SUM(AO43:AO45)</f>
        <v>10186880959</v>
      </c>
      <c r="AP85" s="352">
        <f>SUM(AP36:AP41)-SUM(AP43:AP45)</f>
        <v>12033403542</v>
      </c>
      <c r="AQ85" s="352"/>
      <c r="AR85" s="6798"/>
      <c r="AS85" s="350"/>
      <c r="AT85" s="351">
        <f>SUM(AT36:AT41)-SUM(AT43:AT45)</f>
        <v>12402164766</v>
      </c>
      <c r="AU85" s="352"/>
      <c r="AV85" s="353">
        <f>SUM(AV36:AV41)-SUM(AV43:AV45)</f>
        <v>12312099943.1143</v>
      </c>
      <c r="AW85" s="350"/>
      <c r="AX85" s="26"/>
      <c r="AZ85" s="351">
        <f>SUM(AZ36:AZ41)-SUM(AZ43:AZ45)</f>
        <v>14084.806689999998</v>
      </c>
      <c r="BA85" s="352">
        <f>SUM(BA36:BA41)-SUM(BA43:BA45)</f>
        <v>12636.251647626572</v>
      </c>
      <c r="BB85" s="352"/>
      <c r="BC85" s="6798"/>
      <c r="BD85" s="350"/>
      <c r="BE85" s="351">
        <f>SUM(BE36:BE41)-SUM(BE43:BE45)</f>
        <v>14308.941638999997</v>
      </c>
      <c r="BF85" s="352"/>
      <c r="BG85" s="353">
        <f>SUM(BG36:BG41)-SUM(BG43:BG45)</f>
        <v>15583.809986859063</v>
      </c>
      <c r="BH85" s="6798"/>
    </row>
    <row r="86" spans="1:60" customFormat="1" x14ac:dyDescent="0.35">
      <c r="A86" s="9153"/>
      <c r="B86" t="s">
        <v>569</v>
      </c>
      <c r="C86" s="110"/>
      <c r="E86" s="1"/>
      <c r="F86" s="349">
        <f>SUM(F47:F53)</f>
        <v>0</v>
      </c>
      <c r="G86" s="350"/>
      <c r="H86" s="351">
        <f>SUM(H47:H53)</f>
        <v>0</v>
      </c>
      <c r="I86" s="352">
        <f>SUM(I47:I53)</f>
        <v>0</v>
      </c>
      <c r="J86" s="246"/>
      <c r="K86" s="350"/>
      <c r="L86" s="351">
        <f>SUM(L47:L53)</f>
        <v>0</v>
      </c>
      <c r="M86" s="353">
        <f>SUM(M47:M53)</f>
        <v>0</v>
      </c>
      <c r="N86" s="350"/>
      <c r="O86" s="351">
        <f>SUM(O47:O53)</f>
        <v>0</v>
      </c>
      <c r="P86" s="352">
        <f>SUM(P47:P53)</f>
        <v>0</v>
      </c>
      <c r="Q86" s="352"/>
      <c r="R86" s="246"/>
      <c r="S86" s="350"/>
      <c r="T86" s="351">
        <f>SUM(T47:T53)</f>
        <v>0</v>
      </c>
      <c r="U86" s="352"/>
      <c r="V86" s="353">
        <f>SUM(V47:V53)</f>
        <v>0</v>
      </c>
      <c r="W86" s="350"/>
      <c r="X86" s="26"/>
      <c r="Z86" s="351">
        <f>SUM(Z47:Z53)</f>
        <v>0</v>
      </c>
      <c r="AA86" s="352"/>
      <c r="AB86" s="353">
        <f>SUM(AB47:AB53)</f>
        <v>0</v>
      </c>
      <c r="AC86" s="353"/>
      <c r="AD86" s="26"/>
      <c r="AF86" s="353">
        <f>SUM(AF47:AF53)</f>
        <v>0</v>
      </c>
      <c r="AG86" s="352"/>
      <c r="AH86" s="350"/>
      <c r="AI86" s="351">
        <f>SUM(AI47:AI53)</f>
        <v>0</v>
      </c>
      <c r="AJ86" s="352"/>
      <c r="AK86" s="353">
        <f>SUM(AK47:AK53)</f>
        <v>0</v>
      </c>
      <c r="AL86" s="350"/>
      <c r="AM86" s="26"/>
      <c r="AO86" s="351">
        <f>SUM(AO47:AO53)</f>
        <v>0</v>
      </c>
      <c r="AP86" s="352">
        <f>SUM(AP47:AP53)</f>
        <v>0</v>
      </c>
      <c r="AQ86" s="352"/>
      <c r="AR86" s="6798"/>
      <c r="AS86" s="350"/>
      <c r="AT86" s="351">
        <f>SUM(AT47:AT53)</f>
        <v>0</v>
      </c>
      <c r="AU86" s="352"/>
      <c r="AV86" s="353">
        <f>SUM(AV47:AV53)</f>
        <v>0</v>
      </c>
      <c r="AW86" s="350"/>
      <c r="AX86" s="26"/>
      <c r="AZ86" s="351">
        <f>SUM(AZ47:AZ53)</f>
        <v>262.01651700000002</v>
      </c>
      <c r="BA86" s="352">
        <f>SUM(BA47:BA53)</f>
        <v>262.01651700000002</v>
      </c>
      <c r="BB86" s="352"/>
      <c r="BC86" s="6798"/>
      <c r="BD86" s="350"/>
      <c r="BE86" s="351">
        <f>SUM(BE47:BE53)</f>
        <v>470</v>
      </c>
      <c r="BF86" s="352"/>
      <c r="BG86" s="353">
        <f>SUM(BG47:BG53)</f>
        <v>470</v>
      </c>
      <c r="BH86" s="6798"/>
    </row>
    <row r="87" spans="1:60" customFormat="1" x14ac:dyDescent="0.35">
      <c r="A87" s="9153"/>
      <c r="B87" t="s">
        <v>570</v>
      </c>
      <c r="C87" s="110"/>
      <c r="E87" s="1"/>
      <c r="F87" s="349">
        <f>SUM(F55:F62)*F29</f>
        <v>464258325.80734932</v>
      </c>
      <c r="G87" s="350"/>
      <c r="H87" s="351">
        <f>SUM(H55:H62)*H29</f>
        <v>652767583.64541662</v>
      </c>
      <c r="I87" s="352">
        <f>SUM(I55:I62)*I29</f>
        <v>876488665.31160533</v>
      </c>
      <c r="J87" s="246"/>
      <c r="K87" s="350"/>
      <c r="L87" s="351">
        <f>SUM(L55:L62)*L29</f>
        <v>854636417.1839999</v>
      </c>
      <c r="M87" s="353">
        <f>SUM(M55:M62)*M29</f>
        <v>853096503.28659594</v>
      </c>
      <c r="N87" s="350"/>
      <c r="O87" s="351">
        <f>SUM(O55:O62)*O29</f>
        <v>0</v>
      </c>
      <c r="P87" s="352">
        <f>SUM(P55:P62)*P29</f>
        <v>0</v>
      </c>
      <c r="Q87" s="352"/>
      <c r="R87" s="246"/>
      <c r="S87" s="350"/>
      <c r="T87" s="351">
        <f>SUM(T55:T62)*T29</f>
        <v>800446977.21320677</v>
      </c>
      <c r="U87" s="352"/>
      <c r="V87" s="353">
        <f>SUM(V55:V62)*V29</f>
        <v>792804202.13997114</v>
      </c>
      <c r="W87" s="350"/>
      <c r="X87" s="26"/>
      <c r="Z87" s="351">
        <f>SUM(Z55:Z62)*Z29</f>
        <v>800588989.83756363</v>
      </c>
      <c r="AA87" s="352"/>
      <c r="AB87" s="353">
        <f>SUM(AB55:AB62)*AB29</f>
        <v>916391830.72831964</v>
      </c>
      <c r="AC87" s="353"/>
      <c r="AD87" s="26"/>
      <c r="AF87" s="353">
        <f>SUM(AF55:AF62)*AF29</f>
        <v>0</v>
      </c>
      <c r="AG87" s="352"/>
      <c r="AH87" s="350"/>
      <c r="AI87" s="351">
        <f>SUM(AI55:AI62)*AI29</f>
        <v>1276118504.0007172</v>
      </c>
      <c r="AJ87" s="352"/>
      <c r="AK87" s="353">
        <f>SUM(AK55:AK62)*AK29</f>
        <v>1202270019.9887846</v>
      </c>
      <c r="AL87" s="350"/>
      <c r="AM87" s="26"/>
      <c r="AO87" s="351">
        <f>SUM(AO55:AO62)*AO29</f>
        <v>1232766362.9010415</v>
      </c>
      <c r="AP87" s="352">
        <f>SUM(AP55:AP62)*AP29</f>
        <v>1200099381.5525331</v>
      </c>
      <c r="AQ87" s="352"/>
      <c r="AR87" s="6798"/>
      <c r="AS87" s="350"/>
      <c r="AT87" s="351">
        <f>SUM(AT55:AT62)*AT29</f>
        <v>1611202099.2921062</v>
      </c>
      <c r="AU87" s="352"/>
      <c r="AV87" s="353">
        <f>SUM(AV55:AV62)*AV29</f>
        <v>1233935921.1444209</v>
      </c>
      <c r="AW87" s="350"/>
      <c r="AX87" s="26"/>
      <c r="AZ87" s="351">
        <f>SUM(AZ55:AZ62)*AZ29</f>
        <v>1430.4376651149014</v>
      </c>
      <c r="BA87" s="352">
        <f>SUM(BA55:BA62)*BA29</f>
        <v>1259.8191435350875</v>
      </c>
      <c r="BB87" s="352"/>
      <c r="BC87" s="6798"/>
      <c r="BD87" s="350"/>
      <c r="BE87" s="351">
        <f>SUM(BE55:BE62)*BE29</f>
        <v>1417.3976049777486</v>
      </c>
      <c r="BF87" s="352"/>
      <c r="BG87" s="353">
        <f>SUM(BG55:BG62)*BG29</f>
        <v>1317.7956243174629</v>
      </c>
      <c r="BH87" s="6798"/>
    </row>
    <row r="88" spans="1:60" customFormat="1" x14ac:dyDescent="0.35">
      <c r="A88" s="9153"/>
      <c r="B88" t="s">
        <v>552</v>
      </c>
      <c r="C88" s="110"/>
      <c r="E88" s="1"/>
      <c r="F88" s="349">
        <f>F64</f>
        <v>166171600</v>
      </c>
      <c r="G88" s="350"/>
      <c r="H88" s="351">
        <f>H64</f>
        <v>712030693</v>
      </c>
      <c r="I88" s="352">
        <f>I64</f>
        <v>680988981.33333337</v>
      </c>
      <c r="J88" s="246"/>
      <c r="K88" s="350"/>
      <c r="L88" s="351">
        <f>L64</f>
        <v>853200063</v>
      </c>
      <c r="M88" s="353">
        <f>M64</f>
        <v>758847316</v>
      </c>
      <c r="N88" s="350"/>
      <c r="O88" s="351">
        <f>O64+O65</f>
        <v>0</v>
      </c>
      <c r="P88" s="352">
        <f>P64+P65</f>
        <v>0</v>
      </c>
      <c r="Q88" s="352"/>
      <c r="R88" s="246"/>
      <c r="S88" s="350"/>
      <c r="T88" s="351">
        <f>T64+T65</f>
        <v>0</v>
      </c>
      <c r="U88" s="352"/>
      <c r="V88" s="353">
        <f>V64+V65</f>
        <v>0</v>
      </c>
      <c r="W88" s="350"/>
      <c r="X88" s="26"/>
      <c r="Z88" s="351">
        <f>Z64+Z65</f>
        <v>0</v>
      </c>
      <c r="AA88" s="352"/>
      <c r="AB88" s="353">
        <f>AB64+AB65</f>
        <v>0</v>
      </c>
      <c r="AC88" s="353"/>
      <c r="AD88" s="26"/>
      <c r="AF88" s="353">
        <f>AF64+AF65</f>
        <v>0</v>
      </c>
      <c r="AG88" s="352"/>
      <c r="AH88" s="350"/>
      <c r="AI88" s="351">
        <f>AI64+AI65</f>
        <v>0</v>
      </c>
      <c r="AJ88" s="352"/>
      <c r="AK88" s="353">
        <f>AK64+AK65</f>
        <v>0</v>
      </c>
      <c r="AL88" s="350"/>
      <c r="AM88" s="26"/>
      <c r="AO88" s="351">
        <f>AO64+AO65</f>
        <v>0</v>
      </c>
      <c r="AP88" s="352">
        <f>AP64+AP65</f>
        <v>0</v>
      </c>
      <c r="AQ88" s="352"/>
      <c r="AR88" s="6798"/>
      <c r="AS88" s="350"/>
      <c r="AT88" s="351">
        <f>AT64+AT65</f>
        <v>0</v>
      </c>
      <c r="AU88" s="352"/>
      <c r="AV88" s="353">
        <f>AV64+AV65</f>
        <v>0</v>
      </c>
      <c r="AW88" s="350"/>
      <c r="AX88" s="26"/>
      <c r="AZ88" s="351">
        <f>AZ64+AZ65</f>
        <v>0</v>
      </c>
      <c r="BA88" s="352">
        <f>BA64+BA65</f>
        <v>0</v>
      </c>
      <c r="BB88" s="352"/>
      <c r="BC88" s="6798"/>
      <c r="BD88" s="350"/>
      <c r="BE88" s="351">
        <f>BE64+BE65</f>
        <v>0</v>
      </c>
      <c r="BF88" s="352"/>
      <c r="BG88" s="353">
        <f>BG64+BG65</f>
        <v>0</v>
      </c>
      <c r="BH88" s="6798"/>
    </row>
    <row r="89" spans="1:60" customFormat="1" x14ac:dyDescent="0.35">
      <c r="A89" s="9153"/>
      <c r="B89" t="s">
        <v>571</v>
      </c>
      <c r="C89" s="356"/>
      <c r="E89" s="143"/>
      <c r="F89" s="357">
        <f>SUM(F85:F88)</f>
        <v>4791521546.7940187</v>
      </c>
      <c r="G89" s="358"/>
      <c r="H89" s="359">
        <f>SUM(H85:H88)</f>
        <v>6141419172.8454161</v>
      </c>
      <c r="I89" s="360">
        <f>SUM(I85:I88)</f>
        <v>7133980194.7749386</v>
      </c>
      <c r="J89" s="361"/>
      <c r="K89" s="358"/>
      <c r="L89" s="359">
        <f>SUM(L85:L88)</f>
        <v>8766156936.9239998</v>
      </c>
      <c r="M89" s="362">
        <f>SUM(M85:M88)</f>
        <v>7980771680.8865957</v>
      </c>
      <c r="N89" s="358"/>
      <c r="O89" s="359">
        <f>SUM(O85:O88)</f>
        <v>8757028792</v>
      </c>
      <c r="P89" s="360">
        <f>SUM(P85:P88)</f>
        <v>8137610645</v>
      </c>
      <c r="Q89" s="360"/>
      <c r="R89" s="361"/>
      <c r="S89" s="358"/>
      <c r="T89" s="359">
        <f>SUM(T85:T88)</f>
        <v>10368238933.213207</v>
      </c>
      <c r="U89" s="360"/>
      <c r="V89" s="362">
        <f>SUM(V85:V88)</f>
        <v>9650139341.0978603</v>
      </c>
      <c r="W89" s="358"/>
      <c r="X89" s="26"/>
      <c r="Z89" s="359">
        <f>SUM(Z85:Z88)</f>
        <v>9921344552.8375645</v>
      </c>
      <c r="AA89" s="360"/>
      <c r="AB89" s="362">
        <f>SUM(AB85:AB88)</f>
        <v>9286316457.7283192</v>
      </c>
      <c r="AC89" s="362"/>
      <c r="AD89" s="26"/>
      <c r="AF89" s="362">
        <f>SUM(AF85:AF88)</f>
        <v>737013575</v>
      </c>
      <c r="AG89" s="360"/>
      <c r="AH89" s="358"/>
      <c r="AI89" s="359">
        <f>SUM(AI85:AI88)</f>
        <v>11459762874.000717</v>
      </c>
      <c r="AJ89" s="360"/>
      <c r="AK89" s="362">
        <f>SUM(AK85:AK88)</f>
        <v>11992098499.988785</v>
      </c>
      <c r="AL89" s="358"/>
      <c r="AM89" s="26"/>
      <c r="AO89" s="359">
        <f>SUM(AO85:AO88)</f>
        <v>11419647321.901041</v>
      </c>
      <c r="AP89" s="360">
        <f>SUM(AP85:AP88)</f>
        <v>13233502923.552532</v>
      </c>
      <c r="AQ89" s="360"/>
      <c r="AR89" s="6799"/>
      <c r="AS89" s="358"/>
      <c r="AT89" s="359">
        <f>SUM(AT85:AT88)</f>
        <v>14013366865.292107</v>
      </c>
      <c r="AU89" s="360"/>
      <c r="AV89" s="362">
        <f>SUM(AV85:AV88)</f>
        <v>13546035864.25872</v>
      </c>
      <c r="AW89" s="358"/>
      <c r="AX89" s="26"/>
      <c r="AZ89" s="359">
        <f>SUM(AZ85:AZ88)</f>
        <v>15777.260872114899</v>
      </c>
      <c r="BA89" s="360">
        <f>SUM(BA85:BA88)</f>
        <v>14158.087308161659</v>
      </c>
      <c r="BB89" s="360"/>
      <c r="BC89" s="6799"/>
      <c r="BD89" s="358"/>
      <c r="BE89" s="359">
        <f>SUM(BE85:BE88)</f>
        <v>16196.339243977745</v>
      </c>
      <c r="BF89" s="360"/>
      <c r="BG89" s="362">
        <f>SUM(BG85:BG88)</f>
        <v>17371.605611176525</v>
      </c>
      <c r="BH89" s="6799"/>
    </row>
    <row r="90" spans="1:60" customFormat="1" ht="15.5" x14ac:dyDescent="0.35">
      <c r="A90" s="9153"/>
      <c r="B90" t="s">
        <v>572</v>
      </c>
      <c r="C90" s="356"/>
      <c r="E90" s="1"/>
      <c r="F90" s="366">
        <f>F89/(F17+F18)</f>
        <v>0.21307265190380836</v>
      </c>
      <c r="G90" s="367"/>
      <c r="H90" s="368">
        <f>H89/(H17+H18)</f>
        <v>0.2371359607496869</v>
      </c>
      <c r="I90" s="369">
        <f>I89/(I17+I18)</f>
        <v>0.24505660963462414</v>
      </c>
      <c r="J90" s="370"/>
      <c r="K90" s="367"/>
      <c r="L90" s="368">
        <f>L89/(L17+L18)</f>
        <v>0.3067182439605845</v>
      </c>
      <c r="M90" s="370">
        <f>M89/(M17+M18)</f>
        <v>0.28359890775142077</v>
      </c>
      <c r="N90" s="367"/>
      <c r="O90" s="368">
        <f>O89/(O23-O21-O22)</f>
        <v>0.28295560135218534</v>
      </c>
      <c r="P90" s="369">
        <f>P89/(P23-P21-P22)</f>
        <v>0.25373901438037544</v>
      </c>
      <c r="Q90" s="369"/>
      <c r="R90" s="370"/>
      <c r="S90" s="367"/>
      <c r="T90" s="368">
        <f>T89/(T23-T21-T22)</f>
        <v>0.31405103614007801</v>
      </c>
      <c r="U90" s="369"/>
      <c r="V90" s="370">
        <f>V89/(V23-V21-V22)</f>
        <v>0.2391335466238913</v>
      </c>
      <c r="W90" s="367"/>
      <c r="X90" s="26"/>
      <c r="Z90" s="368">
        <f>Z89/(Z23-Z21-Z22)</f>
        <v>0.24524837114769119</v>
      </c>
      <c r="AA90" s="369"/>
      <c r="AB90" s="370">
        <f>AB89/(AB23-AB21-AB22)</f>
        <v>0.24352452376195072</v>
      </c>
      <c r="AC90" s="370"/>
      <c r="AD90" s="26"/>
      <c r="AF90" s="370"/>
      <c r="AG90" s="369"/>
      <c r="AH90" s="367"/>
      <c r="AI90" s="368">
        <f>AI89/(AI23-AI21-AI22)</f>
        <v>0.25692298937900671</v>
      </c>
      <c r="AJ90" s="369"/>
      <c r="AK90" s="370">
        <f>AK89/(AK23-AK21-AK22)</f>
        <v>0.27205232131453233</v>
      </c>
      <c r="AL90" s="367"/>
      <c r="AM90" s="26"/>
      <c r="AO90" s="561">
        <f>AO89/(AO17+AO19+AO20)</f>
        <v>0.25602361583355393</v>
      </c>
      <c r="AP90" s="562">
        <f>AP89/(AP17+AP19+AP20)</f>
        <v>0.27785804001471504</v>
      </c>
      <c r="AQ90" s="562"/>
      <c r="AR90" s="6800"/>
      <c r="AS90" s="560"/>
      <c r="AT90" s="561">
        <f>AT89/(AT17+AT19+AT20)</f>
        <v>0.25871598037276267</v>
      </c>
      <c r="AU90" s="562"/>
      <c r="AV90" s="563">
        <f>AV89/(AV17+AV19+AV20)</f>
        <v>0.26773618036651342</v>
      </c>
      <c r="AW90" s="560"/>
      <c r="AX90" s="26"/>
      <c r="AZ90" s="368">
        <f>AZ89/(AZ17+AZ19+AZ20)</f>
        <v>0.29064655282018059</v>
      </c>
      <c r="BA90" s="369">
        <f>BA89/(BA17+BA19+BA20)</f>
        <v>0.2944277287771625</v>
      </c>
      <c r="BB90" s="369"/>
      <c r="BC90" s="8190"/>
      <c r="BD90" s="367"/>
      <c r="BE90" s="368">
        <f>BE89/(BE17+BE19+BE20)</f>
        <v>0.25783213301180918</v>
      </c>
      <c r="BF90" s="369"/>
      <c r="BG90" s="370">
        <f>BG89/(BG17+BG19+BG20)</f>
        <v>0.24194042101702973</v>
      </c>
      <c r="BH90" s="8190"/>
    </row>
    <row r="91" spans="1:60" s="254" customFormat="1" x14ac:dyDescent="0.35">
      <c r="A91" s="9153"/>
      <c r="B91" s="3186"/>
      <c r="C91" s="3187"/>
      <c r="D91" s="1741" t="s">
        <v>573</v>
      </c>
      <c r="E91" s="3188"/>
      <c r="F91" s="679"/>
      <c r="G91" s="385"/>
      <c r="H91" s="381"/>
      <c r="I91" s="382"/>
      <c r="J91" s="384"/>
      <c r="K91" s="385"/>
      <c r="L91" s="381"/>
      <c r="M91" s="680"/>
      <c r="N91" s="235"/>
      <c r="O91" s="381">
        <f t="shared" ref="O91:P91" si="23">O36+O41</f>
        <v>7834171722</v>
      </c>
      <c r="P91" s="382">
        <f t="shared" si="23"/>
        <v>7228730661</v>
      </c>
      <c r="Q91" s="106"/>
      <c r="R91" s="234"/>
      <c r="S91" s="235"/>
      <c r="T91" s="381">
        <f>T36+T41</f>
        <v>8196042281</v>
      </c>
      <c r="U91" s="383"/>
      <c r="V91" s="388">
        <f>V36+V41</f>
        <v>7602570583.3483334</v>
      </c>
      <c r="W91" s="235"/>
      <c r="X91" s="3248"/>
      <c r="Z91" s="381">
        <f>Z36+Z41</f>
        <v>7897796572</v>
      </c>
      <c r="AA91" s="383"/>
      <c r="AB91" s="388">
        <f>AB36+AB41</f>
        <v>7200176210</v>
      </c>
      <c r="AC91" s="384"/>
      <c r="AD91" s="3248"/>
      <c r="AF91" s="388">
        <f>AF36+AF41</f>
        <v>0</v>
      </c>
      <c r="AG91" s="383"/>
      <c r="AH91" s="235"/>
      <c r="AI91" s="381">
        <f>AI36+AI41</f>
        <v>8919968531</v>
      </c>
      <c r="AJ91" s="383"/>
      <c r="AK91" s="388"/>
      <c r="AL91" s="235"/>
      <c r="AM91" s="3248"/>
      <c r="AO91" s="381">
        <f>AO36+AO38+AO40</f>
        <v>9848009663</v>
      </c>
      <c r="AP91" s="4103">
        <f>AP36+AP38+AP40</f>
        <v>11702127493</v>
      </c>
      <c r="AQ91" s="956"/>
      <c r="AR91" s="1641"/>
      <c r="AS91" s="235"/>
      <c r="AT91" s="381">
        <f>AT36+AT38+AT40</f>
        <v>12093213380</v>
      </c>
      <c r="AU91" s="956"/>
      <c r="AV91" s="388">
        <f>AV36+AV38+AV40</f>
        <v>12008775583</v>
      </c>
      <c r="AW91" s="235"/>
      <c r="AX91" s="3248"/>
      <c r="AZ91" s="381">
        <f>AZ36+AZ38+AZ40</f>
        <v>13876.104292999999</v>
      </c>
      <c r="BA91" s="4103">
        <f>BA36+BA38+BA40</f>
        <v>12453.307271746691</v>
      </c>
      <c r="BB91" s="383"/>
      <c r="BC91" s="1641"/>
      <c r="BD91" s="235"/>
      <c r="BE91" s="381">
        <f>BE36+BE38+BE40</f>
        <v>13380.850775999997</v>
      </c>
      <c r="BF91" s="383"/>
      <c r="BG91" s="388">
        <f>BG36+BG38+BG40</f>
        <v>14755.865391994006</v>
      </c>
      <c r="BH91" s="1641"/>
    </row>
    <row r="92" spans="1:60" s="3201" customFormat="1" x14ac:dyDescent="0.35">
      <c r="A92" s="9153"/>
      <c r="B92" s="3193"/>
      <c r="C92" s="3194"/>
      <c r="D92" s="3195" t="s">
        <v>575</v>
      </c>
      <c r="E92" s="3196"/>
      <c r="F92" s="3597"/>
      <c r="G92" s="3598"/>
      <c r="H92" s="3599"/>
      <c r="I92" s="3600"/>
      <c r="J92" s="3601"/>
      <c r="K92" s="3598"/>
      <c r="L92" s="3599"/>
      <c r="M92" s="3602"/>
      <c r="N92" s="3603"/>
      <c r="O92" s="3599">
        <f t="shared" ref="O92:P92" si="24">(O89-O91)/O18</f>
        <v>0.14416172827163465</v>
      </c>
      <c r="P92" s="3600">
        <f t="shared" si="24"/>
        <v>0.12740903335781853</v>
      </c>
      <c r="Q92" s="3604"/>
      <c r="R92" s="64"/>
      <c r="S92" s="3603"/>
      <c r="T92" s="3599">
        <f>(T89-T91)/T18</f>
        <v>0.32533122401033099</v>
      </c>
      <c r="V92" s="3605">
        <f>(V89-V91)/V18</f>
        <v>0.26667658598398181</v>
      </c>
      <c r="W92" s="3603"/>
      <c r="X92" s="3606"/>
      <c r="Z92" s="3599">
        <f>(Z89-Z91)/Z18</f>
        <v>0.28389868247347294</v>
      </c>
      <c r="AB92" s="3605">
        <f>(AB89-AB91)/AB18</f>
        <v>0.4537690580721373</v>
      </c>
      <c r="AC92" s="3601"/>
      <c r="AD92" s="3606"/>
      <c r="AF92" s="3605">
        <f>(AF89-AF91)/AF18</f>
        <v>0.16031230694020066</v>
      </c>
      <c r="AH92" s="3603"/>
      <c r="AI92" s="3599">
        <f>(AI89-AI91)/AI18</f>
        <v>0.36828352110212415</v>
      </c>
      <c r="AK92" s="3605"/>
      <c r="AL92" s="3603"/>
      <c r="AM92" s="3606"/>
      <c r="AO92" s="3599">
        <f>(AO89-AO91)/(AO19+AO20)</f>
        <v>0.22789571624642802</v>
      </c>
      <c r="AP92" s="6801">
        <f>(AP89-AP91)/(AP19+AP20)</f>
        <v>0.27946035620317899</v>
      </c>
      <c r="AR92" s="6802"/>
      <c r="AS92" s="3603"/>
      <c r="AT92" s="3599">
        <f>(AT89-AT91)/(AT19+AT20)</f>
        <v>0.2250790767029974</v>
      </c>
      <c r="AV92" s="3605">
        <f>(AV89-AV91)/(AV19+AV20)</f>
        <v>0.2547473057639838</v>
      </c>
      <c r="AW92" s="3603"/>
      <c r="AX92" s="3606"/>
      <c r="AZ92" s="3599">
        <f>(AZ89-AZ91)/(AZ19+AZ20)</f>
        <v>0.24654637989580422</v>
      </c>
      <c r="BA92" s="6801">
        <f>(BA89-BA91)/(BA19+BA20)</f>
        <v>0.27711717658836421</v>
      </c>
      <c r="BC92" s="6802"/>
      <c r="BD92" s="3603"/>
      <c r="BE92" s="3599">
        <f>(BE89-BE91)/(BE19+BE20)</f>
        <v>0.30404708872281122</v>
      </c>
      <c r="BG92" s="3605">
        <f>(BG89-BG91)/(BG19+BG20)</f>
        <v>0.21648329754216622</v>
      </c>
      <c r="BH92" s="6802"/>
    </row>
    <row r="93" spans="1:60" s="3201" customFormat="1" x14ac:dyDescent="0.35">
      <c r="A93" s="9153"/>
      <c r="B93" s="3193"/>
      <c r="C93" s="3194"/>
      <c r="D93" s="3195" t="s">
        <v>576</v>
      </c>
      <c r="E93" s="3196"/>
      <c r="F93" s="3597"/>
      <c r="G93" s="3598"/>
      <c r="H93" s="3599"/>
      <c r="I93" s="3600"/>
      <c r="J93" s="3601"/>
      <c r="K93" s="3598"/>
      <c r="L93" s="3599"/>
      <c r="M93" s="3602"/>
      <c r="N93" s="3603"/>
      <c r="O93" s="3599">
        <f t="shared" ref="O93:P93" si="25">O91/(O23-O18-O21-O22)</f>
        <v>0.31915142462097018</v>
      </c>
      <c r="P93" s="3600">
        <f t="shared" si="25"/>
        <v>0.28987704973647838</v>
      </c>
      <c r="Q93" s="3604"/>
      <c r="R93" s="64"/>
      <c r="S93" s="3603"/>
      <c r="T93" s="3599">
        <f>T91/(T23-T18-T21-T22)</f>
        <v>0.3111913846999933</v>
      </c>
      <c r="V93" s="3605">
        <f>V91/(V23-V18-V21-V22)</f>
        <v>0.23266167549345351</v>
      </c>
      <c r="W93" s="3603"/>
      <c r="X93" s="3606"/>
      <c r="Z93" s="3599">
        <f>Z91/(Z23-Z18-Z21-Z22)</f>
        <v>0.23698204335852852</v>
      </c>
      <c r="AB93" s="3605">
        <f>AB91/(AB23-AB18-AB21-AB22)</f>
        <v>0.2147023337018332</v>
      </c>
      <c r="AC93" s="3601"/>
      <c r="AD93" s="3606"/>
      <c r="AF93" s="3605">
        <f>AF91/(AF23-AF18-AF21-AF22)</f>
        <v>0</v>
      </c>
      <c r="AH93" s="3603"/>
      <c r="AI93" s="3599">
        <f>AI91/(AI23-AI18-AI21-AI22)</f>
        <v>0.23655637265105511</v>
      </c>
      <c r="AK93" s="3605"/>
      <c r="AL93" s="3603"/>
      <c r="AM93" s="3606"/>
      <c r="AO93" s="3599">
        <f>AO91/(AO17)</f>
        <v>0.26116789937269563</v>
      </c>
      <c r="AP93" s="6801">
        <f>AP91/(AP17)</f>
        <v>0.27764971467759175</v>
      </c>
      <c r="AR93" s="6802"/>
      <c r="AS93" s="3603"/>
      <c r="AT93" s="3599">
        <f>AT91/(AT17)</f>
        <v>0.26500420253278295</v>
      </c>
      <c r="AV93" s="3605">
        <f>AV91/(AV17)</f>
        <v>0.26949516310161298</v>
      </c>
      <c r="AW93" s="3603"/>
      <c r="AX93" s="3606"/>
      <c r="AZ93" s="3599">
        <f>AZ91/(AZ17)</f>
        <v>0.29794840537788359</v>
      </c>
      <c r="BA93" s="6801">
        <f>BA91/(BA17)</f>
        <v>0.29696717824617791</v>
      </c>
      <c r="BC93" s="6802"/>
      <c r="BD93" s="3603"/>
      <c r="BE93" s="3599">
        <f>BE91/(BE17)</f>
        <v>0.24984158717022953</v>
      </c>
      <c r="BG93" s="3605">
        <f>BG91/(BG17)</f>
        <v>0.24709119059209625</v>
      </c>
      <c r="BH93" s="6802"/>
    </row>
    <row r="94" spans="1:60" customFormat="1" x14ac:dyDescent="0.35">
      <c r="A94" s="9153"/>
      <c r="B94" s="58"/>
      <c r="C94" s="390"/>
      <c r="D94" s="59"/>
      <c r="E94" s="392"/>
      <c r="F94" s="393"/>
      <c r="G94" s="392"/>
      <c r="H94" s="394"/>
      <c r="I94" s="395"/>
      <c r="J94" s="229"/>
      <c r="K94" s="392"/>
      <c r="L94" s="394"/>
      <c r="M94" s="977"/>
      <c r="N94" s="1"/>
      <c r="O94" s="394"/>
      <c r="P94" s="395"/>
      <c r="Q94" s="106"/>
      <c r="R94" s="64"/>
      <c r="S94" s="1"/>
      <c r="T94" s="394"/>
      <c r="V94" s="1736"/>
      <c r="W94" s="1"/>
      <c r="X94" s="26"/>
      <c r="Z94" s="394"/>
      <c r="AB94" s="1736"/>
      <c r="AC94" s="229"/>
      <c r="AD94" s="26"/>
      <c r="AF94" s="1736"/>
      <c r="AH94" s="1"/>
      <c r="AI94" s="394"/>
      <c r="AK94" s="1736"/>
      <c r="AL94" s="1"/>
      <c r="AM94" s="26"/>
      <c r="AO94" s="394"/>
      <c r="AP94" s="390"/>
      <c r="AR94" s="110"/>
      <c r="AS94" s="1"/>
      <c r="AT94" s="394"/>
      <c r="AV94" s="1736"/>
      <c r="AW94" s="1"/>
      <c r="AX94" s="26"/>
      <c r="AZ94" s="394"/>
      <c r="BA94" s="390"/>
      <c r="BC94" s="110"/>
      <c r="BD94" s="1"/>
      <c r="BE94" s="394"/>
      <c r="BG94" s="1736"/>
      <c r="BH94" s="110"/>
    </row>
    <row r="95" spans="1:60" s="3201" customFormat="1" x14ac:dyDescent="0.35">
      <c r="A95" s="9153"/>
      <c r="B95" s="3193"/>
      <c r="C95" s="3194"/>
      <c r="D95" s="3195" t="s">
        <v>577</v>
      </c>
      <c r="E95" s="3196"/>
      <c r="F95" s="3197">
        <f t="shared" ref="F95" si="26">F89/F12</f>
        <v>0.24518480728110129</v>
      </c>
      <c r="G95" s="3196"/>
      <c r="H95" s="3198">
        <f t="shared" ref="H95:I95" si="27">H89/H12</f>
        <v>0.24724463591300258</v>
      </c>
      <c r="I95" s="3199">
        <f t="shared" si="27"/>
        <v>0.30084527868011207</v>
      </c>
      <c r="J95" s="3200"/>
      <c r="K95" s="3196"/>
      <c r="L95" s="3198">
        <f t="shared" ref="L95:M95" si="28">L89/L12</f>
        <v>0.307320685047419</v>
      </c>
      <c r="M95" s="3607">
        <f t="shared" si="28"/>
        <v>0.2821155238431346</v>
      </c>
      <c r="N95" s="3603"/>
      <c r="O95" s="3198">
        <f t="shared" ref="O95:P95" si="29">O89/O12</f>
        <v>0.30700068614795861</v>
      </c>
      <c r="P95" s="3199">
        <f t="shared" si="29"/>
        <v>0.27724542385181072</v>
      </c>
      <c r="Q95" s="3604"/>
      <c r="R95" s="64"/>
      <c r="S95" s="3603"/>
      <c r="T95" s="3198">
        <f>T89/T12</f>
        <v>0.28460569978239825</v>
      </c>
      <c r="V95" s="3202">
        <f>V89/V12</f>
        <v>0.29658564583430064</v>
      </c>
      <c r="W95" s="3603"/>
      <c r="X95" s="3606"/>
      <c r="Z95" s="3198">
        <f>Z89/Z12</f>
        <v>0.22844388700104112</v>
      </c>
      <c r="AB95" s="3202">
        <f>AB89/AB12</f>
        <v>0.23368225641497875</v>
      </c>
      <c r="AC95" s="3200"/>
      <c r="AD95" s="3606"/>
      <c r="AF95" s="3202">
        <f>AF89/AF12</f>
        <v>1.8546319845813387E-2</v>
      </c>
      <c r="AH95" s="3603"/>
      <c r="AI95" s="3198">
        <f>AI89/AI12</f>
        <v>0.23476253608830611</v>
      </c>
      <c r="AK95" s="3202">
        <f>AK89/AK12</f>
        <v>0.24829436359145932</v>
      </c>
      <c r="AL95" s="3603"/>
      <c r="AM95" s="3606"/>
      <c r="AO95" s="3198">
        <f>AO89/AO12</f>
        <v>0.23394073647071814</v>
      </c>
      <c r="AP95" s="3194">
        <f>AP89/AP12</f>
        <v>0.28746839149564635</v>
      </c>
      <c r="AR95" s="6802"/>
      <c r="AS95" s="3603"/>
      <c r="AT95" s="3198">
        <f>AT89/AT12</f>
        <v>0.24246677188070018</v>
      </c>
      <c r="AV95" s="3202">
        <f>AV89/AV12</f>
        <v>0.25210427070307145</v>
      </c>
      <c r="AW95" s="3603"/>
      <c r="AX95" s="3606"/>
      <c r="AZ95" s="3198">
        <f>AZ89/AZ12</f>
        <v>0.27302598186277632</v>
      </c>
      <c r="BA95" s="3194">
        <f>BA89/BA12</f>
        <v>0.27022602628497161</v>
      </c>
      <c r="BC95" s="6802"/>
      <c r="BD95" s="3603"/>
      <c r="BE95" s="3198">
        <f>BE89/BE12</f>
        <v>0.24602863384985807</v>
      </c>
      <c r="BG95" s="3202">
        <f>BG89/BG12</f>
        <v>0.32229480665160942</v>
      </c>
      <c r="BH95" s="6802"/>
    </row>
    <row r="96" spans="1:60" s="254" customFormat="1" x14ac:dyDescent="0.35">
      <c r="A96" s="9153"/>
      <c r="B96" s="1739"/>
      <c r="C96" s="1740"/>
      <c r="D96" s="3608" t="s">
        <v>578</v>
      </c>
      <c r="E96" s="1742"/>
      <c r="F96" s="2966"/>
      <c r="G96" s="1742"/>
      <c r="H96" s="572"/>
      <c r="I96" s="1993"/>
      <c r="J96" s="247"/>
      <c r="K96" s="1742"/>
      <c r="L96" s="572"/>
      <c r="M96" s="3434"/>
      <c r="N96" s="235"/>
      <c r="O96" s="572"/>
      <c r="P96" s="1993"/>
      <c r="Q96" s="106"/>
      <c r="R96" s="234"/>
      <c r="S96" s="235"/>
      <c r="T96" s="572">
        <f>T89-SUM(T67:T71)</f>
        <v>10223716369.213207</v>
      </c>
      <c r="V96" s="3203"/>
      <c r="W96" s="235"/>
      <c r="X96" s="3248"/>
      <c r="Z96" s="572">
        <f>Z89-SUM(Z67:Z71)</f>
        <v>9602921441.8375645</v>
      </c>
      <c r="AB96" s="3203"/>
      <c r="AC96" s="247"/>
      <c r="AD96" s="3248"/>
      <c r="AF96" s="3203">
        <f>AF89-SUM(AF67:AF71)</f>
        <v>737013575</v>
      </c>
      <c r="AH96" s="235"/>
      <c r="AI96" s="572">
        <f>AI89-SUM(AI67:AI71)</f>
        <v>11459762874.000717</v>
      </c>
      <c r="AK96" s="3203">
        <f>AK89-SUM(AK67:AK71)</f>
        <v>11992098499.988785</v>
      </c>
      <c r="AL96" s="235"/>
      <c r="AM96" s="3248"/>
      <c r="AO96" s="572">
        <f>AO89-SUM(AO67:AO71)</f>
        <v>11093598935.901041</v>
      </c>
      <c r="AP96" s="1740">
        <f>AP89-SUM(AP67:AP71)</f>
        <v>13233502923.552532</v>
      </c>
      <c r="AR96" s="1641"/>
      <c r="AS96" s="235"/>
      <c r="AT96" s="572">
        <f>AT89-SUM(AT67:AT71)</f>
        <v>13713915479.292107</v>
      </c>
      <c r="AV96" s="3203">
        <f>AV89-SUM(AV67:AV71)</f>
        <v>13546035864.25872</v>
      </c>
      <c r="AW96" s="235"/>
      <c r="AX96" s="3248"/>
      <c r="AZ96" s="572">
        <f>AZ89-SUM(AZ67:AZ71)</f>
        <v>15477.809486114898</v>
      </c>
      <c r="BA96" s="1740">
        <f>BA89-SUM(BA67:BA71)</f>
        <v>13858.635922161659</v>
      </c>
      <c r="BC96" s="1641"/>
      <c r="BD96" s="235"/>
      <c r="BE96" s="572">
        <f>BE89-SUM(BE67:BE71)</f>
        <v>15285.048380977745</v>
      </c>
      <c r="BG96" s="3203">
        <f>BG89-SUM(BG67:BG71)</f>
        <v>16460.314748176526</v>
      </c>
      <c r="BH96" s="1641"/>
    </row>
    <row r="97" spans="1:60" s="3201" customFormat="1" x14ac:dyDescent="0.35">
      <c r="A97" s="9153"/>
      <c r="B97" s="3193"/>
      <c r="C97" s="3194"/>
      <c r="D97" s="3195" t="s">
        <v>579</v>
      </c>
      <c r="E97" s="3196"/>
      <c r="F97" s="3197"/>
      <c r="G97" s="3196"/>
      <c r="H97" s="3198"/>
      <c r="I97" s="3199"/>
      <c r="J97" s="3200"/>
      <c r="K97" s="3196"/>
      <c r="L97" s="3198"/>
      <c r="M97" s="3607"/>
      <c r="N97" s="3603"/>
      <c r="O97" s="3198"/>
      <c r="P97" s="3199"/>
      <c r="Q97" s="3604"/>
      <c r="R97" s="64"/>
      <c r="S97" s="3603"/>
      <c r="T97" s="3198">
        <f>T96/T12</f>
        <v>0.28063858967560801</v>
      </c>
      <c r="V97" s="3202"/>
      <c r="W97" s="3603"/>
      <c r="X97" s="3606"/>
      <c r="Z97" s="3198">
        <f>Z96/Z12</f>
        <v>0.22111203668575305</v>
      </c>
      <c r="AB97" s="3202"/>
      <c r="AC97" s="3200"/>
      <c r="AD97" s="3606"/>
      <c r="AF97" s="3202">
        <f>AF96/AF12</f>
        <v>1.8546319845813387E-2</v>
      </c>
      <c r="AH97" s="3603"/>
      <c r="AI97" s="3198">
        <f>AI96/AI12</f>
        <v>0.23476253608830611</v>
      </c>
      <c r="AK97" s="3202">
        <f>AK96/AK12</f>
        <v>0.24829436359145932</v>
      </c>
      <c r="AL97" s="3603"/>
      <c r="AM97" s="3606"/>
      <c r="AO97" s="3198">
        <f>AO96/AO12</f>
        <v>0.22726137086547357</v>
      </c>
      <c r="AP97" s="3194">
        <f>AP96/AP12</f>
        <v>0.28746839149564635</v>
      </c>
      <c r="AR97" s="6802"/>
      <c r="AS97" s="3603"/>
      <c r="AT97" s="3198">
        <f>AT96/AT12</f>
        <v>0.23728550376743524</v>
      </c>
      <c r="AV97" s="3202">
        <f>AV96/AV12</f>
        <v>0.25210427070307145</v>
      </c>
      <c r="AW97" s="3603"/>
      <c r="AX97" s="3606"/>
      <c r="AZ97" s="3198">
        <f>AZ96/AZ12</f>
        <v>0.26784396647078135</v>
      </c>
      <c r="BA97" s="3194">
        <f>BA96/BA12</f>
        <v>0.26451059620299577</v>
      </c>
      <c r="BC97" s="6802"/>
      <c r="BD97" s="3603"/>
      <c r="BE97" s="3198">
        <f>BE96/BE12</f>
        <v>0.23218577450452091</v>
      </c>
      <c r="BG97" s="3202">
        <f>BG96/BG12</f>
        <v>0.30538765833913567</v>
      </c>
      <c r="BH97" s="6802"/>
    </row>
    <row r="98" spans="1:60" customFormat="1" x14ac:dyDescent="0.35">
      <c r="A98" s="9153"/>
      <c r="B98" s="58"/>
      <c r="C98" s="390"/>
      <c r="D98" s="59"/>
      <c r="E98" s="392"/>
      <c r="F98" s="393"/>
      <c r="G98" s="392"/>
      <c r="H98" s="394"/>
      <c r="I98" s="395"/>
      <c r="J98" s="229"/>
      <c r="K98" s="392"/>
      <c r="L98" s="394"/>
      <c r="M98" s="977"/>
      <c r="N98" s="1"/>
      <c r="O98" s="394"/>
      <c r="P98" s="395"/>
      <c r="Q98" s="106"/>
      <c r="R98" s="64"/>
      <c r="S98" s="1"/>
      <c r="T98" s="394"/>
      <c r="V98" s="1736"/>
      <c r="W98" s="1"/>
      <c r="X98" s="26"/>
      <c r="Z98" s="394"/>
      <c r="AB98" s="1736"/>
      <c r="AC98" s="229"/>
      <c r="AD98" s="26"/>
      <c r="AF98" s="1736"/>
      <c r="AH98" s="1"/>
      <c r="AI98" s="394"/>
      <c r="AK98" s="1736"/>
      <c r="AL98" s="1"/>
      <c r="AM98" s="26"/>
      <c r="AO98" s="394"/>
      <c r="AP98" s="390"/>
      <c r="AR98" s="110"/>
      <c r="AS98" s="1"/>
      <c r="AT98" s="394"/>
      <c r="AV98" s="1736"/>
      <c r="AW98" s="1"/>
      <c r="AX98" s="26"/>
      <c r="AZ98" s="394"/>
      <c r="BA98" s="390"/>
      <c r="BC98" s="110"/>
      <c r="BD98" s="1"/>
      <c r="BE98" s="394"/>
      <c r="BG98" s="1736"/>
      <c r="BH98" s="110"/>
    </row>
    <row r="99" spans="1:60" s="3201" customFormat="1" x14ac:dyDescent="0.35">
      <c r="A99" s="9153"/>
      <c r="B99" s="3193"/>
      <c r="C99" s="3194"/>
      <c r="D99" s="3195" t="s">
        <v>580</v>
      </c>
      <c r="E99" s="3205"/>
      <c r="F99" s="3609"/>
      <c r="G99" s="3610"/>
      <c r="H99" s="3611"/>
      <c r="I99" s="3612"/>
      <c r="J99" s="246"/>
      <c r="K99" s="3610"/>
      <c r="L99" s="3611"/>
      <c r="M99" s="3613"/>
      <c r="N99" s="3603"/>
      <c r="O99" s="3611"/>
      <c r="P99" s="3612"/>
      <c r="Q99" s="3604"/>
      <c r="R99" s="246"/>
      <c r="S99" s="3614"/>
      <c r="T99" s="3611"/>
      <c r="U99" s="221"/>
      <c r="V99" s="3615"/>
      <c r="W99" s="3603"/>
      <c r="X99" s="3606"/>
      <c r="Z99" s="3611"/>
      <c r="AA99" s="221"/>
      <c r="AB99" s="3615"/>
      <c r="AC99" s="246"/>
      <c r="AD99" s="3606"/>
      <c r="AF99" s="3615"/>
      <c r="AG99" s="221"/>
      <c r="AH99" s="3614"/>
      <c r="AI99" s="3611"/>
      <c r="AJ99" s="221"/>
      <c r="AK99" s="3615"/>
      <c r="AL99" s="3603"/>
      <c r="AM99" s="3606"/>
      <c r="AO99" s="3611"/>
      <c r="AP99" s="6803"/>
      <c r="AQ99" s="221"/>
      <c r="AR99" s="6804"/>
      <c r="AS99" s="3614"/>
      <c r="AT99" s="3611"/>
      <c r="AU99" s="221"/>
      <c r="AV99" s="3615"/>
      <c r="AW99" s="3603"/>
      <c r="AX99" s="3606"/>
      <c r="AZ99" s="3611"/>
      <c r="BA99" s="6803"/>
      <c r="BB99" s="221"/>
      <c r="BC99" s="6804"/>
      <c r="BD99" s="3614"/>
      <c r="BE99" s="3611"/>
      <c r="BF99" s="221"/>
      <c r="BG99" s="3615"/>
      <c r="BH99" s="6804"/>
    </row>
    <row r="100" spans="1:60" s="3201" customFormat="1" x14ac:dyDescent="0.35">
      <c r="A100" s="9154"/>
      <c r="B100" s="3212"/>
      <c r="C100" s="3213"/>
      <c r="D100" s="1977" t="s">
        <v>581</v>
      </c>
      <c r="E100" s="3214"/>
      <c r="F100" s="702"/>
      <c r="G100" s="3616"/>
      <c r="H100" s="704"/>
      <c r="I100" s="705"/>
      <c r="J100" s="706"/>
      <c r="K100" s="3616"/>
      <c r="L100" s="704"/>
      <c r="M100" s="708"/>
      <c r="N100" s="3603"/>
      <c r="O100" s="704"/>
      <c r="P100" s="705"/>
      <c r="Q100" s="3617"/>
      <c r="R100" s="3514"/>
      <c r="S100" s="3618"/>
      <c r="T100" s="704"/>
      <c r="U100" s="1826"/>
      <c r="V100" s="3619"/>
      <c r="W100" s="3603"/>
      <c r="X100" s="3620"/>
      <c r="Z100" s="704"/>
      <c r="AA100" s="1826"/>
      <c r="AB100" s="3619"/>
      <c r="AC100" s="1057"/>
      <c r="AD100" s="3620"/>
      <c r="AF100" s="3619"/>
      <c r="AG100" s="1826"/>
      <c r="AH100" s="3618"/>
      <c r="AI100" s="704"/>
      <c r="AJ100" s="1826"/>
      <c r="AK100" s="3619"/>
      <c r="AL100" s="3603"/>
      <c r="AM100" s="3620"/>
      <c r="AO100" s="704"/>
      <c r="AP100" s="6805"/>
      <c r="AQ100" s="989"/>
      <c r="AR100" s="6806"/>
      <c r="AS100" s="3618"/>
      <c r="AT100" s="704"/>
      <c r="AU100" s="989"/>
      <c r="AV100" s="3619"/>
      <c r="AW100" s="3603"/>
      <c r="AX100" s="3620"/>
      <c r="AZ100" s="704"/>
      <c r="BA100" s="6805"/>
      <c r="BB100" s="1826"/>
      <c r="BC100" s="6806"/>
      <c r="BD100" s="3618"/>
      <c r="BE100" s="704"/>
      <c r="BF100" s="1826"/>
      <c r="BG100" s="3619"/>
      <c r="BH100" s="6806"/>
    </row>
    <row r="101" spans="1:60" ht="11.75" customHeight="1" x14ac:dyDescent="0.35">
      <c r="N101" s="982"/>
      <c r="O101" s="1087"/>
      <c r="P101" s="1087"/>
      <c r="Q101" s="1087"/>
      <c r="R101" s="1087"/>
      <c r="S101" s="1087"/>
      <c r="T101" s="1087"/>
      <c r="U101" s="1087"/>
      <c r="V101" s="1087"/>
      <c r="W101" s="1087"/>
      <c r="X101"/>
    </row>
    <row r="102" spans="1:60" x14ac:dyDescent="0.35">
      <c r="A102" s="455" t="s">
        <v>582</v>
      </c>
      <c r="B102" s="455"/>
      <c r="E102" s="457"/>
      <c r="N102" s="460"/>
      <c r="O102" s="461"/>
      <c r="P102" s="461"/>
      <c r="Q102" s="461"/>
      <c r="R102" s="461"/>
      <c r="S102" s="461"/>
      <c r="T102" s="461"/>
      <c r="U102" s="461"/>
      <c r="V102" s="461"/>
      <c r="W102" s="461"/>
      <c r="X102"/>
    </row>
    <row r="103" spans="1:60" ht="12" customHeight="1" x14ac:dyDescent="0.35">
      <c r="A103" s="991">
        <v>1</v>
      </c>
      <c r="B103" s="4934" t="s">
        <v>2367</v>
      </c>
      <c r="C103" s="992"/>
      <c r="D103" s="992"/>
      <c r="E103" s="992"/>
      <c r="F103" s="992"/>
      <c r="G103" s="992"/>
      <c r="H103" s="992"/>
      <c r="I103" s="992"/>
      <c r="J103" s="992"/>
      <c r="K103" s="992"/>
      <c r="L103" s="992"/>
      <c r="M103" s="993"/>
      <c r="N103" s="456"/>
      <c r="O103" s="461"/>
      <c r="P103" s="461"/>
      <c r="Q103" s="461"/>
      <c r="R103" s="461"/>
      <c r="S103" s="461"/>
      <c r="T103" s="461"/>
      <c r="U103" s="461"/>
      <c r="V103" s="461"/>
      <c r="W103" s="461"/>
      <c r="X103"/>
    </row>
    <row r="104" spans="1:60" x14ac:dyDescent="0.35">
      <c r="A104" s="462">
        <v>2</v>
      </c>
      <c r="B104" s="462" t="s">
        <v>2368</v>
      </c>
      <c r="X104"/>
    </row>
    <row r="105" spans="1:60" x14ac:dyDescent="0.35">
      <c r="X105"/>
    </row>
    <row r="106" spans="1:60" x14ac:dyDescent="0.35">
      <c r="A106" s="462" t="s">
        <v>583</v>
      </c>
    </row>
    <row r="107" spans="1:60" x14ac:dyDescent="0.35">
      <c r="X107"/>
    </row>
    <row r="108" spans="1:60" x14ac:dyDescent="0.35">
      <c r="X108"/>
    </row>
    <row r="109" spans="1:60" x14ac:dyDescent="0.35">
      <c r="X109"/>
    </row>
    <row r="110" spans="1:60" x14ac:dyDescent="0.35">
      <c r="X110"/>
    </row>
    <row r="111" spans="1:60" x14ac:dyDescent="0.35">
      <c r="X111"/>
    </row>
    <row r="112" spans="1:60" x14ac:dyDescent="0.35">
      <c r="X112"/>
    </row>
  </sheetData>
  <mergeCells count="49">
    <mergeCell ref="F1:M1"/>
    <mergeCell ref="O1:V1"/>
    <mergeCell ref="Z1:AD1"/>
    <mergeCell ref="AF1:AK1"/>
    <mergeCell ref="H4:J4"/>
    <mergeCell ref="L4:M4"/>
    <mergeCell ref="O4:R4"/>
    <mergeCell ref="T4:V4"/>
    <mergeCell ref="X4:X5"/>
    <mergeCell ref="Z4:AB4"/>
    <mergeCell ref="AI4:AK4"/>
    <mergeCell ref="AO7:AQ7"/>
    <mergeCell ref="AT7:AV7"/>
    <mergeCell ref="A73:A82"/>
    <mergeCell ref="A84:A100"/>
    <mergeCell ref="AI5:AK5"/>
    <mergeCell ref="H7:I7"/>
    <mergeCell ref="J7:J8"/>
    <mergeCell ref="L7:M7"/>
    <mergeCell ref="O7:P7"/>
    <mergeCell ref="R7:R8"/>
    <mergeCell ref="T7:V7"/>
    <mergeCell ref="Z7:AB7"/>
    <mergeCell ref="AF7:AG7"/>
    <mergeCell ref="AI7:AK7"/>
    <mergeCell ref="AD4:AD5"/>
    <mergeCell ref="AF4:AG4"/>
    <mergeCell ref="A10:A32"/>
    <mergeCell ref="A34:A71"/>
    <mergeCell ref="AM4:AM5"/>
    <mergeCell ref="O5:R5"/>
    <mergeCell ref="T5:V5"/>
    <mergeCell ref="Z5:AB5"/>
    <mergeCell ref="AF5:AG5"/>
    <mergeCell ref="H5:J5"/>
    <mergeCell ref="L5:M5"/>
    <mergeCell ref="AO1:AV1"/>
    <mergeCell ref="AO4:AQ4"/>
    <mergeCell ref="AT4:AV4"/>
    <mergeCell ref="AX4:AX5"/>
    <mergeCell ref="AO5:AQ5"/>
    <mergeCell ref="AT5:AV5"/>
    <mergeCell ref="AZ7:BB7"/>
    <mergeCell ref="BE7:BG7"/>
    <mergeCell ref="AZ1:BG1"/>
    <mergeCell ref="AZ4:BB4"/>
    <mergeCell ref="BE4:BG4"/>
    <mergeCell ref="AZ5:BB5"/>
    <mergeCell ref="BE5:BG5"/>
  </mergeCells>
  <hyperlinks>
    <hyperlink ref="Q10" r:id="rId1" xr:uid="{00000000-0004-0000-0F00-000000000000}"/>
    <hyperlink ref="U10" r:id="rId2" xr:uid="{00000000-0004-0000-0F00-000001000000}"/>
    <hyperlink ref="U34" r:id="rId3" xr:uid="{00000000-0004-0000-0F00-000002000000}"/>
    <hyperlink ref="AA10" r:id="rId4" xr:uid="{00000000-0004-0000-0F00-000003000000}"/>
    <hyperlink ref="AA34" r:id="rId5" xr:uid="{00000000-0004-0000-0F00-000004000000}"/>
    <hyperlink ref="AJ34" r:id="rId6" xr:uid="{00000000-0004-0000-0F00-000005000000}"/>
    <hyperlink ref="AG10" r:id="rId7" xr:uid="{00000000-0004-0000-0F00-000006000000}"/>
    <hyperlink ref="AG34" r:id="rId8" xr:uid="{00000000-0004-0000-0F00-000007000000}"/>
    <hyperlink ref="AJ73" r:id="rId9" xr:uid="{00000000-0004-0000-0F00-000008000000}"/>
    <hyperlink ref="AQ10" r:id="rId10" xr:uid="{A85FE42B-9F27-458D-B9EF-6BD15A85F896}"/>
    <hyperlink ref="AU10" r:id="rId11" xr:uid="{93AFEDBF-94F6-46AA-AC34-124C75ED99BE}"/>
    <hyperlink ref="AQ73" r:id="rId12" xr:uid="{DF08F86A-AF73-4CB3-AD6C-9CEE18B31360}"/>
    <hyperlink ref="AU73" r:id="rId13" xr:uid="{24A2FC86-3F92-4E80-BA60-8C33F48F9666}"/>
    <hyperlink ref="AU34" r:id="rId14" xr:uid="{294973E7-A836-4630-95F7-3917A7AC9AA9}"/>
    <hyperlink ref="AQ34" r:id="rId15" xr:uid="{F3369726-EF31-4BE4-8260-07DE05F6D2D6}"/>
  </hyperlinks>
  <pageMargins left="0.23622047244094491" right="0.23622047244094491" top="0.35433070866141736" bottom="0.35433070866141736" header="0.31496062992125984" footer="0.31496062992125984"/>
  <pageSetup paperSize="9" scale="44" orientation="portrait" horizontalDpi="4294967293" verticalDpi="4294967293" r:id="rId16"/>
  <headerFooter>
    <oddFooter>&amp;R&amp;1#&amp;"Calibri"&amp;12&amp;K000000Official Use</oddFooter>
  </headerFooter>
  <legacyDrawing r:id="rId17"/>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L110"/>
  <sheetViews>
    <sheetView topLeftCell="A20" zoomScale="73" zoomScaleNormal="80" workbookViewId="0">
      <pane xSplit="3" topLeftCell="AY1" activePane="topRight" state="frozen"/>
      <selection pane="topRight" activeCell="BL22" sqref="BL22"/>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hidden="1" customWidth="1"/>
    <col min="6" max="6" width="21.6328125" style="1" hidden="1" customWidth="1"/>
    <col min="7" max="7" width="1.6328125" style="1" hidden="1" customWidth="1"/>
    <col min="8" max="9" width="21.6328125" style="6" hidden="1" customWidth="1"/>
    <col min="10" max="10" width="8.6328125" style="7" hidden="1" customWidth="1"/>
    <col min="11" max="11" width="1.6328125" style="1" hidden="1" customWidth="1"/>
    <col min="12" max="13" width="21.6328125" hidden="1" customWidth="1"/>
    <col min="14" max="14" width="1.6328125" style="1" hidden="1" customWidth="1"/>
    <col min="15" max="15" width="17.36328125" hidden="1" customWidth="1"/>
    <col min="16" max="16" width="17.6328125" hidden="1" customWidth="1"/>
    <col min="17" max="17" width="14" hidden="1" customWidth="1"/>
    <col min="18" max="18" width="9.453125" hidden="1" customWidth="1"/>
    <col min="19" max="19" width="2.36328125" style="1" hidden="1" customWidth="1"/>
    <col min="20" max="20" width="18.453125" style="1" hidden="1" customWidth="1"/>
    <col min="21" max="21" width="13.6328125" style="1" hidden="1" customWidth="1"/>
    <col min="22" max="22" width="17.36328125" style="1" hidden="1" customWidth="1"/>
    <col min="23" max="23" width="1.6328125" style="1" customWidth="1"/>
    <col min="24" max="24" width="17.36328125" customWidth="1"/>
    <col min="25" max="25" width="17.6328125" customWidth="1"/>
    <col min="26" max="26" width="14" customWidth="1"/>
    <col min="27" max="27" width="9.453125" customWidth="1"/>
    <col min="28" max="28" width="2.36328125" style="1" customWidth="1"/>
    <col min="29" max="29" width="23.36328125" style="1" customWidth="1"/>
    <col min="30" max="30" width="13.6328125" style="1" customWidth="1"/>
    <col min="31" max="31" width="17.36328125" style="1" customWidth="1"/>
    <col min="32" max="32" width="1.6328125" style="1" customWidth="1"/>
    <col min="33" max="33" width="18.1796875" customWidth="1"/>
    <col min="34" max="34" width="1.6328125" style="1" customWidth="1"/>
    <col min="35" max="35" width="17.36328125" customWidth="1"/>
    <col min="36" max="36" width="17.6328125" customWidth="1"/>
    <col min="37" max="37" width="14" customWidth="1"/>
    <col min="38" max="38" width="9.453125" customWidth="1"/>
    <col min="39" max="39" width="2.36328125" style="1" customWidth="1"/>
    <col min="40" max="40" width="23.36328125" style="1" customWidth="1"/>
    <col min="41" max="41" width="13.6328125" style="1" customWidth="1"/>
    <col min="42" max="42" width="17.36328125" style="1" customWidth="1"/>
    <col min="43" max="43" width="1.6328125" style="1" customWidth="1"/>
    <col min="44" max="44" width="3.1796875" customWidth="1"/>
    <col min="45" max="45" width="2.453125" customWidth="1"/>
    <col min="46" max="46" width="17.36328125" customWidth="1"/>
    <col min="47" max="47" width="17.6328125" customWidth="1"/>
    <col min="48" max="48" width="14" customWidth="1"/>
    <col min="49" max="49" width="9.81640625" bestFit="1" customWidth="1"/>
    <col min="50" max="50" width="2.36328125" style="1" customWidth="1"/>
    <col min="51" max="51" width="23.36328125" style="1" customWidth="1"/>
    <col min="52" max="52" width="13.6328125" style="1" customWidth="1"/>
    <col min="53" max="53" width="17.36328125" style="1" customWidth="1"/>
    <col min="54" max="54" width="1.6328125" style="1" customWidth="1"/>
    <col min="55" max="55" width="5.453125" customWidth="1"/>
    <col min="56" max="56" width="2.1796875" customWidth="1"/>
    <col min="57" max="57" width="17.36328125" customWidth="1"/>
    <col min="58" max="58" width="17.6328125" customWidth="1"/>
    <col min="59" max="59" width="14" customWidth="1"/>
    <col min="60" max="60" width="9.81640625" bestFit="1" customWidth="1"/>
    <col min="61" max="61" width="2.36328125" style="1" customWidth="1"/>
    <col min="62" max="62" width="23.36328125" style="1" customWidth="1"/>
    <col min="63" max="63" width="13.6328125" style="1" customWidth="1"/>
    <col min="64" max="64" width="17.36328125" style="1" customWidth="1"/>
  </cols>
  <sheetData>
    <row r="1" spans="1:64" ht="31" x14ac:dyDescent="0.7">
      <c r="F1" s="9118" t="s">
        <v>823</v>
      </c>
      <c r="G1" s="9119"/>
      <c r="H1" s="9119"/>
      <c r="I1" s="9119"/>
      <c r="J1" s="9119"/>
      <c r="K1" s="9119"/>
      <c r="L1" s="9119"/>
      <c r="M1" s="9120"/>
      <c r="O1" s="9121" t="s">
        <v>824</v>
      </c>
      <c r="P1" s="9122"/>
      <c r="Q1" s="9122"/>
      <c r="R1" s="9122"/>
      <c r="S1" s="9122"/>
      <c r="T1" s="9122"/>
      <c r="U1" s="9122"/>
      <c r="V1" s="9122"/>
      <c r="X1" s="9312" t="s">
        <v>825</v>
      </c>
      <c r="Y1" s="9313"/>
      <c r="Z1" s="9313"/>
      <c r="AA1" s="9313"/>
      <c r="AB1" s="9313"/>
      <c r="AC1" s="9313"/>
      <c r="AD1" s="9313"/>
      <c r="AE1" s="9313"/>
      <c r="AI1" s="9309" t="s">
        <v>826</v>
      </c>
      <c r="AJ1" s="9310"/>
      <c r="AK1" s="9310"/>
      <c r="AL1" s="9310"/>
      <c r="AM1" s="9310"/>
      <c r="AN1" s="9310"/>
      <c r="AO1" s="9310"/>
      <c r="AP1" s="9310"/>
      <c r="AT1" s="9195" t="s">
        <v>827</v>
      </c>
      <c r="AU1" s="9196"/>
      <c r="AV1" s="9196"/>
      <c r="AW1" s="9196"/>
      <c r="AX1" s="9196"/>
      <c r="AY1" s="9196"/>
      <c r="AZ1" s="9196"/>
      <c r="BA1" s="9196"/>
      <c r="BE1" s="9115" t="s">
        <v>828</v>
      </c>
      <c r="BF1" s="9116"/>
      <c r="BG1" s="9116"/>
      <c r="BH1" s="9116"/>
      <c r="BI1" s="9116"/>
      <c r="BJ1" s="9116"/>
      <c r="BK1" s="9116"/>
      <c r="BL1" s="9116"/>
    </row>
    <row r="2" spans="1:64" ht="21" x14ac:dyDescent="0.5">
      <c r="B2" s="1" t="s">
        <v>829</v>
      </c>
      <c r="C2" s="4" t="s">
        <v>2369</v>
      </c>
      <c r="H2"/>
      <c r="BE2" s="972" t="s">
        <v>2370</v>
      </c>
    </row>
    <row r="3" spans="1:64" x14ac:dyDescent="0.35">
      <c r="AI3" s="254"/>
      <c r="AJ3" s="254"/>
      <c r="AT3" s="254"/>
      <c r="AU3" s="254"/>
      <c r="BE3" s="254"/>
      <c r="BF3" s="254"/>
    </row>
    <row r="4" spans="1:64" s="8" customFormat="1" ht="32" customHeight="1" x14ac:dyDescent="0.35">
      <c r="D4" s="471"/>
      <c r="F4" s="8326" t="s">
        <v>830</v>
      </c>
      <c r="H4" s="9130" t="s">
        <v>831</v>
      </c>
      <c r="I4" s="9131"/>
      <c r="J4" s="9132"/>
      <c r="L4" s="9130" t="s">
        <v>832</v>
      </c>
      <c r="M4" s="9132"/>
      <c r="O4" s="9318" t="s">
        <v>1663</v>
      </c>
      <c r="P4" s="9318"/>
      <c r="Q4" s="9318"/>
      <c r="R4" s="9318"/>
      <c r="T4" s="9130" t="s">
        <v>2371</v>
      </c>
      <c r="U4" s="9131"/>
      <c r="V4" s="9132"/>
      <c r="X4" s="9318" t="s">
        <v>1663</v>
      </c>
      <c r="Y4" s="9318"/>
      <c r="Z4" s="9318"/>
      <c r="AA4" s="9318"/>
      <c r="AC4" s="9130" t="s">
        <v>2371</v>
      </c>
      <c r="AD4" s="9131"/>
      <c r="AE4" s="9132"/>
      <c r="AG4" s="9180" t="s">
        <v>404</v>
      </c>
      <c r="AI4" s="9318" t="s">
        <v>1663</v>
      </c>
      <c r="AJ4" s="9318"/>
      <c r="AK4" s="9318"/>
      <c r="AL4" s="9318"/>
      <c r="AN4" s="9130" t="s">
        <v>2371</v>
      </c>
      <c r="AO4" s="9131"/>
      <c r="AP4" s="9132"/>
      <c r="AR4" s="9180" t="s">
        <v>404</v>
      </c>
      <c r="AT4" s="9318" t="s">
        <v>1663</v>
      </c>
      <c r="AU4" s="9318"/>
      <c r="AV4" s="9318"/>
      <c r="AW4" s="9318"/>
      <c r="AY4" s="9130" t="s">
        <v>2371</v>
      </c>
      <c r="AZ4" s="9131"/>
      <c r="BA4" s="9132"/>
      <c r="BC4" s="9180" t="s">
        <v>404</v>
      </c>
      <c r="BE4" s="9318" t="s">
        <v>1663</v>
      </c>
      <c r="BF4" s="9318"/>
      <c r="BG4" s="9318"/>
      <c r="BH4" s="9318"/>
      <c r="BJ4" s="9130" t="s">
        <v>2371</v>
      </c>
      <c r="BK4" s="9131"/>
      <c r="BL4" s="9132"/>
    </row>
    <row r="5" spans="1:64" x14ac:dyDescent="0.35">
      <c r="B5" s="1" t="s">
        <v>835</v>
      </c>
      <c r="C5" s="11">
        <v>2002</v>
      </c>
      <c r="F5" s="8324">
        <v>2011</v>
      </c>
      <c r="G5" s="12"/>
      <c r="H5" s="9138">
        <v>2014</v>
      </c>
      <c r="I5" s="9139"/>
      <c r="J5" s="9140"/>
      <c r="K5" s="12"/>
      <c r="L5" s="9138">
        <v>2015</v>
      </c>
      <c r="M5" s="9140"/>
      <c r="O5" s="9234">
        <v>2015</v>
      </c>
      <c r="P5" s="9234"/>
      <c r="Q5" s="9234"/>
      <c r="R5" s="9234"/>
      <c r="T5" s="9303">
        <v>2016</v>
      </c>
      <c r="U5" s="9304"/>
      <c r="V5" s="9305"/>
      <c r="X5" s="9234">
        <v>2016</v>
      </c>
      <c r="Y5" s="9234"/>
      <c r="Z5" s="9234"/>
      <c r="AA5" s="9234"/>
      <c r="AC5" s="9303">
        <v>2017</v>
      </c>
      <c r="AD5" s="9304"/>
      <c r="AE5" s="9305"/>
      <c r="AG5" s="9181"/>
      <c r="AI5" s="9234">
        <v>2017</v>
      </c>
      <c r="AJ5" s="9234"/>
      <c r="AK5" s="9234"/>
      <c r="AL5" s="9234"/>
      <c r="AN5" s="9303">
        <v>2018</v>
      </c>
      <c r="AO5" s="9304"/>
      <c r="AP5" s="9305"/>
      <c r="AR5" s="9181"/>
      <c r="AT5" s="9234">
        <v>2018</v>
      </c>
      <c r="AU5" s="9234"/>
      <c r="AV5" s="9234"/>
      <c r="AW5" s="9234"/>
      <c r="AY5" s="9303">
        <v>2019</v>
      </c>
      <c r="AZ5" s="9304"/>
      <c r="BA5" s="9305"/>
      <c r="BC5" s="9181"/>
      <c r="BE5" s="9234">
        <v>2019</v>
      </c>
      <c r="BF5" s="9234"/>
      <c r="BG5" s="9234"/>
      <c r="BH5" s="9234"/>
      <c r="BJ5" s="9303">
        <v>2020</v>
      </c>
      <c r="BK5" s="9304"/>
      <c r="BL5" s="9305"/>
    </row>
    <row r="6" spans="1:64" x14ac:dyDescent="0.35">
      <c r="C6"/>
      <c r="F6" s="6"/>
      <c r="L6" s="14"/>
      <c r="AG6" s="6"/>
      <c r="AR6" s="6"/>
      <c r="BC6" s="6"/>
    </row>
    <row r="7" spans="1:64" ht="12.75" customHeight="1" x14ac:dyDescent="0.35">
      <c r="B7" s="1" t="s">
        <v>836</v>
      </c>
      <c r="C7" s="15" t="s">
        <v>2372</v>
      </c>
      <c r="D7" s="5" t="s">
        <v>417</v>
      </c>
      <c r="F7" s="8322" t="s">
        <v>2373</v>
      </c>
      <c r="H7" s="9173" t="s">
        <v>2373</v>
      </c>
      <c r="I7" s="9173"/>
      <c r="J7" s="9147" t="s">
        <v>839</v>
      </c>
      <c r="L7" s="9149" t="s">
        <v>2373</v>
      </c>
      <c r="M7" s="9151"/>
      <c r="O7" s="9232" t="s">
        <v>2373</v>
      </c>
      <c r="P7" s="9232"/>
      <c r="Q7" s="9232"/>
      <c r="R7" s="9232"/>
      <c r="T7" s="9397" t="s">
        <v>2373</v>
      </c>
      <c r="U7" s="9398"/>
      <c r="V7" s="9399"/>
      <c r="X7" s="9232" t="s">
        <v>2373</v>
      </c>
      <c r="Y7" s="9232"/>
      <c r="Z7" s="9232"/>
      <c r="AA7" s="9232"/>
      <c r="AC7" s="9397" t="s">
        <v>2373</v>
      </c>
      <c r="AD7" s="9398"/>
      <c r="AE7" s="9399"/>
      <c r="AG7" s="18"/>
      <c r="AI7" s="9232" t="s">
        <v>2373</v>
      </c>
      <c r="AJ7" s="9232"/>
      <c r="AK7" s="9232"/>
      <c r="AL7" s="9232"/>
      <c r="AN7" s="9397" t="s">
        <v>2373</v>
      </c>
      <c r="AO7" s="9398"/>
      <c r="AP7" s="9399"/>
      <c r="AR7" s="18"/>
      <c r="AT7" s="9232" t="s">
        <v>2374</v>
      </c>
      <c r="AU7" s="9232"/>
      <c r="AV7" s="9232"/>
      <c r="AW7" s="9232"/>
      <c r="AY7" s="9397" t="s">
        <v>2373</v>
      </c>
      <c r="AZ7" s="9398"/>
      <c r="BA7" s="9399"/>
      <c r="BC7" s="18"/>
      <c r="BE7" s="9232" t="s">
        <v>2374</v>
      </c>
      <c r="BF7" s="9232"/>
      <c r="BG7" s="9232"/>
      <c r="BH7" s="9232"/>
      <c r="BJ7" s="9397" t="s">
        <v>2374</v>
      </c>
      <c r="BK7" s="9398"/>
      <c r="BL7" s="9399"/>
    </row>
    <row r="8" spans="1:64" s="2980" customFormat="1" ht="43.5" x14ac:dyDescent="0.35">
      <c r="B8" s="2980" t="s">
        <v>841</v>
      </c>
      <c r="C8" s="2981" t="s">
        <v>1121</v>
      </c>
      <c r="D8" s="471"/>
      <c r="F8" s="2982" t="s">
        <v>424</v>
      </c>
      <c r="H8" s="1987" t="s">
        <v>844</v>
      </c>
      <c r="I8" s="1987" t="s">
        <v>843</v>
      </c>
      <c r="J8" s="9148"/>
      <c r="L8" s="1987" t="s">
        <v>844</v>
      </c>
      <c r="M8" s="1987" t="s">
        <v>843</v>
      </c>
      <c r="O8" s="1987" t="s">
        <v>424</v>
      </c>
      <c r="P8" s="1987" t="s">
        <v>2375</v>
      </c>
      <c r="Q8" s="1987" t="s">
        <v>2376</v>
      </c>
      <c r="R8" s="1987" t="s">
        <v>860</v>
      </c>
      <c r="T8" s="1987" t="s">
        <v>424</v>
      </c>
      <c r="U8" s="1987" t="s">
        <v>846</v>
      </c>
      <c r="V8" s="1987" t="s">
        <v>1373</v>
      </c>
      <c r="X8" s="1987" t="s">
        <v>424</v>
      </c>
      <c r="Y8" s="1987" t="s">
        <v>2375</v>
      </c>
      <c r="Z8" s="1987" t="s">
        <v>2376</v>
      </c>
      <c r="AA8" s="1987" t="s">
        <v>860</v>
      </c>
      <c r="AC8" s="1987" t="s">
        <v>424</v>
      </c>
      <c r="AD8" s="1987" t="s">
        <v>846</v>
      </c>
      <c r="AE8" s="1987" t="s">
        <v>1373</v>
      </c>
      <c r="AG8" s="2983"/>
      <c r="AI8" s="1987" t="s">
        <v>424</v>
      </c>
      <c r="AJ8" s="1987" t="s">
        <v>2375</v>
      </c>
      <c r="AK8" s="1987" t="s">
        <v>2376</v>
      </c>
      <c r="AL8" s="1987" t="s">
        <v>860</v>
      </c>
      <c r="AN8" s="1987" t="s">
        <v>424</v>
      </c>
      <c r="AO8" s="1987" t="s">
        <v>846</v>
      </c>
      <c r="AP8" s="1987" t="s">
        <v>2377</v>
      </c>
      <c r="AR8" s="2983"/>
      <c r="AT8" s="1987" t="s">
        <v>424</v>
      </c>
      <c r="AU8" s="1987" t="s">
        <v>2375</v>
      </c>
      <c r="AV8" s="1987" t="s">
        <v>2376</v>
      </c>
      <c r="AW8" s="1987" t="s">
        <v>860</v>
      </c>
      <c r="AY8" s="1987" t="s">
        <v>424</v>
      </c>
      <c r="AZ8" s="1987" t="s">
        <v>846</v>
      </c>
      <c r="BA8" s="1987" t="s">
        <v>2377</v>
      </c>
      <c r="BC8" s="2983"/>
      <c r="BE8" s="1987" t="s">
        <v>424</v>
      </c>
      <c r="BF8" s="1987" t="s">
        <v>2375</v>
      </c>
      <c r="BG8" s="1987" t="s">
        <v>2376</v>
      </c>
      <c r="BH8" s="1987" t="s">
        <v>860</v>
      </c>
      <c r="BJ8" s="1987" t="s">
        <v>424</v>
      </c>
      <c r="BK8" s="1987" t="s">
        <v>846</v>
      </c>
      <c r="BL8" s="1987" t="s">
        <v>2378</v>
      </c>
    </row>
    <row r="9" spans="1:64" x14ac:dyDescent="0.35">
      <c r="C9"/>
      <c r="E9"/>
      <c r="F9"/>
      <c r="G9"/>
      <c r="H9"/>
      <c r="I9"/>
      <c r="J9" s="25"/>
      <c r="K9"/>
      <c r="N9"/>
      <c r="S9"/>
      <c r="T9"/>
      <c r="U9"/>
      <c r="V9"/>
      <c r="W9"/>
      <c r="AB9"/>
      <c r="AC9"/>
      <c r="AD9"/>
      <c r="AE9"/>
      <c r="AF9"/>
      <c r="AH9"/>
      <c r="AM9"/>
      <c r="AN9"/>
      <c r="AO9"/>
      <c r="AP9"/>
      <c r="AQ9"/>
      <c r="AX9"/>
      <c r="AY9"/>
      <c r="AZ9"/>
      <c r="BA9"/>
      <c r="BB9"/>
      <c r="BI9"/>
      <c r="BJ9"/>
      <c r="BK9"/>
      <c r="BL9"/>
    </row>
    <row r="10" spans="1:64" ht="60.25" customHeight="1" x14ac:dyDescent="0.35">
      <c r="A10" s="9167" t="s">
        <v>854</v>
      </c>
      <c r="B10" s="27"/>
      <c r="C10" s="28" t="s">
        <v>427</v>
      </c>
      <c r="D10" s="29" t="s">
        <v>428</v>
      </c>
      <c r="E10" s="30"/>
      <c r="F10" s="31" t="s">
        <v>2379</v>
      </c>
      <c r="G10"/>
      <c r="H10" s="31" t="s">
        <v>2380</v>
      </c>
      <c r="I10" s="31" t="s">
        <v>2381</v>
      </c>
      <c r="J10" s="32"/>
      <c r="K10" s="33"/>
      <c r="L10" s="31" t="s">
        <v>2382</v>
      </c>
      <c r="M10" s="36" t="s">
        <v>2383</v>
      </c>
      <c r="N10" s="33"/>
      <c r="O10" s="31" t="s">
        <v>856</v>
      </c>
      <c r="P10" s="31" t="s">
        <v>856</v>
      </c>
      <c r="Q10" s="2984"/>
      <c r="R10" s="36"/>
      <c r="S10" s="30"/>
      <c r="T10" s="994" t="s">
        <v>1129</v>
      </c>
      <c r="U10" s="2985"/>
      <c r="V10" s="2984" t="s">
        <v>2384</v>
      </c>
      <c r="W10" s="30"/>
      <c r="X10" s="2986" t="s">
        <v>1309</v>
      </c>
      <c r="Y10" s="2987" t="s">
        <v>2385</v>
      </c>
      <c r="Z10" s="2988" t="s">
        <v>2386</v>
      </c>
      <c r="AA10" s="36"/>
      <c r="AB10" s="30"/>
      <c r="AC10" s="2986" t="s">
        <v>1309</v>
      </c>
      <c r="AD10" s="2988" t="s">
        <v>2386</v>
      </c>
      <c r="AE10" s="2987" t="s">
        <v>2385</v>
      </c>
      <c r="AF10" s="33"/>
      <c r="AG10" s="39"/>
      <c r="AH10" s="30"/>
      <c r="AI10" s="2986" t="s">
        <v>2387</v>
      </c>
      <c r="AJ10" s="2987" t="s">
        <v>2387</v>
      </c>
      <c r="AK10" s="2988" t="s">
        <v>2388</v>
      </c>
      <c r="AL10" s="36"/>
      <c r="AM10" s="30"/>
      <c r="AN10" s="2986" t="s">
        <v>2389</v>
      </c>
      <c r="AO10" s="2988" t="s">
        <v>2390</v>
      </c>
      <c r="AP10" s="2987"/>
      <c r="AQ10" s="33"/>
      <c r="AR10" s="39"/>
      <c r="AT10" s="994" t="s">
        <v>2391</v>
      </c>
      <c r="AU10" s="994" t="s">
        <v>2391</v>
      </c>
      <c r="AV10" s="2988" t="s">
        <v>2392</v>
      </c>
      <c r="AW10" s="36"/>
      <c r="AX10" s="30"/>
      <c r="AY10" s="994" t="s">
        <v>2393</v>
      </c>
      <c r="AZ10" s="2988" t="s">
        <v>2392</v>
      </c>
      <c r="BA10" s="994" t="s">
        <v>2393</v>
      </c>
      <c r="BB10" s="33"/>
      <c r="BC10" s="39"/>
      <c r="BE10" s="994" t="s">
        <v>2394</v>
      </c>
      <c r="BF10" s="994" t="s">
        <v>2394</v>
      </c>
      <c r="BG10" s="2988" t="s">
        <v>2392</v>
      </c>
      <c r="BH10" s="36"/>
      <c r="BI10" s="30"/>
      <c r="BJ10" s="994" t="s">
        <v>2395</v>
      </c>
      <c r="BK10" s="2988" t="s">
        <v>2392</v>
      </c>
      <c r="BL10" s="994" t="s">
        <v>2395</v>
      </c>
    </row>
    <row r="11" spans="1:64" ht="12.75" customHeight="1" x14ac:dyDescent="0.35">
      <c r="A11" s="9168"/>
      <c r="B11" s="40" t="s">
        <v>870</v>
      </c>
      <c r="C11" s="41"/>
      <c r="D11" s="42"/>
      <c r="E11" s="43"/>
      <c r="F11" s="44"/>
      <c r="G11"/>
      <c r="H11" s="45"/>
      <c r="I11" s="46"/>
      <c r="J11" s="47"/>
      <c r="K11" s="48"/>
      <c r="L11" s="45"/>
      <c r="M11" s="49"/>
      <c r="N11" s="50"/>
      <c r="O11" s="45"/>
      <c r="P11" s="46"/>
      <c r="Q11" s="54"/>
      <c r="R11" s="229"/>
      <c r="S11" s="50"/>
      <c r="T11" s="45"/>
      <c r="U11" s="54"/>
      <c r="V11" s="586"/>
      <c r="W11" s="43"/>
      <c r="X11" s="154"/>
      <c r="Y11" s="2989" t="s">
        <v>2396</v>
      </c>
      <c r="Z11" s="2990" t="s">
        <v>2397</v>
      </c>
      <c r="AA11" s="229"/>
      <c r="AB11" s="50"/>
      <c r="AC11" s="154"/>
      <c r="AD11" s="54"/>
      <c r="AE11" s="586" t="s">
        <v>2398</v>
      </c>
      <c r="AF11" s="43"/>
      <c r="AG11" s="18"/>
      <c r="AH11" s="43"/>
      <c r="AI11" s="154"/>
      <c r="AJ11" s="2989" t="s">
        <v>2399</v>
      </c>
      <c r="AK11" s="2990"/>
      <c r="AL11" s="229"/>
      <c r="AM11" s="50"/>
      <c r="AN11" s="154"/>
      <c r="AO11" s="54"/>
      <c r="AP11" s="586"/>
      <c r="AQ11" s="43"/>
      <c r="AR11" s="18"/>
      <c r="AT11" s="2998"/>
      <c r="AU11" s="2998"/>
      <c r="AV11" s="2990"/>
      <c r="AW11" s="229"/>
      <c r="AX11" s="50"/>
      <c r="AY11" s="154"/>
      <c r="AZ11" s="54"/>
      <c r="BA11" s="586" t="s">
        <v>2400</v>
      </c>
      <c r="BB11" s="43"/>
      <c r="BC11" s="18"/>
      <c r="BE11" s="2998"/>
      <c r="BF11" s="2998"/>
      <c r="BG11" s="2990"/>
      <c r="BH11" s="229"/>
      <c r="BI11" s="50"/>
      <c r="BJ11" s="154"/>
      <c r="BK11" s="54"/>
      <c r="BL11" s="586" t="s">
        <v>2400</v>
      </c>
    </row>
    <row r="12" spans="1:64" x14ac:dyDescent="0.35">
      <c r="A12" s="9168"/>
      <c r="B12" s="58"/>
      <c r="C12" s="59" t="s">
        <v>872</v>
      </c>
      <c r="D12" s="60"/>
      <c r="F12" s="61">
        <v>5634871656</v>
      </c>
      <c r="G12"/>
      <c r="H12" s="62">
        <v>8716708841</v>
      </c>
      <c r="I12" s="63"/>
      <c r="J12" s="64">
        <f>IF(H12=0,0,I12/H12)</f>
        <v>0</v>
      </c>
      <c r="K12" s="65"/>
      <c r="L12" s="62">
        <f>9173086792+366264097</f>
        <v>9539350889</v>
      </c>
      <c r="M12" s="66">
        <f>L12*J12</f>
        <v>0</v>
      </c>
      <c r="N12" s="67"/>
      <c r="O12" s="62">
        <f>9173086792+366264097</f>
        <v>9539350889</v>
      </c>
      <c r="P12" s="671"/>
      <c r="Q12" s="1128"/>
      <c r="R12" s="66"/>
      <c r="S12" s="67"/>
      <c r="T12" s="71">
        <f>10870081336+673731187</f>
        <v>11543812523</v>
      </c>
      <c r="U12" s="525"/>
      <c r="V12" s="2991">
        <f>T12*R12</f>
        <v>0</v>
      </c>
      <c r="X12" s="2992">
        <v>11543812523</v>
      </c>
      <c r="Y12" s="2993">
        <v>11391170000</v>
      </c>
      <c r="Z12" s="312"/>
      <c r="AA12" s="400">
        <f t="shared" ref="AA12:AA17" si="0">Y12/X12</f>
        <v>0.98677711347998132</v>
      </c>
      <c r="AB12" s="67"/>
      <c r="AC12" s="2992">
        <v>12905327707</v>
      </c>
      <c r="AD12" s="2994" t="s">
        <v>2401</v>
      </c>
      <c r="AE12" s="2995">
        <f>AE17-AE13</f>
        <v>13275830000</v>
      </c>
      <c r="AG12" s="26"/>
      <c r="AI12" s="2996">
        <v>13489400000</v>
      </c>
      <c r="AJ12" s="2997">
        <v>12901960000</v>
      </c>
      <c r="AK12" s="2998" t="s">
        <v>2402</v>
      </c>
      <c r="AL12" s="400">
        <f t="shared" ref="AL12:AL17" si="1">AJ12/AI12</f>
        <v>0.95645173247142201</v>
      </c>
      <c r="AM12" s="67"/>
      <c r="AN12" s="2996">
        <f>(14567904644000+712231772000)/1000</f>
        <v>15280136416</v>
      </c>
      <c r="AO12" s="2999" t="s">
        <v>2403</v>
      </c>
      <c r="AP12" s="2995">
        <f>AL12*AN12</f>
        <v>14614712947.482864</v>
      </c>
      <c r="AR12" s="26"/>
      <c r="AT12" s="6811">
        <f>14567.9+712.32</f>
        <v>15280.22</v>
      </c>
      <c r="AU12" s="6812">
        <f>13278.44+669.96</f>
        <v>13948.400000000001</v>
      </c>
      <c r="AV12" s="2998" t="s">
        <v>1852</v>
      </c>
      <c r="AW12" s="400">
        <f t="shared" ref="AW12:AW17" si="2">AU12/AT12</f>
        <v>0.91284026015332254</v>
      </c>
      <c r="AX12" s="67"/>
      <c r="AY12" s="6811">
        <f>16307.85+1195.16</f>
        <v>17503.010000000002</v>
      </c>
      <c r="AZ12" s="6813" t="s">
        <v>2404</v>
      </c>
      <c r="BA12" s="6814">
        <f>(12143.25+907.54)*4/3</f>
        <v>17401.053333333333</v>
      </c>
      <c r="BC12" s="26"/>
      <c r="BE12" s="6811">
        <f>16747.5+1195.2</f>
        <v>17942.7</v>
      </c>
      <c r="BF12" s="6812">
        <f>15583.6+1165.7</f>
        <v>16749.3</v>
      </c>
      <c r="BG12" s="2998" t="s">
        <v>2405</v>
      </c>
      <c r="BH12" s="400">
        <f>BF12/BE12</f>
        <v>0.93348827099600384</v>
      </c>
      <c r="BI12" s="67"/>
      <c r="BJ12" s="6811">
        <f>19187.1+567.7</f>
        <v>19754.8</v>
      </c>
      <c r="BK12" s="6813" t="s">
        <v>2406</v>
      </c>
      <c r="BL12" s="6814">
        <f>(11507.45+209.28)*12/9</f>
        <v>15622.306666666667</v>
      </c>
    </row>
    <row r="13" spans="1:64" x14ac:dyDescent="0.35">
      <c r="A13" s="9168"/>
      <c r="B13" s="58"/>
      <c r="C13" s="59" t="s">
        <v>878</v>
      </c>
      <c r="D13" s="60"/>
      <c r="F13" s="61">
        <f>874420000+381273400</f>
        <v>1255693400</v>
      </c>
      <c r="G13"/>
      <c r="H13" s="62"/>
      <c r="I13" s="63"/>
      <c r="J13" s="73">
        <f>IF(H13=0,0,I13/H13)</f>
        <v>0</v>
      </c>
      <c r="K13" s="65"/>
      <c r="L13" s="62">
        <v>1330564200</v>
      </c>
      <c r="M13" s="66">
        <f>L13*J13</f>
        <v>0</v>
      </c>
      <c r="N13" s="67"/>
      <c r="O13" s="62">
        <v>1330564200</v>
      </c>
      <c r="P13" s="671"/>
      <c r="Q13" s="1128"/>
      <c r="R13" s="66"/>
      <c r="S13" s="67"/>
      <c r="T13" s="71">
        <v>1921874513</v>
      </c>
      <c r="U13" s="525"/>
      <c r="V13" s="2991">
        <f>T13*R13</f>
        <v>0</v>
      </c>
      <c r="X13" s="2992">
        <v>1921874513</v>
      </c>
      <c r="Y13" s="2993">
        <v>833610000</v>
      </c>
      <c r="Z13" s="312"/>
      <c r="AA13" s="400">
        <f t="shared" si="0"/>
        <v>0.43374840259406677</v>
      </c>
      <c r="AB13" s="67"/>
      <c r="AC13" s="2992">
        <v>2317057061</v>
      </c>
      <c r="AD13" s="2994" t="s">
        <v>2407</v>
      </c>
      <c r="AE13" s="2995">
        <v>2193730000</v>
      </c>
      <c r="AG13" s="26"/>
      <c r="AI13" s="2996">
        <v>1928000000</v>
      </c>
      <c r="AJ13" s="2997">
        <v>1439940000</v>
      </c>
      <c r="AK13" s="3000"/>
      <c r="AL13" s="400">
        <f t="shared" si="1"/>
        <v>0.74685684647302908</v>
      </c>
      <c r="AM13" s="67"/>
      <c r="AN13" s="2996">
        <f>(1347000000000)/1000</f>
        <v>1347000000</v>
      </c>
      <c r="AO13" s="3001" t="s">
        <v>2403</v>
      </c>
      <c r="AP13" s="2995">
        <f>AL13*AN13</f>
        <v>1006016172.1991701</v>
      </c>
      <c r="AR13" s="26"/>
      <c r="AT13" s="6811">
        <v>1347</v>
      </c>
      <c r="AU13" s="6812">
        <v>1769.4</v>
      </c>
      <c r="AV13" s="3000"/>
      <c r="AW13" s="400">
        <f t="shared" si="2"/>
        <v>1.31358574610245</v>
      </c>
      <c r="AX13" s="67"/>
      <c r="AY13" s="6811">
        <f>1402+659</f>
        <v>2061</v>
      </c>
      <c r="AZ13" s="6813" t="s">
        <v>2404</v>
      </c>
      <c r="BA13" s="6814">
        <f>(315.19+107.73)*4/3</f>
        <v>563.89333333333332</v>
      </c>
      <c r="BC13" s="26"/>
      <c r="BE13" s="6811">
        <v>1402</v>
      </c>
      <c r="BF13" s="6812">
        <v>837.8</v>
      </c>
      <c r="BG13" s="3000"/>
      <c r="BH13" s="400">
        <f>BF13/BE13</f>
        <v>0.59757489300998567</v>
      </c>
      <c r="BI13" s="67"/>
      <c r="BJ13" s="6811">
        <v>1410</v>
      </c>
      <c r="BK13" s="6813" t="s">
        <v>2408</v>
      </c>
      <c r="BL13" s="6814">
        <f>1207.33*12/9</f>
        <v>1609.7733333333333</v>
      </c>
    </row>
    <row r="14" spans="1:64" x14ac:dyDescent="0.35">
      <c r="A14" s="9168"/>
      <c r="B14" s="75"/>
      <c r="C14" s="526" t="s">
        <v>2409</v>
      </c>
      <c r="D14" s="60"/>
      <c r="F14" s="77"/>
      <c r="G14"/>
      <c r="H14" s="78"/>
      <c r="I14" s="79"/>
      <c r="J14" s="73"/>
      <c r="K14" s="80"/>
      <c r="L14" s="78"/>
      <c r="M14" s="66"/>
      <c r="N14" s="67"/>
      <c r="O14" s="78"/>
      <c r="P14" s="4874"/>
      <c r="Q14" s="1188"/>
      <c r="R14" s="66"/>
      <c r="S14" s="67"/>
      <c r="T14" s="760"/>
      <c r="U14" s="167"/>
      <c r="V14" s="2991"/>
      <c r="X14" s="5313"/>
      <c r="Y14" s="6807"/>
      <c r="Z14" s="312"/>
      <c r="AA14" s="400"/>
      <c r="AB14" s="67"/>
      <c r="AC14" s="5313"/>
      <c r="AD14" s="6808"/>
      <c r="AE14" s="6809"/>
      <c r="AG14" s="26"/>
      <c r="AI14" s="3027"/>
      <c r="AJ14" s="6810"/>
      <c r="AK14" s="3000"/>
      <c r="AL14" s="400"/>
      <c r="AM14" s="67"/>
      <c r="AN14" s="3027"/>
      <c r="AO14" s="3001"/>
      <c r="AP14" s="6809"/>
      <c r="AR14" s="26"/>
      <c r="AT14" s="6815">
        <v>4353.4399999999996</v>
      </c>
      <c r="AU14" s="6816">
        <v>3336.683</v>
      </c>
      <c r="AV14" s="3000" t="s">
        <v>2410</v>
      </c>
      <c r="AW14" s="400">
        <f t="shared" si="2"/>
        <v>0.76644745304862372</v>
      </c>
      <c r="AX14" s="67"/>
      <c r="AY14" s="6815">
        <f>AY21</f>
        <v>5068</v>
      </c>
      <c r="AZ14" s="6817" t="s">
        <v>1154</v>
      </c>
      <c r="BA14" s="6818">
        <f>BA21</f>
        <v>1861.2933333333333</v>
      </c>
      <c r="BC14" s="26"/>
      <c r="BE14" s="6815"/>
      <c r="BF14" s="6816"/>
      <c r="BG14" s="3000"/>
      <c r="BH14" s="400"/>
      <c r="BI14" s="67"/>
      <c r="BJ14" s="6815"/>
      <c r="BK14" s="6817"/>
      <c r="BL14" s="6818"/>
    </row>
    <row r="15" spans="1:64" x14ac:dyDescent="0.35">
      <c r="A15" s="9168"/>
      <c r="B15" s="75"/>
      <c r="C15" s="526" t="s">
        <v>2411</v>
      </c>
      <c r="D15" s="60"/>
      <c r="F15" s="77"/>
      <c r="G15"/>
      <c r="H15" s="78"/>
      <c r="I15" s="79"/>
      <c r="J15" s="73"/>
      <c r="K15" s="80"/>
      <c r="L15" s="78"/>
      <c r="M15" s="66"/>
      <c r="N15" s="67"/>
      <c r="O15" s="78"/>
      <c r="P15" s="4874"/>
      <c r="Q15" s="1188"/>
      <c r="R15" s="66"/>
      <c r="S15" s="67"/>
      <c r="T15" s="760"/>
      <c r="U15" s="167"/>
      <c r="V15" s="2991"/>
      <c r="X15" s="5313"/>
      <c r="Y15" s="6807"/>
      <c r="Z15" s="312"/>
      <c r="AA15" s="400"/>
      <c r="AB15" s="67"/>
      <c r="AC15" s="5313"/>
      <c r="AD15" s="6808"/>
      <c r="AE15" s="6809"/>
      <c r="AG15" s="26"/>
      <c r="AI15" s="3027"/>
      <c r="AJ15" s="6810"/>
      <c r="AK15" s="3000"/>
      <c r="AL15" s="400"/>
      <c r="AM15" s="67"/>
      <c r="AN15" s="3027"/>
      <c r="AO15" s="3001"/>
      <c r="AP15" s="6809"/>
      <c r="AR15" s="26"/>
      <c r="AT15" s="8384"/>
      <c r="AU15" s="8385"/>
      <c r="AV15" s="8386"/>
      <c r="AW15" s="4106"/>
      <c r="AX15" s="6905"/>
      <c r="AY15" s="8384"/>
      <c r="AZ15" s="8387"/>
      <c r="BA15" s="8388"/>
      <c r="BB15" s="176"/>
      <c r="BC15" s="8389"/>
      <c r="BD15" s="6042"/>
      <c r="BE15" s="8384"/>
      <c r="BF15" s="8385"/>
      <c r="BG15" s="8386"/>
      <c r="BH15" s="4106"/>
      <c r="BI15" s="67"/>
      <c r="BJ15" s="6815"/>
      <c r="BK15" s="6817"/>
      <c r="BL15" s="6818"/>
    </row>
    <row r="16" spans="1:64" x14ac:dyDescent="0.35">
      <c r="A16" s="9168"/>
      <c r="B16" s="75"/>
      <c r="C16" s="526" t="s">
        <v>2412</v>
      </c>
      <c r="D16" s="60"/>
      <c r="F16" s="77"/>
      <c r="G16"/>
      <c r="H16" s="78"/>
      <c r="I16" s="79"/>
      <c r="J16" s="73"/>
      <c r="K16" s="80"/>
      <c r="L16" s="78"/>
      <c r="M16" s="66"/>
      <c r="N16" s="67"/>
      <c r="O16" s="78"/>
      <c r="P16" s="4874"/>
      <c r="Q16" s="1188"/>
      <c r="R16" s="66"/>
      <c r="S16" s="67"/>
      <c r="T16" s="760"/>
      <c r="U16" s="167"/>
      <c r="V16" s="2991"/>
      <c r="X16" s="5313"/>
      <c r="Y16" s="6807"/>
      <c r="Z16" s="312"/>
      <c r="AA16" s="400"/>
      <c r="AB16" s="67"/>
      <c r="AC16" s="5313"/>
      <c r="AD16" s="6808"/>
      <c r="AE16" s="6809"/>
      <c r="AG16" s="26"/>
      <c r="AI16" s="3027"/>
      <c r="AJ16" s="6810"/>
      <c r="AK16" s="3000"/>
      <c r="AL16" s="400"/>
      <c r="AM16" s="67"/>
      <c r="AN16" s="3027"/>
      <c r="AO16" s="3001"/>
      <c r="AP16" s="6809"/>
      <c r="AR16" s="26"/>
      <c r="AT16" s="8384"/>
      <c r="AU16" s="8385"/>
      <c r="AV16" s="8386"/>
      <c r="AW16" s="4106"/>
      <c r="AX16" s="6905"/>
      <c r="AY16" s="8384">
        <v>472</v>
      </c>
      <c r="AZ16" s="8387" t="s">
        <v>2404</v>
      </c>
      <c r="BA16" s="8388">
        <f>205.93*4/3</f>
        <v>274.57333333333332</v>
      </c>
      <c r="BB16" s="176"/>
      <c r="BC16" s="8389"/>
      <c r="BD16" s="6042"/>
      <c r="BE16" s="8390">
        <v>472</v>
      </c>
      <c r="BF16" s="8391">
        <v>220.97</v>
      </c>
      <c r="BG16" s="8386"/>
      <c r="BH16" s="4106"/>
      <c r="BI16" s="67"/>
      <c r="BJ16" s="8390">
        <f>541.4</f>
        <v>541.4</v>
      </c>
      <c r="BK16" s="8392" t="s">
        <v>2406</v>
      </c>
      <c r="BL16" s="8393">
        <f>(198.77+146.43)*12/9</f>
        <v>460.26666666666671</v>
      </c>
    </row>
    <row r="17" spans="1:64" x14ac:dyDescent="0.35">
      <c r="A17" s="9168"/>
      <c r="B17" s="85"/>
      <c r="C17" s="86" t="s">
        <v>882</v>
      </c>
      <c r="D17" s="87">
        <v>1</v>
      </c>
      <c r="F17" s="88">
        <f>SUM(F12:F13)</f>
        <v>6890565056</v>
      </c>
      <c r="G17"/>
      <c r="H17" s="89"/>
      <c r="I17" s="90"/>
      <c r="J17" s="91">
        <f>IF(H17=0,0,I17/H17)</f>
        <v>0</v>
      </c>
      <c r="K17" s="80"/>
      <c r="L17" s="89">
        <f>SUM(L12:L13)</f>
        <v>10869915089</v>
      </c>
      <c r="M17" s="92">
        <f>L17*J17</f>
        <v>0</v>
      </c>
      <c r="N17" s="67"/>
      <c r="O17" s="89">
        <f>SUM(O12:O13)</f>
        <v>10869915089</v>
      </c>
      <c r="P17" s="672"/>
      <c r="Q17" s="1197"/>
      <c r="R17" s="92"/>
      <c r="S17" s="67"/>
      <c r="T17" s="768">
        <f>SUM(T12:T13)</f>
        <v>13465687036</v>
      </c>
      <c r="U17" s="96"/>
      <c r="V17" s="2991">
        <f>T17*R17</f>
        <v>0</v>
      </c>
      <c r="X17" s="1776">
        <f>SUM(X12:X13)</f>
        <v>13465687036</v>
      </c>
      <c r="Y17" s="3002">
        <f>SUM(Y12:Y13)</f>
        <v>12224780000</v>
      </c>
      <c r="Z17" s="178" t="s">
        <v>2413</v>
      </c>
      <c r="AA17" s="3003">
        <f t="shared" si="0"/>
        <v>0.90784673424516082</v>
      </c>
      <c r="AB17" s="67"/>
      <c r="AC17" s="3004">
        <f>SUM(AC12:AC13)</f>
        <v>15222384768</v>
      </c>
      <c r="AD17" s="96"/>
      <c r="AE17" s="3005">
        <v>15469560000</v>
      </c>
      <c r="AG17" s="24"/>
      <c r="AI17" s="3006">
        <f>SUM(AI12:AI13)</f>
        <v>15417400000</v>
      </c>
      <c r="AJ17" s="3002">
        <f>SUM(AJ12:AJ13)</f>
        <v>14341900000</v>
      </c>
      <c r="AK17" s="178"/>
      <c r="AL17" s="3003">
        <f t="shared" si="1"/>
        <v>0.93024115609635871</v>
      </c>
      <c r="AM17" s="67"/>
      <c r="AN17" s="3007">
        <f>SUM(AN12:AN13)</f>
        <v>16627136416</v>
      </c>
      <c r="AO17" s="3001" t="s">
        <v>2403</v>
      </c>
      <c r="AP17" s="3005">
        <f>AL17*AN17</f>
        <v>15467246602.191706</v>
      </c>
      <c r="AR17" s="24"/>
      <c r="AT17" s="6819">
        <f>AT12+AT13+AT14</f>
        <v>20980.66</v>
      </c>
      <c r="AU17" s="6820">
        <f>AU12+AU13+AU14</f>
        <v>19054.483</v>
      </c>
      <c r="AV17" s="178"/>
      <c r="AW17" s="3003">
        <f t="shared" si="2"/>
        <v>0.9081927355955437</v>
      </c>
      <c r="AX17" s="67"/>
      <c r="AY17" s="6819">
        <f>AY12+AY13+AY14</f>
        <v>24632.010000000002</v>
      </c>
      <c r="AZ17" s="6813"/>
      <c r="BA17" s="6821">
        <f>BA12+BA13+BA14</f>
        <v>19826.240000000002</v>
      </c>
      <c r="BC17" s="24"/>
      <c r="BE17" s="6819">
        <f>SUM(BE12:BE16)</f>
        <v>19816.7</v>
      </c>
      <c r="BF17" s="6820">
        <f>SUM(BF12:BF16)</f>
        <v>17808.07</v>
      </c>
      <c r="BG17" s="178"/>
      <c r="BH17" s="3003">
        <f>BF17/BE17</f>
        <v>0.89863953130440477</v>
      </c>
      <c r="BI17" s="67"/>
      <c r="BJ17" s="6819">
        <f>SUM(BJ12:BJ16)</f>
        <v>21706.2</v>
      </c>
      <c r="BK17" s="6813"/>
      <c r="BL17" s="6821">
        <f>SUM(BL12:BL16)</f>
        <v>17692.346666666668</v>
      </c>
    </row>
    <row r="18" spans="1:64" x14ac:dyDescent="0.35">
      <c r="A18" s="9168"/>
      <c r="B18" s="100" t="s">
        <v>883</v>
      </c>
      <c r="C18" s="49"/>
      <c r="D18" s="42"/>
      <c r="E18" s="43"/>
      <c r="F18" s="101"/>
      <c r="G18"/>
      <c r="H18" s="102"/>
      <c r="I18" s="103"/>
      <c r="J18" s="104"/>
      <c r="K18" s="43"/>
      <c r="L18" s="102"/>
      <c r="M18" s="105"/>
      <c r="N18" s="43"/>
      <c r="O18" s="102"/>
      <c r="P18" s="103"/>
      <c r="Q18" s="103"/>
      <c r="R18" s="105"/>
      <c r="S18" s="43"/>
      <c r="T18" s="102"/>
      <c r="U18" s="106"/>
      <c r="V18" s="105"/>
      <c r="W18" s="43"/>
      <c r="X18" s="3008"/>
      <c r="Y18" s="3009" t="s">
        <v>2414</v>
      </c>
      <c r="Z18" s="231" t="s">
        <v>2415</v>
      </c>
      <c r="AA18" s="105"/>
      <c r="AB18" s="43"/>
      <c r="AC18" s="102"/>
      <c r="AD18" s="103"/>
      <c r="AE18" s="3010" t="s">
        <v>2416</v>
      </c>
      <c r="AF18" s="43"/>
      <c r="AG18" s="18"/>
      <c r="AH18" s="43"/>
      <c r="AI18" s="3008"/>
      <c r="AJ18" s="3009" t="s">
        <v>2417</v>
      </c>
      <c r="AK18" s="231"/>
      <c r="AL18" s="105"/>
      <c r="AM18" s="43"/>
      <c r="AN18" s="102"/>
      <c r="AO18" s="103"/>
      <c r="AP18" s="3010"/>
      <c r="AQ18" s="43"/>
      <c r="AR18" s="18"/>
      <c r="AT18" s="6822" t="s">
        <v>2418</v>
      </c>
      <c r="AU18" s="2826" t="s">
        <v>2419</v>
      </c>
      <c r="AV18" s="231"/>
      <c r="AW18" s="105"/>
      <c r="AX18" s="43"/>
      <c r="AY18" s="2737"/>
      <c r="AZ18" s="2828"/>
      <c r="BA18" s="6823"/>
      <c r="BB18" s="43"/>
      <c r="BC18" s="18"/>
      <c r="BE18" s="6822" t="s">
        <v>2418</v>
      </c>
      <c r="BF18" s="2826" t="s">
        <v>2419</v>
      </c>
      <c r="BG18" s="231"/>
      <c r="BH18" s="105"/>
      <c r="BI18" s="43"/>
      <c r="BJ18" s="2737"/>
      <c r="BK18" s="2828"/>
      <c r="BL18" s="6823"/>
    </row>
    <row r="19" spans="1:64" x14ac:dyDescent="0.35">
      <c r="A19" s="9168"/>
      <c r="B19" s="6082"/>
      <c r="C19" s="110" t="s">
        <v>885</v>
      </c>
      <c r="D19" s="60"/>
      <c r="F19" s="111">
        <v>5247873139</v>
      </c>
      <c r="G19"/>
      <c r="H19" s="112">
        <v>6489417907.8412495</v>
      </c>
      <c r="I19" s="113">
        <v>6748418498</v>
      </c>
      <c r="J19" s="64">
        <f>IF(H19=0,0,I19/H19)</f>
        <v>1.0399112206729353</v>
      </c>
      <c r="L19" s="112">
        <v>7949312829</v>
      </c>
      <c r="M19" s="482">
        <v>7234834723</v>
      </c>
      <c r="O19" s="112">
        <f>8516875578-567562749</f>
        <v>7949312829</v>
      </c>
      <c r="P19" s="647">
        <f>2720883979+2666680264+1847270480</f>
        <v>7234834723</v>
      </c>
      <c r="Q19" s="920"/>
      <c r="R19" s="3011">
        <f>P19/O19</f>
        <v>0.91012077127050495</v>
      </c>
      <c r="T19" s="248">
        <f>9071352847-987156357</f>
        <v>8084196490</v>
      </c>
      <c r="U19" s="106"/>
      <c r="V19" s="3012">
        <f>T19*R19</f>
        <v>7357595144.581109</v>
      </c>
      <c r="X19" s="3013">
        <v>8084196490</v>
      </c>
      <c r="Y19" s="3014">
        <f>8680200000-Y22</f>
        <v>7737400000</v>
      </c>
      <c r="Z19" s="254"/>
      <c r="AA19" s="3011">
        <f>Y19/X19</f>
        <v>0.95710192219734136</v>
      </c>
      <c r="AC19" s="3015">
        <v>9319513267</v>
      </c>
      <c r="AD19" s="3016" t="s">
        <v>1097</v>
      </c>
      <c r="AE19" s="3017">
        <f>11104780000-AE22</f>
        <v>9948680000</v>
      </c>
      <c r="AG19" s="26"/>
      <c r="AI19" s="3018">
        <f>11104790000-AI22</f>
        <v>9948690000</v>
      </c>
      <c r="AJ19" s="3019">
        <f>10662600000-AJ22</f>
        <v>9906300000</v>
      </c>
      <c r="AK19" s="2998" t="s">
        <v>2420</v>
      </c>
      <c r="AL19" s="3011">
        <f t="shared" ref="AL19:AL25" si="3">AJ19/AI19</f>
        <v>0.99573913751458731</v>
      </c>
      <c r="AN19" s="3020">
        <f>(4631910661000+2830716342000+3519171501502)/1000</f>
        <v>10981798504.502001</v>
      </c>
      <c r="AO19" s="3016"/>
      <c r="AP19" s="3017">
        <f>AL19*AN19</f>
        <v>10935006571.231808</v>
      </c>
      <c r="AR19" s="26"/>
      <c r="AT19" s="6824">
        <f>4527.3+2784.46+3254.4</f>
        <v>10566.16</v>
      </c>
      <c r="AU19" s="6825">
        <f>4747.4+2021.82+3002.11</f>
        <v>9771.33</v>
      </c>
      <c r="AV19" s="2998" t="s">
        <v>2421</v>
      </c>
      <c r="AW19" s="3011">
        <f t="shared" ref="AW19:AW25" si="4">AU19/AT19</f>
        <v>0.92477588830757818</v>
      </c>
      <c r="AY19" s="6824">
        <f>5131.94+3441.67+4649.01</f>
        <v>13222.62</v>
      </c>
      <c r="AZ19" s="2721" t="s">
        <v>2422</v>
      </c>
      <c r="BA19" s="6826">
        <f>(3881.12+1793.13+3146.58)*4/3</f>
        <v>11761.106666666667</v>
      </c>
      <c r="BC19" s="26"/>
      <c r="BE19" s="6824">
        <f>5131.94+3441.67+4649.01</f>
        <v>13222.62</v>
      </c>
      <c r="BF19" s="6825">
        <f>5044.62+2901.61+4372.07</f>
        <v>12318.3</v>
      </c>
      <c r="BG19" s="2998" t="s">
        <v>953</v>
      </c>
      <c r="BH19" s="3011">
        <f t="shared" ref="BH19:BH24" si="5">BF19/BE19</f>
        <v>0.93160810792414805</v>
      </c>
      <c r="BJ19" s="6824">
        <f>6141.7+3908.01+5264.38</f>
        <v>15314.09</v>
      </c>
      <c r="BK19" s="8394" t="s">
        <v>2406</v>
      </c>
      <c r="BL19" s="6826">
        <f>(2624.31+1438.82+2480.74)*12/9</f>
        <v>8725.16</v>
      </c>
    </row>
    <row r="20" spans="1:64" x14ac:dyDescent="0.35">
      <c r="A20" s="9168"/>
      <c r="B20" s="6082"/>
      <c r="C20" s="3021" t="s">
        <v>2423</v>
      </c>
      <c r="D20" s="60"/>
      <c r="F20" s="122">
        <v>2230752264</v>
      </c>
      <c r="G20"/>
      <c r="H20" s="114">
        <v>2632082400.8099999</v>
      </c>
      <c r="I20" s="123">
        <v>3284207357</v>
      </c>
      <c r="J20" s="64">
        <f>IF(H20=0,0,I20/H20)</f>
        <v>1.2477600837987877</v>
      </c>
      <c r="L20" s="114">
        <v>3691652434</v>
      </c>
      <c r="M20" s="482">
        <v>3350357493</v>
      </c>
      <c r="O20" s="114">
        <v>3691652434</v>
      </c>
      <c r="P20" s="3022">
        <v>3290245532</v>
      </c>
      <c r="Q20" s="120"/>
      <c r="R20" s="3011">
        <f t="shared" ref="R20:R27" si="6">P20/O20</f>
        <v>0.89126633420225176</v>
      </c>
      <c r="T20" s="198">
        <f>2904002093+118475439</f>
        <v>3022477532</v>
      </c>
      <c r="U20" s="106"/>
      <c r="V20" s="3012">
        <f>T20*R20</f>
        <v>2693832470.1543093</v>
      </c>
      <c r="X20" s="3013">
        <v>3022477532</v>
      </c>
      <c r="Y20" s="3014">
        <f>292740000+62800000</f>
        <v>355540000</v>
      </c>
      <c r="Z20" s="106"/>
      <c r="AA20" s="3011">
        <f t="shared" ref="AA20:AA27" si="7">Y20/X20</f>
        <v>0.11763197450957925</v>
      </c>
      <c r="AC20" s="3013">
        <v>2407953867</v>
      </c>
      <c r="AD20" s="3016" t="s">
        <v>1097</v>
      </c>
      <c r="AE20" s="3017">
        <f>2537130000+78060000</f>
        <v>2615190000</v>
      </c>
      <c r="AG20" s="26"/>
      <c r="AI20" s="3018">
        <f>4685200000-AI21</f>
        <v>2615200000</v>
      </c>
      <c r="AJ20" s="3019">
        <f>5395000000-AJ21</f>
        <v>3239810000</v>
      </c>
      <c r="AK20" s="2998" t="s">
        <v>2424</v>
      </c>
      <c r="AL20" s="3011">
        <f t="shared" si="3"/>
        <v>1.2388383297644541</v>
      </c>
      <c r="AN20" s="3023">
        <f>(7022759608598)/1000</f>
        <v>7022759608.5979996</v>
      </c>
      <c r="AO20" s="3024" t="s">
        <v>2425</v>
      </c>
      <c r="AP20" s="3017">
        <f>AL20*AN20</f>
        <v>8700063783.8528175</v>
      </c>
      <c r="AR20" s="26"/>
      <c r="AT20" s="6811">
        <v>2792.09</v>
      </c>
      <c r="AU20" s="6812">
        <v>1264.99</v>
      </c>
      <c r="AV20" s="2998"/>
      <c r="AW20" s="3011">
        <f t="shared" si="4"/>
        <v>0.45306204312898224</v>
      </c>
      <c r="AY20" s="6827">
        <v>3964.21</v>
      </c>
      <c r="AZ20" s="2721" t="s">
        <v>2422</v>
      </c>
      <c r="BA20" s="6826">
        <f>631.68*4/3</f>
        <v>842.2399999999999</v>
      </c>
      <c r="BC20" s="26"/>
      <c r="BE20" s="6811">
        <v>3964.21</v>
      </c>
      <c r="BF20" s="6812">
        <v>1261.82</v>
      </c>
      <c r="BG20" s="2998" t="s">
        <v>953</v>
      </c>
      <c r="BH20" s="3011">
        <f t="shared" si="5"/>
        <v>0.31830301623778756</v>
      </c>
      <c r="BJ20" s="6827">
        <v>3420.6</v>
      </c>
      <c r="BK20" s="8394" t="s">
        <v>953</v>
      </c>
      <c r="BL20" s="6826">
        <f>168.62*12/9</f>
        <v>224.82666666666668</v>
      </c>
    </row>
    <row r="21" spans="1:64" x14ac:dyDescent="0.35">
      <c r="A21" s="9168"/>
      <c r="B21" s="6082"/>
      <c r="C21" s="110" t="s">
        <v>2426</v>
      </c>
      <c r="D21" s="60"/>
      <c r="F21" s="122"/>
      <c r="G21"/>
      <c r="H21" s="114">
        <v>2557540030</v>
      </c>
      <c r="I21" s="123">
        <v>743423000</v>
      </c>
      <c r="J21" s="64">
        <f>IF(H21=0,0,I21/H21)</f>
        <v>0.29067893025314639</v>
      </c>
      <c r="L21" s="114">
        <v>2859614200</v>
      </c>
      <c r="M21" s="482">
        <v>1653087000</v>
      </c>
      <c r="O21" s="114">
        <v>2859614200</v>
      </c>
      <c r="P21" s="3022">
        <f>60111961+537281192</f>
        <v>597393153</v>
      </c>
      <c r="Q21" s="120"/>
      <c r="R21" s="3011">
        <f t="shared" si="6"/>
        <v>0.20890690534408451</v>
      </c>
      <c r="T21" s="198">
        <v>2112839607</v>
      </c>
      <c r="U21" s="106"/>
      <c r="V21" s="3012">
        <f>T21*R21</f>
        <v>441386783.78678173</v>
      </c>
      <c r="X21" s="3013">
        <v>2112839607</v>
      </c>
      <c r="Y21" s="3014">
        <f>3326530000</f>
        <v>3326530000</v>
      </c>
      <c r="Z21" s="106"/>
      <c r="AA21" s="3011">
        <f t="shared" si="7"/>
        <v>1.5744356500034127</v>
      </c>
      <c r="AC21" s="3013">
        <v>2444890000</v>
      </c>
      <c r="AD21" s="3016" t="s">
        <v>1097</v>
      </c>
      <c r="AE21" s="3017">
        <v>2070000000</v>
      </c>
      <c r="AG21" s="26"/>
      <c r="AI21" s="3018">
        <v>2070000000</v>
      </c>
      <c r="AJ21" s="3019">
        <v>2155190000</v>
      </c>
      <c r="AK21" s="2998" t="s">
        <v>2427</v>
      </c>
      <c r="AL21" s="3011">
        <f t="shared" si="3"/>
        <v>1.0411545893719807</v>
      </c>
      <c r="AN21" s="3013"/>
      <c r="AO21" s="3016"/>
      <c r="AP21" s="3017">
        <f>AL21*AN21</f>
        <v>0</v>
      </c>
      <c r="AR21" s="26"/>
      <c r="AT21" s="6828">
        <f>AT14</f>
        <v>4353.4399999999996</v>
      </c>
      <c r="AU21" s="6829">
        <f>AU14</f>
        <v>3336.683</v>
      </c>
      <c r="AV21" s="3000" t="s">
        <v>2410</v>
      </c>
      <c r="AW21" s="3011">
        <f t="shared" si="4"/>
        <v>0.76644745304862372</v>
      </c>
      <c r="AY21" s="6815">
        <v>5068</v>
      </c>
      <c r="AZ21" s="6817" t="s">
        <v>1154</v>
      </c>
      <c r="BA21" s="6830">
        <f>1395.97*4/3</f>
        <v>1861.2933333333333</v>
      </c>
      <c r="BC21" s="26"/>
      <c r="BE21" s="6811">
        <v>5086</v>
      </c>
      <c r="BF21" s="6812">
        <v>1678.95</v>
      </c>
      <c r="BG21" s="3000" t="s">
        <v>2428</v>
      </c>
      <c r="BH21" s="3011">
        <f t="shared" si="5"/>
        <v>0.33011207235548568</v>
      </c>
      <c r="BJ21" s="6831">
        <v>6842.05</v>
      </c>
      <c r="BK21" s="8395" t="s">
        <v>2429</v>
      </c>
      <c r="BL21" s="6826">
        <f>1825.14822*12/9</f>
        <v>2433.5309600000001</v>
      </c>
    </row>
    <row r="22" spans="1:64" x14ac:dyDescent="0.35">
      <c r="A22" s="9168"/>
      <c r="B22" s="6082"/>
      <c r="C22" s="110" t="s">
        <v>1169</v>
      </c>
      <c r="D22" s="60"/>
      <c r="F22" s="163">
        <v>1357512956</v>
      </c>
      <c r="G22" s="274"/>
      <c r="H22" s="242">
        <v>1361975117.6012669</v>
      </c>
      <c r="I22" s="243">
        <v>1115529787</v>
      </c>
      <c r="J22" s="3025">
        <f>IF(H22=0,0,I22/H22)</f>
        <v>0.81905298605211641</v>
      </c>
      <c r="K22" s="274"/>
      <c r="L22" s="242">
        <v>567562749</v>
      </c>
      <c r="M22" s="482">
        <v>1079353337</v>
      </c>
      <c r="O22" s="242">
        <v>567562749</v>
      </c>
      <c r="P22" s="638">
        <v>542072145</v>
      </c>
      <c r="Q22" s="1188"/>
      <c r="R22" s="3011">
        <f t="shared" si="6"/>
        <v>0.95508760212872956</v>
      </c>
      <c r="T22" s="164">
        <v>987156357</v>
      </c>
      <c r="U22" s="106"/>
      <c r="V22" s="3012">
        <f>T22*R22</f>
        <v>942820797.93326211</v>
      </c>
      <c r="X22" s="3013">
        <v>987156357</v>
      </c>
      <c r="Y22" s="3014">
        <f>235680000+707120000</f>
        <v>942800000</v>
      </c>
      <c r="Z22" s="106"/>
      <c r="AA22" s="3011">
        <f t="shared" si="7"/>
        <v>0.95506653359879035</v>
      </c>
      <c r="AC22" s="3026">
        <v>1156098932</v>
      </c>
      <c r="AD22" s="3016" t="s">
        <v>1097</v>
      </c>
      <c r="AE22" s="3017">
        <f>406400000+749700000</f>
        <v>1156100000</v>
      </c>
      <c r="AG22" s="26"/>
      <c r="AI22" s="3018">
        <v>1156100000</v>
      </c>
      <c r="AJ22" s="3019">
        <v>756300000</v>
      </c>
      <c r="AK22" s="2998" t="s">
        <v>2430</v>
      </c>
      <c r="AL22" s="3011">
        <f t="shared" si="3"/>
        <v>0.65418216417264941</v>
      </c>
      <c r="AN22" s="3027">
        <f>(1185992607787)/1000</f>
        <v>1185992607.7869999</v>
      </c>
      <c r="AO22" s="3028" t="s">
        <v>2431</v>
      </c>
      <c r="AP22" s="3017">
        <f>AL22*AN22</f>
        <v>775855210.85486376</v>
      </c>
      <c r="AR22" s="26"/>
      <c r="AT22" s="6824">
        <v>1109.99</v>
      </c>
      <c r="AU22" s="6825">
        <v>878.94</v>
      </c>
      <c r="AV22" s="2998"/>
      <c r="AW22" s="3011">
        <f t="shared" si="4"/>
        <v>0.7918449715763205</v>
      </c>
      <c r="AY22" s="6831">
        <v>966.62</v>
      </c>
      <c r="AZ22" s="2721" t="s">
        <v>2422</v>
      </c>
      <c r="BA22" s="6826">
        <f>459.9*4/3</f>
        <v>613.19999999999993</v>
      </c>
      <c r="BC22" s="26"/>
      <c r="BE22" s="6824">
        <v>966</v>
      </c>
      <c r="BF22" s="6825">
        <v>577</v>
      </c>
      <c r="BG22" s="2998" t="s">
        <v>953</v>
      </c>
      <c r="BH22" s="3011">
        <f t="shared" si="5"/>
        <v>0.59730848861283647</v>
      </c>
      <c r="BJ22" s="6831">
        <v>1154</v>
      </c>
      <c r="BK22" s="8394" t="s">
        <v>2406</v>
      </c>
      <c r="BL22" s="6826">
        <f>807.85*12/9</f>
        <v>1077.1333333333334</v>
      </c>
    </row>
    <row r="23" spans="1:64" x14ac:dyDescent="0.35">
      <c r="A23" s="9168"/>
      <c r="B23" s="6082"/>
      <c r="C23" s="110" t="s">
        <v>2432</v>
      </c>
      <c r="D23" s="60"/>
      <c r="F23" s="163"/>
      <c r="H23" s="242"/>
      <c r="I23" s="243"/>
      <c r="J23" s="64"/>
      <c r="L23" s="242"/>
      <c r="M23" s="482"/>
      <c r="O23" s="242"/>
      <c r="P23" s="638"/>
      <c r="Q23" s="1188"/>
      <c r="R23" s="3011"/>
      <c r="T23" s="164"/>
      <c r="U23" s="106"/>
      <c r="V23" s="66"/>
      <c r="X23" s="3013"/>
      <c r="Y23" s="3014"/>
      <c r="Z23" s="106"/>
      <c r="AA23" s="3011"/>
      <c r="AC23" s="3026"/>
      <c r="AD23" s="3016"/>
      <c r="AE23" s="3017"/>
      <c r="AG23" s="26"/>
      <c r="AI23" s="3018"/>
      <c r="AJ23" s="3019"/>
      <c r="AK23" s="2998"/>
      <c r="AL23" s="3011"/>
      <c r="AN23" s="3027"/>
      <c r="AO23" s="3028"/>
      <c r="AP23" s="3017"/>
      <c r="AR23" s="26"/>
      <c r="AT23" s="6824"/>
      <c r="AU23" s="6825"/>
      <c r="AV23" s="2998"/>
      <c r="AW23" s="3011"/>
      <c r="AY23" s="8384">
        <f>BA23</f>
        <v>492.07866666666672</v>
      </c>
      <c r="AZ23" s="8396" t="s">
        <v>2428</v>
      </c>
      <c r="BA23" s="8397">
        <f>369.059*4/3</f>
        <v>492.07866666666672</v>
      </c>
      <c r="BB23" s="176"/>
      <c r="BC23" s="8389"/>
      <c r="BD23" s="6042"/>
      <c r="BE23" s="8398">
        <f>BF23</f>
        <v>782.32</v>
      </c>
      <c r="BF23" s="8399">
        <v>782.32</v>
      </c>
      <c r="BG23" s="8400" t="s">
        <v>1342</v>
      </c>
      <c r="BH23" s="8401">
        <f t="shared" si="5"/>
        <v>1</v>
      </c>
      <c r="BI23" s="176"/>
      <c r="BJ23" s="8390">
        <f>BL23</f>
        <v>414.62666666666672</v>
      </c>
      <c r="BK23" s="8402" t="s">
        <v>2433</v>
      </c>
      <c r="BL23" s="8403">
        <f>310.97*12/9</f>
        <v>414.62666666666672</v>
      </c>
    </row>
    <row r="24" spans="1:64" x14ac:dyDescent="0.35">
      <c r="A24" s="9168"/>
      <c r="B24" s="6082"/>
      <c r="C24" s="110" t="s">
        <v>2412</v>
      </c>
      <c r="D24" s="60"/>
      <c r="F24" s="163"/>
      <c r="H24" s="242"/>
      <c r="I24" s="243"/>
      <c r="J24" s="64"/>
      <c r="L24" s="242"/>
      <c r="M24" s="482"/>
      <c r="O24" s="242"/>
      <c r="P24" s="638"/>
      <c r="Q24" s="1188"/>
      <c r="R24" s="3011"/>
      <c r="T24" s="164"/>
      <c r="U24" s="106"/>
      <c r="V24" s="66"/>
      <c r="X24" s="3013"/>
      <c r="Y24" s="3014"/>
      <c r="Z24" s="106"/>
      <c r="AA24" s="3011"/>
      <c r="AC24" s="3026"/>
      <c r="AD24" s="3016"/>
      <c r="AE24" s="3017"/>
      <c r="AG24" s="26"/>
      <c r="AI24" s="3018"/>
      <c r="AJ24" s="3019"/>
      <c r="AK24" s="2998"/>
      <c r="AL24" s="3011"/>
      <c r="AN24" s="3027"/>
      <c r="AO24" s="3028"/>
      <c r="AP24" s="3017"/>
      <c r="AR24" s="26"/>
      <c r="AT24" s="6811"/>
      <c r="AU24" s="6812"/>
      <c r="AV24" s="2998"/>
      <c r="AW24" s="3011"/>
      <c r="AY24" s="8384">
        <v>472</v>
      </c>
      <c r="AZ24" s="8396" t="s">
        <v>2422</v>
      </c>
      <c r="BA24" s="8397">
        <f>205.93*4/3</f>
        <v>274.57333333333332</v>
      </c>
      <c r="BB24" s="176"/>
      <c r="BC24" s="8389"/>
      <c r="BD24" s="6042"/>
      <c r="BE24" s="8404">
        <v>472</v>
      </c>
      <c r="BF24" s="8405">
        <v>264.33999999999997</v>
      </c>
      <c r="BG24" s="8400" t="s">
        <v>2434</v>
      </c>
      <c r="BH24" s="8401">
        <f t="shared" si="5"/>
        <v>0.56004237288135583</v>
      </c>
      <c r="BI24" s="176"/>
      <c r="BJ24" s="8390">
        <f>BJ16</f>
        <v>541.4</v>
      </c>
      <c r="BK24" s="2719" t="s">
        <v>924</v>
      </c>
      <c r="BL24" s="8403">
        <f>BJ24*BH24</f>
        <v>303.20694067796603</v>
      </c>
    </row>
    <row r="25" spans="1:64" x14ac:dyDescent="0.35">
      <c r="A25" s="9168"/>
      <c r="B25" s="128"/>
      <c r="C25" s="129" t="s">
        <v>903</v>
      </c>
      <c r="D25" s="87"/>
      <c r="F25" s="130">
        <f>SUM(F19:F22)</f>
        <v>8836138359</v>
      </c>
      <c r="H25" s="131">
        <f>SUM(H19:H22)</f>
        <v>13041015456.252516</v>
      </c>
      <c r="I25" s="132">
        <v>11891578642</v>
      </c>
      <c r="J25" s="133">
        <f>IF(H25=0,0,I25/H25)</f>
        <v>0.91185986872660152</v>
      </c>
      <c r="L25" s="131">
        <f>SUM(L19:L22)</f>
        <v>15068142212</v>
      </c>
      <c r="M25" s="485">
        <v>13317632553</v>
      </c>
      <c r="O25" s="131">
        <f>SUM(O19:O22)</f>
        <v>15068142212</v>
      </c>
      <c r="P25" s="3029">
        <f>SUM(P19:P22)</f>
        <v>11664545553</v>
      </c>
      <c r="Q25" s="1197"/>
      <c r="R25" s="3030">
        <f t="shared" si="6"/>
        <v>0.77411968833892231</v>
      </c>
      <c r="T25" s="164">
        <f>SUM(T19:T22)</f>
        <v>14206669986</v>
      </c>
      <c r="U25" s="106"/>
      <c r="V25" s="3031">
        <f>SUM(V19:V22)</f>
        <v>11435635196.455462</v>
      </c>
      <c r="X25" s="3032">
        <f>SUM(X19:X22)</f>
        <v>14206669986</v>
      </c>
      <c r="Y25" s="3033">
        <f>SUM(Y19:Y22)</f>
        <v>12362270000</v>
      </c>
      <c r="Z25" s="216"/>
      <c r="AA25" s="3030">
        <f t="shared" si="7"/>
        <v>0.8701736587238551</v>
      </c>
      <c r="AC25" s="1783">
        <f>SUM(AC19:AC22)</f>
        <v>15328456066</v>
      </c>
      <c r="AD25" s="216"/>
      <c r="AE25" s="3034">
        <f>SUM(AE19:AE22)</f>
        <v>15789970000</v>
      </c>
      <c r="AG25" s="24"/>
      <c r="AI25" s="3032">
        <f>SUM(AI19:AI22)</f>
        <v>15789990000</v>
      </c>
      <c r="AJ25" s="3033">
        <f>SUM(AJ19:AJ22)</f>
        <v>16057600000</v>
      </c>
      <c r="AK25" s="98" t="s">
        <v>2435</v>
      </c>
      <c r="AL25" s="3030">
        <f t="shared" si="3"/>
        <v>1.0169480791311458</v>
      </c>
      <c r="AN25" s="3007">
        <f>SUM(AN19:AN22)</f>
        <v>19190550720.886997</v>
      </c>
      <c r="AO25" s="216"/>
      <c r="AP25" s="3034">
        <f>SUM(AP19:AP22)</f>
        <v>20410925565.939487</v>
      </c>
      <c r="AR25" s="24"/>
      <c r="AT25" s="6819">
        <f>SUM(AT19:AT24)</f>
        <v>18821.68</v>
      </c>
      <c r="AU25" s="6832">
        <f>SUM(AU19:AU24)</f>
        <v>15251.943000000001</v>
      </c>
      <c r="AV25" s="98"/>
      <c r="AW25" s="3030">
        <f t="shared" si="4"/>
        <v>0.81033908769036567</v>
      </c>
      <c r="AY25" s="6819">
        <f>SUM(AY19:AY24)</f>
        <v>24185.528666666669</v>
      </c>
      <c r="AZ25" s="2732"/>
      <c r="BA25" s="6833">
        <f>SUM(BA19:BA24)</f>
        <v>15844.492</v>
      </c>
      <c r="BC25" s="24"/>
      <c r="BE25" s="6819">
        <f>SUM(BE19:BE24)</f>
        <v>24493.15</v>
      </c>
      <c r="BF25" s="6832">
        <f>SUM(BF19:BF24)</f>
        <v>16882.73</v>
      </c>
      <c r="BG25" s="98"/>
      <c r="BH25" s="3030">
        <f>BF25/BE25</f>
        <v>0.68928373851464586</v>
      </c>
      <c r="BJ25" s="6819">
        <f>SUM(BJ19:BJ24)</f>
        <v>27686.766666666666</v>
      </c>
      <c r="BK25" s="2732"/>
      <c r="BL25" s="6833">
        <f>SUM(BL19:BL24)</f>
        <v>13178.484567344633</v>
      </c>
    </row>
    <row r="26" spans="1:64" x14ac:dyDescent="0.35">
      <c r="A26" s="9168"/>
      <c r="B26" s="139" t="s">
        <v>904</v>
      </c>
      <c r="C26" s="49"/>
      <c r="D26" s="140"/>
      <c r="E26" s="141"/>
      <c r="F26" s="1578"/>
      <c r="G26" s="143"/>
      <c r="H26" s="144"/>
      <c r="I26" s="145"/>
      <c r="J26" s="146"/>
      <c r="K26" s="141"/>
      <c r="L26" s="147"/>
      <c r="M26" s="148"/>
      <c r="N26" s="141"/>
      <c r="O26" s="144"/>
      <c r="P26" s="145"/>
      <c r="Q26" s="152"/>
      <c r="R26" s="3035"/>
      <c r="S26" s="141"/>
      <c r="T26" s="144"/>
      <c r="U26" s="152"/>
      <c r="V26" s="3036"/>
      <c r="W26" s="141"/>
      <c r="X26" s="3037"/>
      <c r="Y26" s="3038"/>
      <c r="Z26" s="312"/>
      <c r="AA26" s="3011"/>
      <c r="AB26" s="141"/>
      <c r="AC26" s="144"/>
      <c r="AD26" s="152"/>
      <c r="AE26" s="3010" t="s">
        <v>2416</v>
      </c>
      <c r="AF26" s="141"/>
      <c r="AG26" s="18"/>
      <c r="AH26" s="141"/>
      <c r="AI26" s="3037"/>
      <c r="AJ26" s="3038"/>
      <c r="AK26" s="312"/>
      <c r="AL26" s="3011"/>
      <c r="AM26" s="141"/>
      <c r="AN26" s="144"/>
      <c r="AO26" s="152"/>
      <c r="AP26" s="3010"/>
      <c r="AQ26" s="141"/>
      <c r="AR26" s="18"/>
      <c r="AT26" s="3037"/>
      <c r="AU26" s="3038"/>
      <c r="AV26" s="312"/>
      <c r="AW26" s="3011"/>
      <c r="AX26" s="141"/>
      <c r="AY26" s="6834"/>
      <c r="AZ26" s="6835"/>
      <c r="BA26" s="6823"/>
      <c r="BB26" s="141"/>
      <c r="BC26" s="18"/>
      <c r="BE26" s="3037"/>
      <c r="BF26" s="3038"/>
      <c r="BG26" s="312"/>
      <c r="BH26" s="3011"/>
      <c r="BI26" s="141"/>
      <c r="BJ26" s="6834"/>
      <c r="BK26" s="6835"/>
      <c r="BL26" s="8406" t="s">
        <v>2436</v>
      </c>
    </row>
    <row r="27" spans="1:64" x14ac:dyDescent="0.35">
      <c r="A27" s="9168"/>
      <c r="B27" s="6082"/>
      <c r="C27" s="110" t="s">
        <v>905</v>
      </c>
      <c r="D27" s="60"/>
      <c r="F27" s="155"/>
      <c r="H27" s="117">
        <v>2355962258</v>
      </c>
      <c r="I27" s="115">
        <v>2720883979</v>
      </c>
      <c r="J27" s="64">
        <f>IF(H27=0,0,I27/H27)</f>
        <v>1.1548928552487874</v>
      </c>
      <c r="L27" s="156">
        <v>2890000000</v>
      </c>
      <c r="M27" s="611">
        <v>2720883979</v>
      </c>
      <c r="O27" s="117">
        <v>2890000000</v>
      </c>
      <c r="P27" s="115">
        <v>2720883804</v>
      </c>
      <c r="Q27" s="312"/>
      <c r="R27" s="3011">
        <f t="shared" si="6"/>
        <v>0.94148228512110732</v>
      </c>
      <c r="T27" s="200">
        <v>3273000000</v>
      </c>
      <c r="U27" s="312"/>
      <c r="V27" s="3012">
        <f>T27*R27</f>
        <v>3081471519.2013841</v>
      </c>
      <c r="X27" s="3039">
        <v>3273000000</v>
      </c>
      <c r="Y27" s="3040">
        <v>2936900000</v>
      </c>
      <c r="Z27" s="57" t="s">
        <v>2415</v>
      </c>
      <c r="AA27" s="3011">
        <f t="shared" si="7"/>
        <v>0.89731133516651396</v>
      </c>
      <c r="AC27" s="3039">
        <v>3600451016</v>
      </c>
      <c r="AD27" s="3041" t="s">
        <v>1097</v>
      </c>
      <c r="AE27" s="3042">
        <v>3600450000</v>
      </c>
      <c r="AG27" s="26"/>
      <c r="AI27" s="3043">
        <v>3600450000</v>
      </c>
      <c r="AJ27" s="3044">
        <v>3402510000</v>
      </c>
      <c r="AK27" s="2998" t="s">
        <v>2437</v>
      </c>
      <c r="AL27" s="3011">
        <f>AJ27/AI27</f>
        <v>0.9450235387243261</v>
      </c>
      <c r="AN27" s="2996">
        <f>(4631910661000)/1000</f>
        <v>4631910661</v>
      </c>
      <c r="AO27" s="3028" t="s">
        <v>2431</v>
      </c>
      <c r="AP27" s="3042">
        <f>AL27*AN27</f>
        <v>4377264603.9131527</v>
      </c>
      <c r="AR27" s="26"/>
      <c r="AT27" s="6836">
        <v>4527.3</v>
      </c>
      <c r="AU27" s="6837">
        <v>4747.3999999999996</v>
      </c>
      <c r="AV27" s="2998" t="s">
        <v>1345</v>
      </c>
      <c r="AW27" s="3011">
        <f>AU27/AT27</f>
        <v>1.0486161729949417</v>
      </c>
      <c r="AY27" s="2996">
        <v>5131.9399999999996</v>
      </c>
      <c r="AZ27" s="6838" t="s">
        <v>2438</v>
      </c>
      <c r="BA27" s="3042">
        <f>3881.12*4/3</f>
        <v>5174.8266666666668</v>
      </c>
      <c r="BC27" s="26"/>
      <c r="BE27" s="6836">
        <v>5131.1400000000003</v>
      </c>
      <c r="BF27" s="8407">
        <v>5044.62</v>
      </c>
      <c r="BG27" s="2998"/>
      <c r="BH27" s="3011">
        <f>BF27/BE27</f>
        <v>0.98313824997953658</v>
      </c>
      <c r="BJ27" s="2996">
        <v>6141.7</v>
      </c>
      <c r="BK27" s="6838"/>
      <c r="BL27" s="8408">
        <f>4502.18*12/9</f>
        <v>6002.9066666666668</v>
      </c>
    </row>
    <row r="28" spans="1:64" x14ac:dyDescent="0.35">
      <c r="A28" s="9168"/>
      <c r="B28" s="6082"/>
      <c r="C28" s="110" t="s">
        <v>907</v>
      </c>
      <c r="D28" s="60"/>
      <c r="F28" s="155"/>
      <c r="H28" s="117"/>
      <c r="I28" s="115"/>
      <c r="J28" s="64">
        <f>IF(H28=0,0,I28/H28)</f>
        <v>0</v>
      </c>
      <c r="L28" s="156"/>
      <c r="M28" s="611">
        <f>L28*J28</f>
        <v>0</v>
      </c>
      <c r="O28" s="117"/>
      <c r="P28" s="115"/>
      <c r="Q28" s="312"/>
      <c r="R28" s="3011"/>
      <c r="T28" s="200"/>
      <c r="U28" s="312"/>
      <c r="V28" s="2991"/>
      <c r="X28" s="117"/>
      <c r="Y28" s="3045"/>
      <c r="Z28" s="312"/>
      <c r="AA28" s="3011"/>
      <c r="AC28" s="200"/>
      <c r="AD28" s="312"/>
      <c r="AE28" s="3046"/>
      <c r="AG28" s="26"/>
      <c r="AI28" s="117"/>
      <c r="AJ28" s="3045"/>
      <c r="AK28" s="312"/>
      <c r="AL28" s="3011"/>
      <c r="AN28" s="200"/>
      <c r="AO28" s="312"/>
      <c r="AP28" s="3046"/>
      <c r="AR28" s="26"/>
      <c r="AT28" s="595"/>
      <c r="AU28" s="3972">
        <v>4743.51</v>
      </c>
      <c r="AV28" s="312" t="s">
        <v>1345</v>
      </c>
      <c r="AW28" s="3011"/>
      <c r="AY28" s="200"/>
      <c r="AZ28" s="6838" t="s">
        <v>2439</v>
      </c>
      <c r="BA28" s="3046">
        <f>(3415.68+465.45)*4/3</f>
        <v>5174.8399999999992</v>
      </c>
      <c r="BC28" s="26"/>
      <c r="BE28" s="595"/>
      <c r="BF28" s="3972"/>
      <c r="BG28" s="312"/>
      <c r="BH28" s="3011"/>
      <c r="BJ28" s="200"/>
      <c r="BK28" s="6838"/>
      <c r="BL28" s="3046"/>
    </row>
    <row r="29" spans="1:64" x14ac:dyDescent="0.35">
      <c r="A29" s="9168"/>
      <c r="B29" s="6082"/>
      <c r="C29" s="110" t="s">
        <v>908</v>
      </c>
      <c r="D29" s="60"/>
      <c r="F29" s="155"/>
      <c r="H29" s="117"/>
      <c r="I29" s="115"/>
      <c r="J29" s="64">
        <f>IF(H29=0,0,I29/H29)</f>
        <v>0</v>
      </c>
      <c r="L29" s="156"/>
      <c r="M29" s="611">
        <f>L29*J29</f>
        <v>0</v>
      </c>
      <c r="O29" s="117"/>
      <c r="P29" s="115"/>
      <c r="Q29" s="312"/>
      <c r="R29" s="3011"/>
      <c r="T29" s="200"/>
      <c r="U29" s="312"/>
      <c r="V29" s="2991"/>
      <c r="X29" s="117"/>
      <c r="Y29" s="3045"/>
      <c r="Z29" s="312"/>
      <c r="AA29" s="3011"/>
      <c r="AC29" s="200"/>
      <c r="AD29" s="312"/>
      <c r="AE29" s="3046"/>
      <c r="AG29" s="26"/>
      <c r="AI29" s="117"/>
      <c r="AJ29" s="3045"/>
      <c r="AK29" s="312"/>
      <c r="AL29" s="3011"/>
      <c r="AN29" s="200"/>
      <c r="AO29" s="312"/>
      <c r="AP29" s="3046"/>
      <c r="AR29" s="26"/>
      <c r="AT29" s="595"/>
      <c r="AU29" s="3972"/>
      <c r="AV29" s="312"/>
      <c r="AW29" s="3011"/>
      <c r="AY29" s="200"/>
      <c r="AZ29" s="6838"/>
      <c r="BA29" s="3046"/>
      <c r="BC29" s="26"/>
      <c r="BE29" s="595"/>
      <c r="BF29" s="3972"/>
      <c r="BG29" s="312"/>
      <c r="BH29" s="3011"/>
      <c r="BJ29" s="200"/>
      <c r="BK29" s="6838"/>
      <c r="BL29" s="3046"/>
    </row>
    <row r="30" spans="1:64" x14ac:dyDescent="0.35">
      <c r="A30" s="9168"/>
      <c r="B30" s="6082"/>
      <c r="C30" s="161" t="s">
        <v>910</v>
      </c>
      <c r="D30" s="162"/>
      <c r="F30" s="163"/>
      <c r="H30" s="164"/>
      <c r="I30" s="165"/>
      <c r="J30" s="64">
        <f>IF(H30=0,0,I30/H30)</f>
        <v>0</v>
      </c>
      <c r="L30" s="166"/>
      <c r="M30" s="611">
        <f>L30*J30</f>
        <v>0</v>
      </c>
      <c r="O30" s="164"/>
      <c r="P30" s="165"/>
      <c r="Q30" s="312"/>
      <c r="R30" s="3011"/>
      <c r="T30" s="164"/>
      <c r="U30" s="312"/>
      <c r="V30" s="3031"/>
      <c r="X30" s="164"/>
      <c r="Y30" s="3047"/>
      <c r="Z30" s="312"/>
      <c r="AA30" s="3011"/>
      <c r="AC30" s="164"/>
      <c r="AD30" s="312"/>
      <c r="AE30" s="3048"/>
      <c r="AG30" s="26"/>
      <c r="AI30" s="164"/>
      <c r="AJ30" s="3047"/>
      <c r="AK30" s="312"/>
      <c r="AL30" s="3011"/>
      <c r="AN30" s="164"/>
      <c r="AO30" s="312"/>
      <c r="AP30" s="3048"/>
      <c r="AR30" s="26"/>
      <c r="AT30" s="164"/>
      <c r="AU30" s="3047"/>
      <c r="AV30" s="312"/>
      <c r="AW30" s="3011"/>
      <c r="AY30" s="164"/>
      <c r="AZ30" s="312"/>
      <c r="BA30" s="3048"/>
      <c r="BC30" s="26"/>
      <c r="BE30" s="164"/>
      <c r="BF30" s="3047"/>
      <c r="BG30" s="312"/>
      <c r="BH30" s="3011"/>
      <c r="BJ30" s="164"/>
      <c r="BK30" s="312"/>
      <c r="BL30" s="3048"/>
    </row>
    <row r="31" spans="1:64" x14ac:dyDescent="0.35">
      <c r="A31" s="9168"/>
      <c r="B31" s="128"/>
      <c r="C31" s="129" t="s">
        <v>914</v>
      </c>
      <c r="D31" s="87"/>
      <c r="F31" s="169">
        <f>IF(F28=0,0,(F29-F30)/F28)</f>
        <v>0</v>
      </c>
      <c r="G31" s="170"/>
      <c r="H31" s="171">
        <f>IF(H28=0,0,(H29-H30)/H28)</f>
        <v>0</v>
      </c>
      <c r="I31" s="172">
        <f>IF(I28=0,0,(I29-I30)/I28)</f>
        <v>0</v>
      </c>
      <c r="J31" s="173"/>
      <c r="K31" s="170"/>
      <c r="L31" s="174">
        <f>IF(L28=0,0,L29/L28)</f>
        <v>0</v>
      </c>
      <c r="M31" s="175">
        <f>IF(M28=0,0,M29/M28)</f>
        <v>0</v>
      </c>
      <c r="N31" s="176"/>
      <c r="O31" s="171">
        <f>IF(O28=0,0,O29/O28)</f>
        <v>0</v>
      </c>
      <c r="P31" s="172">
        <f>IF(P28=0,0,P29/P28)</f>
        <v>0</v>
      </c>
      <c r="Q31" s="178"/>
      <c r="R31" s="3030"/>
      <c r="S31" s="176"/>
      <c r="T31" s="171"/>
      <c r="U31" s="178"/>
      <c r="V31" s="3049"/>
      <c r="W31" s="176"/>
      <c r="X31" s="171">
        <f>IF(X28=0,0,X29/X28)</f>
        <v>0</v>
      </c>
      <c r="Y31" s="172">
        <f>IF(Y28=0,0,Y29/Y28)</f>
        <v>0</v>
      </c>
      <c r="Z31" s="178"/>
      <c r="AA31" s="3030"/>
      <c r="AB31" s="176"/>
      <c r="AC31" s="171"/>
      <c r="AD31" s="178"/>
      <c r="AE31" s="3049"/>
      <c r="AF31" s="176"/>
      <c r="AG31" s="24"/>
      <c r="AH31" s="176"/>
      <c r="AI31" s="171">
        <f>IF(AI28=0,0,AI29/AI28)</f>
        <v>0</v>
      </c>
      <c r="AJ31" s="172">
        <f>IF(AJ28=0,0,AJ29/AJ28)</f>
        <v>0</v>
      </c>
      <c r="AK31" s="178"/>
      <c r="AL31" s="3030"/>
      <c r="AM31" s="176"/>
      <c r="AN31" s="171"/>
      <c r="AO31" s="178"/>
      <c r="AP31" s="3049"/>
      <c r="AQ31" s="176"/>
      <c r="AR31" s="24"/>
      <c r="AT31" s="171">
        <f>IF(AT28=0,0,AT29/AT28)</f>
        <v>0</v>
      </c>
      <c r="AU31" s="172">
        <f>IF(AU28=0,0,AU29/AU28)</f>
        <v>0</v>
      </c>
      <c r="AV31" s="178"/>
      <c r="AW31" s="3030"/>
      <c r="AX31" s="176"/>
      <c r="AY31" s="171"/>
      <c r="AZ31" s="178"/>
      <c r="BA31" s="3049"/>
      <c r="BB31" s="176"/>
      <c r="BC31" s="24"/>
      <c r="BE31" s="171">
        <f>IF(BE28=0,0,BE29/BE28)</f>
        <v>0</v>
      </c>
      <c r="BF31" s="172">
        <f>IF(BF28=0,0,BF29/BF28)</f>
        <v>0</v>
      </c>
      <c r="BG31" s="178"/>
      <c r="BH31" s="3030"/>
      <c r="BI31" s="176"/>
      <c r="BJ31" s="171"/>
      <c r="BK31" s="178"/>
      <c r="BL31" s="3049"/>
    </row>
    <row r="32" spans="1:64" x14ac:dyDescent="0.35">
      <c r="A32" s="9169"/>
      <c r="B32" s="499" t="s">
        <v>915</v>
      </c>
      <c r="C32" s="500"/>
      <c r="D32" s="501"/>
      <c r="F32" s="502"/>
      <c r="H32" s="503"/>
      <c r="I32" s="504"/>
      <c r="J32" s="3050">
        <f>IF(H32=0,0,I32/H32)</f>
        <v>0</v>
      </c>
      <c r="L32" s="503"/>
      <c r="M32" s="3051">
        <f>L32*J32</f>
        <v>0</v>
      </c>
      <c r="O32" s="503"/>
      <c r="P32" s="504"/>
      <c r="Q32" s="3052"/>
      <c r="R32" s="3053"/>
      <c r="T32" s="211"/>
      <c r="U32" s="3054"/>
      <c r="V32" s="92"/>
      <c r="X32" s="503"/>
      <c r="Y32" s="504"/>
      <c r="Z32" s="3052"/>
      <c r="AA32" s="3053"/>
      <c r="AC32" s="211"/>
      <c r="AD32" s="3054"/>
      <c r="AE32" s="92"/>
      <c r="AG32" s="509"/>
      <c r="AI32" s="503"/>
      <c r="AJ32" s="504"/>
      <c r="AK32" s="3052"/>
      <c r="AL32" s="3053"/>
      <c r="AN32" s="211"/>
      <c r="AO32" s="3054"/>
      <c r="AP32" s="92"/>
      <c r="AR32" s="509"/>
      <c r="AT32" s="503"/>
      <c r="AU32" s="504"/>
      <c r="AV32" s="3052"/>
      <c r="AW32" s="3053"/>
      <c r="AY32" s="211"/>
      <c r="AZ32" s="3054"/>
      <c r="BA32" s="92"/>
      <c r="BC32" s="509"/>
      <c r="BE32" s="503"/>
      <c r="BF32" s="504"/>
      <c r="BG32" s="3052"/>
      <c r="BH32" s="3053"/>
      <c r="BJ32" s="211"/>
      <c r="BK32" s="3054"/>
      <c r="BL32" s="92"/>
    </row>
    <row r="33" spans="1:64" x14ac:dyDescent="0.35">
      <c r="A33" s="220"/>
      <c r="B33" s="220"/>
      <c r="F33" s="106"/>
      <c r="H33" s="106"/>
      <c r="I33" s="106"/>
      <c r="J33" s="221"/>
      <c r="L33" s="106"/>
      <c r="O33" s="106"/>
      <c r="P33" s="106"/>
      <c r="R33" s="3055"/>
      <c r="T33" s="106"/>
      <c r="U33"/>
      <c r="V33" s="106"/>
      <c r="X33" s="106"/>
      <c r="Y33" s="106"/>
      <c r="AA33" s="3055"/>
      <c r="AC33" s="106"/>
      <c r="AD33"/>
      <c r="AE33" s="106"/>
      <c r="AI33" s="106"/>
      <c r="AJ33" s="106"/>
      <c r="AL33" s="3055"/>
      <c r="AN33" s="106"/>
      <c r="AO33"/>
      <c r="AP33" s="106"/>
      <c r="AT33" s="106"/>
      <c r="AU33" s="106"/>
      <c r="AW33" s="3055"/>
      <c r="AY33" s="106"/>
      <c r="AZ33"/>
      <c r="BA33" s="106"/>
      <c r="BE33" s="106"/>
      <c r="BF33" s="106"/>
      <c r="BH33" s="3055"/>
      <c r="BJ33" s="106"/>
      <c r="BK33"/>
      <c r="BL33" s="106"/>
    </row>
    <row r="34" spans="1:64" ht="48" customHeight="1" x14ac:dyDescent="0.35">
      <c r="A34" s="9167" t="s">
        <v>916</v>
      </c>
      <c r="B34" s="27"/>
      <c r="C34" s="28" t="s">
        <v>427</v>
      </c>
      <c r="D34" s="42" t="s">
        <v>428</v>
      </c>
      <c r="E34" s="30"/>
      <c r="F34" s="31"/>
      <c r="G34" s="510"/>
      <c r="H34" s="31" t="s">
        <v>2440</v>
      </c>
      <c r="I34" s="31" t="s">
        <v>2441</v>
      </c>
      <c r="J34" s="224"/>
      <c r="K34" s="223"/>
      <c r="L34" s="31" t="s">
        <v>2442</v>
      </c>
      <c r="M34" s="31" t="s">
        <v>2441</v>
      </c>
      <c r="N34" s="30"/>
      <c r="O34" s="31" t="s">
        <v>2442</v>
      </c>
      <c r="P34" s="31" t="s">
        <v>2441</v>
      </c>
      <c r="Q34" s="34"/>
      <c r="R34" s="3056"/>
      <c r="S34" s="30"/>
      <c r="T34" s="31" t="s">
        <v>2443</v>
      </c>
      <c r="U34" s="34"/>
      <c r="V34" s="472"/>
      <c r="W34" s="30"/>
      <c r="X34" s="3057" t="s">
        <v>2443</v>
      </c>
      <c r="Y34" s="472" t="s">
        <v>2444</v>
      </c>
      <c r="Z34" s="34"/>
      <c r="AA34" s="3056"/>
      <c r="AB34" s="30"/>
      <c r="AC34" s="31" t="s">
        <v>2443</v>
      </c>
      <c r="AD34" s="34"/>
      <c r="AE34" s="31" t="s">
        <v>2445</v>
      </c>
      <c r="AF34" s="30"/>
      <c r="AG34" s="39"/>
      <c r="AH34" s="30"/>
      <c r="AI34" s="2986" t="s">
        <v>2387</v>
      </c>
      <c r="AJ34" s="2987" t="s">
        <v>2387</v>
      </c>
      <c r="AK34" s="2988" t="s">
        <v>2388</v>
      </c>
      <c r="AL34" s="3056"/>
      <c r="AM34" s="30"/>
      <c r="AN34" s="31" t="s">
        <v>2443</v>
      </c>
      <c r="AO34" s="34"/>
      <c r="AP34" s="31" t="s">
        <v>2445</v>
      </c>
      <c r="AQ34" s="30"/>
      <c r="AR34" s="39"/>
      <c r="AT34" s="994" t="s">
        <v>1149</v>
      </c>
      <c r="AU34" s="994" t="s">
        <v>2391</v>
      </c>
      <c r="AV34" s="652" t="s">
        <v>2446</v>
      </c>
      <c r="AW34" s="3056"/>
      <c r="AX34" s="30"/>
      <c r="AY34" s="31" t="s">
        <v>1681</v>
      </c>
      <c r="AZ34" s="34"/>
      <c r="BA34" s="994" t="s">
        <v>2393</v>
      </c>
      <c r="BB34" s="30"/>
      <c r="BC34" s="39"/>
      <c r="BE34" s="994"/>
      <c r="BF34" s="994"/>
      <c r="BG34" s="652"/>
      <c r="BH34" s="3056"/>
      <c r="BI34" s="30"/>
      <c r="BJ34" s="31" t="s">
        <v>1453</v>
      </c>
      <c r="BK34" s="34"/>
      <c r="BL34" s="994" t="s">
        <v>2395</v>
      </c>
    </row>
    <row r="35" spans="1:64" x14ac:dyDescent="0.35">
      <c r="A35" s="9168"/>
      <c r="B35" s="141" t="s">
        <v>925</v>
      </c>
      <c r="C35"/>
      <c r="D35" s="140">
        <v>2</v>
      </c>
      <c r="E35" s="143"/>
      <c r="F35" s="227"/>
      <c r="G35" s="143"/>
      <c r="H35" s="102"/>
      <c r="I35" s="103"/>
      <c r="J35" s="228"/>
      <c r="K35" s="143"/>
      <c r="L35" s="102"/>
      <c r="M35" s="229"/>
      <c r="N35" s="143"/>
      <c r="O35" s="102"/>
      <c r="P35" s="103"/>
      <c r="Q35" s="348"/>
      <c r="R35" s="3035"/>
      <c r="S35" s="143"/>
      <c r="T35" s="102"/>
      <c r="U35" s="348"/>
      <c r="V35" s="105"/>
      <c r="W35" s="143"/>
      <c r="X35" s="102"/>
      <c r="Y35" s="103"/>
      <c r="Z35" s="348"/>
      <c r="AA35" s="3035"/>
      <c r="AB35" s="143"/>
      <c r="AC35" s="102"/>
      <c r="AD35" s="348"/>
      <c r="AE35" s="105" t="s">
        <v>2447</v>
      </c>
      <c r="AF35" s="143"/>
      <c r="AG35" s="18"/>
      <c r="AH35" s="143"/>
      <c r="AI35" s="102"/>
      <c r="AJ35" s="103"/>
      <c r="AK35" s="348"/>
      <c r="AL35" s="3035"/>
      <c r="AM35" s="143"/>
      <c r="AN35" s="102"/>
      <c r="AO35" s="348"/>
      <c r="AP35" s="105"/>
      <c r="AQ35" s="143"/>
      <c r="AR35" s="18"/>
      <c r="AT35" s="6839"/>
      <c r="AU35" s="103"/>
      <c r="AV35" s="348"/>
      <c r="AW35" s="3035"/>
      <c r="AX35" s="143"/>
      <c r="AY35" s="102"/>
      <c r="AZ35" s="348"/>
      <c r="BA35" s="6670" t="s">
        <v>2448</v>
      </c>
      <c r="BB35" s="143"/>
      <c r="BC35" s="18"/>
      <c r="BE35" s="6839"/>
      <c r="BF35" s="103"/>
      <c r="BG35" s="348"/>
      <c r="BH35" s="3035"/>
      <c r="BI35" s="143"/>
      <c r="BJ35" s="102" t="s">
        <v>2449</v>
      </c>
      <c r="BK35" s="348"/>
      <c r="BL35" s="6670"/>
    </row>
    <row r="36" spans="1:64" ht="15.75" customHeight="1" x14ac:dyDescent="0.35">
      <c r="A36" s="9168"/>
      <c r="B36" s="232"/>
      <c r="C36" s="232" t="s">
        <v>2450</v>
      </c>
      <c r="D36" s="60"/>
      <c r="F36" s="111"/>
      <c r="H36" s="112">
        <f>846060978879/1000</f>
        <v>846060978.87899995</v>
      </c>
      <c r="I36" s="113">
        <f>822470708465/1000</f>
        <v>822470708.46500003</v>
      </c>
      <c r="J36" s="64">
        <f>IF(H36=0,0,I36/H36)</f>
        <v>0.97211752934728635</v>
      </c>
      <c r="L36" s="112">
        <f>1141438215729/1000</f>
        <v>1141438215.7290001</v>
      </c>
      <c r="M36" s="611">
        <v>867368981.43099999</v>
      </c>
      <c r="O36" s="112">
        <v>1116916831.7079999</v>
      </c>
      <c r="P36" s="113">
        <v>849536028.15999997</v>
      </c>
      <c r="Q36" s="312"/>
      <c r="R36" s="3011">
        <f>P36/O36</f>
        <v>0.76060813486074996</v>
      </c>
      <c r="T36" s="248">
        <f>1005500310+143946660+652148</f>
        <v>1150099118</v>
      </c>
      <c r="U36" s="312"/>
      <c r="V36" s="3012">
        <f>T36*R36</f>
        <v>874774745.04697359</v>
      </c>
      <c r="X36" s="3015">
        <v>1150099118</v>
      </c>
      <c r="Y36" s="3058">
        <f>X36*AA36</f>
        <v>874774745.04697359</v>
      </c>
      <c r="Z36" s="312"/>
      <c r="AA36" s="3011">
        <f t="shared" ref="AA36:AA45" si="8">V36/T36</f>
        <v>0.76060813486074996</v>
      </c>
      <c r="AC36" s="3015">
        <v>1267350225</v>
      </c>
      <c r="AD36" s="3059" t="s">
        <v>1112</v>
      </c>
      <c r="AE36" s="3060">
        <f>(727862743+71975847+443965)*12/9</f>
        <v>1067043406.6666666</v>
      </c>
      <c r="AG36" s="26"/>
      <c r="AI36" s="3015">
        <v>1418960000</v>
      </c>
      <c r="AJ36" s="3061">
        <f>(997.54+127.33+0.44)*1000000</f>
        <v>1125310000</v>
      </c>
      <c r="AK36" s="312" t="s">
        <v>2451</v>
      </c>
      <c r="AL36" s="3011">
        <f>SUM(AJ36:AJ38)/AI36</f>
        <v>0.91587500704741498</v>
      </c>
      <c r="AN36" s="3062">
        <f>1515389855-AN37</f>
        <v>1344464756</v>
      </c>
      <c r="AO36" s="3063" t="s">
        <v>2452</v>
      </c>
      <c r="AP36" s="3060">
        <f>AL36*AN36</f>
        <v>1231361667.8765011</v>
      </c>
      <c r="AR36" s="26"/>
      <c r="AT36" s="6313">
        <f>1510.22-AT37</f>
        <v>1339.294901</v>
      </c>
      <c r="AU36" s="2796">
        <v>1299.06</v>
      </c>
      <c r="AV36" s="312" t="s">
        <v>1462</v>
      </c>
      <c r="AW36" s="3011">
        <f>AU36/AT36</f>
        <v>0.96995814665615598</v>
      </c>
      <c r="AY36" s="6840">
        <f>1679.767849-AY37</f>
        <v>1581.7305490000001</v>
      </c>
      <c r="AZ36" s="6841" t="s">
        <v>2453</v>
      </c>
      <c r="BA36" s="6842">
        <f>1032.88*4/3-BA37</f>
        <v>1369.0133333333333</v>
      </c>
      <c r="BC36" s="26"/>
      <c r="BE36" s="6313">
        <f>AY36</f>
        <v>1581.7305490000001</v>
      </c>
      <c r="BF36" s="2796">
        <f>1207.7+85.68+4.55</f>
        <v>1297.93</v>
      </c>
      <c r="BG36" s="312" t="s">
        <v>2454</v>
      </c>
      <c r="BH36" s="3011">
        <f>BF36/BE36</f>
        <v>0.82057591972322708</v>
      </c>
      <c r="BJ36" s="6840">
        <f>1699.561471+138.928367+16.47635</f>
        <v>1854.9661879999999</v>
      </c>
      <c r="BK36" s="6841"/>
      <c r="BL36" s="8409">
        <f>(581.02+1.6+3.85)*12/9</f>
        <v>781.96</v>
      </c>
    </row>
    <row r="37" spans="1:64" x14ac:dyDescent="0.35">
      <c r="A37" s="9168"/>
      <c r="B37" s="232"/>
      <c r="C37" s="238" t="s">
        <v>2455</v>
      </c>
      <c r="D37" s="60"/>
      <c r="F37" s="111"/>
      <c r="H37" s="112"/>
      <c r="I37" s="113"/>
      <c r="J37" s="64"/>
      <c r="L37" s="112"/>
      <c r="M37" s="611"/>
      <c r="O37" s="112">
        <v>24521384.021000002</v>
      </c>
      <c r="P37" s="113">
        <v>17832953.271000002</v>
      </c>
      <c r="Q37" s="312"/>
      <c r="R37" s="3011">
        <f t="shared" ref="R37:R45" si="9">P37/O37</f>
        <v>0.72724089536414183</v>
      </c>
      <c r="T37" s="248">
        <v>61507000</v>
      </c>
      <c r="U37" s="3064"/>
      <c r="V37" s="3012">
        <f t="shared" ref="V37:V45" si="10">T37*R37</f>
        <v>44730405.751162268</v>
      </c>
      <c r="X37" s="3015">
        <v>61507000</v>
      </c>
      <c r="Y37" s="3058">
        <f t="shared" ref="Y37:Y45" si="11">X37*AA37</f>
        <v>44730405.751162268</v>
      </c>
      <c r="Z37" s="312"/>
      <c r="AA37" s="3011">
        <f t="shared" si="8"/>
        <v>0.72724089536414183</v>
      </c>
      <c r="AC37" s="3015">
        <v>55710800</v>
      </c>
      <c r="AD37" s="3041" t="s">
        <v>2456</v>
      </c>
      <c r="AE37" s="3060">
        <f>21104213*12/9</f>
        <v>28138950.666666668</v>
      </c>
      <c r="AG37" s="26"/>
      <c r="AI37" s="3015"/>
      <c r="AJ37" s="3061">
        <f>(51.79)*1000000</f>
        <v>51790000</v>
      </c>
      <c r="AK37" s="312"/>
      <c r="AL37" s="3011"/>
      <c r="AN37" s="3065">
        <v>170925099</v>
      </c>
      <c r="AO37" s="3066"/>
      <c r="AP37" s="3060">
        <f>AL36*AN37</f>
        <v>156546026.25120512</v>
      </c>
      <c r="AR37" s="26"/>
      <c r="AT37" s="6313">
        <v>170.92509899999999</v>
      </c>
      <c r="AU37" s="2796">
        <v>21.54</v>
      </c>
      <c r="AV37" s="312"/>
      <c r="AW37" s="3011">
        <f t="shared" ref="AW37:AW43" si="12">AU37/AT37</f>
        <v>0.12602011130033045</v>
      </c>
      <c r="AY37" s="6843">
        <v>98.037300000000002</v>
      </c>
      <c r="AZ37" s="6841" t="s">
        <v>2453</v>
      </c>
      <c r="BA37" s="6842">
        <f>6.12*4/3</f>
        <v>8.16</v>
      </c>
      <c r="BC37" s="4761"/>
      <c r="BE37" s="6313">
        <f t="shared" ref="BE37:BE44" si="13">AY37</f>
        <v>98.037300000000002</v>
      </c>
      <c r="BF37" s="2796">
        <v>16.309999999999999</v>
      </c>
      <c r="BG37" s="312" t="s">
        <v>2454</v>
      </c>
      <c r="BH37" s="3011">
        <f>BF37/BE37</f>
        <v>0.16636525077700018</v>
      </c>
      <c r="BJ37" s="6843">
        <v>130.31392299999999</v>
      </c>
      <c r="BK37" s="6841"/>
      <c r="BL37" s="8409">
        <v>0</v>
      </c>
    </row>
    <row r="38" spans="1:64" x14ac:dyDescent="0.35">
      <c r="A38" s="9168"/>
      <c r="B38" s="232"/>
      <c r="C38" s="232" t="s">
        <v>2457</v>
      </c>
      <c r="D38" s="60"/>
      <c r="F38" s="111"/>
      <c r="H38" s="3067">
        <f>76092700</f>
        <v>76092700</v>
      </c>
      <c r="I38" s="3068"/>
      <c r="J38" s="64">
        <f>IF(H38=0,0,I38/H38)</f>
        <v>0</v>
      </c>
      <c r="L38" s="3067">
        <v>41482000</v>
      </c>
      <c r="M38" s="3069"/>
      <c r="O38" s="3067">
        <v>41482000</v>
      </c>
      <c r="P38" s="3068">
        <f>O38*R38</f>
        <v>8665876.2474833131</v>
      </c>
      <c r="Q38" s="3064"/>
      <c r="R38" s="3070">
        <f>R$21</f>
        <v>0.20890690534408451</v>
      </c>
      <c r="T38" s="248">
        <v>218831777</v>
      </c>
      <c r="U38" s="3064"/>
      <c r="V38" s="3012">
        <f t="shared" si="10"/>
        <v>45715469.324016809</v>
      </c>
      <c r="X38" s="3015">
        <v>218831777</v>
      </c>
      <c r="Y38" s="3058">
        <f t="shared" si="11"/>
        <v>45715469.324016809</v>
      </c>
      <c r="Z38" s="3064"/>
      <c r="AA38" s="3011">
        <f t="shared" si="8"/>
        <v>0.20890690534408451</v>
      </c>
      <c r="AC38" s="3015">
        <v>150147000</v>
      </c>
      <c r="AD38" s="3071" t="s">
        <v>2456</v>
      </c>
      <c r="AE38" s="3060">
        <f>109292800*12/9</f>
        <v>145723733.33333334</v>
      </c>
      <c r="AG38" s="26"/>
      <c r="AI38" s="3015"/>
      <c r="AJ38" s="3061">
        <f>(122.49)*1000000</f>
        <v>122490000</v>
      </c>
      <c r="AK38" s="3064"/>
      <c r="AL38" s="3011"/>
      <c r="AN38" s="3015"/>
      <c r="AO38" s="3063"/>
      <c r="AP38" s="3060"/>
      <c r="AR38" s="26"/>
      <c r="AT38" s="6313"/>
      <c r="AU38" s="2796">
        <v>0</v>
      </c>
      <c r="AV38" s="3064"/>
      <c r="AW38" s="3011"/>
      <c r="AY38" s="6843">
        <f>1679.767849-AY36-AY37</f>
        <v>0</v>
      </c>
      <c r="AZ38" s="6841" t="s">
        <v>2453</v>
      </c>
      <c r="BA38" s="6842">
        <f>45.5*4/3</f>
        <v>60.666666666666664</v>
      </c>
      <c r="BC38" s="26"/>
      <c r="BE38" s="6313">
        <f t="shared" si="13"/>
        <v>0</v>
      </c>
      <c r="BF38" s="2796">
        <v>4.58</v>
      </c>
      <c r="BG38" s="312" t="s">
        <v>2454</v>
      </c>
      <c r="BH38" s="3011" t="s">
        <v>107</v>
      </c>
      <c r="BJ38" s="6843">
        <v>39.927999999999997</v>
      </c>
      <c r="BK38" s="6841"/>
      <c r="BL38" s="8409">
        <v>0</v>
      </c>
    </row>
    <row r="39" spans="1:64" x14ac:dyDescent="0.35">
      <c r="A39" s="9168"/>
      <c r="B39" s="232"/>
      <c r="C39" s="232" t="s">
        <v>2458</v>
      </c>
      <c r="D39" s="60"/>
      <c r="F39" s="155"/>
      <c r="H39" s="117">
        <f>597026235379/1000</f>
        <v>597026235.37899995</v>
      </c>
      <c r="I39" s="115">
        <f>584037342732/1000</f>
        <v>584037342.73199999</v>
      </c>
      <c r="J39" s="64">
        <f>IF(H39=0,0,I39/H39)</f>
        <v>0.97824401696727037</v>
      </c>
      <c r="L39" s="117">
        <f>715656294495/1000</f>
        <v>715656294.495</v>
      </c>
      <c r="M39" s="611">
        <v>554872667.227</v>
      </c>
      <c r="O39" s="117">
        <v>666710529</v>
      </c>
      <c r="P39" s="115">
        <v>514164637.48699999</v>
      </c>
      <c r="Q39" s="312"/>
      <c r="R39" s="3011">
        <f t="shared" si="9"/>
        <v>0.77119621653222759</v>
      </c>
      <c r="T39" s="200">
        <f>150473956+9879636+542456548</f>
        <v>702810140</v>
      </c>
      <c r="U39" s="3064"/>
      <c r="V39" s="3012">
        <f t="shared" si="10"/>
        <v>542004520.90848517</v>
      </c>
      <c r="X39" s="3039">
        <v>702810140</v>
      </c>
      <c r="Y39" s="3058">
        <f t="shared" si="11"/>
        <v>542004520.90848517</v>
      </c>
      <c r="Z39" s="312"/>
      <c r="AA39" s="3011">
        <f t="shared" si="8"/>
        <v>0.77119621653222759</v>
      </c>
      <c r="AC39" s="3039">
        <v>835818981</v>
      </c>
      <c r="AD39" s="3059" t="s">
        <v>2459</v>
      </c>
      <c r="AE39" s="3060">
        <f>(79957128+2358399+332243283)*12/9</f>
        <v>552745080</v>
      </c>
      <c r="AG39" s="26"/>
      <c r="AI39" s="3039">
        <v>913500000</v>
      </c>
      <c r="AJ39" s="3061">
        <f>(139.9+8.78+550.6)*1000000</f>
        <v>699280000</v>
      </c>
      <c r="AK39" s="312" t="s">
        <v>2451</v>
      </c>
      <c r="AL39" s="3011">
        <f>SUM(AJ39:AJ41)/AI39</f>
        <v>0.88622879036672142</v>
      </c>
      <c r="AN39" s="3072">
        <f>803699946-AN40</f>
        <v>710384474</v>
      </c>
      <c r="AO39" s="3063" t="s">
        <v>2460</v>
      </c>
      <c r="AP39" s="3060">
        <f>AL39*AN39</f>
        <v>629563173.08831966</v>
      </c>
      <c r="AR39" s="26"/>
      <c r="AT39" s="6844">
        <f>805.19-AT40</f>
        <v>711.87452800000005</v>
      </c>
      <c r="AU39" s="2796">
        <v>764.61</v>
      </c>
      <c r="AV39" s="312"/>
      <c r="AW39" s="3011">
        <f t="shared" si="12"/>
        <v>1.0740797288367085</v>
      </c>
      <c r="AY39" s="6845">
        <f>949.258589-AY40</f>
        <v>793.13161300000002</v>
      </c>
      <c r="AZ39" s="6841" t="s">
        <v>2461</v>
      </c>
      <c r="BA39" s="6842">
        <f>430.76*4/3-BA40</f>
        <v>572.69333333333338</v>
      </c>
      <c r="BC39" s="26"/>
      <c r="BE39" s="6313">
        <f t="shared" si="13"/>
        <v>793.13161300000002</v>
      </c>
      <c r="BF39" s="2796">
        <f>207.79+57.1+459.1</f>
        <v>723.99</v>
      </c>
      <c r="BG39" s="312" t="s">
        <v>2454</v>
      </c>
      <c r="BH39" s="3011">
        <f t="shared" ref="BH39:BH44" si="14">BF39/BE39</f>
        <v>0.91282454025697746</v>
      </c>
      <c r="BJ39" s="6845">
        <f>823.09411-BJ40-BJ41</f>
        <v>790.19411000000002</v>
      </c>
      <c r="BK39" s="6841"/>
      <c r="BL39" s="8409">
        <f>(132.3+23.11+113.79)*12/9</f>
        <v>358.93333333333339</v>
      </c>
    </row>
    <row r="40" spans="1:64" x14ac:dyDescent="0.35">
      <c r="A40" s="9168"/>
      <c r="B40" s="232"/>
      <c r="C40" s="238" t="s">
        <v>2455</v>
      </c>
      <c r="D40" s="60"/>
      <c r="F40" s="163"/>
      <c r="H40" s="242"/>
      <c r="I40" s="243"/>
      <c r="J40" s="64"/>
      <c r="L40" s="242"/>
      <c r="M40" s="611"/>
      <c r="O40" s="242">
        <v>48945765.494999997</v>
      </c>
      <c r="P40" s="243">
        <v>40708029.740000002</v>
      </c>
      <c r="Q40" s="312"/>
      <c r="R40" s="3011">
        <f t="shared" si="9"/>
        <v>0.83169666115771523</v>
      </c>
      <c r="T40" s="164">
        <f>32880000</f>
        <v>32880000</v>
      </c>
      <c r="U40" s="3064"/>
      <c r="V40" s="3012">
        <f t="shared" si="10"/>
        <v>27346186.218865678</v>
      </c>
      <c r="X40" s="3026">
        <v>32880000</v>
      </c>
      <c r="Y40" s="3058">
        <f t="shared" si="11"/>
        <v>27346186.218865678</v>
      </c>
      <c r="Z40" s="312"/>
      <c r="AA40" s="3011">
        <f t="shared" si="8"/>
        <v>0.83169666115771523</v>
      </c>
      <c r="AC40" s="3026">
        <v>30485000</v>
      </c>
      <c r="AD40" s="3059" t="s">
        <v>930</v>
      </c>
      <c r="AE40" s="3060">
        <f>24000000*12/9</f>
        <v>32000000</v>
      </c>
      <c r="AG40" s="26"/>
      <c r="AI40" s="3026"/>
      <c r="AJ40" s="3061">
        <f>(110.29)*1000000</f>
        <v>110290000</v>
      </c>
      <c r="AL40" s="3011"/>
      <c r="AN40" s="3073">
        <v>93315472</v>
      </c>
      <c r="AO40" s="3063"/>
      <c r="AP40" s="3060">
        <f>AL39*AN40</f>
        <v>82698857.87305966</v>
      </c>
      <c r="AR40" s="26"/>
      <c r="AT40" s="2799">
        <v>93.315472</v>
      </c>
      <c r="AU40" s="2796">
        <v>63.87</v>
      </c>
      <c r="AW40" s="3011">
        <f t="shared" si="12"/>
        <v>0.68445241320753325</v>
      </c>
      <c r="AY40" s="6843">
        <v>156.12697600000001</v>
      </c>
      <c r="AZ40" s="6841" t="s">
        <v>2461</v>
      </c>
      <c r="BA40" s="6842">
        <f>1.24*4/3</f>
        <v>1.6533333333333333</v>
      </c>
      <c r="BC40" s="26"/>
      <c r="BE40" s="6313">
        <f t="shared" si="13"/>
        <v>156.12697600000001</v>
      </c>
      <c r="BF40" s="2796">
        <v>14.81</v>
      </c>
      <c r="BG40" s="312" t="s">
        <v>2454</v>
      </c>
      <c r="BH40" s="3011">
        <f t="shared" si="14"/>
        <v>9.4858687328959732E-2</v>
      </c>
      <c r="BJ40" s="6843">
        <v>26.9</v>
      </c>
      <c r="BK40" s="6841"/>
      <c r="BL40" s="8409">
        <v>0</v>
      </c>
    </row>
    <row r="41" spans="1:64" x14ac:dyDescent="0.35">
      <c r="A41" s="9168"/>
      <c r="B41" s="232"/>
      <c r="C41" s="232" t="s">
        <v>2457</v>
      </c>
      <c r="D41" s="60"/>
      <c r="F41" s="163"/>
      <c r="H41" s="242"/>
      <c r="I41" s="243"/>
      <c r="J41" s="64"/>
      <c r="L41" s="242"/>
      <c r="M41" s="611"/>
      <c r="O41" s="3074">
        <v>0</v>
      </c>
      <c r="P41" s="3068">
        <f>O41*R41</f>
        <v>0</v>
      </c>
      <c r="Q41" s="312"/>
      <c r="R41" s="3070">
        <f>R$21</f>
        <v>0.20890690534408451</v>
      </c>
      <c r="T41" s="164">
        <f>55279600</f>
        <v>55279600</v>
      </c>
      <c r="U41" s="3064"/>
      <c r="V41" s="3012">
        <f t="shared" si="10"/>
        <v>11548290.164658854</v>
      </c>
      <c r="X41" s="3026">
        <v>55279600</v>
      </c>
      <c r="Y41" s="3058">
        <f t="shared" si="11"/>
        <v>11548290.164658854</v>
      </c>
      <c r="Z41" s="312"/>
      <c r="AA41" s="3011">
        <f t="shared" si="8"/>
        <v>0.20890690534408451</v>
      </c>
      <c r="AC41" s="3026">
        <v>46279600</v>
      </c>
      <c r="AD41" s="3059" t="s">
        <v>930</v>
      </c>
      <c r="AE41" s="3060">
        <v>0</v>
      </c>
      <c r="AG41" s="26"/>
      <c r="AI41" s="3026"/>
      <c r="AJ41" s="3061">
        <v>0</v>
      </c>
      <c r="AK41" s="312"/>
      <c r="AL41" s="3011"/>
      <c r="AN41" s="3026"/>
      <c r="AO41" s="3063"/>
      <c r="AP41" s="3060">
        <v>0</v>
      </c>
      <c r="AR41" s="26"/>
      <c r="AT41" s="2799"/>
      <c r="AU41" s="2796">
        <v>0</v>
      </c>
      <c r="AV41" s="312"/>
      <c r="AW41" s="3011"/>
      <c r="AY41" s="6843">
        <f>1145.302589-AY39-AY40</f>
        <v>196.04399999999987</v>
      </c>
      <c r="AZ41" s="6841" t="s">
        <v>2461</v>
      </c>
      <c r="BA41" s="6842">
        <v>0</v>
      </c>
      <c r="BC41" s="26"/>
      <c r="BE41" s="6313">
        <f t="shared" si="13"/>
        <v>196.04399999999987</v>
      </c>
      <c r="BF41" s="2796">
        <v>0</v>
      </c>
      <c r="BG41" s="312" t="s">
        <v>2454</v>
      </c>
      <c r="BH41" s="3011">
        <f t="shared" si="14"/>
        <v>0</v>
      </c>
      <c r="BJ41" s="6843">
        <v>6</v>
      </c>
      <c r="BK41" s="6841"/>
      <c r="BL41" s="8409">
        <v>0</v>
      </c>
    </row>
    <row r="42" spans="1:64" x14ac:dyDescent="0.35">
      <c r="A42" s="9168"/>
      <c r="B42" s="232"/>
      <c r="C42" s="232" t="s">
        <v>2462</v>
      </c>
      <c r="D42" s="60"/>
      <c r="F42" s="163"/>
      <c r="H42" s="242">
        <f>113064974938/1000</f>
        <v>113064974.93799999</v>
      </c>
      <c r="I42" s="243">
        <f>89703874930/1000</f>
        <v>89703874.930000007</v>
      </c>
      <c r="J42" s="64">
        <f>IF(H42=0,0,I42/H42)</f>
        <v>0.79338340612722713</v>
      </c>
      <c r="L42" s="242">
        <f>93160530000/1000</f>
        <v>93160530</v>
      </c>
      <c r="M42" s="611">
        <v>70110910.111000001</v>
      </c>
      <c r="O42" s="242">
        <v>78560530</v>
      </c>
      <c r="P42" s="243">
        <v>65313278.453000002</v>
      </c>
      <c r="Q42" s="312"/>
      <c r="R42" s="3011">
        <f t="shared" si="9"/>
        <v>0.83137522688556198</v>
      </c>
      <c r="T42" s="164">
        <f>58902289+18608740+7575624</f>
        <v>85086653</v>
      </c>
      <c r="U42" s="3064"/>
      <c r="V42" s="3012">
        <f t="shared" si="10"/>
        <v>70738935.442808077</v>
      </c>
      <c r="X42" s="3026">
        <v>85086653</v>
      </c>
      <c r="Y42" s="3058">
        <f t="shared" si="11"/>
        <v>70738935.442808077</v>
      </c>
      <c r="Z42" s="312"/>
      <c r="AA42" s="3011">
        <f t="shared" si="8"/>
        <v>0.83137522688556187</v>
      </c>
      <c r="AC42" s="3026">
        <v>95696003</v>
      </c>
      <c r="AD42" s="3059" t="s">
        <v>2456</v>
      </c>
      <c r="AE42" s="3060">
        <f>(36439867+12408710+9695725)*12/9</f>
        <v>78059069.333333328</v>
      </c>
      <c r="AG42" s="26"/>
      <c r="AI42" s="3026">
        <v>225200000</v>
      </c>
      <c r="AJ42" s="3061">
        <f>(72.37+13.82+5.78)*1000000</f>
        <v>91970000</v>
      </c>
      <c r="AK42" s="312"/>
      <c r="AL42" s="3011">
        <f>SUM(AJ42:AJ44)/AI42</f>
        <v>0.59400532859680288</v>
      </c>
      <c r="AN42" s="3075">
        <f>215750489-AN43</f>
        <v>130033182</v>
      </c>
      <c r="AO42" s="3063" t="s">
        <v>2452</v>
      </c>
      <c r="AP42" s="3060">
        <f>AL42*AN42</f>
        <v>77240403.00239788</v>
      </c>
      <c r="AR42" s="26"/>
      <c r="AT42" s="2799">
        <f>215.75-AT43</f>
        <v>130.03269299999999</v>
      </c>
      <c r="AU42" s="2796">
        <v>131.58000000000001</v>
      </c>
      <c r="AV42" s="312"/>
      <c r="AW42" s="3011">
        <f t="shared" si="12"/>
        <v>1.0118993690302178</v>
      </c>
      <c r="AY42" s="6843">
        <f>211.108502-AY43</f>
        <v>130.395647</v>
      </c>
      <c r="AZ42" s="6841" t="s">
        <v>2453</v>
      </c>
      <c r="BA42" s="6842">
        <f>137.78*4/3-BA43</f>
        <v>183.70666666666668</v>
      </c>
      <c r="BC42" s="26"/>
      <c r="BE42" s="6313">
        <f t="shared" si="13"/>
        <v>130.395647</v>
      </c>
      <c r="BF42" s="2796">
        <f>102.71+7.34+19.63</f>
        <v>129.68</v>
      </c>
      <c r="BG42" s="312" t="s">
        <v>2454</v>
      </c>
      <c r="BH42" s="3011">
        <f t="shared" si="14"/>
        <v>0.99451172630018858</v>
      </c>
      <c r="BJ42" s="6843">
        <f>91.043788+14.267073+56.59541</f>
        <v>161.906271</v>
      </c>
      <c r="BK42" s="6841"/>
      <c r="BL42" s="8409">
        <f>(30.68+0.48+17.73)*12/9</f>
        <v>65.186666666666667</v>
      </c>
    </row>
    <row r="43" spans="1:64" x14ac:dyDescent="0.35">
      <c r="A43" s="9168"/>
      <c r="B43" s="232"/>
      <c r="C43" s="238" t="s">
        <v>2455</v>
      </c>
      <c r="D43" s="60"/>
      <c r="F43" s="163"/>
      <c r="H43" s="242"/>
      <c r="I43" s="243"/>
      <c r="J43" s="64"/>
      <c r="L43" s="242"/>
      <c r="M43" s="611"/>
      <c r="O43" s="242">
        <v>14600000</v>
      </c>
      <c r="P43" s="243">
        <v>4797631.6579999998</v>
      </c>
      <c r="Q43" s="312"/>
      <c r="R43" s="3011">
        <f t="shared" si="9"/>
        <v>0.32860490808219178</v>
      </c>
      <c r="T43" s="164">
        <v>25301000</v>
      </c>
      <c r="U43" s="3064"/>
      <c r="V43" s="3012">
        <f t="shared" si="10"/>
        <v>8314032.7793875346</v>
      </c>
      <c r="X43" s="3026">
        <v>25301000</v>
      </c>
      <c r="Y43" s="3058">
        <f t="shared" si="11"/>
        <v>8314032.7793875346</v>
      </c>
      <c r="Z43" s="312"/>
      <c r="AA43" s="3011">
        <f t="shared" si="8"/>
        <v>0.32860490808219178</v>
      </c>
      <c r="AC43" s="3026">
        <v>81589600</v>
      </c>
      <c r="AD43" s="3059" t="s">
        <v>2456</v>
      </c>
      <c r="AE43" s="3060">
        <f>1501778*12/9</f>
        <v>2002370.6666666667</v>
      </c>
      <c r="AG43" s="26"/>
      <c r="AI43" s="3026"/>
      <c r="AJ43" s="3061">
        <f>(11.18)*1000000</f>
        <v>11180000</v>
      </c>
      <c r="AK43" s="312"/>
      <c r="AL43" s="3011"/>
      <c r="AN43" s="3073">
        <v>85717307</v>
      </c>
      <c r="AO43" s="3063"/>
      <c r="AP43" s="3060">
        <f>AL42*AN43</f>
        <v>50916537.110968031</v>
      </c>
      <c r="AR43" s="26"/>
      <c r="AT43" s="2799">
        <v>85.717307000000005</v>
      </c>
      <c r="AU43" s="2796">
        <v>9.42</v>
      </c>
      <c r="AV43" s="312"/>
      <c r="AW43" s="3011">
        <f t="shared" si="12"/>
        <v>0.10989612634470655</v>
      </c>
      <c r="AY43" s="6843">
        <v>80.712855000000005</v>
      </c>
      <c r="AZ43" s="6841" t="s">
        <v>2453</v>
      </c>
      <c r="BA43" s="6842">
        <v>0</v>
      </c>
      <c r="BC43" s="26"/>
      <c r="BE43" s="6313">
        <f t="shared" si="13"/>
        <v>80.712855000000005</v>
      </c>
      <c r="BF43" s="2796">
        <v>15.91</v>
      </c>
      <c r="BG43" s="312" t="s">
        <v>2454</v>
      </c>
      <c r="BH43" s="3011">
        <f t="shared" si="14"/>
        <v>0.19711853830470993</v>
      </c>
      <c r="BJ43" s="6843">
        <v>93.043099999999995</v>
      </c>
      <c r="BK43" s="6841"/>
      <c r="BL43" s="8409">
        <v>0</v>
      </c>
    </row>
    <row r="44" spans="1:64" x14ac:dyDescent="0.35">
      <c r="A44" s="9168"/>
      <c r="B44" s="232"/>
      <c r="C44" s="232" t="s">
        <v>2457</v>
      </c>
      <c r="D44" s="60"/>
      <c r="F44" s="163"/>
      <c r="H44" s="3074">
        <v>10865300</v>
      </c>
      <c r="I44" s="3076"/>
      <c r="J44" s="64"/>
      <c r="L44" s="3074">
        <v>14000000</v>
      </c>
      <c r="M44" s="3077"/>
      <c r="O44" s="3074">
        <v>14600000</v>
      </c>
      <c r="P44" s="3068">
        <f>O44*R44</f>
        <v>3050040.8180236341</v>
      </c>
      <c r="Q44" s="312"/>
      <c r="R44" s="3070">
        <f>R$21</f>
        <v>0.20890690534408451</v>
      </c>
      <c r="T44" s="164">
        <v>44114523</v>
      </c>
      <c r="U44" s="3064"/>
      <c r="V44" s="3012">
        <f t="shared" si="10"/>
        <v>9215828.4806604385</v>
      </c>
      <c r="X44" s="3026">
        <v>44114523</v>
      </c>
      <c r="Y44" s="3058">
        <f t="shared" si="11"/>
        <v>9215828.4806604385</v>
      </c>
      <c r="Z44" s="312"/>
      <c r="AA44" s="3011">
        <f t="shared" si="8"/>
        <v>0.20890690534408449</v>
      </c>
      <c r="AC44" s="3026">
        <v>33250000</v>
      </c>
      <c r="AD44" s="3059" t="s">
        <v>2456</v>
      </c>
      <c r="AE44" s="3060">
        <f>23417460*12/9</f>
        <v>31223280</v>
      </c>
      <c r="AG44" s="26"/>
      <c r="AI44" s="3026"/>
      <c r="AJ44" s="3061">
        <f>(30.62)*1000000</f>
        <v>30620000</v>
      </c>
      <c r="AK44" s="312"/>
      <c r="AL44" s="3011"/>
      <c r="AN44" s="3026"/>
      <c r="AO44" s="3063"/>
      <c r="AP44" s="3060"/>
      <c r="AR44" s="26"/>
      <c r="AT44" s="2799"/>
      <c r="AU44" s="2796">
        <v>0</v>
      </c>
      <c r="AV44" s="312"/>
      <c r="AW44" s="3011"/>
      <c r="AY44" s="6843">
        <f>248.139502-AY42-AY43</f>
        <v>37.030999999999992</v>
      </c>
      <c r="AZ44" s="6841" t="s">
        <v>2453</v>
      </c>
      <c r="BA44" s="6842">
        <f>38.86*4/3</f>
        <v>51.813333333333333</v>
      </c>
      <c r="BC44" s="26"/>
      <c r="BE44" s="6313">
        <f t="shared" si="13"/>
        <v>37.030999999999992</v>
      </c>
      <c r="BF44" s="2796">
        <v>49.42</v>
      </c>
      <c r="BG44" s="312" t="s">
        <v>2454</v>
      </c>
      <c r="BH44" s="3011">
        <f t="shared" si="14"/>
        <v>1.3345575328778594</v>
      </c>
      <c r="BJ44" s="6843">
        <v>69.088800000000006</v>
      </c>
      <c r="BK44" s="6841"/>
      <c r="BL44" s="8409">
        <f>0.91*12/9</f>
        <v>1.2133333333333334</v>
      </c>
    </row>
    <row r="45" spans="1:64" x14ac:dyDescent="0.35">
      <c r="A45" s="9168"/>
      <c r="B45" s="232"/>
      <c r="C45" s="232" t="s">
        <v>2463</v>
      </c>
      <c r="D45" s="60"/>
      <c r="F45" s="163"/>
      <c r="H45" s="242">
        <f>961538606/1000</f>
        <v>961538.60600000003</v>
      </c>
      <c r="I45" s="243">
        <f>1032607427/1000</f>
        <v>1032607.427</v>
      </c>
      <c r="J45" s="64">
        <f>IF(H45=0,0,I45/H45)</f>
        <v>1.0739115627355269</v>
      </c>
      <c r="L45" s="242">
        <v>1439001.91666667</v>
      </c>
      <c r="M45" s="611">
        <v>854977.91666666698</v>
      </c>
      <c r="O45" s="242">
        <v>1439001.91666667</v>
      </c>
      <c r="P45" s="243">
        <v>854977.91700000002</v>
      </c>
      <c r="Q45" s="312"/>
      <c r="R45" s="3011">
        <f t="shared" si="9"/>
        <v>0.59414647548245547</v>
      </c>
      <c r="T45" s="3078">
        <f>O45</f>
        <v>1439001.91666667</v>
      </c>
      <c r="U45" s="312"/>
      <c r="V45" s="3012">
        <f t="shared" si="10"/>
        <v>854977.91700000013</v>
      </c>
      <c r="X45" s="3079">
        <v>1439001.91666667</v>
      </c>
      <c r="Y45" s="3058">
        <f t="shared" si="11"/>
        <v>854977.91700000013</v>
      </c>
      <c r="Z45" s="312"/>
      <c r="AA45" s="3011">
        <f t="shared" si="8"/>
        <v>0.59414647548245547</v>
      </c>
      <c r="AC45" s="3079">
        <f>X45</f>
        <v>1439001.91666667</v>
      </c>
      <c r="AD45" s="2990" t="s">
        <v>2464</v>
      </c>
      <c r="AE45" s="3080">
        <f>AC45*AA45</f>
        <v>854977.91700000013</v>
      </c>
      <c r="AG45" s="26"/>
      <c r="AI45" s="3079"/>
      <c r="AJ45" s="3061"/>
      <c r="AK45" s="312"/>
      <c r="AL45" s="3011"/>
      <c r="AN45" s="3079">
        <f>AI45</f>
        <v>0</v>
      </c>
      <c r="AO45" s="2990"/>
      <c r="AP45" s="3080">
        <f>AN45*AL45</f>
        <v>0</v>
      </c>
      <c r="AR45" s="26"/>
      <c r="AT45" s="6846"/>
      <c r="AU45" s="3972"/>
      <c r="AV45" s="312"/>
      <c r="AW45" s="3011"/>
      <c r="AY45" s="6843"/>
      <c r="AZ45" s="6847"/>
      <c r="BA45" s="6848"/>
      <c r="BC45" s="26"/>
      <c r="BE45" s="6846"/>
      <c r="BF45" s="3972"/>
      <c r="BG45" s="312"/>
      <c r="BH45" s="3011"/>
      <c r="BJ45" s="6843"/>
      <c r="BK45" s="6847"/>
      <c r="BL45" s="6848"/>
    </row>
    <row r="46" spans="1:64" x14ac:dyDescent="0.35">
      <c r="A46" s="9168"/>
      <c r="B46" s="141" t="s">
        <v>940</v>
      </c>
      <c r="C46"/>
      <c r="D46" s="60"/>
      <c r="E46" s="143"/>
      <c r="F46" s="168"/>
      <c r="G46" s="143"/>
      <c r="H46" s="245"/>
      <c r="I46" s="106"/>
      <c r="J46" s="246"/>
      <c r="K46" s="143"/>
      <c r="L46" s="245"/>
      <c r="M46" s="247"/>
      <c r="N46" s="143"/>
      <c r="O46" s="245"/>
      <c r="P46" s="106"/>
      <c r="Q46" s="254"/>
      <c r="R46" s="3011"/>
      <c r="S46" s="143"/>
      <c r="T46" s="245"/>
      <c r="U46" s="254"/>
      <c r="V46" s="66"/>
      <c r="W46" s="143"/>
      <c r="X46" s="245"/>
      <c r="Y46" s="106"/>
      <c r="Z46" s="254"/>
      <c r="AA46" s="3011"/>
      <c r="AB46" s="143"/>
      <c r="AC46" s="245"/>
      <c r="AD46" s="254"/>
      <c r="AE46" s="66"/>
      <c r="AF46" s="143"/>
      <c r="AG46" s="26"/>
      <c r="AH46" s="143"/>
      <c r="AI46" s="245"/>
      <c r="AJ46" s="106"/>
      <c r="AK46" s="254"/>
      <c r="AL46" s="3011"/>
      <c r="AM46" s="143"/>
      <c r="AN46" s="245"/>
      <c r="AO46" s="254"/>
      <c r="AP46" s="66"/>
      <c r="AQ46" s="143"/>
      <c r="AR46" s="26"/>
      <c r="AT46" s="1361"/>
      <c r="AU46" s="254"/>
      <c r="AV46" s="254"/>
      <c r="AW46" s="3011"/>
      <c r="AX46" s="143"/>
      <c r="AY46" s="245"/>
      <c r="AZ46" s="1686"/>
      <c r="BA46" s="66"/>
      <c r="BB46" s="143"/>
      <c r="BC46" s="26"/>
      <c r="BD46" s="514"/>
      <c r="BE46" s="1361"/>
      <c r="BF46" s="254"/>
      <c r="BG46" s="254"/>
      <c r="BH46" s="3011"/>
      <c r="BI46" s="143"/>
      <c r="BJ46" s="245"/>
      <c r="BK46" s="1686"/>
      <c r="BL46" s="66"/>
    </row>
    <row r="47" spans="1:64" x14ac:dyDescent="0.35">
      <c r="A47" s="9168"/>
      <c r="B47" s="232"/>
      <c r="C47" s="232" t="s">
        <v>941</v>
      </c>
      <c r="D47" s="60"/>
      <c r="F47" s="111"/>
      <c r="H47" s="112"/>
      <c r="I47" s="113"/>
      <c r="J47" s="64">
        <f>IF(H47=0,0,I47/H47)</f>
        <v>0</v>
      </c>
      <c r="L47" s="112"/>
      <c r="M47" s="611">
        <f>L47*J47</f>
        <v>0</v>
      </c>
      <c r="O47" s="112"/>
      <c r="P47" s="113"/>
      <c r="Q47" s="312"/>
      <c r="R47" s="3011"/>
      <c r="T47" s="248"/>
      <c r="U47" s="312"/>
      <c r="V47" s="3012"/>
      <c r="X47" s="112"/>
      <c r="Y47" s="3081"/>
      <c r="Z47" s="312"/>
      <c r="AA47" s="3011"/>
      <c r="AC47" s="248"/>
      <c r="AD47" s="312"/>
      <c r="AE47" s="1034"/>
      <c r="AG47" s="26"/>
      <c r="AI47" s="112"/>
      <c r="AJ47" s="3081"/>
      <c r="AK47" s="312"/>
      <c r="AL47" s="3011"/>
      <c r="AN47" s="248"/>
      <c r="AO47" s="312"/>
      <c r="AP47" s="1034"/>
      <c r="AR47" s="26"/>
      <c r="AT47" s="112"/>
      <c r="AU47" s="3972"/>
      <c r="AV47" s="312"/>
      <c r="AW47" s="3011"/>
      <c r="AY47" s="248"/>
      <c r="AZ47" s="6218"/>
      <c r="BA47" s="1034"/>
      <c r="BC47" s="26"/>
      <c r="BD47" s="514"/>
      <c r="BE47" s="112"/>
      <c r="BF47" s="3972"/>
      <c r="BG47" s="312"/>
      <c r="BH47" s="3011"/>
      <c r="BJ47" s="248"/>
      <c r="BK47" s="6218"/>
      <c r="BL47" s="1034"/>
    </row>
    <row r="48" spans="1:64" x14ac:dyDescent="0.35">
      <c r="A48" s="9168"/>
      <c r="B48" s="232"/>
      <c r="C48" s="232" t="s">
        <v>942</v>
      </c>
      <c r="D48" s="60"/>
      <c r="F48" s="155"/>
      <c r="H48" s="117"/>
      <c r="I48" s="115"/>
      <c r="J48" s="64">
        <f>IF(H48=0,0,I48/H48)</f>
        <v>0</v>
      </c>
      <c r="L48" s="117"/>
      <c r="M48" s="611">
        <f>L48*J48</f>
        <v>0</v>
      </c>
      <c r="O48" s="117"/>
      <c r="P48" s="115"/>
      <c r="Q48" s="312"/>
      <c r="R48" s="3011"/>
      <c r="T48" s="200"/>
      <c r="U48" s="312"/>
      <c r="V48" s="2991"/>
      <c r="X48" s="117"/>
      <c r="Y48" s="3082"/>
      <c r="Z48" s="312"/>
      <c r="AA48" s="3011"/>
      <c r="AC48" s="200"/>
      <c r="AD48" s="312"/>
      <c r="AE48" s="273"/>
      <c r="AG48" s="26"/>
      <c r="AI48" s="117"/>
      <c r="AJ48" s="3082"/>
      <c r="AK48" s="312"/>
      <c r="AL48" s="3011"/>
      <c r="AN48" s="200"/>
      <c r="AO48" s="312"/>
      <c r="AP48" s="273"/>
      <c r="AR48" s="26"/>
      <c r="AT48" s="117"/>
      <c r="AU48" s="3972"/>
      <c r="AV48" s="312"/>
      <c r="AW48" s="3011"/>
      <c r="AY48" s="200"/>
      <c r="AZ48" s="312"/>
      <c r="BA48" s="273"/>
      <c r="BC48" s="26"/>
      <c r="BD48" s="514"/>
      <c r="BE48" s="117"/>
      <c r="BF48" s="3972"/>
      <c r="BG48" s="312"/>
      <c r="BH48" s="3011"/>
      <c r="BJ48" s="200"/>
      <c r="BK48" s="312"/>
      <c r="BL48" s="273"/>
    </row>
    <row r="49" spans="1:64" x14ac:dyDescent="0.35">
      <c r="A49" s="9168"/>
      <c r="B49" s="1662"/>
      <c r="C49" s="1662" t="s">
        <v>943</v>
      </c>
      <c r="D49" s="87"/>
      <c r="F49" s="130"/>
      <c r="H49" s="242"/>
      <c r="I49" s="243"/>
      <c r="J49" s="64">
        <f>IF(H49=0,0,I49/H49)</f>
        <v>0</v>
      </c>
      <c r="L49" s="131"/>
      <c r="M49" s="1345">
        <f>L49*J49</f>
        <v>0</v>
      </c>
      <c r="O49" s="131"/>
      <c r="P49" s="132"/>
      <c r="Q49" s="3054"/>
      <c r="R49" s="3030"/>
      <c r="T49" s="164"/>
      <c r="U49" s="312"/>
      <c r="V49" s="3031"/>
      <c r="X49" s="131"/>
      <c r="Y49" s="3083"/>
      <c r="Z49" s="3054"/>
      <c r="AA49" s="3030"/>
      <c r="AC49" s="164"/>
      <c r="AD49" s="312"/>
      <c r="AE49" s="276"/>
      <c r="AG49" s="24"/>
      <c r="AI49" s="131"/>
      <c r="AJ49" s="3083"/>
      <c r="AK49" s="3054"/>
      <c r="AL49" s="3030"/>
      <c r="AN49" s="164"/>
      <c r="AO49" s="312"/>
      <c r="AP49" s="276"/>
      <c r="AR49" s="24"/>
      <c r="AT49" s="131"/>
      <c r="AU49" s="3972"/>
      <c r="AV49" s="3054"/>
      <c r="AW49" s="3030"/>
      <c r="AY49" s="164"/>
      <c r="AZ49" s="312"/>
      <c r="BA49" s="276"/>
      <c r="BC49" s="24"/>
      <c r="BD49" s="514"/>
      <c r="BE49" s="131"/>
      <c r="BF49" s="3972"/>
      <c r="BG49" s="3054"/>
      <c r="BH49" s="3030"/>
      <c r="BJ49" s="164"/>
      <c r="BK49" s="312"/>
      <c r="BL49" s="276"/>
    </row>
    <row r="50" spans="1:64" x14ac:dyDescent="0.35">
      <c r="A50" s="9168"/>
      <c r="B50" s="141" t="s">
        <v>944</v>
      </c>
      <c r="C50" s="141"/>
      <c r="D50" s="60"/>
      <c r="E50" s="143"/>
      <c r="F50" s="227"/>
      <c r="G50" s="143"/>
      <c r="H50" s="102"/>
      <c r="I50" s="103"/>
      <c r="J50" s="252"/>
      <c r="K50" s="143"/>
      <c r="L50" s="245"/>
      <c r="M50" s="247"/>
      <c r="N50" s="143"/>
      <c r="O50" s="102"/>
      <c r="P50" s="103"/>
      <c r="Q50" s="2909"/>
      <c r="R50" s="3035"/>
      <c r="S50" s="143"/>
      <c r="T50" s="102"/>
      <c r="U50" s="2909"/>
      <c r="V50" s="105"/>
      <c r="W50" s="143"/>
      <c r="X50" s="102"/>
      <c r="Y50" s="103"/>
      <c r="Z50" s="2909"/>
      <c r="AA50" s="3035"/>
      <c r="AB50" s="143"/>
      <c r="AC50" s="102"/>
      <c r="AD50" s="2909"/>
      <c r="AE50" s="105"/>
      <c r="AF50" s="143"/>
      <c r="AG50" s="26"/>
      <c r="AH50" s="143"/>
      <c r="AI50" s="102"/>
      <c r="AJ50" s="103"/>
      <c r="AK50" s="2909"/>
      <c r="AL50" s="3035"/>
      <c r="AM50" s="143"/>
      <c r="AN50" s="102"/>
      <c r="AO50" s="2909"/>
      <c r="AP50" s="105"/>
      <c r="AQ50" s="143"/>
      <c r="AR50" s="26"/>
      <c r="AT50" s="102"/>
      <c r="AU50" s="103"/>
      <c r="AV50" s="2909"/>
      <c r="AW50" s="3035"/>
      <c r="AX50" s="143"/>
      <c r="AY50" s="102"/>
      <c r="AZ50" s="2909"/>
      <c r="BA50" s="105"/>
      <c r="BB50" s="143"/>
      <c r="BC50" s="26"/>
      <c r="BE50" s="102"/>
      <c r="BF50" s="103"/>
      <c r="BG50" s="2909"/>
      <c r="BH50" s="3035"/>
      <c r="BI50" s="143"/>
      <c r="BJ50" s="102"/>
      <c r="BK50" s="2909"/>
      <c r="BL50" s="105"/>
    </row>
    <row r="51" spans="1:64" ht="24.75" customHeight="1" x14ac:dyDescent="0.35">
      <c r="A51" s="9168"/>
      <c r="B51" s="232"/>
      <c r="C51" s="232" t="s">
        <v>941</v>
      </c>
      <c r="D51" s="60"/>
      <c r="F51" s="111"/>
      <c r="H51" s="112"/>
      <c r="I51" s="113"/>
      <c r="J51" s="64">
        <f t="shared" ref="J51:J57" si="15">IF(H51=0,0,I51/H51)</f>
        <v>0</v>
      </c>
      <c r="L51" s="112"/>
      <c r="M51" s="611">
        <f t="shared" ref="M51:M57" si="16">L51*J51</f>
        <v>0</v>
      </c>
      <c r="O51" s="112"/>
      <c r="P51" s="113"/>
      <c r="Q51" s="312"/>
      <c r="R51" s="3011"/>
      <c r="T51" s="248"/>
      <c r="U51" s="312"/>
      <c r="V51" s="3012"/>
      <c r="X51" s="112"/>
      <c r="Y51" s="3081"/>
      <c r="Z51" s="312"/>
      <c r="AA51" s="3011"/>
      <c r="AC51" s="248"/>
      <c r="AD51" s="312"/>
      <c r="AE51" s="1034"/>
      <c r="AG51" s="257"/>
      <c r="AI51" s="112"/>
      <c r="AJ51" s="3081"/>
      <c r="AK51" s="312"/>
      <c r="AL51" s="3011"/>
      <c r="AN51" s="248"/>
      <c r="AO51" s="312"/>
      <c r="AP51" s="1034"/>
      <c r="AR51" s="257"/>
      <c r="AT51" s="112"/>
      <c r="AU51" s="3972"/>
      <c r="AV51" s="312"/>
      <c r="AW51" s="3011"/>
      <c r="AY51" s="248"/>
      <c r="AZ51" s="312"/>
      <c r="BA51" s="1034"/>
      <c r="BC51" s="4761" t="s">
        <v>2465</v>
      </c>
      <c r="BE51" s="112"/>
      <c r="BF51" s="3972"/>
      <c r="BG51" s="312"/>
      <c r="BH51" s="3011"/>
      <c r="BJ51" s="248"/>
      <c r="BK51" s="312"/>
      <c r="BL51" s="1034"/>
    </row>
    <row r="52" spans="1:64" x14ac:dyDescent="0.35">
      <c r="A52" s="9168"/>
      <c r="B52" s="232"/>
      <c r="C52" s="232" t="s">
        <v>942</v>
      </c>
      <c r="D52" s="60"/>
      <c r="F52" s="155"/>
      <c r="H52" s="117"/>
      <c r="I52" s="115"/>
      <c r="J52" s="64">
        <f t="shared" si="15"/>
        <v>0</v>
      </c>
      <c r="L52" s="117"/>
      <c r="M52" s="611">
        <f t="shared" si="16"/>
        <v>0</v>
      </c>
      <c r="O52" s="117"/>
      <c r="P52" s="115"/>
      <c r="Q52" s="312"/>
      <c r="R52" s="3011"/>
      <c r="T52" s="200"/>
      <c r="U52" s="312"/>
      <c r="V52" s="2991"/>
      <c r="X52" s="117"/>
      <c r="Y52" s="3082"/>
      <c r="Z52" s="312"/>
      <c r="AA52" s="3011"/>
      <c r="AC52" s="200"/>
      <c r="AD52" s="312"/>
      <c r="AE52" s="273"/>
      <c r="AG52" s="26"/>
      <c r="AI52" s="117"/>
      <c r="AJ52" s="3082"/>
      <c r="AK52" s="312"/>
      <c r="AL52" s="3011"/>
      <c r="AN52" s="200"/>
      <c r="AO52" s="312"/>
      <c r="AP52" s="273"/>
      <c r="AR52" s="26"/>
      <c r="AT52" s="117"/>
      <c r="AU52" s="3972"/>
      <c r="AV52" s="312"/>
      <c r="AW52" s="3011"/>
      <c r="AY52" s="200"/>
      <c r="AZ52" s="312"/>
      <c r="BA52" s="273"/>
      <c r="BC52" s="26"/>
      <c r="BE52" s="117"/>
      <c r="BF52" s="3972"/>
      <c r="BG52" s="312"/>
      <c r="BH52" s="3011"/>
      <c r="BJ52" s="200"/>
      <c r="BK52" s="312"/>
      <c r="BL52" s="273"/>
    </row>
    <row r="53" spans="1:64" x14ac:dyDescent="0.35">
      <c r="A53" s="9168"/>
      <c r="B53" s="232"/>
      <c r="C53" s="232" t="s">
        <v>943</v>
      </c>
      <c r="D53" s="60"/>
      <c r="F53" s="155"/>
      <c r="H53" s="117"/>
      <c r="I53" s="115"/>
      <c r="J53" s="64">
        <f t="shared" si="15"/>
        <v>0</v>
      </c>
      <c r="L53" s="117"/>
      <c r="M53" s="611">
        <f t="shared" si="16"/>
        <v>0</v>
      </c>
      <c r="O53" s="117"/>
      <c r="P53" s="115"/>
      <c r="Q53" s="312"/>
      <c r="R53" s="3011"/>
      <c r="T53" s="200"/>
      <c r="U53" s="312"/>
      <c r="V53" s="2991"/>
      <c r="X53" s="117"/>
      <c r="Y53" s="3082"/>
      <c r="Z53" s="312"/>
      <c r="AA53" s="3011"/>
      <c r="AC53" s="200"/>
      <c r="AD53" s="312"/>
      <c r="AE53" s="273"/>
      <c r="AG53" s="26"/>
      <c r="AI53" s="117"/>
      <c r="AJ53" s="3082"/>
      <c r="AK53" s="312"/>
      <c r="AL53" s="3011"/>
      <c r="AN53" s="200"/>
      <c r="AO53" s="312"/>
      <c r="AP53" s="273"/>
      <c r="AR53" s="26"/>
      <c r="AT53" s="117"/>
      <c r="AU53" s="3972"/>
      <c r="AV53" s="312"/>
      <c r="AW53" s="3011"/>
      <c r="AY53" s="200"/>
      <c r="AZ53" s="312"/>
      <c r="BA53" s="273"/>
      <c r="BC53" s="26"/>
      <c r="BE53" s="117"/>
      <c r="BF53" s="3972"/>
      <c r="BG53" s="312"/>
      <c r="BH53" s="3011"/>
      <c r="BJ53" s="200"/>
      <c r="BK53" s="312"/>
      <c r="BL53" s="273"/>
    </row>
    <row r="54" spans="1:64" x14ac:dyDescent="0.35">
      <c r="A54" s="9168"/>
      <c r="B54" s="232"/>
      <c r="C54" s="232" t="s">
        <v>977</v>
      </c>
      <c r="D54" s="60"/>
      <c r="F54" s="155"/>
      <c r="H54" s="117"/>
      <c r="I54" s="115"/>
      <c r="J54" s="64">
        <f t="shared" si="15"/>
        <v>0</v>
      </c>
      <c r="L54" s="117"/>
      <c r="M54" s="611">
        <f t="shared" si="16"/>
        <v>0</v>
      </c>
      <c r="O54" s="117"/>
      <c r="P54" s="115"/>
      <c r="Q54" s="312"/>
      <c r="R54" s="3011"/>
      <c r="T54" s="200"/>
      <c r="U54" s="312"/>
      <c r="V54" s="2991"/>
      <c r="X54" s="117"/>
      <c r="Y54" s="3082"/>
      <c r="Z54" s="312"/>
      <c r="AA54" s="3011"/>
      <c r="AC54" s="200"/>
      <c r="AD54" s="312"/>
      <c r="AE54" s="273"/>
      <c r="AG54" s="26"/>
      <c r="AI54" s="117"/>
      <c r="AJ54" s="3082"/>
      <c r="AK54" s="312"/>
      <c r="AL54" s="3011"/>
      <c r="AN54" s="200"/>
      <c r="AO54" s="312"/>
      <c r="AP54" s="273"/>
      <c r="AR54" s="26"/>
      <c r="AT54" s="117"/>
      <c r="AU54" s="3972"/>
      <c r="AV54" s="312"/>
      <c r="AW54" s="3011"/>
      <c r="AY54" s="200"/>
      <c r="AZ54" s="312"/>
      <c r="BA54" s="273"/>
      <c r="BC54" s="26"/>
      <c r="BE54" s="117"/>
      <c r="BF54" s="3972"/>
      <c r="BG54" s="312"/>
      <c r="BH54" s="3011"/>
      <c r="BJ54" s="200"/>
      <c r="BK54" s="312"/>
      <c r="BL54" s="273"/>
    </row>
    <row r="55" spans="1:64" x14ac:dyDescent="0.35">
      <c r="A55" s="9168"/>
      <c r="B55" s="232"/>
      <c r="C55" s="232" t="s">
        <v>962</v>
      </c>
      <c r="D55" s="60"/>
      <c r="F55" s="155"/>
      <c r="H55" s="117"/>
      <c r="I55" s="115"/>
      <c r="J55" s="64">
        <f t="shared" si="15"/>
        <v>0</v>
      </c>
      <c r="L55" s="117"/>
      <c r="M55" s="611">
        <f t="shared" si="16"/>
        <v>0</v>
      </c>
      <c r="O55" s="117"/>
      <c r="P55" s="115"/>
      <c r="Q55" s="312"/>
      <c r="R55" s="3011"/>
      <c r="T55" s="200"/>
      <c r="U55" s="312"/>
      <c r="V55" s="2991"/>
      <c r="X55" s="117"/>
      <c r="Y55" s="3082"/>
      <c r="Z55" s="312"/>
      <c r="AA55" s="3011"/>
      <c r="AC55" s="200"/>
      <c r="AD55" s="312"/>
      <c r="AE55" s="273"/>
      <c r="AG55" s="26"/>
      <c r="AI55" s="117"/>
      <c r="AJ55" s="3082"/>
      <c r="AK55" s="312"/>
      <c r="AL55" s="3011"/>
      <c r="AN55" s="200"/>
      <c r="AO55" s="312"/>
      <c r="AP55" s="273"/>
      <c r="AR55" s="26"/>
      <c r="AT55" s="117"/>
      <c r="AU55" s="3972"/>
      <c r="AV55" s="312"/>
      <c r="AW55" s="3011"/>
      <c r="AY55" s="200"/>
      <c r="AZ55" s="312"/>
      <c r="BA55" s="273"/>
      <c r="BC55" s="26"/>
      <c r="BE55" s="117"/>
      <c r="BF55" s="3972"/>
      <c r="BG55" s="312"/>
      <c r="BH55" s="3011"/>
      <c r="BJ55" s="200"/>
      <c r="BK55" s="312"/>
      <c r="BL55" s="273"/>
    </row>
    <row r="56" spans="1:64" x14ac:dyDescent="0.35">
      <c r="A56" s="9168"/>
      <c r="B56" s="232"/>
      <c r="C56" s="232" t="s">
        <v>963</v>
      </c>
      <c r="D56" s="60"/>
      <c r="F56" s="155"/>
      <c r="H56" s="117"/>
      <c r="I56" s="115"/>
      <c r="J56" s="64">
        <f t="shared" si="15"/>
        <v>0</v>
      </c>
      <c r="L56" s="117"/>
      <c r="M56" s="611">
        <f t="shared" si="16"/>
        <v>0</v>
      </c>
      <c r="O56" s="117"/>
      <c r="P56" s="115"/>
      <c r="Q56" s="312"/>
      <c r="R56" s="3011"/>
      <c r="T56" s="200"/>
      <c r="U56" s="312"/>
      <c r="V56" s="2991"/>
      <c r="X56" s="117"/>
      <c r="Y56" s="3082"/>
      <c r="Z56" s="312"/>
      <c r="AA56" s="3011"/>
      <c r="AC56" s="200"/>
      <c r="AD56" s="312"/>
      <c r="AE56" s="273"/>
      <c r="AG56" s="26"/>
      <c r="AI56" s="117"/>
      <c r="AJ56" s="3082"/>
      <c r="AK56" s="312"/>
      <c r="AL56" s="3011"/>
      <c r="AN56" s="200"/>
      <c r="AO56" s="312"/>
      <c r="AP56" s="273"/>
      <c r="AR56" s="26"/>
      <c r="AT56" s="117"/>
      <c r="AU56" s="3972"/>
      <c r="AV56" s="312"/>
      <c r="AW56" s="3011"/>
      <c r="AY56" s="200"/>
      <c r="AZ56" s="312"/>
      <c r="BA56" s="273"/>
      <c r="BC56" s="26"/>
      <c r="BE56" s="117"/>
      <c r="BF56" s="3972"/>
      <c r="BG56" s="312"/>
      <c r="BH56" s="3011"/>
      <c r="BJ56" s="200"/>
      <c r="BK56" s="312"/>
      <c r="BL56" s="273"/>
    </row>
    <row r="57" spans="1:64" x14ac:dyDescent="0.35">
      <c r="A57" s="9168"/>
      <c r="B57" s="1654"/>
      <c r="C57" s="1654" t="s">
        <v>964</v>
      </c>
      <c r="D57" s="87"/>
      <c r="F57" s="130"/>
      <c r="H57" s="131"/>
      <c r="I57" s="132"/>
      <c r="J57" s="133">
        <f t="shared" si="15"/>
        <v>0</v>
      </c>
      <c r="L57" s="242"/>
      <c r="M57" s="611">
        <f t="shared" si="16"/>
        <v>0</v>
      </c>
      <c r="O57" s="131"/>
      <c r="P57" s="132"/>
      <c r="Q57" s="3054"/>
      <c r="R57" s="3030"/>
      <c r="T57" s="214"/>
      <c r="U57" s="3054"/>
      <c r="V57" s="3084"/>
      <c r="X57" s="131"/>
      <c r="Y57" s="3083"/>
      <c r="Z57" s="3054"/>
      <c r="AA57" s="3030"/>
      <c r="AC57" s="214"/>
      <c r="AD57" s="3054"/>
      <c r="AE57" s="658"/>
      <c r="AG57" s="26"/>
      <c r="AI57" s="131"/>
      <c r="AJ57" s="3083"/>
      <c r="AK57" s="3054"/>
      <c r="AL57" s="3030"/>
      <c r="AN57" s="214"/>
      <c r="AO57" s="3054"/>
      <c r="AP57" s="658"/>
      <c r="AR57" s="26"/>
      <c r="AT57" s="131"/>
      <c r="AU57" s="3972"/>
      <c r="AV57" s="3054"/>
      <c r="AW57" s="3030"/>
      <c r="AY57" s="214"/>
      <c r="AZ57" s="3054"/>
      <c r="BA57" s="658"/>
      <c r="BC57" s="26"/>
      <c r="BE57" s="131"/>
      <c r="BF57" s="3972"/>
      <c r="BG57" s="3054"/>
      <c r="BH57" s="3030"/>
      <c r="BJ57" s="214"/>
      <c r="BK57" s="3054"/>
      <c r="BL57" s="658"/>
    </row>
    <row r="58" spans="1:64" x14ac:dyDescent="0.35">
      <c r="A58" s="9168"/>
      <c r="B58" s="271" t="s">
        <v>965</v>
      </c>
      <c r="C58" s="271"/>
      <c r="D58" s="140"/>
      <c r="E58" s="141"/>
      <c r="F58" s="227"/>
      <c r="G58" s="141"/>
      <c r="H58" s="245"/>
      <c r="I58" s="106"/>
      <c r="J58" s="267"/>
      <c r="K58" s="141"/>
      <c r="L58" s="102"/>
      <c r="M58" s="268"/>
      <c r="N58" s="141"/>
      <c r="O58" s="102"/>
      <c r="P58" s="103"/>
      <c r="Q58" s="2909"/>
      <c r="R58" s="3035"/>
      <c r="S58" s="141"/>
      <c r="T58" s="245"/>
      <c r="U58" s="254"/>
      <c r="V58" s="66"/>
      <c r="W58" s="141"/>
      <c r="X58" s="102"/>
      <c r="Y58" s="103"/>
      <c r="Z58" s="2909"/>
      <c r="AA58" s="3035"/>
      <c r="AB58" s="141"/>
      <c r="AC58" s="245"/>
      <c r="AD58" s="254"/>
      <c r="AE58" s="105" t="s">
        <v>2447</v>
      </c>
      <c r="AF58" s="141"/>
      <c r="AG58" s="18"/>
      <c r="AH58" s="141"/>
      <c r="AI58" s="102"/>
      <c r="AJ58" s="103"/>
      <c r="AK58" s="2909"/>
      <c r="AL58" s="3035"/>
      <c r="AM58" s="141"/>
      <c r="AN58" s="245"/>
      <c r="AO58" s="254"/>
      <c r="AP58" s="105" t="s">
        <v>2447</v>
      </c>
      <c r="AQ58" s="141"/>
      <c r="AR58" s="18"/>
      <c r="AT58" s="102"/>
      <c r="AU58" s="2909"/>
      <c r="AV58" s="2909"/>
      <c r="AW58" s="3035"/>
      <c r="AX58" s="141"/>
      <c r="AY58" s="245"/>
      <c r="AZ58" s="254"/>
      <c r="BA58" s="105"/>
      <c r="BB58" s="141"/>
      <c r="BC58" s="18"/>
      <c r="BE58" s="102" t="s">
        <v>2466</v>
      </c>
      <c r="BF58" s="2909" t="s">
        <v>2467</v>
      </c>
      <c r="BG58" s="2909"/>
      <c r="BH58" s="3035"/>
      <c r="BI58" s="141"/>
      <c r="BJ58" s="245"/>
      <c r="BK58" s="254"/>
      <c r="BL58" s="105"/>
    </row>
    <row r="59" spans="1:64" x14ac:dyDescent="0.35">
      <c r="A59" s="9168"/>
      <c r="B59" s="232"/>
      <c r="C59" s="232" t="s">
        <v>2450</v>
      </c>
      <c r="D59" s="60"/>
      <c r="F59" s="111"/>
      <c r="H59" s="112">
        <f>720967039224/1000</f>
        <v>720967039.22399998</v>
      </c>
      <c r="I59" s="113">
        <f>714365371120/1000</f>
        <v>714365371.12</v>
      </c>
      <c r="J59" s="64">
        <f t="shared" ref="J59:J66" si="17">IF(H59=0,0,I59/H59)</f>
        <v>0.99084331495777456</v>
      </c>
      <c r="L59" s="112">
        <f>1014827156000/1000</f>
        <v>1014827156</v>
      </c>
      <c r="M59" s="611">
        <f>793744389589/1000</f>
        <v>793744389.58899999</v>
      </c>
      <c r="O59" s="112">
        <v>1014827156</v>
      </c>
      <c r="P59" s="113">
        <v>793744389.58899999</v>
      </c>
      <c r="Q59" s="312"/>
      <c r="R59" s="3011">
        <f>P59/O59</f>
        <v>0.78214736854065814</v>
      </c>
      <c r="T59" s="248">
        <v>1005500310</v>
      </c>
      <c r="U59" s="312"/>
      <c r="V59" s="3012">
        <f>T59*R59</f>
        <v>786449421.53331602</v>
      </c>
      <c r="X59" s="3015">
        <v>1005500310</v>
      </c>
      <c r="Y59" s="3058">
        <f>X59*AA59</f>
        <v>786449421.53331602</v>
      </c>
      <c r="Z59" s="312"/>
      <c r="AA59" s="3011">
        <f>V59/T59</f>
        <v>0.78214736854065814</v>
      </c>
      <c r="AC59" s="3015">
        <v>1115604592</v>
      </c>
      <c r="AD59" s="312"/>
      <c r="AE59" s="3060">
        <f>727862743*12/9</f>
        <v>970483657.33333337</v>
      </c>
      <c r="AG59" s="26"/>
      <c r="AI59" s="3015"/>
      <c r="AJ59" s="3058">
        <f>AI59*AL59</f>
        <v>0</v>
      </c>
      <c r="AK59" s="312"/>
      <c r="AL59" s="3011">
        <f>AG59/AE59</f>
        <v>0</v>
      </c>
      <c r="AN59" s="3015"/>
      <c r="AO59" s="312"/>
      <c r="AP59" s="3060"/>
      <c r="AR59" s="26"/>
      <c r="AT59" s="3015"/>
      <c r="AU59" s="3972"/>
      <c r="AV59" s="312"/>
      <c r="AW59" s="3011" t="e">
        <f>AR59/AP59</f>
        <v>#DIV/0!</v>
      </c>
      <c r="AY59" s="3015"/>
      <c r="AZ59" s="312"/>
      <c r="BA59" s="3060"/>
      <c r="BC59" s="26"/>
      <c r="BE59" s="1353">
        <v>1441.5258309999999</v>
      </c>
      <c r="BF59" s="2796">
        <v>1207.7</v>
      </c>
      <c r="BG59" s="312"/>
      <c r="BH59" s="3011">
        <f>BF59/BE59</f>
        <v>0.83779282620430551</v>
      </c>
      <c r="BJ59" s="248">
        <v>1699.561471</v>
      </c>
      <c r="BK59" s="312"/>
      <c r="BL59" s="3941">
        <f>581.02*12/9</f>
        <v>774.69333333333327</v>
      </c>
    </row>
    <row r="60" spans="1:64" x14ac:dyDescent="0.35">
      <c r="A60" s="9168"/>
      <c r="B60" s="232"/>
      <c r="C60" s="232" t="s">
        <v>2458</v>
      </c>
      <c r="D60" s="60"/>
      <c r="F60" s="155"/>
      <c r="H60" s="117">
        <f>111083607000/1000</f>
        <v>111083607</v>
      </c>
      <c r="I60" s="115">
        <f>110185198389/1000</f>
        <v>110185198.389</v>
      </c>
      <c r="J60" s="64">
        <f t="shared" si="17"/>
        <v>0.99191232050107991</v>
      </c>
      <c r="L60" s="117">
        <f>111083607000/1000</f>
        <v>111083607</v>
      </c>
      <c r="M60" s="611">
        <f>110185198389/1000</f>
        <v>110185198.389</v>
      </c>
      <c r="O60" s="117">
        <v>111083607</v>
      </c>
      <c r="P60" s="115">
        <v>110185198.389</v>
      </c>
      <c r="Q60" s="312"/>
      <c r="R60" s="3011">
        <f>P60/O60</f>
        <v>0.99191232050107991</v>
      </c>
      <c r="T60" s="200">
        <v>150473956</v>
      </c>
      <c r="U60" s="312"/>
      <c r="V60" s="3012">
        <f>T60*R60</f>
        <v>149256970.87093741</v>
      </c>
      <c r="X60" s="3039">
        <v>150473956</v>
      </c>
      <c r="Y60" s="3058">
        <f>X60*AA60</f>
        <v>149256970.87093741</v>
      </c>
      <c r="Z60" s="312"/>
      <c r="AA60" s="3011">
        <f>V60/T60</f>
        <v>0.99191232050108002</v>
      </c>
      <c r="AC60" s="3039">
        <v>166951153</v>
      </c>
      <c r="AD60" s="312"/>
      <c r="AE60" s="3060">
        <f>79957128*12/9</f>
        <v>106609504</v>
      </c>
      <c r="AG60" s="26"/>
      <c r="AI60" s="3039"/>
      <c r="AJ60" s="3058">
        <f>AI60*AL60</f>
        <v>0</v>
      </c>
      <c r="AK60" s="312"/>
      <c r="AL60" s="3011">
        <f>AG60/AE60</f>
        <v>0</v>
      </c>
      <c r="AN60" s="3039"/>
      <c r="AO60" s="312"/>
      <c r="AP60" s="3060"/>
      <c r="AR60" s="26"/>
      <c r="AT60" s="3039"/>
      <c r="AU60" s="3972"/>
      <c r="AV60" s="312"/>
      <c r="AW60" s="3011" t="e">
        <f>AR60/AP60</f>
        <v>#DIV/0!</v>
      </c>
      <c r="AY60" s="3039"/>
      <c r="AZ60" s="312"/>
      <c r="BA60" s="3060"/>
      <c r="BC60" s="26"/>
      <c r="BE60" s="1154">
        <v>220.795275</v>
      </c>
      <c r="BF60" s="2796">
        <v>207.79</v>
      </c>
      <c r="BG60" s="312"/>
      <c r="BH60" s="3011">
        <f t="shared" ref="BH60:BH61" si="18">BF60/BE60</f>
        <v>0.94109803753726151</v>
      </c>
      <c r="BJ60" s="200">
        <v>242.76536400000001</v>
      </c>
      <c r="BK60" s="312"/>
      <c r="BL60" s="5344">
        <f>132.3*12/9</f>
        <v>176.4</v>
      </c>
    </row>
    <row r="61" spans="1:64" x14ac:dyDescent="0.35">
      <c r="A61" s="9168"/>
      <c r="B61" s="232"/>
      <c r="C61" s="232" t="s">
        <v>2462</v>
      </c>
      <c r="D61" s="60"/>
      <c r="F61" s="163"/>
      <c r="H61" s="242">
        <f>61325063604/1000</f>
        <v>61325063.604000002</v>
      </c>
      <c r="I61" s="243">
        <f>51026854005/1000</f>
        <v>51026854.005000003</v>
      </c>
      <c r="J61" s="64">
        <f t="shared" si="17"/>
        <v>0.83207176652111481</v>
      </c>
      <c r="L61" s="242">
        <f>58080452000/1000</f>
        <v>58080452</v>
      </c>
      <c r="M61" s="611">
        <f>57146526986/1000</f>
        <v>57146526.986000001</v>
      </c>
      <c r="O61" s="242">
        <v>58080452</v>
      </c>
      <c r="P61" s="243">
        <v>57146526.986000001</v>
      </c>
      <c r="Q61" s="312"/>
      <c r="R61" s="3011">
        <f>P61/O61</f>
        <v>0.98392014900297264</v>
      </c>
      <c r="T61" s="164">
        <v>58902289</v>
      </c>
      <c r="U61" s="312"/>
      <c r="V61" s="3012">
        <f>T61*R61</f>
        <v>57955148.969496153</v>
      </c>
      <c r="X61" s="3026">
        <v>58902289</v>
      </c>
      <c r="Y61" s="3058">
        <f>X61*AA61</f>
        <v>57955148.969496153</v>
      </c>
      <c r="Z61" s="312"/>
      <c r="AA61" s="3011">
        <f>V61/T61</f>
        <v>0.98392014900297264</v>
      </c>
      <c r="AC61" s="3026">
        <v>65352906</v>
      </c>
      <c r="AD61" s="312"/>
      <c r="AE61" s="3060">
        <f>36439867*12/9</f>
        <v>48586489.333333336</v>
      </c>
      <c r="AG61" s="26"/>
      <c r="AI61" s="3026"/>
      <c r="AJ61" s="3058">
        <f>AI61*AL61</f>
        <v>0</v>
      </c>
      <c r="AK61" s="312"/>
      <c r="AL61" s="3011">
        <f>AG61/AE61</f>
        <v>0</v>
      </c>
      <c r="AN61" s="3026"/>
      <c r="AO61" s="312"/>
      <c r="AP61" s="3060"/>
      <c r="AR61" s="26"/>
      <c r="AT61" s="3026"/>
      <c r="AU61" s="3972"/>
      <c r="AV61" s="312"/>
      <c r="AW61" s="3011" t="e">
        <f>AR61/AP61</f>
        <v>#DIV/0!</v>
      </c>
      <c r="AY61" s="3026"/>
      <c r="AZ61" s="312"/>
      <c r="BA61" s="3060"/>
      <c r="BC61" s="26"/>
      <c r="BE61" s="612">
        <v>89.536416000000003</v>
      </c>
      <c r="BF61" s="2796">
        <v>102.71</v>
      </c>
      <c r="BG61" s="312"/>
      <c r="BH61" s="3011">
        <f t="shared" si="18"/>
        <v>1.1471310176185743</v>
      </c>
      <c r="BJ61" s="164">
        <v>91.043788000000006</v>
      </c>
      <c r="BK61" s="312"/>
      <c r="BL61" s="5344">
        <f>30.68*12/9</f>
        <v>40.906666666666666</v>
      </c>
    </row>
    <row r="62" spans="1:64" x14ac:dyDescent="0.35">
      <c r="A62" s="9168"/>
      <c r="B62" s="232"/>
      <c r="C62" s="232" t="s">
        <v>2463</v>
      </c>
      <c r="D62" s="60"/>
      <c r="F62" s="163"/>
      <c r="H62" s="242">
        <f>462157105/1000</f>
        <v>462157.10499999998</v>
      </c>
      <c r="I62" s="243">
        <f>538107426/1000</f>
        <v>538107.42599999998</v>
      </c>
      <c r="J62" s="64">
        <f t="shared" si="17"/>
        <v>1.1643387501313001</v>
      </c>
      <c r="L62" s="242">
        <f>524977916/1000</f>
        <v>524977.91599999997</v>
      </c>
      <c r="M62" s="611">
        <f>524977916/1000</f>
        <v>524977.91599999997</v>
      </c>
      <c r="O62" s="242">
        <v>524977.91700000002</v>
      </c>
      <c r="P62" s="243">
        <v>524977.91700000002</v>
      </c>
      <c r="Q62" s="312"/>
      <c r="R62" s="3011">
        <f>P62/O62</f>
        <v>1</v>
      </c>
      <c r="T62" s="164"/>
      <c r="U62" s="312"/>
      <c r="V62" s="3012"/>
      <c r="X62" s="242"/>
      <c r="Y62" s="3085"/>
      <c r="Z62" s="312"/>
      <c r="AA62" s="3011"/>
      <c r="AC62" s="164"/>
      <c r="AD62" s="312"/>
      <c r="AE62" s="1034"/>
      <c r="AG62" s="26"/>
      <c r="AI62" s="242"/>
      <c r="AJ62" s="3085"/>
      <c r="AK62" s="312"/>
      <c r="AL62" s="3011"/>
      <c r="AN62" s="164"/>
      <c r="AO62" s="312"/>
      <c r="AP62" s="1034"/>
      <c r="AR62" s="26"/>
      <c r="AT62" s="242"/>
      <c r="AU62" s="3972"/>
      <c r="AV62" s="312"/>
      <c r="AW62" s="3011"/>
      <c r="AY62" s="164"/>
      <c r="AZ62" s="312"/>
      <c r="BA62" s="1034"/>
      <c r="BC62" s="26"/>
      <c r="BE62" s="242"/>
      <c r="BF62" s="3972"/>
      <c r="BG62" s="312"/>
      <c r="BH62" s="3011"/>
      <c r="BJ62" s="164"/>
      <c r="BK62" s="312"/>
      <c r="BL62" s="1034"/>
    </row>
    <row r="63" spans="1:64" x14ac:dyDescent="0.35">
      <c r="A63" s="9168"/>
      <c r="B63" s="232"/>
      <c r="C63" s="232" t="s">
        <v>962</v>
      </c>
      <c r="D63" s="60"/>
      <c r="F63" s="163"/>
      <c r="H63" s="242"/>
      <c r="I63" s="243"/>
      <c r="J63" s="64">
        <f t="shared" si="17"/>
        <v>0</v>
      </c>
      <c r="L63" s="242"/>
      <c r="M63" s="611">
        <f>L63*J63</f>
        <v>0</v>
      </c>
      <c r="O63" s="242"/>
      <c r="P63" s="243"/>
      <c r="Q63" s="312"/>
      <c r="R63" s="3011"/>
      <c r="T63" s="164"/>
      <c r="U63" s="312"/>
      <c r="V63" s="3031"/>
      <c r="X63" s="242"/>
      <c r="Y63" s="3085"/>
      <c r="Z63" s="312"/>
      <c r="AA63" s="3011"/>
      <c r="AC63" s="164"/>
      <c r="AD63" s="312"/>
      <c r="AE63" s="276"/>
      <c r="AG63" s="26"/>
      <c r="AI63" s="242"/>
      <c r="AJ63" s="3085"/>
      <c r="AK63" s="312"/>
      <c r="AL63" s="3011"/>
      <c r="AN63" s="164"/>
      <c r="AO63" s="312"/>
      <c r="AP63" s="276"/>
      <c r="AR63" s="26"/>
      <c r="AT63" s="242"/>
      <c r="AU63" s="3972"/>
      <c r="AV63" s="312"/>
      <c r="AW63" s="3011"/>
      <c r="AY63" s="164"/>
      <c r="AZ63" s="312"/>
      <c r="BA63" s="276"/>
      <c r="BC63" s="26"/>
      <c r="BE63" s="242"/>
      <c r="BF63" s="3972"/>
      <c r="BG63" s="312"/>
      <c r="BH63" s="3011"/>
      <c r="BJ63" s="164"/>
      <c r="BK63" s="312"/>
      <c r="BL63" s="276"/>
    </row>
    <row r="64" spans="1:64" x14ac:dyDescent="0.35">
      <c r="A64" s="9168"/>
      <c r="B64" s="232"/>
      <c r="C64" s="232" t="s">
        <v>963</v>
      </c>
      <c r="D64" s="60"/>
      <c r="F64" s="163"/>
      <c r="H64" s="242"/>
      <c r="I64" s="243"/>
      <c r="J64" s="64"/>
      <c r="L64" s="242"/>
      <c r="M64" s="611">
        <f>L64*J64</f>
        <v>0</v>
      </c>
      <c r="O64" s="242"/>
      <c r="P64" s="243"/>
      <c r="Q64" s="312"/>
      <c r="R64" s="3011"/>
      <c r="T64" s="164"/>
      <c r="U64" s="312"/>
      <c r="V64" s="3031"/>
      <c r="X64" s="242"/>
      <c r="Y64" s="3085"/>
      <c r="Z64" s="312"/>
      <c r="AA64" s="3011"/>
      <c r="AC64" s="164"/>
      <c r="AD64" s="312"/>
      <c r="AE64" s="276"/>
      <c r="AG64" s="26"/>
      <c r="AI64" s="242"/>
      <c r="AJ64" s="3085"/>
      <c r="AK64" s="312"/>
      <c r="AL64" s="3011"/>
      <c r="AN64" s="164"/>
      <c r="AO64" s="312"/>
      <c r="AP64" s="276"/>
      <c r="AR64" s="26"/>
      <c r="AT64" s="242"/>
      <c r="AU64" s="3972"/>
      <c r="AV64" s="312"/>
      <c r="AW64" s="3011"/>
      <c r="AY64" s="164"/>
      <c r="AZ64" s="312"/>
      <c r="BA64" s="276"/>
      <c r="BC64" s="26"/>
      <c r="BE64" s="242"/>
      <c r="BF64" s="3972"/>
      <c r="BG64" s="312"/>
      <c r="BH64" s="3011"/>
      <c r="BJ64" s="164"/>
      <c r="BK64" s="312"/>
      <c r="BL64" s="276"/>
    </row>
    <row r="65" spans="1:64" x14ac:dyDescent="0.35">
      <c r="A65" s="9168"/>
      <c r="B65" s="232"/>
      <c r="C65" s="232" t="s">
        <v>964</v>
      </c>
      <c r="D65" s="60"/>
      <c r="F65" s="163"/>
      <c r="H65" s="242"/>
      <c r="I65" s="243"/>
      <c r="J65" s="64">
        <f t="shared" si="17"/>
        <v>0</v>
      </c>
      <c r="L65" s="242"/>
      <c r="M65" s="611">
        <f>L65*J65</f>
        <v>0</v>
      </c>
      <c r="O65" s="242"/>
      <c r="P65" s="243"/>
      <c r="Q65" s="312"/>
      <c r="R65" s="3011"/>
      <c r="T65" s="164"/>
      <c r="U65" s="312"/>
      <c r="V65" s="3031"/>
      <c r="X65" s="242"/>
      <c r="Y65" s="3085"/>
      <c r="Z65" s="312"/>
      <c r="AA65" s="3011"/>
      <c r="AC65" s="164"/>
      <c r="AD65" s="312"/>
      <c r="AE65" s="276"/>
      <c r="AG65" s="26"/>
      <c r="AI65" s="242"/>
      <c r="AJ65" s="3085"/>
      <c r="AK65" s="312"/>
      <c r="AL65" s="3011"/>
      <c r="AN65" s="164"/>
      <c r="AO65" s="312"/>
      <c r="AP65" s="276"/>
      <c r="AR65" s="26"/>
      <c r="AT65" s="242"/>
      <c r="AU65" s="3972"/>
      <c r="AV65" s="312"/>
      <c r="AW65" s="3011"/>
      <c r="AY65" s="164"/>
      <c r="AZ65" s="312"/>
      <c r="BA65" s="276"/>
      <c r="BC65" s="26"/>
      <c r="BE65" s="242"/>
      <c r="BF65" s="3972"/>
      <c r="BG65" s="312"/>
      <c r="BH65" s="3011"/>
      <c r="BJ65" s="164"/>
      <c r="BK65" s="312"/>
      <c r="BL65" s="276"/>
    </row>
    <row r="66" spans="1:64" x14ac:dyDescent="0.35">
      <c r="A66" s="9168"/>
      <c r="B66" s="1662"/>
      <c r="C66" s="1662" t="s">
        <v>978</v>
      </c>
      <c r="D66" s="87"/>
      <c r="F66" s="130"/>
      <c r="H66" s="242"/>
      <c r="I66" s="243"/>
      <c r="J66" s="64">
        <f t="shared" si="17"/>
        <v>0</v>
      </c>
      <c r="L66" s="242"/>
      <c r="M66" s="611">
        <f>L66*J66</f>
        <v>0</v>
      </c>
      <c r="O66" s="131"/>
      <c r="P66" s="132"/>
      <c r="Q66" s="3054"/>
      <c r="R66" s="3030"/>
      <c r="T66" s="164"/>
      <c r="U66" s="312"/>
      <c r="V66" s="3031"/>
      <c r="X66" s="131"/>
      <c r="Y66" s="3083"/>
      <c r="Z66" s="3054"/>
      <c r="AA66" s="3030"/>
      <c r="AC66" s="164"/>
      <c r="AD66" s="312"/>
      <c r="AE66" s="276"/>
      <c r="AG66" s="24"/>
      <c r="AI66" s="131"/>
      <c r="AJ66" s="3083"/>
      <c r="AK66" s="3054"/>
      <c r="AL66" s="3030"/>
      <c r="AN66" s="164"/>
      <c r="AO66" s="312"/>
      <c r="AP66" s="276"/>
      <c r="AR66" s="24"/>
      <c r="AT66" s="131"/>
      <c r="AU66" s="3972"/>
      <c r="AV66" s="3054"/>
      <c r="AW66" s="3030"/>
      <c r="AY66" s="164"/>
      <c r="AZ66" s="312"/>
      <c r="BA66" s="276"/>
      <c r="BC66" s="24"/>
      <c r="BE66" s="131"/>
      <c r="BF66" s="3972"/>
      <c r="BG66" s="3054"/>
      <c r="BH66" s="3030"/>
      <c r="BJ66" s="164"/>
      <c r="BK66" s="312"/>
      <c r="BL66" s="276"/>
    </row>
    <row r="67" spans="1:64" x14ac:dyDescent="0.35">
      <c r="A67" s="9168"/>
      <c r="B67" s="271" t="s">
        <v>979</v>
      </c>
      <c r="C67" s="271"/>
      <c r="D67" s="140"/>
      <c r="E67" s="143"/>
      <c r="F67" s="227"/>
      <c r="G67" s="143"/>
      <c r="H67" s="102"/>
      <c r="I67" s="103"/>
      <c r="J67" s="228"/>
      <c r="K67" s="143"/>
      <c r="L67" s="102"/>
      <c r="M67" s="268"/>
      <c r="N67" s="143"/>
      <c r="O67" s="102"/>
      <c r="P67" s="103"/>
      <c r="Q67" s="2909"/>
      <c r="R67" s="3035"/>
      <c r="S67" s="143"/>
      <c r="T67" s="102"/>
      <c r="U67" s="2909"/>
      <c r="V67" s="105"/>
      <c r="W67" s="143"/>
      <c r="X67" s="102"/>
      <c r="Y67" s="103"/>
      <c r="Z67" s="2909"/>
      <c r="AA67" s="3035"/>
      <c r="AB67" s="143"/>
      <c r="AC67" s="102"/>
      <c r="AD67" s="2909"/>
      <c r="AE67" s="105"/>
      <c r="AF67" s="143"/>
      <c r="AG67" s="18"/>
      <c r="AH67" s="143"/>
      <c r="AI67" s="102"/>
      <c r="AJ67" s="103"/>
      <c r="AK67" s="2909"/>
      <c r="AL67" s="3035"/>
      <c r="AM67" s="143"/>
      <c r="AN67" s="102"/>
      <c r="AO67" s="2909"/>
      <c r="AP67" s="105"/>
      <c r="AQ67" s="143"/>
      <c r="AR67" s="18"/>
      <c r="AT67" s="102"/>
      <c r="AU67" s="103"/>
      <c r="AV67" s="2909" t="s">
        <v>2468</v>
      </c>
      <c r="AW67" s="3035"/>
      <c r="AX67" s="143"/>
      <c r="AY67" s="102"/>
      <c r="AZ67" s="2909" t="s">
        <v>2468</v>
      </c>
      <c r="BA67" s="105"/>
      <c r="BB67" s="143"/>
      <c r="BC67" s="18"/>
      <c r="BE67" s="102"/>
      <c r="BF67" s="103"/>
      <c r="BG67" s="8410" t="s">
        <v>2468</v>
      </c>
      <c r="BH67" s="3035"/>
      <c r="BI67" s="143"/>
      <c r="BJ67" s="102"/>
      <c r="BK67" s="2909" t="s">
        <v>2468</v>
      </c>
      <c r="BL67" s="105"/>
    </row>
    <row r="68" spans="1:64" x14ac:dyDescent="0.35">
      <c r="A68" s="9168"/>
      <c r="B68" s="272"/>
      <c r="C68" s="272" t="s">
        <v>980</v>
      </c>
      <c r="D68" s="60"/>
      <c r="F68" s="155"/>
      <c r="H68" s="117"/>
      <c r="I68" s="115"/>
      <c r="J68" s="64">
        <f>IF(H68=0,0,I68/H68)</f>
        <v>0</v>
      </c>
      <c r="L68" s="117"/>
      <c r="M68" s="611">
        <f>M32*M69</f>
        <v>0</v>
      </c>
      <c r="O68" s="117"/>
      <c r="P68" s="115"/>
      <c r="Q68" s="312"/>
      <c r="R68" s="3011"/>
      <c r="T68" s="200"/>
      <c r="U68" s="312"/>
      <c r="V68" s="2991"/>
      <c r="X68" s="117"/>
      <c r="Y68" s="3082"/>
      <c r="Z68" s="312"/>
      <c r="AA68" s="3011"/>
      <c r="AC68" s="200"/>
      <c r="AD68" s="312"/>
      <c r="AE68" s="273"/>
      <c r="AG68" s="26"/>
      <c r="AI68" s="117"/>
      <c r="AJ68" s="3082"/>
      <c r="AK68" s="312"/>
      <c r="AL68" s="3011"/>
      <c r="AN68" s="200"/>
      <c r="AO68" s="312"/>
      <c r="AP68" s="273"/>
      <c r="AR68" s="26"/>
      <c r="AT68" s="117"/>
      <c r="AU68" s="3972"/>
      <c r="AV68" s="312"/>
      <c r="AW68" s="3011"/>
      <c r="AY68" s="200"/>
      <c r="AZ68" s="312"/>
      <c r="BA68" s="273"/>
      <c r="BC68" s="4761" t="s">
        <v>2469</v>
      </c>
      <c r="BE68" s="117"/>
      <c r="BF68" s="3972"/>
      <c r="BG68" s="312"/>
      <c r="BH68" s="3011"/>
      <c r="BJ68" s="200"/>
      <c r="BK68" s="312"/>
      <c r="BL68" s="273"/>
    </row>
    <row r="69" spans="1:64" x14ac:dyDescent="0.35">
      <c r="A69" s="9168"/>
      <c r="B69" s="277"/>
      <c r="C69" s="277" t="s">
        <v>981</v>
      </c>
      <c r="D69" s="87"/>
      <c r="F69" s="278"/>
      <c r="G69" s="279"/>
      <c r="H69" s="280"/>
      <c r="I69" s="281"/>
      <c r="J69" s="133"/>
      <c r="L69" s="280"/>
      <c r="M69" s="1663"/>
      <c r="O69" s="280"/>
      <c r="P69" s="281"/>
      <c r="Q69" s="3086"/>
      <c r="R69" s="3030"/>
      <c r="T69" s="3087"/>
      <c r="U69" s="3086"/>
      <c r="V69" s="3088"/>
      <c r="X69" s="280"/>
      <c r="Y69" s="3089"/>
      <c r="Z69" s="3086"/>
      <c r="AA69" s="3030"/>
      <c r="AC69" s="3087"/>
      <c r="AD69" s="3086"/>
      <c r="AE69" s="3090"/>
      <c r="AG69" s="24"/>
      <c r="AI69" s="280"/>
      <c r="AJ69" s="3089"/>
      <c r="AK69" s="3086"/>
      <c r="AL69" s="3030"/>
      <c r="AN69" s="3087"/>
      <c r="AO69" s="3086"/>
      <c r="AP69" s="3090"/>
      <c r="AR69" s="24"/>
      <c r="AT69" s="280"/>
      <c r="AU69" s="3972"/>
      <c r="AV69" s="3086"/>
      <c r="AW69" s="3030"/>
      <c r="AY69" s="3087"/>
      <c r="AZ69" s="3086"/>
      <c r="BA69" s="3090"/>
      <c r="BC69" s="24"/>
      <c r="BE69" s="280"/>
      <c r="BF69" s="3972"/>
      <c r="BG69" s="3086"/>
      <c r="BH69" s="3030"/>
      <c r="BJ69" s="3087"/>
      <c r="BK69" s="3086"/>
      <c r="BL69" s="3090"/>
    </row>
    <row r="70" spans="1:64" ht="15.25" customHeight="1" x14ac:dyDescent="0.35">
      <c r="A70" s="9168"/>
      <c r="B70" s="287" t="s">
        <v>982</v>
      </c>
      <c r="C70" s="288"/>
      <c r="D70" s="140"/>
      <c r="E70" s="143"/>
      <c r="F70" s="289"/>
      <c r="G70" s="290"/>
      <c r="H70" s="291"/>
      <c r="I70" s="292"/>
      <c r="J70" s="293"/>
      <c r="L70" s="291"/>
      <c r="M70" s="3091"/>
      <c r="N70" s="143"/>
      <c r="O70" s="291"/>
      <c r="P70" s="292"/>
      <c r="Q70" s="2909"/>
      <c r="R70" s="3035"/>
      <c r="S70" s="143"/>
      <c r="T70" s="1192" t="s">
        <v>2470</v>
      </c>
      <c r="U70" s="254"/>
      <c r="V70" s="3012"/>
      <c r="W70" s="143"/>
      <c r="X70" s="3092" t="s">
        <v>1671</v>
      </c>
      <c r="Y70" s="520"/>
      <c r="Z70" s="2909"/>
      <c r="AA70" s="3035"/>
      <c r="AB70" s="143"/>
      <c r="AC70" s="3092" t="s">
        <v>1671</v>
      </c>
      <c r="AD70" s="254"/>
      <c r="AE70" s="105" t="s">
        <v>2447</v>
      </c>
      <c r="AF70" s="143"/>
      <c r="AG70" s="18"/>
      <c r="AH70" s="143"/>
      <c r="AI70" s="3092" t="s">
        <v>1312</v>
      </c>
      <c r="AJ70" s="520"/>
      <c r="AK70" s="2909"/>
      <c r="AL70" s="3035"/>
      <c r="AM70" s="143"/>
      <c r="AN70" s="3092" t="s">
        <v>1312</v>
      </c>
      <c r="AO70" s="254"/>
      <c r="AP70" s="105" t="s">
        <v>2447</v>
      </c>
      <c r="AQ70" s="143"/>
      <c r="AR70" s="18"/>
      <c r="AT70" s="3092"/>
      <c r="AU70" s="520"/>
      <c r="AV70" s="2909"/>
      <c r="AW70" s="3035"/>
      <c r="AX70" s="143"/>
      <c r="AY70" s="3092"/>
      <c r="AZ70" s="254"/>
      <c r="BA70" s="105"/>
      <c r="BB70" s="143"/>
      <c r="BC70" s="18"/>
      <c r="BE70" s="3092"/>
      <c r="BF70" s="520"/>
      <c r="BG70" s="2909"/>
      <c r="BH70" s="3035"/>
      <c r="BI70" s="143"/>
      <c r="BJ70" s="3092"/>
      <c r="BK70" s="254"/>
      <c r="BL70" s="105"/>
    </row>
    <row r="71" spans="1:64" x14ac:dyDescent="0.35">
      <c r="A71" s="9168"/>
      <c r="B71" s="295"/>
      <c r="C71" s="1053" t="s">
        <v>2450</v>
      </c>
      <c r="D71" s="60"/>
      <c r="F71" s="61"/>
      <c r="G71" s="272"/>
      <c r="H71" s="62">
        <v>76092700</v>
      </c>
      <c r="I71" s="63">
        <f>I38</f>
        <v>0</v>
      </c>
      <c r="J71" s="297">
        <f>IF(H71=0,0,I71/H71)</f>
        <v>0</v>
      </c>
      <c r="L71" s="62">
        <v>41482000</v>
      </c>
      <c r="M71" s="3093">
        <f>M38</f>
        <v>0</v>
      </c>
      <c r="O71" s="62">
        <f>O38</f>
        <v>41482000</v>
      </c>
      <c r="P71" s="63">
        <f>P38</f>
        <v>8665876.2474833131</v>
      </c>
      <c r="Q71" s="312"/>
      <c r="R71" s="3011">
        <f>P71/O71</f>
        <v>0.20890690534408449</v>
      </c>
      <c r="T71" s="71">
        <f>T38</f>
        <v>218831777</v>
      </c>
      <c r="U71" s="312"/>
      <c r="V71" s="2991">
        <f>R71*T71</f>
        <v>45715469.324016802</v>
      </c>
      <c r="X71" s="2992">
        <f>X38</f>
        <v>218831777</v>
      </c>
      <c r="Y71" s="3094">
        <f>X71*AA71</f>
        <v>45715469.324016802</v>
      </c>
      <c r="Z71" s="312"/>
      <c r="AA71" s="3011">
        <f>V71/T71</f>
        <v>0.20890690534408449</v>
      </c>
      <c r="AC71" s="2992">
        <f>AC38</f>
        <v>150147000</v>
      </c>
      <c r="AD71" s="312"/>
      <c r="AE71" s="3095">
        <f>AE38</f>
        <v>145723733.33333334</v>
      </c>
      <c r="AG71" s="26"/>
      <c r="AI71" s="2992">
        <f>AI38</f>
        <v>0</v>
      </c>
      <c r="AJ71" s="3094">
        <f>AI71*AL71</f>
        <v>0</v>
      </c>
      <c r="AK71" s="312"/>
      <c r="AL71" s="3011">
        <f>AG71/AE71</f>
        <v>0</v>
      </c>
      <c r="AN71" s="2992">
        <f>AN38</f>
        <v>0</v>
      </c>
      <c r="AO71" s="312"/>
      <c r="AP71" s="3095">
        <f>AP38</f>
        <v>0</v>
      </c>
      <c r="AR71" s="26"/>
      <c r="AT71" s="2992"/>
      <c r="AU71" s="3094"/>
      <c r="AV71" s="312"/>
      <c r="AW71" s="3011"/>
      <c r="AY71" s="2992"/>
      <c r="AZ71" s="312"/>
      <c r="BA71" s="3095"/>
      <c r="BC71" s="26"/>
      <c r="BE71" s="2992">
        <f>BE38</f>
        <v>0</v>
      </c>
      <c r="BF71" s="2992">
        <f>BF38</f>
        <v>4.58</v>
      </c>
      <c r="BG71" s="312"/>
      <c r="BH71" s="3011"/>
      <c r="BJ71" s="2992">
        <f>BJ38</f>
        <v>39.927999999999997</v>
      </c>
      <c r="BK71" s="312"/>
      <c r="BL71" s="3095">
        <f>BL38</f>
        <v>0</v>
      </c>
    </row>
    <row r="72" spans="1:64" x14ac:dyDescent="0.35">
      <c r="A72" s="9168"/>
      <c r="B72" s="295"/>
      <c r="C72" s="1053" t="s">
        <v>2458</v>
      </c>
      <c r="D72" s="60"/>
      <c r="F72" s="61"/>
      <c r="G72" s="272"/>
      <c r="H72" s="62">
        <v>0</v>
      </c>
      <c r="I72" s="63"/>
      <c r="J72" s="297">
        <f>IF(H72=0,0,I72/H72)</f>
        <v>0</v>
      </c>
      <c r="L72" s="62">
        <v>0</v>
      </c>
      <c r="M72" s="3093"/>
      <c r="O72" s="62">
        <f>O41</f>
        <v>0</v>
      </c>
      <c r="P72" s="63">
        <f>P41</f>
        <v>0</v>
      </c>
      <c r="Q72" s="312"/>
      <c r="R72" s="3011" t="e">
        <f>P72/O72</f>
        <v>#DIV/0!</v>
      </c>
      <c r="T72" s="71">
        <f>T41</f>
        <v>55279600</v>
      </c>
      <c r="U72" s="312"/>
      <c r="V72" s="2991" t="e">
        <f>R72*T72</f>
        <v>#DIV/0!</v>
      </c>
      <c r="X72" s="2992">
        <f>X41</f>
        <v>55279600</v>
      </c>
      <c r="Y72" s="3094" t="e">
        <f>X72*AA72</f>
        <v>#DIV/0!</v>
      </c>
      <c r="Z72" s="312"/>
      <c r="AA72" s="3011" t="e">
        <f>V72/T72</f>
        <v>#DIV/0!</v>
      </c>
      <c r="AC72" s="2992">
        <f>AC41</f>
        <v>46279600</v>
      </c>
      <c r="AD72" s="312"/>
      <c r="AE72" s="3095">
        <f>AE41</f>
        <v>0</v>
      </c>
      <c r="AG72" s="26"/>
      <c r="AI72" s="2992">
        <f>AI41</f>
        <v>0</v>
      </c>
      <c r="AJ72" s="3094" t="e">
        <f>AI72*AL72</f>
        <v>#DIV/0!</v>
      </c>
      <c r="AK72" s="312"/>
      <c r="AL72" s="3011" t="e">
        <f>AG72/AE72</f>
        <v>#DIV/0!</v>
      </c>
      <c r="AN72" s="2992">
        <f>AN41</f>
        <v>0</v>
      </c>
      <c r="AO72" s="312"/>
      <c r="AP72" s="3095">
        <f>AP41</f>
        <v>0</v>
      </c>
      <c r="AR72" s="26"/>
      <c r="AT72" s="2992"/>
      <c r="AU72" s="3094"/>
      <c r="AV72" s="312"/>
      <c r="AW72" s="3011"/>
      <c r="AY72" s="2992"/>
      <c r="AZ72" s="312"/>
      <c r="BA72" s="3095"/>
      <c r="BC72" s="26"/>
      <c r="BE72" s="2992">
        <f>BE41</f>
        <v>196.04399999999987</v>
      </c>
      <c r="BF72" s="2992">
        <f>BF41</f>
        <v>0</v>
      </c>
      <c r="BG72" s="312"/>
      <c r="BH72" s="3011"/>
      <c r="BJ72" s="2992">
        <f>BJ41</f>
        <v>6</v>
      </c>
      <c r="BK72" s="312"/>
      <c r="BL72" s="3095">
        <f>BL41</f>
        <v>0</v>
      </c>
    </row>
    <row r="73" spans="1:64" x14ac:dyDescent="0.35">
      <c r="A73" s="9168"/>
      <c r="B73" s="2948"/>
      <c r="C73" s="1053" t="s">
        <v>2462</v>
      </c>
      <c r="D73" s="60"/>
      <c r="F73" s="61"/>
      <c r="G73" s="272"/>
      <c r="H73" s="62">
        <f>H44</f>
        <v>10865300</v>
      </c>
      <c r="I73" s="63">
        <f>I44</f>
        <v>0</v>
      </c>
      <c r="J73" s="297">
        <f>IF(H73=0,0,I73/H73)</f>
        <v>0</v>
      </c>
      <c r="L73" s="62">
        <f>L44</f>
        <v>14000000</v>
      </c>
      <c r="M73" s="3093">
        <f>M44</f>
        <v>0</v>
      </c>
      <c r="O73" s="62">
        <f>O44</f>
        <v>14600000</v>
      </c>
      <c r="P73" s="63">
        <f>P44</f>
        <v>3050040.8180236341</v>
      </c>
      <c r="Q73" s="312"/>
      <c r="R73" s="3011">
        <f>P73/O73</f>
        <v>0.20890690534408454</v>
      </c>
      <c r="T73" s="71">
        <f>T44</f>
        <v>44114523</v>
      </c>
      <c r="U73" s="312"/>
      <c r="V73" s="2991">
        <f>R73*T73</f>
        <v>9215828.4806604404</v>
      </c>
      <c r="X73" s="2992">
        <f>X44</f>
        <v>44114523</v>
      </c>
      <c r="Y73" s="3094">
        <f>X73*AA73</f>
        <v>9215828.4806604404</v>
      </c>
      <c r="Z73" s="312"/>
      <c r="AA73" s="3011">
        <f>V73/T73</f>
        <v>0.20890690534408454</v>
      </c>
      <c r="AC73" s="2992">
        <f>AC44</f>
        <v>33250000</v>
      </c>
      <c r="AD73" s="312"/>
      <c r="AE73" s="3095">
        <f>AE44</f>
        <v>31223280</v>
      </c>
      <c r="AG73" s="26"/>
      <c r="AI73" s="2992">
        <f>AI44</f>
        <v>0</v>
      </c>
      <c r="AJ73" s="3094">
        <f>AI73*AL73</f>
        <v>0</v>
      </c>
      <c r="AK73" s="312"/>
      <c r="AL73" s="3011">
        <f>AG73/AE73</f>
        <v>0</v>
      </c>
      <c r="AN73" s="2992">
        <f>AN44</f>
        <v>0</v>
      </c>
      <c r="AO73" s="312"/>
      <c r="AP73" s="3095">
        <f>AP44</f>
        <v>0</v>
      </c>
      <c r="AR73" s="26"/>
      <c r="AT73" s="2992"/>
      <c r="AU73" s="3094"/>
      <c r="AV73" s="312"/>
      <c r="AW73" s="3011"/>
      <c r="AY73" s="2992"/>
      <c r="AZ73" s="312"/>
      <c r="BA73" s="3095"/>
      <c r="BC73" s="26"/>
      <c r="BE73" s="2992">
        <f>BE44</f>
        <v>37.030999999999992</v>
      </c>
      <c r="BF73" s="2992">
        <f>BF44</f>
        <v>49.42</v>
      </c>
      <c r="BG73" s="312"/>
      <c r="BH73" s="3011"/>
      <c r="BJ73" s="2992">
        <f>BJ44</f>
        <v>69.088800000000006</v>
      </c>
      <c r="BK73" s="312"/>
      <c r="BL73" s="3095">
        <f>BL44</f>
        <v>1.2133333333333334</v>
      </c>
    </row>
    <row r="74" spans="1:64" x14ac:dyDescent="0.35">
      <c r="A74" s="9169"/>
      <c r="B74" s="2950"/>
      <c r="C74" s="2951" t="s">
        <v>977</v>
      </c>
      <c r="D74" s="87"/>
      <c r="F74" s="88"/>
      <c r="G74" s="274"/>
      <c r="H74" s="89"/>
      <c r="I74" s="90"/>
      <c r="J74" s="307">
        <f>IF(H74=0,0,I74/H74)</f>
        <v>0</v>
      </c>
      <c r="L74" s="89"/>
      <c r="M74" s="3096"/>
      <c r="O74" s="89"/>
      <c r="P74" s="90"/>
      <c r="Q74" s="3054"/>
      <c r="R74" s="3030"/>
      <c r="T74" s="768"/>
      <c r="U74" s="3054"/>
      <c r="V74" s="3084"/>
      <c r="X74" s="89"/>
      <c r="Y74" s="3083"/>
      <c r="Z74" s="3054"/>
      <c r="AA74" s="3030"/>
      <c r="AC74" s="768"/>
      <c r="AD74" s="3054"/>
      <c r="AE74" s="90"/>
      <c r="AG74" s="24"/>
      <c r="AI74" s="89"/>
      <c r="AJ74" s="3083"/>
      <c r="AK74" s="3054"/>
      <c r="AL74" s="3030"/>
      <c r="AN74" s="768"/>
      <c r="AO74" s="3054"/>
      <c r="AP74" s="90"/>
      <c r="AR74" s="24"/>
      <c r="AT74" s="89"/>
      <c r="AU74" s="3083"/>
      <c r="AV74" s="3054"/>
      <c r="AW74" s="3030"/>
      <c r="AY74" s="768"/>
      <c r="AZ74" s="3054"/>
      <c r="BA74" s="90"/>
      <c r="BC74" s="24"/>
      <c r="BE74" s="89"/>
      <c r="BF74" s="3083"/>
      <c r="BG74" s="3054"/>
      <c r="BH74" s="3030"/>
      <c r="BJ74" s="768"/>
      <c r="BK74" s="3054"/>
      <c r="BL74" s="90"/>
    </row>
    <row r="75" spans="1:64" x14ac:dyDescent="0.35">
      <c r="A75" s="310"/>
      <c r="B75" s="310"/>
      <c r="F75" s="106"/>
      <c r="H75" s="106"/>
      <c r="I75" s="106"/>
      <c r="J75" s="311"/>
      <c r="L75" s="106"/>
      <c r="M75" s="312"/>
      <c r="O75" s="106"/>
      <c r="P75" s="106"/>
      <c r="Q75" s="312"/>
      <c r="R75" s="3055"/>
      <c r="T75" s="106"/>
      <c r="U75" s="312"/>
      <c r="V75" s="106"/>
      <c r="X75" s="106"/>
      <c r="Y75" s="106"/>
      <c r="Z75" s="312"/>
      <c r="AA75" s="3055"/>
      <c r="AC75" s="106"/>
      <c r="AD75" s="312"/>
      <c r="AE75" s="106"/>
      <c r="AI75" s="106"/>
      <c r="AJ75" s="106"/>
      <c r="AK75" s="312"/>
      <c r="AL75" s="3055"/>
      <c r="AN75" s="106"/>
      <c r="AO75" s="312"/>
      <c r="AP75" s="106"/>
      <c r="AT75" s="106"/>
      <c r="AU75" s="106"/>
      <c r="AV75" s="312"/>
      <c r="AW75" s="3055"/>
      <c r="AY75" s="106"/>
      <c r="AZ75" s="312"/>
      <c r="BA75" s="106"/>
      <c r="BE75" s="106"/>
      <c r="BF75" s="106"/>
      <c r="BG75" s="312"/>
      <c r="BH75" s="3055"/>
      <c r="BJ75" s="106"/>
      <c r="BK75" s="312"/>
      <c r="BL75" s="106"/>
    </row>
    <row r="76" spans="1:64" x14ac:dyDescent="0.35">
      <c r="A76" s="9167" t="s">
        <v>988</v>
      </c>
      <c r="B76" s="139" t="s">
        <v>989</v>
      </c>
      <c r="C76" s="348"/>
      <c r="D76" s="49"/>
      <c r="E76" s="141"/>
      <c r="F76" s="227"/>
      <c r="G76" s="141"/>
      <c r="H76" s="102"/>
      <c r="I76" s="103"/>
      <c r="J76" s="228"/>
      <c r="K76" s="141"/>
      <c r="L76" s="102"/>
      <c r="M76" s="268"/>
      <c r="N76" s="141"/>
      <c r="O76" s="102"/>
      <c r="P76" s="103"/>
      <c r="Q76" s="2909"/>
      <c r="R76" s="3035"/>
      <c r="S76" s="141"/>
      <c r="T76" s="102"/>
      <c r="U76" s="2909"/>
      <c r="V76" s="227"/>
      <c r="W76" s="141"/>
      <c r="X76" s="102"/>
      <c r="Y76" s="103"/>
      <c r="Z76" s="2909"/>
      <c r="AA76" s="3035"/>
      <c r="AB76" s="141"/>
      <c r="AC76" s="102"/>
      <c r="AD76" s="2909"/>
      <c r="AE76" s="105"/>
      <c r="AF76" s="141"/>
      <c r="AH76" s="141"/>
      <c r="AI76" s="102"/>
      <c r="AJ76" s="103"/>
      <c r="AK76" s="2909"/>
      <c r="AL76" s="3035"/>
      <c r="AM76" s="141"/>
      <c r="AN76" s="102"/>
      <c r="AO76" s="2909"/>
      <c r="AP76" s="105"/>
      <c r="AQ76" s="141"/>
      <c r="AT76" s="102"/>
      <c r="AU76" s="103"/>
      <c r="AV76" s="2909"/>
      <c r="AW76" s="3035"/>
      <c r="AX76" s="141"/>
      <c r="AY76" s="102"/>
      <c r="AZ76" s="2909"/>
      <c r="BA76" s="105"/>
      <c r="BB76" s="141"/>
      <c r="BE76" s="102"/>
      <c r="BF76" s="103"/>
      <c r="BG76" s="2909"/>
      <c r="BH76" s="3035"/>
      <c r="BI76" s="141"/>
      <c r="BJ76" s="102"/>
      <c r="BK76" s="2909"/>
      <c r="BL76" s="105"/>
    </row>
    <row r="77" spans="1:64" x14ac:dyDescent="0.35">
      <c r="A77" s="9168"/>
      <c r="B77" s="6082"/>
      <c r="C77"/>
      <c r="D77" s="110" t="s">
        <v>2471</v>
      </c>
      <c r="F77" s="351">
        <f>SUM(F36:F45)-SUM(F47:F49)-F38-F44</f>
        <v>0</v>
      </c>
      <c r="G77" s="350"/>
      <c r="H77" s="351">
        <f>SUM(H36:H45)-SUM(H47:H49)-H38-H44</f>
        <v>1557113727.8019998</v>
      </c>
      <c r="I77" s="352">
        <f>SUM(I36:I45)-SUM(I47:I49)-I38-I44</f>
        <v>1497244533.5540001</v>
      </c>
      <c r="J77" s="246"/>
      <c r="K77" s="350"/>
      <c r="L77" s="351">
        <f>SUM(L36:L45)-SUM(L47:L49)-L38-L44</f>
        <v>1951694042.1406667</v>
      </c>
      <c r="M77" s="353">
        <f>SUM(M36:M45)-SUM(M47:M49)-M38-M44</f>
        <v>1493207536.6856668</v>
      </c>
      <c r="O77" s="351">
        <f>SUM(O36:O45)-SUM(O47:O49)</f>
        <v>2007776042.1406665</v>
      </c>
      <c r="P77" s="352">
        <f>SUM(P36:P45)-SUM(P47:P49)</f>
        <v>1504923453.751507</v>
      </c>
      <c r="Q77" s="352"/>
      <c r="R77" s="3011"/>
      <c r="T77" s="351">
        <f>SUM(T36:T45)-SUM(T47:T49)</f>
        <v>2377348812.9166665</v>
      </c>
      <c r="U77" s="352"/>
      <c r="V77" s="353">
        <f>SUM(V36:V45)-SUM(V47:V49)</f>
        <v>1635243392.0340183</v>
      </c>
      <c r="X77" s="351">
        <f>SUM(X36:X45)-SUM(X47:X49)</f>
        <v>2377348812.9166665</v>
      </c>
      <c r="Y77" s="352">
        <f>SUM(Y36:Y45)-SUM(Y47:Y49)</f>
        <v>1635243392.0340183</v>
      </c>
      <c r="Z77" s="352"/>
      <c r="AA77" s="3011"/>
      <c r="AC77" s="351">
        <f>SUM(AC36:AC45)-SUM(AC47:AC49)</f>
        <v>2597766210.9166665</v>
      </c>
      <c r="AD77" s="352"/>
      <c r="AE77" s="353">
        <f>SUM(AE36:AE45)-SUM(AE47:AE49)</f>
        <v>1937790868.5836666</v>
      </c>
      <c r="AI77" s="351">
        <f>SUM(AI36:AI45)-SUM(AI47:AI49)</f>
        <v>2557660000</v>
      </c>
      <c r="AJ77" s="352">
        <f>SUM(AJ36:AJ45)-SUM(AJ47:AJ49)</f>
        <v>2242930000</v>
      </c>
      <c r="AK77" s="352"/>
      <c r="AL77" s="3011"/>
      <c r="AN77" s="351">
        <f>SUM(AN36:AN45)-SUM(AN47:AN49)</f>
        <v>2534840290</v>
      </c>
      <c r="AO77" s="352"/>
      <c r="AP77" s="353">
        <f>SUM(AP36:AP45)-SUM(AP47:AP49)</f>
        <v>2228326665.2024517</v>
      </c>
      <c r="AT77" s="351">
        <f>SUM(AT36:AT45)-SUM(AT47:AT49)</f>
        <v>2531.16</v>
      </c>
      <c r="AU77" s="352">
        <f>SUM(AU36:AU45)-SUM(AU47:AU49)</f>
        <v>2290.08</v>
      </c>
      <c r="AV77" s="352"/>
      <c r="AW77" s="3011"/>
      <c r="AY77" s="351">
        <f>SUM(AY36:AY45)-SUM(AY47:AY49)</f>
        <v>3073.2099400000002</v>
      </c>
      <c r="AZ77" s="352"/>
      <c r="BA77" s="353">
        <f>SUM(BA36:BA45)-SUM(BA47:BA49)</f>
        <v>2247.7066666666669</v>
      </c>
      <c r="BE77" s="351">
        <f>SUM(BE36:BE45)-SUM(BE47:BE49)</f>
        <v>3073.2099400000002</v>
      </c>
      <c r="BF77" s="352">
        <f>SUM(BF36:BF45)-SUM(BF47:BF49)</f>
        <v>2252.6299999999997</v>
      </c>
      <c r="BG77" s="259" t="s">
        <v>2472</v>
      </c>
      <c r="BH77" s="3011"/>
      <c r="BJ77" s="351">
        <f>SUM(BJ36:BJ45)-SUM(BJ47:BJ49)</f>
        <v>3172.3403919999996</v>
      </c>
      <c r="BK77" s="8411" t="s">
        <v>2472</v>
      </c>
      <c r="BL77" s="353">
        <f>SUM(BL36:BL45)-SUM(BL47:BL49)</f>
        <v>1207.2933333333335</v>
      </c>
    </row>
    <row r="78" spans="1:64" x14ac:dyDescent="0.35">
      <c r="A78" s="9168"/>
      <c r="B78" s="6082"/>
      <c r="C78"/>
      <c r="D78" s="110" t="s">
        <v>944</v>
      </c>
      <c r="F78" s="349">
        <f>SUM(F51:F57)</f>
        <v>0</v>
      </c>
      <c r="G78" s="350"/>
      <c r="H78" s="351">
        <f>SUM(H51:H57)</f>
        <v>0</v>
      </c>
      <c r="I78" s="352">
        <f>SUM(I51:I57)</f>
        <v>0</v>
      </c>
      <c r="J78" s="246"/>
      <c r="K78" s="350"/>
      <c r="L78" s="351">
        <f>SUM(L51:L57)</f>
        <v>0</v>
      </c>
      <c r="M78" s="353">
        <f>SUM(M51:M57)</f>
        <v>0</v>
      </c>
      <c r="O78" s="351">
        <f>SUM(O51:O57)</f>
        <v>0</v>
      </c>
      <c r="P78" s="352">
        <f>SUM(P51:P57)</f>
        <v>0</v>
      </c>
      <c r="Q78" s="352"/>
      <c r="R78" s="3011"/>
      <c r="T78" s="351">
        <f>SUM(T51:T57)</f>
        <v>0</v>
      </c>
      <c r="U78" s="352"/>
      <c r="V78" s="353">
        <f>SUM(V51:V57)</f>
        <v>0</v>
      </c>
      <c r="X78" s="351">
        <f>SUM(X51:X57)</f>
        <v>0</v>
      </c>
      <c r="Y78" s="352">
        <f>SUM(Y51:Y57)</f>
        <v>0</v>
      </c>
      <c r="Z78" s="352"/>
      <c r="AA78" s="3011"/>
      <c r="AC78" s="351">
        <f>SUM(AC51:AC57)</f>
        <v>0</v>
      </c>
      <c r="AD78" s="352"/>
      <c r="AE78" s="353">
        <f>SUM(AE51:AE57)</f>
        <v>0</v>
      </c>
      <c r="AI78" s="351">
        <f>SUM(AI51:AI57)</f>
        <v>0</v>
      </c>
      <c r="AJ78" s="352">
        <f>SUM(AJ51:AJ57)</f>
        <v>0</v>
      </c>
      <c r="AK78" s="352"/>
      <c r="AL78" s="3011"/>
      <c r="AN78" s="351">
        <f>SUM(AN51:AN57)</f>
        <v>0</v>
      </c>
      <c r="AO78" s="352"/>
      <c r="AP78" s="353">
        <f>SUM(AP51:AP57)</f>
        <v>0</v>
      </c>
      <c r="AT78" s="351">
        <f>SUM(AT51:AT57)</f>
        <v>0</v>
      </c>
      <c r="AU78" s="352">
        <f>SUM(AU51:AU57)</f>
        <v>0</v>
      </c>
      <c r="AV78" s="352"/>
      <c r="AW78" s="3011"/>
      <c r="AY78" s="351">
        <f>SUM(AY51:AY57)</f>
        <v>0</v>
      </c>
      <c r="AZ78" s="352"/>
      <c r="BA78" s="353">
        <f>SUM(BA51:BA57)</f>
        <v>0</v>
      </c>
      <c r="BE78" s="351">
        <f>SUM(BE51:BE57)</f>
        <v>0</v>
      </c>
      <c r="BF78" s="352">
        <f>SUM(BF51:BF57)</f>
        <v>0</v>
      </c>
      <c r="BG78" s="352"/>
      <c r="BH78" s="3011"/>
      <c r="BJ78" s="351">
        <f>SUM(BJ51:BJ57)</f>
        <v>0</v>
      </c>
      <c r="BK78" s="7457"/>
      <c r="BL78" s="353">
        <f>SUM(BL51:BL57)</f>
        <v>0</v>
      </c>
    </row>
    <row r="79" spans="1:64" x14ac:dyDescent="0.35">
      <c r="A79" s="9168"/>
      <c r="B79" s="6082"/>
      <c r="C79"/>
      <c r="D79" s="110" t="s">
        <v>991</v>
      </c>
      <c r="F79" s="349">
        <f>SUM(F59:F66)*F31</f>
        <v>0</v>
      </c>
      <c r="G79" s="350"/>
      <c r="H79" s="351">
        <f>SUM(H59:H66)*H31</f>
        <v>0</v>
      </c>
      <c r="I79" s="352">
        <f>SUM(I59:I66)*I31</f>
        <v>0</v>
      </c>
      <c r="J79" s="246"/>
      <c r="K79" s="350"/>
      <c r="L79" s="351">
        <f>SUM(L59:L66)*L31</f>
        <v>0</v>
      </c>
      <c r="M79" s="353">
        <f>SUM(M59:M66)*M31</f>
        <v>0</v>
      </c>
      <c r="O79" s="351">
        <f>SUM(O59:O66)*O31</f>
        <v>0</v>
      </c>
      <c r="P79" s="352">
        <f>SUM(P59:P66)*P31</f>
        <v>0</v>
      </c>
      <c r="Q79" s="352"/>
      <c r="R79" s="3011"/>
      <c r="T79" s="351">
        <f>SUM(T59:T66)*T31</f>
        <v>0</v>
      </c>
      <c r="U79" s="352"/>
      <c r="V79" s="353">
        <f>SUM(V59:V66)*V31</f>
        <v>0</v>
      </c>
      <c r="X79" s="351">
        <f>SUM(X59:X66)*X31</f>
        <v>0</v>
      </c>
      <c r="Y79" s="352">
        <f>SUM(Y59:Y66)*Y31</f>
        <v>0</v>
      </c>
      <c r="Z79" s="352"/>
      <c r="AA79" s="3011"/>
      <c r="AC79" s="351">
        <f>SUM(AC59:AC66)*AC31</f>
        <v>0</v>
      </c>
      <c r="AD79" s="352"/>
      <c r="AE79" s="353">
        <f>SUM(AE59:AE66)*AE31</f>
        <v>0</v>
      </c>
      <c r="AI79" s="351">
        <f>SUM(AI59:AI66)*AI31</f>
        <v>0</v>
      </c>
      <c r="AJ79" s="352">
        <f>SUM(AJ59:AJ66)*AJ31</f>
        <v>0</v>
      </c>
      <c r="AK79" s="352"/>
      <c r="AL79" s="3011"/>
      <c r="AN79" s="351">
        <f>SUM(AN59:AN66)*AN31</f>
        <v>0</v>
      </c>
      <c r="AO79" s="352"/>
      <c r="AP79" s="353">
        <f>SUM(AP59:AP66)*AP31</f>
        <v>0</v>
      </c>
      <c r="AT79" s="351">
        <f>SUM(AT59:AT66)*AT31</f>
        <v>0</v>
      </c>
      <c r="AU79" s="352">
        <f>SUM(AU59:AU66)*AU31</f>
        <v>0</v>
      </c>
      <c r="AV79" s="352"/>
      <c r="AW79" s="3011"/>
      <c r="AY79" s="351">
        <f>SUM(AY59:AY66)*AY31</f>
        <v>0</v>
      </c>
      <c r="AZ79" s="352"/>
      <c r="BA79" s="353">
        <f>SUM(BA59:BA66)*BA31</f>
        <v>0</v>
      </c>
      <c r="BE79" s="351">
        <f>SUM(BE59:BE66)*BE31</f>
        <v>0</v>
      </c>
      <c r="BF79" s="352">
        <f>SUM(BF59:BF66)*BF31</f>
        <v>0</v>
      </c>
      <c r="BG79" s="352"/>
      <c r="BH79" s="3011"/>
      <c r="BJ79" s="351">
        <f>SUM(BJ59:BJ66)*BJ31</f>
        <v>0</v>
      </c>
      <c r="BK79" s="7457"/>
      <c r="BL79" s="353">
        <f>SUM(BL59:BL66)*BL31</f>
        <v>0</v>
      </c>
    </row>
    <row r="80" spans="1:64" x14ac:dyDescent="0.35">
      <c r="A80" s="9168"/>
      <c r="B80" s="6082"/>
      <c r="C80"/>
      <c r="D80" s="110" t="s">
        <v>979</v>
      </c>
      <c r="F80" s="349">
        <f>F68</f>
        <v>0</v>
      </c>
      <c r="G80" s="350"/>
      <c r="H80" s="351">
        <f>H68</f>
        <v>0</v>
      </c>
      <c r="I80" s="352">
        <f>I68</f>
        <v>0</v>
      </c>
      <c r="J80" s="246"/>
      <c r="K80" s="350"/>
      <c r="L80" s="351">
        <f>L68</f>
        <v>0</v>
      </c>
      <c r="M80" s="353">
        <f>M68</f>
        <v>0</v>
      </c>
      <c r="O80" s="351">
        <f>O68</f>
        <v>0</v>
      </c>
      <c r="P80" s="352">
        <f>P68</f>
        <v>0</v>
      </c>
      <c r="Q80" s="352"/>
      <c r="R80" s="3011"/>
      <c r="T80" s="351">
        <f>T68</f>
        <v>0</v>
      </c>
      <c r="U80" s="352"/>
      <c r="V80" s="353">
        <f>V68</f>
        <v>0</v>
      </c>
      <c r="X80" s="351">
        <f>X68</f>
        <v>0</v>
      </c>
      <c r="Y80" s="352">
        <f>Y68</f>
        <v>0</v>
      </c>
      <c r="Z80" s="352"/>
      <c r="AA80" s="3011"/>
      <c r="AC80" s="351">
        <f>AC68</f>
        <v>0</v>
      </c>
      <c r="AD80" s="352"/>
      <c r="AE80" s="353">
        <f>AE68</f>
        <v>0</v>
      </c>
      <c r="AI80" s="351">
        <f>AI68</f>
        <v>0</v>
      </c>
      <c r="AJ80" s="352">
        <f>AJ68</f>
        <v>0</v>
      </c>
      <c r="AK80" s="352"/>
      <c r="AL80" s="3011"/>
      <c r="AN80" s="351">
        <f>AN68</f>
        <v>0</v>
      </c>
      <c r="AO80" s="352"/>
      <c r="AP80" s="353">
        <f>AP68</f>
        <v>0</v>
      </c>
      <c r="AT80" s="351">
        <f>AT68</f>
        <v>0</v>
      </c>
      <c r="AU80" s="352">
        <f>AU68</f>
        <v>0</v>
      </c>
      <c r="AV80" s="352"/>
      <c r="AW80" s="3011"/>
      <c r="AY80" s="351">
        <f>AY68</f>
        <v>0</v>
      </c>
      <c r="AZ80" s="352"/>
      <c r="BA80" s="353">
        <f>BA68</f>
        <v>0</v>
      </c>
      <c r="BE80" s="351">
        <f>BE68</f>
        <v>0</v>
      </c>
      <c r="BF80" s="352">
        <f>BF68</f>
        <v>0</v>
      </c>
      <c r="BG80" s="352"/>
      <c r="BH80" s="3011"/>
      <c r="BJ80" s="351">
        <f>BJ68</f>
        <v>0</v>
      </c>
      <c r="BK80" s="7457"/>
      <c r="BL80" s="353">
        <f>BL68</f>
        <v>0</v>
      </c>
    </row>
    <row r="81" spans="1:64" x14ac:dyDescent="0.35">
      <c r="A81" s="9168"/>
      <c r="B81" s="6082"/>
      <c r="C81"/>
      <c r="D81" s="356" t="s">
        <v>992</v>
      </c>
      <c r="E81" s="143"/>
      <c r="F81" s="357">
        <f>SUM(F77:F80)</f>
        <v>0</v>
      </c>
      <c r="G81" s="358"/>
      <c r="H81" s="359">
        <f>SUM(H77:H80)</f>
        <v>1557113727.8019998</v>
      </c>
      <c r="I81" s="360">
        <f>SUM(I77:I80)</f>
        <v>1497244533.5540001</v>
      </c>
      <c r="J81" s="361"/>
      <c r="K81" s="358"/>
      <c r="L81" s="359">
        <f>SUM(L77:L80)</f>
        <v>1951694042.1406667</v>
      </c>
      <c r="M81" s="362">
        <f>SUM(M77:M80)</f>
        <v>1493207536.6856668</v>
      </c>
      <c r="N81" s="143"/>
      <c r="O81" s="359">
        <f>SUM(O77:O80)</f>
        <v>2007776042.1406665</v>
      </c>
      <c r="P81" s="360">
        <f>SUM(P77:P80)</f>
        <v>1504923453.751507</v>
      </c>
      <c r="Q81" s="360"/>
      <c r="R81" s="3011"/>
      <c r="S81" s="143"/>
      <c r="T81" s="359">
        <f>SUM(T77:T80)</f>
        <v>2377348812.9166665</v>
      </c>
      <c r="U81" s="360"/>
      <c r="V81" s="362">
        <f>SUM(V77:V80)</f>
        <v>1635243392.0340183</v>
      </c>
      <c r="W81" s="143"/>
      <c r="X81" s="359">
        <f>SUM(X77:X80)</f>
        <v>2377348812.9166665</v>
      </c>
      <c r="Y81" s="360">
        <f>SUM(Y77:Y80)</f>
        <v>1635243392.0340183</v>
      </c>
      <c r="Z81" s="352"/>
      <c r="AA81" s="3011"/>
      <c r="AB81" s="143"/>
      <c r="AC81" s="359">
        <f>SUM(AC77:AC80)</f>
        <v>2597766210.9166665</v>
      </c>
      <c r="AD81" s="360"/>
      <c r="AE81" s="362">
        <f>SUM(AE77:AE80)</f>
        <v>1937790868.5836666</v>
      </c>
      <c r="AF81" s="143"/>
      <c r="AH81" s="143"/>
      <c r="AI81" s="359">
        <f>SUM(AI77:AI80)</f>
        <v>2557660000</v>
      </c>
      <c r="AJ81" s="360">
        <f>SUM(AJ77:AJ80)</f>
        <v>2242930000</v>
      </c>
      <c r="AK81" s="352"/>
      <c r="AL81" s="3011"/>
      <c r="AM81" s="143"/>
      <c r="AN81" s="359">
        <f>SUM(AN77:AN80)</f>
        <v>2534840290</v>
      </c>
      <c r="AO81" s="360"/>
      <c r="AP81" s="362">
        <f>SUM(AP77:AP80)</f>
        <v>2228326665.2024517</v>
      </c>
      <c r="AQ81" s="143"/>
      <c r="AT81" s="359">
        <f>SUM(AT77:AT80)</f>
        <v>2531.16</v>
      </c>
      <c r="AU81" s="360">
        <f>SUM(AU77:AU80)</f>
        <v>2290.08</v>
      </c>
      <c r="AV81" s="352"/>
      <c r="AW81" s="3011"/>
      <c r="AX81" s="143"/>
      <c r="AY81" s="359">
        <f>SUM(AY77:AY80)</f>
        <v>3073.2099400000002</v>
      </c>
      <c r="AZ81" s="360"/>
      <c r="BA81" s="362">
        <f>SUM(BA77:BA80)</f>
        <v>2247.7066666666669</v>
      </c>
      <c r="BB81" s="143"/>
      <c r="BE81" s="359">
        <f>SUM(BE77:BE80)</f>
        <v>3073.2099400000002</v>
      </c>
      <c r="BF81" s="360">
        <f>SUM(BF77:BF80)</f>
        <v>2252.6299999999997</v>
      </c>
      <c r="BG81" s="352"/>
      <c r="BH81" s="3011"/>
      <c r="BI81" s="143"/>
      <c r="BJ81" s="359">
        <f>SUM(BJ77:BJ80)</f>
        <v>3172.3403919999996</v>
      </c>
      <c r="BK81" s="7459"/>
      <c r="BL81" s="362">
        <f>SUM(BL77:BL80)</f>
        <v>1207.2933333333335</v>
      </c>
    </row>
    <row r="82" spans="1:64" ht="15.5" x14ac:dyDescent="0.35">
      <c r="A82" s="9168"/>
      <c r="B82" s="6082"/>
      <c r="C82"/>
      <c r="D82" s="365" t="s">
        <v>993</v>
      </c>
      <c r="F82" s="366">
        <f>F81/(F19+F20+F21)</f>
        <v>0</v>
      </c>
      <c r="G82" s="367"/>
      <c r="H82" s="368">
        <f>H81/(H19+H20+H21)</f>
        <v>0.13332548588335663</v>
      </c>
      <c r="I82" s="369">
        <f>I81/(I19+I20+I21)</f>
        <v>0.13894188433075735</v>
      </c>
      <c r="J82" s="370"/>
      <c r="K82" s="367"/>
      <c r="L82" s="368">
        <f>L81/(L19+L20+L21)</f>
        <v>0.13459421032936322</v>
      </c>
      <c r="M82" s="370">
        <f>M81/(M19+M20+M21)</f>
        <v>0.12201123297901939</v>
      </c>
      <c r="O82" s="368">
        <f>O81/(O19+O20+O21)</f>
        <v>0.13846177990774453</v>
      </c>
      <c r="P82" s="369">
        <f>P81/(P19+P20+P21)</f>
        <v>0.13530474729380509</v>
      </c>
      <c r="Q82" s="369"/>
      <c r="R82" s="3011"/>
      <c r="T82" s="368">
        <f>T81/(T19+T20+T21)</f>
        <v>0.17983632981030503</v>
      </c>
      <c r="U82" s="369"/>
      <c r="V82" s="370">
        <f>V81/(V19+V20+V21)</f>
        <v>0.15584411673805312</v>
      </c>
      <c r="X82" s="368">
        <f>X81/(X19+X20+X21)</f>
        <v>0.17983632981030503</v>
      </c>
      <c r="Y82" s="369">
        <f>Y81/(Y19+Y20+Y21)</f>
        <v>0.14319783597960486</v>
      </c>
      <c r="Z82" s="352"/>
      <c r="AA82" s="3011"/>
      <c r="AC82" s="368">
        <f>AC81/(AC19+AC20+AC21)</f>
        <v>0.18329810534371385</v>
      </c>
      <c r="AD82" s="369"/>
      <c r="AE82" s="370">
        <f>AE81/(AE19+AE20+AE21)</f>
        <v>0.13241820985041322</v>
      </c>
      <c r="AI82" s="368">
        <f>AI81/(AJ19+AI20+AI21)</f>
        <v>0.17528424082513791</v>
      </c>
      <c r="AJ82" s="369">
        <f>AJ81/(AJ19+AJ20+AJ21)</f>
        <v>0.14658427715292166</v>
      </c>
      <c r="AK82" s="352"/>
      <c r="AL82" s="3011"/>
      <c r="AN82" s="368">
        <f>AN81/(AN19+AN20+AN21)</f>
        <v>0.14078880881590017</v>
      </c>
      <c r="AO82" s="369"/>
      <c r="AP82" s="370">
        <f>AP81/(AP19+AP20+AP21)</f>
        <v>0.11348707312502257</v>
      </c>
      <c r="AT82" s="368">
        <f>AT81/(AU19+AT20+AT21)</f>
        <v>0.14962351169188606</v>
      </c>
      <c r="AU82" s="369">
        <f>AU81/(AU19+AU20+AU21)</f>
        <v>0.15933204772864792</v>
      </c>
      <c r="AV82" s="352"/>
      <c r="AW82" s="3011"/>
      <c r="AY82" s="368">
        <f>AY81/(AY19+AY20+AY21)</f>
        <v>0.13809181827046083</v>
      </c>
      <c r="AZ82" s="369"/>
      <c r="BA82" s="370">
        <f>BA81/(BA19+BA20+BA21)</f>
        <v>0.15539319794109407</v>
      </c>
      <c r="BE82" s="368">
        <f>BE81/(BE19+BE20+BE21)</f>
        <v>0.13798021805042288</v>
      </c>
      <c r="BF82" s="369">
        <f>BF81/(BF19+BF20+BF21)</f>
        <v>0.14762564166754591</v>
      </c>
      <c r="BG82" s="259" t="s">
        <v>2472</v>
      </c>
      <c r="BH82" s="3011"/>
      <c r="BJ82" s="368">
        <f>BJ81/(BJ19+BJ20+BJ21)</f>
        <v>0.12403224148190894</v>
      </c>
      <c r="BK82" s="8412" t="s">
        <v>2472</v>
      </c>
      <c r="BL82" s="370">
        <f>BL81/(BL19+BL20+BL21)</f>
        <v>0.10605626247770431</v>
      </c>
    </row>
    <row r="83" spans="1:64" s="3112" customFormat="1" x14ac:dyDescent="0.35">
      <c r="A83" s="9168"/>
      <c r="B83" s="3097"/>
      <c r="C83" s="3098"/>
      <c r="D83" s="3099" t="s">
        <v>573</v>
      </c>
      <c r="E83" s="3100"/>
      <c r="F83" s="3101"/>
      <c r="G83" s="3102"/>
      <c r="H83" s="3103"/>
      <c r="I83" s="3104"/>
      <c r="J83" s="3105"/>
      <c r="K83" s="3102"/>
      <c r="L83" s="3106"/>
      <c r="M83" s="3107"/>
      <c r="N83" s="3108"/>
      <c r="O83" s="3103">
        <f>O36+O39+O42+O45</f>
        <v>1863626892.6246667</v>
      </c>
      <c r="P83" s="3104">
        <f>P36+P39+P42+P45</f>
        <v>1429868922.017</v>
      </c>
      <c r="Q83" s="3109"/>
      <c r="R83" s="3110"/>
      <c r="S83" s="3108"/>
      <c r="T83" s="3106">
        <f>T36+T39+T42+T45</f>
        <v>1939434912.9166667</v>
      </c>
      <c r="U83" s="3109"/>
      <c r="V83" s="3111">
        <f>V36+V39+V42+V45</f>
        <v>1488373179.3152668</v>
      </c>
      <c r="W83" s="3108"/>
      <c r="X83" s="3103">
        <f>X36+X39+X42+X45</f>
        <v>1939434912.9166667</v>
      </c>
      <c r="Y83" s="3104">
        <f>Y36+Y39+Y42+Y45</f>
        <v>1488373179.3152668</v>
      </c>
      <c r="Z83" s="352"/>
      <c r="AA83" s="3110"/>
      <c r="AB83" s="3108"/>
      <c r="AC83" s="3106">
        <f>AC36+AC39+AC42+AC45</f>
        <v>2200304210.9166665</v>
      </c>
      <c r="AD83" s="3109"/>
      <c r="AE83" s="3111">
        <f>AE36+AE39+AE42+AE45</f>
        <v>1698702533.9169998</v>
      </c>
      <c r="AF83" s="3108"/>
      <c r="AH83" s="3108"/>
      <c r="AI83" s="3103">
        <f>AI36+AI39+AI42+AI45</f>
        <v>2557660000</v>
      </c>
      <c r="AJ83" s="3104">
        <f>AJ36+AJ39+AJ42+AJ45</f>
        <v>1916560000</v>
      </c>
      <c r="AK83" s="352"/>
      <c r="AL83" s="3110"/>
      <c r="AM83" s="3108"/>
      <c r="AN83" s="3106">
        <f>AN36+AN39+AN42+AN45</f>
        <v>2184882412</v>
      </c>
      <c r="AO83" s="3109"/>
      <c r="AP83" s="3111">
        <f>AP36+AP39+AP42+AP45</f>
        <v>1938165243.9672186</v>
      </c>
      <c r="AQ83" s="3108"/>
      <c r="AT83" s="3103">
        <f>AT36+AT39+AT42+AT45</f>
        <v>2181.2021220000001</v>
      </c>
      <c r="AU83" s="3104">
        <f>AU36+AU39+AU42+AU45</f>
        <v>2195.25</v>
      </c>
      <c r="AV83" s="352"/>
      <c r="AW83" s="3110"/>
      <c r="AX83" s="3108"/>
      <c r="AY83" s="3106">
        <f>AY36+AY39+AY42+AY45</f>
        <v>2505.2578090000002</v>
      </c>
      <c r="AZ83" s="3109"/>
      <c r="BA83" s="3111">
        <f>BA36+BA39+BA42+BA45</f>
        <v>2125.4133333333334</v>
      </c>
      <c r="BB83" s="3108"/>
      <c r="BE83" s="3103">
        <f>BE36+BE39+BE42</f>
        <v>2505.2578090000002</v>
      </c>
      <c r="BF83" s="3104">
        <f>BF36+BF39+BF42</f>
        <v>2151.6</v>
      </c>
      <c r="BG83" s="352"/>
      <c r="BH83" s="3110"/>
      <c r="BI83" s="3108"/>
      <c r="BJ83" s="3106">
        <f>BJ36+BJ39+BJ42</f>
        <v>2807.0665689999996</v>
      </c>
      <c r="BK83" s="8413"/>
      <c r="BL83" s="3111">
        <f>BL36+BL39+BL42</f>
        <v>1206.0800000000002</v>
      </c>
    </row>
    <row r="84" spans="1:64" s="3125" customFormat="1" x14ac:dyDescent="0.35">
      <c r="A84" s="9168"/>
      <c r="B84" s="3113"/>
      <c r="C84" s="3114"/>
      <c r="D84" s="3115" t="s">
        <v>575</v>
      </c>
      <c r="E84" s="3116"/>
      <c r="F84" s="3117"/>
      <c r="G84" s="3116"/>
      <c r="H84" s="3118"/>
      <c r="I84" s="3119"/>
      <c r="J84" s="3120"/>
      <c r="K84" s="3116"/>
      <c r="L84" s="3121"/>
      <c r="M84" s="3122"/>
      <c r="N84" s="3123"/>
      <c r="O84" s="3118">
        <f>(O81-O83)/(O20+O21)</f>
        <v>2.2003248771449681E-2</v>
      </c>
      <c r="P84" s="3119">
        <f>(P81-P83)/(P20+P21)</f>
        <v>1.9305943225664524E-2</v>
      </c>
      <c r="Q84" s="3123"/>
      <c r="R84" s="3120"/>
      <c r="S84" s="3123"/>
      <c r="T84" s="3121">
        <f>(T81-T83)/(T20+T21)</f>
        <v>8.5274947612149751E-2</v>
      </c>
      <c r="U84" s="3123"/>
      <c r="V84" s="3124">
        <f>(V81-V83)/(V20+V21)</f>
        <v>4.6845276461647753E-2</v>
      </c>
      <c r="W84" s="3123"/>
      <c r="X84" s="3118">
        <f>(X81-X83)/(X20+X21)</f>
        <v>8.5274947612149751E-2</v>
      </c>
      <c r="Y84" s="3119">
        <f>(Y81-Y83)/(Y20+Y21)</f>
        <v>3.98879469208221E-2</v>
      </c>
      <c r="Z84" s="352"/>
      <c r="AA84" s="3120"/>
      <c r="AB84" s="3123"/>
      <c r="AC84" s="3121">
        <f>(AC81-AC83)/(AC20+AC21)</f>
        <v>8.1902902894279331E-2</v>
      </c>
      <c r="AD84" s="3123"/>
      <c r="AE84" s="3124">
        <f>(AE81-AE83)/(AE20+AE21)</f>
        <v>5.103065930446081E-2</v>
      </c>
      <c r="AF84" s="3123"/>
      <c r="AH84" s="3123"/>
      <c r="AI84" s="3118">
        <f>(AI81-AI83)/(AI20+AI21)</f>
        <v>0</v>
      </c>
      <c r="AJ84" s="3119">
        <f>(AJ81-AJ83)/(AJ20+AJ21)</f>
        <v>6.0494902687673775E-2</v>
      </c>
      <c r="AK84" s="352"/>
      <c r="AL84" s="3120"/>
      <c r="AM84" s="3123"/>
      <c r="AN84" s="3121">
        <f>(AN81-AN83)/(AN20+AN21)</f>
        <v>4.9831960298277168E-2</v>
      </c>
      <c r="AO84" s="3123"/>
      <c r="AP84" s="3124">
        <f>(AP81-AP83)/(AP20+AP21)</f>
        <v>3.3351642981488037E-2</v>
      </c>
      <c r="AQ84" s="3123"/>
      <c r="AT84" s="3118">
        <f>(AT81-AT83)/(AT20+AT21)</f>
        <v>4.8975776184551699E-2</v>
      </c>
      <c r="AU84" s="3119">
        <f>(AU81-AU83)/(AU20+AU21)</f>
        <v>2.0607722452247245E-2</v>
      </c>
      <c r="AV84" s="352"/>
      <c r="AW84" s="3120"/>
      <c r="AX84" s="3123"/>
      <c r="AY84" s="3121">
        <f>(AY81-AY83)/(AY20+AY21)</f>
        <v>6.288074911898639E-2</v>
      </c>
      <c r="AZ84" s="3123"/>
      <c r="BA84" s="3124">
        <f>(BA81-BA83)/(BA20+BA21)</f>
        <v>4.5234631223337429E-2</v>
      </c>
      <c r="BB84" s="3123"/>
      <c r="BE84" s="3118">
        <f>(BE81-BE83)/(BE20+BE21)</f>
        <v>6.2755685337688299E-2</v>
      </c>
      <c r="BF84" s="3119">
        <f>(BF81-BF83)/(BF20+BF21)</f>
        <v>3.4354947853793311E-2</v>
      </c>
      <c r="BG84" s="352"/>
      <c r="BH84" s="3120"/>
      <c r="BI84" s="3123"/>
      <c r="BJ84" s="3121">
        <f>(BJ81-BJ83)/(BJ20+BJ21)</f>
        <v>3.5592544128465846E-2</v>
      </c>
      <c r="BK84" s="3123"/>
      <c r="BL84" s="3124">
        <f>(BL81-BL83)/(BL20+BL21)</f>
        <v>4.5642216124802356E-4</v>
      </c>
    </row>
    <row r="85" spans="1:64" s="3125" customFormat="1" x14ac:dyDescent="0.35">
      <c r="A85" s="9168"/>
      <c r="B85" s="3113"/>
      <c r="C85" s="3114"/>
      <c r="D85" s="3115" t="s">
        <v>576</v>
      </c>
      <c r="E85" s="3116"/>
      <c r="F85" s="3117"/>
      <c r="G85" s="3116"/>
      <c r="H85" s="3118"/>
      <c r="I85" s="3119"/>
      <c r="J85" s="3120"/>
      <c r="K85" s="3116"/>
      <c r="L85" s="3121"/>
      <c r="M85" s="3122"/>
      <c r="N85" s="3123"/>
      <c r="O85" s="3118">
        <f>O83/O19</f>
        <v>0.23443874114828431</v>
      </c>
      <c r="P85" s="3119">
        <f>P83/P19</f>
        <v>0.19763670861358529</v>
      </c>
      <c r="Q85" s="3123"/>
      <c r="R85" s="3120"/>
      <c r="S85" s="3123"/>
      <c r="T85" s="3121">
        <f>T83/T19</f>
        <v>0.23990447477565785</v>
      </c>
      <c r="U85" s="3123"/>
      <c r="V85" s="3124">
        <f>V83/V19</f>
        <v>0.20229071457016198</v>
      </c>
      <c r="W85" s="3123"/>
      <c r="X85" s="3118">
        <f>X83/X19</f>
        <v>0.23990447477565785</v>
      </c>
      <c r="Y85" s="3119">
        <f>Y83/Y19</f>
        <v>0.19236089375181156</v>
      </c>
      <c r="Z85" s="352"/>
      <c r="AA85" s="3120"/>
      <c r="AB85" s="3123"/>
      <c r="AC85" s="3121">
        <f>AC83/AC19</f>
        <v>0.2360964728391825</v>
      </c>
      <c r="AD85" s="3123"/>
      <c r="AE85" s="3124">
        <f>AE83/AE19</f>
        <v>0.17074652455571993</v>
      </c>
      <c r="AF85" s="3123"/>
      <c r="AH85" s="3123"/>
      <c r="AI85" s="3118">
        <f>AI83/AJ19</f>
        <v>0.25818519527977146</v>
      </c>
      <c r="AJ85" s="3119">
        <f>AJ83/AJ19</f>
        <v>0.19346880268112213</v>
      </c>
      <c r="AK85" s="352"/>
      <c r="AL85" s="3120"/>
      <c r="AM85" s="3123"/>
      <c r="AN85" s="3121">
        <f>AN83/AN19</f>
        <v>0.19895488076058807</v>
      </c>
      <c r="AO85" s="3123"/>
      <c r="AP85" s="3124">
        <f>AP83/AP19</f>
        <v>0.17724408589439813</v>
      </c>
      <c r="AQ85" s="3123"/>
      <c r="AT85" s="3118">
        <f>AT83/AU19</f>
        <v>0.22322469121399033</v>
      </c>
      <c r="AU85" s="3119">
        <f>AU83/AU19</f>
        <v>0.2246623540500628</v>
      </c>
      <c r="AV85" s="352"/>
      <c r="AW85" s="3120"/>
      <c r="AX85" s="3123"/>
      <c r="AY85" s="3121">
        <f>AY83/AY19</f>
        <v>0.18946757972323186</v>
      </c>
      <c r="AZ85" s="3123"/>
      <c r="BA85" s="3124">
        <f>BA83/BA19</f>
        <v>0.18071542020422116</v>
      </c>
      <c r="BB85" s="3123"/>
      <c r="BE85" s="3118">
        <f>BE83/BE19</f>
        <v>0.18946757972323186</v>
      </c>
      <c r="BF85" s="3119">
        <f>BF83/BF19</f>
        <v>0.17466695891478531</v>
      </c>
      <c r="BG85" s="352"/>
      <c r="BH85" s="3120"/>
      <c r="BI85" s="3123"/>
      <c r="BJ85" s="3121">
        <f>BJ83/BJ19</f>
        <v>0.18329959984563232</v>
      </c>
      <c r="BK85" s="3123"/>
      <c r="BL85" s="3124">
        <f>BL83/BL19</f>
        <v>0.13823012987727448</v>
      </c>
    </row>
    <row r="86" spans="1:64" s="3125" customFormat="1" x14ac:dyDescent="0.35">
      <c r="A86" s="9168"/>
      <c r="B86" s="3113"/>
      <c r="C86" s="3114"/>
      <c r="D86" s="3126"/>
      <c r="E86" s="3116"/>
      <c r="F86" s="3117"/>
      <c r="G86" s="3116"/>
      <c r="H86" s="3118"/>
      <c r="I86" s="3119"/>
      <c r="J86" s="3120"/>
      <c r="K86" s="3116"/>
      <c r="L86" s="3121"/>
      <c r="M86" s="3122"/>
      <c r="N86" s="3123"/>
      <c r="O86" s="3118"/>
      <c r="P86" s="3119"/>
      <c r="Q86" s="3123"/>
      <c r="R86" s="3120"/>
      <c r="S86" s="3123"/>
      <c r="T86" s="3121"/>
      <c r="U86" s="3123"/>
      <c r="V86" s="3124"/>
      <c r="W86" s="3123"/>
      <c r="X86" s="3118"/>
      <c r="Y86" s="3119"/>
      <c r="Z86" s="352"/>
      <c r="AA86" s="3120"/>
      <c r="AB86" s="3123"/>
      <c r="AC86" s="3121"/>
      <c r="AD86" s="3123"/>
      <c r="AE86" s="3124"/>
      <c r="AF86" s="3123"/>
      <c r="AH86" s="3123"/>
      <c r="AI86" s="3118"/>
      <c r="AJ86" s="3119"/>
      <c r="AK86" s="352"/>
      <c r="AL86" s="3120"/>
      <c r="AM86" s="3123"/>
      <c r="AN86" s="3121"/>
      <c r="AO86" s="3123"/>
      <c r="AP86" s="3124"/>
      <c r="AQ86" s="3123"/>
      <c r="AT86" s="3118"/>
      <c r="AU86" s="3119"/>
      <c r="AV86" s="352"/>
      <c r="AW86" s="3120"/>
      <c r="AX86" s="3123"/>
      <c r="AY86" s="3121"/>
      <c r="AZ86" s="3123"/>
      <c r="BA86" s="3124"/>
      <c r="BB86" s="3123"/>
      <c r="BE86" s="3118"/>
      <c r="BF86" s="3119"/>
      <c r="BG86" s="352"/>
      <c r="BH86" s="3120"/>
      <c r="BI86" s="3123"/>
      <c r="BJ86" s="3121"/>
      <c r="BK86" s="3123"/>
      <c r="BL86" s="3124"/>
    </row>
    <row r="87" spans="1:64" s="3125" customFormat="1" x14ac:dyDescent="0.35">
      <c r="A87" s="9168"/>
      <c r="B87" s="3113"/>
      <c r="C87" s="3114"/>
      <c r="D87" s="3126" t="s">
        <v>577</v>
      </c>
      <c r="E87" s="3116"/>
      <c r="F87" s="3117"/>
      <c r="G87" s="3116"/>
      <c r="H87" s="3118">
        <f>H81/H12</f>
        <v>0.17863550982429791</v>
      </c>
      <c r="I87" s="3119"/>
      <c r="J87" s="3120"/>
      <c r="K87" s="3116"/>
      <c r="L87" s="3118">
        <f>L81/L12</f>
        <v>0.20459400905267053</v>
      </c>
      <c r="M87" s="3122"/>
      <c r="N87" s="3123"/>
      <c r="O87" s="3118">
        <f>O81/O12</f>
        <v>0.21047302541893806</v>
      </c>
      <c r="P87" s="3119"/>
      <c r="Q87" s="3123"/>
      <c r="R87" s="3120"/>
      <c r="S87" s="3123"/>
      <c r="T87" s="3118">
        <f>T81/T12</f>
        <v>0.20594139138867809</v>
      </c>
      <c r="U87" s="3123"/>
      <c r="V87" s="3124"/>
      <c r="W87" s="3123"/>
      <c r="X87" s="3118">
        <f>X81/X12</f>
        <v>0.20594139138867809</v>
      </c>
      <c r="Y87" s="3119">
        <f>Y81/Y12</f>
        <v>0.14355359388315847</v>
      </c>
      <c r="Z87" s="352"/>
      <c r="AA87" s="3120"/>
      <c r="AB87" s="3123"/>
      <c r="AC87" s="3118">
        <f>AC81/AC12</f>
        <v>0.20129409108360788</v>
      </c>
      <c r="AD87" s="3123"/>
      <c r="AE87" s="3124">
        <f>AE81/AE12</f>
        <v>0.14596382061111557</v>
      </c>
      <c r="AF87" s="3123"/>
      <c r="AH87" s="3123"/>
      <c r="AI87" s="3118">
        <f>AI81/AI12</f>
        <v>0.18960517146796743</v>
      </c>
      <c r="AJ87" s="3119">
        <f>AJ81/AJ12</f>
        <v>0.1738441291090656</v>
      </c>
      <c r="AK87" s="352"/>
      <c r="AL87" s="3120"/>
      <c r="AM87" s="3123"/>
      <c r="AN87" s="3118">
        <f>AN81/AN12</f>
        <v>0.16589120810110966</v>
      </c>
      <c r="AO87" s="3123"/>
      <c r="AP87" s="3124">
        <f>AP81/AP12</f>
        <v>0.15247146305300804</v>
      </c>
      <c r="AQ87" s="3123"/>
      <c r="AT87" s="3118">
        <f>AT81/AT12</f>
        <v>0.16564944745559945</v>
      </c>
      <c r="AU87" s="3119">
        <f>AU81/AU12</f>
        <v>0.16418227180178369</v>
      </c>
      <c r="AV87" s="352"/>
      <c r="AW87" s="3120"/>
      <c r="AX87" s="3123"/>
      <c r="AY87" s="3118">
        <f>AY81/AY12</f>
        <v>0.17558179650243014</v>
      </c>
      <c r="AZ87" s="3123"/>
      <c r="BA87" s="3124">
        <f>BA81/BA12</f>
        <v>0.12917072453085218</v>
      </c>
      <c r="BB87" s="3123"/>
      <c r="BE87" s="3118">
        <f>BE81/BE12</f>
        <v>0.17127912410060916</v>
      </c>
      <c r="BF87" s="3119">
        <f>BF81/BF12</f>
        <v>0.13449099365346609</v>
      </c>
      <c r="BG87" s="352"/>
      <c r="BH87" s="3120"/>
      <c r="BI87" s="3123"/>
      <c r="BJ87" s="3118">
        <f>BJ81/BJ12</f>
        <v>0.16058580152671753</v>
      </c>
      <c r="BK87" s="3123"/>
      <c r="BL87" s="3124">
        <f>BL81/BL12</f>
        <v>7.7280094360798621E-2</v>
      </c>
    </row>
    <row r="88" spans="1:64" s="3112" customFormat="1" x14ac:dyDescent="0.35">
      <c r="A88" s="9168"/>
      <c r="B88" s="3127"/>
      <c r="C88" s="3128"/>
      <c r="D88" s="3129" t="s">
        <v>578</v>
      </c>
      <c r="E88" s="3130"/>
      <c r="F88" s="3131"/>
      <c r="G88" s="3130"/>
      <c r="H88" s="3132">
        <f>H81-SUM(H71:H74)</f>
        <v>1470155727.8019998</v>
      </c>
      <c r="I88" s="3133"/>
      <c r="J88" s="3110"/>
      <c r="K88" s="3130"/>
      <c r="L88" s="3132">
        <f>L81-SUM(L71:L74)</f>
        <v>1896212042.1406667</v>
      </c>
      <c r="M88" s="3134"/>
      <c r="N88" s="3108"/>
      <c r="O88" s="3132">
        <f>O81-SUM(O71:O74)</f>
        <v>1951694042.1406665</v>
      </c>
      <c r="P88" s="3133"/>
      <c r="Q88" s="3108"/>
      <c r="R88" s="3110"/>
      <c r="S88" s="3108"/>
      <c r="T88" s="3132">
        <f>T81-SUM(T71:T74)</f>
        <v>2059122912.9166665</v>
      </c>
      <c r="U88" s="3108"/>
      <c r="V88" s="3135"/>
      <c r="W88" s="3108"/>
      <c r="X88" s="3132">
        <f>X81-SUM(X71:X74)</f>
        <v>2059122912.9166665</v>
      </c>
      <c r="Y88" s="3133" t="e">
        <f>Y81-SUM(Y71:Y74)</f>
        <v>#DIV/0!</v>
      </c>
      <c r="Z88" s="352"/>
      <c r="AA88" s="3110"/>
      <c r="AB88" s="3108"/>
      <c r="AC88" s="3132">
        <f>AC81-SUM(AC71:AC74)</f>
        <v>2368089610.9166665</v>
      </c>
      <c r="AD88" s="3108"/>
      <c r="AE88" s="3135">
        <f>AE81-SUM(AE71:AE74)</f>
        <v>1760843855.2503333</v>
      </c>
      <c r="AF88" s="3108"/>
      <c r="AH88" s="3108"/>
      <c r="AI88" s="3132">
        <f>AI81-SUM(AI71:AI74)</f>
        <v>2557660000</v>
      </c>
      <c r="AJ88" s="3133" t="e">
        <f>AJ81-SUM(AJ71:AJ74)</f>
        <v>#DIV/0!</v>
      </c>
      <c r="AK88" s="352"/>
      <c r="AL88" s="3110"/>
      <c r="AM88" s="3108"/>
      <c r="AN88" s="3132">
        <f>AN81-SUM(AN71:AN74)</f>
        <v>2534840290</v>
      </c>
      <c r="AO88" s="3108"/>
      <c r="AP88" s="3135">
        <f>AP81-SUM(AP71:AP74)</f>
        <v>2228326665.2024517</v>
      </c>
      <c r="AQ88" s="3108"/>
      <c r="AT88" s="3132">
        <f>AT81-SUM(AT71:AT74)</f>
        <v>2531.16</v>
      </c>
      <c r="AU88" s="3133">
        <f>AU81-SUM(AU71:AU74)</f>
        <v>2290.08</v>
      </c>
      <c r="AV88" s="352"/>
      <c r="AW88" s="3110"/>
      <c r="AX88" s="3108"/>
      <c r="AY88" s="3132">
        <f>AY81-SUM(AY71:AY74)</f>
        <v>3073.2099400000002</v>
      </c>
      <c r="AZ88" s="3108"/>
      <c r="BA88" s="3135">
        <f>BA81-SUM(BA71:BA74)</f>
        <v>2247.7066666666669</v>
      </c>
      <c r="BB88" s="3108"/>
      <c r="BE88" s="3132">
        <f>BE81-SUM(BE71:BE74)</f>
        <v>2840.1349400000004</v>
      </c>
      <c r="BF88" s="3133">
        <f>BF81-SUM(BF71:BF74)</f>
        <v>2198.6299999999997</v>
      </c>
      <c r="BG88" s="352"/>
      <c r="BH88" s="3110"/>
      <c r="BI88" s="3108"/>
      <c r="BJ88" s="3132">
        <f>BJ81-SUM(BJ71:BJ74)</f>
        <v>3057.3235919999997</v>
      </c>
      <c r="BK88" s="3108"/>
      <c r="BL88" s="3135">
        <f>BL81-SUM(BL71:BL74)</f>
        <v>1206.0800000000002</v>
      </c>
    </row>
    <row r="89" spans="1:64" s="3125" customFormat="1" x14ac:dyDescent="0.35">
      <c r="A89" s="9168"/>
      <c r="B89" s="3113"/>
      <c r="C89" s="3114"/>
      <c r="D89" s="3126" t="s">
        <v>579</v>
      </c>
      <c r="E89" s="3116"/>
      <c r="F89" s="3117"/>
      <c r="G89" s="3116"/>
      <c r="H89" s="3118">
        <f>H88/H12</f>
        <v>0.16865949690632781</v>
      </c>
      <c r="I89" s="3119"/>
      <c r="J89" s="3120"/>
      <c r="K89" s="3116"/>
      <c r="L89" s="3118">
        <f>L88/L12</f>
        <v>0.19877789004776242</v>
      </c>
      <c r="M89" s="3122"/>
      <c r="N89" s="3123"/>
      <c r="O89" s="3118">
        <f>O88/O12</f>
        <v>0.2045940090526705</v>
      </c>
      <c r="P89" s="3119"/>
      <c r="Q89" s="3123"/>
      <c r="R89" s="3120"/>
      <c r="S89" s="3123"/>
      <c r="T89" s="3118">
        <f>T88/T12</f>
        <v>0.17837459754427323</v>
      </c>
      <c r="U89" s="3123"/>
      <c r="V89" s="3124"/>
      <c r="W89" s="3123"/>
      <c r="X89" s="3118">
        <f>X88/X12</f>
        <v>0.17837459754427323</v>
      </c>
      <c r="Y89" s="3119" t="e">
        <f>Y88/Y12</f>
        <v>#DIV/0!</v>
      </c>
      <c r="Z89" s="352"/>
      <c r="AA89" s="3120"/>
      <c r="AB89" s="3123"/>
      <c r="AC89" s="3118">
        <f>AC88/AC12</f>
        <v>0.18349705367281663</v>
      </c>
      <c r="AD89" s="3123"/>
      <c r="AE89" s="3124">
        <f>AE88/AE12</f>
        <v>0.13263531208597379</v>
      </c>
      <c r="AF89" s="3123"/>
      <c r="AH89" s="3123"/>
      <c r="AI89" s="3118">
        <f>AI88/AI12</f>
        <v>0.18960517146796743</v>
      </c>
      <c r="AJ89" s="3119" t="e">
        <f>AJ88/AJ12</f>
        <v>#DIV/0!</v>
      </c>
      <c r="AK89" s="352"/>
      <c r="AL89" s="3120"/>
      <c r="AM89" s="3123"/>
      <c r="AN89" s="3118">
        <f>AN88/AN12</f>
        <v>0.16589120810110966</v>
      </c>
      <c r="AO89" s="3123"/>
      <c r="AP89" s="3124">
        <f>AP88/AP12</f>
        <v>0.15247146305300804</v>
      </c>
      <c r="AQ89" s="3123"/>
      <c r="AT89" s="3118">
        <f>AT88/AT12</f>
        <v>0.16564944745559945</v>
      </c>
      <c r="AU89" s="3119">
        <f>AU88/AU12</f>
        <v>0.16418227180178369</v>
      </c>
      <c r="AV89" s="352"/>
      <c r="AW89" s="3120"/>
      <c r="AX89" s="3123"/>
      <c r="AY89" s="3118">
        <f>AY88/AY12</f>
        <v>0.17558179650243014</v>
      </c>
      <c r="AZ89" s="3123"/>
      <c r="BA89" s="3124">
        <f>BA88/BA12</f>
        <v>0.12917072453085218</v>
      </c>
      <c r="BB89" s="3123"/>
      <c r="BE89" s="3118">
        <f>BE88/BE12</f>
        <v>0.15828916160889944</v>
      </c>
      <c r="BF89" s="3119">
        <f>BF88/BF12</f>
        <v>0.13126697832148207</v>
      </c>
      <c r="BG89" s="352"/>
      <c r="BH89" s="3120"/>
      <c r="BI89" s="3123"/>
      <c r="BJ89" s="3118">
        <f>BJ88/BJ12</f>
        <v>0.15476358110433919</v>
      </c>
      <c r="BK89" s="3123"/>
      <c r="BL89" s="3124">
        <f>BL88/BL12</f>
        <v>7.7202427639793708E-2</v>
      </c>
    </row>
    <row r="90" spans="1:64" s="3125" customFormat="1" x14ac:dyDescent="0.35">
      <c r="A90" s="9168"/>
      <c r="B90" s="3113"/>
      <c r="C90" s="3114"/>
      <c r="D90" s="3115"/>
      <c r="E90" s="3116"/>
      <c r="F90" s="3117"/>
      <c r="G90" s="3116"/>
      <c r="H90" s="3118"/>
      <c r="I90" s="3119"/>
      <c r="J90" s="3120"/>
      <c r="K90" s="3116"/>
      <c r="L90" s="3121"/>
      <c r="M90" s="3122"/>
      <c r="N90" s="3123"/>
      <c r="O90" s="3118"/>
      <c r="P90" s="3119"/>
      <c r="Q90" s="3123"/>
      <c r="R90" s="3120"/>
      <c r="S90" s="3123"/>
      <c r="T90" s="3121"/>
      <c r="U90" s="3123"/>
      <c r="V90" s="3124"/>
      <c r="W90" s="3123"/>
      <c r="X90" s="3118"/>
      <c r="Y90" s="3119"/>
      <c r="Z90" s="352"/>
      <c r="AA90" s="3120"/>
      <c r="AB90" s="3123"/>
      <c r="AC90" s="3121"/>
      <c r="AD90" s="3123"/>
      <c r="AE90" s="3124"/>
      <c r="AF90" s="3123"/>
      <c r="AH90" s="3123"/>
      <c r="AI90" s="3118"/>
      <c r="AJ90" s="3119"/>
      <c r="AK90" s="352"/>
      <c r="AL90" s="3120"/>
      <c r="AM90" s="3123"/>
      <c r="AN90" s="3121"/>
      <c r="AO90" s="3123"/>
      <c r="AP90" s="3124"/>
      <c r="AQ90" s="3123"/>
      <c r="AT90" s="3118"/>
      <c r="AU90" s="3119"/>
      <c r="AV90" s="352"/>
      <c r="AW90" s="3120"/>
      <c r="AX90" s="3123"/>
      <c r="AY90" s="3121"/>
      <c r="AZ90" s="3123"/>
      <c r="BA90" s="3124"/>
      <c r="BB90" s="3123"/>
      <c r="BE90" s="3118"/>
      <c r="BF90" s="3119"/>
      <c r="BG90" s="352"/>
      <c r="BH90" s="3120"/>
      <c r="BI90" s="3123"/>
      <c r="BJ90" s="3121"/>
      <c r="BK90" s="3123"/>
      <c r="BL90" s="3124"/>
    </row>
    <row r="91" spans="1:64" s="3125" customFormat="1" ht="13" x14ac:dyDescent="0.3">
      <c r="A91" s="9168"/>
      <c r="B91" s="3113"/>
      <c r="C91" s="3114"/>
      <c r="D91" s="3115" t="s">
        <v>580</v>
      </c>
      <c r="E91" s="3136"/>
      <c r="F91" s="3137"/>
      <c r="G91" s="3138"/>
      <c r="H91" s="3139"/>
      <c r="I91" s="3140"/>
      <c r="J91" s="3141"/>
      <c r="K91" s="3138"/>
      <c r="L91" s="3142"/>
      <c r="M91" s="3143"/>
      <c r="N91" s="3123"/>
      <c r="O91" s="3139"/>
      <c r="P91" s="3140"/>
      <c r="Q91" s="3144"/>
      <c r="R91" s="3120"/>
      <c r="S91" s="3123"/>
      <c r="T91" s="3142"/>
      <c r="U91" s="3144"/>
      <c r="V91" s="3145"/>
      <c r="W91" s="3123"/>
      <c r="X91" s="3139"/>
      <c r="Y91" s="3140"/>
      <c r="Z91" s="3144"/>
      <c r="AA91" s="3120"/>
      <c r="AB91" s="3123"/>
      <c r="AC91" s="3142"/>
      <c r="AD91" s="3144"/>
      <c r="AE91" s="3145"/>
      <c r="AF91" s="3123"/>
      <c r="AH91" s="3123"/>
      <c r="AI91" s="3139"/>
      <c r="AJ91" s="3140"/>
      <c r="AK91" s="3144"/>
      <c r="AL91" s="3120"/>
      <c r="AM91" s="3123"/>
      <c r="AN91" s="3142"/>
      <c r="AO91" s="3144"/>
      <c r="AP91" s="3145"/>
      <c r="AQ91" s="3123"/>
      <c r="AT91" s="3139"/>
      <c r="AU91" s="3140"/>
      <c r="AV91" s="3144"/>
      <c r="AW91" s="3120"/>
      <c r="AX91" s="3123"/>
      <c r="AY91" s="3142"/>
      <c r="AZ91" s="3144"/>
      <c r="BA91" s="3145"/>
      <c r="BB91" s="3123"/>
      <c r="BE91" s="3139"/>
      <c r="BF91" s="3140"/>
      <c r="BG91" s="3144"/>
      <c r="BH91" s="3120"/>
      <c r="BI91" s="3123"/>
      <c r="BJ91" s="3142"/>
      <c r="BK91" s="3144"/>
      <c r="BL91" s="3145"/>
    </row>
    <row r="92" spans="1:64" s="3125" customFormat="1" ht="13" x14ac:dyDescent="0.3">
      <c r="A92" s="9169"/>
      <c r="B92" s="3146"/>
      <c r="C92" s="3147"/>
      <c r="D92" s="3148" t="s">
        <v>581</v>
      </c>
      <c r="E92" s="3149"/>
      <c r="F92" s="3150"/>
      <c r="G92" s="3151"/>
      <c r="H92" s="3152"/>
      <c r="I92" s="3153"/>
      <c r="J92" s="3154"/>
      <c r="K92" s="3151"/>
      <c r="L92" s="3155"/>
      <c r="M92" s="3156"/>
      <c r="N92" s="3123"/>
      <c r="O92" s="3152"/>
      <c r="P92" s="3153"/>
      <c r="Q92" s="3157"/>
      <c r="R92" s="3158"/>
      <c r="S92" s="3123"/>
      <c r="T92" s="3155"/>
      <c r="U92" s="3157"/>
      <c r="V92" s="3159"/>
      <c r="W92" s="3123"/>
      <c r="X92" s="3152"/>
      <c r="Y92" s="3153"/>
      <c r="Z92" s="3157"/>
      <c r="AA92" s="3158"/>
      <c r="AB92" s="3123"/>
      <c r="AC92" s="3155"/>
      <c r="AD92" s="3157"/>
      <c r="AE92" s="3159"/>
      <c r="AF92" s="3123"/>
      <c r="AH92" s="3123"/>
      <c r="AI92" s="3152"/>
      <c r="AJ92" s="3153"/>
      <c r="AK92" s="3157"/>
      <c r="AL92" s="3158"/>
      <c r="AM92" s="3123"/>
      <c r="AN92" s="3155"/>
      <c r="AO92" s="3157"/>
      <c r="AP92" s="3159"/>
      <c r="AQ92" s="3123"/>
      <c r="AT92" s="3152"/>
      <c r="AU92" s="3153"/>
      <c r="AV92" s="3157"/>
      <c r="AW92" s="3158"/>
      <c r="AX92" s="3123"/>
      <c r="AY92" s="3155"/>
      <c r="AZ92" s="3157"/>
      <c r="BA92" s="3159"/>
      <c r="BB92" s="3123"/>
      <c r="BE92" s="3152"/>
      <c r="BF92" s="3153"/>
      <c r="BG92" s="3157"/>
      <c r="BH92" s="3158"/>
      <c r="BI92" s="3123"/>
      <c r="BJ92" s="3155"/>
      <c r="BK92" s="3157"/>
      <c r="BL92" s="3159"/>
    </row>
    <row r="93" spans="1:64" s="462" customFormat="1" ht="12" x14ac:dyDescent="0.3">
      <c r="C93" s="456"/>
      <c r="D93" s="5"/>
      <c r="E93" s="456"/>
      <c r="F93" s="456"/>
      <c r="G93" s="456"/>
      <c r="H93" s="459"/>
      <c r="I93" s="459"/>
      <c r="J93" s="7"/>
      <c r="K93" s="456"/>
      <c r="N93" s="456"/>
      <c r="S93" s="456"/>
      <c r="T93" s="456"/>
      <c r="U93" s="456"/>
      <c r="V93" s="456"/>
      <c r="W93" s="456"/>
      <c r="AB93" s="456"/>
      <c r="AC93" s="456"/>
      <c r="AD93" s="456"/>
      <c r="AE93" s="456"/>
      <c r="AF93" s="456"/>
      <c r="AH93" s="456"/>
      <c r="AM93" s="456"/>
      <c r="AN93" s="456"/>
      <c r="AO93" s="456"/>
      <c r="AP93" s="456"/>
      <c r="AQ93" s="456"/>
      <c r="AX93" s="456"/>
      <c r="AY93" s="456"/>
      <c r="AZ93" s="456"/>
      <c r="BA93" s="456"/>
      <c r="BB93" s="456"/>
      <c r="BI93" s="456"/>
      <c r="BJ93" s="456"/>
      <c r="BK93" s="456"/>
      <c r="BL93" s="456"/>
    </row>
    <row r="94" spans="1:64" s="462" customFormat="1" ht="12" x14ac:dyDescent="0.3">
      <c r="A94" s="576" t="s">
        <v>582</v>
      </c>
      <c r="B94" s="576"/>
      <c r="C94" s="456"/>
      <c r="D94" s="5"/>
      <c r="E94" s="456"/>
      <c r="F94" s="456"/>
      <c r="G94" s="456"/>
      <c r="H94" s="459"/>
      <c r="I94" s="459"/>
      <c r="J94" s="7"/>
      <c r="K94" s="456"/>
      <c r="N94" s="456"/>
      <c r="S94" s="456"/>
      <c r="T94" s="456"/>
      <c r="U94" s="456"/>
      <c r="V94" s="456"/>
      <c r="W94" s="456"/>
      <c r="AB94" s="456"/>
      <c r="AC94" s="456"/>
      <c r="AD94" s="456"/>
      <c r="AE94" s="456"/>
      <c r="AF94" s="456"/>
      <c r="AH94" s="456"/>
      <c r="AM94" s="456"/>
      <c r="AN94" s="456"/>
      <c r="AO94" s="456"/>
      <c r="AP94" s="456"/>
      <c r="AQ94" s="456"/>
      <c r="AX94" s="456"/>
      <c r="AY94" s="456"/>
      <c r="AZ94" s="456"/>
      <c r="BA94" s="456"/>
      <c r="BB94" s="456"/>
      <c r="BI94" s="456"/>
      <c r="BJ94" s="456"/>
      <c r="BK94" s="456"/>
      <c r="BL94" s="456"/>
    </row>
    <row r="95" spans="1:64" s="462" customFormat="1" ht="12" customHeight="1" x14ac:dyDescent="0.3">
      <c r="A95" s="463">
        <v>1</v>
      </c>
      <c r="B95" s="464">
        <f>AG17</f>
        <v>0</v>
      </c>
      <c r="D95" s="465"/>
      <c r="E95" s="466"/>
      <c r="F95" s="466"/>
      <c r="G95" s="466"/>
      <c r="H95" s="466"/>
      <c r="I95" s="466"/>
      <c r="J95" s="467"/>
      <c r="K95" s="466"/>
      <c r="L95" s="466"/>
      <c r="M95" s="466"/>
      <c r="N95" s="456"/>
      <c r="O95" s="466"/>
      <c r="P95" s="466"/>
      <c r="Q95" s="466"/>
      <c r="R95" s="466"/>
      <c r="S95" s="456"/>
      <c r="T95" s="456"/>
      <c r="U95" s="456"/>
      <c r="V95" s="456"/>
      <c r="W95" s="456"/>
      <c r="X95" s="466"/>
      <c r="Y95" s="466"/>
      <c r="Z95" s="466"/>
      <c r="AA95" s="466"/>
      <c r="AB95" s="456"/>
      <c r="AC95" s="456"/>
      <c r="AD95" s="456"/>
      <c r="AE95" s="456"/>
      <c r="AF95" s="456"/>
      <c r="AG95" s="577"/>
      <c r="AH95" s="456"/>
      <c r="AI95" s="466"/>
      <c r="AJ95" s="466"/>
      <c r="AK95" s="466"/>
      <c r="AL95" s="466"/>
      <c r="AM95" s="456"/>
      <c r="AN95" s="456"/>
      <c r="AO95" s="456"/>
      <c r="AP95" s="456"/>
      <c r="AQ95" s="456"/>
      <c r="AR95" s="577"/>
      <c r="AT95" s="466"/>
      <c r="AU95" s="466"/>
      <c r="AV95" s="466"/>
      <c r="AW95" s="466"/>
      <c r="AX95" s="456"/>
      <c r="AY95" s="456"/>
      <c r="AZ95" s="456"/>
      <c r="BA95" s="456"/>
      <c r="BB95" s="456"/>
      <c r="BC95" s="577"/>
      <c r="BE95" s="466"/>
      <c r="BF95" s="466"/>
      <c r="BG95" s="466"/>
      <c r="BH95" s="466"/>
      <c r="BI95" s="456"/>
      <c r="BJ95" s="456"/>
      <c r="BK95" s="456"/>
      <c r="BL95" s="456"/>
    </row>
    <row r="96" spans="1:64" s="462" customFormat="1" ht="12" x14ac:dyDescent="0.3">
      <c r="A96" s="468">
        <v>2</v>
      </c>
      <c r="B96" s="469">
        <f>AG35</f>
        <v>0</v>
      </c>
      <c r="D96" s="5"/>
      <c r="E96" s="456"/>
      <c r="F96" s="456"/>
      <c r="G96" s="456"/>
      <c r="H96" s="459"/>
      <c r="I96" s="459"/>
      <c r="J96" s="7"/>
      <c r="K96" s="456"/>
      <c r="N96" s="456"/>
      <c r="S96" s="456"/>
      <c r="T96" s="456"/>
      <c r="U96" s="456"/>
      <c r="V96" s="456"/>
      <c r="W96" s="456"/>
      <c r="AB96" s="456"/>
      <c r="AC96" s="456"/>
      <c r="AD96" s="456"/>
      <c r="AE96" s="456"/>
      <c r="AF96" s="456"/>
      <c r="AG96" s="577"/>
      <c r="AH96" s="456"/>
      <c r="AM96" s="456"/>
      <c r="AN96" s="456"/>
      <c r="AO96" s="456"/>
      <c r="AP96" s="456"/>
      <c r="AQ96" s="456"/>
      <c r="AR96" s="577"/>
      <c r="AX96" s="456"/>
      <c r="AY96" s="456"/>
      <c r="AZ96" s="456"/>
      <c r="BA96" s="456"/>
      <c r="BB96" s="456"/>
      <c r="BC96" s="577"/>
      <c r="BI96" s="456"/>
      <c r="BJ96" s="456"/>
      <c r="BK96" s="456"/>
      <c r="BL96" s="456"/>
    </row>
    <row r="97" spans="1:64" s="462" customFormat="1" ht="12" x14ac:dyDescent="0.3">
      <c r="A97" s="468"/>
      <c r="B97" s="469"/>
      <c r="D97" s="5"/>
      <c r="E97" s="456"/>
      <c r="F97" s="456"/>
      <c r="G97" s="456"/>
      <c r="H97" s="459"/>
      <c r="I97" s="459"/>
      <c r="J97" s="7"/>
      <c r="K97" s="456"/>
      <c r="N97" s="456"/>
      <c r="S97" s="456"/>
      <c r="T97" s="456"/>
      <c r="U97" s="456"/>
      <c r="V97" s="456"/>
      <c r="W97" s="456"/>
      <c r="AB97" s="456"/>
      <c r="AC97" s="456"/>
      <c r="AD97" s="456"/>
      <c r="AE97" s="456"/>
      <c r="AF97" s="456"/>
      <c r="AG97" s="577"/>
      <c r="AH97" s="456"/>
      <c r="AM97" s="456"/>
      <c r="AN97" s="456"/>
      <c r="AO97" s="456"/>
      <c r="AP97" s="456"/>
      <c r="AQ97" s="456"/>
      <c r="AR97" s="577"/>
      <c r="AX97" s="456"/>
      <c r="AY97" s="456"/>
      <c r="AZ97" s="456"/>
      <c r="BA97" s="456"/>
      <c r="BB97" s="456"/>
      <c r="BC97" s="577"/>
      <c r="BI97" s="456"/>
      <c r="BJ97" s="456"/>
      <c r="BK97" s="456"/>
      <c r="BL97" s="456"/>
    </row>
    <row r="98" spans="1:64" s="462" customFormat="1" ht="12" x14ac:dyDescent="0.3">
      <c r="A98" s="468"/>
      <c r="B98" s="469"/>
      <c r="D98" s="5"/>
      <c r="E98" s="456"/>
      <c r="F98" s="456"/>
      <c r="G98" s="456"/>
      <c r="H98" s="459"/>
      <c r="I98" s="459"/>
      <c r="J98" s="7"/>
      <c r="K98" s="456"/>
      <c r="N98" s="456"/>
      <c r="S98" s="456"/>
      <c r="T98" s="456"/>
      <c r="U98" s="456"/>
      <c r="V98" s="456"/>
      <c r="W98" s="456"/>
      <c r="AB98" s="456"/>
      <c r="AC98" s="456"/>
      <c r="AD98" s="456"/>
      <c r="AE98" s="456"/>
      <c r="AF98" s="456"/>
      <c r="AG98" s="577"/>
      <c r="AH98" s="456"/>
      <c r="AM98" s="456"/>
      <c r="AN98" s="456"/>
      <c r="AO98" s="456"/>
      <c r="AP98" s="456"/>
      <c r="AQ98" s="456"/>
      <c r="AR98" s="577"/>
      <c r="AX98" s="456"/>
      <c r="AY98" s="456"/>
      <c r="AZ98" s="456"/>
      <c r="BA98" s="456"/>
      <c r="BB98" s="456"/>
      <c r="BC98" s="577"/>
      <c r="BI98" s="456"/>
      <c r="BJ98" s="456"/>
      <c r="BK98" s="456"/>
      <c r="BL98" s="456"/>
    </row>
    <row r="99" spans="1:64" s="462" customFormat="1" ht="12" x14ac:dyDescent="0.3">
      <c r="A99" s="468"/>
      <c r="B99" s="469"/>
      <c r="D99" s="5"/>
      <c r="E99" s="456"/>
      <c r="F99" s="456"/>
      <c r="G99" s="456"/>
      <c r="H99" s="459"/>
      <c r="I99" s="459"/>
      <c r="J99" s="7"/>
      <c r="K99" s="456"/>
      <c r="N99" s="456"/>
      <c r="S99" s="456"/>
      <c r="T99" s="456"/>
      <c r="U99" s="456"/>
      <c r="V99" s="456"/>
      <c r="W99" s="456"/>
      <c r="AB99" s="456"/>
      <c r="AC99" s="456"/>
      <c r="AD99" s="456"/>
      <c r="AE99" s="456"/>
      <c r="AF99" s="456"/>
      <c r="AG99" s="577"/>
      <c r="AH99" s="456"/>
      <c r="AM99" s="456"/>
      <c r="AN99" s="456"/>
      <c r="AO99" s="456"/>
      <c r="AP99" s="456"/>
      <c r="AQ99" s="456"/>
      <c r="AR99" s="577"/>
      <c r="AX99" s="456"/>
      <c r="AY99" s="456"/>
      <c r="AZ99" s="456"/>
      <c r="BA99" s="456"/>
      <c r="BB99" s="456"/>
      <c r="BC99" s="577"/>
      <c r="BI99" s="456"/>
      <c r="BJ99" s="456"/>
      <c r="BK99" s="456"/>
      <c r="BL99" s="456"/>
    </row>
    <row r="100" spans="1:64" s="462" customFormat="1" ht="12" x14ac:dyDescent="0.3">
      <c r="A100" s="468"/>
      <c r="B100" s="469"/>
      <c r="D100" s="5"/>
      <c r="E100" s="456"/>
      <c r="F100" s="456"/>
      <c r="G100" s="456"/>
      <c r="H100" s="459"/>
      <c r="I100" s="459"/>
      <c r="J100" s="7"/>
      <c r="K100" s="456"/>
      <c r="N100" s="456"/>
      <c r="S100" s="456"/>
      <c r="T100" s="456"/>
      <c r="U100" s="456"/>
      <c r="V100" s="456"/>
      <c r="W100" s="456"/>
      <c r="AB100" s="456"/>
      <c r="AC100" s="456"/>
      <c r="AD100" s="456"/>
      <c r="AE100" s="456"/>
      <c r="AF100" s="456"/>
      <c r="AG100" s="577"/>
      <c r="AH100" s="456"/>
      <c r="AM100" s="456"/>
      <c r="AN100" s="456"/>
      <c r="AO100" s="456"/>
      <c r="AP100" s="456"/>
      <c r="AQ100" s="456"/>
      <c r="AR100" s="577"/>
      <c r="AX100" s="456"/>
      <c r="AY100" s="456"/>
      <c r="AZ100" s="456"/>
      <c r="BA100" s="456"/>
      <c r="BB100" s="456"/>
      <c r="BC100" s="577"/>
      <c r="BI100" s="456"/>
      <c r="BJ100" s="456"/>
      <c r="BK100" s="456"/>
      <c r="BL100" s="456"/>
    </row>
    <row r="101" spans="1:64" s="462" customFormat="1" ht="12" x14ac:dyDescent="0.3">
      <c r="A101" s="468"/>
      <c r="B101" s="469"/>
      <c r="D101" s="5"/>
      <c r="E101" s="456"/>
      <c r="F101" s="456"/>
      <c r="G101" s="456"/>
      <c r="H101" s="459"/>
      <c r="I101" s="459"/>
      <c r="J101" s="7"/>
      <c r="K101" s="456"/>
      <c r="N101" s="456"/>
      <c r="S101" s="456"/>
      <c r="T101" s="456"/>
      <c r="U101" s="456"/>
      <c r="V101" s="456"/>
      <c r="W101" s="456"/>
      <c r="AB101" s="456"/>
      <c r="AC101" s="456"/>
      <c r="AD101" s="456"/>
      <c r="AE101" s="456"/>
      <c r="AF101" s="456"/>
      <c r="AG101" s="577"/>
      <c r="AH101" s="456"/>
      <c r="AM101" s="456"/>
      <c r="AN101" s="456"/>
      <c r="AO101" s="456"/>
      <c r="AP101" s="456"/>
      <c r="AQ101" s="456"/>
      <c r="AR101" s="577"/>
      <c r="AX101" s="456"/>
      <c r="AY101" s="456"/>
      <c r="AZ101" s="456"/>
      <c r="BA101" s="456"/>
      <c r="BB101" s="456"/>
      <c r="BC101" s="577"/>
      <c r="BI101" s="456"/>
      <c r="BJ101" s="456"/>
      <c r="BK101" s="456"/>
      <c r="BL101" s="456"/>
    </row>
    <row r="102" spans="1:64" s="462" customFormat="1" ht="12" x14ac:dyDescent="0.3">
      <c r="A102" s="468"/>
      <c r="B102" s="469"/>
      <c r="D102" s="5"/>
      <c r="E102" s="456"/>
      <c r="F102" s="456"/>
      <c r="G102" s="456"/>
      <c r="H102" s="459"/>
      <c r="I102" s="459"/>
      <c r="J102" s="7"/>
      <c r="K102" s="456"/>
      <c r="N102" s="456"/>
      <c r="S102" s="456"/>
      <c r="T102" s="456"/>
      <c r="U102" s="456"/>
      <c r="V102" s="456"/>
      <c r="W102" s="456"/>
      <c r="AB102" s="456"/>
      <c r="AC102" s="456"/>
      <c r="AD102" s="456"/>
      <c r="AE102" s="456"/>
      <c r="AF102" s="456"/>
      <c r="AG102" s="577"/>
      <c r="AH102" s="456"/>
      <c r="AM102" s="456"/>
      <c r="AN102" s="456"/>
      <c r="AO102" s="456"/>
      <c r="AP102" s="456"/>
      <c r="AQ102" s="456"/>
      <c r="AR102" s="577"/>
      <c r="AX102" s="456"/>
      <c r="AY102" s="456"/>
      <c r="AZ102" s="456"/>
      <c r="BA102" s="456"/>
      <c r="BB102" s="456"/>
      <c r="BC102" s="577"/>
      <c r="BI102" s="456"/>
      <c r="BJ102" s="456"/>
      <c r="BK102" s="456"/>
      <c r="BL102" s="456"/>
    </row>
    <row r="103" spans="1:64" s="462" customFormat="1" ht="12" x14ac:dyDescent="0.3">
      <c r="A103" s="468"/>
      <c r="B103" s="469"/>
      <c r="D103" s="5"/>
      <c r="E103" s="456"/>
      <c r="F103" s="456"/>
      <c r="G103" s="456"/>
      <c r="H103" s="459"/>
      <c r="I103" s="459"/>
      <c r="J103" s="7"/>
      <c r="K103" s="456"/>
      <c r="N103" s="456"/>
      <c r="S103" s="456"/>
      <c r="T103" s="456"/>
      <c r="U103" s="456"/>
      <c r="V103" s="456"/>
      <c r="W103" s="456"/>
      <c r="AB103" s="456"/>
      <c r="AC103" s="456"/>
      <c r="AD103" s="456"/>
      <c r="AE103" s="456"/>
      <c r="AF103" s="456"/>
      <c r="AG103" s="577"/>
      <c r="AH103" s="456"/>
      <c r="AM103" s="456"/>
      <c r="AN103" s="456"/>
      <c r="AO103" s="456"/>
      <c r="AP103" s="456"/>
      <c r="AQ103" s="456"/>
      <c r="AR103" s="577"/>
      <c r="AX103" s="456"/>
      <c r="AY103" s="456"/>
      <c r="AZ103" s="456"/>
      <c r="BA103" s="456"/>
      <c r="BB103" s="456"/>
      <c r="BC103" s="577"/>
      <c r="BI103" s="456"/>
      <c r="BJ103" s="456"/>
      <c r="BK103" s="456"/>
      <c r="BL103" s="456"/>
    </row>
    <row r="104" spans="1:64" s="462" customFormat="1" ht="12" x14ac:dyDescent="0.3">
      <c r="A104" s="468"/>
      <c r="B104" s="469"/>
      <c r="D104" s="5"/>
      <c r="E104" s="456"/>
      <c r="F104" s="456"/>
      <c r="G104" s="456"/>
      <c r="H104" s="459"/>
      <c r="I104" s="459"/>
      <c r="J104" s="7"/>
      <c r="K104" s="456"/>
      <c r="N104" s="456"/>
      <c r="S104" s="456"/>
      <c r="T104" s="456"/>
      <c r="U104" s="456"/>
      <c r="V104" s="456"/>
      <c r="W104" s="456"/>
      <c r="AB104" s="456"/>
      <c r="AC104" s="456"/>
      <c r="AD104" s="456"/>
      <c r="AE104" s="456"/>
      <c r="AF104" s="456"/>
      <c r="AG104" s="577"/>
      <c r="AH104" s="456"/>
      <c r="AM104" s="456"/>
      <c r="AN104" s="456"/>
      <c r="AO104" s="456"/>
      <c r="AP104" s="456"/>
      <c r="AQ104" s="456"/>
      <c r="AR104" s="577"/>
      <c r="AX104" s="456"/>
      <c r="AY104" s="456"/>
      <c r="AZ104" s="456"/>
      <c r="BA104" s="456"/>
      <c r="BB104" s="456"/>
      <c r="BC104" s="577"/>
      <c r="BI104" s="456"/>
      <c r="BJ104" s="456"/>
      <c r="BK104" s="456"/>
      <c r="BL104" s="456"/>
    </row>
    <row r="105" spans="1:64" s="462" customFormat="1" ht="12" x14ac:dyDescent="0.3">
      <c r="A105" s="468"/>
      <c r="B105" s="469"/>
      <c r="D105" s="5"/>
      <c r="E105" s="456"/>
      <c r="F105" s="456"/>
      <c r="G105" s="456"/>
      <c r="H105" s="459"/>
      <c r="I105" s="459"/>
      <c r="J105" s="7"/>
      <c r="K105" s="456"/>
      <c r="N105" s="456"/>
      <c r="S105" s="456"/>
      <c r="T105" s="456"/>
      <c r="U105" s="456"/>
      <c r="V105" s="456"/>
      <c r="W105" s="456"/>
      <c r="AB105" s="456"/>
      <c r="AC105" s="456"/>
      <c r="AD105" s="456"/>
      <c r="AE105" s="456"/>
      <c r="AF105" s="456"/>
      <c r="AG105" s="577"/>
      <c r="AH105" s="456"/>
      <c r="AM105" s="456"/>
      <c r="AN105" s="456"/>
      <c r="AO105" s="456"/>
      <c r="AP105" s="456"/>
      <c r="AQ105" s="456"/>
      <c r="AR105" s="577"/>
      <c r="AX105" s="456"/>
      <c r="AY105" s="456"/>
      <c r="AZ105" s="456"/>
      <c r="BA105" s="456"/>
      <c r="BB105" s="456"/>
      <c r="BC105" s="577"/>
      <c r="BI105" s="456"/>
      <c r="BJ105" s="456"/>
      <c r="BK105" s="456"/>
      <c r="BL105" s="456"/>
    </row>
    <row r="106" spans="1:64" s="462" customFormat="1" ht="12" x14ac:dyDescent="0.3">
      <c r="A106" s="468"/>
      <c r="B106" s="469"/>
      <c r="D106" s="5"/>
      <c r="E106" s="456"/>
      <c r="F106" s="456"/>
      <c r="G106" s="456"/>
      <c r="H106" s="459"/>
      <c r="I106" s="459"/>
      <c r="J106" s="7"/>
      <c r="K106" s="456"/>
      <c r="N106" s="456"/>
      <c r="S106" s="456"/>
      <c r="T106" s="456"/>
      <c r="U106" s="456"/>
      <c r="V106" s="456"/>
      <c r="W106" s="456"/>
      <c r="AB106" s="456"/>
      <c r="AC106" s="456"/>
      <c r="AD106" s="456"/>
      <c r="AE106" s="456"/>
      <c r="AF106" s="456"/>
      <c r="AG106" s="577"/>
      <c r="AH106" s="456"/>
      <c r="AM106" s="456"/>
      <c r="AN106" s="456"/>
      <c r="AO106" s="456"/>
      <c r="AP106" s="456"/>
      <c r="AQ106" s="456"/>
      <c r="AR106" s="577"/>
      <c r="AX106" s="456"/>
      <c r="AY106" s="456"/>
      <c r="AZ106" s="456"/>
      <c r="BA106" s="456"/>
      <c r="BB106" s="456"/>
      <c r="BC106" s="577"/>
      <c r="BI106" s="456"/>
      <c r="BJ106" s="456"/>
      <c r="BK106" s="456"/>
      <c r="BL106" s="456"/>
    </row>
    <row r="107" spans="1:64" s="462" customFormat="1" ht="12" x14ac:dyDescent="0.3">
      <c r="A107" s="468"/>
      <c r="B107" s="469"/>
      <c r="D107" s="5"/>
      <c r="E107" s="456"/>
      <c r="F107" s="456"/>
      <c r="G107" s="456"/>
      <c r="H107" s="459"/>
      <c r="I107" s="459"/>
      <c r="J107" s="7"/>
      <c r="K107" s="456"/>
      <c r="N107" s="456"/>
      <c r="S107" s="456"/>
      <c r="T107" s="456"/>
      <c r="U107" s="456"/>
      <c r="V107" s="456"/>
      <c r="W107" s="456"/>
      <c r="AB107" s="456"/>
      <c r="AC107" s="456"/>
      <c r="AD107" s="456"/>
      <c r="AE107" s="456"/>
      <c r="AF107" s="456"/>
      <c r="AG107" s="577"/>
      <c r="AH107" s="456"/>
      <c r="AM107" s="456"/>
      <c r="AN107" s="456"/>
      <c r="AO107" s="456"/>
      <c r="AP107" s="456"/>
      <c r="AQ107" s="456"/>
      <c r="AR107" s="577"/>
      <c r="AX107" s="456"/>
      <c r="AY107" s="456"/>
      <c r="AZ107" s="456"/>
      <c r="BA107" s="456"/>
      <c r="BB107" s="456"/>
      <c r="BC107" s="577"/>
      <c r="BI107" s="456"/>
      <c r="BJ107" s="456"/>
      <c r="BK107" s="456"/>
      <c r="BL107" s="456"/>
    </row>
    <row r="108" spans="1:64" s="462" customFormat="1" ht="12" x14ac:dyDescent="0.3">
      <c r="A108" s="468"/>
      <c r="B108" s="469"/>
      <c r="D108" s="5"/>
      <c r="E108" s="456"/>
      <c r="F108" s="456"/>
      <c r="G108" s="456"/>
      <c r="H108" s="459"/>
      <c r="I108" s="459"/>
      <c r="J108" s="7"/>
      <c r="K108" s="456"/>
      <c r="N108" s="456"/>
      <c r="S108" s="456"/>
      <c r="T108" s="456"/>
      <c r="U108" s="456"/>
      <c r="V108" s="456"/>
      <c r="W108" s="456"/>
      <c r="AB108" s="456"/>
      <c r="AC108" s="456"/>
      <c r="AD108" s="456"/>
      <c r="AE108" s="456"/>
      <c r="AF108" s="456"/>
      <c r="AG108" s="577"/>
      <c r="AH108" s="456"/>
      <c r="AM108" s="456"/>
      <c r="AN108" s="456"/>
      <c r="AO108" s="456"/>
      <c r="AP108" s="456"/>
      <c r="AQ108" s="456"/>
      <c r="AR108" s="577"/>
      <c r="AX108" s="456"/>
      <c r="AY108" s="456"/>
      <c r="AZ108" s="456"/>
      <c r="BA108" s="456"/>
      <c r="BB108" s="456"/>
      <c r="BC108" s="577"/>
      <c r="BI108" s="456"/>
      <c r="BJ108" s="456"/>
      <c r="BK108" s="456"/>
      <c r="BL108" s="456"/>
    </row>
    <row r="109" spans="1:64" s="462" customFormat="1" ht="12" x14ac:dyDescent="0.3">
      <c r="A109" s="455" t="s">
        <v>1002</v>
      </c>
      <c r="B109" s="455"/>
      <c r="C109" s="456"/>
      <c r="D109" s="5"/>
      <c r="E109" s="456"/>
      <c r="F109" s="456"/>
      <c r="G109" s="456"/>
      <c r="H109" s="459"/>
      <c r="I109" s="459"/>
      <c r="J109" s="7"/>
      <c r="K109" s="456"/>
      <c r="N109" s="456"/>
      <c r="S109" s="456"/>
      <c r="T109" s="456"/>
      <c r="U109" s="456"/>
      <c r="V109" s="456"/>
      <c r="W109" s="456"/>
      <c r="AB109" s="456"/>
      <c r="AC109" s="456"/>
      <c r="AD109" s="456"/>
      <c r="AE109" s="456"/>
      <c r="AF109" s="456"/>
      <c r="AG109" s="577"/>
      <c r="AH109" s="456"/>
      <c r="AM109" s="456"/>
      <c r="AN109" s="456"/>
      <c r="AO109" s="456"/>
      <c r="AP109" s="456"/>
      <c r="AQ109" s="456"/>
      <c r="AR109" s="577"/>
      <c r="AX109" s="456"/>
      <c r="AY109" s="456"/>
      <c r="AZ109" s="456"/>
      <c r="BA109" s="456"/>
      <c r="BB109" s="456"/>
      <c r="BC109" s="577"/>
      <c r="BI109" s="456"/>
      <c r="BJ109" s="456"/>
      <c r="BK109" s="456"/>
      <c r="BL109" s="456"/>
    </row>
    <row r="110" spans="1:64" s="462" customFormat="1" ht="93" customHeight="1" x14ac:dyDescent="0.3">
      <c r="A110" s="9170" t="s">
        <v>2473</v>
      </c>
      <c r="B110" s="9171"/>
      <c r="C110" s="9171"/>
      <c r="D110" s="9171"/>
      <c r="E110" s="9171"/>
      <c r="F110" s="9171"/>
      <c r="G110" s="9171"/>
      <c r="H110" s="9171"/>
      <c r="I110" s="9171"/>
      <c r="J110" s="9171"/>
      <c r="K110" s="9171"/>
      <c r="L110" s="9171"/>
      <c r="M110" s="9172"/>
      <c r="N110" s="456"/>
      <c r="O110" s="2978"/>
      <c r="P110" s="2978"/>
      <c r="Q110" s="461"/>
      <c r="R110" s="2978"/>
      <c r="S110" s="456"/>
      <c r="T110" s="456"/>
      <c r="U110" s="456"/>
      <c r="V110" s="456"/>
      <c r="W110" s="456"/>
      <c r="X110" s="2978"/>
      <c r="Y110" s="2978"/>
      <c r="Z110" s="461"/>
      <c r="AA110" s="2978"/>
      <c r="AB110" s="456"/>
      <c r="AC110" s="456"/>
      <c r="AD110" s="456"/>
      <c r="AE110" s="456"/>
      <c r="AF110" s="456"/>
      <c r="AG110" s="577"/>
      <c r="AH110" s="456"/>
      <c r="AI110" s="2978"/>
      <c r="AJ110" s="2978"/>
      <c r="AK110" s="461"/>
      <c r="AL110" s="2978"/>
      <c r="AM110" s="456"/>
      <c r="AN110" s="456"/>
      <c r="AO110" s="456"/>
      <c r="AP110" s="456"/>
      <c r="AQ110" s="456"/>
      <c r="AR110" s="577"/>
      <c r="AT110" s="2978"/>
      <c r="AU110" s="2978"/>
      <c r="AV110" s="461"/>
      <c r="AW110" s="2978"/>
      <c r="AX110" s="456"/>
      <c r="AY110" s="456"/>
      <c r="AZ110" s="456"/>
      <c r="BA110" s="456"/>
      <c r="BB110" s="456"/>
      <c r="BC110" s="577"/>
      <c r="BE110" s="2978"/>
      <c r="BF110" s="2978"/>
      <c r="BG110" s="461"/>
      <c r="BH110" s="2978"/>
      <c r="BI110" s="456"/>
      <c r="BJ110" s="456"/>
      <c r="BK110" s="456"/>
      <c r="BL110" s="456"/>
    </row>
  </sheetData>
  <mergeCells count="50">
    <mergeCell ref="BE7:BH7"/>
    <mergeCell ref="BJ7:BL7"/>
    <mergeCell ref="BE1:BL1"/>
    <mergeCell ref="BE4:BH4"/>
    <mergeCell ref="BJ4:BL4"/>
    <mergeCell ref="BE5:BH5"/>
    <mergeCell ref="BJ5:BL5"/>
    <mergeCell ref="AC7:AE7"/>
    <mergeCell ref="AI7:AL7"/>
    <mergeCell ref="H7:I7"/>
    <mergeCell ref="J7:J8"/>
    <mergeCell ref="L7:M7"/>
    <mergeCell ref="O7:R7"/>
    <mergeCell ref="T7:V7"/>
    <mergeCell ref="A10:A32"/>
    <mergeCell ref="A34:A74"/>
    <mergeCell ref="A76:A92"/>
    <mergeCell ref="A110:M110"/>
    <mergeCell ref="X7:AA7"/>
    <mergeCell ref="AN5:AP5"/>
    <mergeCell ref="AN4:AP4"/>
    <mergeCell ref="AG4:AG5"/>
    <mergeCell ref="AI4:AL4"/>
    <mergeCell ref="AN7:AP7"/>
    <mergeCell ref="O5:R5"/>
    <mergeCell ref="T5:V5"/>
    <mergeCell ref="X5:AA5"/>
    <mergeCell ref="AC5:AE5"/>
    <mergeCell ref="AI5:AL5"/>
    <mergeCell ref="BC4:BC5"/>
    <mergeCell ref="AT5:AW5"/>
    <mergeCell ref="AY5:BA5"/>
    <mergeCell ref="F1:M1"/>
    <mergeCell ref="O1:V1"/>
    <mergeCell ref="X1:AE1"/>
    <mergeCell ref="AI1:AP1"/>
    <mergeCell ref="H4:J4"/>
    <mergeCell ref="L4:M4"/>
    <mergeCell ref="O4:R4"/>
    <mergeCell ref="T4:V4"/>
    <mergeCell ref="X4:AA4"/>
    <mergeCell ref="AC4:AE4"/>
    <mergeCell ref="AR4:AR5"/>
    <mergeCell ref="H5:J5"/>
    <mergeCell ref="L5:M5"/>
    <mergeCell ref="AT7:AW7"/>
    <mergeCell ref="AY7:BA7"/>
    <mergeCell ref="AT1:BA1"/>
    <mergeCell ref="AT4:AW4"/>
    <mergeCell ref="AY4:BA4"/>
  </mergeCells>
  <hyperlinks>
    <hyperlink ref="AD10" r:id="rId1" xr:uid="{020E0DF2-DD5B-4FE9-9B3B-990F89C45E17}"/>
    <hyperlink ref="Z10" r:id="rId2" xr:uid="{E6DCA1FC-E153-413D-82D2-59D02D8B61A2}"/>
    <hyperlink ref="AO10" r:id="rId3" xr:uid="{F333003E-D163-4930-A4F9-FD44DF4040E0}"/>
    <hyperlink ref="AK10" r:id="rId4" xr:uid="{8A3F1F2B-9646-4D45-AC2B-40F4B465D7DE}"/>
    <hyperlink ref="AK34" r:id="rId5" xr:uid="{7224B4F2-F2F1-4C35-BE81-B774B8683D76}"/>
    <hyperlink ref="AV10" r:id="rId6" xr:uid="{A4F84984-6D8E-4396-AB32-A5701B87CDCB}"/>
    <hyperlink ref="AZ10" r:id="rId7" xr:uid="{3E6ECA46-2336-4572-9B9B-47AECD2927B2}"/>
    <hyperlink ref="AV34" r:id="rId8" xr:uid="{B6E7E9BF-5D5C-45EC-85BD-220190234018}"/>
    <hyperlink ref="BG67" r:id="rId9" xr:uid="{AA51CDE1-3A2C-4F15-99CE-B80FD62E86A1}"/>
    <hyperlink ref="BK10" r:id="rId10" xr:uid="{65A544F8-B929-40C0-840C-086C72CB26A0}"/>
  </hyperlinks>
  <pageMargins left="0.23622047244094491" right="0.23622047244094491" top="0.35433070866141736" bottom="0.35433070866141736" header="0.31496062992125984" footer="0.31496062992125984"/>
  <pageSetup scale="41" orientation="portrait" r:id="rId11"/>
  <headerFooter>
    <oddFooter>&amp;R&amp;1#&amp;"Calibri"&amp;12&amp;K000000Official Use</oddFooter>
  </headerFooter>
  <legacyDrawing r:id="rId1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H157"/>
  <sheetViews>
    <sheetView zoomScale="71" zoomScaleNormal="100" workbookViewId="0">
      <pane xSplit="4" topLeftCell="AA1" activePane="topRight" state="frozen"/>
      <selection activeCell="A9" sqref="A9"/>
      <selection pane="topRight" activeCell="AA21" sqref="AA21"/>
    </sheetView>
  </sheetViews>
  <sheetFormatPr defaultColWidth="9.1796875" defaultRowHeight="14.5" x14ac:dyDescent="0.35"/>
  <cols>
    <col min="1" max="1" width="5.453125" customWidth="1"/>
    <col min="2" max="2" width="19.453125" customWidth="1"/>
    <col min="3" max="3" width="21.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2" width="21.6328125" customWidth="1"/>
    <col min="23" max="23" width="1.6328125" style="1" customWidth="1"/>
    <col min="24" max="24" width="12.453125" customWidth="1"/>
    <col min="25" max="25" width="9.1796875" customWidth="1"/>
    <col min="26" max="26" width="19" style="6" customWidth="1"/>
    <col min="27" max="27" width="16.6328125" style="6" customWidth="1"/>
    <col min="28" max="28" width="20" style="6" customWidth="1"/>
    <col min="29" max="29" width="8.6328125" style="7" customWidth="1"/>
    <col min="30" max="30" width="1.6328125" style="1" customWidth="1"/>
    <col min="31" max="33" width="17.81640625" customWidth="1"/>
    <col min="34" max="34" width="1.81640625" customWidth="1"/>
    <col min="35" max="35" width="18.453125" bestFit="1" customWidth="1"/>
    <col min="36" max="36" width="19.1796875" customWidth="1"/>
    <col min="37" max="37" width="11" customWidth="1"/>
    <col min="38" max="38" width="9.1796875" customWidth="1"/>
    <col min="39" max="39" width="2.6328125" customWidth="1"/>
    <col min="40" max="40" width="18.453125" customWidth="1"/>
    <col min="41" max="41" width="18" customWidth="1"/>
    <col min="42" max="42" width="18.453125" customWidth="1"/>
    <col min="43" max="43" width="2.81640625" customWidth="1"/>
    <col min="44" max="44" width="16.81640625" bestFit="1" customWidth="1" collapsed="1"/>
    <col min="45" max="45" width="36.453125" bestFit="1" customWidth="1"/>
    <col min="46" max="46" width="13.453125" customWidth="1"/>
    <col min="47" max="47" width="9.1796875" customWidth="1"/>
    <col min="48" max="48" width="2.6328125" customWidth="1"/>
    <col min="49" max="49" width="17.453125" bestFit="1" customWidth="1"/>
    <col min="50" max="50" width="18" customWidth="1"/>
    <col min="51" max="51" width="18.1796875" bestFit="1" customWidth="1"/>
    <col min="52" max="52" width="9.1796875" customWidth="1"/>
    <col min="53" max="53" width="18" bestFit="1" customWidth="1"/>
    <col min="54" max="54" width="36.453125" bestFit="1" customWidth="1"/>
    <col min="55" max="55" width="13.453125" customWidth="1"/>
    <col min="56" max="56" width="9.1796875" customWidth="1"/>
    <col min="57" max="57" width="2.6328125" customWidth="1"/>
    <col min="58" max="58" width="18" bestFit="1" customWidth="1"/>
    <col min="59" max="59" width="18" customWidth="1"/>
    <col min="60" max="60" width="18.1796875" bestFit="1" customWidth="1"/>
  </cols>
  <sheetData>
    <row r="1" spans="1:60" s="470" customFormat="1" ht="31" x14ac:dyDescent="0.7">
      <c r="F1" s="9118" t="s">
        <v>394</v>
      </c>
      <c r="G1" s="9119"/>
      <c r="H1" s="9119"/>
      <c r="I1" s="9119"/>
      <c r="J1" s="9119"/>
      <c r="K1" s="9119"/>
      <c r="L1" s="9119"/>
      <c r="M1" s="9120"/>
      <c r="N1" s="710"/>
      <c r="O1" s="9121" t="s">
        <v>395</v>
      </c>
      <c r="P1" s="9122"/>
      <c r="Q1" s="9122"/>
      <c r="R1" s="9122"/>
      <c r="S1" s="9122"/>
      <c r="T1" s="9122"/>
      <c r="U1" s="9122"/>
      <c r="V1" s="9123"/>
      <c r="W1" s="710"/>
      <c r="Z1" s="9124" t="s">
        <v>396</v>
      </c>
      <c r="AA1" s="9125"/>
      <c r="AB1" s="9125"/>
      <c r="AC1" s="9125"/>
      <c r="AD1" s="9125"/>
      <c r="AE1" s="9125"/>
      <c r="AF1" s="9125"/>
      <c r="AG1" s="9126"/>
      <c r="AI1" s="9115" t="s">
        <v>397</v>
      </c>
      <c r="AJ1" s="9116"/>
      <c r="AK1" s="9116"/>
      <c r="AL1" s="9116"/>
      <c r="AM1" s="9116"/>
      <c r="AN1" s="9116"/>
      <c r="AO1" s="9116"/>
      <c r="AP1" s="9117"/>
      <c r="AR1" s="9115" t="s">
        <v>398</v>
      </c>
      <c r="AS1" s="9116"/>
      <c r="AT1" s="9116"/>
      <c r="AU1" s="9116"/>
      <c r="AV1" s="9116"/>
      <c r="AW1" s="9116"/>
      <c r="AX1" s="9116"/>
      <c r="AY1" s="9117"/>
      <c r="BA1" s="9115" t="s">
        <v>399</v>
      </c>
      <c r="BB1" s="9116"/>
      <c r="BC1" s="9116"/>
      <c r="BD1" s="9116"/>
      <c r="BE1" s="9116"/>
      <c r="BF1" s="9116"/>
      <c r="BG1" s="9116"/>
      <c r="BH1" s="9117"/>
    </row>
    <row r="2" spans="1:60" s="462" customFormat="1" ht="21" x14ac:dyDescent="0.5">
      <c r="B2" s="456" t="s">
        <v>9</v>
      </c>
      <c r="C2" s="4" t="s">
        <v>43</v>
      </c>
      <c r="D2" s="456"/>
      <c r="E2" s="456"/>
      <c r="F2" s="456"/>
      <c r="G2" s="456"/>
      <c r="I2" s="459"/>
      <c r="J2" s="459"/>
      <c r="K2" s="456"/>
      <c r="N2" s="1"/>
      <c r="O2" s="6"/>
      <c r="P2" s="6"/>
      <c r="Q2" s="6"/>
      <c r="R2" s="7"/>
      <c r="S2" s="1"/>
      <c r="T2"/>
      <c r="U2"/>
      <c r="V2"/>
      <c r="W2" s="1"/>
      <c r="X2" s="711"/>
      <c r="Z2" s="6"/>
      <c r="AA2" s="6"/>
      <c r="AB2" s="6"/>
      <c r="AC2" s="7"/>
      <c r="AD2" s="1"/>
      <c r="AE2"/>
      <c r="AF2"/>
      <c r="AG2"/>
      <c r="AI2" s="6"/>
      <c r="AJ2" s="6"/>
      <c r="AK2" s="6"/>
      <c r="AL2" s="7"/>
      <c r="AM2" s="1"/>
      <c r="AN2"/>
      <c r="AO2"/>
      <c r="AP2"/>
      <c r="AR2" s="6"/>
      <c r="AS2" s="6"/>
      <c r="AT2" s="6"/>
      <c r="AU2" s="7"/>
      <c r="AV2" s="1"/>
      <c r="AW2"/>
      <c r="AX2"/>
      <c r="AY2"/>
      <c r="BA2" s="6"/>
      <c r="BB2" s="6"/>
      <c r="BC2" s="6"/>
      <c r="BD2" s="7"/>
      <c r="BE2" s="1"/>
      <c r="BF2"/>
      <c r="BG2"/>
      <c r="BH2"/>
    </row>
    <row r="3" spans="1:60" s="462" customFormat="1" ht="15.75" customHeight="1" x14ac:dyDescent="0.35">
      <c r="C3" s="456"/>
      <c r="D3" s="456"/>
      <c r="E3" s="456"/>
      <c r="F3" s="459"/>
      <c r="G3" s="456"/>
      <c r="I3" s="459"/>
      <c r="J3" s="459"/>
      <c r="K3" s="456"/>
      <c r="N3" s="1"/>
      <c r="O3" s="6"/>
      <c r="P3" s="6"/>
      <c r="Q3" s="6"/>
      <c r="R3" s="7"/>
      <c r="S3" s="1"/>
      <c r="T3"/>
      <c r="U3"/>
      <c r="V3"/>
      <c r="W3" s="1"/>
      <c r="X3" s="711"/>
      <c r="Z3" s="6"/>
      <c r="AA3" s="6"/>
      <c r="AB3" s="6"/>
      <c r="AC3" s="7"/>
      <c r="AD3" s="1"/>
      <c r="AE3"/>
      <c r="AF3"/>
      <c r="AG3"/>
      <c r="AI3" s="6"/>
      <c r="AJ3" s="6"/>
      <c r="AK3" s="6"/>
      <c r="AL3" s="7"/>
      <c r="AM3" s="1"/>
      <c r="AN3"/>
      <c r="AO3"/>
      <c r="AP3"/>
      <c r="AR3" s="6"/>
      <c r="AS3" s="6"/>
      <c r="AT3" s="6"/>
      <c r="AU3" s="7"/>
      <c r="AV3" s="1"/>
      <c r="AW3"/>
      <c r="AX3"/>
      <c r="AY3"/>
      <c r="BA3" s="6"/>
      <c r="BB3" s="6"/>
      <c r="BC3" s="6"/>
      <c r="BD3" s="7"/>
      <c r="BE3" s="1"/>
      <c r="BF3"/>
      <c r="BG3"/>
      <c r="BH3"/>
    </row>
    <row r="4" spans="1:60" s="462" customFormat="1" ht="14.5" customHeight="1" x14ac:dyDescent="0.3">
      <c r="C4" s="456"/>
      <c r="D4" s="456"/>
      <c r="E4" s="456"/>
      <c r="F4" s="8323" t="s">
        <v>400</v>
      </c>
      <c r="G4" s="712"/>
      <c r="H4" s="9133" t="s">
        <v>401</v>
      </c>
      <c r="I4" s="9134"/>
      <c r="J4" s="9135"/>
      <c r="K4" s="712"/>
      <c r="L4" s="9133" t="s">
        <v>402</v>
      </c>
      <c r="M4" s="9135"/>
      <c r="N4" s="8"/>
      <c r="O4" s="9130" t="s">
        <v>403</v>
      </c>
      <c r="P4" s="9131"/>
      <c r="Q4" s="9131"/>
      <c r="R4" s="9132"/>
      <c r="S4" s="8"/>
      <c r="T4" s="9130" t="s">
        <v>402</v>
      </c>
      <c r="U4" s="9131"/>
      <c r="V4" s="9132"/>
      <c r="W4" s="8"/>
      <c r="X4" s="9136" t="s">
        <v>404</v>
      </c>
      <c r="Z4" s="9130" t="s">
        <v>403</v>
      </c>
      <c r="AA4" s="9131"/>
      <c r="AB4" s="9131"/>
      <c r="AC4" s="9132"/>
      <c r="AD4" s="8"/>
      <c r="AE4" s="9130" t="s">
        <v>402</v>
      </c>
      <c r="AF4" s="9131"/>
      <c r="AG4" s="9132"/>
      <c r="AI4" s="9130" t="s">
        <v>403</v>
      </c>
      <c r="AJ4" s="9131"/>
      <c r="AK4" s="9131"/>
      <c r="AL4" s="9132"/>
      <c r="AM4" s="8"/>
      <c r="AN4" s="9130" t="s">
        <v>402</v>
      </c>
      <c r="AO4" s="9131"/>
      <c r="AP4" s="9132"/>
      <c r="AR4" s="9130" t="s">
        <v>403</v>
      </c>
      <c r="AS4" s="9131"/>
      <c r="AT4" s="9131"/>
      <c r="AU4" s="9132"/>
      <c r="AV4" s="8"/>
      <c r="AW4" s="9130" t="s">
        <v>402</v>
      </c>
      <c r="AX4" s="9131"/>
      <c r="AY4" s="9132"/>
      <c r="BA4" s="9130" t="s">
        <v>403</v>
      </c>
      <c r="BB4" s="9131"/>
      <c r="BC4" s="9131"/>
      <c r="BD4" s="9132"/>
      <c r="BE4" s="8"/>
      <c r="BF4" s="9130" t="s">
        <v>402</v>
      </c>
      <c r="BG4" s="9131"/>
      <c r="BH4" s="9132"/>
    </row>
    <row r="5" spans="1:60" s="462" customFormat="1" x14ac:dyDescent="0.3">
      <c r="B5" s="456" t="s">
        <v>406</v>
      </c>
      <c r="C5" s="714">
        <v>2002</v>
      </c>
      <c r="D5" s="456"/>
      <c r="E5" s="456"/>
      <c r="F5" s="8324">
        <v>2011</v>
      </c>
      <c r="G5" s="12"/>
      <c r="H5" s="9138">
        <v>2014</v>
      </c>
      <c r="I5" s="9139"/>
      <c r="J5" s="9140"/>
      <c r="K5" s="12"/>
      <c r="L5" s="9138">
        <v>2015</v>
      </c>
      <c r="M5" s="9140"/>
      <c r="N5" s="12"/>
      <c r="O5" s="9138">
        <v>2015</v>
      </c>
      <c r="P5" s="9139"/>
      <c r="Q5" s="9139"/>
      <c r="R5" s="9140"/>
      <c r="S5" s="12"/>
      <c r="T5" s="9138">
        <v>2016</v>
      </c>
      <c r="U5" s="9139"/>
      <c r="V5" s="9140"/>
      <c r="W5" s="12"/>
      <c r="X5" s="9137"/>
      <c r="Z5" s="9138">
        <v>2016</v>
      </c>
      <c r="AA5" s="9139"/>
      <c r="AB5" s="9139"/>
      <c r="AC5" s="9140"/>
      <c r="AD5" s="12"/>
      <c r="AE5" s="9138">
        <v>2017</v>
      </c>
      <c r="AF5" s="9139"/>
      <c r="AG5" s="9140"/>
      <c r="AI5" s="9138">
        <v>2017</v>
      </c>
      <c r="AJ5" s="9139"/>
      <c r="AK5" s="9139"/>
      <c r="AL5" s="9140"/>
      <c r="AM5" s="12"/>
      <c r="AN5" s="9138">
        <v>2018</v>
      </c>
      <c r="AO5" s="9139"/>
      <c r="AP5" s="9140"/>
      <c r="AR5" s="9138">
        <v>2018</v>
      </c>
      <c r="AS5" s="9139"/>
      <c r="AT5" s="9139"/>
      <c r="AU5" s="9140"/>
      <c r="AV5" s="12"/>
      <c r="AW5" s="9138">
        <v>2019</v>
      </c>
      <c r="AX5" s="9139"/>
      <c r="AY5" s="9140"/>
      <c r="BA5" s="9138">
        <v>2019</v>
      </c>
      <c r="BB5" s="9139"/>
      <c r="BC5" s="9139"/>
      <c r="BD5" s="9140"/>
      <c r="BE5" s="12"/>
      <c r="BF5" s="9138">
        <v>2020</v>
      </c>
      <c r="BG5" s="9139"/>
      <c r="BH5" s="9140"/>
    </row>
    <row r="6" spans="1:60" s="462" customFormat="1" x14ac:dyDescent="0.35">
      <c r="C6" s="456"/>
      <c r="D6" s="456"/>
      <c r="E6" s="456"/>
      <c r="F6" s="459"/>
      <c r="G6" s="456"/>
      <c r="H6" s="459"/>
      <c r="I6" s="459"/>
      <c r="J6" s="459"/>
      <c r="K6" s="456"/>
      <c r="L6" s="715"/>
      <c r="N6" s="1"/>
      <c r="O6" s="6"/>
      <c r="P6" s="6"/>
      <c r="Q6" s="6"/>
      <c r="R6" s="7"/>
      <c r="S6" s="1"/>
      <c r="T6" s="14"/>
      <c r="U6" s="14"/>
      <c r="V6"/>
      <c r="W6" s="1"/>
      <c r="X6" s="716"/>
      <c r="Z6" s="6"/>
      <c r="AA6" s="6"/>
      <c r="AB6" s="6"/>
      <c r="AC6" s="7"/>
      <c r="AD6" s="1"/>
      <c r="AE6" s="14"/>
      <c r="AF6" s="14"/>
      <c r="AG6"/>
      <c r="AI6" s="6"/>
      <c r="AJ6" s="6"/>
      <c r="AK6" s="6"/>
      <c r="AL6" s="7"/>
      <c r="AM6" s="1"/>
      <c r="AN6" s="14"/>
      <c r="AO6" s="14"/>
      <c r="AP6"/>
      <c r="AR6" s="6"/>
      <c r="AS6" s="6"/>
      <c r="AT6" s="6"/>
      <c r="AU6" s="7"/>
      <c r="AV6" s="1"/>
      <c r="AW6" s="14"/>
      <c r="AX6" s="14"/>
      <c r="AY6"/>
      <c r="BA6" s="6"/>
      <c r="BB6" s="6"/>
      <c r="BC6" s="6"/>
      <c r="BD6" s="7"/>
      <c r="BE6" s="1"/>
      <c r="BF6" s="14"/>
      <c r="BG6" s="14"/>
      <c r="BH6"/>
    </row>
    <row r="7" spans="1:60" s="462" customFormat="1" ht="15.25" customHeight="1" x14ac:dyDescent="0.35">
      <c r="B7" s="456" t="s">
        <v>101</v>
      </c>
      <c r="C7" s="714" t="s">
        <v>2474</v>
      </c>
      <c r="D7" s="456" t="s">
        <v>417</v>
      </c>
      <c r="E7" s="456"/>
      <c r="F7" s="717" t="s">
        <v>1591</v>
      </c>
      <c r="G7" s="456"/>
      <c r="H7" s="9141" t="s">
        <v>1591</v>
      </c>
      <c r="I7" s="9142"/>
      <c r="J7" s="9143" t="s">
        <v>419</v>
      </c>
      <c r="K7" s="456"/>
      <c r="L7" s="9145" t="s">
        <v>1591</v>
      </c>
      <c r="M7" s="9146"/>
      <c r="N7" s="1"/>
      <c r="O7" s="9346" t="s">
        <v>1591</v>
      </c>
      <c r="P7" s="9347"/>
      <c r="Q7" s="16"/>
      <c r="R7" s="9147" t="s">
        <v>419</v>
      </c>
      <c r="S7" s="1"/>
      <c r="T7" s="9149" t="s">
        <v>1591</v>
      </c>
      <c r="U7" s="9150"/>
      <c r="V7" s="9151"/>
      <c r="W7" s="1"/>
      <c r="X7" s="718"/>
      <c r="Z7" s="9346" t="s">
        <v>1591</v>
      </c>
      <c r="AA7" s="9347"/>
      <c r="AB7" s="16"/>
      <c r="AC7" s="9147" t="s">
        <v>419</v>
      </c>
      <c r="AD7" s="1"/>
      <c r="AE7" s="9149" t="s">
        <v>1591</v>
      </c>
      <c r="AF7" s="9150"/>
      <c r="AG7" s="9151"/>
      <c r="AI7" s="9346" t="s">
        <v>1591</v>
      </c>
      <c r="AJ7" s="9347"/>
      <c r="AK7" s="16"/>
      <c r="AL7" s="9147" t="s">
        <v>419</v>
      </c>
      <c r="AM7" s="1"/>
      <c r="AN7" s="9149" t="s">
        <v>1591</v>
      </c>
      <c r="AO7" s="9150"/>
      <c r="AP7" s="9151"/>
      <c r="AR7" s="9346" t="s">
        <v>1591</v>
      </c>
      <c r="AS7" s="9347"/>
      <c r="AT7" s="16"/>
      <c r="AU7" s="9147" t="s">
        <v>419</v>
      </c>
      <c r="AV7" s="1"/>
      <c r="AW7" s="9149" t="s">
        <v>1591</v>
      </c>
      <c r="AX7" s="9150"/>
      <c r="AY7" s="9151"/>
      <c r="BA7" s="9346" t="s">
        <v>1591</v>
      </c>
      <c r="BB7" s="9347"/>
      <c r="BC7" s="16"/>
      <c r="BD7" s="9147" t="s">
        <v>419</v>
      </c>
      <c r="BE7" s="1"/>
      <c r="BF7" s="9149" t="s">
        <v>1591</v>
      </c>
      <c r="BG7" s="9150"/>
      <c r="BH7" s="9151"/>
    </row>
    <row r="8" spans="1:60" s="712" customFormat="1" ht="15.25" customHeight="1" x14ac:dyDescent="0.35">
      <c r="B8" s="456" t="s">
        <v>420</v>
      </c>
      <c r="C8" s="714" t="s">
        <v>589</v>
      </c>
      <c r="F8" s="720" t="s">
        <v>96</v>
      </c>
      <c r="G8" s="456"/>
      <c r="H8" s="720" t="s">
        <v>424</v>
      </c>
      <c r="I8" s="720" t="s">
        <v>96</v>
      </c>
      <c r="J8" s="9144"/>
      <c r="K8" s="456"/>
      <c r="L8" s="721" t="s">
        <v>424</v>
      </c>
      <c r="M8" s="720" t="s">
        <v>96</v>
      </c>
      <c r="N8" s="1"/>
      <c r="O8" s="20" t="s">
        <v>424</v>
      </c>
      <c r="P8" s="20" t="s">
        <v>1031</v>
      </c>
      <c r="Q8" s="22" t="s">
        <v>425</v>
      </c>
      <c r="R8" s="9148"/>
      <c r="S8" s="1"/>
      <c r="T8" s="21" t="s">
        <v>424</v>
      </c>
      <c r="U8" s="22" t="s">
        <v>425</v>
      </c>
      <c r="V8" s="20" t="s">
        <v>96</v>
      </c>
      <c r="W8" s="1"/>
      <c r="X8" s="722"/>
      <c r="Z8" s="20" t="s">
        <v>424</v>
      </c>
      <c r="AA8" s="20" t="s">
        <v>1031</v>
      </c>
      <c r="AB8" s="22" t="s">
        <v>425</v>
      </c>
      <c r="AC8" s="9148"/>
      <c r="AD8" s="1"/>
      <c r="AE8" s="21" t="s">
        <v>424</v>
      </c>
      <c r="AF8" s="22" t="s">
        <v>425</v>
      </c>
      <c r="AG8" s="20" t="s">
        <v>96</v>
      </c>
      <c r="AI8" s="20" t="s">
        <v>424</v>
      </c>
      <c r="AJ8" s="20" t="s">
        <v>96</v>
      </c>
      <c r="AK8" s="22" t="s">
        <v>425</v>
      </c>
      <c r="AL8" s="9148"/>
      <c r="AM8" s="1"/>
      <c r="AN8" s="21" t="s">
        <v>424</v>
      </c>
      <c r="AO8" s="22" t="s">
        <v>425</v>
      </c>
      <c r="AP8" s="20" t="s">
        <v>96</v>
      </c>
      <c r="AR8" s="20" t="s">
        <v>424</v>
      </c>
      <c r="AS8" s="20" t="s">
        <v>96</v>
      </c>
      <c r="AT8" s="22" t="s">
        <v>425</v>
      </c>
      <c r="AU8" s="9148"/>
      <c r="AV8" s="1"/>
      <c r="AW8" s="21" t="s">
        <v>424</v>
      </c>
      <c r="AX8" s="22" t="s">
        <v>425</v>
      </c>
      <c r="AY8" s="20" t="s">
        <v>96</v>
      </c>
      <c r="BA8" s="20" t="s">
        <v>424</v>
      </c>
      <c r="BB8" s="20" t="s">
        <v>96</v>
      </c>
      <c r="BC8" s="22" t="s">
        <v>425</v>
      </c>
      <c r="BD8" s="9148"/>
      <c r="BE8" s="1"/>
      <c r="BF8" s="21" t="s">
        <v>424</v>
      </c>
      <c r="BG8" s="22" t="s">
        <v>425</v>
      </c>
      <c r="BH8" s="20" t="s">
        <v>96</v>
      </c>
    </row>
    <row r="9" spans="1:60" s="462" customFormat="1" x14ac:dyDescent="0.35">
      <c r="C9" s="456"/>
      <c r="D9" s="456"/>
      <c r="E9" s="456"/>
      <c r="N9"/>
      <c r="O9"/>
      <c r="P9"/>
      <c r="Q9"/>
      <c r="R9" s="25"/>
      <c r="S9"/>
      <c r="T9"/>
      <c r="U9"/>
      <c r="V9"/>
      <c r="W9"/>
      <c r="X9" s="711"/>
      <c r="Z9"/>
      <c r="AA9"/>
      <c r="AB9"/>
      <c r="AC9" s="25"/>
      <c r="AD9"/>
      <c r="AE9"/>
      <c r="AF9"/>
      <c r="AG9"/>
      <c r="AI9"/>
      <c r="AJ9"/>
      <c r="AK9"/>
      <c r="AL9" s="25"/>
      <c r="AM9"/>
      <c r="AN9"/>
      <c r="AO9"/>
      <c r="AP9"/>
      <c r="AR9"/>
      <c r="AS9"/>
      <c r="AT9"/>
      <c r="AU9" s="25"/>
      <c r="AV9"/>
      <c r="AW9"/>
      <c r="AX9"/>
      <c r="AY9"/>
      <c r="BA9"/>
      <c r="BB9"/>
      <c r="BC9"/>
      <c r="BD9" s="25"/>
      <c r="BE9"/>
      <c r="BF9"/>
      <c r="BG9"/>
      <c r="BH9"/>
    </row>
    <row r="10" spans="1:60" s="462" customFormat="1" ht="54.75" customHeight="1" x14ac:dyDescent="0.35">
      <c r="A10" s="9152" t="s">
        <v>426</v>
      </c>
      <c r="B10" s="724"/>
      <c r="C10" s="725" t="s">
        <v>427</v>
      </c>
      <c r="D10" s="580" t="s">
        <v>428</v>
      </c>
      <c r="E10" s="456"/>
      <c r="F10" s="849" t="s">
        <v>2475</v>
      </c>
      <c r="G10" s="510"/>
      <c r="H10" s="31" t="s">
        <v>2476</v>
      </c>
      <c r="I10" s="4935" t="s">
        <v>2477</v>
      </c>
      <c r="J10" s="472"/>
      <c r="K10" s="510"/>
      <c r="L10" s="31" t="s">
        <v>2478</v>
      </c>
      <c r="M10" s="4936" t="s">
        <v>593</v>
      </c>
      <c r="N10" s="33"/>
      <c r="O10" s="31" t="str">
        <f>L10</f>
        <v>Budget 2016 Volume 1, finance.gov.gy/images/uploads/documents/budget_2016_vol_1_website_copy_opt.pdf</v>
      </c>
      <c r="P10" s="31"/>
      <c r="Q10" s="472"/>
      <c r="R10" s="32"/>
      <c r="S10" s="33"/>
      <c r="T10" s="31" t="s">
        <v>2479</v>
      </c>
      <c r="U10" s="31" t="s">
        <v>2480</v>
      </c>
      <c r="V10" s="34" t="s">
        <v>2481</v>
      </c>
      <c r="W10" s="33"/>
      <c r="X10" s="726" t="s">
        <v>2482</v>
      </c>
      <c r="Z10" s="31">
        <f>W10</f>
        <v>0</v>
      </c>
      <c r="AA10" s="31"/>
      <c r="AB10" s="472"/>
      <c r="AC10" s="32"/>
      <c r="AD10" s="33"/>
      <c r="AE10" s="31" t="s">
        <v>2483</v>
      </c>
      <c r="AF10" s="31" t="s">
        <v>2484</v>
      </c>
      <c r="AG10" s="34" t="s">
        <v>2485</v>
      </c>
      <c r="AI10" s="994" t="s">
        <v>2483</v>
      </c>
      <c r="AJ10" s="995" t="s">
        <v>2486</v>
      </c>
      <c r="AK10" s="2984"/>
      <c r="AL10" s="32"/>
      <c r="AM10" s="33"/>
      <c r="AN10" s="31" t="s">
        <v>2487</v>
      </c>
      <c r="AO10" s="31" t="s">
        <v>2488</v>
      </c>
      <c r="AP10" s="31" t="s">
        <v>2489</v>
      </c>
      <c r="AR10" s="994" t="s">
        <v>2487</v>
      </c>
      <c r="AS10" s="31" t="s">
        <v>2489</v>
      </c>
      <c r="AT10" s="652" t="s">
        <v>2490</v>
      </c>
      <c r="AU10" s="32"/>
      <c r="AV10" s="33"/>
      <c r="AW10" s="31" t="s">
        <v>2491</v>
      </c>
      <c r="AX10" s="727" t="s">
        <v>2488</v>
      </c>
      <c r="AY10" s="31" t="s">
        <v>653</v>
      </c>
      <c r="BA10" s="994" t="s">
        <v>2491</v>
      </c>
      <c r="BB10" s="31" t="s">
        <v>2492</v>
      </c>
      <c r="BC10" s="652" t="s">
        <v>2490</v>
      </c>
      <c r="BD10" s="32"/>
      <c r="BE10" s="33"/>
      <c r="BF10" s="31" t="s">
        <v>2493</v>
      </c>
      <c r="BG10" s="727" t="s">
        <v>2488</v>
      </c>
      <c r="BH10" s="31" t="s">
        <v>653</v>
      </c>
    </row>
    <row r="11" spans="1:60" s="462" customFormat="1" ht="12.75" customHeight="1" x14ac:dyDescent="0.35">
      <c r="A11" s="9153"/>
      <c r="B11" s="40" t="s">
        <v>451</v>
      </c>
      <c r="C11" s="4937"/>
      <c r="D11" s="729"/>
      <c r="E11" s="456"/>
      <c r="F11" s="730"/>
      <c r="G11" s="731"/>
      <c r="H11" s="732"/>
      <c r="I11" s="733"/>
      <c r="J11" s="734"/>
      <c r="K11" s="731"/>
      <c r="L11" s="732"/>
      <c r="M11" s="735"/>
      <c r="N11" s="48"/>
      <c r="O11" s="736"/>
      <c r="P11" s="737"/>
      <c r="Q11" s="474"/>
      <c r="R11" s="47"/>
      <c r="S11" s="48"/>
      <c r="T11" s="4938"/>
      <c r="U11" s="474"/>
      <c r="V11" s="49"/>
      <c r="W11" s="48"/>
      <c r="X11" s="718"/>
      <c r="Z11" s="736"/>
      <c r="AA11" s="737"/>
      <c r="AB11" s="474"/>
      <c r="AC11" s="47"/>
      <c r="AD11" s="48"/>
      <c r="AE11" s="4938"/>
      <c r="AF11" s="474"/>
      <c r="AG11" s="49"/>
      <c r="AI11" s="45"/>
      <c r="AJ11" s="46" t="s">
        <v>2494</v>
      </c>
      <c r="AK11" s="474"/>
      <c r="AL11" s="47"/>
      <c r="AM11" s="48"/>
      <c r="AN11" s="4938"/>
      <c r="AO11" s="474"/>
      <c r="AP11" s="4938"/>
      <c r="AR11" s="45"/>
      <c r="AS11" s="46" t="s">
        <v>2494</v>
      </c>
      <c r="AT11" s="474"/>
      <c r="AU11" s="47"/>
      <c r="AV11" s="48"/>
      <c r="AW11" s="45"/>
      <c r="AX11" s="474"/>
      <c r="AY11" s="4938"/>
      <c r="BA11" s="45"/>
      <c r="BB11" s="8488" t="s">
        <v>2495</v>
      </c>
      <c r="BC11" s="474"/>
      <c r="BD11" s="47"/>
      <c r="BE11" s="48"/>
      <c r="BF11" s="45"/>
      <c r="BG11" s="474"/>
      <c r="BH11" s="4938"/>
    </row>
    <row r="12" spans="1:60" s="462" customFormat="1" x14ac:dyDescent="0.35">
      <c r="A12" s="9153"/>
      <c r="B12" s="58"/>
      <c r="C12" s="4939" t="s">
        <v>456</v>
      </c>
      <c r="D12" s="456">
        <v>1</v>
      </c>
      <c r="E12" s="456"/>
      <c r="F12" s="744">
        <f>120915922+1044477</f>
        <v>121960399</v>
      </c>
      <c r="G12" s="745"/>
      <c r="H12" s="746">
        <f>168190323+2381405</f>
        <v>170571728</v>
      </c>
      <c r="I12" s="747">
        <f>145725814+2364176</f>
        <v>148089990</v>
      </c>
      <c r="J12" s="997">
        <f>IF(H12=0,0,I12/H12)</f>
        <v>0.8681977472843565</v>
      </c>
      <c r="K12" s="745"/>
      <c r="L12" s="746">
        <f>163651631+2489668</f>
        <v>166141299</v>
      </c>
      <c r="M12" s="749">
        <f>L12*J12</f>
        <v>144243501.5226967</v>
      </c>
      <c r="N12" s="65"/>
      <c r="O12" s="746">
        <f>163651631+2489668</f>
        <v>166141299</v>
      </c>
      <c r="P12" s="63">
        <f>161710235+2484668</f>
        <v>164194903</v>
      </c>
      <c r="Q12" s="789"/>
      <c r="R12" s="64">
        <f>IF(O12=0,0,P12/O12)</f>
        <v>0.98828469494511417</v>
      </c>
      <c r="S12" s="65"/>
      <c r="T12" s="63">
        <f>173324661+1489668</f>
        <v>174814329</v>
      </c>
      <c r="U12" s="106" t="s">
        <v>2496</v>
      </c>
      <c r="V12" s="66">
        <f>174802611+1501540</f>
        <v>176304151</v>
      </c>
      <c r="W12" s="65"/>
      <c r="X12" s="723" t="s">
        <v>2497</v>
      </c>
      <c r="Z12" s="746">
        <f>163651631+2489668</f>
        <v>166141299</v>
      </c>
      <c r="AA12" s="63">
        <f>161710235+2484668</f>
        <v>164194903</v>
      </c>
      <c r="AB12" s="789"/>
      <c r="AC12" s="64">
        <f>IF(Z12=0,0,AA12/Z12)</f>
        <v>0.98828469494511417</v>
      </c>
      <c r="AD12" s="65"/>
      <c r="AE12" s="63">
        <v>217430331</v>
      </c>
      <c r="AF12" s="106" t="s">
        <v>2498</v>
      </c>
      <c r="AG12" s="66">
        <v>226674421</v>
      </c>
      <c r="AI12" s="4940">
        <v>217430331</v>
      </c>
      <c r="AJ12" s="4941">
        <f>AJ15-AJ13-AJ14</f>
        <v>195929546</v>
      </c>
      <c r="AK12" s="106"/>
      <c r="AL12" s="64">
        <f>IF(AI12=0,0,AJ12/AI12)</f>
        <v>0.90111414124646672</v>
      </c>
      <c r="AM12" s="65"/>
      <c r="AN12" s="63">
        <v>233682029</v>
      </c>
      <c r="AO12" s="106" t="s">
        <v>2498</v>
      </c>
      <c r="AP12" s="63">
        <f>AN12*AL12</f>
        <v>210574180.88706693</v>
      </c>
      <c r="AR12" s="4940">
        <v>201859924</v>
      </c>
      <c r="AS12" s="4941">
        <v>216871837</v>
      </c>
      <c r="AT12" s="2669" t="s">
        <v>2499</v>
      </c>
      <c r="AU12" s="64">
        <f>IF(AR12=0,0,AS12/AR12)</f>
        <v>1.0743679711283356</v>
      </c>
      <c r="AV12" s="65"/>
      <c r="AW12" s="4940">
        <v>238322677</v>
      </c>
      <c r="AX12" s="106" t="s">
        <v>2498</v>
      </c>
      <c r="AY12" s="4941">
        <f>AW12*AU12</f>
        <v>256046250.96236366</v>
      </c>
      <c r="BA12" s="4940">
        <v>238322677</v>
      </c>
      <c r="BB12" s="4941">
        <v>240585345</v>
      </c>
      <c r="BC12" s="2669" t="s">
        <v>2499</v>
      </c>
      <c r="BD12" s="64">
        <f>IF(BA12=0,0,BB12/BA12)</f>
        <v>1.0094941363888759</v>
      </c>
      <c r="BE12" s="65"/>
      <c r="BF12" s="4940">
        <v>230045566</v>
      </c>
      <c r="BG12" s="57" t="s">
        <v>2500</v>
      </c>
      <c r="BH12" s="4941">
        <f>BF12*BD12</f>
        <v>232229649.97926015</v>
      </c>
    </row>
    <row r="13" spans="1:60" s="462" customFormat="1" x14ac:dyDescent="0.35">
      <c r="A13" s="9153"/>
      <c r="B13" s="58"/>
      <c r="C13" s="4942" t="s">
        <v>462</v>
      </c>
      <c r="D13" s="456">
        <v>2</v>
      </c>
      <c r="F13" s="753">
        <f>11595724</f>
        <v>11595724</v>
      </c>
      <c r="G13" s="745"/>
      <c r="H13" s="746">
        <v>11938908</v>
      </c>
      <c r="I13" s="747">
        <v>911705</v>
      </c>
      <c r="J13" s="754">
        <f>IF(H13=0,0,I13/H13)</f>
        <v>7.6364186741366968E-2</v>
      </c>
      <c r="K13" s="745"/>
      <c r="L13" s="746">
        <v>4983950</v>
      </c>
      <c r="M13" s="749">
        <f>L13*J13</f>
        <v>380595.2885096359</v>
      </c>
      <c r="N13" s="65"/>
      <c r="O13" s="746">
        <v>4983950</v>
      </c>
      <c r="P13" s="63">
        <v>3844500</v>
      </c>
      <c r="Q13" s="789"/>
      <c r="R13" s="73">
        <f>IF(O13=0,0,P13/O13)</f>
        <v>0.77137611733665068</v>
      </c>
      <c r="S13" s="65"/>
      <c r="T13" s="63">
        <v>14313682</v>
      </c>
      <c r="V13" s="66">
        <v>5270983</v>
      </c>
      <c r="W13" s="65"/>
      <c r="X13" s="723" t="s">
        <v>2501</v>
      </c>
      <c r="Z13" s="746">
        <v>4983950</v>
      </c>
      <c r="AA13" s="63">
        <v>3844500</v>
      </c>
      <c r="AB13" s="789"/>
      <c r="AC13" s="73">
        <f>IF(Z13=0,0,AA13/Z13)</f>
        <v>0.77137611733665068</v>
      </c>
      <c r="AD13" s="65"/>
      <c r="AE13" s="63">
        <v>11672858</v>
      </c>
      <c r="AF13" s="462" t="s">
        <v>2502</v>
      </c>
      <c r="AG13" s="66">
        <v>12785627</v>
      </c>
      <c r="AI13" s="4940">
        <v>11672858</v>
      </c>
      <c r="AJ13" s="4941">
        <v>10366228</v>
      </c>
      <c r="AK13" s="106"/>
      <c r="AL13" s="73">
        <f>IF(AI13=0,0,AJ13/AI13)</f>
        <v>0.88806254646462757</v>
      </c>
      <c r="AM13" s="65"/>
      <c r="AN13" s="63">
        <v>8917095</v>
      </c>
      <c r="AO13" s="462" t="s">
        <v>2503</v>
      </c>
      <c r="AP13" s="63">
        <f t="shared" ref="AP13:AP14" si="0">AN13*AL13</f>
        <v>7918938.0927669983</v>
      </c>
      <c r="AR13" s="4940">
        <f>9227095+3006088</f>
        <v>12233183</v>
      </c>
      <c r="AS13" s="4941">
        <f>8783755+3006088</f>
        <v>11789843</v>
      </c>
      <c r="AT13" s="253" t="s">
        <v>2504</v>
      </c>
      <c r="AU13" s="73">
        <f>IF(AR13=0,0,AS13/AR13)</f>
        <v>0.96375922766789313</v>
      </c>
      <c r="AV13" s="65"/>
      <c r="AW13" s="4940">
        <f>10236435</f>
        <v>10236435</v>
      </c>
      <c r="AX13" s="253" t="s">
        <v>2504</v>
      </c>
      <c r="AY13" s="4941">
        <f>AW13*AU13</f>
        <v>9865458.6896725893</v>
      </c>
      <c r="BA13" s="4940">
        <f>10236435</f>
        <v>10236435</v>
      </c>
      <c r="BB13" s="4941">
        <f>10970623</f>
        <v>10970623</v>
      </c>
      <c r="BC13" s="253" t="s">
        <v>2504</v>
      </c>
      <c r="BD13" s="73">
        <f>IF(BA13=0,0,BB13/BA13)</f>
        <v>1.0717230168510814</v>
      </c>
      <c r="BE13" s="65"/>
      <c r="BF13" s="4940">
        <f>6626801</f>
        <v>6626801</v>
      </c>
      <c r="BG13" s="57" t="s">
        <v>2505</v>
      </c>
      <c r="BH13" s="4941">
        <f>BF13*BD13</f>
        <v>7102095.1597917629</v>
      </c>
    </row>
    <row r="14" spans="1:60" s="462" customFormat="1" ht="14.75" customHeight="1" x14ac:dyDescent="0.35">
      <c r="A14" s="9153"/>
      <c r="B14" s="75"/>
      <c r="C14" s="4943" t="s">
        <v>465</v>
      </c>
      <c r="D14" s="456"/>
      <c r="F14" s="756"/>
      <c r="G14" s="745"/>
      <c r="H14" s="757"/>
      <c r="I14" s="758"/>
      <c r="J14" s="754"/>
      <c r="K14" s="745"/>
      <c r="L14" s="746"/>
      <c r="M14" s="749"/>
      <c r="N14" s="80"/>
      <c r="O14" s="746">
        <v>13976976</v>
      </c>
      <c r="P14" s="63">
        <v>14631136</v>
      </c>
      <c r="Q14" s="789"/>
      <c r="R14" s="73">
        <f>IF(O14=0,0,P14/O14)</f>
        <v>1.0468026846436598</v>
      </c>
      <c r="S14" s="80"/>
      <c r="T14" s="79">
        <v>15932000</v>
      </c>
      <c r="U14" s="106"/>
      <c r="V14" s="66">
        <v>14608190</v>
      </c>
      <c r="W14" s="80"/>
      <c r="X14" s="723"/>
      <c r="Z14" s="746">
        <v>13976976</v>
      </c>
      <c r="AA14" s="63">
        <v>14631136</v>
      </c>
      <c r="AB14" s="789"/>
      <c r="AC14" s="73">
        <f>IF(Z14=0,0,AA14/Z14)</f>
        <v>1.0468026846436598</v>
      </c>
      <c r="AD14" s="80"/>
      <c r="AE14" s="79">
        <v>18243819</v>
      </c>
      <c r="AF14" s="106" t="s">
        <v>2502</v>
      </c>
      <c r="AG14" s="66">
        <v>19714331</v>
      </c>
      <c r="AI14" s="4940">
        <v>18243819</v>
      </c>
      <c r="AJ14" s="4941">
        <v>17286112</v>
      </c>
      <c r="AK14" s="106"/>
      <c r="AL14" s="73">
        <f>IF(AI14=0,0,AJ14/AI14)</f>
        <v>0.9475051248864067</v>
      </c>
      <c r="AM14" s="80"/>
      <c r="AN14" s="79">
        <v>21103343</v>
      </c>
      <c r="AO14" s="106" t="s">
        <v>2503</v>
      </c>
      <c r="AP14" s="79">
        <f t="shared" si="0"/>
        <v>19995525.644735675</v>
      </c>
      <c r="AR14" s="4940">
        <v>21103343</v>
      </c>
      <c r="AS14" s="4941">
        <v>18833437</v>
      </c>
      <c r="AT14" s="253" t="s">
        <v>2504</v>
      </c>
      <c r="AU14" s="73">
        <f>IF(AR14=0,0,AS14/AR14)</f>
        <v>0.89243855819431073</v>
      </c>
      <c r="AV14" s="80"/>
      <c r="AW14" s="4940">
        <v>20492879</v>
      </c>
      <c r="AX14" s="253" t="s">
        <v>2504</v>
      </c>
      <c r="AY14" s="4941">
        <f>AW14*AU14</f>
        <v>18288635.388010468</v>
      </c>
      <c r="BA14" s="4940">
        <v>20492879</v>
      </c>
      <c r="BB14" s="4941">
        <v>22606583</v>
      </c>
      <c r="BC14" s="253" t="s">
        <v>2504</v>
      </c>
      <c r="BD14" s="73">
        <f>IF(BA14=0,0,BB14/BA14)</f>
        <v>1.1031433406697029</v>
      </c>
      <c r="BE14" s="80"/>
      <c r="BF14" s="4940">
        <v>13976464</v>
      </c>
      <c r="BG14" s="57" t="s">
        <v>2506</v>
      </c>
      <c r="BH14" s="4941">
        <f>BF14*BD14</f>
        <v>15418043.187709838</v>
      </c>
    </row>
    <row r="15" spans="1:60" s="462" customFormat="1" ht="12.75" customHeight="1" x14ac:dyDescent="0.35">
      <c r="A15" s="9153"/>
      <c r="B15" s="85"/>
      <c r="C15" s="4944" t="s">
        <v>466</v>
      </c>
      <c r="D15" s="456">
        <v>3</v>
      </c>
      <c r="E15" s="223"/>
      <c r="F15" s="763">
        <f>SUM(F12:F13)</f>
        <v>133556123</v>
      </c>
      <c r="G15" s="745"/>
      <c r="H15" s="764">
        <f>SUM(H12:H13)</f>
        <v>182510636</v>
      </c>
      <c r="I15" s="765">
        <f>SUM(I12:I13)</f>
        <v>149001695</v>
      </c>
      <c r="J15" s="766">
        <f>IF(H15=0,0,I15/H15)</f>
        <v>0.81640006448720059</v>
      </c>
      <c r="K15" s="745"/>
      <c r="L15" s="764">
        <f>SUM(L12:L13)</f>
        <v>171125249</v>
      </c>
      <c r="M15" s="767">
        <f>L15*J15</f>
        <v>139706664.31898826</v>
      </c>
      <c r="N15" s="80"/>
      <c r="O15" s="764">
        <v>185102226</v>
      </c>
      <c r="P15" s="90">
        <v>182670540</v>
      </c>
      <c r="Q15" s="1000"/>
      <c r="R15" s="91">
        <f>IF(O15=0,0,P15/O15)</f>
        <v>0.98686301049669711</v>
      </c>
      <c r="S15" s="80"/>
      <c r="T15" s="90">
        <v>205060012</v>
      </c>
      <c r="U15" s="216"/>
      <c r="V15" s="92">
        <v>196183324</v>
      </c>
      <c r="W15" s="80"/>
      <c r="X15" s="722" t="s">
        <v>2507</v>
      </c>
      <c r="Z15" s="764">
        <v>185102226</v>
      </c>
      <c r="AA15" s="90">
        <v>182670540</v>
      </c>
      <c r="AB15" s="1000"/>
      <c r="AC15" s="91">
        <f>IF(Z15=0,0,AA15/Z15)</f>
        <v>0.98686301049669711</v>
      </c>
      <c r="AD15" s="80"/>
      <c r="AE15" s="90">
        <f>AE12-AE14</f>
        <v>199186512</v>
      </c>
      <c r="AF15" s="216" t="s">
        <v>2502</v>
      </c>
      <c r="AG15" s="92">
        <f>AG12-AG14</f>
        <v>206960090</v>
      </c>
      <c r="AI15" s="4945">
        <v>199186512</v>
      </c>
      <c r="AJ15" s="4946">
        <v>223581886</v>
      </c>
      <c r="AK15" s="216"/>
      <c r="AL15" s="91">
        <f>IF(AI15=0,0,AJ15/AI15)</f>
        <v>1.1224750298353534</v>
      </c>
      <c r="AM15" s="80"/>
      <c r="AN15" s="90">
        <v>201859924</v>
      </c>
      <c r="AO15" s="216" t="s">
        <v>2503</v>
      </c>
      <c r="AP15" s="90">
        <f>SUM(AP12:AP14)</f>
        <v>238488644.62456959</v>
      </c>
      <c r="AR15" s="4945">
        <v>233682029</v>
      </c>
      <c r="AS15" s="4946">
        <v>246723030</v>
      </c>
      <c r="AT15" s="216"/>
      <c r="AU15" s="91">
        <f>IF(AR15=0,0,AS15/AR15)</f>
        <v>1.055806606335141</v>
      </c>
      <c r="AV15" s="80"/>
      <c r="AW15" s="4945">
        <f>SUM(AW12:AW14)</f>
        <v>269051991</v>
      </c>
      <c r="AX15" s="216" t="s">
        <v>2503</v>
      </c>
      <c r="AY15" s="4946">
        <f>SUM(AY12:AY14)</f>
        <v>284200345.04004669</v>
      </c>
      <c r="BA15" s="4945">
        <f>SUM(BA12:BA14)</f>
        <v>269051991</v>
      </c>
      <c r="BB15" s="4946">
        <f>SUM(BB12:BB14)</f>
        <v>274162551</v>
      </c>
      <c r="BC15" s="216"/>
      <c r="BD15" s="91">
        <f>IF(BA15=0,0,BB15/BA15)</f>
        <v>1.0189946931111913</v>
      </c>
      <c r="BE15" s="80"/>
      <c r="BF15" s="4945">
        <f>SUM(BF12:BF14)</f>
        <v>250648831</v>
      </c>
      <c r="BG15" s="98" t="s">
        <v>2508</v>
      </c>
      <c r="BH15" s="4946">
        <f>SUM(BH12:BH14)</f>
        <v>254749788.32676175</v>
      </c>
    </row>
    <row r="16" spans="1:60" s="462" customFormat="1" x14ac:dyDescent="0.35">
      <c r="A16" s="9153"/>
      <c r="B16" s="100" t="s">
        <v>468</v>
      </c>
      <c r="C16" s="864"/>
      <c r="D16" s="729"/>
      <c r="E16" s="729"/>
      <c r="F16" s="772"/>
      <c r="G16" s="729"/>
      <c r="H16" s="773"/>
      <c r="I16" s="774"/>
      <c r="J16" s="775"/>
      <c r="K16" s="729"/>
      <c r="L16" s="773"/>
      <c r="M16" s="776"/>
      <c r="N16" s="43"/>
      <c r="O16" s="102" t="s">
        <v>2509</v>
      </c>
      <c r="P16" s="106"/>
      <c r="Q16" s="106"/>
      <c r="R16" s="104"/>
      <c r="S16" s="43"/>
      <c r="T16" s="777"/>
      <c r="U16" s="106"/>
      <c r="V16" s="105"/>
      <c r="W16" s="43"/>
      <c r="X16" s="718"/>
      <c r="Z16" s="102" t="s">
        <v>2509</v>
      </c>
      <c r="AA16" s="106"/>
      <c r="AB16" s="106"/>
      <c r="AC16" s="104"/>
      <c r="AD16" s="43"/>
      <c r="AE16" s="777"/>
      <c r="AF16" s="106"/>
      <c r="AG16" s="105"/>
      <c r="AI16" s="102"/>
      <c r="AJ16" s="103" t="s">
        <v>2510</v>
      </c>
      <c r="AK16" s="106"/>
      <c r="AL16" s="104"/>
      <c r="AM16" s="43"/>
      <c r="AN16" s="777"/>
      <c r="AO16" s="106"/>
      <c r="AP16" s="777"/>
      <c r="AR16" s="6851"/>
      <c r="AS16" s="103" t="s">
        <v>2510</v>
      </c>
      <c r="AT16" s="106"/>
      <c r="AU16" s="104"/>
      <c r="AV16" s="43"/>
      <c r="AW16" s="777"/>
      <c r="AX16" s="106"/>
      <c r="AY16" s="777"/>
      <c r="BA16" s="6851"/>
      <c r="BB16" s="103" t="s">
        <v>2510</v>
      </c>
      <c r="BC16" s="106"/>
      <c r="BD16" s="104"/>
      <c r="BE16" s="43"/>
      <c r="BF16" s="777"/>
      <c r="BG16" s="106"/>
      <c r="BH16" s="777"/>
    </row>
    <row r="17" spans="1:60" s="462" customFormat="1" x14ac:dyDescent="0.35">
      <c r="A17" s="9153"/>
      <c r="B17" s="6082"/>
      <c r="C17" s="1616" t="s">
        <v>470</v>
      </c>
      <c r="D17" s="456"/>
      <c r="E17" s="456"/>
      <c r="F17" s="779">
        <f>103984699-F19</f>
        <v>92546594</v>
      </c>
      <c r="G17" s="456"/>
      <c r="H17" s="780">
        <f>162926154-H19</f>
        <v>128292506</v>
      </c>
      <c r="I17" s="781">
        <f>161233875-I19</f>
        <v>127494090</v>
      </c>
      <c r="J17" s="1003">
        <f>IF(H17=0,0,I17/H17)</f>
        <v>0.99377659674057661</v>
      </c>
      <c r="K17" s="456"/>
      <c r="L17" s="780">
        <f>182029985-L19</f>
        <v>142649372</v>
      </c>
      <c r="M17" s="783">
        <f>L17*J17</f>
        <v>141761607.43334049</v>
      </c>
      <c r="N17" s="1"/>
      <c r="O17" s="112">
        <v>146645018</v>
      </c>
      <c r="P17" s="115">
        <v>141152169</v>
      </c>
      <c r="Q17" s="789" t="s">
        <v>2511</v>
      </c>
      <c r="R17" s="64">
        <f>IF(O17=0,0,P17/O17)</f>
        <v>0.96254322802838077</v>
      </c>
      <c r="S17" s="1"/>
      <c r="T17" s="117">
        <v>164308090</v>
      </c>
      <c r="U17" s="789" t="s">
        <v>2511</v>
      </c>
      <c r="V17" s="66">
        <v>166651940</v>
      </c>
      <c r="W17" s="1"/>
      <c r="X17" s="723" t="s">
        <v>2512</v>
      </c>
      <c r="Z17" s="112">
        <v>146645018</v>
      </c>
      <c r="AA17" s="115">
        <v>141152169</v>
      </c>
      <c r="AB17" s="789" t="s">
        <v>2511</v>
      </c>
      <c r="AC17" s="64">
        <f>IF(Z17=0,0,AA17/Z17)</f>
        <v>0.96254322802838077</v>
      </c>
      <c r="AD17" s="1"/>
      <c r="AE17" s="117">
        <v>177528680</v>
      </c>
      <c r="AF17" s="789" t="s">
        <v>2498</v>
      </c>
      <c r="AG17" s="66">
        <v>176061140</v>
      </c>
      <c r="AI17" s="248">
        <v>177528680</v>
      </c>
      <c r="AJ17" s="1033">
        <v>173373477</v>
      </c>
      <c r="AK17" s="106" t="s">
        <v>2511</v>
      </c>
      <c r="AL17" s="64">
        <f>IF(AI17=0,0,AJ17/AI17)</f>
        <v>0.97659418748565019</v>
      </c>
      <c r="AM17" s="1"/>
      <c r="AN17" s="117">
        <v>207391340</v>
      </c>
      <c r="AO17" s="789" t="s">
        <v>2498</v>
      </c>
      <c r="AP17" s="117">
        <f t="shared" ref="AP17:AP18" si="1">AN17*AL17</f>
        <v>202537177.17886022</v>
      </c>
      <c r="AR17" s="248">
        <f>207391348-AR19</f>
        <v>188379520</v>
      </c>
      <c r="AS17" s="1033">
        <f>211083300-AS19</f>
        <v>193411762</v>
      </c>
      <c r="AT17" s="789" t="s">
        <v>2513</v>
      </c>
      <c r="AU17" s="64">
        <f>IF(AR17=0,0,AS17/AR17)</f>
        <v>1.0267133178808396</v>
      </c>
      <c r="AV17" s="1"/>
      <c r="AW17" s="248">
        <f>231440457-AW19</f>
        <v>213101755</v>
      </c>
      <c r="AX17" s="789" t="s">
        <v>2513</v>
      </c>
      <c r="AY17" s="248">
        <f>AW17*AU17</f>
        <v>218794409.9222798</v>
      </c>
      <c r="BA17" s="248">
        <f>231440457-BA19</f>
        <v>213101755</v>
      </c>
      <c r="BB17" s="1033">
        <f>225331034-BB19</f>
        <v>207683140</v>
      </c>
      <c r="BC17" s="789" t="s">
        <v>2513</v>
      </c>
      <c r="BD17" s="64">
        <f>IF(BA17=0,0,BB17/BA17)</f>
        <v>0.97457264019247514</v>
      </c>
      <c r="BE17" s="1"/>
      <c r="BF17" s="248">
        <f>260919459-BF19</f>
        <v>241595115</v>
      </c>
      <c r="BG17" s="119" t="s">
        <v>2514</v>
      </c>
      <c r="BH17" s="248">
        <f>BF17*BD17</f>
        <v>235451989.08315465</v>
      </c>
    </row>
    <row r="18" spans="1:60" s="462" customFormat="1" x14ac:dyDescent="0.35">
      <c r="A18" s="9153"/>
      <c r="B18" s="6082"/>
      <c r="C18" s="1616" t="s">
        <v>474</v>
      </c>
      <c r="D18" s="456"/>
      <c r="E18" s="456"/>
      <c r="F18" s="779">
        <v>50116285</v>
      </c>
      <c r="G18" s="456"/>
      <c r="H18" s="785">
        <v>81193612</v>
      </c>
      <c r="I18" s="786">
        <v>51013620</v>
      </c>
      <c r="J18" s="1003">
        <f>IF(H18=0,0,I18/H18)</f>
        <v>0.6282959797379134</v>
      </c>
      <c r="K18" s="456"/>
      <c r="L18" s="785">
        <v>39048621</v>
      </c>
      <c r="M18" s="783">
        <f>L18*J18</f>
        <v>24534091.588609461</v>
      </c>
      <c r="N18" s="1"/>
      <c r="O18" s="117">
        <v>39048621</v>
      </c>
      <c r="P18" s="115">
        <v>30664882</v>
      </c>
      <c r="Q18" s="789" t="s">
        <v>2511</v>
      </c>
      <c r="R18" s="64">
        <f>IF(O18=0,0,P18/O18)</f>
        <v>0.78529999817407126</v>
      </c>
      <c r="S18" s="1"/>
      <c r="T18" s="117">
        <v>52183806</v>
      </c>
      <c r="U18" s="789" t="s">
        <v>2511</v>
      </c>
      <c r="V18" s="66">
        <v>47606464</v>
      </c>
      <c r="W18" s="1"/>
      <c r="X18" s="723" t="s">
        <v>2515</v>
      </c>
      <c r="Z18" s="117">
        <v>39048621</v>
      </c>
      <c r="AA18" s="115">
        <v>30664882</v>
      </c>
      <c r="AB18" s="789" t="s">
        <v>2511</v>
      </c>
      <c r="AC18" s="64">
        <f>IF(Z18=0,0,AA18/Z18)</f>
        <v>0.78529999817407126</v>
      </c>
      <c r="AD18" s="1"/>
      <c r="AE18" s="117">
        <v>56758352</v>
      </c>
      <c r="AF18" s="789" t="s">
        <v>2498</v>
      </c>
      <c r="AG18" s="66">
        <v>58145950</v>
      </c>
      <c r="AI18" s="200">
        <v>56758352</v>
      </c>
      <c r="AJ18" s="204">
        <v>58618258</v>
      </c>
      <c r="AK18" s="106" t="s">
        <v>2511</v>
      </c>
      <c r="AL18" s="64">
        <f>IF(AI18=0,0,AJ18/AI18)</f>
        <v>1.0327688513577702</v>
      </c>
      <c r="AM18" s="1"/>
      <c r="AN18" s="117">
        <v>59702423</v>
      </c>
      <c r="AO18" s="789" t="s">
        <v>2498</v>
      </c>
      <c r="AP18" s="117">
        <f t="shared" si="1"/>
        <v>61658802.82498572</v>
      </c>
      <c r="AR18" s="200">
        <v>59702423</v>
      </c>
      <c r="AS18" s="204">
        <v>59016123</v>
      </c>
      <c r="AT18" s="789" t="s">
        <v>2513</v>
      </c>
      <c r="AU18" s="64">
        <f>IF(AR18=0,0,AS18/AR18)</f>
        <v>0.98850465415783884</v>
      </c>
      <c r="AV18" s="1"/>
      <c r="AW18" s="200">
        <v>69278554</v>
      </c>
      <c r="AX18" s="789" t="s">
        <v>2513</v>
      </c>
      <c r="AY18" s="200">
        <f>AW18*AU18</f>
        <v>68482173.062325165</v>
      </c>
      <c r="BA18" s="200">
        <v>69278554</v>
      </c>
      <c r="BB18" s="204">
        <v>66262439</v>
      </c>
      <c r="BC18" s="789" t="s">
        <v>2513</v>
      </c>
      <c r="BD18" s="64">
        <f>IF(BA18=0,0,BB18/BA18)</f>
        <v>0.95646394409444513</v>
      </c>
      <c r="BE18" s="1"/>
      <c r="BF18" s="200">
        <v>76114743</v>
      </c>
      <c r="BG18" s="119" t="s">
        <v>2516</v>
      </c>
      <c r="BH18" s="200">
        <f>BF18*BD18</f>
        <v>72801007.293515056</v>
      </c>
    </row>
    <row r="19" spans="1:60" s="462" customFormat="1" x14ac:dyDescent="0.35">
      <c r="A19" s="9153"/>
      <c r="B19" s="6082"/>
      <c r="C19" s="4947" t="s">
        <v>2517</v>
      </c>
      <c r="D19" s="456"/>
      <c r="E19" s="456"/>
      <c r="F19" s="788">
        <v>11438105</v>
      </c>
      <c r="G19" s="456"/>
      <c r="H19" s="785">
        <v>34633648</v>
      </c>
      <c r="I19" s="786">
        <v>33739785</v>
      </c>
      <c r="J19" s="1003">
        <f>IF(H19=0,0,I19/H19)</f>
        <v>0.97419090821734977</v>
      </c>
      <c r="K19" s="456"/>
      <c r="L19" s="785">
        <v>39380613</v>
      </c>
      <c r="M19" s="783">
        <f>L19*J19</f>
        <v>38364235.144625969</v>
      </c>
      <c r="N19" s="1"/>
      <c r="O19" s="117">
        <v>35384967</v>
      </c>
      <c r="P19" s="115">
        <v>20251831</v>
      </c>
      <c r="Q19" s="789" t="s">
        <v>2511</v>
      </c>
      <c r="R19" s="64">
        <f>IF(O19=0,0,P19/O19)</f>
        <v>0.57232866714274455</v>
      </c>
      <c r="S19" s="1"/>
      <c r="T19" s="117">
        <v>13544630</v>
      </c>
      <c r="U19" s="789" t="s">
        <v>2511</v>
      </c>
      <c r="V19" s="66">
        <v>12310168</v>
      </c>
      <c r="W19" s="1"/>
      <c r="X19" s="723" t="s">
        <v>2518</v>
      </c>
      <c r="Z19" s="117">
        <v>35384967</v>
      </c>
      <c r="AA19" s="115">
        <v>20251831</v>
      </c>
      <c r="AB19" s="789" t="s">
        <v>2511</v>
      </c>
      <c r="AC19" s="64">
        <f>IF(Z19=0,0,AA19/Z19)</f>
        <v>0.57232866714274455</v>
      </c>
      <c r="AD19" s="1"/>
      <c r="AE19" s="117">
        <v>15836134</v>
      </c>
      <c r="AF19" s="789" t="s">
        <v>2498</v>
      </c>
      <c r="AG19" s="66">
        <v>15225444</v>
      </c>
      <c r="AI19" s="200">
        <v>15836134</v>
      </c>
      <c r="AJ19" s="204">
        <v>14828323</v>
      </c>
      <c r="AK19" s="106" t="s">
        <v>2511</v>
      </c>
      <c r="AL19" s="64">
        <f>IF(AI19=0,0,AJ19/AI19)</f>
        <v>0.93636003585218464</v>
      </c>
      <c r="AM19" s="1"/>
      <c r="AN19" s="117"/>
      <c r="AO19" s="789" t="s">
        <v>2498</v>
      </c>
      <c r="AP19" s="117"/>
      <c r="AR19" s="200">
        <v>19011828</v>
      </c>
      <c r="AS19" s="204">
        <v>17671538</v>
      </c>
      <c r="AT19" s="789" t="s">
        <v>2513</v>
      </c>
      <c r="AU19" s="64">
        <f>IF(AR19=0,0,AS19/AR19)</f>
        <v>0.92950230772127751</v>
      </c>
      <c r="AV19" s="1"/>
      <c r="AW19" s="200">
        <v>18338702</v>
      </c>
      <c r="AX19" s="789" t="s">
        <v>2513</v>
      </c>
      <c r="AY19" s="200">
        <f>AW19*AU19</f>
        <v>17045865.829612806</v>
      </c>
      <c r="BA19" s="200">
        <v>18338702</v>
      </c>
      <c r="BB19" s="204">
        <v>17647894</v>
      </c>
      <c r="BC19" s="789" t="s">
        <v>2513</v>
      </c>
      <c r="BD19" s="64">
        <f>IF(BA19=0,0,BB19/BA19)</f>
        <v>0.96233059460805892</v>
      </c>
      <c r="BE19" s="1"/>
      <c r="BF19" s="200">
        <v>19324344</v>
      </c>
      <c r="BG19" s="119" t="s">
        <v>2519</v>
      </c>
      <c r="BH19" s="200">
        <f>BF19*BD19</f>
        <v>18596407.451930676</v>
      </c>
    </row>
    <row r="20" spans="1:60" s="462" customFormat="1" x14ac:dyDescent="0.35">
      <c r="A20" s="9153"/>
      <c r="B20" s="6082"/>
      <c r="C20" s="4947" t="s">
        <v>478</v>
      </c>
      <c r="D20" s="456"/>
      <c r="E20" s="456"/>
      <c r="F20" s="790"/>
      <c r="G20" s="456"/>
      <c r="H20" s="791"/>
      <c r="I20" s="792"/>
      <c r="J20" s="1003"/>
      <c r="K20" s="456"/>
      <c r="L20" s="785"/>
      <c r="M20" s="783"/>
      <c r="N20" s="1"/>
      <c r="O20" s="117"/>
      <c r="P20" s="123"/>
      <c r="Q20" s="789"/>
      <c r="R20" s="64">
        <f>IF(O20=0,0,P20/O20)</f>
        <v>0</v>
      </c>
      <c r="S20" s="1"/>
      <c r="T20" s="114"/>
      <c r="U20" s="789"/>
      <c r="V20" s="66"/>
      <c r="W20" s="1"/>
      <c r="X20" s="723"/>
      <c r="Z20" s="117"/>
      <c r="AA20" s="123"/>
      <c r="AB20" s="789"/>
      <c r="AC20" s="64">
        <f>IF(Z20=0,0,AA20/Z20)</f>
        <v>0</v>
      </c>
      <c r="AD20" s="1"/>
      <c r="AE20" s="114"/>
      <c r="AF20" s="789"/>
      <c r="AG20" s="66"/>
      <c r="AI20" s="200"/>
      <c r="AJ20" s="204"/>
      <c r="AK20" s="106"/>
      <c r="AL20" s="64">
        <f>IF(AI20=0,0,AJ20/AI20)</f>
        <v>0</v>
      </c>
      <c r="AM20" s="1"/>
      <c r="AN20" s="114"/>
      <c r="AO20" s="789"/>
      <c r="AP20" s="114"/>
      <c r="AR20" s="200"/>
      <c r="AS20" s="204"/>
      <c r="AT20" s="106"/>
      <c r="AU20" s="64">
        <f>IF(AR20=0,0,AS20/AR20)</f>
        <v>0</v>
      </c>
      <c r="AV20" s="1"/>
      <c r="AW20" s="200"/>
      <c r="AX20" s="789"/>
      <c r="AY20" s="200"/>
      <c r="BA20" s="200"/>
      <c r="BB20" s="204"/>
      <c r="BC20" s="106"/>
      <c r="BD20" s="64">
        <f>IF(BA20=0,0,BB20/BA20)</f>
        <v>0</v>
      </c>
      <c r="BE20" s="1"/>
      <c r="BF20" s="200"/>
      <c r="BG20" s="4954"/>
      <c r="BH20" s="200"/>
    </row>
    <row r="21" spans="1:60" s="462" customFormat="1" x14ac:dyDescent="0.35">
      <c r="A21" s="9153"/>
      <c r="B21" s="128"/>
      <c r="C21" s="4948" t="s">
        <v>479</v>
      </c>
      <c r="D21" s="456"/>
      <c r="E21" s="729"/>
      <c r="F21" s="795">
        <f>SUM(F17:F19)</f>
        <v>154100984</v>
      </c>
      <c r="G21" s="456"/>
      <c r="H21" s="796">
        <f>SUM(H17:H19)</f>
        <v>244119766</v>
      </c>
      <c r="I21" s="797">
        <f>SUM(I17:I19)</f>
        <v>212247495</v>
      </c>
      <c r="J21" s="1004">
        <f>IF(H21=0,0,I21/H21)</f>
        <v>0.86944002314011726</v>
      </c>
      <c r="K21" s="456"/>
      <c r="L21" s="796">
        <f>SUM(L17:L19)</f>
        <v>221078606</v>
      </c>
      <c r="M21" s="799">
        <f>L21*J21</f>
        <v>192214588.31642488</v>
      </c>
      <c r="N21" s="1"/>
      <c r="O21" s="131">
        <v>221078606</v>
      </c>
      <c r="P21" s="132">
        <v>192068882</v>
      </c>
      <c r="Q21" s="789" t="s">
        <v>2511</v>
      </c>
      <c r="R21" s="133">
        <f>IF(O21=0,0,P21/O21)</f>
        <v>0.86878095296113822</v>
      </c>
      <c r="S21" s="1"/>
      <c r="T21" s="131">
        <v>230036526</v>
      </c>
      <c r="U21" s="789" t="s">
        <v>2511</v>
      </c>
      <c r="V21" s="92">
        <v>226568572</v>
      </c>
      <c r="W21" s="1"/>
      <c r="X21" s="723" t="s">
        <v>2520</v>
      </c>
      <c r="Z21" s="131">
        <v>221078606</v>
      </c>
      <c r="AA21" s="132">
        <v>192068882</v>
      </c>
      <c r="AB21" s="789" t="s">
        <v>2511</v>
      </c>
      <c r="AC21" s="133">
        <f>IF(Z21=0,0,AA21/Z21)</f>
        <v>0.86878095296113822</v>
      </c>
      <c r="AD21" s="1"/>
      <c r="AE21" s="131">
        <v>250123167</v>
      </c>
      <c r="AF21" s="789" t="s">
        <v>2498</v>
      </c>
      <c r="AG21" s="92">
        <v>249432534</v>
      </c>
      <c r="AI21" s="214">
        <v>250123167</v>
      </c>
      <c r="AJ21" s="135">
        <f>SUM(AJ17:AJ20)</f>
        <v>246820058</v>
      </c>
      <c r="AK21" s="106" t="s">
        <v>2511</v>
      </c>
      <c r="AL21" s="133">
        <f>IF(AI21=0,0,AJ21/AI21)</f>
        <v>0.98679407013905274</v>
      </c>
      <c r="AM21" s="1"/>
      <c r="AN21" s="131">
        <v>267093771</v>
      </c>
      <c r="AO21" s="789" t="s">
        <v>2498</v>
      </c>
      <c r="AP21" s="131">
        <f>SUM(AP17:AP20)</f>
        <v>264195980.00384593</v>
      </c>
      <c r="AR21" s="214">
        <f>SUM(AR17:AR20)</f>
        <v>267093771</v>
      </c>
      <c r="AS21" s="135">
        <f>SUM(AS17:AS20)</f>
        <v>270099423</v>
      </c>
      <c r="AT21" s="789" t="s">
        <v>2513</v>
      </c>
      <c r="AU21" s="133">
        <f>IF(AR21=0,0,AS21/AR21)</f>
        <v>1.0112531714564021</v>
      </c>
      <c r="AV21" s="1"/>
      <c r="AW21" s="214">
        <f>SUM(AW17:AW20)</f>
        <v>300719011</v>
      </c>
      <c r="AX21" s="789" t="s">
        <v>2513</v>
      </c>
      <c r="AY21" s="214">
        <f>SUM(AY17:AY20)</f>
        <v>304322448.81421775</v>
      </c>
      <c r="BA21" s="214">
        <f>SUM(BA17:BA20)</f>
        <v>300719011</v>
      </c>
      <c r="BB21" s="135">
        <f>SUM(BB17:BB20)</f>
        <v>291593473</v>
      </c>
      <c r="BC21" s="789" t="s">
        <v>2513</v>
      </c>
      <c r="BD21" s="133">
        <f>IF(BA21=0,0,BB21/BA21)</f>
        <v>0.96965426971293145</v>
      </c>
      <c r="BE21" s="1"/>
      <c r="BF21" s="214">
        <f>SUM(BF17:BF20)</f>
        <v>337034202</v>
      </c>
      <c r="BG21" s="119" t="s">
        <v>2519</v>
      </c>
      <c r="BH21" s="214">
        <f>SUM(BH17:BH20)</f>
        <v>326849403.82860041</v>
      </c>
    </row>
    <row r="22" spans="1:60" s="462" customFormat="1" x14ac:dyDescent="0.35">
      <c r="A22" s="9153"/>
      <c r="B22" s="139" t="s">
        <v>480</v>
      </c>
      <c r="C22" s="864"/>
      <c r="D22" s="801"/>
      <c r="E22" s="456"/>
      <c r="F22" s="802"/>
      <c r="G22" s="801"/>
      <c r="H22" s="803"/>
      <c r="I22" s="804"/>
      <c r="J22" s="1005"/>
      <c r="K22" s="801"/>
      <c r="L22" s="147"/>
      <c r="M22" s="806"/>
      <c r="N22" s="141"/>
      <c r="O22" s="144"/>
      <c r="P22" s="145"/>
      <c r="Q22" s="145"/>
      <c r="R22" s="146"/>
      <c r="S22" s="141"/>
      <c r="T22" s="151"/>
      <c r="U22" s="145"/>
      <c r="V22" s="148"/>
      <c r="W22" s="141"/>
      <c r="X22" s="718"/>
      <c r="Z22" s="144"/>
      <c r="AA22" s="145"/>
      <c r="AB22" s="145"/>
      <c r="AC22" s="146"/>
      <c r="AD22" s="141"/>
      <c r="AE22" s="151"/>
      <c r="AF22" s="145"/>
      <c r="AG22" s="148"/>
      <c r="AI22" s="144"/>
      <c r="AJ22" s="145"/>
      <c r="AK22" s="145"/>
      <c r="AL22" s="146"/>
      <c r="AM22" s="141"/>
      <c r="AN22" s="151"/>
      <c r="AO22" s="145"/>
      <c r="AP22" s="151"/>
      <c r="AR22" s="145"/>
      <c r="AS22" s="145"/>
      <c r="AT22" s="145"/>
      <c r="AU22" s="146"/>
      <c r="AV22" s="141"/>
      <c r="AW22" s="151"/>
      <c r="AX22" s="145"/>
      <c r="AY22" s="151"/>
      <c r="BA22" s="145"/>
      <c r="BB22" s="145"/>
      <c r="BC22" s="145"/>
      <c r="BD22" s="146"/>
      <c r="BE22" s="141"/>
      <c r="BF22" s="151"/>
      <c r="BG22" s="487"/>
      <c r="BH22" s="151"/>
    </row>
    <row r="23" spans="1:60" s="462" customFormat="1" x14ac:dyDescent="0.35">
      <c r="A23" s="9153"/>
      <c r="B23" s="6082"/>
      <c r="C23" s="1616" t="s">
        <v>483</v>
      </c>
      <c r="D23" s="456"/>
      <c r="E23" s="456"/>
      <c r="F23" s="788"/>
      <c r="G23" s="456"/>
      <c r="H23" s="785"/>
      <c r="I23" s="786"/>
      <c r="J23" s="1003">
        <f>IF(H23=0,0,I23/H23)</f>
        <v>0</v>
      </c>
      <c r="K23" s="456"/>
      <c r="L23" s="807"/>
      <c r="M23" s="808">
        <f>L23*J23</f>
        <v>0</v>
      </c>
      <c r="N23" s="1"/>
      <c r="O23" s="117"/>
      <c r="P23" s="115"/>
      <c r="Q23" s="789"/>
      <c r="R23" s="64">
        <f>IF(O23=0,0,P23/O23)</f>
        <v>0</v>
      </c>
      <c r="S23" s="1"/>
      <c r="T23" s="156"/>
      <c r="U23" s="789"/>
      <c r="V23" s="157"/>
      <c r="W23" s="1"/>
      <c r="X23" s="723"/>
      <c r="Z23" s="117"/>
      <c r="AA23" s="115"/>
      <c r="AB23" s="789"/>
      <c r="AC23" s="64">
        <f>IF(Z23=0,0,AA23/Z23)</f>
        <v>0</v>
      </c>
      <c r="AD23" s="1"/>
      <c r="AE23" s="156"/>
      <c r="AF23" s="789"/>
      <c r="AG23" s="157"/>
      <c r="AI23" s="200"/>
      <c r="AJ23" s="204"/>
      <c r="AK23" s="106"/>
      <c r="AL23" s="64">
        <f>IF(AI23=0,0,AJ23/AI23)</f>
        <v>0</v>
      </c>
      <c r="AM23" s="1"/>
      <c r="AN23" s="156"/>
      <c r="AO23" s="789"/>
      <c r="AP23" s="156"/>
      <c r="AR23" s="200"/>
      <c r="AS23" s="204"/>
      <c r="AT23" s="106"/>
      <c r="AU23" s="64">
        <f>IF(AR23=0,0,AS23/AR23)</f>
        <v>0</v>
      </c>
      <c r="AV23" s="1"/>
      <c r="AW23" s="200"/>
      <c r="AX23" s="789"/>
      <c r="AY23" s="204"/>
      <c r="BA23" s="200"/>
      <c r="BB23" s="204"/>
      <c r="BC23" s="106"/>
      <c r="BD23" s="64">
        <f>IF(BA23=0,0,BB23/BA23)</f>
        <v>0</v>
      </c>
      <c r="BE23" s="1"/>
      <c r="BF23" s="200"/>
      <c r="BG23" s="4954"/>
      <c r="BH23" s="204"/>
    </row>
    <row r="24" spans="1:60" s="462" customFormat="1" x14ac:dyDescent="0.35">
      <c r="A24" s="9153"/>
      <c r="B24" s="6082"/>
      <c r="C24" s="1616" t="s">
        <v>1632</v>
      </c>
      <c r="D24" s="456">
        <v>4</v>
      </c>
      <c r="E24" s="456"/>
      <c r="F24" s="788">
        <f>23050460</f>
        <v>23050460</v>
      </c>
      <c r="G24" s="456"/>
      <c r="H24" s="785">
        <f>32111321</f>
        <v>32111321</v>
      </c>
      <c r="I24" s="786">
        <f>31352746</f>
        <v>31352746</v>
      </c>
      <c r="J24" s="1003">
        <f>IF(H24=0,0,I24/H24)</f>
        <v>0.97637671150308636</v>
      </c>
      <c r="K24" s="456"/>
      <c r="L24" s="807">
        <f>35324251</f>
        <v>35324251</v>
      </c>
      <c r="M24" s="808">
        <f>L24*J24</f>
        <v>34489776.027689613</v>
      </c>
      <c r="N24" s="1"/>
      <c r="O24" s="117">
        <v>35324251</v>
      </c>
      <c r="P24" s="115">
        <v>35092864</v>
      </c>
      <c r="Q24" s="789" t="s">
        <v>2521</v>
      </c>
      <c r="R24" s="64">
        <f>IF(O24=0,0,P24/O24)</f>
        <v>0.99344962756605937</v>
      </c>
      <c r="S24" s="1"/>
      <c r="T24" s="156">
        <v>36980715</v>
      </c>
      <c r="U24" s="789" t="s">
        <v>2521</v>
      </c>
      <c r="V24" s="157">
        <v>36470034</v>
      </c>
      <c r="W24" s="1"/>
      <c r="X24" s="723" t="s">
        <v>2522</v>
      </c>
      <c r="Z24" s="117">
        <v>35324251</v>
      </c>
      <c r="AA24" s="115">
        <v>35092864</v>
      </c>
      <c r="AB24" s="789" t="s">
        <v>2521</v>
      </c>
      <c r="AC24" s="64">
        <f>IF(Z24=0,0,AA24/Z24)</f>
        <v>0.99344962756605937</v>
      </c>
      <c r="AD24" s="1"/>
      <c r="AE24" s="156">
        <f>46863+42016225</f>
        <v>42063088</v>
      </c>
      <c r="AF24" s="789" t="s">
        <v>2523</v>
      </c>
      <c r="AG24" s="157">
        <f>34591+41325421</f>
        <v>41360012</v>
      </c>
      <c r="AI24" s="200">
        <v>42063088</v>
      </c>
      <c r="AJ24" s="204">
        <v>41360012</v>
      </c>
      <c r="AK24" s="106" t="s">
        <v>2521</v>
      </c>
      <c r="AL24" s="64">
        <f>IF(AI24=0,0,AJ24/AI24)</f>
        <v>0.98328520245589202</v>
      </c>
      <c r="AM24" s="1"/>
      <c r="AN24" s="156">
        <v>44336169</v>
      </c>
      <c r="AO24" s="789" t="s">
        <v>2524</v>
      </c>
      <c r="AP24" s="156">
        <f t="shared" ref="AP24:AP25" si="2">AN24*AL24</f>
        <v>43595098.911283642</v>
      </c>
      <c r="AR24" s="200">
        <v>44336169</v>
      </c>
      <c r="AS24" s="204">
        <v>44422179</v>
      </c>
      <c r="AT24" s="789" t="s">
        <v>2525</v>
      </c>
      <c r="AU24" s="64">
        <f>IF(AR24=0,0,AS24/AR24)</f>
        <v>1.0019399511040297</v>
      </c>
      <c r="AV24" s="1"/>
      <c r="AW24" s="200">
        <v>49143030</v>
      </c>
      <c r="AX24" s="789" t="s">
        <v>2525</v>
      </c>
      <c r="AY24" s="204">
        <f>AW24*AU24</f>
        <v>49238365.07530386</v>
      </c>
      <c r="BA24" s="200">
        <v>49143030</v>
      </c>
      <c r="BB24" s="204">
        <v>49387338</v>
      </c>
      <c r="BC24" s="789" t="s">
        <v>2525</v>
      </c>
      <c r="BD24" s="64">
        <f>IF(BA24=0,0,BB24/BA24)</f>
        <v>1.0049713662344386</v>
      </c>
      <c r="BE24" s="1"/>
      <c r="BF24" s="200">
        <v>55781228</v>
      </c>
      <c r="BG24" s="119" t="s">
        <v>2526</v>
      </c>
      <c r="BH24" s="204">
        <f>BF24*BD24</f>
        <v>56058536.913394719</v>
      </c>
    </row>
    <row r="25" spans="1:60" s="462" customFormat="1" x14ac:dyDescent="0.35">
      <c r="A25" s="9153"/>
      <c r="B25" s="6082"/>
      <c r="C25" s="1616" t="s">
        <v>490</v>
      </c>
      <c r="D25" s="456">
        <v>5</v>
      </c>
      <c r="E25" s="456"/>
      <c r="F25" s="788">
        <f>6668127</f>
        <v>6668127</v>
      </c>
      <c r="G25" s="456"/>
      <c r="H25" s="785">
        <f>10894399</f>
        <v>10894399</v>
      </c>
      <c r="I25" s="786">
        <f>10811330</f>
        <v>10811330</v>
      </c>
      <c r="J25" s="1003">
        <f>IF(H25=0,0,I25/H25)</f>
        <v>0.99237507273232783</v>
      </c>
      <c r="K25" s="456"/>
      <c r="L25" s="807">
        <f>10965442</f>
        <v>10965442</v>
      </c>
      <c r="M25" s="808">
        <f>L25*J25</f>
        <v>10881831.302292122</v>
      </c>
      <c r="N25" s="1"/>
      <c r="O25" s="807">
        <v>10965442</v>
      </c>
      <c r="P25" s="115">
        <v>10653766</v>
      </c>
      <c r="Q25" s="789" t="s">
        <v>2527</v>
      </c>
      <c r="R25" s="64">
        <f>IF(O25=0,0,P25/O25)</f>
        <v>0.97157652194959399</v>
      </c>
      <c r="S25" s="1"/>
      <c r="T25" s="156">
        <v>14567151</v>
      </c>
      <c r="U25" s="789" t="s">
        <v>2528</v>
      </c>
      <c r="V25" s="157">
        <v>14567151</v>
      </c>
      <c r="W25" s="1"/>
      <c r="X25" s="723" t="s">
        <v>2529</v>
      </c>
      <c r="Z25" s="807">
        <v>10965442</v>
      </c>
      <c r="AA25" s="115">
        <v>10653766</v>
      </c>
      <c r="AB25" s="789" t="s">
        <v>2527</v>
      </c>
      <c r="AC25" s="64">
        <f>IF(Z25=0,0,AA25/Z25)</f>
        <v>0.97157652194959399</v>
      </c>
      <c r="AD25" s="1"/>
      <c r="AE25" s="156">
        <v>16799725</v>
      </c>
      <c r="AF25" s="789" t="s">
        <v>2523</v>
      </c>
      <c r="AG25" s="157">
        <v>16775005</v>
      </c>
      <c r="AI25" s="4949">
        <v>16799725</v>
      </c>
      <c r="AJ25" s="882">
        <v>16775005</v>
      </c>
      <c r="AK25" s="106" t="s">
        <v>2527</v>
      </c>
      <c r="AL25" s="64">
        <f>IF(AI25=0,0,AJ25/AI25)</f>
        <v>0.99852854734229279</v>
      </c>
      <c r="AM25" s="1"/>
      <c r="AN25" s="156">
        <v>17400150</v>
      </c>
      <c r="AO25" s="789" t="s">
        <v>2524</v>
      </c>
      <c r="AP25" s="156">
        <f t="shared" si="2"/>
        <v>17374546.503037997</v>
      </c>
      <c r="AR25" s="4949">
        <f>23718483-AR19</f>
        <v>4706655</v>
      </c>
      <c r="AS25" s="882">
        <f>22367692-AS19</f>
        <v>4696154</v>
      </c>
      <c r="AT25" s="789" t="s">
        <v>2525</v>
      </c>
      <c r="AU25" s="64">
        <f>IF(AR25=0,0,AS25/AR25)</f>
        <v>0.99776890381810435</v>
      </c>
      <c r="AV25" s="1"/>
      <c r="AW25" s="4949">
        <f>23287043-AW19</f>
        <v>4948341</v>
      </c>
      <c r="AX25" s="789" t="s">
        <v>2525</v>
      </c>
      <c r="AY25" s="882">
        <f>AW25*AU25</f>
        <v>4937300.7752881823</v>
      </c>
      <c r="BA25" s="4949">
        <v>25073</v>
      </c>
      <c r="BB25" s="882">
        <f>730+26796</f>
        <v>27526</v>
      </c>
      <c r="BC25" s="789" t="s">
        <v>2530</v>
      </c>
      <c r="BD25" s="64">
        <f>IF(BA25=0,0,BB25/BA25)</f>
        <v>1.0978343237745782</v>
      </c>
      <c r="BE25" s="1"/>
      <c r="BF25" s="4949">
        <f>566+20212</f>
        <v>20778</v>
      </c>
      <c r="BG25" s="119" t="s">
        <v>2531</v>
      </c>
      <c r="BH25" s="882">
        <f>BF25*BD25</f>
        <v>22810.801579388186</v>
      </c>
    </row>
    <row r="26" spans="1:60" s="462" customFormat="1" x14ac:dyDescent="0.35">
      <c r="A26" s="9153"/>
      <c r="B26" s="6082"/>
      <c r="C26" s="4950" t="s">
        <v>497</v>
      </c>
      <c r="D26" s="456"/>
      <c r="E26" s="801"/>
      <c r="F26" s="790"/>
      <c r="G26" s="456"/>
      <c r="H26" s="818"/>
      <c r="I26" s="819"/>
      <c r="J26" s="1003">
        <f>IF(H26=0,0,I26/H26)</f>
        <v>0</v>
      </c>
      <c r="K26" s="456"/>
      <c r="L26" s="820"/>
      <c r="M26" s="808">
        <f>L26*J26</f>
        <v>0</v>
      </c>
      <c r="N26" s="1"/>
      <c r="O26" s="164"/>
      <c r="P26" s="165"/>
      <c r="Q26" s="106"/>
      <c r="R26" s="64">
        <f>IF(O26=0,0,P26/O26)</f>
        <v>0</v>
      </c>
      <c r="S26" s="1"/>
      <c r="T26" s="156"/>
      <c r="U26" s="106"/>
      <c r="V26" s="157"/>
      <c r="W26" s="1"/>
      <c r="X26" s="723"/>
      <c r="Z26" s="164"/>
      <c r="AA26" s="165"/>
      <c r="AB26" s="106"/>
      <c r="AC26" s="64">
        <f>IF(Z26=0,0,AA26/Z26)</f>
        <v>0</v>
      </c>
      <c r="AD26" s="1"/>
      <c r="AE26" s="156"/>
      <c r="AF26" s="106"/>
      <c r="AG26" s="157"/>
      <c r="AI26" s="164"/>
      <c r="AJ26" s="165"/>
      <c r="AK26" s="106"/>
      <c r="AL26" s="64">
        <f>IF(AI26=0,0,AJ26/AI26)</f>
        <v>0</v>
      </c>
      <c r="AM26" s="1"/>
      <c r="AN26" s="156"/>
      <c r="AO26" s="106"/>
      <c r="AP26" s="156"/>
      <c r="AR26" s="164">
        <v>17400150</v>
      </c>
      <c r="AS26" s="165">
        <v>17394070</v>
      </c>
      <c r="AT26" s="106" t="s">
        <v>2532</v>
      </c>
      <c r="AU26" s="64">
        <f>IF(AR26=0,0,AS26/AR26)</f>
        <v>0.99965057772490462</v>
      </c>
      <c r="AV26" s="1"/>
      <c r="AW26" s="164">
        <v>18898162</v>
      </c>
      <c r="AX26" s="106" t="s">
        <v>2532</v>
      </c>
      <c r="AY26" s="165">
        <f>AW26*AU26</f>
        <v>18891558.56123884</v>
      </c>
      <c r="BA26" s="164">
        <v>18898162</v>
      </c>
      <c r="BB26" s="165">
        <v>18735751</v>
      </c>
      <c r="BC26" s="106" t="s">
        <v>2532</v>
      </c>
      <c r="BD26" s="64">
        <f>IF(BA26=0,0,BB26/BA26)</f>
        <v>0.99140598964068571</v>
      </c>
      <c r="BE26" s="1"/>
      <c r="BF26" s="164">
        <v>26913862</v>
      </c>
      <c r="BG26" s="119" t="s">
        <v>2533</v>
      </c>
      <c r="BH26" s="165">
        <f>BF26*BD26</f>
        <v>26682563.991162844</v>
      </c>
    </row>
    <row r="27" spans="1:60" s="462" customFormat="1" x14ac:dyDescent="0.35">
      <c r="A27" s="9153"/>
      <c r="B27" s="128"/>
      <c r="C27" s="4948" t="s">
        <v>499</v>
      </c>
      <c r="D27" s="456"/>
      <c r="E27" s="456"/>
      <c r="F27" s="1010">
        <f>IF(F24=0,0,(F25-F26)/F24)</f>
        <v>0.28928390149263833</v>
      </c>
      <c r="G27" s="823"/>
      <c r="H27" s="1011">
        <f>IF(H24=0,0,(H25-H26)/H24)</f>
        <v>0.33926972359685859</v>
      </c>
      <c r="I27" s="1012">
        <f>IF(I24=0,0,(I25-I26)/I24)</f>
        <v>0.34482880702060353</v>
      </c>
      <c r="J27" s="1013"/>
      <c r="K27" s="823"/>
      <c r="L27" s="1014">
        <f>IF(L24=0,0,L25/L24)</f>
        <v>0.31042249133605126</v>
      </c>
      <c r="M27" s="1015">
        <f>IF(M24=0,0,M25/M24)</f>
        <v>0.31550890018989403</v>
      </c>
      <c r="N27" s="1"/>
      <c r="O27" s="1014">
        <f>IF(O24=0,0,O25/O24)</f>
        <v>0.31042249133605126</v>
      </c>
      <c r="P27" s="4951">
        <f>IF(P24=0,0,P25/P24)</f>
        <v>0.30358781773981169</v>
      </c>
      <c r="Q27" s="177"/>
      <c r="R27" s="173"/>
      <c r="S27" s="170"/>
      <c r="T27" s="174">
        <f>IF(T24=0,0,T25/T24)</f>
        <v>0.39391209715658554</v>
      </c>
      <c r="U27" s="177"/>
      <c r="V27" s="175">
        <f>IF(V24=0,0,V25/V24)</f>
        <v>0.39942795227446182</v>
      </c>
      <c r="W27" s="170"/>
      <c r="X27" s="723"/>
      <c r="Z27" s="1014">
        <f>IF(Z24=0,0,Z25/Z24)</f>
        <v>0.31042249133605126</v>
      </c>
      <c r="AA27" s="4951">
        <f>IF(AA24=0,0,AA25/AA24)</f>
        <v>0.30358781773981169</v>
      </c>
      <c r="AB27" s="177"/>
      <c r="AC27" s="173"/>
      <c r="AD27" s="170"/>
      <c r="AE27" s="174">
        <f>IF(AE24=0,0,AE25/AE24)</f>
        <v>0.39939352526852046</v>
      </c>
      <c r="AF27" s="177"/>
      <c r="AG27" s="175">
        <f>IF(AG24=0,0,AG25/AG24)</f>
        <v>0.40558510959813066</v>
      </c>
      <c r="AI27" s="1014">
        <v>0.39939352526852046</v>
      </c>
      <c r="AJ27" s="4951">
        <v>0.40558510959813066</v>
      </c>
      <c r="AK27" s="177"/>
      <c r="AL27" s="173"/>
      <c r="AM27" s="170"/>
      <c r="AN27" s="174">
        <f>IF(AN24=0,0,AN25/AN24)</f>
        <v>0.3924594838133173</v>
      </c>
      <c r="AO27" s="177"/>
      <c r="AP27" s="174">
        <f>IF(AP24=0,0,AP25/AP24)</f>
        <v>0.39854357340478413</v>
      </c>
      <c r="AR27" s="1014">
        <f>IF(AR24=0,0,(AR26/AR24))</f>
        <v>0.3924594838133173</v>
      </c>
      <c r="AS27" s="4951">
        <f>IF(AS24=0,0,AS26/AS24)</f>
        <v>0.39156273716334355</v>
      </c>
      <c r="AT27" s="177"/>
      <c r="AU27" s="173"/>
      <c r="AV27" s="170"/>
      <c r="AW27" s="1014">
        <f>IF(AW24=0,0,AW26/AW24)</f>
        <v>0.38455426944573828</v>
      </c>
      <c r="AX27" s="177"/>
      <c r="AY27" s="4951">
        <f>IF(AY24=0,0,AY26/AY24)</f>
        <v>0.38367558574186184</v>
      </c>
      <c r="BA27" s="1014">
        <f>IF(BA24=0,0,(BA26-BA25)/BA24)</f>
        <v>0.38404406484500447</v>
      </c>
      <c r="BB27" s="4951">
        <f>IF(BB24=0,0,(BB26-BB25)/BB24)</f>
        <v>0.37880610208227866</v>
      </c>
      <c r="BC27" s="177"/>
      <c r="BD27" s="173"/>
      <c r="BE27" s="170"/>
      <c r="BF27" s="1014">
        <f>IF(BF24=0,0,(BF26-BF25)/BF24)</f>
        <v>0.48211710219072268</v>
      </c>
      <c r="BG27" s="177"/>
      <c r="BH27" s="4951">
        <f>IF(BH24=0,0,(BH26-BH25)/BH24)</f>
        <v>0.4755699070557321</v>
      </c>
    </row>
    <row r="28" spans="1:60" s="462" customFormat="1" x14ac:dyDescent="0.35">
      <c r="A28" s="9153"/>
      <c r="B28" s="139" t="s">
        <v>501</v>
      </c>
      <c r="C28" s="4952"/>
      <c r="D28" s="456"/>
      <c r="E28" s="1"/>
      <c r="F28" s="205"/>
      <c r="G28" s="170"/>
      <c r="H28" s="1018"/>
      <c r="I28" s="202"/>
      <c r="J28" s="203">
        <f>IF(H28=0,0,I28/H28)</f>
        <v>0</v>
      </c>
      <c r="K28" s="170"/>
      <c r="L28" s="1019"/>
      <c r="M28" s="1020">
        <f>L28*J28</f>
        <v>0</v>
      </c>
      <c r="N28" s="1"/>
      <c r="O28" s="189"/>
      <c r="P28" s="190"/>
      <c r="Q28" s="190"/>
      <c r="R28" s="191"/>
      <c r="S28" s="170"/>
      <c r="T28" s="1019"/>
      <c r="U28" s="202"/>
      <c r="V28" s="1020"/>
      <c r="W28" s="170"/>
      <c r="X28" s="718"/>
      <c r="Z28" s="189"/>
      <c r="AA28" s="190"/>
      <c r="AB28" s="190"/>
      <c r="AC28" s="191"/>
      <c r="AD28" s="170"/>
      <c r="AE28" s="1019"/>
      <c r="AF28" s="202"/>
      <c r="AG28" s="1020"/>
      <c r="AI28" s="189"/>
      <c r="AJ28" s="190"/>
      <c r="AK28" s="190"/>
      <c r="AL28" s="191"/>
      <c r="AM28" s="170"/>
      <c r="AN28" s="1019"/>
      <c r="AO28" s="202"/>
      <c r="AP28" s="1019"/>
      <c r="AR28" s="1019"/>
      <c r="AS28" s="202"/>
      <c r="AT28" s="190"/>
      <c r="AU28" s="191"/>
      <c r="AV28" s="170"/>
      <c r="AW28" s="1019"/>
      <c r="AX28" s="202"/>
      <c r="AY28" s="1019"/>
      <c r="BA28" s="1019"/>
      <c r="BB28" s="202"/>
      <c r="BC28" s="190"/>
      <c r="BD28" s="191"/>
      <c r="BE28" s="170"/>
      <c r="BF28" s="1019"/>
      <c r="BG28" s="202"/>
      <c r="BH28" s="1019"/>
    </row>
    <row r="29" spans="1:60" s="462" customFormat="1" x14ac:dyDescent="0.35">
      <c r="A29" s="9153"/>
      <c r="B29" s="6082"/>
      <c r="C29" s="4947" t="s">
        <v>11</v>
      </c>
      <c r="D29" s="456"/>
      <c r="E29" s="1"/>
      <c r="F29" s="841"/>
      <c r="G29" s="170"/>
      <c r="H29" s="112"/>
      <c r="I29" s="113"/>
      <c r="J29" s="64"/>
      <c r="K29" s="170"/>
      <c r="L29" s="117"/>
      <c r="M29" s="842"/>
      <c r="N29" s="170"/>
      <c r="O29" s="117"/>
      <c r="P29" s="115"/>
      <c r="Q29" s="202"/>
      <c r="R29" s="1023">
        <f>IF(O29=0,0,P29/O29)</f>
        <v>0</v>
      </c>
      <c r="S29" s="170"/>
      <c r="T29" s="200"/>
      <c r="U29" s="202"/>
      <c r="V29" s="157">
        <f>T29*R29</f>
        <v>0</v>
      </c>
      <c r="W29" s="170"/>
      <c r="X29" s="723"/>
      <c r="Z29" s="117"/>
      <c r="AA29" s="115"/>
      <c r="AB29" s="202"/>
      <c r="AC29" s="1023">
        <f>IF(Z29=0,0,AA29/Z29)</f>
        <v>0</v>
      </c>
      <c r="AD29" s="170"/>
      <c r="AE29" s="200"/>
      <c r="AF29" s="202"/>
      <c r="AG29" s="157">
        <f>AE29*AC29</f>
        <v>0</v>
      </c>
      <c r="AI29" s="117"/>
      <c r="AJ29" s="115">
        <v>0</v>
      </c>
      <c r="AK29" s="202"/>
      <c r="AL29" s="1023">
        <f>IF(AI29=0,0,AJ29/AI29)</f>
        <v>0</v>
      </c>
      <c r="AM29" s="170"/>
      <c r="AN29" s="200"/>
      <c r="AO29" s="202"/>
      <c r="AP29" s="200"/>
      <c r="AR29" s="200"/>
      <c r="AS29" s="202">
        <v>0</v>
      </c>
      <c r="AT29" s="202"/>
      <c r="AU29" s="1023">
        <f>IF(AR29=0,0,AS29/AR29)</f>
        <v>0</v>
      </c>
      <c r="AV29" s="170"/>
      <c r="AW29" s="200"/>
      <c r="AX29" s="202"/>
      <c r="AY29" s="200"/>
      <c r="BA29" s="200"/>
      <c r="BB29" s="202">
        <v>0</v>
      </c>
      <c r="BC29" s="202"/>
      <c r="BD29" s="1023">
        <f>IF(BA29=0,0,BB29/BA29)</f>
        <v>0</v>
      </c>
      <c r="BE29" s="170"/>
      <c r="BF29" s="200"/>
      <c r="BG29" s="202"/>
      <c r="BH29" s="200"/>
    </row>
    <row r="30" spans="1:60" s="462" customFormat="1" x14ac:dyDescent="0.35">
      <c r="A30" s="9154"/>
      <c r="B30" s="844"/>
      <c r="C30" s="4953" t="s">
        <v>502</v>
      </c>
      <c r="D30" s="456"/>
      <c r="E30" s="1"/>
      <c r="F30" s="210"/>
      <c r="G30" s="1"/>
      <c r="H30" s="217"/>
      <c r="I30" s="845"/>
      <c r="J30" s="133"/>
      <c r="K30" s="1"/>
      <c r="L30" s="131"/>
      <c r="M30" s="846"/>
      <c r="N30" s="1"/>
      <c r="O30" s="131"/>
      <c r="P30" s="132"/>
      <c r="Q30" s="216"/>
      <c r="R30" s="133">
        <f>IF(O30=0,0,P30/O30)</f>
        <v>0</v>
      </c>
      <c r="S30" s="1"/>
      <c r="T30" s="211"/>
      <c r="U30" s="216"/>
      <c r="V30" s="213">
        <f>T30*R30</f>
        <v>0</v>
      </c>
      <c r="W30" s="1"/>
      <c r="X30" s="722"/>
      <c r="Z30" s="131"/>
      <c r="AA30" s="132"/>
      <c r="AB30" s="216"/>
      <c r="AC30" s="133">
        <f>IF(Z30=0,0,AA30/Z30)</f>
        <v>0</v>
      </c>
      <c r="AD30" s="1"/>
      <c r="AE30" s="211"/>
      <c r="AF30" s="216"/>
      <c r="AG30" s="213">
        <f>AE30*AC30</f>
        <v>0</v>
      </c>
      <c r="AI30" s="131"/>
      <c r="AJ30" s="132">
        <v>0</v>
      </c>
      <c r="AK30" s="216"/>
      <c r="AL30" s="133">
        <f>IF(AI30=0,0,AJ30/AI30)</f>
        <v>0</v>
      </c>
      <c r="AM30" s="1"/>
      <c r="AN30" s="211"/>
      <c r="AO30" s="216"/>
      <c r="AP30" s="211"/>
      <c r="AR30" s="211"/>
      <c r="AS30" s="216">
        <v>0</v>
      </c>
      <c r="AT30" s="216"/>
      <c r="AU30" s="133">
        <f>IF(AR30=0,0,AS30/AR30)</f>
        <v>0</v>
      </c>
      <c r="AV30" s="1"/>
      <c r="AW30" s="211"/>
      <c r="AX30" s="216"/>
      <c r="AY30" s="211"/>
      <c r="BA30" s="211"/>
      <c r="BB30" s="216">
        <v>0</v>
      </c>
      <c r="BC30" s="216"/>
      <c r="BD30" s="133">
        <f>IF(BA30=0,0,BB30/BA30)</f>
        <v>0</v>
      </c>
      <c r="BE30" s="1"/>
      <c r="BF30" s="211"/>
      <c r="BG30" s="216"/>
      <c r="BH30" s="211"/>
    </row>
    <row r="31" spans="1:60" s="462" customFormat="1" ht="12" x14ac:dyDescent="0.3">
      <c r="C31" s="456"/>
      <c r="D31" s="456"/>
      <c r="E31" s="456"/>
      <c r="F31" s="847"/>
      <c r="G31" s="456"/>
      <c r="H31" s="847"/>
      <c r="I31" s="847"/>
      <c r="J31" s="847"/>
      <c r="K31" s="456"/>
      <c r="L31" s="847"/>
    </row>
    <row r="32" spans="1:60" s="462" customFormat="1" ht="23.5" customHeight="1" x14ac:dyDescent="0.35">
      <c r="A32" s="9152" t="s">
        <v>503</v>
      </c>
      <c r="B32" s="848"/>
      <c r="C32" s="725" t="s">
        <v>427</v>
      </c>
      <c r="D32" s="456" t="s">
        <v>428</v>
      </c>
      <c r="E32" s="456"/>
      <c r="F32" s="849"/>
      <c r="G32" s="223"/>
      <c r="H32" s="850"/>
      <c r="I32" s="8327"/>
      <c r="J32" s="851"/>
      <c r="K32" s="223"/>
      <c r="L32" s="850"/>
      <c r="M32" s="8315"/>
      <c r="N32" s="170"/>
      <c r="O32" s="1024"/>
      <c r="P32" s="1025"/>
      <c r="Q32" s="1026"/>
      <c r="R32" s="1027"/>
      <c r="S32" s="170"/>
      <c r="T32" s="503"/>
      <c r="U32" s="1026"/>
      <c r="V32" s="1028"/>
      <c r="W32" s="170"/>
      <c r="X32" s="858"/>
      <c r="Z32" s="1024"/>
      <c r="AA32" s="1025"/>
      <c r="AB32" s="1026"/>
      <c r="AC32" s="1027"/>
      <c r="AD32" s="170"/>
      <c r="AE32" s="503"/>
      <c r="AF32" s="1026"/>
      <c r="AG32" s="1028"/>
      <c r="AI32" s="1024"/>
      <c r="AJ32" s="1025"/>
      <c r="AK32" s="1026"/>
      <c r="AL32" s="1027"/>
      <c r="AM32" s="170"/>
      <c r="AN32" s="503"/>
      <c r="AO32" s="1026"/>
      <c r="AP32" s="503"/>
      <c r="AR32" s="503"/>
      <c r="AS32" s="1026"/>
      <c r="AT32" s="1026"/>
      <c r="AU32" s="1027"/>
      <c r="AV32" s="170"/>
      <c r="AW32" s="503"/>
      <c r="AX32" s="1026"/>
      <c r="AY32" s="503"/>
      <c r="BA32" s="503"/>
      <c r="BB32" s="1026"/>
      <c r="BC32" s="1026"/>
      <c r="BD32" s="1027"/>
      <c r="BE32" s="170"/>
      <c r="BF32" s="503"/>
      <c r="BG32" s="1026"/>
      <c r="BH32" s="503"/>
    </row>
    <row r="33" spans="1:60" s="462" customFormat="1" x14ac:dyDescent="0.35">
      <c r="A33" s="9153"/>
      <c r="B33" s="196" t="s">
        <v>514</v>
      </c>
      <c r="C33" s="864"/>
      <c r="D33" s="456"/>
      <c r="E33" s="456"/>
      <c r="F33" s="865"/>
      <c r="G33" s="457"/>
      <c r="H33" s="866"/>
      <c r="I33" s="847"/>
      <c r="J33" s="776"/>
      <c r="K33" s="457"/>
      <c r="L33" s="773"/>
      <c r="M33" s="867"/>
      <c r="N33" s="1"/>
      <c r="O33" s="773"/>
      <c r="P33" s="868"/>
      <c r="Q33" s="103"/>
      <c r="R33" s="188"/>
      <c r="S33" s="1"/>
      <c r="T33" s="773"/>
      <c r="U33" s="103"/>
      <c r="V33" s="1031"/>
      <c r="W33" s="1"/>
      <c r="X33" s="718"/>
      <c r="Z33" s="773"/>
      <c r="AA33" s="868"/>
      <c r="AB33" s="103"/>
      <c r="AC33" s="188"/>
      <c r="AD33" s="1"/>
      <c r="AE33" s="773"/>
      <c r="AF33" s="103"/>
      <c r="AG33" s="1031"/>
      <c r="AI33" s="773"/>
      <c r="AJ33" s="868"/>
      <c r="AK33" s="103"/>
      <c r="AL33" s="188"/>
      <c r="AM33" s="1"/>
      <c r="AN33" s="773"/>
      <c r="AO33" s="103"/>
      <c r="AP33" s="773"/>
      <c r="AR33" s="773"/>
      <c r="AS33" s="868"/>
      <c r="AT33" s="103"/>
      <c r="AU33" s="188"/>
      <c r="AV33" s="1"/>
      <c r="AW33" s="773"/>
      <c r="AX33" s="103"/>
      <c r="AY33" s="773"/>
      <c r="BA33" s="773"/>
      <c r="BB33" s="868"/>
      <c r="BC33" s="103"/>
      <c r="BD33" s="188"/>
      <c r="BE33" s="1"/>
      <c r="BF33" s="773"/>
      <c r="BG33" s="103"/>
      <c r="BH33" s="773"/>
    </row>
    <row r="34" spans="1:60" s="462" customFormat="1" ht="15.5" customHeight="1" x14ac:dyDescent="0.35">
      <c r="A34" s="9153"/>
      <c r="B34" s="873"/>
      <c r="C34" s="874" t="s">
        <v>2534</v>
      </c>
      <c r="D34" s="456"/>
      <c r="E34" s="456"/>
      <c r="F34" s="779">
        <f>3153959+10649835</f>
        <v>13803794</v>
      </c>
      <c r="G34" s="456"/>
      <c r="H34" s="780">
        <f>2221592+13908805</f>
        <v>16130397</v>
      </c>
      <c r="I34" s="781">
        <f>1952027+13520712</f>
        <v>15472739</v>
      </c>
      <c r="J34" s="1003">
        <f>IF(H34=0,0,I34/H34)</f>
        <v>0.9592286538266851</v>
      </c>
      <c r="K34" s="456"/>
      <c r="L34" s="780">
        <f>6624583+7874640</f>
        <v>14499223</v>
      </c>
      <c r="M34" s="875">
        <f>L34*J34</f>
        <v>13908070.159822911</v>
      </c>
      <c r="N34" s="1"/>
      <c r="O34" s="780">
        <f>6042308+6226280</f>
        <v>12268588</v>
      </c>
      <c r="P34" s="876">
        <f>6028339+6030247</f>
        <v>12058586</v>
      </c>
      <c r="Q34" s="789" t="s">
        <v>2535</v>
      </c>
      <c r="R34" s="877">
        <f>IF(O34=0,0,P34/O34)</f>
        <v>0.98288295278967719</v>
      </c>
      <c r="S34" s="1"/>
      <c r="T34" s="878">
        <v>16057292</v>
      </c>
      <c r="U34" s="789" t="s">
        <v>2535</v>
      </c>
      <c r="V34" s="157">
        <v>15836269</v>
      </c>
      <c r="W34" s="1"/>
      <c r="X34" s="723" t="s">
        <v>2536</v>
      </c>
      <c r="Z34" s="780">
        <f>6042308+6226280</f>
        <v>12268588</v>
      </c>
      <c r="AA34" s="876">
        <f>6028339+6030247</f>
        <v>12058586</v>
      </c>
      <c r="AB34" s="789" t="s">
        <v>2535</v>
      </c>
      <c r="AC34" s="877">
        <f>IF(Z34=0,0,AA34/Z34)</f>
        <v>0.98288295278967719</v>
      </c>
      <c r="AD34" s="1"/>
      <c r="AE34" s="878">
        <v>17145720</v>
      </c>
      <c r="AF34" s="789" t="s">
        <v>2537</v>
      </c>
      <c r="AG34" s="157">
        <v>17087748</v>
      </c>
      <c r="AI34" s="780">
        <v>17145720</v>
      </c>
      <c r="AJ34" s="876">
        <v>16113037</v>
      </c>
      <c r="AK34" s="789" t="s">
        <v>2535</v>
      </c>
      <c r="AL34" s="877">
        <f>IF(AI34=0,0,AJ34/AI34)</f>
        <v>0.93977021670714322</v>
      </c>
      <c r="AM34" s="1"/>
      <c r="AN34" s="878">
        <v>17116298</v>
      </c>
      <c r="AO34" s="789" t="s">
        <v>2538</v>
      </c>
      <c r="AP34" s="878">
        <f t="shared" ref="AP34:AP36" si="3">AN34*AL34</f>
        <v>16085387.080684042</v>
      </c>
      <c r="AR34" s="780">
        <f>19987251-AR35</f>
        <v>17116298</v>
      </c>
      <c r="AS34" s="876">
        <f>19065678-AS35</f>
        <v>16635527</v>
      </c>
      <c r="AT34" s="2669" t="s">
        <v>2539</v>
      </c>
      <c r="AU34" s="6852">
        <f>IF(AR34=0,0,AS34/AR34)</f>
        <v>0.97191150796743553</v>
      </c>
      <c r="AV34" s="3818"/>
      <c r="AW34" s="780">
        <f>21864742-AW35</f>
        <v>18069898</v>
      </c>
      <c r="AX34" s="106" t="s">
        <v>2539</v>
      </c>
      <c r="AY34" s="780">
        <f>AW34*AU34</f>
        <v>17562341.813997746</v>
      </c>
      <c r="BA34" s="780">
        <f>21864742-BA35</f>
        <v>18069898</v>
      </c>
      <c r="BB34" s="876">
        <f>19764152-BB35</f>
        <v>17069292</v>
      </c>
      <c r="BC34" s="2669" t="s">
        <v>2539</v>
      </c>
      <c r="BD34" s="6852">
        <f>IF(BA34=0,0,BB34/BA34)</f>
        <v>0.9446258080704163</v>
      </c>
      <c r="BE34" s="3818"/>
      <c r="BF34" s="780">
        <f>18694558-BF35</f>
        <v>16300221</v>
      </c>
      <c r="BG34" s="57" t="s">
        <v>2540</v>
      </c>
      <c r="BH34" s="780">
        <f>BF34*BD34</f>
        <v>15397609.433851369</v>
      </c>
    </row>
    <row r="35" spans="1:60" s="462" customFormat="1" x14ac:dyDescent="0.35">
      <c r="A35" s="9153"/>
      <c r="B35" s="873"/>
      <c r="C35" s="874" t="s">
        <v>2541</v>
      </c>
      <c r="D35" s="456"/>
      <c r="E35" s="456"/>
      <c r="F35" s="788"/>
      <c r="G35" s="456"/>
      <c r="H35" s="785"/>
      <c r="I35" s="786"/>
      <c r="J35" s="1003"/>
      <c r="K35" s="456"/>
      <c r="L35" s="785"/>
      <c r="M35" s="881"/>
      <c r="N35" s="223"/>
      <c r="O35" s="785">
        <f>582275+1648360</f>
        <v>2230635</v>
      </c>
      <c r="P35" s="882">
        <f>582238+1266456</f>
        <v>1848694</v>
      </c>
      <c r="Q35" s="789" t="s">
        <v>2542</v>
      </c>
      <c r="R35" s="883">
        <f>IF(O35=0,0,P35/O35)</f>
        <v>0.82877476592988097</v>
      </c>
      <c r="S35" s="223"/>
      <c r="T35" s="1035">
        <f>3773118</f>
        <v>3773118</v>
      </c>
      <c r="U35" s="789" t="s">
        <v>2543</v>
      </c>
      <c r="V35" s="157">
        <v>3401440</v>
      </c>
      <c r="W35" s="223"/>
      <c r="X35" s="723"/>
      <c r="Z35" s="785">
        <f>582275+1648360</f>
        <v>2230635</v>
      </c>
      <c r="AA35" s="882">
        <f>582238+1266456</f>
        <v>1848694</v>
      </c>
      <c r="AB35" s="789" t="s">
        <v>2542</v>
      </c>
      <c r="AC35" s="883">
        <f>IF(Z35=0,0,AA35/Z35)</f>
        <v>0.82877476592988097</v>
      </c>
      <c r="AD35" s="223"/>
      <c r="AE35" s="1035"/>
      <c r="AF35" s="789"/>
      <c r="AG35" s="157"/>
      <c r="AI35" s="785"/>
      <c r="AJ35" s="882"/>
      <c r="AK35" s="4954" t="s">
        <v>2542</v>
      </c>
      <c r="AL35" s="883">
        <f>IF(AI35=0,0,AJ35/AI35)</f>
        <v>0</v>
      </c>
      <c r="AM35" s="223"/>
      <c r="AN35" s="1035"/>
      <c r="AO35" s="789"/>
      <c r="AP35" s="1035">
        <f t="shared" si="3"/>
        <v>0</v>
      </c>
      <c r="AR35" s="6853">
        <v>2870953</v>
      </c>
      <c r="AS35" s="6854">
        <v>2430151</v>
      </c>
      <c r="AT35" s="3654"/>
      <c r="AU35" s="6855">
        <f>IF(AR35=0,0,AS35/AR35)</f>
        <v>0.84646143632445392</v>
      </c>
      <c r="AV35" s="5691"/>
      <c r="AW35" s="6853">
        <v>3794844</v>
      </c>
      <c r="AX35" s="789"/>
      <c r="AY35" s="785">
        <f>AW35*AU35</f>
        <v>3212189.1028672359</v>
      </c>
      <c r="BA35" s="6853">
        <v>3794844</v>
      </c>
      <c r="BB35" s="6854">
        <v>2694860</v>
      </c>
      <c r="BC35" s="3654"/>
      <c r="BD35" s="6855">
        <f>IF(BA35=0,0,BB35/BA35)</f>
        <v>0.71013722830240189</v>
      </c>
      <c r="BE35" s="5691"/>
      <c r="BF35" s="6853">
        <v>2394337</v>
      </c>
      <c r="BG35" s="119"/>
      <c r="BH35" s="785">
        <f>BF35*BD35</f>
        <v>1700307.8408018881</v>
      </c>
    </row>
    <row r="36" spans="1:60" s="462" customFormat="1" x14ac:dyDescent="0.35">
      <c r="A36" s="9153"/>
      <c r="B36" s="873"/>
      <c r="C36" s="874" t="s">
        <v>2544</v>
      </c>
      <c r="D36" s="456"/>
      <c r="E36" s="456"/>
      <c r="F36" s="790">
        <v>73221</v>
      </c>
      <c r="G36" s="456"/>
      <c r="H36" s="791">
        <f>2300+85675</f>
        <v>87975</v>
      </c>
      <c r="I36" s="792">
        <f>2294+80822</f>
        <v>83116</v>
      </c>
      <c r="J36" s="1003">
        <f>IF(H36=0,0,I36/H36)</f>
        <v>0.94476840011366869</v>
      </c>
      <c r="K36" s="456"/>
      <c r="L36" s="785">
        <v>95515</v>
      </c>
      <c r="M36" s="881">
        <f>L36*J36</f>
        <v>90239.553736857066</v>
      </c>
      <c r="N36" s="223"/>
      <c r="O36" s="791">
        <v>95515</v>
      </c>
      <c r="P36" s="882">
        <v>83956</v>
      </c>
      <c r="Q36" s="789" t="s">
        <v>2535</v>
      </c>
      <c r="R36" s="883">
        <f>IF(O36=0,0,P36/O36)</f>
        <v>0.87898235879181286</v>
      </c>
      <c r="S36" s="223"/>
      <c r="T36" s="818">
        <v>109205</v>
      </c>
      <c r="U36" s="789" t="s">
        <v>2535</v>
      </c>
      <c r="V36" s="157">
        <v>109205</v>
      </c>
      <c r="W36" s="223"/>
      <c r="X36" s="723"/>
      <c r="Z36" s="791">
        <v>95515</v>
      </c>
      <c r="AA36" s="882">
        <v>83956</v>
      </c>
      <c r="AB36" s="789" t="s">
        <v>2535</v>
      </c>
      <c r="AC36" s="883">
        <f>IF(Z36=0,0,AA36/Z36)</f>
        <v>0.87898235879181286</v>
      </c>
      <c r="AD36" s="223"/>
      <c r="AE36" s="818">
        <v>123952</v>
      </c>
      <c r="AF36" s="789" t="s">
        <v>2537</v>
      </c>
      <c r="AG36" s="157">
        <v>123943</v>
      </c>
      <c r="AI36" s="791">
        <v>123952</v>
      </c>
      <c r="AJ36" s="882">
        <v>80640</v>
      </c>
      <c r="AK36" s="789" t="s">
        <v>2535</v>
      </c>
      <c r="AL36" s="883">
        <f>IF(AI36=0,0,AJ36/AI36)</f>
        <v>0.65057441590293019</v>
      </c>
      <c r="AM36" s="223"/>
      <c r="AN36" s="818">
        <v>114742</v>
      </c>
      <c r="AO36" s="789" t="s">
        <v>2538</v>
      </c>
      <c r="AP36" s="818">
        <f t="shared" si="3"/>
        <v>74648.209629534016</v>
      </c>
      <c r="AR36" s="791">
        <f>125158-AR37</f>
        <v>114742</v>
      </c>
      <c r="AS36" s="882">
        <f>123239-AS37</f>
        <v>112823</v>
      </c>
      <c r="AT36" s="2669" t="s">
        <v>2545</v>
      </c>
      <c r="AU36" s="6855">
        <f>IF(AR36=0,0,AS36/AR36)</f>
        <v>0.98327552247651251</v>
      </c>
      <c r="AV36" s="5691"/>
      <c r="AW36" s="791">
        <f>109095-AW37</f>
        <v>108595</v>
      </c>
      <c r="AX36" s="106" t="s">
        <v>2545</v>
      </c>
      <c r="AY36" s="791">
        <f>AW36*AU36</f>
        <v>106778.80536333687</v>
      </c>
      <c r="BA36" s="791">
        <f>109095-BA37</f>
        <v>108595</v>
      </c>
      <c r="BB36" s="882">
        <v>95880</v>
      </c>
      <c r="BC36" s="2669" t="s">
        <v>2545</v>
      </c>
      <c r="BD36" s="6855">
        <f>IF(BA36=0,0,BB36/BA36)</f>
        <v>0.88291357797320313</v>
      </c>
      <c r="BE36" s="5691"/>
      <c r="BF36" s="791">
        <v>110007</v>
      </c>
      <c r="BG36" s="57" t="s">
        <v>2546</v>
      </c>
      <c r="BH36" s="791">
        <f>BF36*BD36</f>
        <v>97126.673972098157</v>
      </c>
    </row>
    <row r="37" spans="1:60" s="462" customFormat="1" x14ac:dyDescent="0.35">
      <c r="A37" s="9153"/>
      <c r="B37" s="885"/>
      <c r="C37" s="886" t="s">
        <v>536</v>
      </c>
      <c r="D37" s="456"/>
      <c r="E37" s="223"/>
      <c r="F37" s="790"/>
      <c r="G37" s="456"/>
      <c r="H37" s="791"/>
      <c r="I37" s="792"/>
      <c r="J37" s="1003">
        <f>IF(H37=0,0,I37/H37)</f>
        <v>0</v>
      </c>
      <c r="K37" s="456"/>
      <c r="L37" s="791"/>
      <c r="M37" s="808">
        <f>L37*J37</f>
        <v>0</v>
      </c>
      <c r="N37" s="143"/>
      <c r="O37" s="791"/>
      <c r="P37" s="887">
        <f>O37*M37</f>
        <v>0</v>
      </c>
      <c r="Q37" s="106"/>
      <c r="R37" s="877">
        <f>IF(O37=0,0,P37/O37)</f>
        <v>0</v>
      </c>
      <c r="S37" s="143"/>
      <c r="T37" s="818"/>
      <c r="U37" s="106"/>
      <c r="V37" s="157"/>
      <c r="W37" s="143"/>
      <c r="X37" s="723"/>
      <c r="Z37" s="791"/>
      <c r="AA37" s="887">
        <f>Z37*X37</f>
        <v>0</v>
      </c>
      <c r="AB37" s="106"/>
      <c r="AC37" s="877">
        <f>IF(Z37=0,0,AA37/Z37)</f>
        <v>0</v>
      </c>
      <c r="AD37" s="143"/>
      <c r="AE37" s="818"/>
      <c r="AF37" s="106"/>
      <c r="AG37" s="157"/>
      <c r="AI37" s="791"/>
      <c r="AJ37" s="887"/>
      <c r="AK37" s="106"/>
      <c r="AL37" s="877">
        <f>IF(AI37=0,0,AJ37/AI37)</f>
        <v>0</v>
      </c>
      <c r="AM37" s="143"/>
      <c r="AN37" s="818"/>
      <c r="AO37" s="106"/>
      <c r="AP37" s="818"/>
      <c r="AR37" s="6856">
        <v>10416</v>
      </c>
      <c r="AS37" s="6857">
        <v>10416</v>
      </c>
      <c r="AT37" s="106"/>
      <c r="AU37" s="877">
        <f>IF(AR37=0,0,AS37/AR37)</f>
        <v>1</v>
      </c>
      <c r="AV37" s="143"/>
      <c r="AW37" s="6856">
        <v>500</v>
      </c>
      <c r="AX37" s="106"/>
      <c r="AY37" s="791">
        <f>AW37*AU37</f>
        <v>500</v>
      </c>
      <c r="BA37" s="6856">
        <v>500</v>
      </c>
      <c r="BB37" s="6857">
        <v>495</v>
      </c>
      <c r="BC37" s="106"/>
      <c r="BD37" s="877">
        <f>IF(BA37=0,0,BB37/BA37)</f>
        <v>0.99</v>
      </c>
      <c r="BE37" s="143"/>
      <c r="BF37" s="6856">
        <v>3508</v>
      </c>
      <c r="BG37" s="57"/>
      <c r="BH37" s="791">
        <f>BF37*BD37</f>
        <v>3472.92</v>
      </c>
    </row>
    <row r="38" spans="1:60" s="462" customFormat="1" x14ac:dyDescent="0.35">
      <c r="A38" s="9153"/>
      <c r="B38" s="196" t="s">
        <v>2547</v>
      </c>
      <c r="C38" s="889"/>
      <c r="D38" s="456"/>
      <c r="E38" s="457"/>
      <c r="F38" s="865"/>
      <c r="G38" s="457"/>
      <c r="H38" s="866"/>
      <c r="I38" s="847"/>
      <c r="J38" s="890"/>
      <c r="K38" s="457"/>
      <c r="L38" s="866"/>
      <c r="M38" s="891"/>
      <c r="N38" s="1"/>
      <c r="O38" s="866" t="s">
        <v>2548</v>
      </c>
      <c r="P38" s="892"/>
      <c r="Q38" s="106"/>
      <c r="R38" s="64"/>
      <c r="S38" s="1"/>
      <c r="T38" s="866"/>
      <c r="U38" s="106"/>
      <c r="V38" s="157"/>
      <c r="W38" s="1"/>
      <c r="X38" s="893"/>
      <c r="Z38" s="866" t="s">
        <v>2548</v>
      </c>
      <c r="AA38" s="892"/>
      <c r="AB38" s="106"/>
      <c r="AC38" s="64"/>
      <c r="AD38" s="1"/>
      <c r="AE38" s="866"/>
      <c r="AF38" s="106"/>
      <c r="AG38" s="157"/>
      <c r="AI38" s="866"/>
      <c r="AJ38" s="892"/>
      <c r="AK38" s="106"/>
      <c r="AL38" s="64"/>
      <c r="AM38" s="1"/>
      <c r="AN38" s="866"/>
      <c r="AO38" s="106"/>
      <c r="AP38" s="866"/>
      <c r="AR38" s="866"/>
      <c r="AS38" s="892"/>
      <c r="AT38" s="106"/>
      <c r="AU38" s="64"/>
      <c r="AV38" s="1"/>
      <c r="AW38" s="866"/>
      <c r="AX38" s="106"/>
      <c r="AY38" s="866"/>
      <c r="BA38" s="866"/>
      <c r="BB38" s="892"/>
      <c r="BC38" s="106"/>
      <c r="BD38" s="64"/>
      <c r="BE38" s="1"/>
      <c r="BF38" s="866"/>
      <c r="BG38" s="106"/>
      <c r="BH38" s="866"/>
    </row>
    <row r="39" spans="1:60" s="462" customFormat="1" x14ac:dyDescent="0.35">
      <c r="A39" s="9153"/>
      <c r="B39" s="873"/>
      <c r="C39" s="874" t="s">
        <v>2549</v>
      </c>
      <c r="D39" s="456">
        <v>6</v>
      </c>
      <c r="E39" s="456"/>
      <c r="F39" s="779"/>
      <c r="G39" s="456"/>
      <c r="H39" s="780"/>
      <c r="I39" s="781"/>
      <c r="J39" s="1003">
        <f>J34</f>
        <v>0.9592286538266851</v>
      </c>
      <c r="K39" s="456"/>
      <c r="L39" s="780">
        <f>22800+232991</f>
        <v>255791</v>
      </c>
      <c r="M39" s="875">
        <f>L39*J39</f>
        <v>245362.05659098161</v>
      </c>
      <c r="N39" s="1"/>
      <c r="O39" s="780">
        <v>210191</v>
      </c>
      <c r="P39" s="876">
        <v>205966</v>
      </c>
      <c r="Q39" s="106" t="s">
        <v>2550</v>
      </c>
      <c r="R39" s="64">
        <f t="shared" ref="R39:R45" si="4">IF(O39=0,0,P39/O39)</f>
        <v>0.979899234505759</v>
      </c>
      <c r="S39" s="1"/>
      <c r="T39" s="780">
        <v>739404</v>
      </c>
      <c r="U39" s="106" t="s">
        <v>2550</v>
      </c>
      <c r="V39" s="157">
        <v>732987</v>
      </c>
      <c r="W39" s="1"/>
      <c r="X39" s="723" t="s">
        <v>2551</v>
      </c>
      <c r="Z39" s="780">
        <v>210191</v>
      </c>
      <c r="AA39" s="876">
        <v>205966</v>
      </c>
      <c r="AB39" s="106" t="s">
        <v>2550</v>
      </c>
      <c r="AC39" s="64">
        <f t="shared" ref="AC39:AC45" si="5">IF(Z39=0,0,AA39/Z39)</f>
        <v>0.979899234505759</v>
      </c>
      <c r="AD39" s="1"/>
      <c r="AE39" s="780"/>
      <c r="AF39" s="106"/>
      <c r="AG39" s="157"/>
      <c r="AI39" s="780"/>
      <c r="AJ39" s="876"/>
      <c r="AK39" s="106" t="s">
        <v>2550</v>
      </c>
      <c r="AL39" s="64">
        <f t="shared" ref="AL39:AL45" si="6">IF(AI39=0,0,AJ39/AI39)</f>
        <v>0</v>
      </c>
      <c r="AM39" s="1"/>
      <c r="AN39" s="780"/>
      <c r="AO39" s="106"/>
      <c r="AP39" s="780"/>
      <c r="AR39" s="780"/>
      <c r="AS39" s="876"/>
      <c r="AT39" s="106"/>
      <c r="AU39" s="64">
        <f t="shared" ref="AU39:AU45" si="7">IF(AR39=0,0,AS39/AR39)</f>
        <v>0</v>
      </c>
      <c r="AV39" s="1"/>
      <c r="AW39" s="780"/>
      <c r="AX39" s="106"/>
      <c r="AY39" s="780"/>
      <c r="BA39" s="780"/>
      <c r="BB39" s="876"/>
      <c r="BC39" s="106"/>
      <c r="BD39" s="64">
        <f t="shared" ref="BD39:BD45" si="8">IF(BA39=0,0,BB39/BA39)</f>
        <v>0</v>
      </c>
      <c r="BE39" s="1"/>
      <c r="BF39" s="780"/>
      <c r="BG39" s="106"/>
      <c r="BH39" s="780"/>
    </row>
    <row r="40" spans="1:60" s="462" customFormat="1" x14ac:dyDescent="0.35">
      <c r="A40" s="9153"/>
      <c r="B40" s="873"/>
      <c r="C40" s="4955" t="s">
        <v>2552</v>
      </c>
      <c r="D40" s="456"/>
      <c r="E40" s="456"/>
      <c r="F40" s="788"/>
      <c r="G40" s="456"/>
      <c r="H40" s="785"/>
      <c r="I40" s="786"/>
      <c r="J40" s="1003">
        <f>IF(H40=0,0,I40/H40)</f>
        <v>0</v>
      </c>
      <c r="K40" s="456"/>
      <c r="L40" s="785"/>
      <c r="M40" s="881">
        <f>L40*J40</f>
        <v>0</v>
      </c>
      <c r="N40" s="1"/>
      <c r="O40" s="785">
        <v>22800</v>
      </c>
      <c r="P40" s="882">
        <v>19623</v>
      </c>
      <c r="Q40" s="106" t="s">
        <v>2550</v>
      </c>
      <c r="R40" s="64">
        <f t="shared" si="4"/>
        <v>0.86065789473684207</v>
      </c>
      <c r="S40" s="1"/>
      <c r="T40" s="785">
        <v>101105</v>
      </c>
      <c r="U40" s="106" t="s">
        <v>2550</v>
      </c>
      <c r="V40" s="157">
        <v>101106</v>
      </c>
      <c r="W40" s="1"/>
      <c r="X40" s="723"/>
      <c r="Z40" s="785">
        <v>22800</v>
      </c>
      <c r="AA40" s="882">
        <v>19623</v>
      </c>
      <c r="AB40" s="106" t="s">
        <v>2550</v>
      </c>
      <c r="AC40" s="64">
        <f t="shared" si="5"/>
        <v>0.86065789473684207</v>
      </c>
      <c r="AD40" s="1"/>
      <c r="AE40" s="785"/>
      <c r="AF40" s="106"/>
      <c r="AG40" s="157"/>
      <c r="AI40" s="785"/>
      <c r="AJ40" s="882"/>
      <c r="AK40" s="106" t="s">
        <v>2550</v>
      </c>
      <c r="AL40" s="64">
        <f t="shared" si="6"/>
        <v>0</v>
      </c>
      <c r="AM40" s="1"/>
      <c r="AN40" s="785"/>
      <c r="AO40" s="106"/>
      <c r="AP40" s="785"/>
      <c r="AR40" s="785"/>
      <c r="AS40" s="882"/>
      <c r="AT40" s="106"/>
      <c r="AU40" s="64">
        <f t="shared" si="7"/>
        <v>0</v>
      </c>
      <c r="AV40" s="1"/>
      <c r="AW40" s="785"/>
      <c r="AX40" s="106"/>
      <c r="AY40" s="785"/>
      <c r="BA40" s="785"/>
      <c r="BB40" s="882"/>
      <c r="BC40" s="106"/>
      <c r="BD40" s="64">
        <f t="shared" si="8"/>
        <v>0</v>
      </c>
      <c r="BE40" s="1"/>
      <c r="BF40" s="785"/>
      <c r="BG40" s="106"/>
      <c r="BH40" s="785"/>
    </row>
    <row r="41" spans="1:60" s="462" customFormat="1" x14ac:dyDescent="0.35">
      <c r="A41" s="9153"/>
      <c r="B41" s="885"/>
      <c r="C41" s="874" t="s">
        <v>2553</v>
      </c>
      <c r="D41" s="456"/>
      <c r="E41" s="456"/>
      <c r="F41" s="790"/>
      <c r="G41" s="456"/>
      <c r="H41" s="791"/>
      <c r="I41" s="792"/>
      <c r="J41" s="1003"/>
      <c r="K41" s="456"/>
      <c r="L41" s="791"/>
      <c r="M41" s="808"/>
      <c r="N41" s="1"/>
      <c r="O41" s="791">
        <v>63408</v>
      </c>
      <c r="P41" s="907">
        <v>58042</v>
      </c>
      <c r="Q41" s="106" t="s">
        <v>2554</v>
      </c>
      <c r="R41" s="64">
        <f t="shared" si="4"/>
        <v>0.91537345445369667</v>
      </c>
      <c r="S41" s="1"/>
      <c r="T41" s="791">
        <v>188141</v>
      </c>
      <c r="U41" s="106" t="s">
        <v>2555</v>
      </c>
      <c r="V41" s="157">
        <v>184928</v>
      </c>
      <c r="W41" s="1"/>
      <c r="X41" s="723"/>
      <c r="Z41" s="791">
        <v>63408</v>
      </c>
      <c r="AA41" s="907">
        <v>58042</v>
      </c>
      <c r="AB41" s="106" t="s">
        <v>2554</v>
      </c>
      <c r="AC41" s="64">
        <f t="shared" si="5"/>
        <v>0.91537345445369667</v>
      </c>
      <c r="AD41" s="1"/>
      <c r="AE41" s="791"/>
      <c r="AF41" s="106"/>
      <c r="AG41" s="157"/>
      <c r="AI41" s="791"/>
      <c r="AJ41" s="907"/>
      <c r="AK41" s="106" t="s">
        <v>2554</v>
      </c>
      <c r="AL41" s="64">
        <f t="shared" si="6"/>
        <v>0</v>
      </c>
      <c r="AM41" s="1"/>
      <c r="AN41" s="791"/>
      <c r="AO41" s="106"/>
      <c r="AP41" s="791"/>
      <c r="AR41" s="791"/>
      <c r="AS41" s="907"/>
      <c r="AT41" s="106"/>
      <c r="AU41" s="64">
        <f t="shared" si="7"/>
        <v>0</v>
      </c>
      <c r="AV41" s="1"/>
      <c r="AW41" s="791"/>
      <c r="AX41" s="106"/>
      <c r="AY41" s="791"/>
      <c r="BA41" s="791"/>
      <c r="BB41" s="907"/>
      <c r="BC41" s="106"/>
      <c r="BD41" s="64">
        <f t="shared" si="8"/>
        <v>0</v>
      </c>
      <c r="BE41" s="1"/>
      <c r="BF41" s="791"/>
      <c r="BG41" s="106"/>
      <c r="BH41" s="791"/>
    </row>
    <row r="42" spans="1:60" s="462" customFormat="1" x14ac:dyDescent="0.35">
      <c r="A42" s="9153"/>
      <c r="B42" s="885"/>
      <c r="C42" s="4955" t="s">
        <v>2552</v>
      </c>
      <c r="D42" s="456"/>
      <c r="E42" s="456"/>
      <c r="F42" s="790"/>
      <c r="G42" s="456"/>
      <c r="H42" s="791"/>
      <c r="I42" s="792"/>
      <c r="J42" s="1003"/>
      <c r="K42" s="456"/>
      <c r="L42" s="791"/>
      <c r="M42" s="808"/>
      <c r="N42" s="1"/>
      <c r="O42" s="791">
        <v>50235</v>
      </c>
      <c r="P42" s="907">
        <v>50040</v>
      </c>
      <c r="Q42" s="106" t="s">
        <v>2554</v>
      </c>
      <c r="R42" s="64">
        <f t="shared" si="4"/>
        <v>0.99611824425201556</v>
      </c>
      <c r="S42" s="1"/>
      <c r="T42" s="791">
        <v>201000</v>
      </c>
      <c r="U42" s="106" t="s">
        <v>2555</v>
      </c>
      <c r="V42" s="157">
        <v>201000</v>
      </c>
      <c r="W42" s="1"/>
      <c r="X42" s="723"/>
      <c r="Z42" s="791">
        <v>50235</v>
      </c>
      <c r="AA42" s="907">
        <v>50040</v>
      </c>
      <c r="AB42" s="106" t="s">
        <v>2554</v>
      </c>
      <c r="AC42" s="64">
        <f t="shared" si="5"/>
        <v>0.99611824425201556</v>
      </c>
      <c r="AD42" s="1"/>
      <c r="AE42" s="791"/>
      <c r="AF42" s="106"/>
      <c r="AG42" s="157"/>
      <c r="AI42" s="791"/>
      <c r="AJ42" s="907"/>
      <c r="AK42" s="106" t="s">
        <v>2554</v>
      </c>
      <c r="AL42" s="64">
        <f t="shared" si="6"/>
        <v>0</v>
      </c>
      <c r="AM42" s="1"/>
      <c r="AN42" s="791"/>
      <c r="AO42" s="106"/>
      <c r="AP42" s="791"/>
      <c r="AR42" s="791"/>
      <c r="AS42" s="907"/>
      <c r="AT42" s="106"/>
      <c r="AU42" s="64">
        <f t="shared" si="7"/>
        <v>0</v>
      </c>
      <c r="AV42" s="1"/>
      <c r="AW42" s="791"/>
      <c r="AX42" s="106"/>
      <c r="AY42" s="791"/>
      <c r="BA42" s="791"/>
      <c r="BB42" s="907"/>
      <c r="BC42" s="106"/>
      <c r="BD42" s="64">
        <f t="shared" si="8"/>
        <v>0</v>
      </c>
      <c r="BE42" s="1"/>
      <c r="BF42" s="791"/>
      <c r="BG42" s="106"/>
      <c r="BH42" s="791"/>
    </row>
    <row r="43" spans="1:60" s="462" customFormat="1" x14ac:dyDescent="0.35">
      <c r="A43" s="9153"/>
      <c r="B43" s="885"/>
      <c r="C43" s="874" t="s">
        <v>2556</v>
      </c>
      <c r="D43" s="456"/>
      <c r="E43" s="456"/>
      <c r="F43" s="790"/>
      <c r="G43" s="456"/>
      <c r="H43" s="791"/>
      <c r="I43" s="792"/>
      <c r="J43" s="1003"/>
      <c r="K43" s="456"/>
      <c r="L43" s="791"/>
      <c r="M43" s="808"/>
      <c r="N43" s="1"/>
      <c r="O43" s="791">
        <v>0</v>
      </c>
      <c r="P43" s="907">
        <v>0</v>
      </c>
      <c r="Q43" s="106" t="s">
        <v>2557</v>
      </c>
      <c r="R43" s="64">
        <f t="shared" si="4"/>
        <v>0</v>
      </c>
      <c r="S43" s="1"/>
      <c r="T43" s="791">
        <v>414099</v>
      </c>
      <c r="U43" s="106" t="s">
        <v>2316</v>
      </c>
      <c r="V43" s="157">
        <v>407798</v>
      </c>
      <c r="W43" s="1"/>
      <c r="X43" s="723"/>
      <c r="Z43" s="791">
        <v>0</v>
      </c>
      <c r="AA43" s="907">
        <v>0</v>
      </c>
      <c r="AB43" s="106" t="s">
        <v>2557</v>
      </c>
      <c r="AC43" s="64">
        <f t="shared" si="5"/>
        <v>0</v>
      </c>
      <c r="AD43" s="1"/>
      <c r="AE43" s="791"/>
      <c r="AF43" s="106"/>
      <c r="AG43" s="157"/>
      <c r="AI43" s="791"/>
      <c r="AJ43" s="907"/>
      <c r="AK43" s="106" t="s">
        <v>2557</v>
      </c>
      <c r="AL43" s="64">
        <f t="shared" si="6"/>
        <v>0</v>
      </c>
      <c r="AM43" s="1"/>
      <c r="AN43" s="791"/>
      <c r="AO43" s="106"/>
      <c r="AP43" s="791"/>
      <c r="AR43" s="791"/>
      <c r="AS43" s="907"/>
      <c r="AT43" s="106"/>
      <c r="AU43" s="64">
        <f t="shared" si="7"/>
        <v>0</v>
      </c>
      <c r="AV43" s="1"/>
      <c r="AW43" s="791"/>
      <c r="AX43" s="106"/>
      <c r="AY43" s="791"/>
      <c r="BA43" s="791"/>
      <c r="BB43" s="907"/>
      <c r="BC43" s="106"/>
      <c r="BD43" s="64">
        <f t="shared" si="8"/>
        <v>0</v>
      </c>
      <c r="BE43" s="1"/>
      <c r="BF43" s="791"/>
      <c r="BG43" s="106"/>
      <c r="BH43" s="791"/>
    </row>
    <row r="44" spans="1:60" s="462" customFormat="1" x14ac:dyDescent="0.35">
      <c r="A44" s="9153"/>
      <c r="B44" s="885"/>
      <c r="C44" s="4955" t="s">
        <v>2552</v>
      </c>
      <c r="D44" s="456"/>
      <c r="E44" s="456"/>
      <c r="F44" s="790"/>
      <c r="G44" s="456"/>
      <c r="H44" s="791"/>
      <c r="I44" s="792"/>
      <c r="J44" s="1003"/>
      <c r="K44" s="456"/>
      <c r="L44" s="791"/>
      <c r="M44" s="808"/>
      <c r="N44" s="1"/>
      <c r="O44" s="791">
        <v>0</v>
      </c>
      <c r="P44" s="907">
        <v>0</v>
      </c>
      <c r="Q44" s="106" t="s">
        <v>2557</v>
      </c>
      <c r="R44" s="64">
        <f t="shared" si="4"/>
        <v>0</v>
      </c>
      <c r="S44" s="1"/>
      <c r="T44" s="791">
        <v>311954</v>
      </c>
      <c r="U44" s="106" t="s">
        <v>2316</v>
      </c>
      <c r="V44" s="157">
        <v>295460</v>
      </c>
      <c r="W44" s="1"/>
      <c r="X44" s="723"/>
      <c r="Z44" s="791">
        <v>0</v>
      </c>
      <c r="AA44" s="907">
        <v>0</v>
      </c>
      <c r="AB44" s="106" t="s">
        <v>2557</v>
      </c>
      <c r="AC44" s="64">
        <f t="shared" si="5"/>
        <v>0</v>
      </c>
      <c r="AD44" s="1"/>
      <c r="AE44" s="791"/>
      <c r="AF44" s="106"/>
      <c r="AG44" s="157"/>
      <c r="AI44" s="791"/>
      <c r="AJ44" s="907"/>
      <c r="AK44" s="106" t="s">
        <v>2557</v>
      </c>
      <c r="AL44" s="64">
        <f t="shared" si="6"/>
        <v>0</v>
      </c>
      <c r="AM44" s="1"/>
      <c r="AN44" s="791"/>
      <c r="AO44" s="106"/>
      <c r="AP44" s="791"/>
      <c r="AR44" s="791"/>
      <c r="AS44" s="907"/>
      <c r="AT44" s="106"/>
      <c r="AU44" s="64">
        <f t="shared" si="7"/>
        <v>0</v>
      </c>
      <c r="AV44" s="1"/>
      <c r="AW44" s="791"/>
      <c r="AX44" s="106"/>
      <c r="AY44" s="791"/>
      <c r="BA44" s="791"/>
      <c r="BB44" s="907"/>
      <c r="BC44" s="106"/>
      <c r="BD44" s="64">
        <f t="shared" si="8"/>
        <v>0</v>
      </c>
      <c r="BE44" s="1"/>
      <c r="BF44" s="791"/>
      <c r="BG44" s="106"/>
      <c r="BH44" s="791"/>
    </row>
    <row r="45" spans="1:60" s="462" customFormat="1" x14ac:dyDescent="0.35">
      <c r="A45" s="9153"/>
      <c r="B45" s="895"/>
      <c r="C45" s="896" t="s">
        <v>534</v>
      </c>
      <c r="D45" s="456"/>
      <c r="E45" s="456"/>
      <c r="F45" s="795"/>
      <c r="G45" s="456"/>
      <c r="H45" s="791"/>
      <c r="I45" s="792"/>
      <c r="J45" s="1003">
        <f>IF(H45=0,0,I45/H45)</f>
        <v>0</v>
      </c>
      <c r="K45" s="456"/>
      <c r="L45" s="796"/>
      <c r="M45" s="897">
        <f>L45*J45</f>
        <v>0</v>
      </c>
      <c r="N45" s="1"/>
      <c r="O45" s="796">
        <v>0</v>
      </c>
      <c r="P45" s="898">
        <f>O45*M45</f>
        <v>0</v>
      </c>
      <c r="Q45" s="216"/>
      <c r="R45" s="133">
        <f t="shared" si="4"/>
        <v>0</v>
      </c>
      <c r="S45" s="1"/>
      <c r="T45" s="796"/>
      <c r="U45" s="216"/>
      <c r="V45" s="1043"/>
      <c r="W45" s="1"/>
      <c r="X45" s="722"/>
      <c r="Z45" s="796">
        <v>0</v>
      </c>
      <c r="AA45" s="898">
        <f>Z45*X45</f>
        <v>0</v>
      </c>
      <c r="AB45" s="216"/>
      <c r="AC45" s="133">
        <f t="shared" si="5"/>
        <v>0</v>
      </c>
      <c r="AD45" s="1"/>
      <c r="AE45" s="796"/>
      <c r="AF45" s="216"/>
      <c r="AG45" s="1043"/>
      <c r="AI45" s="796"/>
      <c r="AJ45" s="898"/>
      <c r="AK45" s="216"/>
      <c r="AL45" s="133">
        <f t="shared" si="6"/>
        <v>0</v>
      </c>
      <c r="AM45" s="1"/>
      <c r="AN45" s="796"/>
      <c r="AO45" s="216"/>
      <c r="AP45" s="796"/>
      <c r="AR45" s="796"/>
      <c r="AS45" s="898"/>
      <c r="AT45" s="216"/>
      <c r="AU45" s="133">
        <f t="shared" si="7"/>
        <v>0</v>
      </c>
      <c r="AV45" s="1"/>
      <c r="AW45" s="796"/>
      <c r="AX45" s="216"/>
      <c r="AY45" s="796"/>
      <c r="BA45" s="796"/>
      <c r="BB45" s="898"/>
      <c r="BC45" s="216"/>
      <c r="BD45" s="133">
        <f t="shared" si="8"/>
        <v>0</v>
      </c>
      <c r="BE45" s="1"/>
      <c r="BF45" s="796"/>
      <c r="BG45" s="216"/>
      <c r="BH45" s="796"/>
    </row>
    <row r="46" spans="1:60" s="462" customFormat="1" x14ac:dyDescent="0.35">
      <c r="A46" s="9153"/>
      <c r="B46" s="141" t="s">
        <v>535</v>
      </c>
      <c r="C46" s="899"/>
      <c r="D46" s="456"/>
      <c r="E46" s="457"/>
      <c r="F46" s="870"/>
      <c r="G46" s="457"/>
      <c r="H46" s="773"/>
      <c r="I46" s="774"/>
      <c r="J46" s="1047"/>
      <c r="K46" s="457"/>
      <c r="L46" s="866"/>
      <c r="M46" s="891"/>
      <c r="N46" s="143"/>
      <c r="O46" s="866"/>
      <c r="P46" s="892"/>
      <c r="Q46" s="106"/>
      <c r="R46" s="877"/>
      <c r="S46" s="143"/>
      <c r="T46" s="866"/>
      <c r="U46" s="106"/>
      <c r="V46" s="901"/>
      <c r="W46" s="143"/>
      <c r="X46" s="718"/>
      <c r="Z46" s="866"/>
      <c r="AA46" s="892"/>
      <c r="AB46" s="106"/>
      <c r="AC46" s="877"/>
      <c r="AD46" s="143"/>
      <c r="AE46" s="866"/>
      <c r="AF46" s="106"/>
      <c r="AG46" s="901"/>
      <c r="AI46" s="866"/>
      <c r="AJ46" s="892"/>
      <c r="AK46" s="106"/>
      <c r="AL46" s="877"/>
      <c r="AM46" s="143"/>
      <c r="AN46" s="866"/>
      <c r="AO46" s="106"/>
      <c r="AP46" s="866"/>
      <c r="AR46" s="866"/>
      <c r="AS46" s="892"/>
      <c r="AT46" s="106"/>
      <c r="AU46" s="877"/>
      <c r="AV46" s="143"/>
      <c r="AW46" s="866"/>
      <c r="AX46" s="106"/>
      <c r="AY46" s="892"/>
      <c r="BA46" s="866"/>
      <c r="BB46" s="892"/>
      <c r="BC46" s="106"/>
      <c r="BD46" s="877"/>
      <c r="BE46" s="143"/>
      <c r="BF46" s="866"/>
      <c r="BG46" s="106"/>
      <c r="BH46" s="892"/>
    </row>
    <row r="47" spans="1:60" s="462" customFormat="1" ht="20.25" customHeight="1" x14ac:dyDescent="0.35">
      <c r="A47" s="9153"/>
      <c r="B47" s="240"/>
      <c r="C47" s="874" t="s">
        <v>2558</v>
      </c>
      <c r="D47" s="456">
        <v>7</v>
      </c>
      <c r="E47" s="456"/>
      <c r="F47" s="779">
        <f>4637+383831</f>
        <v>388468</v>
      </c>
      <c r="G47" s="456"/>
      <c r="H47" s="780">
        <f>11712+496069</f>
        <v>507781</v>
      </c>
      <c r="I47" s="781">
        <f>15969+484039</f>
        <v>500008</v>
      </c>
      <c r="J47" s="1003">
        <f>IF(H47=0,0,I47/H47)</f>
        <v>0.98469221967738063</v>
      </c>
      <c r="K47" s="456"/>
      <c r="L47" s="780">
        <f>5502+32902+317730+234437</f>
        <v>590571</v>
      </c>
      <c r="M47" s="902">
        <f>L47*J47</f>
        <v>581530.66886709037</v>
      </c>
      <c r="N47" s="1"/>
      <c r="O47" s="780">
        <f>201535</f>
        <v>201535</v>
      </c>
      <c r="P47" s="882">
        <f>132979</f>
        <v>132979</v>
      </c>
      <c r="Q47" s="57" t="s">
        <v>2559</v>
      </c>
      <c r="R47" s="64">
        <f t="shared" ref="R47:R52" si="9">IF(O47=0,0,(P47+P49)/(O47+O49))</f>
        <v>0.86315285452630885</v>
      </c>
      <c r="S47" s="1"/>
      <c r="T47" s="780">
        <v>607875</v>
      </c>
      <c r="U47" s="57" t="s">
        <v>2560</v>
      </c>
      <c r="V47" s="157">
        <v>582524</v>
      </c>
      <c r="W47" s="1"/>
      <c r="X47" s="903" t="s">
        <v>2561</v>
      </c>
      <c r="Z47" s="780">
        <f>201535</f>
        <v>201535</v>
      </c>
      <c r="AA47" s="882">
        <f>132979</f>
        <v>132979</v>
      </c>
      <c r="AB47" s="57" t="s">
        <v>2559</v>
      </c>
      <c r="AC47" s="64">
        <f t="shared" ref="AC47:AC52" si="10">IF(Z47=0,0,(AA47+AA49)/(Z47+Z49))</f>
        <v>0.86315285452630885</v>
      </c>
      <c r="AD47" s="1"/>
      <c r="AE47" s="780">
        <v>605617</v>
      </c>
      <c r="AF47" s="57" t="s">
        <v>2562</v>
      </c>
      <c r="AG47" s="157">
        <v>531353</v>
      </c>
      <c r="AI47" s="780">
        <v>605617</v>
      </c>
      <c r="AJ47" s="882">
        <v>531353</v>
      </c>
      <c r="AK47" s="57" t="s">
        <v>2559</v>
      </c>
      <c r="AL47" s="64">
        <f t="shared" ref="AL47:AL52" si="11">IF(AI47=0,0,(AJ47+AJ49)/(AI47+AI49))</f>
        <v>0.87737464437094737</v>
      </c>
      <c r="AM47" s="1"/>
      <c r="AN47" s="780">
        <v>618809</v>
      </c>
      <c r="AO47" s="57" t="s">
        <v>2563</v>
      </c>
      <c r="AP47" s="780">
        <f t="shared" ref="AP47:AP57" si="12">AN47*AL47</f>
        <v>542927.32630854158</v>
      </c>
      <c r="AR47" s="780">
        <v>618809</v>
      </c>
      <c r="AS47" s="882">
        <v>579804</v>
      </c>
      <c r="AT47" s="2669" t="s">
        <v>2564</v>
      </c>
      <c r="AU47" s="64">
        <f t="shared" ref="AU47:AU53" si="13">IF(AR47=0,0,(AS47+AS49)/(AR47+AR49))</f>
        <v>0.93696762652126908</v>
      </c>
      <c r="AV47" s="1"/>
      <c r="AW47" s="780">
        <v>653461</v>
      </c>
      <c r="AX47" s="57" t="s">
        <v>2563</v>
      </c>
      <c r="AY47" s="882">
        <f t="shared" ref="AY47:AY58" si="14">AW47*AU47</f>
        <v>612271.80219421501</v>
      </c>
      <c r="BA47" s="780">
        <v>653461</v>
      </c>
      <c r="BB47" s="882">
        <v>632565</v>
      </c>
      <c r="BC47" s="2669" t="s">
        <v>2565</v>
      </c>
      <c r="BD47" s="64">
        <f t="shared" ref="BD47:BD53" si="15">IF(BA47=0,0,(BB47+BB49)/(BA47+BA49))</f>
        <v>0.9680225751804622</v>
      </c>
      <c r="BE47" s="1"/>
      <c r="BF47" s="780">
        <v>351688</v>
      </c>
      <c r="BG47" s="57" t="s">
        <v>2566</v>
      </c>
      <c r="BH47" s="882">
        <f t="shared" ref="BH47:BH58" si="16">BF47*BD47</f>
        <v>340441.92342006636</v>
      </c>
    </row>
    <row r="48" spans="1:60" s="462" customFormat="1" x14ac:dyDescent="0.35">
      <c r="A48" s="9153"/>
      <c r="B48" s="240"/>
      <c r="C48" s="874" t="s">
        <v>2567</v>
      </c>
      <c r="D48" s="456"/>
      <c r="E48" s="456"/>
      <c r="F48" s="788"/>
      <c r="G48" s="456"/>
      <c r="H48" s="785"/>
      <c r="I48" s="786"/>
      <c r="J48" s="1003">
        <f>IF(H48=0,0,I48/H48)</f>
        <v>0</v>
      </c>
      <c r="K48" s="456"/>
      <c r="L48" s="785"/>
      <c r="M48" s="905"/>
      <c r="N48" s="1"/>
      <c r="O48" s="785">
        <f>32902</f>
        <v>32902</v>
      </c>
      <c r="P48" s="882">
        <f>11195</f>
        <v>11195</v>
      </c>
      <c r="Q48" s="57" t="s">
        <v>2559</v>
      </c>
      <c r="R48" s="64">
        <f t="shared" si="9"/>
        <v>0.4347463805853557</v>
      </c>
      <c r="S48" s="1"/>
      <c r="T48" s="785">
        <v>64960</v>
      </c>
      <c r="U48" s="57" t="s">
        <v>2568</v>
      </c>
      <c r="V48" s="157">
        <v>54960</v>
      </c>
      <c r="W48" s="1"/>
      <c r="X48" s="723"/>
      <c r="Z48" s="785">
        <f>32902</f>
        <v>32902</v>
      </c>
      <c r="AA48" s="882">
        <f>11195</f>
        <v>11195</v>
      </c>
      <c r="AB48" s="57" t="s">
        <v>2559</v>
      </c>
      <c r="AC48" s="64">
        <f t="shared" si="10"/>
        <v>0.4347463805853557</v>
      </c>
      <c r="AD48" s="1"/>
      <c r="AE48" s="785"/>
      <c r="AF48" s="57"/>
      <c r="AG48" s="157"/>
      <c r="AI48" s="785"/>
      <c r="AJ48" s="882"/>
      <c r="AK48" s="57" t="s">
        <v>2559</v>
      </c>
      <c r="AL48" s="64">
        <f t="shared" si="11"/>
        <v>0</v>
      </c>
      <c r="AM48" s="1"/>
      <c r="AN48" s="785">
        <v>42231</v>
      </c>
      <c r="AO48" s="57" t="s">
        <v>2563</v>
      </c>
      <c r="AP48" s="785">
        <f t="shared" si="12"/>
        <v>0</v>
      </c>
      <c r="AR48" s="785">
        <v>42231</v>
      </c>
      <c r="AS48" s="882">
        <v>42231</v>
      </c>
      <c r="AT48" s="2669" t="s">
        <v>2569</v>
      </c>
      <c r="AU48" s="64">
        <f t="shared" si="13"/>
        <v>1</v>
      </c>
      <c r="AV48" s="1"/>
      <c r="AW48" s="785">
        <v>67000</v>
      </c>
      <c r="AX48" s="57" t="s">
        <v>2563</v>
      </c>
      <c r="AY48" s="882">
        <f t="shared" si="14"/>
        <v>67000</v>
      </c>
      <c r="BA48" s="785">
        <v>67000</v>
      </c>
      <c r="BB48" s="882">
        <v>58424</v>
      </c>
      <c r="BC48" s="2669"/>
      <c r="BD48" s="64">
        <f t="shared" si="15"/>
        <v>0.872</v>
      </c>
      <c r="BE48" s="1"/>
      <c r="BF48" s="785">
        <v>773</v>
      </c>
      <c r="BG48" s="57"/>
      <c r="BH48" s="882">
        <f t="shared" si="16"/>
        <v>674.05600000000004</v>
      </c>
    </row>
    <row r="49" spans="1:60" s="462" customFormat="1" x14ac:dyDescent="0.35">
      <c r="A49" s="9153"/>
      <c r="B49" s="240"/>
      <c r="C49" s="874" t="s">
        <v>2570</v>
      </c>
      <c r="D49" s="456"/>
      <c r="E49" s="456"/>
      <c r="F49" s="779"/>
      <c r="G49" s="456"/>
      <c r="H49" s="780"/>
      <c r="I49" s="781"/>
      <c r="J49" s="1003"/>
      <c r="K49" s="456"/>
      <c r="L49" s="780"/>
      <c r="M49" s="902"/>
      <c r="N49" s="1"/>
      <c r="O49" s="780">
        <v>312228</v>
      </c>
      <c r="P49" s="882">
        <f>310477</f>
        <v>310477</v>
      </c>
      <c r="Q49" s="57" t="s">
        <v>2559</v>
      </c>
      <c r="R49" s="64">
        <f t="shared" si="9"/>
        <v>0.87341520063130595</v>
      </c>
      <c r="S49" s="1"/>
      <c r="T49" s="780">
        <v>0</v>
      </c>
      <c r="U49" s="57" t="s">
        <v>2571</v>
      </c>
      <c r="V49" s="157"/>
      <c r="W49" s="1"/>
      <c r="X49" s="723" t="s">
        <v>2572</v>
      </c>
      <c r="Z49" s="780">
        <v>312228</v>
      </c>
      <c r="AA49" s="882">
        <f>310477</f>
        <v>310477</v>
      </c>
      <c r="AB49" s="57" t="s">
        <v>2559</v>
      </c>
      <c r="AC49" s="64">
        <f t="shared" si="10"/>
        <v>0.87341520063130595</v>
      </c>
      <c r="AD49" s="1"/>
      <c r="AE49" s="780"/>
      <c r="AF49" s="57"/>
      <c r="AG49" s="157"/>
      <c r="AI49" s="780"/>
      <c r="AJ49" s="882"/>
      <c r="AK49" s="57" t="s">
        <v>2559</v>
      </c>
      <c r="AL49" s="64">
        <f t="shared" si="11"/>
        <v>0</v>
      </c>
      <c r="AM49" s="1"/>
      <c r="AN49" s="780"/>
      <c r="AO49" s="57"/>
      <c r="AP49" s="780">
        <f t="shared" si="12"/>
        <v>0</v>
      </c>
      <c r="AR49" s="780"/>
      <c r="AS49" s="882"/>
      <c r="AT49" s="57"/>
      <c r="AU49" s="64">
        <f t="shared" si="13"/>
        <v>0</v>
      </c>
      <c r="AV49" s="1"/>
      <c r="AW49" s="780"/>
      <c r="AX49" s="57"/>
      <c r="AY49" s="882">
        <f t="shared" si="14"/>
        <v>0</v>
      </c>
      <c r="BA49" s="780">
        <v>0</v>
      </c>
      <c r="BB49" s="882">
        <v>0</v>
      </c>
      <c r="BC49" s="57"/>
      <c r="BD49" s="64">
        <f t="shared" si="15"/>
        <v>0</v>
      </c>
      <c r="BE49" s="1"/>
      <c r="BF49" s="780">
        <v>171907</v>
      </c>
      <c r="BG49" s="57" t="s">
        <v>2573</v>
      </c>
      <c r="BH49" s="882">
        <f t="shared" si="16"/>
        <v>0</v>
      </c>
    </row>
    <row r="50" spans="1:60" s="462" customFormat="1" x14ac:dyDescent="0.35">
      <c r="A50" s="9153"/>
      <c r="B50" s="240"/>
      <c r="C50" s="874" t="s">
        <v>2574</v>
      </c>
      <c r="D50" s="456"/>
      <c r="E50" s="456"/>
      <c r="F50" s="788"/>
      <c r="G50" s="456"/>
      <c r="H50" s="785"/>
      <c r="I50" s="786"/>
      <c r="J50" s="1003"/>
      <c r="K50" s="456"/>
      <c r="L50" s="785"/>
      <c r="M50" s="905"/>
      <c r="N50" s="1"/>
      <c r="O50" s="785">
        <f>5502</f>
        <v>5502</v>
      </c>
      <c r="P50" s="882">
        <f>5501</f>
        <v>5501</v>
      </c>
      <c r="Q50" s="57" t="s">
        <v>2559</v>
      </c>
      <c r="R50" s="64">
        <f t="shared" si="9"/>
        <v>0.99999458754377324</v>
      </c>
      <c r="S50" s="1"/>
      <c r="T50" s="785">
        <v>0</v>
      </c>
      <c r="U50" s="57" t="s">
        <v>2571</v>
      </c>
      <c r="V50" s="157"/>
      <c r="W50" s="1"/>
      <c r="X50" s="723" t="s">
        <v>2572</v>
      </c>
      <c r="Z50" s="785">
        <f>5502</f>
        <v>5502</v>
      </c>
      <c r="AA50" s="882">
        <f>5501</f>
        <v>5501</v>
      </c>
      <c r="AB50" s="57" t="s">
        <v>2559</v>
      </c>
      <c r="AC50" s="64">
        <f t="shared" si="10"/>
        <v>0.99999458754377324</v>
      </c>
      <c r="AD50" s="1"/>
      <c r="AE50" s="785"/>
      <c r="AF50" s="57"/>
      <c r="AG50" s="157"/>
      <c r="AI50" s="785"/>
      <c r="AJ50" s="882"/>
      <c r="AK50" s="57" t="s">
        <v>2559</v>
      </c>
      <c r="AL50" s="64">
        <f t="shared" si="11"/>
        <v>0</v>
      </c>
      <c r="AM50" s="1"/>
      <c r="AN50" s="785"/>
      <c r="AO50" s="57"/>
      <c r="AP50" s="785">
        <f t="shared" si="12"/>
        <v>0</v>
      </c>
      <c r="AR50" s="785"/>
      <c r="AS50" s="882"/>
      <c r="AT50" s="57"/>
      <c r="AU50" s="64">
        <f>IF(AR50=0,0,(AS50+AS53)/(AR50+AR53))</f>
        <v>0</v>
      </c>
      <c r="AV50" s="1"/>
      <c r="AW50" s="785"/>
      <c r="AX50" s="57"/>
      <c r="AY50" s="882">
        <f t="shared" si="14"/>
        <v>0</v>
      </c>
      <c r="BA50" s="785">
        <v>0</v>
      </c>
      <c r="BB50" s="882">
        <v>0</v>
      </c>
      <c r="BC50" s="57"/>
      <c r="BD50" s="64">
        <f>IF(BA50=0,0,(BB50+BB53)/(BA50+BA53))</f>
        <v>0</v>
      </c>
      <c r="BE50" s="1"/>
      <c r="BF50" s="785">
        <v>6205</v>
      </c>
      <c r="BG50" s="57"/>
      <c r="BH50" s="882">
        <f t="shared" si="16"/>
        <v>0</v>
      </c>
    </row>
    <row r="51" spans="1:60" s="462" customFormat="1" x14ac:dyDescent="0.35">
      <c r="A51" s="9153"/>
      <c r="B51" s="240"/>
      <c r="C51" s="874" t="s">
        <v>2575</v>
      </c>
      <c r="D51" s="456">
        <v>8</v>
      </c>
      <c r="E51" s="456"/>
      <c r="F51" s="788"/>
      <c r="G51" s="456"/>
      <c r="H51" s="785"/>
      <c r="I51" s="786"/>
      <c r="J51" s="1003">
        <f>J47</f>
        <v>0.98469221967738063</v>
      </c>
      <c r="K51" s="456"/>
      <c r="L51" s="785">
        <v>89479</v>
      </c>
      <c r="M51" s="905">
        <f>L51*J51</f>
        <v>88109.275124512336</v>
      </c>
      <c r="N51" s="1"/>
      <c r="O51" s="785">
        <v>89479</v>
      </c>
      <c r="P51" s="882">
        <v>40380</v>
      </c>
      <c r="Q51" s="57" t="s">
        <v>2576</v>
      </c>
      <c r="R51" s="64">
        <f t="shared" si="9"/>
        <v>0.521756863049748</v>
      </c>
      <c r="S51" s="1"/>
      <c r="T51" s="785">
        <v>89479</v>
      </c>
      <c r="U51" s="57" t="s">
        <v>2577</v>
      </c>
      <c r="V51" s="157">
        <v>89479</v>
      </c>
      <c r="W51" s="1"/>
      <c r="X51" s="723" t="s">
        <v>2578</v>
      </c>
      <c r="Z51" s="785">
        <v>89479</v>
      </c>
      <c r="AA51" s="882">
        <v>40380</v>
      </c>
      <c r="AB51" s="57" t="s">
        <v>2576</v>
      </c>
      <c r="AC51" s="64">
        <f t="shared" si="10"/>
        <v>0.521756863049748</v>
      </c>
      <c r="AD51" s="1"/>
      <c r="AE51" s="785">
        <v>89479</v>
      </c>
      <c r="AF51" s="57" t="s">
        <v>2579</v>
      </c>
      <c r="AG51" s="157">
        <v>89479</v>
      </c>
      <c r="AI51" s="785">
        <v>89479</v>
      </c>
      <c r="AJ51" s="882">
        <v>89479</v>
      </c>
      <c r="AK51" s="57" t="s">
        <v>2576</v>
      </c>
      <c r="AL51" s="64">
        <f t="shared" si="11"/>
        <v>0.97388056816336632</v>
      </c>
      <c r="AM51" s="1"/>
      <c r="AN51" s="785">
        <v>89479</v>
      </c>
      <c r="AO51" s="57" t="s">
        <v>2580</v>
      </c>
      <c r="AP51" s="785">
        <f t="shared" si="12"/>
        <v>87141.85935868985</v>
      </c>
      <c r="AR51" s="785">
        <v>89479</v>
      </c>
      <c r="AS51" s="882">
        <v>89479</v>
      </c>
      <c r="AT51" s="6858" t="s">
        <v>2581</v>
      </c>
      <c r="AU51" s="5676">
        <f>IF(AR51=0,0,(AS51+AS54)/(AR51+AR54))</f>
        <v>1</v>
      </c>
      <c r="AV51" s="3818"/>
      <c r="AW51" s="785">
        <v>89479</v>
      </c>
      <c r="AX51" s="6858" t="s">
        <v>2581</v>
      </c>
      <c r="AY51" s="882">
        <f>AW51*AU51</f>
        <v>89479</v>
      </c>
      <c r="BA51" s="785"/>
      <c r="BB51" s="882">
        <v>1299668</v>
      </c>
      <c r="BC51" s="6858" t="s">
        <v>2581</v>
      </c>
      <c r="BD51" s="5676">
        <v>1</v>
      </c>
      <c r="BE51" s="3818"/>
      <c r="BF51" s="785">
        <v>1547381</v>
      </c>
      <c r="BG51" s="7784" t="s">
        <v>2582</v>
      </c>
      <c r="BH51" s="882">
        <f t="shared" si="16"/>
        <v>1547381</v>
      </c>
    </row>
    <row r="52" spans="1:60" s="462" customFormat="1" x14ac:dyDescent="0.35">
      <c r="A52" s="9153"/>
      <c r="B52" s="241"/>
      <c r="C52" s="874" t="s">
        <v>2583</v>
      </c>
      <c r="D52" s="456"/>
      <c r="E52" s="456"/>
      <c r="F52" s="790"/>
      <c r="G52" s="456"/>
      <c r="H52" s="791"/>
      <c r="I52" s="792">
        <v>201898</v>
      </c>
      <c r="J52" s="1003"/>
      <c r="K52" s="456"/>
      <c r="L52" s="791">
        <v>179257</v>
      </c>
      <c r="M52" s="906">
        <v>179257</v>
      </c>
      <c r="N52" s="1"/>
      <c r="O52" s="791">
        <v>179257</v>
      </c>
      <c r="P52" s="907">
        <v>179257</v>
      </c>
      <c r="Q52" s="57" t="s">
        <v>2584</v>
      </c>
      <c r="R52" s="64">
        <f t="shared" si="9"/>
        <v>0.94498656748808285</v>
      </c>
      <c r="S52" s="1"/>
      <c r="T52" s="791">
        <v>229257</v>
      </c>
      <c r="U52" s="57" t="s">
        <v>2585</v>
      </c>
      <c r="V52" s="611">
        <v>263263</v>
      </c>
      <c r="W52" s="1"/>
      <c r="X52" s="723"/>
      <c r="Z52" s="791">
        <v>179257</v>
      </c>
      <c r="AA52" s="907">
        <v>179257</v>
      </c>
      <c r="AB52" s="57" t="s">
        <v>2584</v>
      </c>
      <c r="AC52" s="64">
        <f t="shared" si="10"/>
        <v>4.2267638083868411</v>
      </c>
      <c r="AD52" s="1"/>
      <c r="AE52" s="791">
        <v>300263</v>
      </c>
      <c r="AF52" s="57" t="s">
        <v>2586</v>
      </c>
      <c r="AG52" s="611">
        <v>300263</v>
      </c>
      <c r="AI52" s="791">
        <v>300263</v>
      </c>
      <c r="AJ52" s="907">
        <v>300263</v>
      </c>
      <c r="AK52" s="57" t="s">
        <v>2584</v>
      </c>
      <c r="AL52" s="64">
        <f t="shared" si="11"/>
        <v>1</v>
      </c>
      <c r="AM52" s="1"/>
      <c r="AN52" s="791">
        <v>321000</v>
      </c>
      <c r="AO52" s="57" t="s">
        <v>2587</v>
      </c>
      <c r="AP52" s="791">
        <f t="shared" si="12"/>
        <v>321000</v>
      </c>
      <c r="AR52" s="791"/>
      <c r="AS52" s="907"/>
      <c r="AT52" s="6858"/>
      <c r="AU52" s="5676"/>
      <c r="AV52" s="3818"/>
      <c r="AW52" s="791"/>
      <c r="AX52" s="6858"/>
      <c r="AY52" s="907"/>
      <c r="BA52" s="791"/>
      <c r="BB52" s="907">
        <v>193181</v>
      </c>
      <c r="BC52" s="6858"/>
      <c r="BD52" s="5676">
        <v>1</v>
      </c>
      <c r="BE52" s="3818"/>
      <c r="BF52" s="791">
        <v>93748</v>
      </c>
      <c r="BG52" s="7784"/>
      <c r="BH52" s="882">
        <f t="shared" si="16"/>
        <v>93748</v>
      </c>
    </row>
    <row r="53" spans="1:60" s="462" customFormat="1" x14ac:dyDescent="0.35">
      <c r="A53" s="9153"/>
      <c r="B53" s="241"/>
      <c r="C53" s="874" t="s">
        <v>2588</v>
      </c>
      <c r="D53" s="456"/>
      <c r="E53" s="456"/>
      <c r="F53" s="790"/>
      <c r="G53" s="456"/>
      <c r="H53" s="791"/>
      <c r="I53" s="792">
        <v>30000</v>
      </c>
      <c r="J53" s="1003"/>
      <c r="K53" s="456"/>
      <c r="L53" s="791">
        <v>13500</v>
      </c>
      <c r="M53" s="906">
        <v>13350</v>
      </c>
      <c r="N53" s="1"/>
      <c r="O53" s="791">
        <v>13500</v>
      </c>
      <c r="P53" s="907">
        <v>13350</v>
      </c>
      <c r="Q53" s="57" t="s">
        <v>2584</v>
      </c>
      <c r="R53" s="64">
        <f>IF(O53=0,0,(P53+P56)/(O53+O56))</f>
        <v>0.98888888888888893</v>
      </c>
      <c r="S53" s="1"/>
      <c r="T53" s="791">
        <v>24000</v>
      </c>
      <c r="U53" s="57" t="s">
        <v>2585</v>
      </c>
      <c r="V53" s="611">
        <v>24000</v>
      </c>
      <c r="W53" s="1"/>
      <c r="X53" s="723"/>
      <c r="Z53" s="791">
        <v>13500</v>
      </c>
      <c r="AA53" s="907">
        <v>13350</v>
      </c>
      <c r="AB53" s="57" t="s">
        <v>2584</v>
      </c>
      <c r="AC53" s="64">
        <f>IF(Z53=0,0,(AA53+AA56)/(Z53+Z56))</f>
        <v>0.98888888888888893</v>
      </c>
      <c r="AD53" s="1"/>
      <c r="AE53" s="791">
        <v>39850</v>
      </c>
      <c r="AF53" s="57" t="s">
        <v>2589</v>
      </c>
      <c r="AG53" s="611">
        <v>36472</v>
      </c>
      <c r="AI53" s="791">
        <v>39850</v>
      </c>
      <c r="AJ53" s="907">
        <v>36472</v>
      </c>
      <c r="AK53" s="57" t="s">
        <v>2584</v>
      </c>
      <c r="AL53" s="64">
        <f>IF(AI53=0,0,(AJ53+AJ56)/(AI53+AI56))</f>
        <v>0.91523212045169389</v>
      </c>
      <c r="AM53" s="1"/>
      <c r="AN53" s="791">
        <v>11000</v>
      </c>
      <c r="AO53" s="57" t="s">
        <v>2590</v>
      </c>
      <c r="AP53" s="791">
        <f t="shared" si="12"/>
        <v>10067.553324968632</v>
      </c>
      <c r="AR53" s="791">
        <v>428310</v>
      </c>
      <c r="AS53" s="907">
        <v>428310</v>
      </c>
      <c r="AT53" s="6858" t="s">
        <v>2591</v>
      </c>
      <c r="AU53" s="5676">
        <f t="shared" si="13"/>
        <v>1</v>
      </c>
      <c r="AV53" s="3818"/>
      <c r="AW53" s="791">
        <v>471492</v>
      </c>
      <c r="AX53" s="6858" t="s">
        <v>2591</v>
      </c>
      <c r="AY53" s="907">
        <f t="shared" si="14"/>
        <v>471492</v>
      </c>
      <c r="BA53" s="791">
        <v>471492</v>
      </c>
      <c r="BB53" s="907">
        <v>460660</v>
      </c>
      <c r="BC53" s="6858" t="s">
        <v>2591</v>
      </c>
      <c r="BD53" s="5676">
        <f t="shared" si="15"/>
        <v>0.97702612133397815</v>
      </c>
      <c r="BE53" s="3818"/>
      <c r="BF53" s="791">
        <v>444277</v>
      </c>
      <c r="BG53" s="7784" t="s">
        <v>2592</v>
      </c>
      <c r="BH53" s="882">
        <f t="shared" si="16"/>
        <v>434070.23410789581</v>
      </c>
    </row>
    <row r="54" spans="1:60" s="462" customFormat="1" x14ac:dyDescent="0.35">
      <c r="A54" s="9153"/>
      <c r="B54" s="241"/>
      <c r="C54" s="874" t="s">
        <v>2593</v>
      </c>
      <c r="D54" s="456"/>
      <c r="E54" s="456"/>
      <c r="F54" s="790"/>
      <c r="G54" s="456"/>
      <c r="H54" s="791"/>
      <c r="I54" s="792">
        <v>886951</v>
      </c>
      <c r="J54" s="1003"/>
      <c r="K54" s="456"/>
      <c r="L54" s="791">
        <v>622529</v>
      </c>
      <c r="M54" s="906">
        <v>575820</v>
      </c>
      <c r="N54" s="1"/>
      <c r="O54" s="791">
        <f>L54</f>
        <v>622529</v>
      </c>
      <c r="P54" s="907">
        <v>578420</v>
      </c>
      <c r="Q54" s="57" t="s">
        <v>2594</v>
      </c>
      <c r="R54" s="64">
        <f>IF(O54=0,0,P54/O54)</f>
        <v>0.92914546952832722</v>
      </c>
      <c r="S54" s="1"/>
      <c r="T54" s="791">
        <v>0</v>
      </c>
      <c r="U54" s="57" t="s">
        <v>2595</v>
      </c>
      <c r="V54" s="611">
        <v>0</v>
      </c>
      <c r="W54" s="1"/>
      <c r="X54" s="723" t="s">
        <v>2596</v>
      </c>
      <c r="Z54" s="791">
        <f>W54</f>
        <v>0</v>
      </c>
      <c r="AA54" s="907">
        <v>578420</v>
      </c>
      <c r="AB54" s="57" t="s">
        <v>2594</v>
      </c>
      <c r="AC54" s="64">
        <f>IF(Z54=0,0,AA54/Z54)</f>
        <v>0</v>
      </c>
      <c r="AD54" s="1"/>
      <c r="AE54" s="791"/>
      <c r="AF54" s="57"/>
      <c r="AG54" s="611"/>
      <c r="AI54" s="791"/>
      <c r="AJ54" s="907"/>
      <c r="AK54" s="57" t="s">
        <v>2594</v>
      </c>
      <c r="AL54" s="64">
        <f>IF(AI54=0,0,AJ54/AI54)</f>
        <v>0</v>
      </c>
      <c r="AM54" s="1"/>
      <c r="AN54" s="791"/>
      <c r="AO54" s="57"/>
      <c r="AP54" s="791">
        <f t="shared" si="12"/>
        <v>0</v>
      </c>
      <c r="AR54" s="791">
        <v>11000</v>
      </c>
      <c r="AS54" s="907">
        <v>11000</v>
      </c>
      <c r="AT54" s="6858" t="s">
        <v>2591</v>
      </c>
      <c r="AU54" s="5676">
        <f>IF(AR54=0,0,(AS54+AS57)/(AR54+AR57))</f>
        <v>1</v>
      </c>
      <c r="AV54" s="3818"/>
      <c r="AW54" s="791">
        <v>19736</v>
      </c>
      <c r="AX54" s="6858" t="s">
        <v>2591</v>
      </c>
      <c r="AY54" s="907">
        <f t="shared" si="14"/>
        <v>19736</v>
      </c>
      <c r="BA54" s="791">
        <v>19736</v>
      </c>
      <c r="BB54" s="907">
        <v>19736</v>
      </c>
      <c r="BC54" s="6858" t="s">
        <v>2591</v>
      </c>
      <c r="BD54" s="5676">
        <f>IF(BA54=0,0,(BB54+BB57)/(BA54+BA57))</f>
        <v>1</v>
      </c>
      <c r="BE54" s="3818"/>
      <c r="BF54" s="791">
        <v>5925</v>
      </c>
      <c r="BG54" s="6858"/>
      <c r="BH54" s="907">
        <f t="shared" si="16"/>
        <v>5925</v>
      </c>
    </row>
    <row r="55" spans="1:60" s="462" customFormat="1" x14ac:dyDescent="0.35">
      <c r="A55" s="9153"/>
      <c r="B55" s="241"/>
      <c r="C55" s="874" t="s">
        <v>2597</v>
      </c>
      <c r="D55" s="456"/>
      <c r="E55" s="456"/>
      <c r="F55" s="790"/>
      <c r="G55" s="456"/>
      <c r="H55" s="791"/>
      <c r="I55" s="792">
        <v>0</v>
      </c>
      <c r="J55" s="1003"/>
      <c r="K55" s="456"/>
      <c r="L55" s="791">
        <v>292863</v>
      </c>
      <c r="M55" s="906">
        <v>193645</v>
      </c>
      <c r="N55" s="1"/>
      <c r="O55" s="791">
        <v>292863</v>
      </c>
      <c r="P55" s="4956">
        <v>193645</v>
      </c>
      <c r="Q55" s="57" t="s">
        <v>2598</v>
      </c>
      <c r="R55" s="64"/>
      <c r="S55" s="1"/>
      <c r="T55" s="791">
        <v>920000</v>
      </c>
      <c r="U55" s="57" t="s">
        <v>2599</v>
      </c>
      <c r="V55" s="611">
        <v>904100</v>
      </c>
      <c r="W55" s="1"/>
      <c r="X55" s="723" t="s">
        <v>2600</v>
      </c>
      <c r="Z55" s="791">
        <v>292863</v>
      </c>
      <c r="AA55" s="4956">
        <v>193645</v>
      </c>
      <c r="AB55" s="57" t="s">
        <v>2598</v>
      </c>
      <c r="AC55" s="64"/>
      <c r="AD55" s="1"/>
      <c r="AE55" s="791">
        <v>1245177</v>
      </c>
      <c r="AF55" s="57" t="s">
        <v>2601</v>
      </c>
      <c r="AG55" s="611">
        <v>1276899</v>
      </c>
      <c r="AI55" s="791">
        <v>1245177</v>
      </c>
      <c r="AJ55" s="4956">
        <v>1276899</v>
      </c>
      <c r="AK55" s="57" t="s">
        <v>2598</v>
      </c>
      <c r="AL55" s="64"/>
      <c r="AM55" s="1"/>
      <c r="AN55" s="791">
        <v>1370121</v>
      </c>
      <c r="AO55" s="57" t="s">
        <v>2602</v>
      </c>
      <c r="AP55" s="791">
        <f t="shared" si="12"/>
        <v>0</v>
      </c>
      <c r="AR55" s="791"/>
      <c r="AS55" s="907"/>
      <c r="AT55" s="6859"/>
      <c r="AU55" s="1003">
        <f>IF(AR55=0,0,AS55/AR55)</f>
        <v>0</v>
      </c>
      <c r="AV55" s="2851"/>
      <c r="AW55" s="791"/>
      <c r="AX55" s="6859"/>
      <c r="AY55" s="907">
        <f t="shared" si="14"/>
        <v>0</v>
      </c>
      <c r="BA55" s="791"/>
      <c r="BB55" s="907"/>
      <c r="BC55" s="6859"/>
      <c r="BD55" s="1003">
        <f>IF(BA55=0,0,BB55/BA55)</f>
        <v>0</v>
      </c>
      <c r="BE55" s="2851"/>
      <c r="BF55" s="791"/>
      <c r="BG55" s="6859"/>
      <c r="BH55" s="907">
        <f t="shared" si="16"/>
        <v>0</v>
      </c>
    </row>
    <row r="56" spans="1:60" s="462" customFormat="1" x14ac:dyDescent="0.35">
      <c r="A56" s="9153"/>
      <c r="B56" s="241"/>
      <c r="C56" s="874" t="s">
        <v>2603</v>
      </c>
      <c r="D56" s="456"/>
      <c r="E56" s="456"/>
      <c r="F56" s="790"/>
      <c r="G56" s="456"/>
      <c r="H56" s="791"/>
      <c r="I56" s="792">
        <v>450000</v>
      </c>
      <c r="J56" s="1003"/>
      <c r="K56" s="456"/>
      <c r="L56" s="791">
        <v>0</v>
      </c>
      <c r="M56" s="906"/>
      <c r="N56" s="1"/>
      <c r="O56" s="791">
        <f>L56</f>
        <v>0</v>
      </c>
      <c r="P56" s="907"/>
      <c r="Q56" s="57" t="s">
        <v>2604</v>
      </c>
      <c r="R56" s="64">
        <f>IF(O56=0,0,P56/O56)</f>
        <v>0</v>
      </c>
      <c r="S56" s="1"/>
      <c r="T56" s="791"/>
      <c r="U56" s="57"/>
      <c r="V56" s="611"/>
      <c r="W56" s="1"/>
      <c r="X56" s="723"/>
      <c r="Z56" s="791">
        <f>W56</f>
        <v>0</v>
      </c>
      <c r="AA56" s="907"/>
      <c r="AB56" s="57" t="s">
        <v>2604</v>
      </c>
      <c r="AC56" s="64">
        <f>IF(Z56=0,0,AA56/Z56)</f>
        <v>0</v>
      </c>
      <c r="AD56" s="1"/>
      <c r="AE56" s="791"/>
      <c r="AF56" s="57"/>
      <c r="AG56" s="611"/>
      <c r="AI56" s="791"/>
      <c r="AJ56" s="907"/>
      <c r="AK56" s="57" t="s">
        <v>2604</v>
      </c>
      <c r="AL56" s="64">
        <f>IF(AI56=0,0,AJ56/AI56)</f>
        <v>0</v>
      </c>
      <c r="AM56" s="1"/>
      <c r="AN56" s="791"/>
      <c r="AO56" s="57"/>
      <c r="AP56" s="791">
        <f t="shared" si="12"/>
        <v>0</v>
      </c>
      <c r="AR56" s="791"/>
      <c r="AS56" s="4956"/>
      <c r="AT56" s="6841"/>
      <c r="AU56" s="5676"/>
      <c r="AV56" s="3818"/>
      <c r="AW56" s="791"/>
      <c r="AX56" s="6859"/>
      <c r="AY56" s="4956">
        <f t="shared" si="14"/>
        <v>0</v>
      </c>
      <c r="BA56" s="791"/>
      <c r="BB56" s="4956"/>
      <c r="BC56" s="6841"/>
      <c r="BD56" s="5676"/>
      <c r="BE56" s="3818"/>
      <c r="BF56" s="791"/>
      <c r="BG56" s="6859"/>
      <c r="BH56" s="4956">
        <f t="shared" si="16"/>
        <v>0</v>
      </c>
    </row>
    <row r="57" spans="1:60" s="462" customFormat="1" x14ac:dyDescent="0.35">
      <c r="A57" s="9153"/>
      <c r="B57" s="241"/>
      <c r="C57" s="4957" t="s">
        <v>2605</v>
      </c>
      <c r="D57" s="456"/>
      <c r="E57" s="456"/>
      <c r="F57" s="790"/>
      <c r="G57" s="456"/>
      <c r="H57" s="791"/>
      <c r="I57" s="792">
        <v>759703</v>
      </c>
      <c r="J57" s="1003"/>
      <c r="K57" s="456"/>
      <c r="L57" s="791">
        <v>194425</v>
      </c>
      <c r="M57" s="906">
        <v>167961</v>
      </c>
      <c r="N57" s="1"/>
      <c r="O57" s="791">
        <f>L57</f>
        <v>194425</v>
      </c>
      <c r="P57" s="907">
        <v>167961</v>
      </c>
      <c r="Q57" s="57" t="s">
        <v>2594</v>
      </c>
      <c r="R57" s="64">
        <f>IF(O57=0,0,P57/O57)</f>
        <v>0.86388581715314383</v>
      </c>
      <c r="S57" s="1"/>
      <c r="T57" s="791">
        <v>860000</v>
      </c>
      <c r="U57" s="57" t="s">
        <v>2606</v>
      </c>
      <c r="V57" s="611">
        <v>760000</v>
      </c>
      <c r="W57" s="1"/>
      <c r="X57" s="723"/>
      <c r="Z57" s="791">
        <f>W57</f>
        <v>0</v>
      </c>
      <c r="AA57" s="907">
        <v>167961</v>
      </c>
      <c r="AB57" s="57" t="s">
        <v>2594</v>
      </c>
      <c r="AC57" s="64">
        <f>IF(Z57=0,0,AA57/Z57)</f>
        <v>0</v>
      </c>
      <c r="AD57" s="1"/>
      <c r="AE57" s="791">
        <v>122473</v>
      </c>
      <c r="AF57" s="57" t="s">
        <v>2607</v>
      </c>
      <c r="AG57" s="611">
        <v>190230</v>
      </c>
      <c r="AI57" s="791">
        <v>122473</v>
      </c>
      <c r="AJ57" s="907">
        <v>190230</v>
      </c>
      <c r="AK57" s="57" t="s">
        <v>2594</v>
      </c>
      <c r="AL57" s="64">
        <f>IF(AI57=0,0,AJ57/AI57)</f>
        <v>1.5532403060266344</v>
      </c>
      <c r="AM57" s="1"/>
      <c r="AN57" s="791">
        <v>380000</v>
      </c>
      <c r="AO57" s="57" t="s">
        <v>2608</v>
      </c>
      <c r="AP57" s="791">
        <f t="shared" si="12"/>
        <v>590231.31629012106</v>
      </c>
      <c r="AR57" s="791"/>
      <c r="AS57" s="907"/>
      <c r="AT57" s="6859"/>
      <c r="AU57" s="1003">
        <f>IF(AR57=0,0,AS57/AR57)</f>
        <v>0</v>
      </c>
      <c r="AV57" s="2851"/>
      <c r="AW57" s="791"/>
      <c r="AX57" s="6859"/>
      <c r="AY57" s="907">
        <f t="shared" si="14"/>
        <v>0</v>
      </c>
      <c r="BA57" s="791"/>
      <c r="BB57" s="907"/>
      <c r="BC57" s="6859"/>
      <c r="BD57" s="1003">
        <f>IF(BA57=0,0,BB57/BA57)</f>
        <v>0</v>
      </c>
      <c r="BE57" s="2851"/>
      <c r="BF57" s="791"/>
      <c r="BG57" s="6859"/>
      <c r="BH57" s="907">
        <f t="shared" si="16"/>
        <v>0</v>
      </c>
    </row>
    <row r="58" spans="1:60" s="462" customFormat="1" x14ac:dyDescent="0.35">
      <c r="A58" s="9153"/>
      <c r="B58" s="241"/>
      <c r="C58" s="874"/>
      <c r="D58" s="456"/>
      <c r="E58" s="456"/>
      <c r="F58" s="790"/>
      <c r="G58" s="456"/>
      <c r="H58" s="791"/>
      <c r="I58" s="792"/>
      <c r="J58" s="1003"/>
      <c r="K58" s="456"/>
      <c r="L58" s="791"/>
      <c r="M58" s="906"/>
      <c r="N58" s="1"/>
      <c r="O58" s="791"/>
      <c r="P58" s="907"/>
      <c r="Q58" s="106"/>
      <c r="R58" s="64"/>
      <c r="S58" s="1"/>
      <c r="T58" s="791"/>
      <c r="U58" s="106"/>
      <c r="V58" s="157"/>
      <c r="W58" s="1"/>
      <c r="X58" s="723"/>
      <c r="Z58" s="791"/>
      <c r="AA58" s="907"/>
      <c r="AB58" s="106"/>
      <c r="AC58" s="64"/>
      <c r="AD58" s="1"/>
      <c r="AE58" s="791"/>
      <c r="AF58" s="106"/>
      <c r="AG58" s="157"/>
      <c r="AI58" s="791"/>
      <c r="AJ58" s="791"/>
      <c r="AK58" s="106"/>
      <c r="AL58" s="64"/>
      <c r="AM58" s="1"/>
      <c r="AN58" s="791"/>
      <c r="AO58" s="106"/>
      <c r="AP58" s="791"/>
      <c r="AR58" s="791">
        <v>380000</v>
      </c>
      <c r="AS58" s="907">
        <v>293830</v>
      </c>
      <c r="AT58" s="6858" t="s">
        <v>2609</v>
      </c>
      <c r="AU58" s="5676">
        <f>IF(AR58=0,0,AS58/AR58)</f>
        <v>0.77323684210526311</v>
      </c>
      <c r="AV58" s="3818"/>
      <c r="AW58" s="791">
        <v>540000</v>
      </c>
      <c r="AX58" s="6858" t="s">
        <v>2609</v>
      </c>
      <c r="AY58" s="907">
        <f t="shared" si="14"/>
        <v>417547.89473684208</v>
      </c>
      <c r="BA58" s="791">
        <v>540000</v>
      </c>
      <c r="BB58" s="907">
        <v>190081</v>
      </c>
      <c r="BC58" s="6858" t="s">
        <v>2609</v>
      </c>
      <c r="BD58" s="5676">
        <f>IF(BA58=0,0,BB58/BA58)</f>
        <v>0.35200185185185184</v>
      </c>
      <c r="BE58" s="3818"/>
      <c r="BF58" s="791">
        <v>320000</v>
      </c>
      <c r="BG58" s="7784" t="s">
        <v>2610</v>
      </c>
      <c r="BH58" s="907">
        <f t="shared" si="16"/>
        <v>112640.59259259258</v>
      </c>
    </row>
    <row r="59" spans="1:60" s="462" customFormat="1" x14ac:dyDescent="0.35">
      <c r="A59" s="9153"/>
      <c r="B59" s="241"/>
      <c r="C59" s="874"/>
      <c r="D59" s="456"/>
      <c r="E59" s="456"/>
      <c r="F59" s="790"/>
      <c r="G59" s="456"/>
      <c r="H59" s="791"/>
      <c r="I59" s="792"/>
      <c r="J59" s="1003"/>
      <c r="K59" s="456"/>
      <c r="L59" s="791"/>
      <c r="M59" s="906"/>
      <c r="N59" s="1"/>
      <c r="O59" s="791"/>
      <c r="P59" s="907"/>
      <c r="Q59" s="106"/>
      <c r="R59" s="64"/>
      <c r="S59" s="1"/>
      <c r="T59" s="791"/>
      <c r="U59" s="106"/>
      <c r="V59" s="157"/>
      <c r="W59" s="1"/>
      <c r="X59" s="723"/>
      <c r="Z59" s="791"/>
      <c r="AA59" s="907"/>
      <c r="AB59" s="106"/>
      <c r="AC59" s="64"/>
      <c r="AD59" s="1"/>
      <c r="AE59" s="791"/>
      <c r="AF59" s="106"/>
      <c r="AG59" s="157"/>
      <c r="AI59" s="791"/>
      <c r="AJ59" s="819"/>
      <c r="AK59" s="106"/>
      <c r="AL59" s="64"/>
      <c r="AM59" s="1"/>
      <c r="AN59" s="791"/>
      <c r="AO59" s="106"/>
      <c r="AP59" s="3231"/>
      <c r="AR59" s="791"/>
      <c r="AS59" s="907"/>
      <c r="AT59" s="106"/>
      <c r="AU59" s="64"/>
      <c r="AV59" s="1"/>
      <c r="AW59" s="791"/>
      <c r="AX59" s="106"/>
      <c r="AY59" s="907"/>
      <c r="BA59" s="791"/>
      <c r="BB59" s="907"/>
      <c r="BC59" s="106"/>
      <c r="BD59" s="64"/>
      <c r="BE59" s="1"/>
      <c r="BF59" s="791"/>
      <c r="BG59" s="106"/>
      <c r="BH59" s="907"/>
    </row>
    <row r="60" spans="1:60" s="462" customFormat="1" x14ac:dyDescent="0.35">
      <c r="A60" s="9153"/>
      <c r="B60" s="241"/>
      <c r="C60" s="874"/>
      <c r="D60" s="456"/>
      <c r="E60" s="456"/>
      <c r="F60" s="790"/>
      <c r="G60" s="456"/>
      <c r="H60" s="791"/>
      <c r="I60" s="792"/>
      <c r="J60" s="1003"/>
      <c r="K60" s="456"/>
      <c r="L60" s="791"/>
      <c r="M60" s="906"/>
      <c r="N60" s="1"/>
      <c r="O60" s="791"/>
      <c r="P60" s="907"/>
      <c r="Q60" s="106"/>
      <c r="R60" s="64"/>
      <c r="S60" s="1"/>
      <c r="T60" s="791"/>
      <c r="U60" s="106"/>
      <c r="V60" s="157"/>
      <c r="W60" s="1"/>
      <c r="X60" s="723"/>
      <c r="Z60" s="791"/>
      <c r="AA60" s="907"/>
      <c r="AB60" s="106"/>
      <c r="AC60" s="64"/>
      <c r="AD60" s="1"/>
      <c r="AE60" s="791"/>
      <c r="AF60" s="106"/>
      <c r="AG60" s="157"/>
      <c r="AI60" s="791"/>
      <c r="AJ60" s="907"/>
      <c r="AK60" s="106"/>
      <c r="AL60" s="64"/>
      <c r="AM60" s="1"/>
      <c r="AN60" s="791"/>
      <c r="AO60" s="106"/>
      <c r="AR60" s="791"/>
      <c r="AS60" s="907"/>
      <c r="AT60" s="106"/>
      <c r="AU60" s="64"/>
      <c r="AV60" s="1"/>
      <c r="AW60" s="791"/>
      <c r="AX60" s="106"/>
      <c r="AY60" s="907"/>
      <c r="BA60" s="791"/>
      <c r="BB60" s="907"/>
      <c r="BC60" s="106"/>
      <c r="BD60" s="64"/>
      <c r="BE60" s="1"/>
      <c r="BF60" s="791"/>
      <c r="BG60" s="106"/>
      <c r="BH60" s="907"/>
    </row>
    <row r="61" spans="1:60" s="462" customFormat="1" x14ac:dyDescent="0.35">
      <c r="A61" s="9153"/>
      <c r="B61" s="241"/>
      <c r="C61" s="874" t="s">
        <v>536</v>
      </c>
      <c r="D61" s="456"/>
      <c r="E61" s="456"/>
      <c r="F61" s="795"/>
      <c r="G61" s="456"/>
      <c r="H61" s="796"/>
      <c r="I61" s="797"/>
      <c r="J61" s="1004">
        <f>IF(H61=0,0,I61/H61)</f>
        <v>0</v>
      </c>
      <c r="K61" s="456"/>
      <c r="L61" s="791"/>
      <c r="M61" s="906">
        <f>L61*J61</f>
        <v>0</v>
      </c>
      <c r="N61" s="1"/>
      <c r="O61" s="791"/>
      <c r="P61" s="907">
        <f>O61*M61</f>
        <v>0</v>
      </c>
      <c r="Q61" s="216"/>
      <c r="R61" s="133">
        <f>IF(O61=0,0,P61/O61)</f>
        <v>0</v>
      </c>
      <c r="S61" s="1"/>
      <c r="T61" s="791"/>
      <c r="U61" s="216"/>
      <c r="V61" s="1043"/>
      <c r="W61" s="1"/>
      <c r="X61" s="722"/>
      <c r="Z61" s="791"/>
      <c r="AA61" s="907">
        <f>Z61*X61</f>
        <v>0</v>
      </c>
      <c r="AB61" s="216"/>
      <c r="AC61" s="133">
        <f>IF(Z61=0,0,AA61/Z61)</f>
        <v>0</v>
      </c>
      <c r="AD61" s="1"/>
      <c r="AE61" s="791"/>
      <c r="AF61" s="216"/>
      <c r="AG61" s="1043"/>
      <c r="AI61" s="791"/>
      <c r="AJ61" s="907"/>
      <c r="AK61" s="216"/>
      <c r="AL61" s="133">
        <f>IF(AI61=0,0,AJ61/AI61)</f>
        <v>0</v>
      </c>
      <c r="AM61" s="1"/>
      <c r="AN61" s="791"/>
      <c r="AO61" s="216"/>
      <c r="AP61" s="791"/>
      <c r="AR61" s="791"/>
      <c r="AS61" s="907"/>
      <c r="AT61" s="216"/>
      <c r="AU61" s="133">
        <f>IF(AR61=0,0,AS61/AR61)</f>
        <v>0</v>
      </c>
      <c r="AV61" s="1"/>
      <c r="AW61" s="791"/>
      <c r="AX61" s="216"/>
      <c r="AY61" s="907"/>
      <c r="BA61" s="791"/>
      <c r="BB61" s="907"/>
      <c r="BC61" s="216"/>
      <c r="BD61" s="133">
        <f>IF(BA61=0,0,BB61/BA61)</f>
        <v>0</v>
      </c>
      <c r="BE61" s="1"/>
      <c r="BF61" s="791"/>
      <c r="BG61" s="216"/>
      <c r="BH61" s="907"/>
    </row>
    <row r="62" spans="1:60" s="462" customFormat="1" x14ac:dyDescent="0.35">
      <c r="A62" s="9153"/>
      <c r="B62" s="139" t="s">
        <v>540</v>
      </c>
      <c r="C62" s="899"/>
      <c r="D62" s="456"/>
      <c r="E62" s="456"/>
      <c r="F62" s="870"/>
      <c r="G62" s="801"/>
      <c r="H62" s="866"/>
      <c r="I62" s="847"/>
      <c r="J62" s="1048"/>
      <c r="K62" s="801"/>
      <c r="L62" s="773"/>
      <c r="M62" s="910"/>
      <c r="N62" s="1"/>
      <c r="O62" s="773" t="s">
        <v>2611</v>
      </c>
      <c r="P62" s="912"/>
      <c r="Q62" s="106" t="s">
        <v>2612</v>
      </c>
      <c r="R62" s="64"/>
      <c r="S62" s="1"/>
      <c r="T62" s="773"/>
      <c r="U62" s="103" t="s">
        <v>2483</v>
      </c>
      <c r="V62" s="1031"/>
      <c r="W62" s="1"/>
      <c r="X62" s="718"/>
      <c r="Z62" s="773" t="s">
        <v>2611</v>
      </c>
      <c r="AA62" s="912"/>
      <c r="AB62" s="106" t="s">
        <v>2612</v>
      </c>
      <c r="AC62" s="64"/>
      <c r="AD62" s="1"/>
      <c r="AE62" s="773"/>
      <c r="AF62" s="103" t="s">
        <v>2483</v>
      </c>
      <c r="AG62" s="1031"/>
      <c r="AI62" s="773"/>
      <c r="AJ62" s="912"/>
      <c r="AK62" s="106" t="s">
        <v>2483</v>
      </c>
      <c r="AL62" s="64"/>
      <c r="AM62" s="1"/>
      <c r="AN62" s="773"/>
      <c r="AO62" s="103" t="s">
        <v>2491</v>
      </c>
      <c r="AP62" s="773"/>
      <c r="AR62" s="773"/>
      <c r="AS62" s="912"/>
      <c r="AT62" s="106" t="s">
        <v>2491</v>
      </c>
      <c r="AU62" s="64"/>
      <c r="AV62" s="1"/>
      <c r="AW62" s="773"/>
      <c r="AX62" s="103" t="s">
        <v>2491</v>
      </c>
      <c r="AY62" s="912"/>
      <c r="BA62" s="773"/>
      <c r="BB62" s="912"/>
      <c r="BC62" s="106"/>
      <c r="BD62" s="64"/>
      <c r="BE62" s="1"/>
      <c r="BF62" s="773"/>
      <c r="BG62" s="103"/>
      <c r="BH62" s="912"/>
    </row>
    <row r="63" spans="1:60" s="462" customFormat="1" x14ac:dyDescent="0.35">
      <c r="A63" s="9153"/>
      <c r="B63" s="873"/>
      <c r="C63" s="874" t="s">
        <v>2613</v>
      </c>
      <c r="D63" s="456"/>
      <c r="E63" s="456"/>
      <c r="F63" s="779">
        <f>35014+103059+187950+379149+1972252</f>
        <v>2677424</v>
      </c>
      <c r="G63" s="456"/>
      <c r="H63" s="780">
        <f>61786+126765+242317+361777+2506411</f>
        <v>3299056</v>
      </c>
      <c r="I63" s="781">
        <f>61786+122446+244768+313471+2566542</f>
        <v>3309013</v>
      </c>
      <c r="J63" s="1003">
        <f>IF(H63=0,0,I63/H63)</f>
        <v>1.0030181360971138</v>
      </c>
      <c r="K63" s="456"/>
      <c r="L63" s="780">
        <f>52367+88700+194514+211555+1903009+283376+195925+101278+249340+488108+199356</f>
        <v>3967528</v>
      </c>
      <c r="M63" s="902">
        <f>L63*J63</f>
        <v>3979502.5394731094</v>
      </c>
      <c r="N63" s="1"/>
      <c r="O63" s="780">
        <v>52367</v>
      </c>
      <c r="P63" s="876">
        <v>52367</v>
      </c>
      <c r="Q63" s="106" t="s">
        <v>2614</v>
      </c>
      <c r="R63" s="64">
        <f t="shared" ref="R63:R87" si="17">IF(O63=0,0,P63/O63)</f>
        <v>1</v>
      </c>
      <c r="S63" s="1"/>
      <c r="T63" s="780">
        <v>0</v>
      </c>
      <c r="U63" s="106" t="s">
        <v>2314</v>
      </c>
      <c r="V63" s="157">
        <v>0</v>
      </c>
      <c r="W63" s="1"/>
      <c r="X63" s="723"/>
      <c r="Z63" s="780">
        <v>52367</v>
      </c>
      <c r="AA63" s="876">
        <v>52367</v>
      </c>
      <c r="AB63" s="106" t="s">
        <v>2614</v>
      </c>
      <c r="AC63" s="64">
        <f t="shared" ref="AC63:AC87" si="18">IF(Z63=0,0,AA63/Z63)</f>
        <v>1</v>
      </c>
      <c r="AD63" s="1"/>
      <c r="AE63" s="780"/>
      <c r="AF63" s="106"/>
      <c r="AG63" s="157"/>
      <c r="AI63" s="780"/>
      <c r="AJ63" s="876"/>
      <c r="AK63" s="106" t="s">
        <v>2614</v>
      </c>
      <c r="AL63" s="64">
        <f t="shared" ref="AL63:AL87" si="19">IF(AI63=0,0,AJ63/AI63)</f>
        <v>0</v>
      </c>
      <c r="AM63" s="1"/>
      <c r="AN63" s="780"/>
      <c r="AO63" s="106"/>
      <c r="AP63" s="780">
        <f t="shared" ref="AP63:AP108" si="20">AN63*AL63</f>
        <v>0</v>
      </c>
      <c r="AR63" s="780"/>
      <c r="AS63" s="876"/>
      <c r="AT63" s="106"/>
      <c r="AU63" s="64">
        <f t="shared" ref="AU63:AU87" si="21">IF(AR63=0,0,AS63/AR63)</f>
        <v>0</v>
      </c>
      <c r="AV63" s="1"/>
      <c r="AW63" s="780"/>
      <c r="AX63" s="106"/>
      <c r="AY63" s="876">
        <f t="shared" ref="AY63:AY87" si="22">AW63*AU63</f>
        <v>0</v>
      </c>
      <c r="BA63" s="780"/>
      <c r="BB63" s="876"/>
      <c r="BC63" s="106"/>
      <c r="BD63" s="64">
        <f t="shared" ref="BD63:BD87" si="23">IF(BA63=0,0,BB63/BA63)</f>
        <v>0</v>
      </c>
      <c r="BE63" s="1"/>
      <c r="BF63" s="780"/>
      <c r="BG63" s="106"/>
      <c r="BH63" s="876">
        <f t="shared" ref="BH63:BH87" si="24">BF63*BD63</f>
        <v>0</v>
      </c>
    </row>
    <row r="64" spans="1:60" s="462" customFormat="1" x14ac:dyDescent="0.35">
      <c r="A64" s="9153"/>
      <c r="B64" s="873"/>
      <c r="C64" s="874" t="s">
        <v>2615</v>
      </c>
      <c r="D64" s="456"/>
      <c r="E64" s="456"/>
      <c r="F64" s="779"/>
      <c r="G64" s="456"/>
      <c r="H64" s="780"/>
      <c r="I64" s="781"/>
      <c r="J64" s="1003"/>
      <c r="K64" s="456"/>
      <c r="L64" s="780"/>
      <c r="M64" s="902"/>
      <c r="N64" s="1"/>
      <c r="O64" s="780">
        <v>88700</v>
      </c>
      <c r="P64" s="876">
        <v>88700</v>
      </c>
      <c r="Q64" s="106" t="s">
        <v>2614</v>
      </c>
      <c r="R64" s="64">
        <f t="shared" si="17"/>
        <v>1</v>
      </c>
      <c r="S64" s="1"/>
      <c r="T64" s="780">
        <v>0</v>
      </c>
      <c r="U64" s="106" t="s">
        <v>2314</v>
      </c>
      <c r="V64" s="157">
        <v>0</v>
      </c>
      <c r="W64" s="1"/>
      <c r="X64" s="723"/>
      <c r="Z64" s="780">
        <v>88700</v>
      </c>
      <c r="AA64" s="876">
        <v>88700</v>
      </c>
      <c r="AB64" s="106" t="s">
        <v>2614</v>
      </c>
      <c r="AC64" s="64">
        <f t="shared" si="18"/>
        <v>1</v>
      </c>
      <c r="AD64" s="1"/>
      <c r="AE64" s="780">
        <v>0</v>
      </c>
      <c r="AF64" s="106"/>
      <c r="AG64" s="157">
        <v>0</v>
      </c>
      <c r="AI64" s="780">
        <v>0</v>
      </c>
      <c r="AJ64" s="876">
        <v>0</v>
      </c>
      <c r="AK64" s="106" t="s">
        <v>2614</v>
      </c>
      <c r="AL64" s="64">
        <f t="shared" si="19"/>
        <v>0</v>
      </c>
      <c r="AM64" s="1"/>
      <c r="AN64" s="780"/>
      <c r="AO64" s="106"/>
      <c r="AP64" s="780">
        <f t="shared" si="20"/>
        <v>0</v>
      </c>
      <c r="AR64" s="6860"/>
      <c r="AS64" s="6861"/>
      <c r="AT64" s="106"/>
      <c r="AU64" s="64">
        <f t="shared" si="21"/>
        <v>0</v>
      </c>
      <c r="AV64" s="1"/>
      <c r="AW64" s="6860"/>
      <c r="AX64" s="106"/>
      <c r="AY64" s="876">
        <f t="shared" si="22"/>
        <v>0</v>
      </c>
      <c r="BA64" s="6860"/>
      <c r="BB64" s="6861"/>
      <c r="BC64" s="106"/>
      <c r="BD64" s="64">
        <f t="shared" si="23"/>
        <v>0</v>
      </c>
      <c r="BE64" s="1"/>
      <c r="BF64" s="6860"/>
      <c r="BG64" s="106"/>
      <c r="BH64" s="876">
        <f t="shared" si="24"/>
        <v>0</v>
      </c>
    </row>
    <row r="65" spans="1:60" s="462" customFormat="1" x14ac:dyDescent="0.35">
      <c r="A65" s="9153"/>
      <c r="B65" s="873"/>
      <c r="C65" s="874" t="s">
        <v>2616</v>
      </c>
      <c r="D65" s="456"/>
      <c r="E65" s="456"/>
      <c r="F65" s="779"/>
      <c r="G65" s="456"/>
      <c r="H65" s="780"/>
      <c r="I65" s="781"/>
      <c r="J65" s="1003"/>
      <c r="K65" s="456"/>
      <c r="L65" s="780"/>
      <c r="M65" s="902"/>
      <c r="N65" s="1"/>
      <c r="O65" s="780">
        <v>194514</v>
      </c>
      <c r="P65" s="876">
        <v>192612</v>
      </c>
      <c r="Q65" s="106" t="s">
        <v>2617</v>
      </c>
      <c r="R65" s="64">
        <f t="shared" si="17"/>
        <v>0.99022178352200874</v>
      </c>
      <c r="S65" s="1"/>
      <c r="T65" s="780">
        <v>0</v>
      </c>
      <c r="U65" s="106" t="s">
        <v>2618</v>
      </c>
      <c r="V65" s="157">
        <v>0</v>
      </c>
      <c r="W65" s="1"/>
      <c r="X65" s="723"/>
      <c r="Z65" s="780">
        <v>194514</v>
      </c>
      <c r="AA65" s="876">
        <v>192612</v>
      </c>
      <c r="AB65" s="106" t="s">
        <v>2617</v>
      </c>
      <c r="AC65" s="64">
        <f t="shared" si="18"/>
        <v>0.99022178352200874</v>
      </c>
      <c r="AD65" s="1"/>
      <c r="AE65" s="780">
        <v>0</v>
      </c>
      <c r="AF65" s="106"/>
      <c r="AG65" s="157">
        <v>0</v>
      </c>
      <c r="AI65" s="780">
        <v>0</v>
      </c>
      <c r="AJ65" s="876">
        <v>0</v>
      </c>
      <c r="AK65" s="106" t="s">
        <v>2617</v>
      </c>
      <c r="AL65" s="64">
        <f t="shared" si="19"/>
        <v>0</v>
      </c>
      <c r="AM65" s="1"/>
      <c r="AN65" s="780"/>
      <c r="AO65" s="106"/>
      <c r="AP65" s="780">
        <f t="shared" si="20"/>
        <v>0</v>
      </c>
      <c r="AR65" s="6860"/>
      <c r="AS65" s="6861"/>
      <c r="AT65" s="106"/>
      <c r="AU65" s="64">
        <f t="shared" si="21"/>
        <v>0</v>
      </c>
      <c r="AV65" s="1"/>
      <c r="AW65" s="6860"/>
      <c r="AX65" s="106"/>
      <c r="AY65" s="876">
        <f t="shared" si="22"/>
        <v>0</v>
      </c>
      <c r="BA65" s="6860"/>
      <c r="BB65" s="6861"/>
      <c r="BC65" s="106"/>
      <c r="BD65" s="64">
        <f t="shared" si="23"/>
        <v>0</v>
      </c>
      <c r="BE65" s="1"/>
      <c r="BF65" s="6860"/>
      <c r="BG65" s="106"/>
      <c r="BH65" s="876">
        <f t="shared" si="24"/>
        <v>0</v>
      </c>
    </row>
    <row r="66" spans="1:60" s="462" customFormat="1" x14ac:dyDescent="0.35">
      <c r="A66" s="9153"/>
      <c r="B66" s="873"/>
      <c r="C66" s="874" t="s">
        <v>2619</v>
      </c>
      <c r="D66" s="456"/>
      <c r="E66" s="456"/>
      <c r="F66" s="779"/>
      <c r="G66" s="456"/>
      <c r="H66" s="780"/>
      <c r="I66" s="781"/>
      <c r="J66" s="1003"/>
      <c r="K66" s="456"/>
      <c r="L66" s="780"/>
      <c r="M66" s="902"/>
      <c r="N66" s="1"/>
      <c r="O66" s="780">
        <v>211555</v>
      </c>
      <c r="P66" s="876">
        <v>211555</v>
      </c>
      <c r="Q66" s="106" t="s">
        <v>2617</v>
      </c>
      <c r="R66" s="64">
        <f t="shared" si="17"/>
        <v>1</v>
      </c>
      <c r="S66" s="1"/>
      <c r="T66" s="780">
        <v>0</v>
      </c>
      <c r="U66" s="106" t="s">
        <v>2618</v>
      </c>
      <c r="V66" s="157">
        <v>0</v>
      </c>
      <c r="W66" s="1"/>
      <c r="X66" s="723"/>
      <c r="Z66" s="780">
        <v>211555</v>
      </c>
      <c r="AA66" s="876">
        <v>211555</v>
      </c>
      <c r="AB66" s="106" t="s">
        <v>2617</v>
      </c>
      <c r="AC66" s="64">
        <f t="shared" si="18"/>
        <v>1</v>
      </c>
      <c r="AD66" s="1"/>
      <c r="AE66" s="780">
        <v>0</v>
      </c>
      <c r="AF66" s="106"/>
      <c r="AG66" s="157">
        <v>0</v>
      </c>
      <c r="AI66" s="780">
        <v>0</v>
      </c>
      <c r="AJ66" s="876">
        <v>0</v>
      </c>
      <c r="AK66" s="106" t="s">
        <v>2617</v>
      </c>
      <c r="AL66" s="64">
        <f t="shared" si="19"/>
        <v>0</v>
      </c>
      <c r="AM66" s="1"/>
      <c r="AN66" s="780"/>
      <c r="AO66" s="106"/>
      <c r="AP66" s="780">
        <f t="shared" si="20"/>
        <v>0</v>
      </c>
      <c r="AR66" s="6860"/>
      <c r="AS66" s="6861"/>
      <c r="AT66" s="106"/>
      <c r="AU66" s="64">
        <f t="shared" si="21"/>
        <v>0</v>
      </c>
      <c r="AV66" s="1"/>
      <c r="AW66" s="6860"/>
      <c r="AX66" s="106"/>
      <c r="AY66" s="876">
        <f t="shared" si="22"/>
        <v>0</v>
      </c>
      <c r="BA66" s="6860"/>
      <c r="BB66" s="6861"/>
      <c r="BC66" s="106"/>
      <c r="BD66" s="64">
        <f t="shared" si="23"/>
        <v>0</v>
      </c>
      <c r="BE66" s="1"/>
      <c r="BF66" s="6860"/>
      <c r="BG66" s="106"/>
      <c r="BH66" s="876">
        <f t="shared" si="24"/>
        <v>0</v>
      </c>
    </row>
    <row r="67" spans="1:60" s="462" customFormat="1" x14ac:dyDescent="0.35">
      <c r="A67" s="9153"/>
      <c r="B67" s="873"/>
      <c r="C67" s="874" t="s">
        <v>2620</v>
      </c>
      <c r="D67" s="456"/>
      <c r="E67" s="456"/>
      <c r="F67" s="779"/>
      <c r="G67" s="456"/>
      <c r="H67" s="780"/>
      <c r="I67" s="781"/>
      <c r="J67" s="1003"/>
      <c r="K67" s="456"/>
      <c r="L67" s="780"/>
      <c r="M67" s="902"/>
      <c r="N67" s="1"/>
      <c r="O67" s="780">
        <v>1903009</v>
      </c>
      <c r="P67" s="876">
        <v>1903009</v>
      </c>
      <c r="Q67" s="106" t="s">
        <v>2621</v>
      </c>
      <c r="R67" s="64">
        <f t="shared" si="17"/>
        <v>1</v>
      </c>
      <c r="S67" s="1"/>
      <c r="T67" s="780">
        <v>0</v>
      </c>
      <c r="U67" s="106" t="s">
        <v>2622</v>
      </c>
      <c r="V67" s="157">
        <v>0</v>
      </c>
      <c r="W67" s="1"/>
      <c r="X67" s="723"/>
      <c r="Z67" s="780">
        <v>1903009</v>
      </c>
      <c r="AA67" s="876">
        <v>1903009</v>
      </c>
      <c r="AB67" s="106" t="s">
        <v>2621</v>
      </c>
      <c r="AC67" s="64">
        <f t="shared" si="18"/>
        <v>1</v>
      </c>
      <c r="AD67" s="1"/>
      <c r="AE67" s="780">
        <v>0</v>
      </c>
      <c r="AF67" s="106"/>
      <c r="AG67" s="157">
        <v>0</v>
      </c>
      <c r="AI67" s="780">
        <v>0</v>
      </c>
      <c r="AJ67" s="876">
        <v>0</v>
      </c>
      <c r="AK67" s="106" t="s">
        <v>2621</v>
      </c>
      <c r="AL67" s="64">
        <f t="shared" si="19"/>
        <v>0</v>
      </c>
      <c r="AM67" s="1"/>
      <c r="AN67" s="780"/>
      <c r="AO67" s="106"/>
      <c r="AP67" s="780">
        <f t="shared" si="20"/>
        <v>0</v>
      </c>
      <c r="AR67" s="6860"/>
      <c r="AS67" s="6861"/>
      <c r="AT67" s="106"/>
      <c r="AU67" s="64">
        <f t="shared" si="21"/>
        <v>0</v>
      </c>
      <c r="AV67" s="1"/>
      <c r="AW67" s="6860"/>
      <c r="AX67" s="106"/>
      <c r="AY67" s="876">
        <f t="shared" si="22"/>
        <v>0</v>
      </c>
      <c r="BA67" s="6860"/>
      <c r="BB67" s="6861"/>
      <c r="BC67" s="106"/>
      <c r="BD67" s="64">
        <f t="shared" si="23"/>
        <v>0</v>
      </c>
      <c r="BE67" s="1"/>
      <c r="BF67" s="6860"/>
      <c r="BG67" s="106"/>
      <c r="BH67" s="876">
        <f t="shared" si="24"/>
        <v>0</v>
      </c>
    </row>
    <row r="68" spans="1:60" s="462" customFormat="1" x14ac:dyDescent="0.35">
      <c r="A68" s="9153"/>
      <c r="B68" s="873"/>
      <c r="C68" s="874" t="s">
        <v>2623</v>
      </c>
      <c r="D68" s="456"/>
      <c r="E68" s="456"/>
      <c r="F68" s="779"/>
      <c r="G68" s="456"/>
      <c r="H68" s="780"/>
      <c r="I68" s="781"/>
      <c r="J68" s="1003"/>
      <c r="K68" s="456"/>
      <c r="L68" s="780"/>
      <c r="M68" s="902"/>
      <c r="N68" s="1"/>
      <c r="O68" s="780">
        <v>283376</v>
      </c>
      <c r="P68" s="876">
        <v>238409</v>
      </c>
      <c r="Q68" s="106" t="s">
        <v>2624</v>
      </c>
      <c r="R68" s="64">
        <f t="shared" si="17"/>
        <v>0.84131683699395854</v>
      </c>
      <c r="S68" s="1"/>
      <c r="T68" s="780">
        <v>620648</v>
      </c>
      <c r="U68" s="106" t="s">
        <v>2625</v>
      </c>
      <c r="V68" s="157">
        <v>619933</v>
      </c>
      <c r="W68" s="1"/>
      <c r="X68" s="723"/>
      <c r="Z68" s="780">
        <v>283376</v>
      </c>
      <c r="AA68" s="876">
        <v>238409</v>
      </c>
      <c r="AB68" s="106" t="s">
        <v>2624</v>
      </c>
      <c r="AC68" s="64">
        <f t="shared" si="18"/>
        <v>0.84131683699395854</v>
      </c>
      <c r="AD68" s="1"/>
      <c r="AE68" s="780">
        <v>637073</v>
      </c>
      <c r="AF68" s="106" t="s">
        <v>2626</v>
      </c>
      <c r="AG68" s="157">
        <v>630298</v>
      </c>
      <c r="AI68" s="780">
        <v>637073</v>
      </c>
      <c r="AJ68" s="876">
        <v>630298</v>
      </c>
      <c r="AK68" s="106" t="s">
        <v>2624</v>
      </c>
      <c r="AL68" s="64">
        <f t="shared" si="19"/>
        <v>0.98936542594019838</v>
      </c>
      <c r="AM68" s="1"/>
      <c r="AN68" s="780">
        <v>668587</v>
      </c>
      <c r="AO68" s="106" t="s">
        <v>2627</v>
      </c>
      <c r="AP68" s="780">
        <f t="shared" si="20"/>
        <v>661476.86203307938</v>
      </c>
      <c r="AR68" s="780">
        <v>668587</v>
      </c>
      <c r="AS68" s="876">
        <v>531694</v>
      </c>
      <c r="AT68" s="2669" t="s">
        <v>2628</v>
      </c>
      <c r="AU68" s="5676">
        <f t="shared" si="21"/>
        <v>0.79525028156395505</v>
      </c>
      <c r="AV68" s="3818"/>
      <c r="AW68" s="780">
        <v>562646</v>
      </c>
      <c r="AX68" s="2669" t="s">
        <v>2628</v>
      </c>
      <c r="AY68" s="876">
        <f t="shared" si="22"/>
        <v>447444.38992083305</v>
      </c>
      <c r="BA68" s="780">
        <v>562646</v>
      </c>
      <c r="BB68" s="876">
        <v>542458</v>
      </c>
      <c r="BC68" s="2669" t="s">
        <v>2628</v>
      </c>
      <c r="BD68" s="5676">
        <f t="shared" si="23"/>
        <v>0.96411953519619797</v>
      </c>
      <c r="BE68" s="3818"/>
      <c r="BF68" s="780">
        <v>529356</v>
      </c>
      <c r="BG68" s="2669" t="s">
        <v>2629</v>
      </c>
      <c r="BH68" s="876">
        <f t="shared" si="24"/>
        <v>510362.46067331859</v>
      </c>
    </row>
    <row r="69" spans="1:60" s="462" customFormat="1" x14ac:dyDescent="0.35">
      <c r="A69" s="9153"/>
      <c r="B69" s="873"/>
      <c r="C69" s="874" t="s">
        <v>2630</v>
      </c>
      <c r="D69" s="456"/>
      <c r="E69" s="456"/>
      <c r="F69" s="779"/>
      <c r="G69" s="456"/>
      <c r="H69" s="780"/>
      <c r="I69" s="781"/>
      <c r="J69" s="1003"/>
      <c r="K69" s="456"/>
      <c r="L69" s="780"/>
      <c r="M69" s="902"/>
      <c r="N69" s="1"/>
      <c r="O69" s="780">
        <v>195925</v>
      </c>
      <c r="P69" s="876">
        <v>163311</v>
      </c>
      <c r="Q69" s="106" t="s">
        <v>2624</v>
      </c>
      <c r="R69" s="64">
        <f t="shared" si="17"/>
        <v>0.8335383437539875</v>
      </c>
      <c r="S69" s="1"/>
      <c r="T69" s="780">
        <v>517246</v>
      </c>
      <c r="U69" s="106" t="s">
        <v>2625</v>
      </c>
      <c r="V69" s="157">
        <v>363814</v>
      </c>
      <c r="W69" s="1"/>
      <c r="X69" s="723"/>
      <c r="Z69" s="780">
        <v>195925</v>
      </c>
      <c r="AA69" s="876">
        <v>163311</v>
      </c>
      <c r="AB69" s="106" t="s">
        <v>2624</v>
      </c>
      <c r="AC69" s="64">
        <f t="shared" si="18"/>
        <v>0.8335383437539875</v>
      </c>
      <c r="AD69" s="1"/>
      <c r="AE69" s="780">
        <v>503539</v>
      </c>
      <c r="AF69" s="106" t="s">
        <v>2626</v>
      </c>
      <c r="AG69" s="157">
        <v>501568</v>
      </c>
      <c r="AI69" s="780">
        <v>503539</v>
      </c>
      <c r="AJ69" s="876">
        <v>501568</v>
      </c>
      <c r="AK69" s="106" t="s">
        <v>2624</v>
      </c>
      <c r="AL69" s="64">
        <f t="shared" si="19"/>
        <v>0.9960857053773392</v>
      </c>
      <c r="AM69" s="1"/>
      <c r="AN69" s="780">
        <v>388412</v>
      </c>
      <c r="AO69" s="106" t="s">
        <v>2627</v>
      </c>
      <c r="AP69" s="780">
        <f t="shared" si="20"/>
        <v>386891.64099702309</v>
      </c>
      <c r="AR69" s="780">
        <v>388412</v>
      </c>
      <c r="AS69" s="876">
        <v>410982</v>
      </c>
      <c r="AT69" s="6858" t="s">
        <v>2628</v>
      </c>
      <c r="AU69" s="5676">
        <f t="shared" si="21"/>
        <v>1.0581084003583823</v>
      </c>
      <c r="AV69" s="3818"/>
      <c r="AW69" s="780">
        <v>421114</v>
      </c>
      <c r="AX69" s="6858" t="s">
        <v>2628</v>
      </c>
      <c r="AY69" s="876">
        <f t="shared" si="22"/>
        <v>445584.26090851979</v>
      </c>
      <c r="BA69" s="780">
        <v>421114</v>
      </c>
      <c r="BB69" s="876">
        <v>414148</v>
      </c>
      <c r="BC69" s="6858" t="s">
        <v>2628</v>
      </c>
      <c r="BD69" s="5676">
        <f t="shared" si="23"/>
        <v>0.98345816097303818</v>
      </c>
      <c r="BE69" s="3818"/>
      <c r="BF69" s="780">
        <v>366356</v>
      </c>
      <c r="BG69" s="6858" t="s">
        <v>2629</v>
      </c>
      <c r="BH69" s="876">
        <f t="shared" si="24"/>
        <v>360295.79802143836</v>
      </c>
    </row>
    <row r="70" spans="1:60" s="462" customFormat="1" x14ac:dyDescent="0.35">
      <c r="A70" s="9153"/>
      <c r="B70" s="873"/>
      <c r="C70" s="874" t="s">
        <v>2631</v>
      </c>
      <c r="D70" s="456"/>
      <c r="E70" s="456"/>
      <c r="F70" s="779"/>
      <c r="G70" s="456"/>
      <c r="H70" s="780"/>
      <c r="I70" s="781"/>
      <c r="J70" s="1003"/>
      <c r="K70" s="456"/>
      <c r="L70" s="780"/>
      <c r="M70" s="902"/>
      <c r="N70" s="1"/>
      <c r="O70" s="780">
        <v>101278</v>
      </c>
      <c r="P70" s="876">
        <v>102118</v>
      </c>
      <c r="Q70" s="106" t="s">
        <v>2632</v>
      </c>
      <c r="R70" s="64">
        <f t="shared" si="17"/>
        <v>1.0082940026461817</v>
      </c>
      <c r="S70" s="1"/>
      <c r="T70" s="780">
        <v>309056</v>
      </c>
      <c r="U70" s="106" t="s">
        <v>2338</v>
      </c>
      <c r="V70" s="157">
        <v>323865</v>
      </c>
      <c r="W70" s="1"/>
      <c r="X70" s="723"/>
      <c r="Z70" s="780">
        <v>101278</v>
      </c>
      <c r="AA70" s="876">
        <v>102118</v>
      </c>
      <c r="AB70" s="106" t="s">
        <v>2632</v>
      </c>
      <c r="AC70" s="64">
        <f t="shared" si="18"/>
        <v>1.0082940026461817</v>
      </c>
      <c r="AD70" s="1"/>
      <c r="AE70" s="780">
        <v>337024</v>
      </c>
      <c r="AF70" s="106" t="s">
        <v>2633</v>
      </c>
      <c r="AG70" s="157">
        <v>342581</v>
      </c>
      <c r="AI70" s="780">
        <v>337024</v>
      </c>
      <c r="AJ70" s="876">
        <v>342581</v>
      </c>
      <c r="AK70" s="106" t="s">
        <v>2632</v>
      </c>
      <c r="AL70" s="64">
        <f t="shared" si="19"/>
        <v>1.0164884399924041</v>
      </c>
      <c r="AM70" s="1"/>
      <c r="AN70" s="780">
        <v>375010</v>
      </c>
      <c r="AO70" s="106" t="s">
        <v>2634</v>
      </c>
      <c r="AP70" s="780">
        <f t="shared" si="20"/>
        <v>381193.32988155144</v>
      </c>
      <c r="AR70" s="780">
        <v>375010</v>
      </c>
      <c r="AS70" s="876">
        <v>384645</v>
      </c>
      <c r="AT70" s="6858" t="s">
        <v>2635</v>
      </c>
      <c r="AU70" s="5676">
        <f t="shared" si="21"/>
        <v>1.025692648196048</v>
      </c>
      <c r="AV70" s="3818"/>
      <c r="AW70" s="780">
        <v>426854</v>
      </c>
      <c r="AX70" s="6858" t="s">
        <v>2635</v>
      </c>
      <c r="AY70" s="876">
        <f t="shared" si="22"/>
        <v>437821.00965307589</v>
      </c>
      <c r="BA70" s="780">
        <v>426854</v>
      </c>
      <c r="BB70" s="876">
        <v>457661</v>
      </c>
      <c r="BC70" s="6858" t="s">
        <v>2635</v>
      </c>
      <c r="BD70" s="5676">
        <f t="shared" si="23"/>
        <v>1.0721722181354749</v>
      </c>
      <c r="BE70" s="3818"/>
      <c r="BF70" s="780">
        <v>501843</v>
      </c>
      <c r="BG70" s="6858" t="s">
        <v>2636</v>
      </c>
      <c r="BH70" s="876">
        <f t="shared" si="24"/>
        <v>538062.12246576115</v>
      </c>
    </row>
    <row r="71" spans="1:60" s="462" customFormat="1" x14ac:dyDescent="0.35">
      <c r="A71" s="9153"/>
      <c r="B71" s="873"/>
      <c r="C71" s="874" t="s">
        <v>2637</v>
      </c>
      <c r="D71" s="456"/>
      <c r="E71" s="456"/>
      <c r="F71" s="779"/>
      <c r="G71" s="456"/>
      <c r="H71" s="780"/>
      <c r="I71" s="781"/>
      <c r="J71" s="1003"/>
      <c r="K71" s="456"/>
      <c r="L71" s="780"/>
      <c r="M71" s="902"/>
      <c r="N71" s="1"/>
      <c r="O71" s="780">
        <v>249340</v>
      </c>
      <c r="P71" s="876">
        <v>249916</v>
      </c>
      <c r="Q71" s="106" t="s">
        <v>2632</v>
      </c>
      <c r="R71" s="64">
        <f t="shared" si="17"/>
        <v>1.0023100986604636</v>
      </c>
      <c r="S71" s="1"/>
      <c r="T71" s="780">
        <v>794641</v>
      </c>
      <c r="U71" s="106" t="s">
        <v>2338</v>
      </c>
      <c r="V71" s="157">
        <v>804313</v>
      </c>
      <c r="W71" s="1"/>
      <c r="X71" s="723"/>
      <c r="Z71" s="780">
        <v>249340</v>
      </c>
      <c r="AA71" s="876">
        <v>249916</v>
      </c>
      <c r="AB71" s="106" t="s">
        <v>2632</v>
      </c>
      <c r="AC71" s="64">
        <f t="shared" si="18"/>
        <v>1.0023100986604636</v>
      </c>
      <c r="AD71" s="1"/>
      <c r="AE71" s="780">
        <v>818088</v>
      </c>
      <c r="AF71" s="106" t="s">
        <v>2633</v>
      </c>
      <c r="AG71" s="157">
        <v>818088</v>
      </c>
      <c r="AI71" s="780">
        <v>818088</v>
      </c>
      <c r="AJ71" s="876">
        <v>818088</v>
      </c>
      <c r="AK71" s="106" t="s">
        <v>2632</v>
      </c>
      <c r="AL71" s="64">
        <f t="shared" si="19"/>
        <v>1</v>
      </c>
      <c r="AM71" s="1"/>
      <c r="AN71" s="780">
        <v>898072</v>
      </c>
      <c r="AO71" s="106" t="s">
        <v>2638</v>
      </c>
      <c r="AP71" s="780">
        <f t="shared" si="20"/>
        <v>898072</v>
      </c>
      <c r="AR71" s="780">
        <v>898072</v>
      </c>
      <c r="AS71" s="876">
        <v>938472</v>
      </c>
      <c r="AT71" s="6858" t="s">
        <v>2635</v>
      </c>
      <c r="AU71" s="5676">
        <f t="shared" si="21"/>
        <v>1.0449852573067637</v>
      </c>
      <c r="AV71" s="3818"/>
      <c r="AW71" s="780">
        <v>989652</v>
      </c>
      <c r="AX71" s="6858" t="s">
        <v>2635</v>
      </c>
      <c r="AY71" s="876">
        <f t="shared" si="22"/>
        <v>1034171.7498641533</v>
      </c>
      <c r="BA71" s="780">
        <v>989652</v>
      </c>
      <c r="BB71" s="876">
        <v>1070174</v>
      </c>
      <c r="BC71" s="6858" t="s">
        <v>2635</v>
      </c>
      <c r="BD71" s="5676">
        <f t="shared" si="23"/>
        <v>1.0813639541980413</v>
      </c>
      <c r="BE71" s="3818"/>
      <c r="BF71" s="780">
        <v>1257606</v>
      </c>
      <c r="BG71" s="6858" t="s">
        <v>2636</v>
      </c>
      <c r="BH71" s="876">
        <f t="shared" si="24"/>
        <v>1359929.796983182</v>
      </c>
    </row>
    <row r="72" spans="1:60" s="462" customFormat="1" x14ac:dyDescent="0.35">
      <c r="A72" s="9153"/>
      <c r="B72" s="873"/>
      <c r="C72" s="874" t="s">
        <v>2639</v>
      </c>
      <c r="D72" s="456"/>
      <c r="E72" s="456"/>
      <c r="F72" s="779"/>
      <c r="G72" s="456"/>
      <c r="H72" s="780"/>
      <c r="I72" s="781"/>
      <c r="J72" s="1003"/>
      <c r="K72" s="456"/>
      <c r="L72" s="780"/>
      <c r="M72" s="902"/>
      <c r="N72" s="1"/>
      <c r="O72" s="780">
        <v>488108</v>
      </c>
      <c r="P72" s="876">
        <v>486619</v>
      </c>
      <c r="Q72" s="106" t="s">
        <v>2640</v>
      </c>
      <c r="R72" s="64">
        <f t="shared" si="17"/>
        <v>0.99694944561449517</v>
      </c>
      <c r="S72" s="1"/>
      <c r="T72" s="780">
        <v>1425649</v>
      </c>
      <c r="U72" s="106" t="s">
        <v>2641</v>
      </c>
      <c r="V72" s="157">
        <v>1425322</v>
      </c>
      <c r="W72" s="1"/>
      <c r="X72" s="723"/>
      <c r="Z72" s="780">
        <v>488108</v>
      </c>
      <c r="AA72" s="876">
        <v>486619</v>
      </c>
      <c r="AB72" s="106" t="s">
        <v>2640</v>
      </c>
      <c r="AC72" s="64">
        <f t="shared" si="18"/>
        <v>0.99694944561449517</v>
      </c>
      <c r="AD72" s="1"/>
      <c r="AE72" s="780">
        <v>1457628</v>
      </c>
      <c r="AF72" s="106" t="s">
        <v>2642</v>
      </c>
      <c r="AG72" s="157">
        <v>1481243</v>
      </c>
      <c r="AI72" s="780">
        <v>1457628</v>
      </c>
      <c r="AJ72" s="876">
        <v>1481243</v>
      </c>
      <c r="AK72" s="106" t="s">
        <v>2640</v>
      </c>
      <c r="AL72" s="64">
        <f t="shared" si="19"/>
        <v>1.0162009785761525</v>
      </c>
      <c r="AM72" s="1"/>
      <c r="AN72" s="780">
        <v>1564191</v>
      </c>
      <c r="AO72" s="106" t="s">
        <v>2643</v>
      </c>
      <c r="AP72" s="780">
        <f t="shared" si="20"/>
        <v>1589532.4248800105</v>
      </c>
      <c r="AR72" s="780">
        <v>1564191</v>
      </c>
      <c r="AS72" s="876">
        <v>1733815</v>
      </c>
      <c r="AT72" s="6858" t="s">
        <v>2644</v>
      </c>
      <c r="AU72" s="5676">
        <f t="shared" si="21"/>
        <v>1.108441999730212</v>
      </c>
      <c r="AV72" s="3818"/>
      <c r="AW72" s="780">
        <v>1819269</v>
      </c>
      <c r="AX72" s="6858" t="s">
        <v>2644</v>
      </c>
      <c r="AY72" s="876">
        <f t="shared" si="22"/>
        <v>2016554.1684071829</v>
      </c>
      <c r="BA72" s="780">
        <v>1819269</v>
      </c>
      <c r="BB72" s="876">
        <v>1970572</v>
      </c>
      <c r="BC72" s="6858" t="s">
        <v>2644</v>
      </c>
      <c r="BD72" s="5676">
        <f t="shared" si="23"/>
        <v>1.0831669203399827</v>
      </c>
      <c r="BE72" s="3818"/>
      <c r="BF72" s="780">
        <v>2167461</v>
      </c>
      <c r="BG72" s="6858" t="s">
        <v>2645</v>
      </c>
      <c r="BH72" s="876">
        <f t="shared" si="24"/>
        <v>2347722.0563270194</v>
      </c>
    </row>
    <row r="73" spans="1:60" s="462" customFormat="1" x14ac:dyDescent="0.35">
      <c r="A73" s="9153"/>
      <c r="B73" s="873"/>
      <c r="C73" s="874" t="s">
        <v>2646</v>
      </c>
      <c r="D73" s="456"/>
      <c r="E73" s="456"/>
      <c r="F73" s="779"/>
      <c r="G73" s="456"/>
      <c r="H73" s="780"/>
      <c r="I73" s="781"/>
      <c r="J73" s="1003"/>
      <c r="K73" s="456"/>
      <c r="L73" s="780"/>
      <c r="M73" s="902"/>
      <c r="N73" s="1"/>
      <c r="O73" s="780">
        <v>199356</v>
      </c>
      <c r="P73" s="876">
        <v>200377</v>
      </c>
      <c r="Q73" s="106" t="s">
        <v>2640</v>
      </c>
      <c r="R73" s="64">
        <f t="shared" si="17"/>
        <v>1.0051214912016693</v>
      </c>
      <c r="S73" s="1"/>
      <c r="T73" s="780">
        <v>580218</v>
      </c>
      <c r="U73" s="106" t="s">
        <v>2641</v>
      </c>
      <c r="V73" s="157">
        <v>562666</v>
      </c>
      <c r="W73" s="1"/>
      <c r="X73" s="723"/>
      <c r="Z73" s="780">
        <v>199356</v>
      </c>
      <c r="AA73" s="876">
        <v>200377</v>
      </c>
      <c r="AB73" s="106" t="s">
        <v>2640</v>
      </c>
      <c r="AC73" s="64">
        <f t="shared" si="18"/>
        <v>1.0051214912016693</v>
      </c>
      <c r="AD73" s="1"/>
      <c r="AE73" s="780">
        <v>603341</v>
      </c>
      <c r="AF73" s="106" t="s">
        <v>2642</v>
      </c>
      <c r="AG73" s="157">
        <v>603341</v>
      </c>
      <c r="AI73" s="780">
        <v>603341</v>
      </c>
      <c r="AJ73" s="876">
        <v>603341</v>
      </c>
      <c r="AK73" s="106" t="s">
        <v>2640</v>
      </c>
      <c r="AL73" s="64">
        <f t="shared" si="19"/>
        <v>1</v>
      </c>
      <c r="AM73" s="1"/>
      <c r="AN73" s="780">
        <v>598547</v>
      </c>
      <c r="AO73" s="106" t="s">
        <v>2633</v>
      </c>
      <c r="AP73" s="780">
        <f t="shared" si="20"/>
        <v>598547</v>
      </c>
      <c r="AR73" s="780">
        <v>598547</v>
      </c>
      <c r="AS73" s="876">
        <v>497276</v>
      </c>
      <c r="AT73" s="6858" t="s">
        <v>2644</v>
      </c>
      <c r="AU73" s="5676">
        <f t="shared" si="21"/>
        <v>0.83080526675432342</v>
      </c>
      <c r="AV73" s="3818"/>
      <c r="AW73" s="780">
        <v>428283</v>
      </c>
      <c r="AX73" s="6858" t="s">
        <v>2644</v>
      </c>
      <c r="AY73" s="876">
        <f t="shared" si="22"/>
        <v>355819.77206134191</v>
      </c>
      <c r="BA73" s="780">
        <v>428283</v>
      </c>
      <c r="BB73" s="876">
        <v>442289</v>
      </c>
      <c r="BC73" s="6858" t="s">
        <v>2644</v>
      </c>
      <c r="BD73" s="5676">
        <f t="shared" si="23"/>
        <v>1.0327026755673234</v>
      </c>
      <c r="BE73" s="3818"/>
      <c r="BF73" s="780">
        <v>408571</v>
      </c>
      <c r="BG73" s="6858" t="s">
        <v>2645</v>
      </c>
      <c r="BH73" s="876">
        <f t="shared" si="24"/>
        <v>421932.3648592169</v>
      </c>
    </row>
    <row r="74" spans="1:60" s="462" customFormat="1" x14ac:dyDescent="0.35">
      <c r="A74" s="9153"/>
      <c r="B74" s="873"/>
      <c r="C74" s="874" t="s">
        <v>2647</v>
      </c>
      <c r="D74" s="456"/>
      <c r="E74" s="456"/>
      <c r="F74" s="788">
        <v>60528</v>
      </c>
      <c r="G74" s="456"/>
      <c r="H74" s="785">
        <v>62512</v>
      </c>
      <c r="I74" s="786">
        <v>57673</v>
      </c>
      <c r="J74" s="1003">
        <f>IF(H74=0,0,I74/H74)</f>
        <v>0.9225908625543896</v>
      </c>
      <c r="K74" s="456"/>
      <c r="L74" s="785">
        <f>38658+18082</f>
        <v>56740</v>
      </c>
      <c r="M74" s="905">
        <f>L74*J74</f>
        <v>52347.805541336063</v>
      </c>
      <c r="N74" s="1"/>
      <c r="O74" s="785">
        <v>18082</v>
      </c>
      <c r="P74" s="882">
        <v>19201</v>
      </c>
      <c r="Q74" s="106" t="s">
        <v>2648</v>
      </c>
      <c r="R74" s="64">
        <f t="shared" si="17"/>
        <v>1.0618847472624711</v>
      </c>
      <c r="S74" s="1"/>
      <c r="T74" s="785">
        <v>77887</v>
      </c>
      <c r="U74" s="106" t="s">
        <v>2649</v>
      </c>
      <c r="V74" s="157">
        <v>72329</v>
      </c>
      <c r="W74" s="1"/>
      <c r="X74" s="723"/>
      <c r="Z74" s="785">
        <v>18082</v>
      </c>
      <c r="AA74" s="882">
        <v>19201</v>
      </c>
      <c r="AB74" s="106" t="s">
        <v>2648</v>
      </c>
      <c r="AC74" s="64">
        <f t="shared" si="18"/>
        <v>1.0618847472624711</v>
      </c>
      <c r="AD74" s="1"/>
      <c r="AE74" s="785">
        <v>61652</v>
      </c>
      <c r="AF74" s="106" t="s">
        <v>2650</v>
      </c>
      <c r="AG74" s="157">
        <v>61652</v>
      </c>
      <c r="AI74" s="785">
        <v>61652</v>
      </c>
      <c r="AJ74" s="882">
        <v>61652</v>
      </c>
      <c r="AK74" s="106" t="s">
        <v>2648</v>
      </c>
      <c r="AL74" s="64">
        <f t="shared" si="19"/>
        <v>1</v>
      </c>
      <c r="AM74" s="1"/>
      <c r="AN74" s="785">
        <v>89775</v>
      </c>
      <c r="AO74" s="106" t="s">
        <v>2650</v>
      </c>
      <c r="AP74" s="785">
        <f t="shared" si="20"/>
        <v>89775</v>
      </c>
      <c r="AR74" s="785">
        <v>89775</v>
      </c>
      <c r="AS74" s="882">
        <v>98101</v>
      </c>
      <c r="AT74" s="6858" t="s">
        <v>2651</v>
      </c>
      <c r="AU74" s="5676">
        <f t="shared" si="21"/>
        <v>1.0927429685324421</v>
      </c>
      <c r="AV74" s="3818"/>
      <c r="AW74" s="785">
        <v>98964</v>
      </c>
      <c r="AX74" s="6858" t="s">
        <v>2651</v>
      </c>
      <c r="AY74" s="882">
        <f t="shared" si="22"/>
        <v>108142.2151378446</v>
      </c>
      <c r="BA74" s="785">
        <v>98964</v>
      </c>
      <c r="BB74" s="882">
        <v>102839</v>
      </c>
      <c r="BC74" s="6858" t="s">
        <v>2651</v>
      </c>
      <c r="BD74" s="5676">
        <f t="shared" si="23"/>
        <v>1.039155652560527</v>
      </c>
      <c r="BE74" s="3818"/>
      <c r="BF74" s="785">
        <v>106660</v>
      </c>
      <c r="BG74" s="6858" t="s">
        <v>2652</v>
      </c>
      <c r="BH74" s="882">
        <f t="shared" si="24"/>
        <v>110836.34190210581</v>
      </c>
    </row>
    <row r="75" spans="1:60" s="462" customFormat="1" x14ac:dyDescent="0.35">
      <c r="A75" s="9153"/>
      <c r="B75" s="873"/>
      <c r="C75" s="874" t="s">
        <v>2653</v>
      </c>
      <c r="D75" s="456"/>
      <c r="E75" s="456"/>
      <c r="F75" s="788"/>
      <c r="G75" s="456"/>
      <c r="H75" s="785"/>
      <c r="I75" s="786"/>
      <c r="J75" s="1003"/>
      <c r="K75" s="456"/>
      <c r="L75" s="785"/>
      <c r="M75" s="905"/>
      <c r="N75" s="1"/>
      <c r="O75" s="785">
        <v>38658</v>
      </c>
      <c r="P75" s="882">
        <v>38658</v>
      </c>
      <c r="Q75" s="106" t="s">
        <v>2654</v>
      </c>
      <c r="R75" s="64">
        <f t="shared" si="17"/>
        <v>1</v>
      </c>
      <c r="S75" s="1"/>
      <c r="T75" s="785">
        <v>0</v>
      </c>
      <c r="U75" s="106" t="s">
        <v>2571</v>
      </c>
      <c r="V75" s="157">
        <v>0</v>
      </c>
      <c r="W75" s="1"/>
      <c r="X75" s="723" t="s">
        <v>2655</v>
      </c>
      <c r="Z75" s="785">
        <v>38658</v>
      </c>
      <c r="AA75" s="882">
        <v>38658</v>
      </c>
      <c r="AB75" s="106" t="s">
        <v>2654</v>
      </c>
      <c r="AC75" s="64">
        <f t="shared" si="18"/>
        <v>1</v>
      </c>
      <c r="AD75" s="1"/>
      <c r="AE75" s="785">
        <v>0</v>
      </c>
      <c r="AF75" s="106"/>
      <c r="AG75" s="157">
        <v>0</v>
      </c>
      <c r="AI75" s="785">
        <v>0</v>
      </c>
      <c r="AJ75" s="882">
        <v>0</v>
      </c>
      <c r="AK75" s="106" t="s">
        <v>2654</v>
      </c>
      <c r="AL75" s="64">
        <f t="shared" si="19"/>
        <v>0</v>
      </c>
      <c r="AM75" s="1"/>
      <c r="AN75" s="785"/>
      <c r="AO75" s="106"/>
      <c r="AP75" s="785">
        <f t="shared" si="20"/>
        <v>0</v>
      </c>
      <c r="AR75" s="785"/>
      <c r="AS75" s="882">
        <v>0</v>
      </c>
      <c r="AT75" s="106"/>
      <c r="AU75" s="64">
        <f t="shared" si="21"/>
        <v>0</v>
      </c>
      <c r="AV75" s="1"/>
      <c r="AW75" s="785"/>
      <c r="AX75" s="106"/>
      <c r="AY75" s="882">
        <f t="shared" si="22"/>
        <v>0</v>
      </c>
      <c r="BA75" s="785"/>
      <c r="BB75" s="882">
        <v>0</v>
      </c>
      <c r="BC75" s="106"/>
      <c r="BD75" s="64">
        <v>1</v>
      </c>
      <c r="BE75" s="1"/>
      <c r="BF75" s="785">
        <v>29735</v>
      </c>
      <c r="BG75" s="6858" t="s">
        <v>2656</v>
      </c>
      <c r="BH75" s="882">
        <f t="shared" si="24"/>
        <v>29735</v>
      </c>
    </row>
    <row r="76" spans="1:60" s="462" customFormat="1" x14ac:dyDescent="0.35">
      <c r="A76" s="9153"/>
      <c r="B76" s="873"/>
      <c r="C76" s="874" t="s">
        <v>2657</v>
      </c>
      <c r="D76" s="456"/>
      <c r="E76" s="456"/>
      <c r="F76" s="790">
        <f>305516+635824+1003875+1350479+581345+1195990+278809+116111+263872+664391</f>
        <v>6396212</v>
      </c>
      <c r="G76" s="456"/>
      <c r="H76" s="791">
        <f>422775+799709+1316690+1838209+722921+1530966+336002+153201+353376+878318</f>
        <v>8352167</v>
      </c>
      <c r="I76" s="792">
        <f>426800+798619+1316947+1837714+717808+1525902+341595+143275+355193+876607</f>
        <v>8340460</v>
      </c>
      <c r="J76" s="1003">
        <f>IF(H76=0,0,I76/H76)</f>
        <v>0.99859832783515945</v>
      </c>
      <c r="K76" s="456"/>
      <c r="L76" s="791">
        <f>457041+861033+1485411+2010762+768566+1733296+397788+135333+409703+1019519</f>
        <v>9278452</v>
      </c>
      <c r="M76" s="905">
        <f>L76*J76</f>
        <v>9265446.6520987917</v>
      </c>
      <c r="N76" s="1"/>
      <c r="O76" s="791">
        <v>457041</v>
      </c>
      <c r="P76" s="882">
        <v>457988</v>
      </c>
      <c r="Q76" s="106" t="s">
        <v>2658</v>
      </c>
      <c r="R76" s="64">
        <f t="shared" si="17"/>
        <v>1.002072024172886</v>
      </c>
      <c r="S76" s="1"/>
      <c r="T76" s="791">
        <v>508816</v>
      </c>
      <c r="U76" s="106" t="s">
        <v>2659</v>
      </c>
      <c r="V76" s="157">
        <v>504418</v>
      </c>
      <c r="W76" s="1"/>
      <c r="X76" s="723"/>
      <c r="Z76" s="791">
        <v>457041</v>
      </c>
      <c r="AA76" s="882">
        <v>457988</v>
      </c>
      <c r="AB76" s="106" t="s">
        <v>2658</v>
      </c>
      <c r="AC76" s="64">
        <f t="shared" si="18"/>
        <v>1.002072024172886</v>
      </c>
      <c r="AD76" s="1"/>
      <c r="AE76" s="791">
        <v>582943</v>
      </c>
      <c r="AF76" s="106" t="s">
        <v>2660</v>
      </c>
      <c r="AG76" s="157">
        <v>562800</v>
      </c>
      <c r="AI76" s="791">
        <v>582943</v>
      </c>
      <c r="AJ76" s="882">
        <v>562800</v>
      </c>
      <c r="AK76" s="106" t="s">
        <v>2658</v>
      </c>
      <c r="AL76" s="64">
        <f t="shared" si="19"/>
        <v>0.96544602130911594</v>
      </c>
      <c r="AM76" s="1"/>
      <c r="AN76" s="791">
        <v>592506</v>
      </c>
      <c r="AO76" s="106" t="s">
        <v>2661</v>
      </c>
      <c r="AP76" s="791">
        <f t="shared" si="20"/>
        <v>572032.56030177907</v>
      </c>
      <c r="AR76" s="791">
        <v>592506</v>
      </c>
      <c r="AS76" s="882">
        <v>587506</v>
      </c>
      <c r="AT76" s="2669" t="s">
        <v>2662</v>
      </c>
      <c r="AU76" s="64">
        <f t="shared" si="21"/>
        <v>0.99156126689012436</v>
      </c>
      <c r="AV76" s="1"/>
      <c r="AW76" s="791">
        <v>637440</v>
      </c>
      <c r="AX76" s="253" t="s">
        <v>2662</v>
      </c>
      <c r="AY76" s="882">
        <f t="shared" si="22"/>
        <v>632060.81396644085</v>
      </c>
      <c r="BA76" s="791">
        <v>637440</v>
      </c>
      <c r="BB76" s="882">
        <v>637222</v>
      </c>
      <c r="BC76" s="2669" t="s">
        <v>2662</v>
      </c>
      <c r="BD76" s="64">
        <f t="shared" si="23"/>
        <v>0.99965800702811247</v>
      </c>
      <c r="BE76" s="1"/>
      <c r="BF76" s="791">
        <v>795517</v>
      </c>
      <c r="BG76" s="253" t="s">
        <v>2663</v>
      </c>
      <c r="BH76" s="882">
        <f t="shared" si="24"/>
        <v>795244.93877698295</v>
      </c>
    </row>
    <row r="77" spans="1:60" s="462" customFormat="1" x14ac:dyDescent="0.35">
      <c r="A77" s="9153"/>
      <c r="B77" s="873"/>
      <c r="C77" s="874" t="s">
        <v>2664</v>
      </c>
      <c r="D77" s="456"/>
      <c r="E77" s="456"/>
      <c r="F77" s="790"/>
      <c r="G77" s="456"/>
      <c r="H77" s="791"/>
      <c r="I77" s="792"/>
      <c r="J77" s="1003"/>
      <c r="K77" s="456"/>
      <c r="L77" s="791"/>
      <c r="M77" s="905"/>
      <c r="N77" s="1"/>
      <c r="O77" s="791">
        <v>861033</v>
      </c>
      <c r="P77" s="882">
        <v>859620</v>
      </c>
      <c r="Q77" s="106" t="s">
        <v>2665</v>
      </c>
      <c r="R77" s="64">
        <f t="shared" si="17"/>
        <v>0.99835894791488833</v>
      </c>
      <c r="S77" s="1"/>
      <c r="T77" s="791">
        <v>939228</v>
      </c>
      <c r="U77" s="106" t="s">
        <v>2666</v>
      </c>
      <c r="V77" s="157">
        <v>938016</v>
      </c>
      <c r="W77" s="1"/>
      <c r="X77" s="723"/>
      <c r="Z77" s="791">
        <v>861033</v>
      </c>
      <c r="AA77" s="882">
        <v>859620</v>
      </c>
      <c r="AB77" s="106" t="s">
        <v>2665</v>
      </c>
      <c r="AC77" s="64">
        <f t="shared" si="18"/>
        <v>0.99835894791488833</v>
      </c>
      <c r="AD77" s="1"/>
      <c r="AE77" s="791">
        <v>1004130</v>
      </c>
      <c r="AF77" s="106" t="s">
        <v>2667</v>
      </c>
      <c r="AG77" s="157">
        <v>997625</v>
      </c>
      <c r="AI77" s="791">
        <v>1004130</v>
      </c>
      <c r="AJ77" s="882">
        <v>997625</v>
      </c>
      <c r="AK77" s="106" t="s">
        <v>2665</v>
      </c>
      <c r="AL77" s="64">
        <f t="shared" si="19"/>
        <v>0.99352175515122543</v>
      </c>
      <c r="AM77" s="1"/>
      <c r="AN77" s="791">
        <v>1111654</v>
      </c>
      <c r="AO77" s="106" t="s">
        <v>2660</v>
      </c>
      <c r="AP77" s="791">
        <f t="shared" si="20"/>
        <v>1104452.4332008804</v>
      </c>
      <c r="AR77" s="791">
        <v>1111654</v>
      </c>
      <c r="AS77" s="882">
        <v>1109609</v>
      </c>
      <c r="AT77" s="2669" t="s">
        <v>2668</v>
      </c>
      <c r="AU77" s="64">
        <f t="shared" si="21"/>
        <v>0.9981603988291321</v>
      </c>
      <c r="AV77" s="1"/>
      <c r="AW77" s="791">
        <v>1223784</v>
      </c>
      <c r="AX77" s="253" t="s">
        <v>2668</v>
      </c>
      <c r="AY77" s="882">
        <f t="shared" si="22"/>
        <v>1221532.7255207107</v>
      </c>
      <c r="BA77" s="791">
        <v>1223784</v>
      </c>
      <c r="BB77" s="882">
        <v>1223626</v>
      </c>
      <c r="BC77" s="2669" t="s">
        <v>2668</v>
      </c>
      <c r="BD77" s="64">
        <f t="shared" si="23"/>
        <v>0.99987089224895898</v>
      </c>
      <c r="BE77" s="1"/>
      <c r="BF77" s="791">
        <v>1518484</v>
      </c>
      <c r="BG77" s="253" t="s">
        <v>2669</v>
      </c>
      <c r="BH77" s="882">
        <f t="shared" si="24"/>
        <v>1518287.9519457682</v>
      </c>
    </row>
    <row r="78" spans="1:60" s="462" customFormat="1" x14ac:dyDescent="0.35">
      <c r="A78" s="9153"/>
      <c r="B78" s="873"/>
      <c r="C78" s="874" t="s">
        <v>2670</v>
      </c>
      <c r="D78" s="456"/>
      <c r="E78" s="456"/>
      <c r="F78" s="790"/>
      <c r="G78" s="456"/>
      <c r="H78" s="791"/>
      <c r="I78" s="792"/>
      <c r="J78" s="1003"/>
      <c r="K78" s="456"/>
      <c r="L78" s="791"/>
      <c r="M78" s="905"/>
      <c r="N78" s="1"/>
      <c r="O78" s="791">
        <v>1485411</v>
      </c>
      <c r="P78" s="882">
        <v>1483679</v>
      </c>
      <c r="Q78" s="106" t="s">
        <v>2671</v>
      </c>
      <c r="R78" s="64">
        <f t="shared" si="17"/>
        <v>0.99883399274678863</v>
      </c>
      <c r="S78" s="1"/>
      <c r="T78" s="791">
        <v>1544256</v>
      </c>
      <c r="U78" s="106" t="s">
        <v>2672</v>
      </c>
      <c r="V78" s="157">
        <v>1543185</v>
      </c>
      <c r="W78" s="1"/>
      <c r="X78" s="723"/>
      <c r="Z78" s="791">
        <v>1485411</v>
      </c>
      <c r="AA78" s="882">
        <v>1483679</v>
      </c>
      <c r="AB78" s="106" t="s">
        <v>2671</v>
      </c>
      <c r="AC78" s="64">
        <f t="shared" si="18"/>
        <v>0.99883399274678863</v>
      </c>
      <c r="AD78" s="1"/>
      <c r="AE78" s="791">
        <v>1703082</v>
      </c>
      <c r="AF78" s="106" t="s">
        <v>2673</v>
      </c>
      <c r="AG78" s="157">
        <v>1703082</v>
      </c>
      <c r="AI78" s="791">
        <v>1703082</v>
      </c>
      <c r="AJ78" s="882">
        <v>1703082</v>
      </c>
      <c r="AK78" s="106" t="s">
        <v>2671</v>
      </c>
      <c r="AL78" s="64">
        <f t="shared" si="19"/>
        <v>1</v>
      </c>
      <c r="AM78" s="1"/>
      <c r="AN78" s="791">
        <v>1783598</v>
      </c>
      <c r="AO78" s="106" t="s">
        <v>2674</v>
      </c>
      <c r="AP78" s="791">
        <f t="shared" si="20"/>
        <v>1783598</v>
      </c>
      <c r="AR78" s="791">
        <v>1783598</v>
      </c>
      <c r="AS78" s="882">
        <v>1824252</v>
      </c>
      <c r="AT78" s="2669" t="s">
        <v>2675</v>
      </c>
      <c r="AU78" s="64">
        <f t="shared" si="21"/>
        <v>1.0227932527396868</v>
      </c>
      <c r="AV78" s="1"/>
      <c r="AW78" s="791">
        <v>2037311</v>
      </c>
      <c r="AX78" s="2669" t="s">
        <v>2675</v>
      </c>
      <c r="AY78" s="882">
        <f t="shared" si="22"/>
        <v>2083747.9445323441</v>
      </c>
      <c r="BA78" s="791">
        <v>2037311</v>
      </c>
      <c r="BB78" s="882">
        <v>2149623</v>
      </c>
      <c r="BC78" s="2669" t="s">
        <v>2675</v>
      </c>
      <c r="BD78" s="64">
        <f t="shared" si="23"/>
        <v>1.0551275676614911</v>
      </c>
      <c r="BE78" s="1"/>
      <c r="BF78" s="791">
        <v>2553740</v>
      </c>
      <c r="BG78" s="2669" t="s">
        <v>2676</v>
      </c>
      <c r="BH78" s="882">
        <f t="shared" si="24"/>
        <v>2694521.4746398563</v>
      </c>
    </row>
    <row r="79" spans="1:60" s="462" customFormat="1" x14ac:dyDescent="0.35">
      <c r="A79" s="9153"/>
      <c r="B79" s="873"/>
      <c r="C79" s="874" t="s">
        <v>2677</v>
      </c>
      <c r="D79" s="456"/>
      <c r="E79" s="456"/>
      <c r="F79" s="790"/>
      <c r="G79" s="456"/>
      <c r="H79" s="791"/>
      <c r="I79" s="792"/>
      <c r="J79" s="1003"/>
      <c r="K79" s="456"/>
      <c r="L79" s="791"/>
      <c r="M79" s="905"/>
      <c r="N79" s="1"/>
      <c r="O79" s="791">
        <v>2010762</v>
      </c>
      <c r="P79" s="882">
        <v>2030389</v>
      </c>
      <c r="Q79" s="106" t="s">
        <v>2678</v>
      </c>
      <c r="R79" s="64">
        <f t="shared" si="17"/>
        <v>1.0097609761871371</v>
      </c>
      <c r="S79" s="1"/>
      <c r="T79" s="791">
        <v>2171986</v>
      </c>
      <c r="U79" s="106" t="s">
        <v>2679</v>
      </c>
      <c r="V79" s="157">
        <v>2159045</v>
      </c>
      <c r="W79" s="1"/>
      <c r="X79" s="723"/>
      <c r="Z79" s="791">
        <v>2010762</v>
      </c>
      <c r="AA79" s="882">
        <v>2030389</v>
      </c>
      <c r="AB79" s="106" t="s">
        <v>2678</v>
      </c>
      <c r="AC79" s="64">
        <f t="shared" si="18"/>
        <v>1.0097609761871371</v>
      </c>
      <c r="AD79" s="1"/>
      <c r="AE79" s="791">
        <v>2291322</v>
      </c>
      <c r="AF79" s="106" t="s">
        <v>2680</v>
      </c>
      <c r="AG79" s="157">
        <v>2287880</v>
      </c>
      <c r="AI79" s="791">
        <v>2291322</v>
      </c>
      <c r="AJ79" s="882">
        <v>2287880</v>
      </c>
      <c r="AK79" s="106" t="s">
        <v>2678</v>
      </c>
      <c r="AL79" s="64">
        <f t="shared" si="19"/>
        <v>0.99849781043432573</v>
      </c>
      <c r="AM79" s="1"/>
      <c r="AN79" s="791">
        <v>2510769</v>
      </c>
      <c r="AO79" s="106" t="s">
        <v>2681</v>
      </c>
      <c r="AP79" s="791">
        <f t="shared" si="20"/>
        <v>2506997.3490063814</v>
      </c>
      <c r="AR79" s="791">
        <v>2510769</v>
      </c>
      <c r="AS79" s="882">
        <v>2502331</v>
      </c>
      <c r="AT79" s="2669" t="s">
        <v>2682</v>
      </c>
      <c r="AU79" s="64">
        <f t="shared" si="21"/>
        <v>0.99663927665189433</v>
      </c>
      <c r="AV79" s="1"/>
      <c r="AW79" s="791">
        <v>2831856</v>
      </c>
      <c r="AX79" s="2669" t="s">
        <v>2682</v>
      </c>
      <c r="AY79" s="882">
        <f t="shared" si="22"/>
        <v>2822338.9154223269</v>
      </c>
      <c r="BA79" s="791">
        <v>2831856</v>
      </c>
      <c r="BB79" s="882">
        <v>2836374</v>
      </c>
      <c r="BC79" s="2669" t="s">
        <v>2682</v>
      </c>
      <c r="BD79" s="64">
        <f t="shared" si="23"/>
        <v>1.001595420106107</v>
      </c>
      <c r="BE79" s="1"/>
      <c r="BF79" s="791">
        <v>3470856</v>
      </c>
      <c r="BG79" s="2669" t="s">
        <v>2683</v>
      </c>
      <c r="BH79" s="882">
        <f t="shared" si="24"/>
        <v>3476393.473447802</v>
      </c>
    </row>
    <row r="80" spans="1:60" s="462" customFormat="1" x14ac:dyDescent="0.35">
      <c r="A80" s="9153"/>
      <c r="B80" s="873"/>
      <c r="C80" s="874" t="s">
        <v>2684</v>
      </c>
      <c r="D80" s="456"/>
      <c r="E80" s="456"/>
      <c r="F80" s="790"/>
      <c r="G80" s="456"/>
      <c r="H80" s="791"/>
      <c r="I80" s="792"/>
      <c r="J80" s="1003"/>
      <c r="K80" s="456"/>
      <c r="L80" s="791"/>
      <c r="M80" s="905"/>
      <c r="N80" s="1"/>
      <c r="O80" s="791">
        <v>768566</v>
      </c>
      <c r="P80" s="882">
        <v>773861</v>
      </c>
      <c r="Q80" s="106" t="s">
        <v>2685</v>
      </c>
      <c r="R80" s="64">
        <f t="shared" si="17"/>
        <v>1.0068894538660311</v>
      </c>
      <c r="S80" s="1"/>
      <c r="T80" s="791">
        <v>862367</v>
      </c>
      <c r="U80" s="106" t="s">
        <v>2686</v>
      </c>
      <c r="V80" s="157">
        <v>849963</v>
      </c>
      <c r="W80" s="1"/>
      <c r="X80" s="723"/>
      <c r="Z80" s="791">
        <v>768566</v>
      </c>
      <c r="AA80" s="882">
        <v>773861</v>
      </c>
      <c r="AB80" s="106" t="s">
        <v>2685</v>
      </c>
      <c r="AC80" s="64">
        <f t="shared" si="18"/>
        <v>1.0068894538660311</v>
      </c>
      <c r="AD80" s="1"/>
      <c r="AE80" s="791">
        <v>949006</v>
      </c>
      <c r="AF80" s="106" t="s">
        <v>2687</v>
      </c>
      <c r="AG80" s="157">
        <v>940502</v>
      </c>
      <c r="AI80" s="791">
        <v>949006</v>
      </c>
      <c r="AJ80" s="882">
        <v>940502</v>
      </c>
      <c r="AK80" s="106" t="s">
        <v>2685</v>
      </c>
      <c r="AL80" s="64">
        <f t="shared" si="19"/>
        <v>0.99103904506399332</v>
      </c>
      <c r="AM80" s="1"/>
      <c r="AN80" s="791">
        <v>982757</v>
      </c>
      <c r="AO80" s="106" t="s">
        <v>2688</v>
      </c>
      <c r="AP80" s="791">
        <f t="shared" si="20"/>
        <v>973950.55880995491</v>
      </c>
      <c r="AR80" s="791">
        <v>982757</v>
      </c>
      <c r="AS80" s="882">
        <v>971347</v>
      </c>
      <c r="AT80" s="2669" t="s">
        <v>2689</v>
      </c>
      <c r="AU80" s="64">
        <f t="shared" si="21"/>
        <v>0.98838980541476684</v>
      </c>
      <c r="AV80" s="1"/>
      <c r="AW80" s="791">
        <v>1089264</v>
      </c>
      <c r="AX80" s="2669" t="s">
        <v>2689</v>
      </c>
      <c r="AY80" s="882">
        <f t="shared" si="22"/>
        <v>1076617.4330053106</v>
      </c>
      <c r="BA80" s="791">
        <v>1089264</v>
      </c>
      <c r="BB80" s="882">
        <v>1152566</v>
      </c>
      <c r="BC80" s="2669" t="s">
        <v>2689</v>
      </c>
      <c r="BD80" s="64">
        <f t="shared" si="23"/>
        <v>1.0581144699540239</v>
      </c>
      <c r="BE80" s="1"/>
      <c r="BF80" s="791">
        <v>1327921</v>
      </c>
      <c r="BG80" s="2669" t="s">
        <v>2690</v>
      </c>
      <c r="BH80" s="882">
        <f t="shared" si="24"/>
        <v>1405092.4250558175</v>
      </c>
    </row>
    <row r="81" spans="1:60" s="462" customFormat="1" x14ac:dyDescent="0.35">
      <c r="A81" s="9153"/>
      <c r="B81" s="873"/>
      <c r="C81" s="874" t="s">
        <v>2691</v>
      </c>
      <c r="D81" s="456"/>
      <c r="E81" s="456"/>
      <c r="F81" s="790"/>
      <c r="G81" s="456"/>
      <c r="H81" s="791"/>
      <c r="I81" s="792"/>
      <c r="J81" s="1003"/>
      <c r="K81" s="456"/>
      <c r="L81" s="791"/>
      <c r="M81" s="905"/>
      <c r="N81" s="1"/>
      <c r="O81" s="791">
        <v>1733296</v>
      </c>
      <c r="P81" s="882">
        <v>1738115</v>
      </c>
      <c r="Q81" s="106" t="s">
        <v>2692</v>
      </c>
      <c r="R81" s="64">
        <f t="shared" si="17"/>
        <v>1.0027802521900471</v>
      </c>
      <c r="S81" s="1"/>
      <c r="T81" s="791">
        <v>1819388</v>
      </c>
      <c r="U81" s="106" t="s">
        <v>2693</v>
      </c>
      <c r="V81" s="157">
        <v>1817691</v>
      </c>
      <c r="W81" s="1"/>
      <c r="X81" s="723"/>
      <c r="Z81" s="791">
        <v>1733296</v>
      </c>
      <c r="AA81" s="882">
        <v>1738115</v>
      </c>
      <c r="AB81" s="106" t="s">
        <v>2692</v>
      </c>
      <c r="AC81" s="64">
        <f t="shared" si="18"/>
        <v>1.0027802521900471</v>
      </c>
      <c r="AD81" s="1"/>
      <c r="AE81" s="791">
        <v>1883555</v>
      </c>
      <c r="AF81" s="106" t="s">
        <v>2694</v>
      </c>
      <c r="AG81" s="157">
        <v>1848533</v>
      </c>
      <c r="AI81" s="791">
        <v>1883555</v>
      </c>
      <c r="AJ81" s="882">
        <v>1848533</v>
      </c>
      <c r="AK81" s="106" t="s">
        <v>2692</v>
      </c>
      <c r="AL81" s="64">
        <f t="shared" si="19"/>
        <v>0.98140643623361146</v>
      </c>
      <c r="AM81" s="1"/>
      <c r="AN81" s="791">
        <v>2026598</v>
      </c>
      <c r="AO81" s="106" t="s">
        <v>2695</v>
      </c>
      <c r="AP81" s="791">
        <f t="shared" si="20"/>
        <v>1988916.3208581645</v>
      </c>
      <c r="AR81" s="791">
        <v>2026598</v>
      </c>
      <c r="AS81" s="882">
        <v>2032375</v>
      </c>
      <c r="AT81" s="2669" t="s">
        <v>2696</v>
      </c>
      <c r="AU81" s="64">
        <f t="shared" si="21"/>
        <v>1.0028505900035429</v>
      </c>
      <c r="AV81" s="1"/>
      <c r="AW81" s="791">
        <v>2450780</v>
      </c>
      <c r="AX81" s="2669" t="s">
        <v>2696</v>
      </c>
      <c r="AY81" s="882">
        <f t="shared" si="22"/>
        <v>2457766.1689688829</v>
      </c>
      <c r="BA81" s="791">
        <v>2450780</v>
      </c>
      <c r="BB81" s="882">
        <v>2454832</v>
      </c>
      <c r="BC81" s="2669" t="s">
        <v>2696</v>
      </c>
      <c r="BD81" s="64">
        <f t="shared" si="23"/>
        <v>1.0016533511779924</v>
      </c>
      <c r="BE81" s="1"/>
      <c r="BF81" s="791">
        <v>2792587</v>
      </c>
      <c r="BG81" s="2669" t="s">
        <v>2697</v>
      </c>
      <c r="BH81" s="882">
        <f t="shared" si="24"/>
        <v>2797204.1270060963</v>
      </c>
    </row>
    <row r="82" spans="1:60" s="462" customFormat="1" x14ac:dyDescent="0.35">
      <c r="A82" s="9153"/>
      <c r="B82" s="873"/>
      <c r="C82" s="874" t="s">
        <v>2698</v>
      </c>
      <c r="D82" s="456"/>
      <c r="E82" s="456"/>
      <c r="F82" s="790"/>
      <c r="G82" s="456"/>
      <c r="H82" s="791"/>
      <c r="I82" s="792"/>
      <c r="J82" s="1003"/>
      <c r="K82" s="456"/>
      <c r="L82" s="791"/>
      <c r="M82" s="905"/>
      <c r="N82" s="1"/>
      <c r="O82" s="791">
        <v>397788</v>
      </c>
      <c r="P82" s="882">
        <v>396611</v>
      </c>
      <c r="Q82" s="106" t="s">
        <v>2699</v>
      </c>
      <c r="R82" s="64">
        <f t="shared" si="17"/>
        <v>0.99704113749032153</v>
      </c>
      <c r="S82" s="1"/>
      <c r="T82" s="791">
        <v>425094</v>
      </c>
      <c r="U82" s="106" t="s">
        <v>2700</v>
      </c>
      <c r="V82" s="157">
        <v>425094</v>
      </c>
      <c r="W82" s="1"/>
      <c r="X82" s="723"/>
      <c r="Z82" s="791">
        <v>397788</v>
      </c>
      <c r="AA82" s="882">
        <v>396611</v>
      </c>
      <c r="AB82" s="106" t="s">
        <v>2699</v>
      </c>
      <c r="AC82" s="64">
        <f t="shared" si="18"/>
        <v>0.99704113749032153</v>
      </c>
      <c r="AD82" s="1"/>
      <c r="AE82" s="791">
        <v>478395</v>
      </c>
      <c r="AF82" s="106" t="s">
        <v>2701</v>
      </c>
      <c r="AG82" s="157">
        <v>477588</v>
      </c>
      <c r="AI82" s="791">
        <v>478395</v>
      </c>
      <c r="AJ82" s="882">
        <v>477588</v>
      </c>
      <c r="AK82" s="106" t="s">
        <v>2699</v>
      </c>
      <c r="AL82" s="64">
        <f t="shared" si="19"/>
        <v>0.99831310945975604</v>
      </c>
      <c r="AM82" s="1"/>
      <c r="AN82" s="791">
        <v>516998</v>
      </c>
      <c r="AO82" s="106" t="s">
        <v>2702</v>
      </c>
      <c r="AP82" s="791">
        <f t="shared" si="20"/>
        <v>516125.88096447493</v>
      </c>
      <c r="AR82" s="791">
        <v>516998</v>
      </c>
      <c r="AS82" s="882">
        <v>514998</v>
      </c>
      <c r="AT82" s="2669" t="s">
        <v>2703</v>
      </c>
      <c r="AU82" s="64">
        <f t="shared" si="21"/>
        <v>0.99613151308128856</v>
      </c>
      <c r="AV82" s="1"/>
      <c r="AW82" s="791">
        <v>541835</v>
      </c>
      <c r="AX82" s="2669" t="s">
        <v>2703</v>
      </c>
      <c r="AY82" s="882">
        <f t="shared" si="22"/>
        <v>539738.91839040001</v>
      </c>
      <c r="BA82" s="791">
        <v>541835</v>
      </c>
      <c r="BB82" s="882">
        <v>563343</v>
      </c>
      <c r="BC82" s="2669" t="s">
        <v>2703</v>
      </c>
      <c r="BD82" s="64">
        <f t="shared" si="23"/>
        <v>1.039694741018945</v>
      </c>
      <c r="BE82" s="1"/>
      <c r="BF82" s="791">
        <v>611011</v>
      </c>
      <c r="BG82" s="2669" t="s">
        <v>2704</v>
      </c>
      <c r="BH82" s="882">
        <f t="shared" si="24"/>
        <v>635264.92340472655</v>
      </c>
    </row>
    <row r="83" spans="1:60" s="462" customFormat="1" x14ac:dyDescent="0.35">
      <c r="A83" s="9153"/>
      <c r="B83" s="873"/>
      <c r="C83" s="874" t="s">
        <v>2705</v>
      </c>
      <c r="D83" s="456"/>
      <c r="E83" s="456"/>
      <c r="F83" s="790"/>
      <c r="G83" s="456"/>
      <c r="H83" s="791"/>
      <c r="I83" s="792"/>
      <c r="J83" s="1003"/>
      <c r="K83" s="456"/>
      <c r="L83" s="791"/>
      <c r="M83" s="905"/>
      <c r="N83" s="1"/>
      <c r="O83" s="791">
        <v>135333</v>
      </c>
      <c r="P83" s="882">
        <v>136394</v>
      </c>
      <c r="Q83" s="106" t="s">
        <v>2706</v>
      </c>
      <c r="R83" s="64">
        <f t="shared" si="17"/>
        <v>1.0078399207879822</v>
      </c>
      <c r="S83" s="1"/>
      <c r="T83" s="791">
        <v>144988</v>
      </c>
      <c r="U83" s="106" t="s">
        <v>2707</v>
      </c>
      <c r="V83" s="157">
        <v>144844</v>
      </c>
      <c r="W83" s="1"/>
      <c r="X83" s="723"/>
      <c r="Z83" s="791">
        <v>135333</v>
      </c>
      <c r="AA83" s="882">
        <v>136394</v>
      </c>
      <c r="AB83" s="106" t="s">
        <v>2706</v>
      </c>
      <c r="AC83" s="64">
        <f t="shared" si="18"/>
        <v>1.0078399207879822</v>
      </c>
      <c r="AD83" s="1"/>
      <c r="AE83" s="791">
        <v>143605</v>
      </c>
      <c r="AF83" s="106" t="s">
        <v>2708</v>
      </c>
      <c r="AG83" s="157">
        <v>145430</v>
      </c>
      <c r="AI83" s="791">
        <v>143605</v>
      </c>
      <c r="AJ83" s="882">
        <v>145430</v>
      </c>
      <c r="AK83" s="106" t="s">
        <v>2706</v>
      </c>
      <c r="AL83" s="64">
        <f t="shared" si="19"/>
        <v>1.0127084711535113</v>
      </c>
      <c r="AM83" s="1"/>
      <c r="AN83" s="791">
        <v>172976</v>
      </c>
      <c r="AO83" s="106" t="s">
        <v>2709</v>
      </c>
      <c r="AP83" s="791">
        <f t="shared" si="20"/>
        <v>175174.26050624976</v>
      </c>
      <c r="AR83" s="791">
        <v>172976</v>
      </c>
      <c r="AS83" s="882">
        <v>174661</v>
      </c>
      <c r="AT83" s="2669" t="s">
        <v>2710</v>
      </c>
      <c r="AU83" s="64">
        <f t="shared" si="21"/>
        <v>1.0097412357783739</v>
      </c>
      <c r="AV83" s="1"/>
      <c r="AW83" s="791">
        <v>202733</v>
      </c>
      <c r="AX83" s="2669" t="s">
        <v>2710</v>
      </c>
      <c r="AY83" s="882">
        <f t="shared" si="22"/>
        <v>204707.86995305709</v>
      </c>
      <c r="BA83" s="791">
        <v>202733</v>
      </c>
      <c r="BB83" s="882">
        <v>202733</v>
      </c>
      <c r="BC83" s="2669" t="s">
        <v>2710</v>
      </c>
      <c r="BD83" s="64">
        <f t="shared" si="23"/>
        <v>1</v>
      </c>
      <c r="BE83" s="1"/>
      <c r="BF83" s="791">
        <v>268231</v>
      </c>
      <c r="BG83" s="2669" t="s">
        <v>2711</v>
      </c>
      <c r="BH83" s="882">
        <f t="shared" si="24"/>
        <v>268231</v>
      </c>
    </row>
    <row r="84" spans="1:60" s="462" customFormat="1" x14ac:dyDescent="0.35">
      <c r="A84" s="9153"/>
      <c r="B84" s="873"/>
      <c r="C84" s="874" t="s">
        <v>2712</v>
      </c>
      <c r="D84" s="456"/>
      <c r="E84" s="456"/>
      <c r="F84" s="790"/>
      <c r="G84" s="456"/>
      <c r="H84" s="791"/>
      <c r="I84" s="792"/>
      <c r="J84" s="1003"/>
      <c r="K84" s="456"/>
      <c r="L84" s="791"/>
      <c r="M84" s="905"/>
      <c r="N84" s="1"/>
      <c r="O84" s="791">
        <v>409703</v>
      </c>
      <c r="P84" s="882">
        <v>408417</v>
      </c>
      <c r="Q84" s="106" t="s">
        <v>2713</v>
      </c>
      <c r="R84" s="64">
        <f t="shared" si="17"/>
        <v>0.99686114087521938</v>
      </c>
      <c r="S84" s="1"/>
      <c r="T84" s="791">
        <v>454520</v>
      </c>
      <c r="U84" s="106" t="s">
        <v>2714</v>
      </c>
      <c r="V84" s="157">
        <v>450433</v>
      </c>
      <c r="W84" s="1"/>
      <c r="X84" s="723"/>
      <c r="Z84" s="791">
        <v>409703</v>
      </c>
      <c r="AA84" s="882">
        <v>408417</v>
      </c>
      <c r="AB84" s="106" t="s">
        <v>2713</v>
      </c>
      <c r="AC84" s="64">
        <f t="shared" si="18"/>
        <v>0.99686114087521938</v>
      </c>
      <c r="AD84" s="1"/>
      <c r="AE84" s="791">
        <v>463831</v>
      </c>
      <c r="AF84" s="106" t="s">
        <v>2715</v>
      </c>
      <c r="AG84" s="157">
        <v>465474</v>
      </c>
      <c r="AI84" s="791">
        <v>463831</v>
      </c>
      <c r="AJ84" s="882">
        <v>465474</v>
      </c>
      <c r="AK84" s="106" t="s">
        <v>2713</v>
      </c>
      <c r="AL84" s="64">
        <f t="shared" si="19"/>
        <v>1.003542238444606</v>
      </c>
      <c r="AM84" s="1"/>
      <c r="AN84" s="791">
        <v>499261</v>
      </c>
      <c r="AO84" s="106" t="s">
        <v>2716</v>
      </c>
      <c r="AP84" s="791">
        <f t="shared" si="20"/>
        <v>501029.50150809245</v>
      </c>
      <c r="AR84" s="791">
        <v>499261</v>
      </c>
      <c r="AS84" s="882">
        <v>493215</v>
      </c>
      <c r="AT84" s="2669" t="s">
        <v>2717</v>
      </c>
      <c r="AU84" s="64">
        <f t="shared" si="21"/>
        <v>0.98789010157012069</v>
      </c>
      <c r="AV84" s="1"/>
      <c r="AW84" s="791">
        <v>569411</v>
      </c>
      <c r="AX84" s="2669" t="s">
        <v>2717</v>
      </c>
      <c r="AY84" s="882">
        <f t="shared" si="22"/>
        <v>562515.49062514398</v>
      </c>
      <c r="BA84" s="791">
        <v>569411</v>
      </c>
      <c r="BB84" s="882">
        <v>571184</v>
      </c>
      <c r="BC84" s="2669" t="s">
        <v>2717</v>
      </c>
      <c r="BD84" s="64">
        <f t="shared" si="23"/>
        <v>1.0031137438511022</v>
      </c>
      <c r="BE84" s="1"/>
      <c r="BF84" s="791">
        <v>728720</v>
      </c>
      <c r="BG84" s="2669" t="s">
        <v>2718</v>
      </c>
      <c r="BH84" s="882">
        <f t="shared" si="24"/>
        <v>730989.04741917516</v>
      </c>
    </row>
    <row r="85" spans="1:60" s="462" customFormat="1" x14ac:dyDescent="0.35">
      <c r="A85" s="9153"/>
      <c r="B85" s="873"/>
      <c r="C85" s="874" t="s">
        <v>2719</v>
      </c>
      <c r="D85" s="456"/>
      <c r="E85" s="456"/>
      <c r="F85" s="790"/>
      <c r="G85" s="456"/>
      <c r="H85" s="791"/>
      <c r="I85" s="792"/>
      <c r="J85" s="1003"/>
      <c r="K85" s="456"/>
      <c r="L85" s="791"/>
      <c r="M85" s="905"/>
      <c r="N85" s="1"/>
      <c r="O85" s="791">
        <v>1094184</v>
      </c>
      <c r="P85" s="882">
        <v>1019519</v>
      </c>
      <c r="Q85" s="106" t="s">
        <v>2720</v>
      </c>
      <c r="R85" s="64">
        <f t="shared" si="17"/>
        <v>0.931761934007443</v>
      </c>
      <c r="S85" s="1"/>
      <c r="T85" s="791">
        <v>1015799</v>
      </c>
      <c r="U85" s="106" t="s">
        <v>2721</v>
      </c>
      <c r="V85" s="157">
        <v>1012611</v>
      </c>
      <c r="W85" s="1"/>
      <c r="X85" s="723"/>
      <c r="Z85" s="791">
        <v>1094184</v>
      </c>
      <c r="AA85" s="882">
        <v>1019519</v>
      </c>
      <c r="AB85" s="106" t="s">
        <v>2720</v>
      </c>
      <c r="AC85" s="64">
        <f t="shared" si="18"/>
        <v>0.931761934007443</v>
      </c>
      <c r="AD85" s="1"/>
      <c r="AE85" s="791">
        <v>1006616</v>
      </c>
      <c r="AF85" s="106" t="s">
        <v>2722</v>
      </c>
      <c r="AG85" s="157">
        <v>1004474</v>
      </c>
      <c r="AI85" s="791">
        <v>1006616</v>
      </c>
      <c r="AJ85" s="882">
        <v>1004474</v>
      </c>
      <c r="AK85" s="106" t="s">
        <v>2720</v>
      </c>
      <c r="AL85" s="64">
        <f t="shared" si="19"/>
        <v>0.99787207832977021</v>
      </c>
      <c r="AM85" s="1"/>
      <c r="AN85" s="791">
        <v>1148108</v>
      </c>
      <c r="AO85" s="106" t="s">
        <v>2723</v>
      </c>
      <c r="AP85" s="791">
        <f t="shared" si="20"/>
        <v>1145664.9161070357</v>
      </c>
      <c r="AR85" s="791">
        <v>1148108</v>
      </c>
      <c r="AS85" s="882">
        <v>1144706</v>
      </c>
      <c r="AT85" s="2669" t="s">
        <v>2724</v>
      </c>
      <c r="AU85" s="64">
        <f t="shared" si="21"/>
        <v>0.99703686412776493</v>
      </c>
      <c r="AV85" s="1"/>
      <c r="AW85" s="791">
        <v>1282197</v>
      </c>
      <c r="AX85" s="2669" t="s">
        <v>2724</v>
      </c>
      <c r="AY85" s="882">
        <f t="shared" si="22"/>
        <v>1278397.6760740278</v>
      </c>
      <c r="BA85" s="791">
        <v>1282197</v>
      </c>
      <c r="BB85" s="882">
        <v>1287776</v>
      </c>
      <c r="BC85" s="2669" t="s">
        <v>2724</v>
      </c>
      <c r="BD85" s="64">
        <f t="shared" si="23"/>
        <v>1.0043511254510813</v>
      </c>
      <c r="BE85" s="1"/>
      <c r="BF85" s="791">
        <v>1522822</v>
      </c>
      <c r="BG85" s="2669" t="s">
        <v>2725</v>
      </c>
      <c r="BH85" s="882">
        <f t="shared" si="24"/>
        <v>1529447.9895616665</v>
      </c>
    </row>
    <row r="86" spans="1:60" s="462" customFormat="1" x14ac:dyDescent="0.35">
      <c r="A86" s="9153"/>
      <c r="B86" s="873"/>
      <c r="C86" s="874" t="s">
        <v>2726</v>
      </c>
      <c r="D86" s="456"/>
      <c r="E86" s="801"/>
      <c r="F86" s="790">
        <v>32585</v>
      </c>
      <c r="G86" s="456"/>
      <c r="H86" s="791">
        <v>43708</v>
      </c>
      <c r="I86" s="792">
        <v>43628</v>
      </c>
      <c r="J86" s="1003">
        <f>IF(H86=0,0,I86/H86)</f>
        <v>0.99816967145602631</v>
      </c>
      <c r="K86" s="456"/>
      <c r="L86" s="791">
        <v>32138</v>
      </c>
      <c r="M86" s="905">
        <f>L86*J86</f>
        <v>32079.176901253773</v>
      </c>
      <c r="N86" s="141"/>
      <c r="O86" s="791">
        <v>32138</v>
      </c>
      <c r="P86" s="882">
        <v>31407</v>
      </c>
      <c r="Q86" s="106" t="s">
        <v>2727</v>
      </c>
      <c r="R86" s="64">
        <f t="shared" si="17"/>
        <v>0.97725434065592132</v>
      </c>
      <c r="S86" s="1"/>
      <c r="T86" s="791">
        <v>0</v>
      </c>
      <c r="U86" s="106" t="s">
        <v>2728</v>
      </c>
      <c r="V86" s="157">
        <v>0</v>
      </c>
      <c r="W86" s="141"/>
      <c r="X86" s="893"/>
      <c r="Z86" s="791">
        <v>32138</v>
      </c>
      <c r="AA86" s="882">
        <v>31407</v>
      </c>
      <c r="AB86" s="106" t="s">
        <v>2727</v>
      </c>
      <c r="AC86" s="64">
        <f t="shared" si="18"/>
        <v>0.97725434065592132</v>
      </c>
      <c r="AD86" s="1"/>
      <c r="AE86" s="791">
        <v>0</v>
      </c>
      <c r="AF86" s="106"/>
      <c r="AG86" s="157">
        <v>0</v>
      </c>
      <c r="AI86" s="791">
        <v>0</v>
      </c>
      <c r="AJ86" s="882">
        <v>0</v>
      </c>
      <c r="AK86" s="106" t="s">
        <v>2727</v>
      </c>
      <c r="AL86" s="64">
        <f t="shared" si="19"/>
        <v>0</v>
      </c>
      <c r="AM86" s="1"/>
      <c r="AN86" s="791"/>
      <c r="AO86" s="106"/>
      <c r="AP86" s="791">
        <f t="shared" si="20"/>
        <v>0</v>
      </c>
      <c r="AR86" s="791"/>
      <c r="AS86" s="882">
        <v>0</v>
      </c>
      <c r="AT86" s="106"/>
      <c r="AU86" s="64">
        <f t="shared" si="21"/>
        <v>0</v>
      </c>
      <c r="AV86" s="1"/>
      <c r="AW86" s="791"/>
      <c r="AX86" s="106"/>
      <c r="AY86" s="882">
        <f t="shared" si="22"/>
        <v>0</v>
      </c>
      <c r="BA86" s="791"/>
      <c r="BB86" s="882">
        <v>0</v>
      </c>
      <c r="BC86" s="106"/>
      <c r="BD86" s="64">
        <f t="shared" si="23"/>
        <v>0</v>
      </c>
      <c r="BE86" s="1"/>
      <c r="BF86" s="791"/>
      <c r="BG86" s="106"/>
      <c r="BH86" s="882">
        <f t="shared" si="24"/>
        <v>0</v>
      </c>
    </row>
    <row r="87" spans="1:60" s="462" customFormat="1" x14ac:dyDescent="0.35">
      <c r="A87" s="9153"/>
      <c r="B87" s="895"/>
      <c r="C87" s="896" t="s">
        <v>2729</v>
      </c>
      <c r="D87" s="456"/>
      <c r="E87" s="456"/>
      <c r="F87" s="795"/>
      <c r="G87" s="456"/>
      <c r="H87" s="791"/>
      <c r="I87" s="792"/>
      <c r="J87" s="1003">
        <f>IF(H87=0,0,I87/H87)</f>
        <v>0</v>
      </c>
      <c r="K87" s="456"/>
      <c r="L87" s="791"/>
      <c r="M87" s="906">
        <f>L87*J87</f>
        <v>0</v>
      </c>
      <c r="N87" s="1"/>
      <c r="O87" s="796">
        <v>89718</v>
      </c>
      <c r="P87" s="898">
        <v>119127</v>
      </c>
      <c r="Q87" s="216"/>
      <c r="R87" s="133">
        <f t="shared" si="17"/>
        <v>1.327793753761787</v>
      </c>
      <c r="S87" s="1"/>
      <c r="T87" s="796">
        <v>135956</v>
      </c>
      <c r="U87" s="216"/>
      <c r="V87" s="213">
        <v>135956</v>
      </c>
      <c r="W87" s="1"/>
      <c r="X87" s="722"/>
      <c r="Z87" s="796">
        <v>89718</v>
      </c>
      <c r="AA87" s="898">
        <v>119127</v>
      </c>
      <c r="AB87" s="216"/>
      <c r="AC87" s="133">
        <f t="shared" si="18"/>
        <v>1.327793753761787</v>
      </c>
      <c r="AD87" s="1"/>
      <c r="AE87" s="796">
        <v>300263</v>
      </c>
      <c r="AF87" s="216" t="s">
        <v>2730</v>
      </c>
      <c r="AG87" s="213">
        <v>300263</v>
      </c>
      <c r="AI87" s="796">
        <v>300263</v>
      </c>
      <c r="AJ87" s="898">
        <v>300263</v>
      </c>
      <c r="AK87" s="216"/>
      <c r="AL87" s="133">
        <f t="shared" si="19"/>
        <v>1</v>
      </c>
      <c r="AM87" s="1"/>
      <c r="AN87" s="796"/>
      <c r="AO87" s="216"/>
      <c r="AP87" s="796">
        <f t="shared" si="20"/>
        <v>0</v>
      </c>
      <c r="AR87" s="796">
        <f>188270+7774</f>
        <v>196044</v>
      </c>
      <c r="AS87" s="898">
        <f>188270+7774</f>
        <v>196044</v>
      </c>
      <c r="AT87" s="6307"/>
      <c r="AU87" s="8489">
        <f t="shared" si="21"/>
        <v>1</v>
      </c>
      <c r="AV87" s="3818"/>
      <c r="AW87" s="796">
        <f>8298+233337</f>
        <v>241635</v>
      </c>
      <c r="AX87" s="6307"/>
      <c r="AY87" s="898">
        <f t="shared" si="22"/>
        <v>241635</v>
      </c>
      <c r="BA87" s="796">
        <f>8298+233337</f>
        <v>241635</v>
      </c>
      <c r="BB87" s="898">
        <f>255506+9075</f>
        <v>264581</v>
      </c>
      <c r="BC87" s="6307"/>
      <c r="BD87" s="8489">
        <f t="shared" si="23"/>
        <v>1.0949614087363171</v>
      </c>
      <c r="BE87" s="3818"/>
      <c r="BF87" s="796">
        <f>232662+7055</f>
        <v>239717</v>
      </c>
      <c r="BG87" s="6307"/>
      <c r="BH87" s="898">
        <f t="shared" si="24"/>
        <v>262480.86401804374</v>
      </c>
    </row>
    <row r="88" spans="1:60" s="462" customFormat="1" x14ac:dyDescent="0.35">
      <c r="A88" s="9153"/>
      <c r="B88" s="139" t="s">
        <v>552</v>
      </c>
      <c r="C88" s="899"/>
      <c r="D88" s="456"/>
      <c r="E88" s="456"/>
      <c r="F88" s="870"/>
      <c r="G88" s="457"/>
      <c r="H88" s="773"/>
      <c r="I88" s="774"/>
      <c r="J88" s="776"/>
      <c r="K88" s="457"/>
      <c r="L88" s="773"/>
      <c r="M88" s="910"/>
      <c r="N88" s="1"/>
      <c r="O88" s="919"/>
      <c r="P88" s="920"/>
      <c r="Q88" s="106" t="s">
        <v>2731</v>
      </c>
      <c r="R88" s="64"/>
      <c r="S88" s="1"/>
      <c r="T88" s="919"/>
      <c r="U88" s="106" t="s">
        <v>2732</v>
      </c>
      <c r="V88" s="64"/>
      <c r="W88" s="1"/>
      <c r="X88" s="723"/>
      <c r="Z88" s="919"/>
      <c r="AA88" s="920"/>
      <c r="AB88" s="106" t="s">
        <v>2731</v>
      </c>
      <c r="AC88" s="64"/>
      <c r="AD88" s="1"/>
      <c r="AE88" s="919"/>
      <c r="AF88" s="106" t="s">
        <v>2732</v>
      </c>
      <c r="AG88" s="64"/>
      <c r="AI88" s="919"/>
      <c r="AJ88" s="920"/>
      <c r="AK88" s="106" t="s">
        <v>2731</v>
      </c>
      <c r="AL88" s="64"/>
      <c r="AM88" s="1"/>
      <c r="AN88" s="919"/>
      <c r="AO88" s="106" t="s">
        <v>2732</v>
      </c>
      <c r="AP88" s="919"/>
      <c r="AR88" s="919"/>
      <c r="AS88" s="920"/>
      <c r="AT88" s="106" t="s">
        <v>2733</v>
      </c>
      <c r="AU88" s="64"/>
      <c r="AV88" s="1"/>
      <c r="AW88" s="919"/>
      <c r="AX88" s="106" t="s">
        <v>2733</v>
      </c>
      <c r="AY88" s="920"/>
      <c r="BA88" s="919"/>
      <c r="BB88" s="920"/>
      <c r="BC88" s="106" t="s">
        <v>2733</v>
      </c>
      <c r="BD88" s="64"/>
      <c r="BE88" s="1"/>
      <c r="BF88" s="919"/>
      <c r="BG88" s="106" t="s">
        <v>2733</v>
      </c>
      <c r="BH88" s="920"/>
    </row>
    <row r="89" spans="1:60" s="462" customFormat="1" x14ac:dyDescent="0.35">
      <c r="A89" s="9153"/>
      <c r="B89" s="65"/>
      <c r="C89" s="4958" t="s">
        <v>2734</v>
      </c>
      <c r="D89" s="456">
        <v>9</v>
      </c>
      <c r="E89" s="456"/>
      <c r="F89" s="779">
        <f>41442+49494+50000+44448+36694+49988+58290+47499+74112+46789+636081+1055052+1406290+1906199+843437+1763616+751338+396859+555630+1154248</f>
        <v>10967506</v>
      </c>
      <c r="G89" s="456"/>
      <c r="H89" s="780">
        <f>58339+65505+75605+74238+68108+64929+57770+64322+77212+67552+900446+1383647+1857009+2590047+1114941+2305493+933154+518943+765209+1481548</f>
        <v>14524017</v>
      </c>
      <c r="I89" s="781">
        <f>58335+65498+75604+74121+68104+64928+57760+64309+77211+67161+896963+1416562+1885633+2664919+1142108+2339389+962921+502141+756454+1480079</f>
        <v>14720200</v>
      </c>
      <c r="J89" s="1003">
        <f>IF(H89=0,0,I89/H89)</f>
        <v>1.0135074890094111</v>
      </c>
      <c r="K89" s="456"/>
      <c r="L89" s="780">
        <f>71850+75140+57860+130200+55195+38275+50744+44425+40100+69600+1018788+1547397+2070948+2945603+1196204+2549130+1068858+521930+730751+1804365</f>
        <v>16087363</v>
      </c>
      <c r="M89" s="902">
        <f>L89*J89</f>
        <v>16304662.878912907</v>
      </c>
      <c r="N89" s="1"/>
      <c r="O89" s="242">
        <v>946938</v>
      </c>
      <c r="P89" s="201">
        <v>925679</v>
      </c>
      <c r="Q89" s="106" t="s">
        <v>2658</v>
      </c>
      <c r="R89" s="64">
        <f t="shared" ref="R89:R109" si="25">IF(O89=0,0,P89/O89)</f>
        <v>0.97754974454504939</v>
      </c>
      <c r="S89" s="1"/>
      <c r="T89" s="242">
        <v>1029117</v>
      </c>
      <c r="U89" s="106" t="s">
        <v>2659</v>
      </c>
      <c r="V89" s="157">
        <v>1009299</v>
      </c>
      <c r="W89" s="1"/>
      <c r="X89" s="723" t="s">
        <v>2735</v>
      </c>
      <c r="Z89" s="242">
        <v>946938</v>
      </c>
      <c r="AA89" s="201">
        <v>925679</v>
      </c>
      <c r="AB89" s="106" t="s">
        <v>2658</v>
      </c>
      <c r="AC89" s="64">
        <f t="shared" ref="AC89:AC109" si="26">IF(Z89=0,0,AA89/Z89)</f>
        <v>0.97754974454504939</v>
      </c>
      <c r="AD89" s="1"/>
      <c r="AE89" s="242">
        <v>1290854</v>
      </c>
      <c r="AF89" s="106" t="s">
        <v>2736</v>
      </c>
      <c r="AG89" s="157">
        <v>1246881</v>
      </c>
      <c r="AI89" s="242">
        <v>1290854</v>
      </c>
      <c r="AJ89" s="201">
        <v>1246881</v>
      </c>
      <c r="AK89" s="106" t="s">
        <v>2658</v>
      </c>
      <c r="AL89" s="64">
        <f t="shared" ref="AL89:AL109" si="27">IF(AI89=0,0,AJ89/AI89)</f>
        <v>0.96593495468891133</v>
      </c>
      <c r="AM89" s="1"/>
      <c r="AN89" s="242">
        <v>1172707</v>
      </c>
      <c r="AO89" s="106" t="s">
        <v>2737</v>
      </c>
      <c r="AP89" s="242">
        <f t="shared" si="20"/>
        <v>1132758.6829083692</v>
      </c>
      <c r="AR89" s="242">
        <v>1172707</v>
      </c>
      <c r="AS89" s="201">
        <v>1057021</v>
      </c>
      <c r="AT89" s="2669" t="s">
        <v>2662</v>
      </c>
      <c r="AU89" s="64">
        <f t="shared" ref="AU89:AU109" si="28">IF(AR89=0,0,AS89/AR89)</f>
        <v>0.90135131793363554</v>
      </c>
      <c r="AV89" s="1"/>
      <c r="AW89" s="242">
        <v>1314826</v>
      </c>
      <c r="AX89" s="2669" t="s">
        <v>2662</v>
      </c>
      <c r="AY89" s="201">
        <f t="shared" ref="AY89:AY108" si="29">AW89*AU89</f>
        <v>1185120.1479534104</v>
      </c>
      <c r="BA89" s="242">
        <v>1314826</v>
      </c>
      <c r="BB89" s="201">
        <v>1299658</v>
      </c>
      <c r="BC89" s="2669" t="s">
        <v>2662</v>
      </c>
      <c r="BD89" s="64">
        <f t="shared" ref="BD89:BD109" si="30">IF(BA89=0,0,BB89/BA89)</f>
        <v>0.98846387278620895</v>
      </c>
      <c r="BE89" s="1"/>
      <c r="BF89" s="242">
        <v>1547381</v>
      </c>
      <c r="BG89" s="2669" t="s">
        <v>2663</v>
      </c>
      <c r="BH89" s="201">
        <f t="shared" ref="BH89:BH108" si="31">BF89*BD89</f>
        <v>1529530.2159357967</v>
      </c>
    </row>
    <row r="90" spans="1:60" s="462" customFormat="1" x14ac:dyDescent="0.35">
      <c r="A90" s="9153"/>
      <c r="B90" s="80"/>
      <c r="C90" s="4958" t="s">
        <v>2738</v>
      </c>
      <c r="D90" s="456"/>
      <c r="E90" s="456"/>
      <c r="F90" s="788"/>
      <c r="G90" s="456"/>
      <c r="H90" s="785"/>
      <c r="I90" s="786"/>
      <c r="J90" s="1003"/>
      <c r="K90" s="456"/>
      <c r="L90" s="785"/>
      <c r="M90" s="905"/>
      <c r="N90" s="1"/>
      <c r="O90" s="242">
        <v>71850</v>
      </c>
      <c r="P90" s="201">
        <v>55179</v>
      </c>
      <c r="Q90" s="106" t="s">
        <v>2658</v>
      </c>
      <c r="R90" s="64">
        <f t="shared" si="25"/>
        <v>0.76797494780793318</v>
      </c>
      <c r="S90" s="1"/>
      <c r="T90" s="242">
        <v>103472</v>
      </c>
      <c r="U90" s="106" t="s">
        <v>2659</v>
      </c>
      <c r="V90" s="157">
        <v>103472</v>
      </c>
      <c r="W90" s="1"/>
      <c r="X90" s="723"/>
      <c r="Z90" s="242">
        <v>71850</v>
      </c>
      <c r="AA90" s="201">
        <v>55179</v>
      </c>
      <c r="AB90" s="106" t="s">
        <v>2658</v>
      </c>
      <c r="AC90" s="64">
        <f t="shared" si="26"/>
        <v>0.76797494780793318</v>
      </c>
      <c r="AD90" s="1"/>
      <c r="AE90" s="242">
        <v>130406</v>
      </c>
      <c r="AF90" s="106" t="s">
        <v>2736</v>
      </c>
      <c r="AG90" s="157">
        <v>120306</v>
      </c>
      <c r="AI90" s="242">
        <v>130406</v>
      </c>
      <c r="AJ90" s="201">
        <v>120306</v>
      </c>
      <c r="AK90" s="106" t="s">
        <v>2658</v>
      </c>
      <c r="AL90" s="64">
        <f t="shared" si="27"/>
        <v>0.92254957593975739</v>
      </c>
      <c r="AM90" s="1"/>
      <c r="AN90" s="242">
        <v>0</v>
      </c>
      <c r="AO90" s="106"/>
      <c r="AP90" s="242">
        <f t="shared" si="20"/>
        <v>0</v>
      </c>
      <c r="AR90" s="242">
        <v>118200</v>
      </c>
      <c r="AS90" s="201">
        <v>108200</v>
      </c>
      <c r="AT90" s="2669" t="s">
        <v>2662</v>
      </c>
      <c r="AU90" s="64">
        <f t="shared" si="28"/>
        <v>0.91539763113367179</v>
      </c>
      <c r="AV90" s="1"/>
      <c r="AW90" s="242">
        <v>193270</v>
      </c>
      <c r="AX90" s="2669" t="s">
        <v>2662</v>
      </c>
      <c r="AY90" s="201">
        <f t="shared" si="29"/>
        <v>176918.90016920475</v>
      </c>
      <c r="BA90" s="242">
        <v>193270</v>
      </c>
      <c r="BB90" s="201">
        <v>193181</v>
      </c>
      <c r="BC90" s="2669" t="s">
        <v>2662</v>
      </c>
      <c r="BD90" s="64">
        <f t="shared" si="30"/>
        <v>0.99953950432038086</v>
      </c>
      <c r="BE90" s="1"/>
      <c r="BF90" s="242">
        <v>93748</v>
      </c>
      <c r="BG90" s="2669"/>
      <c r="BH90" s="201">
        <f t="shared" si="31"/>
        <v>93704.829451027064</v>
      </c>
    </row>
    <row r="91" spans="1:60" s="462" customFormat="1" x14ac:dyDescent="0.35">
      <c r="A91" s="9153"/>
      <c r="B91" s="65"/>
      <c r="C91" s="4958" t="s">
        <v>2739</v>
      </c>
      <c r="D91" s="456"/>
      <c r="E91" s="456"/>
      <c r="F91" s="779"/>
      <c r="G91" s="456"/>
      <c r="H91" s="780"/>
      <c r="I91" s="781"/>
      <c r="J91" s="1003"/>
      <c r="K91" s="456"/>
      <c r="L91" s="780"/>
      <c r="M91" s="902"/>
      <c r="N91" s="1"/>
      <c r="O91" s="242">
        <v>1469257</v>
      </c>
      <c r="P91" s="201">
        <v>1463689</v>
      </c>
      <c r="Q91" s="106" t="s">
        <v>2665</v>
      </c>
      <c r="R91" s="64">
        <f t="shared" si="25"/>
        <v>0.99621032943862098</v>
      </c>
      <c r="S91" s="1"/>
      <c r="T91" s="242">
        <v>1612231</v>
      </c>
      <c r="U91" s="106" t="s">
        <v>2666</v>
      </c>
      <c r="V91" s="157">
        <v>1596408</v>
      </c>
      <c r="W91" s="1"/>
      <c r="X91" s="723"/>
      <c r="Z91" s="242">
        <v>1469257</v>
      </c>
      <c r="AA91" s="201">
        <v>1463689</v>
      </c>
      <c r="AB91" s="106" t="s">
        <v>2665</v>
      </c>
      <c r="AC91" s="64">
        <f t="shared" si="26"/>
        <v>0.99621032943862098</v>
      </c>
      <c r="AD91" s="1"/>
      <c r="AE91" s="242">
        <v>1894880</v>
      </c>
      <c r="AF91" s="106" t="s">
        <v>2740</v>
      </c>
      <c r="AG91" s="157">
        <v>1735936</v>
      </c>
      <c r="AI91" s="242">
        <v>1894880</v>
      </c>
      <c r="AJ91" s="201">
        <v>1735936</v>
      </c>
      <c r="AK91" s="106" t="s">
        <v>2665</v>
      </c>
      <c r="AL91" s="64">
        <f t="shared" si="27"/>
        <v>0.91611922654732758</v>
      </c>
      <c r="AM91" s="1"/>
      <c r="AN91" s="242">
        <v>1961523</v>
      </c>
      <c r="AO91" s="106" t="s">
        <v>2736</v>
      </c>
      <c r="AP91" s="242">
        <f t="shared" si="20"/>
        <v>1796988.9336147937</v>
      </c>
      <c r="AR91" s="242">
        <v>1961523</v>
      </c>
      <c r="AS91" s="201">
        <v>1959001</v>
      </c>
      <c r="AT91" s="2669" t="s">
        <v>2668</v>
      </c>
      <c r="AU91" s="64">
        <f t="shared" si="28"/>
        <v>0.99871426437518196</v>
      </c>
      <c r="AV91" s="1"/>
      <c r="AW91" s="242">
        <v>2314501</v>
      </c>
      <c r="AX91" s="2669" t="s">
        <v>2668</v>
      </c>
      <c r="AY91" s="201">
        <f t="shared" si="29"/>
        <v>2311525.1636106232</v>
      </c>
      <c r="BA91" s="242">
        <v>2314501</v>
      </c>
      <c r="BB91" s="201">
        <v>2190086</v>
      </c>
      <c r="BC91" s="2669" t="s">
        <v>2668</v>
      </c>
      <c r="BD91" s="64">
        <f t="shared" si="30"/>
        <v>0.94624543260080685</v>
      </c>
      <c r="BE91" s="1"/>
      <c r="BF91" s="242">
        <v>2404594</v>
      </c>
      <c r="BG91" s="2669" t="s">
        <v>2669</v>
      </c>
      <c r="BH91" s="201">
        <f t="shared" si="31"/>
        <v>2275336.0897593047</v>
      </c>
    </row>
    <row r="92" spans="1:60" s="462" customFormat="1" x14ac:dyDescent="0.35">
      <c r="A92" s="9153"/>
      <c r="B92" s="80"/>
      <c r="C92" s="4958" t="s">
        <v>2738</v>
      </c>
      <c r="D92" s="456"/>
      <c r="E92" s="456"/>
      <c r="F92" s="788"/>
      <c r="G92" s="456"/>
      <c r="H92" s="785"/>
      <c r="I92" s="786"/>
      <c r="J92" s="1003"/>
      <c r="K92" s="456"/>
      <c r="L92" s="785"/>
      <c r="M92" s="905"/>
      <c r="N92" s="1"/>
      <c r="O92" s="242">
        <v>75140</v>
      </c>
      <c r="P92" s="201">
        <v>61721</v>
      </c>
      <c r="Q92" s="106" t="s">
        <v>2665</v>
      </c>
      <c r="R92" s="64">
        <f t="shared" si="25"/>
        <v>0.82141336172478041</v>
      </c>
      <c r="S92" s="1"/>
      <c r="T92" s="242">
        <v>231242</v>
      </c>
      <c r="U92" s="106" t="s">
        <v>2666</v>
      </c>
      <c r="V92" s="157">
        <v>231242</v>
      </c>
      <c r="W92" s="1"/>
      <c r="X92" s="723"/>
      <c r="Z92" s="242">
        <v>75140</v>
      </c>
      <c r="AA92" s="201">
        <v>61721</v>
      </c>
      <c r="AB92" s="106" t="s">
        <v>2665</v>
      </c>
      <c r="AC92" s="64">
        <f t="shared" si="26"/>
        <v>0.82141336172478041</v>
      </c>
      <c r="AD92" s="1"/>
      <c r="AE92" s="242">
        <v>161170</v>
      </c>
      <c r="AF92" s="106" t="s">
        <v>2740</v>
      </c>
      <c r="AG92" s="157">
        <v>109435</v>
      </c>
      <c r="AI92" s="242">
        <v>161170</v>
      </c>
      <c r="AJ92" s="201">
        <v>109435</v>
      </c>
      <c r="AK92" s="106" t="s">
        <v>2665</v>
      </c>
      <c r="AL92" s="64">
        <f t="shared" si="27"/>
        <v>0.67900353663833224</v>
      </c>
      <c r="AM92" s="1"/>
      <c r="AN92" s="242">
        <v>193800</v>
      </c>
      <c r="AO92" s="106" t="s">
        <v>2741</v>
      </c>
      <c r="AP92" s="242">
        <f t="shared" si="20"/>
        <v>131590.88540050879</v>
      </c>
      <c r="AR92" s="242">
        <v>193800</v>
      </c>
      <c r="AS92" s="201">
        <v>143800</v>
      </c>
      <c r="AT92" s="2669" t="s">
        <v>2668</v>
      </c>
      <c r="AU92" s="64">
        <f t="shared" si="28"/>
        <v>0.74200206398348811</v>
      </c>
      <c r="AV92" s="1"/>
      <c r="AW92" s="242">
        <v>211400</v>
      </c>
      <c r="AX92" s="2669" t="s">
        <v>2668</v>
      </c>
      <c r="AY92" s="201">
        <f t="shared" si="29"/>
        <v>156859.23632610939</v>
      </c>
      <c r="BA92" s="242">
        <v>211400</v>
      </c>
      <c r="BB92" s="201">
        <v>211351</v>
      </c>
      <c r="BC92" s="2669" t="s">
        <v>2668</v>
      </c>
      <c r="BD92" s="64">
        <f t="shared" si="30"/>
        <v>0.99976821192052978</v>
      </c>
      <c r="BE92" s="1"/>
      <c r="BF92" s="201">
        <v>119129</v>
      </c>
      <c r="BG92" s="2669"/>
      <c r="BH92" s="201">
        <f t="shared" si="31"/>
        <v>119101.3873178808</v>
      </c>
    </row>
    <row r="93" spans="1:60" s="462" customFormat="1" x14ac:dyDescent="0.35">
      <c r="A93" s="9153"/>
      <c r="B93" s="65"/>
      <c r="C93" s="4958" t="s">
        <v>2742</v>
      </c>
      <c r="D93" s="456"/>
      <c r="E93" s="456"/>
      <c r="F93" s="779"/>
      <c r="G93" s="456"/>
      <c r="H93" s="780"/>
      <c r="I93" s="781"/>
      <c r="J93" s="1003"/>
      <c r="K93" s="456"/>
      <c r="L93" s="780"/>
      <c r="M93" s="902"/>
      <c r="N93" s="1"/>
      <c r="O93" s="242">
        <v>2013088</v>
      </c>
      <c r="P93" s="201">
        <v>2012762</v>
      </c>
      <c r="Q93" s="106" t="s">
        <v>2671</v>
      </c>
      <c r="R93" s="64">
        <f t="shared" si="25"/>
        <v>0.99983805973708051</v>
      </c>
      <c r="S93" s="1"/>
      <c r="T93" s="242">
        <v>2194167</v>
      </c>
      <c r="U93" s="106" t="s">
        <v>2672</v>
      </c>
      <c r="V93" s="157">
        <v>2177257</v>
      </c>
      <c r="W93" s="1"/>
      <c r="X93" s="723"/>
      <c r="Z93" s="242">
        <v>2013088</v>
      </c>
      <c r="AA93" s="201">
        <v>2012762</v>
      </c>
      <c r="AB93" s="106" t="s">
        <v>2671</v>
      </c>
      <c r="AC93" s="64">
        <f t="shared" si="26"/>
        <v>0.99983805973708051</v>
      </c>
      <c r="AD93" s="1"/>
      <c r="AE93" s="242">
        <v>2866027</v>
      </c>
      <c r="AF93" s="106" t="s">
        <v>2743</v>
      </c>
      <c r="AG93" s="157">
        <v>2866027</v>
      </c>
      <c r="AI93" s="242">
        <v>2866027</v>
      </c>
      <c r="AJ93" s="201">
        <v>2866027</v>
      </c>
      <c r="AK93" s="106" t="s">
        <v>2671</v>
      </c>
      <c r="AL93" s="64">
        <f t="shared" si="27"/>
        <v>1</v>
      </c>
      <c r="AM93" s="1"/>
      <c r="AN93" s="242">
        <v>2750002</v>
      </c>
      <c r="AO93" s="106" t="s">
        <v>2744</v>
      </c>
      <c r="AP93" s="242">
        <f t="shared" si="20"/>
        <v>2750002</v>
      </c>
      <c r="AR93" s="242">
        <v>2750002</v>
      </c>
      <c r="AS93" s="201">
        <v>2974488</v>
      </c>
      <c r="AT93" s="2669" t="s">
        <v>2675</v>
      </c>
      <c r="AU93" s="64">
        <f t="shared" si="28"/>
        <v>1.0816312133591175</v>
      </c>
      <c r="AV93" s="1"/>
      <c r="AW93" s="242">
        <v>3446309</v>
      </c>
      <c r="AX93" s="2669" t="s">
        <v>2675</v>
      </c>
      <c r="AY93" s="201">
        <f t="shared" si="29"/>
        <v>3727635.3852804471</v>
      </c>
      <c r="BA93" s="242">
        <v>3446309</v>
      </c>
      <c r="BB93" s="201">
        <v>3443776</v>
      </c>
      <c r="BC93" s="2669" t="s">
        <v>2675</v>
      </c>
      <c r="BD93" s="64">
        <f t="shared" si="30"/>
        <v>0.99926501076949281</v>
      </c>
      <c r="BE93" s="1"/>
      <c r="BF93" s="242">
        <v>4071822</v>
      </c>
      <c r="BG93" s="2669" t="s">
        <v>2676</v>
      </c>
      <c r="BH93" s="201">
        <f t="shared" si="31"/>
        <v>4068829.2546814578</v>
      </c>
    </row>
    <row r="94" spans="1:60" s="462" customFormat="1" x14ac:dyDescent="0.35">
      <c r="A94" s="9153"/>
      <c r="B94" s="80"/>
      <c r="C94" s="4958" t="s">
        <v>2738</v>
      </c>
      <c r="D94" s="456"/>
      <c r="E94" s="456"/>
      <c r="F94" s="788"/>
      <c r="G94" s="456"/>
      <c r="H94" s="785"/>
      <c r="I94" s="786"/>
      <c r="J94" s="1003"/>
      <c r="K94" s="456"/>
      <c r="L94" s="785"/>
      <c r="M94" s="905"/>
      <c r="N94" s="1"/>
      <c r="O94" s="242">
        <v>57860</v>
      </c>
      <c r="P94" s="201">
        <v>57853</v>
      </c>
      <c r="Q94" s="106" t="s">
        <v>2671</v>
      </c>
      <c r="R94" s="64">
        <f t="shared" si="25"/>
        <v>0.99987901832008297</v>
      </c>
      <c r="S94" s="1"/>
      <c r="T94" s="242">
        <v>133047</v>
      </c>
      <c r="U94" s="106" t="s">
        <v>2672</v>
      </c>
      <c r="V94" s="157">
        <v>133047</v>
      </c>
      <c r="W94" s="1"/>
      <c r="X94" s="723"/>
      <c r="Z94" s="242">
        <v>57860</v>
      </c>
      <c r="AA94" s="201">
        <v>57853</v>
      </c>
      <c r="AB94" s="106" t="s">
        <v>2671</v>
      </c>
      <c r="AC94" s="64">
        <f t="shared" si="26"/>
        <v>0.99987901832008297</v>
      </c>
      <c r="AD94" s="1"/>
      <c r="AE94" s="242">
        <v>179100</v>
      </c>
      <c r="AF94" s="106" t="s">
        <v>2743</v>
      </c>
      <c r="AG94" s="157">
        <v>179100</v>
      </c>
      <c r="AI94" s="242">
        <v>179100</v>
      </c>
      <c r="AJ94" s="201">
        <v>179100</v>
      </c>
      <c r="AK94" s="106" t="s">
        <v>2671</v>
      </c>
      <c r="AL94" s="64">
        <f t="shared" si="27"/>
        <v>1</v>
      </c>
      <c r="AM94" s="1"/>
      <c r="AN94" s="242">
        <v>149871</v>
      </c>
      <c r="AO94" s="106" t="s">
        <v>2744</v>
      </c>
      <c r="AP94" s="242">
        <f t="shared" si="20"/>
        <v>149871</v>
      </c>
      <c r="AR94" s="242">
        <v>149871</v>
      </c>
      <c r="AS94" s="201">
        <v>149871</v>
      </c>
      <c r="AT94" s="2669" t="s">
        <v>2675</v>
      </c>
      <c r="AU94" s="64">
        <f t="shared" si="28"/>
        <v>1</v>
      </c>
      <c r="AV94" s="1"/>
      <c r="AW94" s="242">
        <v>177710</v>
      </c>
      <c r="AX94" s="2669" t="s">
        <v>2675</v>
      </c>
      <c r="AY94" s="201">
        <f t="shared" si="29"/>
        <v>177710</v>
      </c>
      <c r="BA94" s="242">
        <v>177710</v>
      </c>
      <c r="BB94" s="201">
        <v>176822</v>
      </c>
      <c r="BC94" s="2669" t="s">
        <v>2675</v>
      </c>
      <c r="BD94" s="64">
        <f t="shared" si="30"/>
        <v>0.99500309492994199</v>
      </c>
      <c r="BE94" s="1"/>
      <c r="BF94" s="242">
        <v>96692</v>
      </c>
      <c r="BG94" s="2669"/>
      <c r="BH94" s="201">
        <f t="shared" si="31"/>
        <v>96208.839254965947</v>
      </c>
    </row>
    <row r="95" spans="1:60" s="462" customFormat="1" x14ac:dyDescent="0.35">
      <c r="A95" s="9153"/>
      <c r="B95" s="65"/>
      <c r="C95" s="4958" t="s">
        <v>2745</v>
      </c>
      <c r="D95" s="456"/>
      <c r="E95" s="456"/>
      <c r="F95" s="779"/>
      <c r="G95" s="456"/>
      <c r="H95" s="780"/>
      <c r="I95" s="781"/>
      <c r="J95" s="1003"/>
      <c r="K95" s="456"/>
      <c r="L95" s="780"/>
      <c r="M95" s="902"/>
      <c r="N95" s="1"/>
      <c r="O95" s="242">
        <v>2815403</v>
      </c>
      <c r="P95" s="201">
        <v>2807916</v>
      </c>
      <c r="Q95" s="106" t="s">
        <v>2678</v>
      </c>
      <c r="R95" s="64">
        <f t="shared" si="25"/>
        <v>0.99734070042548084</v>
      </c>
      <c r="S95" s="1"/>
      <c r="T95" s="242">
        <v>3355915</v>
      </c>
      <c r="U95" s="106" t="s">
        <v>2679</v>
      </c>
      <c r="V95" s="157">
        <v>3180593</v>
      </c>
      <c r="W95" s="1"/>
      <c r="X95" s="723"/>
      <c r="Z95" s="242">
        <v>2815403</v>
      </c>
      <c r="AA95" s="201">
        <v>2807916</v>
      </c>
      <c r="AB95" s="106" t="s">
        <v>2678</v>
      </c>
      <c r="AC95" s="64">
        <f t="shared" si="26"/>
        <v>0.99734070042548084</v>
      </c>
      <c r="AD95" s="1"/>
      <c r="AE95" s="242">
        <v>3811033</v>
      </c>
      <c r="AF95" s="106" t="s">
        <v>2746</v>
      </c>
      <c r="AG95" s="157">
        <v>3618736</v>
      </c>
      <c r="AI95" s="242">
        <v>3811033</v>
      </c>
      <c r="AJ95" s="201">
        <v>3618736</v>
      </c>
      <c r="AK95" s="106" t="s">
        <v>2678</v>
      </c>
      <c r="AL95" s="64">
        <f t="shared" si="27"/>
        <v>0.94954202705670609</v>
      </c>
      <c r="AM95" s="1"/>
      <c r="AN95" s="242">
        <v>3821824</v>
      </c>
      <c r="AO95" s="106" t="s">
        <v>2747</v>
      </c>
      <c r="AP95" s="242">
        <f t="shared" si="20"/>
        <v>3628982.5080139688</v>
      </c>
      <c r="AR95" s="242">
        <v>3821824</v>
      </c>
      <c r="AS95" s="201">
        <v>4015551</v>
      </c>
      <c r="AT95" s="2669" t="s">
        <v>2682</v>
      </c>
      <c r="AU95" s="64">
        <f t="shared" si="28"/>
        <v>1.0506896706912721</v>
      </c>
      <c r="AV95" s="1"/>
      <c r="AW95" s="242">
        <v>4563343</v>
      </c>
      <c r="AX95" s="2669" t="s">
        <v>2682</v>
      </c>
      <c r="AY95" s="201">
        <f t="shared" si="29"/>
        <v>4794657.3539213212</v>
      </c>
      <c r="BA95" s="242">
        <v>4563343</v>
      </c>
      <c r="BB95" s="201">
        <v>4607880</v>
      </c>
      <c r="BC95" s="2669" t="s">
        <v>2682</v>
      </c>
      <c r="BD95" s="64">
        <f t="shared" si="30"/>
        <v>1.0097597309691602</v>
      </c>
      <c r="BE95" s="1"/>
      <c r="BF95" s="242">
        <v>5811609</v>
      </c>
      <c r="BG95" s="2669" t="s">
        <v>2683</v>
      </c>
      <c r="BH95" s="201">
        <f t="shared" si="31"/>
        <v>5868328.7403379502</v>
      </c>
    </row>
    <row r="96" spans="1:60" s="462" customFormat="1" x14ac:dyDescent="0.35">
      <c r="A96" s="9153"/>
      <c r="B96" s="80"/>
      <c r="C96" s="4958" t="s">
        <v>2738</v>
      </c>
      <c r="D96" s="456"/>
      <c r="E96" s="456"/>
      <c r="F96" s="788"/>
      <c r="G96" s="456"/>
      <c r="H96" s="785"/>
      <c r="I96" s="786"/>
      <c r="J96" s="1003"/>
      <c r="K96" s="456"/>
      <c r="L96" s="785"/>
      <c r="M96" s="905"/>
      <c r="N96" s="1"/>
      <c r="O96" s="242">
        <v>130200</v>
      </c>
      <c r="P96" s="201">
        <v>47320</v>
      </c>
      <c r="Q96" s="106" t="s">
        <v>2678</v>
      </c>
      <c r="R96" s="64">
        <f t="shared" si="25"/>
        <v>0.36344086021505378</v>
      </c>
      <c r="S96" s="1"/>
      <c r="T96" s="242">
        <v>285524</v>
      </c>
      <c r="U96" s="106" t="s">
        <v>2679</v>
      </c>
      <c r="V96" s="157">
        <v>250177</v>
      </c>
      <c r="W96" s="1"/>
      <c r="X96" s="723"/>
      <c r="Z96" s="242">
        <v>130200</v>
      </c>
      <c r="AA96" s="201">
        <v>47320</v>
      </c>
      <c r="AB96" s="106" t="s">
        <v>2678</v>
      </c>
      <c r="AC96" s="64">
        <f t="shared" si="26"/>
        <v>0.36344086021505378</v>
      </c>
      <c r="AD96" s="1"/>
      <c r="AE96" s="242">
        <v>263243</v>
      </c>
      <c r="AF96" s="106" t="s">
        <v>2746</v>
      </c>
      <c r="AG96" s="157">
        <v>233243</v>
      </c>
      <c r="AI96" s="242">
        <v>263243</v>
      </c>
      <c r="AJ96" s="201">
        <v>233243</v>
      </c>
      <c r="AK96" s="106" t="s">
        <v>2678</v>
      </c>
      <c r="AL96" s="64">
        <f t="shared" si="27"/>
        <v>0.88603685568087276</v>
      </c>
      <c r="AM96" s="1"/>
      <c r="AN96" s="242">
        <v>259408</v>
      </c>
      <c r="AO96" s="106" t="s">
        <v>2747</v>
      </c>
      <c r="AP96" s="242">
        <f t="shared" si="20"/>
        <v>229845.04865846384</v>
      </c>
      <c r="AR96" s="242">
        <v>259408</v>
      </c>
      <c r="AS96" s="201">
        <v>234408</v>
      </c>
      <c r="AT96" s="2669" t="s">
        <v>2682</v>
      </c>
      <c r="AU96" s="64">
        <f t="shared" si="28"/>
        <v>0.9036267192993277</v>
      </c>
      <c r="AV96" s="1"/>
      <c r="AW96" s="242">
        <v>287045</v>
      </c>
      <c r="AX96" s="2669" t="s">
        <v>2682</v>
      </c>
      <c r="AY96" s="201">
        <f t="shared" si="29"/>
        <v>259381.53164127551</v>
      </c>
      <c r="BA96" s="242">
        <v>287045</v>
      </c>
      <c r="BB96" s="201">
        <v>286578</v>
      </c>
      <c r="BC96" s="2669" t="s">
        <v>2682</v>
      </c>
      <c r="BD96" s="64">
        <f t="shared" si="30"/>
        <v>0.9983730773920465</v>
      </c>
      <c r="BE96" s="1"/>
      <c r="BF96" s="242">
        <v>183791</v>
      </c>
      <c r="BG96" s="2669"/>
      <c r="BH96" s="201">
        <f t="shared" si="31"/>
        <v>183491.98626696161</v>
      </c>
    </row>
    <row r="97" spans="1:60" s="462" customFormat="1" x14ac:dyDescent="0.35">
      <c r="A97" s="9153"/>
      <c r="B97" s="65"/>
      <c r="C97" s="4958" t="s">
        <v>2748</v>
      </c>
      <c r="D97" s="456"/>
      <c r="E97" s="456"/>
      <c r="F97" s="779"/>
      <c r="G97" s="456"/>
      <c r="H97" s="780"/>
      <c r="I97" s="781"/>
      <c r="J97" s="1003"/>
      <c r="K97" s="456"/>
      <c r="L97" s="780"/>
      <c r="M97" s="902"/>
      <c r="N97" s="1"/>
      <c r="O97" s="242">
        <v>1141009</v>
      </c>
      <c r="P97" s="201">
        <v>1138651</v>
      </c>
      <c r="Q97" s="106" t="s">
        <v>2685</v>
      </c>
      <c r="R97" s="64">
        <f t="shared" si="25"/>
        <v>0.99793340806251307</v>
      </c>
      <c r="S97" s="1"/>
      <c r="T97" s="242">
        <v>1304058</v>
      </c>
      <c r="U97" s="106" t="s">
        <v>2686</v>
      </c>
      <c r="V97" s="157">
        <v>1289568</v>
      </c>
      <c r="W97" s="1"/>
      <c r="X97" s="723"/>
      <c r="Z97" s="242">
        <v>1141009</v>
      </c>
      <c r="AA97" s="201">
        <v>1138651</v>
      </c>
      <c r="AB97" s="106" t="s">
        <v>2685</v>
      </c>
      <c r="AC97" s="64">
        <f t="shared" si="26"/>
        <v>0.99793340806251307</v>
      </c>
      <c r="AD97" s="1"/>
      <c r="AE97" s="242">
        <v>1576415</v>
      </c>
      <c r="AF97" s="106" t="s">
        <v>2749</v>
      </c>
      <c r="AG97" s="157">
        <v>1532936</v>
      </c>
      <c r="AI97" s="242">
        <v>1576415</v>
      </c>
      <c r="AJ97" s="201">
        <v>1532936</v>
      </c>
      <c r="AK97" s="106" t="s">
        <v>2685</v>
      </c>
      <c r="AL97" s="64">
        <f t="shared" si="27"/>
        <v>0.97241906477672435</v>
      </c>
      <c r="AM97" s="1"/>
      <c r="AN97" s="242">
        <v>1600326</v>
      </c>
      <c r="AO97" s="106" t="s">
        <v>2750</v>
      </c>
      <c r="AP97" s="242">
        <f t="shared" si="20"/>
        <v>1556187.5122578761</v>
      </c>
      <c r="AR97" s="242">
        <v>1600326</v>
      </c>
      <c r="AS97" s="201">
        <v>1577731</v>
      </c>
      <c r="AT97" s="2669" t="s">
        <v>2689</v>
      </c>
      <c r="AU97" s="64">
        <f t="shared" si="28"/>
        <v>0.98588100174589433</v>
      </c>
      <c r="AV97" s="1"/>
      <c r="AW97" s="242">
        <v>1840746</v>
      </c>
      <c r="AX97" s="2669" t="s">
        <v>2689</v>
      </c>
      <c r="AY97" s="201">
        <f t="shared" si="29"/>
        <v>1814756.5104397479</v>
      </c>
      <c r="BA97" s="242">
        <v>1840746</v>
      </c>
      <c r="BB97" s="201">
        <v>1814698</v>
      </c>
      <c r="BC97" s="2669" t="s">
        <v>2689</v>
      </c>
      <c r="BD97" s="64">
        <f t="shared" si="30"/>
        <v>0.9858492154811147</v>
      </c>
      <c r="BE97" s="1"/>
      <c r="BF97" s="242">
        <v>2090295</v>
      </c>
      <c r="BG97" s="2669" t="s">
        <v>2690</v>
      </c>
      <c r="BH97" s="201">
        <f t="shared" si="31"/>
        <v>2060715.6858740966</v>
      </c>
    </row>
    <row r="98" spans="1:60" s="462" customFormat="1" x14ac:dyDescent="0.35">
      <c r="A98" s="9153"/>
      <c r="B98" s="80"/>
      <c r="C98" s="4958" t="s">
        <v>2738</v>
      </c>
      <c r="D98" s="456"/>
      <c r="E98" s="456"/>
      <c r="F98" s="788"/>
      <c r="G98" s="456"/>
      <c r="H98" s="785"/>
      <c r="I98" s="786"/>
      <c r="J98" s="1003"/>
      <c r="K98" s="456"/>
      <c r="L98" s="785"/>
      <c r="M98" s="905"/>
      <c r="N98" s="1"/>
      <c r="O98" s="242">
        <v>55195</v>
      </c>
      <c r="P98" s="201">
        <v>55153</v>
      </c>
      <c r="Q98" s="106" t="s">
        <v>2685</v>
      </c>
      <c r="R98" s="64">
        <f t="shared" si="25"/>
        <v>0.99923906150919473</v>
      </c>
      <c r="S98" s="1"/>
      <c r="T98" s="242">
        <v>103945</v>
      </c>
      <c r="U98" s="106" t="s">
        <v>2686</v>
      </c>
      <c r="V98" s="157">
        <v>103945</v>
      </c>
      <c r="W98" s="1"/>
      <c r="X98" s="723"/>
      <c r="Z98" s="242">
        <v>55195</v>
      </c>
      <c r="AA98" s="201">
        <v>55153</v>
      </c>
      <c r="AB98" s="106" t="s">
        <v>2685</v>
      </c>
      <c r="AC98" s="64">
        <f t="shared" si="26"/>
        <v>0.99923906150919473</v>
      </c>
      <c r="AD98" s="1"/>
      <c r="AE98" s="242">
        <v>94925</v>
      </c>
      <c r="AF98" s="106" t="s">
        <v>2749</v>
      </c>
      <c r="AG98" s="157">
        <v>84905</v>
      </c>
      <c r="AI98" s="242">
        <v>94925</v>
      </c>
      <c r="AJ98" s="201">
        <v>84905</v>
      </c>
      <c r="AK98" s="106" t="s">
        <v>2685</v>
      </c>
      <c r="AL98" s="64">
        <f t="shared" si="27"/>
        <v>0.89444298130102717</v>
      </c>
      <c r="AM98" s="1"/>
      <c r="AN98" s="242">
        <v>144950</v>
      </c>
      <c r="AO98" s="106" t="s">
        <v>2750</v>
      </c>
      <c r="AP98" s="242">
        <f t="shared" si="20"/>
        <v>129649.51013958389</v>
      </c>
      <c r="AR98" s="242">
        <v>144950</v>
      </c>
      <c r="AS98" s="201">
        <v>144950</v>
      </c>
      <c r="AT98" s="2669" t="s">
        <v>2689</v>
      </c>
      <c r="AU98" s="64">
        <f t="shared" si="28"/>
        <v>1</v>
      </c>
      <c r="AV98" s="1"/>
      <c r="AW98" s="242">
        <v>145200</v>
      </c>
      <c r="AX98" s="2669" t="s">
        <v>2689</v>
      </c>
      <c r="AY98" s="201">
        <f t="shared" si="29"/>
        <v>145200</v>
      </c>
      <c r="BA98" s="242">
        <v>145200</v>
      </c>
      <c r="BB98" s="201">
        <v>145164</v>
      </c>
      <c r="BC98" s="2669" t="s">
        <v>2689</v>
      </c>
      <c r="BD98" s="64">
        <f t="shared" si="30"/>
        <v>0.99975206611570244</v>
      </c>
      <c r="BE98" s="1"/>
      <c r="BF98" s="242">
        <v>51850</v>
      </c>
      <c r="BG98" s="2669"/>
      <c r="BH98" s="201">
        <f t="shared" si="31"/>
        <v>51837.144628099173</v>
      </c>
    </row>
    <row r="99" spans="1:60" s="462" customFormat="1" x14ac:dyDescent="0.35">
      <c r="A99" s="9153"/>
      <c r="B99" s="65"/>
      <c r="C99" s="4958" t="s">
        <v>2751</v>
      </c>
      <c r="D99" s="456"/>
      <c r="E99" s="456"/>
      <c r="F99" s="779"/>
      <c r="G99" s="456"/>
      <c r="H99" s="780"/>
      <c r="I99" s="781"/>
      <c r="J99" s="1003"/>
      <c r="K99" s="456"/>
      <c r="L99" s="780"/>
      <c r="M99" s="902"/>
      <c r="N99" s="1"/>
      <c r="O99" s="242">
        <v>2510855</v>
      </c>
      <c r="P99" s="201">
        <v>2508616</v>
      </c>
      <c r="Q99" s="106" t="s">
        <v>2692</v>
      </c>
      <c r="R99" s="64">
        <f t="shared" si="25"/>
        <v>0.99910827188348195</v>
      </c>
      <c r="S99" s="1"/>
      <c r="T99" s="242">
        <v>2729733</v>
      </c>
      <c r="U99" s="106" t="s">
        <v>2693</v>
      </c>
      <c r="V99" s="157">
        <v>2725733</v>
      </c>
      <c r="W99" s="1"/>
      <c r="X99" s="723"/>
      <c r="Z99" s="242">
        <v>2510855</v>
      </c>
      <c r="AA99" s="201">
        <v>2508616</v>
      </c>
      <c r="AB99" s="106" t="s">
        <v>2692</v>
      </c>
      <c r="AC99" s="64">
        <f t="shared" si="26"/>
        <v>0.99910827188348195</v>
      </c>
      <c r="AD99" s="1"/>
      <c r="AE99" s="242">
        <v>2882833</v>
      </c>
      <c r="AF99" s="106" t="s">
        <v>2752</v>
      </c>
      <c r="AG99" s="157">
        <v>2870411</v>
      </c>
      <c r="AI99" s="242">
        <v>2882833</v>
      </c>
      <c r="AJ99" s="201">
        <v>2870411</v>
      </c>
      <c r="AK99" s="106" t="s">
        <v>2692</v>
      </c>
      <c r="AL99" s="64">
        <f t="shared" si="27"/>
        <v>0.99569104419159904</v>
      </c>
      <c r="AM99" s="1"/>
      <c r="AN99" s="242">
        <v>3129258</v>
      </c>
      <c r="AO99" s="106" t="s">
        <v>2753</v>
      </c>
      <c r="AP99" s="242">
        <f t="shared" si="20"/>
        <v>3115774.1655649147</v>
      </c>
      <c r="AR99" s="242">
        <v>3129258</v>
      </c>
      <c r="AS99" s="201">
        <v>3199968</v>
      </c>
      <c r="AT99" s="2669" t="s">
        <v>2696</v>
      </c>
      <c r="AU99" s="64">
        <f t="shared" si="28"/>
        <v>1.0225964110341812</v>
      </c>
      <c r="AV99" s="1"/>
      <c r="AW99" s="242">
        <v>3738141</v>
      </c>
      <c r="AX99" s="2669" t="s">
        <v>2696</v>
      </c>
      <c r="AY99" s="201">
        <f t="shared" si="29"/>
        <v>3822609.570539725</v>
      </c>
      <c r="BA99" s="242">
        <v>3738141</v>
      </c>
      <c r="BB99" s="201">
        <v>3725919</v>
      </c>
      <c r="BC99" s="2669" t="s">
        <v>2696</v>
      </c>
      <c r="BD99" s="64">
        <f t="shared" si="30"/>
        <v>0.99673046040799429</v>
      </c>
      <c r="BE99" s="1"/>
      <c r="BF99" s="242">
        <v>4500617</v>
      </c>
      <c r="BG99" s="2669" t="s">
        <v>2697</v>
      </c>
      <c r="BH99" s="201">
        <f t="shared" si="31"/>
        <v>4485902.0545300459</v>
      </c>
    </row>
    <row r="100" spans="1:60" s="462" customFormat="1" x14ac:dyDescent="0.35">
      <c r="A100" s="9153"/>
      <c r="B100" s="80"/>
      <c r="C100" s="4958" t="s">
        <v>2738</v>
      </c>
      <c r="D100" s="456"/>
      <c r="E100" s="456"/>
      <c r="F100" s="788"/>
      <c r="G100" s="456"/>
      <c r="H100" s="785"/>
      <c r="I100" s="786"/>
      <c r="J100" s="1003"/>
      <c r="K100" s="456"/>
      <c r="L100" s="785"/>
      <c r="M100" s="905"/>
      <c r="N100" s="1"/>
      <c r="O100" s="242">
        <v>38275</v>
      </c>
      <c r="P100" s="201">
        <v>38255</v>
      </c>
      <c r="Q100" s="106" t="s">
        <v>2692</v>
      </c>
      <c r="R100" s="64">
        <f t="shared" si="25"/>
        <v>0.99947746570868712</v>
      </c>
      <c r="S100" s="1"/>
      <c r="T100" s="242">
        <v>90325</v>
      </c>
      <c r="U100" s="106" t="s">
        <v>2693</v>
      </c>
      <c r="V100" s="157">
        <v>87714</v>
      </c>
      <c r="W100" s="1"/>
      <c r="X100" s="723"/>
      <c r="Z100" s="242">
        <v>38275</v>
      </c>
      <c r="AA100" s="201">
        <v>38255</v>
      </c>
      <c r="AB100" s="106" t="s">
        <v>2692</v>
      </c>
      <c r="AC100" s="64">
        <f t="shared" si="26"/>
        <v>0.99947746570868712</v>
      </c>
      <c r="AD100" s="1"/>
      <c r="AE100" s="242">
        <v>96800</v>
      </c>
      <c r="AF100" s="106" t="s">
        <v>2752</v>
      </c>
      <c r="AG100" s="157">
        <v>96800</v>
      </c>
      <c r="AI100" s="242">
        <v>96800</v>
      </c>
      <c r="AJ100" s="201">
        <v>96800</v>
      </c>
      <c r="AK100" s="106" t="s">
        <v>2692</v>
      </c>
      <c r="AL100" s="64">
        <f t="shared" si="27"/>
        <v>1</v>
      </c>
      <c r="AM100" s="1"/>
      <c r="AN100" s="242">
        <v>109511</v>
      </c>
      <c r="AO100" s="106" t="s">
        <v>2753</v>
      </c>
      <c r="AP100" s="242">
        <f t="shared" si="20"/>
        <v>109511</v>
      </c>
      <c r="AR100" s="242">
        <v>109511</v>
      </c>
      <c r="AS100" s="201">
        <v>109511</v>
      </c>
      <c r="AT100" s="2669" t="s">
        <v>2696</v>
      </c>
      <c r="AU100" s="64">
        <f t="shared" si="28"/>
        <v>1</v>
      </c>
      <c r="AV100" s="1"/>
      <c r="AW100" s="242">
        <v>116600</v>
      </c>
      <c r="AX100" s="2669" t="s">
        <v>2696</v>
      </c>
      <c r="AY100" s="201">
        <f t="shared" si="29"/>
        <v>116600</v>
      </c>
      <c r="BA100" s="242">
        <v>116600</v>
      </c>
      <c r="BB100" s="201">
        <v>116599</v>
      </c>
      <c r="BC100" s="2669" t="s">
        <v>2696</v>
      </c>
      <c r="BD100" s="64">
        <f t="shared" si="30"/>
        <v>0.99999142367066896</v>
      </c>
      <c r="BE100" s="1"/>
      <c r="BF100" s="242">
        <v>129600</v>
      </c>
      <c r="BG100" s="2669"/>
      <c r="BH100" s="201">
        <f t="shared" si="31"/>
        <v>129598.8885077187</v>
      </c>
    </row>
    <row r="101" spans="1:60" s="462" customFormat="1" x14ac:dyDescent="0.35">
      <c r="A101" s="9153"/>
      <c r="B101" s="65"/>
      <c r="C101" s="4958" t="s">
        <v>2754</v>
      </c>
      <c r="D101" s="456"/>
      <c r="E101" s="456"/>
      <c r="F101" s="779"/>
      <c r="G101" s="456"/>
      <c r="H101" s="780"/>
      <c r="I101" s="781"/>
      <c r="J101" s="1003"/>
      <c r="K101" s="456"/>
      <c r="L101" s="780"/>
      <c r="M101" s="902"/>
      <c r="N101" s="1"/>
      <c r="O101" s="242">
        <v>1018114</v>
      </c>
      <c r="P101" s="201">
        <v>971693</v>
      </c>
      <c r="Q101" s="106" t="s">
        <v>2699</v>
      </c>
      <c r="R101" s="64">
        <f t="shared" si="25"/>
        <v>0.95440490946986289</v>
      </c>
      <c r="S101" s="1"/>
      <c r="T101" s="242">
        <v>1091516</v>
      </c>
      <c r="U101" s="106" t="s">
        <v>2700</v>
      </c>
      <c r="V101" s="157">
        <v>1091516</v>
      </c>
      <c r="W101" s="1"/>
      <c r="X101" s="723"/>
      <c r="Z101" s="242">
        <v>1018114</v>
      </c>
      <c r="AA101" s="201">
        <v>971693</v>
      </c>
      <c r="AB101" s="106" t="s">
        <v>2699</v>
      </c>
      <c r="AC101" s="64">
        <f t="shared" si="26"/>
        <v>0.95440490946986289</v>
      </c>
      <c r="AD101" s="1"/>
      <c r="AE101" s="242">
        <v>1311728</v>
      </c>
      <c r="AF101" s="106" t="s">
        <v>2701</v>
      </c>
      <c r="AG101" s="157">
        <v>1282661</v>
      </c>
      <c r="AI101" s="242">
        <v>1311728</v>
      </c>
      <c r="AJ101" s="201">
        <v>1282661</v>
      </c>
      <c r="AK101" s="106" t="s">
        <v>2699</v>
      </c>
      <c r="AL101" s="64">
        <f t="shared" si="27"/>
        <v>0.97784068038495786</v>
      </c>
      <c r="AM101" s="1"/>
      <c r="AN101" s="242">
        <v>1294982</v>
      </c>
      <c r="AO101" s="106" t="s">
        <v>2702</v>
      </c>
      <c r="AP101" s="242">
        <f t="shared" si="20"/>
        <v>1266286.0799662734</v>
      </c>
      <c r="AR101" s="242">
        <v>1294982</v>
      </c>
      <c r="AS101" s="201">
        <v>1277290</v>
      </c>
      <c r="AT101" s="2669" t="s">
        <v>2703</v>
      </c>
      <c r="AU101" s="64">
        <f t="shared" si="28"/>
        <v>0.98633803404217202</v>
      </c>
      <c r="AV101" s="1"/>
      <c r="AW101" s="242">
        <v>1433917</v>
      </c>
      <c r="AX101" s="2669" t="s">
        <v>2703</v>
      </c>
      <c r="AY101" s="201">
        <f t="shared" si="29"/>
        <v>1414326.8747596492</v>
      </c>
      <c r="BA101" s="242">
        <v>1433917</v>
      </c>
      <c r="BB101" s="201">
        <v>1420334</v>
      </c>
      <c r="BC101" s="2669" t="s">
        <v>2703</v>
      </c>
      <c r="BD101" s="64">
        <f t="shared" si="30"/>
        <v>0.99052734572503154</v>
      </c>
      <c r="BE101" s="1"/>
      <c r="BF101" s="242">
        <v>1404939</v>
      </c>
      <c r="BG101" s="2669" t="s">
        <v>2704</v>
      </c>
      <c r="BH101" s="201">
        <f t="shared" si="31"/>
        <v>1391630.4985755801</v>
      </c>
    </row>
    <row r="102" spans="1:60" s="462" customFormat="1" x14ac:dyDescent="0.35">
      <c r="A102" s="9153"/>
      <c r="B102" s="80"/>
      <c r="C102" s="4958" t="s">
        <v>2738</v>
      </c>
      <c r="D102" s="456"/>
      <c r="E102" s="456"/>
      <c r="F102" s="788"/>
      <c r="G102" s="456"/>
      <c r="H102" s="785"/>
      <c r="I102" s="786"/>
      <c r="J102" s="1003"/>
      <c r="K102" s="456"/>
      <c r="L102" s="785"/>
      <c r="M102" s="905"/>
      <c r="N102" s="1"/>
      <c r="O102" s="242">
        <v>50744</v>
      </c>
      <c r="P102" s="201">
        <v>47134</v>
      </c>
      <c r="Q102" s="106" t="s">
        <v>2699</v>
      </c>
      <c r="R102" s="64">
        <f t="shared" si="25"/>
        <v>0.92885858426612011</v>
      </c>
      <c r="S102" s="1"/>
      <c r="T102" s="242">
        <v>70898</v>
      </c>
      <c r="U102" s="106" t="s">
        <v>2700</v>
      </c>
      <c r="V102" s="157">
        <v>70001</v>
      </c>
      <c r="W102" s="1"/>
      <c r="X102" s="723"/>
      <c r="Z102" s="242">
        <v>50744</v>
      </c>
      <c r="AA102" s="201">
        <v>47134</v>
      </c>
      <c r="AB102" s="106" t="s">
        <v>2699</v>
      </c>
      <c r="AC102" s="64">
        <f t="shared" si="26"/>
        <v>0.92885858426612011</v>
      </c>
      <c r="AD102" s="1"/>
      <c r="AE102" s="242">
        <v>81436</v>
      </c>
      <c r="AF102" s="106" t="s">
        <v>2701</v>
      </c>
      <c r="AG102" s="157">
        <v>72936</v>
      </c>
      <c r="AI102" s="242">
        <v>81436</v>
      </c>
      <c r="AJ102" s="201">
        <v>72936</v>
      </c>
      <c r="AK102" s="106" t="s">
        <v>2699</v>
      </c>
      <c r="AL102" s="64">
        <f t="shared" si="27"/>
        <v>0.89562355714917241</v>
      </c>
      <c r="AM102" s="1"/>
      <c r="AN102" s="242">
        <v>120700</v>
      </c>
      <c r="AO102" s="106" t="s">
        <v>2702</v>
      </c>
      <c r="AP102" s="242">
        <f t="shared" si="20"/>
        <v>108101.76334790511</v>
      </c>
      <c r="AR102" s="242">
        <v>120700</v>
      </c>
      <c r="AS102" s="201">
        <v>109186</v>
      </c>
      <c r="AT102" s="2669" t="s">
        <v>2703</v>
      </c>
      <c r="AU102" s="64">
        <f t="shared" si="28"/>
        <v>0.90460646230323116</v>
      </c>
      <c r="AV102" s="1"/>
      <c r="AW102" s="242">
        <v>207700</v>
      </c>
      <c r="AX102" s="2669" t="s">
        <v>2703</v>
      </c>
      <c r="AY102" s="201">
        <f t="shared" si="29"/>
        <v>187886.76222038112</v>
      </c>
      <c r="BA102" s="242">
        <v>207700</v>
      </c>
      <c r="BB102" s="201">
        <v>207015</v>
      </c>
      <c r="BC102" s="2669" t="s">
        <v>2703</v>
      </c>
      <c r="BD102" s="64">
        <f t="shared" si="30"/>
        <v>0.99670197400096294</v>
      </c>
      <c r="BE102" s="1"/>
      <c r="BF102" s="242">
        <v>120058</v>
      </c>
      <c r="BG102" s="2669"/>
      <c r="BH102" s="201">
        <f t="shared" si="31"/>
        <v>119662.04559460761</v>
      </c>
    </row>
    <row r="103" spans="1:60" s="462" customFormat="1" x14ac:dyDescent="0.35">
      <c r="A103" s="9153"/>
      <c r="B103" s="65"/>
      <c r="C103" s="4958" t="s">
        <v>2755</v>
      </c>
      <c r="D103" s="456"/>
      <c r="E103" s="456"/>
      <c r="F103" s="779"/>
      <c r="G103" s="456"/>
      <c r="H103" s="780"/>
      <c r="I103" s="781"/>
      <c r="J103" s="1003"/>
      <c r="K103" s="456"/>
      <c r="L103" s="780"/>
      <c r="M103" s="902"/>
      <c r="N103" s="1"/>
      <c r="O103" s="242">
        <v>477505</v>
      </c>
      <c r="P103" s="201">
        <v>476582</v>
      </c>
      <c r="Q103" s="106" t="s">
        <v>2706</v>
      </c>
      <c r="R103" s="64">
        <f t="shared" si="25"/>
        <v>0.99806703594726753</v>
      </c>
      <c r="S103" s="1"/>
      <c r="T103" s="242">
        <v>670754</v>
      </c>
      <c r="U103" s="106" t="s">
        <v>2707</v>
      </c>
      <c r="V103" s="157">
        <v>671832</v>
      </c>
      <c r="W103" s="1"/>
      <c r="X103" s="723"/>
      <c r="Z103" s="242">
        <v>477505</v>
      </c>
      <c r="AA103" s="201">
        <v>476582</v>
      </c>
      <c r="AB103" s="106" t="s">
        <v>2706</v>
      </c>
      <c r="AC103" s="64">
        <f t="shared" si="26"/>
        <v>0.99806703594726753</v>
      </c>
      <c r="AD103" s="1"/>
      <c r="AE103" s="242">
        <v>846769</v>
      </c>
      <c r="AF103" s="106" t="s">
        <v>2756</v>
      </c>
      <c r="AG103" s="157">
        <v>822909</v>
      </c>
      <c r="AI103" s="242">
        <v>846769</v>
      </c>
      <c r="AJ103" s="201">
        <v>822909</v>
      </c>
      <c r="AK103" s="106" t="s">
        <v>2706</v>
      </c>
      <c r="AL103" s="64">
        <f t="shared" si="27"/>
        <v>0.97182230336727016</v>
      </c>
      <c r="AM103" s="1"/>
      <c r="AN103" s="242">
        <v>923549</v>
      </c>
      <c r="AO103" s="106" t="s">
        <v>2757</v>
      </c>
      <c r="AP103" s="242">
        <f t="shared" si="20"/>
        <v>897525.51645253901</v>
      </c>
      <c r="AR103" s="242">
        <v>923549</v>
      </c>
      <c r="AS103" s="201">
        <v>903522</v>
      </c>
      <c r="AT103" s="2669" t="s">
        <v>2710</v>
      </c>
      <c r="AU103" s="64">
        <f t="shared" si="28"/>
        <v>0.97831517331511375</v>
      </c>
      <c r="AV103" s="1"/>
      <c r="AW103" s="242">
        <v>995278</v>
      </c>
      <c r="AX103" s="2669" t="s">
        <v>2710</v>
      </c>
      <c r="AY103" s="201">
        <f t="shared" si="29"/>
        <v>973695.56906671973</v>
      </c>
      <c r="BA103" s="242">
        <v>995278</v>
      </c>
      <c r="BB103" s="201">
        <v>984697</v>
      </c>
      <c r="BC103" s="2669" t="s">
        <v>2710</v>
      </c>
      <c r="BD103" s="64">
        <f t="shared" si="30"/>
        <v>0.98936879947110257</v>
      </c>
      <c r="BE103" s="1"/>
      <c r="BF103" s="242">
        <v>1001348</v>
      </c>
      <c r="BG103" s="2669" t="s">
        <v>2711</v>
      </c>
      <c r="BH103" s="201">
        <f t="shared" si="31"/>
        <v>990702.46861278964</v>
      </c>
    </row>
    <row r="104" spans="1:60" s="462" customFormat="1" x14ac:dyDescent="0.35">
      <c r="A104" s="9153"/>
      <c r="B104" s="80"/>
      <c r="C104" s="4958" t="s">
        <v>2738</v>
      </c>
      <c r="D104" s="456"/>
      <c r="E104" s="456"/>
      <c r="F104" s="788"/>
      <c r="G104" s="456"/>
      <c r="H104" s="785"/>
      <c r="I104" s="786"/>
      <c r="J104" s="1003"/>
      <c r="K104" s="456"/>
      <c r="L104" s="785"/>
      <c r="M104" s="905"/>
      <c r="N104" s="1"/>
      <c r="O104" s="242">
        <v>44425</v>
      </c>
      <c r="P104" s="201">
        <v>29268</v>
      </c>
      <c r="Q104" s="106" t="s">
        <v>2706</v>
      </c>
      <c r="R104" s="64">
        <f t="shared" si="25"/>
        <v>0.65881823297692743</v>
      </c>
      <c r="S104" s="1"/>
      <c r="T104" s="242">
        <v>70664</v>
      </c>
      <c r="U104" s="106" t="s">
        <v>2707</v>
      </c>
      <c r="V104" s="157">
        <v>69464</v>
      </c>
      <c r="W104" s="1"/>
      <c r="X104" s="723"/>
      <c r="Z104" s="242">
        <v>44425</v>
      </c>
      <c r="AA104" s="201">
        <v>29268</v>
      </c>
      <c r="AB104" s="106" t="s">
        <v>2706</v>
      </c>
      <c r="AC104" s="64">
        <f t="shared" si="26"/>
        <v>0.65881823297692743</v>
      </c>
      <c r="AD104" s="1"/>
      <c r="AE104" s="242">
        <v>94052</v>
      </c>
      <c r="AF104" s="106" t="s">
        <v>2756</v>
      </c>
      <c r="AG104" s="157">
        <v>83052</v>
      </c>
      <c r="AI104" s="242">
        <v>94052</v>
      </c>
      <c r="AJ104" s="201">
        <v>83052</v>
      </c>
      <c r="AK104" s="106" t="s">
        <v>2706</v>
      </c>
      <c r="AL104" s="64">
        <f t="shared" si="27"/>
        <v>0.88304342278739423</v>
      </c>
      <c r="AM104" s="1"/>
      <c r="AN104" s="242">
        <v>58300</v>
      </c>
      <c r="AO104" s="106" t="s">
        <v>2757</v>
      </c>
      <c r="AP104" s="242">
        <f t="shared" si="20"/>
        <v>51481.431548505083</v>
      </c>
      <c r="AR104" s="242">
        <v>58300</v>
      </c>
      <c r="AS104" s="201">
        <v>72700</v>
      </c>
      <c r="AT104" s="2669" t="s">
        <v>2710</v>
      </c>
      <c r="AU104" s="64">
        <f t="shared" si="28"/>
        <v>1.2469982847341339</v>
      </c>
      <c r="AV104" s="1"/>
      <c r="AW104" s="242">
        <v>130765</v>
      </c>
      <c r="AX104" s="2669" t="s">
        <v>2710</v>
      </c>
      <c r="AY104" s="201">
        <f t="shared" si="29"/>
        <v>163063.730703259</v>
      </c>
      <c r="BA104" s="242">
        <v>130765</v>
      </c>
      <c r="BB104" s="201">
        <v>129894</v>
      </c>
      <c r="BC104" s="2669" t="s">
        <v>2710</v>
      </c>
      <c r="BD104" s="64">
        <f t="shared" si="30"/>
        <v>0.99333919626811451</v>
      </c>
      <c r="BE104" s="1"/>
      <c r="BF104" s="242">
        <v>96885</v>
      </c>
      <c r="BG104" s="2669"/>
      <c r="BH104" s="201">
        <f t="shared" si="31"/>
        <v>96239.668030436267</v>
      </c>
    </row>
    <row r="105" spans="1:60" s="462" customFormat="1" x14ac:dyDescent="0.35">
      <c r="A105" s="9153"/>
      <c r="B105" s="65"/>
      <c r="C105" s="4958" t="s">
        <v>2758</v>
      </c>
      <c r="D105" s="456"/>
      <c r="E105" s="456"/>
      <c r="F105" s="779"/>
      <c r="G105" s="456"/>
      <c r="H105" s="780"/>
      <c r="I105" s="781"/>
      <c r="J105" s="1003"/>
      <c r="K105" s="456"/>
      <c r="L105" s="780"/>
      <c r="M105" s="902"/>
      <c r="N105" s="1"/>
      <c r="O105" s="242">
        <v>690651</v>
      </c>
      <c r="P105" s="201">
        <v>689295</v>
      </c>
      <c r="Q105" s="106" t="s">
        <v>2713</v>
      </c>
      <c r="R105" s="64">
        <f t="shared" si="25"/>
        <v>0.99803663500089046</v>
      </c>
      <c r="S105" s="1"/>
      <c r="T105" s="242">
        <v>861078</v>
      </c>
      <c r="U105" s="106" t="s">
        <v>2714</v>
      </c>
      <c r="V105" s="157">
        <v>847046</v>
      </c>
      <c r="W105" s="1"/>
      <c r="X105" s="723"/>
      <c r="Z105" s="242">
        <v>690651</v>
      </c>
      <c r="AA105" s="201">
        <v>689295</v>
      </c>
      <c r="AB105" s="106" t="s">
        <v>2713</v>
      </c>
      <c r="AC105" s="64">
        <f t="shared" si="26"/>
        <v>0.99803663500089046</v>
      </c>
      <c r="AD105" s="1"/>
      <c r="AE105" s="242">
        <v>1031296</v>
      </c>
      <c r="AF105" s="106" t="s">
        <v>2759</v>
      </c>
      <c r="AG105" s="157">
        <v>1001912</v>
      </c>
      <c r="AI105" s="242">
        <v>1031296</v>
      </c>
      <c r="AJ105" s="201">
        <v>1001912</v>
      </c>
      <c r="AK105" s="106" t="s">
        <v>2713</v>
      </c>
      <c r="AL105" s="64">
        <f t="shared" si="27"/>
        <v>0.97150769517190017</v>
      </c>
      <c r="AM105" s="1"/>
      <c r="AN105" s="242">
        <v>1049437</v>
      </c>
      <c r="AO105" s="106" t="s">
        <v>2760</v>
      </c>
      <c r="AP105" s="242">
        <f t="shared" si="20"/>
        <v>1019536.1210981134</v>
      </c>
      <c r="AR105" s="242">
        <v>1049437</v>
      </c>
      <c r="AS105" s="201">
        <v>1041667</v>
      </c>
      <c r="AT105" s="2669" t="s">
        <v>2717</v>
      </c>
      <c r="AU105" s="64">
        <f t="shared" si="28"/>
        <v>0.99259603006183317</v>
      </c>
      <c r="AV105" s="1"/>
      <c r="AW105" s="242">
        <v>1231400</v>
      </c>
      <c r="AX105" s="2669" t="s">
        <v>2717</v>
      </c>
      <c r="AY105" s="201">
        <f t="shared" si="29"/>
        <v>1222282.7514181414</v>
      </c>
      <c r="BA105" s="242">
        <v>1231400</v>
      </c>
      <c r="BB105" s="201">
        <v>1231296</v>
      </c>
      <c r="BC105" s="2669" t="s">
        <v>2717</v>
      </c>
      <c r="BD105" s="64">
        <f t="shared" si="30"/>
        <v>0.99991554328406695</v>
      </c>
      <c r="BE105" s="1"/>
      <c r="BF105" s="242">
        <v>1473476</v>
      </c>
      <c r="BG105" s="2669" t="s">
        <v>2718</v>
      </c>
      <c r="BH105" s="201">
        <f t="shared" si="31"/>
        <v>1473351.5550560339</v>
      </c>
    </row>
    <row r="106" spans="1:60" s="462" customFormat="1" x14ac:dyDescent="0.35">
      <c r="A106" s="9153"/>
      <c r="B106" s="80"/>
      <c r="C106" s="4958" t="s">
        <v>2738</v>
      </c>
      <c r="D106" s="456"/>
      <c r="E106" s="456"/>
      <c r="F106" s="788"/>
      <c r="G106" s="456"/>
      <c r="H106" s="785"/>
      <c r="I106" s="786"/>
      <c r="J106" s="1003"/>
      <c r="K106" s="456"/>
      <c r="L106" s="785"/>
      <c r="M106" s="905"/>
      <c r="N106" s="1"/>
      <c r="O106" s="242">
        <v>40100</v>
      </c>
      <c r="P106" s="201">
        <v>39884</v>
      </c>
      <c r="Q106" s="106" t="s">
        <v>2713</v>
      </c>
      <c r="R106" s="64">
        <f t="shared" si="25"/>
        <v>0.99461346633416459</v>
      </c>
      <c r="S106" s="1"/>
      <c r="T106" s="242">
        <v>110105</v>
      </c>
      <c r="U106" s="106" t="s">
        <v>2714</v>
      </c>
      <c r="V106" s="157">
        <v>99711</v>
      </c>
      <c r="W106" s="1"/>
      <c r="X106" s="723"/>
      <c r="Z106" s="242">
        <v>40100</v>
      </c>
      <c r="AA106" s="201">
        <v>39884</v>
      </c>
      <c r="AB106" s="106" t="s">
        <v>2713</v>
      </c>
      <c r="AC106" s="64">
        <f t="shared" si="26"/>
        <v>0.99461346633416459</v>
      </c>
      <c r="AD106" s="1"/>
      <c r="AE106" s="242">
        <v>105870</v>
      </c>
      <c r="AF106" s="106" t="s">
        <v>2759</v>
      </c>
      <c r="AG106" s="157">
        <v>95855</v>
      </c>
      <c r="AI106" s="242">
        <v>105870</v>
      </c>
      <c r="AJ106" s="201">
        <v>95855</v>
      </c>
      <c r="AK106" s="106" t="s">
        <v>2713</v>
      </c>
      <c r="AL106" s="64">
        <f t="shared" si="27"/>
        <v>0.90540285255502029</v>
      </c>
      <c r="AM106" s="1"/>
      <c r="AN106" s="242">
        <v>111549</v>
      </c>
      <c r="AO106" s="106" t="s">
        <v>2760</v>
      </c>
      <c r="AP106" s="242">
        <f t="shared" si="20"/>
        <v>100996.78279965995</v>
      </c>
      <c r="AR106" s="242">
        <v>111549</v>
      </c>
      <c r="AS106" s="201">
        <v>109339</v>
      </c>
      <c r="AT106" s="2669" t="s">
        <v>2717</v>
      </c>
      <c r="AU106" s="64">
        <f t="shared" si="28"/>
        <v>0.98018807878152203</v>
      </c>
      <c r="AV106" s="1"/>
      <c r="AW106" s="242">
        <v>151400</v>
      </c>
      <c r="AX106" s="2669" t="s">
        <v>2717</v>
      </c>
      <c r="AY106" s="201">
        <f t="shared" si="29"/>
        <v>148400.47512752243</v>
      </c>
      <c r="BA106" s="242">
        <v>151400</v>
      </c>
      <c r="BB106" s="201">
        <v>150740</v>
      </c>
      <c r="BC106" s="2669" t="s">
        <v>2717</v>
      </c>
      <c r="BD106" s="64">
        <f t="shared" si="30"/>
        <v>0.99564068692206076</v>
      </c>
      <c r="BE106" s="1"/>
      <c r="BF106" s="242">
        <v>95050</v>
      </c>
      <c r="BG106" s="2669"/>
      <c r="BH106" s="201">
        <f t="shared" si="31"/>
        <v>94635.647291941874</v>
      </c>
    </row>
    <row r="107" spans="1:60" s="462" customFormat="1" x14ac:dyDescent="0.35">
      <c r="A107" s="9153"/>
      <c r="B107" s="65"/>
      <c r="C107" s="4958" t="s">
        <v>2761</v>
      </c>
      <c r="D107" s="456"/>
      <c r="E107" s="456"/>
      <c r="F107" s="779"/>
      <c r="G107" s="456"/>
      <c r="H107" s="780"/>
      <c r="I107" s="781"/>
      <c r="J107" s="1003"/>
      <c r="K107" s="456"/>
      <c r="L107" s="780"/>
      <c r="M107" s="902"/>
      <c r="N107" s="1"/>
      <c r="O107" s="242">
        <v>1734765</v>
      </c>
      <c r="P107" s="201">
        <v>1605392</v>
      </c>
      <c r="Q107" s="106" t="s">
        <v>2720</v>
      </c>
      <c r="R107" s="64">
        <f t="shared" si="25"/>
        <v>0.92542332823177775</v>
      </c>
      <c r="S107" s="1"/>
      <c r="T107" s="242">
        <v>1717083</v>
      </c>
      <c r="U107" s="106" t="s">
        <v>2721</v>
      </c>
      <c r="V107" s="157">
        <v>1718083</v>
      </c>
      <c r="W107" s="1"/>
      <c r="X107" s="723"/>
      <c r="Z107" s="242">
        <v>1734765</v>
      </c>
      <c r="AA107" s="201">
        <v>1605392</v>
      </c>
      <c r="AB107" s="106" t="s">
        <v>2720</v>
      </c>
      <c r="AC107" s="64">
        <f t="shared" si="26"/>
        <v>0.92542332823177775</v>
      </c>
      <c r="AD107" s="1"/>
      <c r="AE107" s="242">
        <v>1858772</v>
      </c>
      <c r="AF107" s="106" t="s">
        <v>2722</v>
      </c>
      <c r="AG107" s="157">
        <v>1826615</v>
      </c>
      <c r="AI107" s="242">
        <v>1858772</v>
      </c>
      <c r="AJ107" s="201">
        <v>1826615</v>
      </c>
      <c r="AK107" s="106" t="s">
        <v>2720</v>
      </c>
      <c r="AL107" s="64">
        <f t="shared" si="27"/>
        <v>0.98269986851534241</v>
      </c>
      <c r="AM107" s="1"/>
      <c r="AN107" s="242">
        <v>1969031</v>
      </c>
      <c r="AO107" s="106" t="s">
        <v>2723</v>
      </c>
      <c r="AP107" s="242">
        <f t="shared" si="20"/>
        <v>1934966.5048026331</v>
      </c>
      <c r="AR107" s="242">
        <v>1969031</v>
      </c>
      <c r="AS107" s="201">
        <v>2022714</v>
      </c>
      <c r="AT107" s="2669" t="s">
        <v>2724</v>
      </c>
      <c r="AU107" s="64">
        <f t="shared" si="28"/>
        <v>1.0272636642084356</v>
      </c>
      <c r="AV107" s="1"/>
      <c r="AW107" s="242">
        <v>2222065</v>
      </c>
      <c r="AX107" s="2669" t="s">
        <v>2724</v>
      </c>
      <c r="AY107" s="201">
        <f t="shared" si="29"/>
        <v>2282646.6340093175</v>
      </c>
      <c r="BA107" s="242">
        <v>2222065</v>
      </c>
      <c r="BB107" s="201">
        <v>2220179</v>
      </c>
      <c r="BC107" s="2669" t="s">
        <v>2724</v>
      </c>
      <c r="BD107" s="64">
        <f t="shared" si="30"/>
        <v>0.99915123995022648</v>
      </c>
      <c r="BE107" s="1"/>
      <c r="BF107" s="242">
        <v>165565</v>
      </c>
      <c r="BG107" s="2669" t="s">
        <v>2725</v>
      </c>
      <c r="BH107" s="201">
        <f t="shared" si="31"/>
        <v>165424.47504235923</v>
      </c>
    </row>
    <row r="108" spans="1:60" s="462" customFormat="1" x14ac:dyDescent="0.35">
      <c r="A108" s="9153"/>
      <c r="B108" s="80"/>
      <c r="C108" s="4958" t="s">
        <v>2738</v>
      </c>
      <c r="D108" s="456"/>
      <c r="E108" s="456"/>
      <c r="F108" s="788"/>
      <c r="G108" s="456"/>
      <c r="H108" s="785"/>
      <c r="I108" s="786"/>
      <c r="J108" s="1003"/>
      <c r="K108" s="456"/>
      <c r="L108" s="785"/>
      <c r="M108" s="905"/>
      <c r="N108" s="1"/>
      <c r="O108" s="242">
        <v>69600</v>
      </c>
      <c r="P108" s="201">
        <v>38213</v>
      </c>
      <c r="Q108" s="106" t="s">
        <v>2720</v>
      </c>
      <c r="R108" s="64">
        <f t="shared" si="25"/>
        <v>0.54903735632183903</v>
      </c>
      <c r="S108" s="1"/>
      <c r="T108" s="242">
        <v>87683</v>
      </c>
      <c r="U108" s="106" t="s">
        <v>2721</v>
      </c>
      <c r="V108" s="157">
        <v>69183</v>
      </c>
      <c r="W108" s="1"/>
      <c r="X108" s="723"/>
      <c r="Z108" s="242">
        <v>69600</v>
      </c>
      <c r="AA108" s="201">
        <v>38213</v>
      </c>
      <c r="AB108" s="106" t="s">
        <v>2720</v>
      </c>
      <c r="AC108" s="64">
        <f t="shared" si="26"/>
        <v>0.54903735632183903</v>
      </c>
      <c r="AD108" s="1"/>
      <c r="AE108" s="242">
        <v>97333</v>
      </c>
      <c r="AF108" s="106" t="s">
        <v>2722</v>
      </c>
      <c r="AG108" s="157">
        <v>67333</v>
      </c>
      <c r="AI108" s="242">
        <v>97333</v>
      </c>
      <c r="AJ108" s="201">
        <v>67333</v>
      </c>
      <c r="AK108" s="106" t="s">
        <v>2720</v>
      </c>
      <c r="AL108" s="64">
        <f t="shared" si="27"/>
        <v>0.69177976636906291</v>
      </c>
      <c r="AM108" s="1"/>
      <c r="AN108" s="242">
        <v>162000</v>
      </c>
      <c r="AO108" s="106" t="s">
        <v>2723</v>
      </c>
      <c r="AP108" s="242">
        <f t="shared" si="20"/>
        <v>112068.32215178819</v>
      </c>
      <c r="AR108" s="242">
        <v>162000</v>
      </c>
      <c r="AS108" s="201">
        <v>132000</v>
      </c>
      <c r="AT108" s="2669" t="s">
        <v>2724</v>
      </c>
      <c r="AU108" s="64">
        <f t="shared" si="28"/>
        <v>0.81481481481481477</v>
      </c>
      <c r="AV108" s="1"/>
      <c r="AW108" s="242">
        <v>215330</v>
      </c>
      <c r="AX108" s="2669" t="s">
        <v>2724</v>
      </c>
      <c r="AY108" s="201">
        <f t="shared" si="29"/>
        <v>175454.07407407407</v>
      </c>
      <c r="BA108" s="242">
        <v>215330</v>
      </c>
      <c r="BB108" s="201">
        <v>168597</v>
      </c>
      <c r="BC108" s="2669" t="s">
        <v>2724</v>
      </c>
      <c r="BD108" s="64">
        <f t="shared" si="30"/>
        <v>0.78297032461802818</v>
      </c>
      <c r="BE108" s="1"/>
      <c r="BF108" s="242">
        <v>165785</v>
      </c>
      <c r="BG108" s="2669"/>
      <c r="BH108" s="201">
        <f t="shared" si="31"/>
        <v>129804.73526679981</v>
      </c>
    </row>
    <row r="109" spans="1:60" s="462" customFormat="1" x14ac:dyDescent="0.35">
      <c r="A109" s="9153"/>
      <c r="B109" s="922"/>
      <c r="C109" s="4959" t="s">
        <v>555</v>
      </c>
      <c r="D109" s="456"/>
      <c r="E109" s="456"/>
      <c r="F109" s="924"/>
      <c r="G109" s="456"/>
      <c r="H109" s="925"/>
      <c r="I109" s="926"/>
      <c r="J109" s="1004"/>
      <c r="K109" s="456"/>
      <c r="L109" s="925"/>
      <c r="M109" s="927"/>
      <c r="N109" s="1"/>
      <c r="O109" s="242"/>
      <c r="P109" s="201"/>
      <c r="Q109" s="216"/>
      <c r="R109" s="64">
        <f t="shared" si="25"/>
        <v>0</v>
      </c>
      <c r="S109" s="1"/>
      <c r="T109" s="242"/>
      <c r="U109" s="216"/>
      <c r="V109" s="64">
        <f>T109*R109</f>
        <v>0</v>
      </c>
      <c r="W109" s="1"/>
      <c r="X109" s="722"/>
      <c r="Z109" s="242"/>
      <c r="AA109" s="201"/>
      <c r="AB109" s="216"/>
      <c r="AC109" s="64">
        <f t="shared" si="26"/>
        <v>0</v>
      </c>
      <c r="AD109" s="1"/>
      <c r="AE109" s="242"/>
      <c r="AF109" s="216"/>
      <c r="AG109" s="64">
        <f>AE109*AC109</f>
        <v>0</v>
      </c>
      <c r="AI109" s="242"/>
      <c r="AJ109" s="201">
        <v>0</v>
      </c>
      <c r="AK109" s="216"/>
      <c r="AL109" s="64">
        <f t="shared" si="27"/>
        <v>0</v>
      </c>
      <c r="AM109" s="1"/>
      <c r="AN109" s="242"/>
      <c r="AO109" s="216"/>
      <c r="AP109" s="242"/>
      <c r="AR109" s="242"/>
      <c r="AS109" s="201">
        <v>0</v>
      </c>
      <c r="AT109" s="216"/>
      <c r="AU109" s="64">
        <f t="shared" si="28"/>
        <v>0</v>
      </c>
      <c r="AV109" s="1"/>
      <c r="AW109" s="242"/>
      <c r="AX109" s="216"/>
      <c r="AY109" s="201"/>
      <c r="BA109" s="242"/>
      <c r="BB109" s="201">
        <v>0</v>
      </c>
      <c r="BC109" s="216"/>
      <c r="BD109" s="64">
        <f t="shared" si="30"/>
        <v>0</v>
      </c>
      <c r="BE109" s="1"/>
      <c r="BF109" s="242"/>
      <c r="BG109" s="216"/>
      <c r="BH109" s="201"/>
    </row>
    <row r="110" spans="1:60" s="462" customFormat="1" x14ac:dyDescent="0.35">
      <c r="A110" s="9153"/>
      <c r="B110" s="287" t="s">
        <v>556</v>
      </c>
      <c r="C110" s="1666"/>
      <c r="D110" s="456"/>
      <c r="E110" s="457"/>
      <c r="F110" s="289"/>
      <c r="G110" s="456"/>
      <c r="H110" s="928"/>
      <c r="I110" s="929"/>
      <c r="J110" s="1049"/>
      <c r="K110" s="456"/>
      <c r="L110" s="928"/>
      <c r="M110" s="931"/>
      <c r="N110" s="143"/>
      <c r="O110" s="928"/>
      <c r="P110" s="929"/>
      <c r="Q110" s="106"/>
      <c r="R110" s="293"/>
      <c r="S110" s="1"/>
      <c r="T110" s="291"/>
      <c r="U110" s="106"/>
      <c r="V110" s="268"/>
      <c r="W110" s="1"/>
      <c r="X110" s="718"/>
      <c r="Z110" s="928"/>
      <c r="AA110" s="929"/>
      <c r="AB110" s="106"/>
      <c r="AC110" s="293"/>
      <c r="AD110" s="1"/>
      <c r="AE110" s="291"/>
      <c r="AF110" s="106"/>
      <c r="AG110" s="268"/>
      <c r="AI110" s="928"/>
      <c r="AJ110" s="929"/>
      <c r="AK110" s="106"/>
      <c r="AL110" s="293"/>
      <c r="AM110" s="1"/>
      <c r="AN110" s="291"/>
      <c r="AO110" s="106"/>
      <c r="AP110" s="291"/>
      <c r="AR110" s="928"/>
      <c r="AS110" s="929"/>
      <c r="AT110" s="106"/>
      <c r="AU110" s="293"/>
      <c r="AV110" s="1"/>
      <c r="AW110" s="291"/>
      <c r="AX110" s="106"/>
      <c r="AY110" s="291"/>
      <c r="BA110" s="928"/>
      <c r="BB110" s="929"/>
      <c r="BC110" s="106"/>
      <c r="BD110" s="293"/>
      <c r="BE110" s="1"/>
      <c r="BF110" s="291"/>
      <c r="BG110" s="106"/>
      <c r="BH110" s="291"/>
    </row>
    <row r="111" spans="1:60" s="462" customFormat="1" x14ac:dyDescent="0.35">
      <c r="A111" s="9153"/>
      <c r="B111" s="302"/>
      <c r="C111" s="4939" t="s">
        <v>532</v>
      </c>
      <c r="D111" s="456"/>
      <c r="E111" s="456"/>
      <c r="F111" s="521"/>
      <c r="G111" s="457"/>
      <c r="H111" s="304"/>
      <c r="I111" s="932"/>
      <c r="J111" s="890">
        <f>IF(H111=0,0,I111/H111)</f>
        <v>0</v>
      </c>
      <c r="K111" s="457"/>
      <c r="L111" s="304"/>
      <c r="M111" s="933">
        <f>L111*J111</f>
        <v>0</v>
      </c>
      <c r="N111" s="1"/>
      <c r="O111" s="304"/>
      <c r="P111" s="932"/>
      <c r="Q111" s="332"/>
      <c r="R111" s="297">
        <f>IF(O111=0,0,P111/O111)</f>
        <v>0</v>
      </c>
      <c r="S111" s="1"/>
      <c r="T111" s="304"/>
      <c r="U111" s="332"/>
      <c r="V111" s="157">
        <f>T111*R111</f>
        <v>0</v>
      </c>
      <c r="W111" s="1"/>
      <c r="X111" s="723"/>
      <c r="Z111" s="304"/>
      <c r="AA111" s="932"/>
      <c r="AB111" s="332"/>
      <c r="AC111" s="297">
        <f>IF(Z111=0,0,AA111/Z111)</f>
        <v>0</v>
      </c>
      <c r="AD111" s="1"/>
      <c r="AE111" s="304"/>
      <c r="AF111" s="332"/>
      <c r="AG111" s="157">
        <f>AE111*AC111</f>
        <v>0</v>
      </c>
      <c r="AI111" s="304"/>
      <c r="AJ111" s="932">
        <v>0</v>
      </c>
      <c r="AK111" s="332"/>
      <c r="AL111" s="297">
        <f>IF(AI111=0,0,AJ111/AI111)</f>
        <v>0</v>
      </c>
      <c r="AM111" s="1"/>
      <c r="AN111" s="304"/>
      <c r="AO111" s="332"/>
      <c r="AP111" s="304"/>
      <c r="AR111" s="304"/>
      <c r="AS111" s="932">
        <v>0</v>
      </c>
      <c r="AT111" s="332"/>
      <c r="AU111" s="297">
        <f>IF(AR111=0,0,AS111/AR111)</f>
        <v>0</v>
      </c>
      <c r="AV111" s="1"/>
      <c r="AW111" s="304"/>
      <c r="AX111" s="332"/>
      <c r="AY111" s="304"/>
      <c r="BA111" s="304"/>
      <c r="BB111" s="932">
        <v>0</v>
      </c>
      <c r="BC111" s="332"/>
      <c r="BD111" s="297">
        <f>IF(BA111=0,0,BB111/BA111)</f>
        <v>0</v>
      </c>
      <c r="BE111" s="1"/>
      <c r="BF111" s="304"/>
      <c r="BG111" s="332"/>
      <c r="BH111" s="304"/>
    </row>
    <row r="112" spans="1:60" s="462" customFormat="1" x14ac:dyDescent="0.35">
      <c r="A112" s="9153"/>
      <c r="B112" s="302"/>
      <c r="C112" s="4939" t="s">
        <v>533</v>
      </c>
      <c r="D112" s="456"/>
      <c r="E112" s="456"/>
      <c r="F112" s="61"/>
      <c r="G112" s="456"/>
      <c r="H112" s="62"/>
      <c r="I112" s="72"/>
      <c r="J112" s="1003">
        <f>IF(H112=0,0,I112/H112)</f>
        <v>0</v>
      </c>
      <c r="K112" s="456"/>
      <c r="L112" s="62"/>
      <c r="M112" s="934">
        <f>L112*J112</f>
        <v>0</v>
      </c>
      <c r="N112" s="1"/>
      <c r="O112" s="62"/>
      <c r="P112" s="72"/>
      <c r="Q112" s="106"/>
      <c r="R112" s="297">
        <f>IF(O112=0,0,P112/O112)</f>
        <v>0</v>
      </c>
      <c r="S112" s="1"/>
      <c r="T112" s="62"/>
      <c r="U112" s="106"/>
      <c r="V112" s="157">
        <f>T112*R112</f>
        <v>0</v>
      </c>
      <c r="W112" s="1"/>
      <c r="X112" s="723"/>
      <c r="Z112" s="62"/>
      <c r="AA112" s="72"/>
      <c r="AB112" s="106"/>
      <c r="AC112" s="297">
        <f>IF(Z112=0,0,AA112/Z112)</f>
        <v>0</v>
      </c>
      <c r="AD112" s="1"/>
      <c r="AE112" s="62"/>
      <c r="AF112" s="106"/>
      <c r="AG112" s="157">
        <f>AE112*AC112</f>
        <v>0</v>
      </c>
      <c r="AI112" s="62"/>
      <c r="AJ112" s="72">
        <v>0</v>
      </c>
      <c r="AK112" s="106"/>
      <c r="AL112" s="297">
        <f>IF(AI112=0,0,AJ112/AI112)</f>
        <v>0</v>
      </c>
      <c r="AM112" s="1"/>
      <c r="AN112" s="62"/>
      <c r="AO112" s="106"/>
      <c r="AP112" s="62"/>
      <c r="AR112" s="62"/>
      <c r="AS112" s="72">
        <v>0</v>
      </c>
      <c r="AT112" s="106"/>
      <c r="AU112" s="297">
        <f>IF(AR112=0,0,AS112/AR112)</f>
        <v>0</v>
      </c>
      <c r="AV112" s="1"/>
      <c r="AW112" s="62"/>
      <c r="AX112" s="106"/>
      <c r="AY112" s="62"/>
      <c r="BA112" s="62"/>
      <c r="BB112" s="72">
        <v>0</v>
      </c>
      <c r="BC112" s="106"/>
      <c r="BD112" s="297">
        <f>IF(BA112=0,0,BB112/BA112)</f>
        <v>0</v>
      </c>
      <c r="BE112" s="1"/>
      <c r="BF112" s="62"/>
      <c r="BG112" s="106"/>
      <c r="BH112" s="62"/>
    </row>
    <row r="113" spans="1:60" s="462" customFormat="1" x14ac:dyDescent="0.35">
      <c r="A113" s="9154"/>
      <c r="B113" s="305"/>
      <c r="C113" s="4939" t="s">
        <v>534</v>
      </c>
      <c r="D113" s="456"/>
      <c r="E113" s="456"/>
      <c r="F113" s="61"/>
      <c r="G113" s="456"/>
      <c r="H113" s="62"/>
      <c r="I113" s="72"/>
      <c r="J113" s="1003">
        <f>IF(H113=0,0,I113/H113)</f>
        <v>0</v>
      </c>
      <c r="K113" s="456"/>
      <c r="L113" s="62"/>
      <c r="M113" s="934">
        <f>L113*J113</f>
        <v>0</v>
      </c>
      <c r="N113" s="1"/>
      <c r="O113" s="62"/>
      <c r="P113" s="72"/>
      <c r="Q113" s="106"/>
      <c r="R113" s="297">
        <f>IF(O113=0,0,P113/O113)</f>
        <v>0</v>
      </c>
      <c r="S113" s="1"/>
      <c r="T113" s="62"/>
      <c r="U113" s="106"/>
      <c r="V113" s="157">
        <f>T113*R113</f>
        <v>0</v>
      </c>
      <c r="W113" s="1"/>
      <c r="X113" s="723"/>
      <c r="Z113" s="62"/>
      <c r="AA113" s="72"/>
      <c r="AB113" s="106"/>
      <c r="AC113" s="297">
        <f>IF(Z113=0,0,AA113/Z113)</f>
        <v>0</v>
      </c>
      <c r="AD113" s="1"/>
      <c r="AE113" s="62"/>
      <c r="AF113" s="106"/>
      <c r="AG113" s="157">
        <f>AE113*AC113</f>
        <v>0</v>
      </c>
      <c r="AI113" s="62"/>
      <c r="AJ113" s="72">
        <v>0</v>
      </c>
      <c r="AK113" s="106"/>
      <c r="AL113" s="297">
        <f>IF(AI113=0,0,AJ113/AI113)</f>
        <v>0</v>
      </c>
      <c r="AM113" s="1"/>
      <c r="AN113" s="62"/>
      <c r="AO113" s="106"/>
      <c r="AP113" s="62"/>
      <c r="AR113" s="62"/>
      <c r="AS113" s="72">
        <v>0</v>
      </c>
      <c r="AT113" s="106"/>
      <c r="AU113" s="297">
        <f>IF(AR113=0,0,AS113/AR113)</f>
        <v>0</v>
      </c>
      <c r="AV113" s="1"/>
      <c r="AW113" s="62"/>
      <c r="AX113" s="106"/>
      <c r="AY113" s="62"/>
      <c r="BA113" s="62"/>
      <c r="BB113" s="72">
        <v>0</v>
      </c>
      <c r="BC113" s="106"/>
      <c r="BD113" s="297">
        <f>IF(BA113=0,0,BB113/BA113)</f>
        <v>0</v>
      </c>
      <c r="BE113" s="1"/>
      <c r="BF113" s="62"/>
      <c r="BG113" s="106"/>
      <c r="BH113" s="62"/>
    </row>
    <row r="114" spans="1:60" s="462" customFormat="1" x14ac:dyDescent="0.35">
      <c r="A114" s="936"/>
      <c r="B114" s="306"/>
      <c r="C114" s="4944" t="s">
        <v>536</v>
      </c>
      <c r="D114" s="456"/>
      <c r="E114" s="456"/>
      <c r="F114" s="88"/>
      <c r="G114" s="456"/>
      <c r="H114" s="89"/>
      <c r="I114" s="308"/>
      <c r="J114" s="1004">
        <f>IF(H114=0,0,I114/H114)</f>
        <v>0</v>
      </c>
      <c r="K114" s="456"/>
      <c r="L114" s="89"/>
      <c r="M114" s="935">
        <f>L114*J114</f>
        <v>0</v>
      </c>
      <c r="N114" s="1"/>
      <c r="O114" s="89"/>
      <c r="P114" s="308"/>
      <c r="Q114" s="216"/>
      <c r="R114" s="307">
        <f>IF(O114=0,0,P114/O114)</f>
        <v>0</v>
      </c>
      <c r="S114" s="1"/>
      <c r="T114" s="89"/>
      <c r="U114" s="216"/>
      <c r="V114" s="213">
        <f>T114*R114</f>
        <v>0</v>
      </c>
      <c r="W114" s="1"/>
      <c r="X114" s="722"/>
      <c r="Z114" s="89"/>
      <c r="AA114" s="308"/>
      <c r="AB114" s="216"/>
      <c r="AC114" s="307">
        <f>IF(Z114=0,0,AA114/Z114)</f>
        <v>0</v>
      </c>
      <c r="AD114" s="1"/>
      <c r="AE114" s="89"/>
      <c r="AF114" s="216"/>
      <c r="AG114" s="213">
        <f>AE114*AC114</f>
        <v>0</v>
      </c>
      <c r="AI114" s="89"/>
      <c r="AJ114" s="308">
        <v>0</v>
      </c>
      <c r="AK114" s="216"/>
      <c r="AL114" s="307">
        <f>IF(AI114=0,0,AJ114/AI114)</f>
        <v>0</v>
      </c>
      <c r="AM114" s="1"/>
      <c r="AN114" s="89"/>
      <c r="AO114" s="216"/>
      <c r="AP114" s="89"/>
      <c r="AR114" s="89"/>
      <c r="AS114" s="308">
        <v>0</v>
      </c>
      <c r="AT114" s="216"/>
      <c r="AU114" s="307">
        <f>IF(AR114=0,0,AS114/AR114)</f>
        <v>0</v>
      </c>
      <c r="AV114" s="1"/>
      <c r="AW114" s="89"/>
      <c r="AX114" s="216"/>
      <c r="AY114" s="89"/>
      <c r="BA114" s="89"/>
      <c r="BB114" s="308">
        <v>0</v>
      </c>
      <c r="BC114" s="216"/>
      <c r="BD114" s="307">
        <f>IF(BA114=0,0,BB114/BA114)</f>
        <v>0</v>
      </c>
      <c r="BE114" s="1"/>
      <c r="BF114" s="89"/>
      <c r="BG114" s="216"/>
      <c r="BH114" s="89"/>
    </row>
    <row r="115" spans="1:60" ht="15.25" customHeight="1" x14ac:dyDescent="0.35">
      <c r="A115" s="9159" t="s">
        <v>559</v>
      </c>
      <c r="B115" s="936"/>
      <c r="C115" s="456"/>
      <c r="D115" s="456"/>
      <c r="E115" s="457"/>
      <c r="F115" s="847"/>
      <c r="G115" s="456"/>
      <c r="H115" s="847"/>
      <c r="I115" s="847"/>
      <c r="J115" s="1052"/>
      <c r="K115" s="456"/>
      <c r="L115" s="847"/>
      <c r="M115" s="938"/>
      <c r="O115" s="106"/>
      <c r="P115" s="106"/>
      <c r="Q115" s="106"/>
      <c r="R115" s="311"/>
      <c r="T115" s="106"/>
      <c r="U115" s="106"/>
      <c r="V115" s="312"/>
      <c r="X115" s="711"/>
      <c r="Y115" s="462"/>
      <c r="Z115" s="106"/>
      <c r="AA115" s="106"/>
      <c r="AB115" s="106"/>
      <c r="AC115" s="311"/>
      <c r="AE115" s="106"/>
      <c r="AF115" s="106"/>
      <c r="AG115" s="312"/>
      <c r="AH115" s="462"/>
      <c r="AI115" s="106"/>
      <c r="AJ115" s="106"/>
      <c r="AK115" s="106"/>
      <c r="AL115" s="311"/>
      <c r="AM115" s="1"/>
      <c r="AN115" s="106"/>
      <c r="AO115" s="106"/>
      <c r="AP115" s="106"/>
      <c r="AR115" s="106"/>
      <c r="AS115" s="106"/>
      <c r="AT115" s="106"/>
      <c r="AU115" s="311"/>
      <c r="AV115" s="1"/>
      <c r="AW115" s="106"/>
      <c r="AX115" s="106"/>
      <c r="AY115" s="106"/>
      <c r="AZ115" s="462"/>
      <c r="BA115" s="106"/>
      <c r="BB115" s="106"/>
      <c r="BC115" s="106"/>
      <c r="BD115" s="311"/>
      <c r="BE115" s="1"/>
      <c r="BF115" s="106"/>
      <c r="BG115" s="106"/>
      <c r="BH115" s="106"/>
    </row>
    <row r="116" spans="1:60" x14ac:dyDescent="0.35">
      <c r="A116" s="9160"/>
      <c r="B116" s="939" t="s">
        <v>560</v>
      </c>
      <c r="C116" s="4960"/>
      <c r="D116" s="184"/>
      <c r="F116" s="316"/>
      <c r="G116" s="290"/>
      <c r="H116" s="941"/>
      <c r="I116" s="942"/>
      <c r="J116" s="293"/>
      <c r="L116" s="317"/>
      <c r="M116" s="268"/>
      <c r="O116" s="941"/>
      <c r="P116" s="942"/>
      <c r="Q116" s="103"/>
      <c r="R116" s="293"/>
      <c r="T116" s="317"/>
      <c r="U116" s="103"/>
      <c r="V116" s="323"/>
      <c r="X116" s="18"/>
      <c r="Z116" s="941"/>
      <c r="AA116" s="942"/>
      <c r="AB116" s="103"/>
      <c r="AC116" s="293"/>
      <c r="AE116" s="317"/>
      <c r="AF116" s="103"/>
      <c r="AG116" s="323"/>
      <c r="AI116" s="941"/>
      <c r="AJ116" s="942"/>
      <c r="AK116" s="103"/>
      <c r="AL116" s="293"/>
      <c r="AM116" s="1"/>
      <c r="AN116" s="317"/>
      <c r="AO116" s="103"/>
      <c r="AP116" s="317"/>
      <c r="AR116" s="941"/>
      <c r="AS116" s="942"/>
      <c r="AT116" s="103"/>
      <c r="AU116" s="293"/>
      <c r="AV116" s="1"/>
      <c r="AW116" s="941"/>
      <c r="AX116" s="103"/>
      <c r="AY116" s="317"/>
      <c r="BA116" s="941"/>
      <c r="BB116" s="942"/>
      <c r="BC116" s="103"/>
      <c r="BD116" s="293"/>
      <c r="BE116" s="1"/>
      <c r="BF116" s="941"/>
      <c r="BG116" s="103"/>
      <c r="BH116" s="317"/>
    </row>
    <row r="117" spans="1:60" x14ac:dyDescent="0.35">
      <c r="A117" s="9160"/>
      <c r="B117" s="944"/>
      <c r="C117" s="4961" t="s">
        <v>2762</v>
      </c>
      <c r="D117" s="197"/>
      <c r="F117" s="327"/>
      <c r="G117" s="272"/>
      <c r="H117" s="325"/>
      <c r="I117" s="946"/>
      <c r="J117" s="297">
        <f>IF(H117=0,0,I117/H117)</f>
        <v>0</v>
      </c>
      <c r="L117" s="325"/>
      <c r="M117" s="157">
        <f>L117*J117</f>
        <v>0</v>
      </c>
      <c r="O117" s="330">
        <v>789274</v>
      </c>
      <c r="P117" s="331">
        <v>776325</v>
      </c>
      <c r="Q117" s="332"/>
      <c r="R117" s="297">
        <f>IF(O117=0,0,P117/O117)</f>
        <v>0.98359378365434569</v>
      </c>
      <c r="T117" s="330">
        <v>1641895</v>
      </c>
      <c r="U117" t="s">
        <v>2338</v>
      </c>
      <c r="V117" s="333">
        <v>1642334</v>
      </c>
      <c r="X117" s="26"/>
      <c r="Z117" s="330">
        <v>789274</v>
      </c>
      <c r="AA117" s="331">
        <v>776325</v>
      </c>
      <c r="AB117" s="332"/>
      <c r="AC117" s="297">
        <f>IF(Z117=0,0,AA117/Z117)</f>
        <v>0.98359378365434569</v>
      </c>
      <c r="AE117" s="330">
        <v>1720899</v>
      </c>
      <c r="AF117" t="s">
        <v>2763</v>
      </c>
      <c r="AG117" s="333">
        <v>1720069</v>
      </c>
      <c r="AI117" s="330">
        <v>1720899</v>
      </c>
      <c r="AJ117" s="331">
        <v>1720069</v>
      </c>
      <c r="AK117" s="332"/>
      <c r="AL117" s="297">
        <f>IF(AI117=0,0,AJ117/AI117)</f>
        <v>0.99951769394949963</v>
      </c>
      <c r="AM117" s="1"/>
      <c r="AN117" s="330">
        <v>1999706</v>
      </c>
      <c r="AO117" t="s">
        <v>2764</v>
      </c>
      <c r="AP117" s="330">
        <f t="shared" ref="AP117:AP120" si="32">AN117*AL117</f>
        <v>1998741.5296969782</v>
      </c>
      <c r="AR117" s="330">
        <v>1999706</v>
      </c>
      <c r="AS117" s="331">
        <v>1831341</v>
      </c>
      <c r="AT117" s="6858" t="s">
        <v>2635</v>
      </c>
      <c r="AU117" s="3817">
        <f>IF(AR117=0,0,AS117/AR117)</f>
        <v>0.91580512335313291</v>
      </c>
      <c r="AV117" s="3818"/>
      <c r="AW117" s="330">
        <v>2196947</v>
      </c>
      <c r="AX117" s="2669" t="s">
        <v>2635</v>
      </c>
      <c r="AY117" s="330">
        <f>AW117*AU117</f>
        <v>2011975.3183352952</v>
      </c>
      <c r="BA117" s="330">
        <v>2196947</v>
      </c>
      <c r="BB117" s="331">
        <v>2126821</v>
      </c>
      <c r="BC117" s="6858" t="s">
        <v>2635</v>
      </c>
      <c r="BD117" s="3817">
        <f>IF(BA117=0,0,BB117/BA117)</f>
        <v>0.96808024954630223</v>
      </c>
      <c r="BE117" s="3818"/>
      <c r="BF117" s="330">
        <v>1659571</v>
      </c>
      <c r="BG117" s="2669" t="s">
        <v>2635</v>
      </c>
      <c r="BH117" s="330">
        <f>BF117*BD117</f>
        <v>1606597.9078198064</v>
      </c>
    </row>
    <row r="118" spans="1:60" x14ac:dyDescent="0.35">
      <c r="A118" s="9160"/>
      <c r="B118" s="944"/>
      <c r="C118" s="4961" t="s">
        <v>565</v>
      </c>
      <c r="D118" s="197"/>
      <c r="F118" s="336"/>
      <c r="G118" s="272"/>
      <c r="H118" s="330"/>
      <c r="I118" s="948"/>
      <c r="J118" s="297">
        <f>IF(H118=0,0,I118/H118)</f>
        <v>0</v>
      </c>
      <c r="L118" s="330"/>
      <c r="M118" s="157">
        <f>L118*J118</f>
        <v>0</v>
      </c>
      <c r="O118" s="330">
        <v>102000</v>
      </c>
      <c r="P118" s="331">
        <v>21601</v>
      </c>
      <c r="Q118" s="106"/>
      <c r="R118" s="297">
        <f>IF(O118=0,0,P118/O118)</f>
        <v>0.21177450980392157</v>
      </c>
      <c r="T118" s="330">
        <v>271321</v>
      </c>
      <c r="U118" t="s">
        <v>2338</v>
      </c>
      <c r="V118" s="333">
        <v>237485</v>
      </c>
      <c r="X118" s="26"/>
      <c r="Z118" s="330">
        <v>102000</v>
      </c>
      <c r="AA118" s="331">
        <v>21601</v>
      </c>
      <c r="AB118" s="106"/>
      <c r="AC118" s="297">
        <f>IF(Z118=0,0,AA118/Z118)</f>
        <v>0.21177450980392157</v>
      </c>
      <c r="AE118" s="330">
        <v>169525</v>
      </c>
      <c r="AF118" t="s">
        <v>2763</v>
      </c>
      <c r="AG118" s="333">
        <v>221730</v>
      </c>
      <c r="AI118" s="330">
        <v>169525</v>
      </c>
      <c r="AJ118" s="331">
        <v>221730</v>
      </c>
      <c r="AK118" s="106"/>
      <c r="AL118" s="297">
        <f>IF(AI118=0,0,AJ118/AI118)</f>
        <v>1.3079486801356732</v>
      </c>
      <c r="AM118" s="1"/>
      <c r="AN118" s="330">
        <v>107906</v>
      </c>
      <c r="AO118" t="s">
        <v>2764</v>
      </c>
      <c r="AP118" s="330">
        <f t="shared" si="32"/>
        <v>141135.51027871994</v>
      </c>
      <c r="AR118" s="330">
        <v>107906</v>
      </c>
      <c r="AS118" s="331">
        <v>111160</v>
      </c>
      <c r="AT118" s="6858" t="s">
        <v>2635</v>
      </c>
      <c r="AU118" s="3817">
        <f>IF(AR118=0,0,AS118/AR118)</f>
        <v>1.0301558764109502</v>
      </c>
      <c r="AV118" s="3818"/>
      <c r="AW118" s="330">
        <v>70500</v>
      </c>
      <c r="AX118" s="2669" t="s">
        <v>2635</v>
      </c>
      <c r="AY118" s="330">
        <f>AW118*AU118</f>
        <v>72625.989286971992</v>
      </c>
      <c r="BA118" s="330">
        <v>70500</v>
      </c>
      <c r="BB118" s="331">
        <v>68216</v>
      </c>
      <c r="BC118" s="6858" t="s">
        <v>2635</v>
      </c>
      <c r="BD118" s="3817">
        <f>IF(BA118=0,0,BB118/BA118)</f>
        <v>0.9676028368794326</v>
      </c>
      <c r="BE118" s="3818"/>
      <c r="BF118" s="330">
        <v>55477</v>
      </c>
      <c r="BG118" s="2669" t="s">
        <v>2635</v>
      </c>
      <c r="BH118" s="330">
        <f>BF118*BD118</f>
        <v>53679.702581560283</v>
      </c>
    </row>
    <row r="119" spans="1:60" x14ac:dyDescent="0.35">
      <c r="A119" s="9160"/>
      <c r="B119" s="944"/>
      <c r="C119" s="4961" t="s">
        <v>1659</v>
      </c>
      <c r="D119" s="197"/>
      <c r="F119" s="336"/>
      <c r="G119" s="272"/>
      <c r="H119" s="330"/>
      <c r="I119" s="948"/>
      <c r="J119" s="297">
        <f>IF(H119=0,0,I119/H119)</f>
        <v>0</v>
      </c>
      <c r="L119" s="330"/>
      <c r="M119" s="157">
        <f>L119*J119</f>
        <v>0</v>
      </c>
      <c r="O119" s="330">
        <v>1252538</v>
      </c>
      <c r="P119" s="331">
        <v>1236429</v>
      </c>
      <c r="Q119" s="106"/>
      <c r="R119" s="297">
        <f>IF(O119=0,0,P119/O119)</f>
        <v>0.98713891315073876</v>
      </c>
      <c r="T119" s="330">
        <v>2769746</v>
      </c>
      <c r="U119" t="s">
        <v>2338</v>
      </c>
      <c r="V119" s="333">
        <v>2718512</v>
      </c>
      <c r="X119" s="26"/>
      <c r="Z119" s="330">
        <v>1252538</v>
      </c>
      <c r="AA119" s="331">
        <v>1236429</v>
      </c>
      <c r="AB119" s="106"/>
      <c r="AC119" s="297">
        <f>IF(Z119=0,0,AA119/Z119)</f>
        <v>0.98713891315073876</v>
      </c>
      <c r="AE119" s="330">
        <v>3151508</v>
      </c>
      <c r="AF119" t="s">
        <v>2763</v>
      </c>
      <c r="AG119" s="333">
        <v>3152366</v>
      </c>
      <c r="AI119" s="330">
        <v>3151508</v>
      </c>
      <c r="AJ119" s="331">
        <v>2912016</v>
      </c>
      <c r="AK119" s="106"/>
      <c r="AL119" s="297">
        <f>IF(AI119=0,0,AJ119/AI119)</f>
        <v>0.92400717370858654</v>
      </c>
      <c r="AM119" s="1"/>
      <c r="AN119" s="330">
        <v>3387893</v>
      </c>
      <c r="AO119" t="s">
        <v>2764</v>
      </c>
      <c r="AP119" s="330">
        <f t="shared" si="32"/>
        <v>3130437.4357571043</v>
      </c>
      <c r="AR119" s="330">
        <v>3387893</v>
      </c>
      <c r="AS119" s="331">
        <v>3234938</v>
      </c>
      <c r="AT119" s="2669" t="s">
        <v>2635</v>
      </c>
      <c r="AU119" s="3817">
        <f>IF(AR119=0,0,AS119/AR119)</f>
        <v>0.95485247025215969</v>
      </c>
      <c r="AV119" s="2851"/>
      <c r="AW119" s="330">
        <v>3690455</v>
      </c>
      <c r="AX119" s="2669" t="s">
        <v>2635</v>
      </c>
      <c r="AY119" s="330">
        <f>AW119*AU119</f>
        <v>3523840.0731044342</v>
      </c>
      <c r="BA119" s="330">
        <v>3690455</v>
      </c>
      <c r="BB119" s="331">
        <v>3066424</v>
      </c>
      <c r="BC119" s="2669" t="s">
        <v>2635</v>
      </c>
      <c r="BD119" s="3817">
        <f>IF(BA119=0,0,BB119/BA119)</f>
        <v>0.83090675810977233</v>
      </c>
      <c r="BE119" s="2851"/>
      <c r="BF119" s="330">
        <v>2986690</v>
      </c>
      <c r="BG119" s="2669" t="s">
        <v>2635</v>
      </c>
      <c r="BH119" s="330">
        <f>BF119*BD119</f>
        <v>2481660.9053788758</v>
      </c>
    </row>
    <row r="120" spans="1:60" x14ac:dyDescent="0.35">
      <c r="A120" s="9161"/>
      <c r="B120" s="944"/>
      <c r="C120" s="4961" t="s">
        <v>1660</v>
      </c>
      <c r="D120" s="197"/>
      <c r="F120" s="336"/>
      <c r="G120" s="272"/>
      <c r="H120" s="330"/>
      <c r="I120" s="948"/>
      <c r="J120" s="297">
        <f>IF(H120=0,0,I120/H120)</f>
        <v>0</v>
      </c>
      <c r="L120" s="330"/>
      <c r="M120" s="157">
        <f>L120*J120</f>
        <v>0</v>
      </c>
      <c r="O120" s="330">
        <v>97974</v>
      </c>
      <c r="P120" s="331">
        <v>65303</v>
      </c>
      <c r="Q120" s="106"/>
      <c r="R120" s="297">
        <f>IF(O120=0,0,P120/O120)</f>
        <v>0.66653397840243334</v>
      </c>
      <c r="T120" s="330">
        <v>104974</v>
      </c>
      <c r="U120" t="s">
        <v>2338</v>
      </c>
      <c r="V120" s="333">
        <v>102261</v>
      </c>
      <c r="X120" s="26"/>
      <c r="Z120" s="330">
        <v>97974</v>
      </c>
      <c r="AA120" s="331">
        <v>65303</v>
      </c>
      <c r="AB120" s="106"/>
      <c r="AC120" s="297">
        <f>IF(Z120=0,0,AA120/Z120)</f>
        <v>0.66653397840243334</v>
      </c>
      <c r="AE120" s="330">
        <v>184963</v>
      </c>
      <c r="AF120" t="s">
        <v>2763</v>
      </c>
      <c r="AG120" s="333">
        <v>162663</v>
      </c>
      <c r="AI120" s="330">
        <v>184963</v>
      </c>
      <c r="AJ120" s="331">
        <v>162663</v>
      </c>
      <c r="AK120" s="106"/>
      <c r="AL120" s="297">
        <f>IF(AI120=0,0,AJ120/AI120)</f>
        <v>0.8794353465287652</v>
      </c>
      <c r="AM120" s="1"/>
      <c r="AN120" s="330">
        <v>102782</v>
      </c>
      <c r="AO120" t="s">
        <v>2764</v>
      </c>
      <c r="AP120" s="330">
        <f t="shared" si="32"/>
        <v>90390.123786919547</v>
      </c>
      <c r="AR120" s="330">
        <v>102782</v>
      </c>
      <c r="AS120" s="331">
        <v>84515</v>
      </c>
      <c r="AT120" s="2669" t="s">
        <v>2635</v>
      </c>
      <c r="AU120" s="3817">
        <f>IF(AR120=0,0,AS120/AR120)</f>
        <v>0.82227432818976087</v>
      </c>
      <c r="AV120" s="2851"/>
      <c r="AW120" s="330">
        <v>138375</v>
      </c>
      <c r="AX120" s="2669" t="s">
        <v>2635</v>
      </c>
      <c r="AY120" s="330">
        <f>AW120*AU120</f>
        <v>113782.21016325816</v>
      </c>
      <c r="BA120" s="330">
        <v>138375</v>
      </c>
      <c r="BB120" s="331">
        <v>123576</v>
      </c>
      <c r="BC120" s="2669" t="s">
        <v>2635</v>
      </c>
      <c r="BD120" s="3817">
        <f>IF(BA120=0,0,BB120/BA120)</f>
        <v>0.89305149051490518</v>
      </c>
      <c r="BE120" s="2851"/>
      <c r="BF120" s="330">
        <v>104829</v>
      </c>
      <c r="BG120" s="2669" t="s">
        <v>2635</v>
      </c>
      <c r="BH120" s="330">
        <f>BF120*BD120</f>
        <v>93617.694699186992</v>
      </c>
    </row>
    <row r="121" spans="1:60" s="462" customFormat="1" x14ac:dyDescent="0.35">
      <c r="A121" s="936"/>
      <c r="B121" s="949"/>
      <c r="C121" s="4962" t="s">
        <v>10</v>
      </c>
      <c r="D121" s="209"/>
      <c r="E121" s="1"/>
      <c r="F121" s="343"/>
      <c r="G121" s="272"/>
      <c r="H121" s="341"/>
      <c r="I121" s="951"/>
      <c r="J121" s="307">
        <f>IF(H121=0,0,I121/H121)</f>
        <v>0</v>
      </c>
      <c r="K121" s="1"/>
      <c r="L121" s="341"/>
      <c r="M121" s="213">
        <f>L121*J121</f>
        <v>0</v>
      </c>
      <c r="N121" s="1"/>
      <c r="O121" s="341"/>
      <c r="P121" s="952"/>
      <c r="Q121" s="216"/>
      <c r="R121" s="307">
        <f>IF(O121=0,0,P121/O121)</f>
        <v>0</v>
      </c>
      <c r="S121" s="1"/>
      <c r="T121" s="341"/>
      <c r="U121" s="216"/>
      <c r="V121" s="347">
        <f>T121*R121</f>
        <v>0</v>
      </c>
      <c r="W121" s="1"/>
      <c r="X121" s="24"/>
      <c r="Y121"/>
      <c r="Z121" s="341"/>
      <c r="AA121" s="952"/>
      <c r="AB121" s="216"/>
      <c r="AC121" s="307">
        <f>IF(Z121=0,0,AA121/Z121)</f>
        <v>0</v>
      </c>
      <c r="AD121" s="1"/>
      <c r="AE121" s="341"/>
      <c r="AF121" s="216"/>
      <c r="AG121" s="347">
        <f>AE121*AC121</f>
        <v>0</v>
      </c>
      <c r="AH121"/>
      <c r="AI121" s="341"/>
      <c r="AJ121" s="952">
        <v>0</v>
      </c>
      <c r="AK121" s="216"/>
      <c r="AL121" s="307">
        <f>IF(AI121=0,0,AJ121/AI121)</f>
        <v>0</v>
      </c>
      <c r="AM121" s="1"/>
      <c r="AN121" s="341"/>
      <c r="AO121" s="216"/>
      <c r="AP121" s="341"/>
      <c r="AR121" s="341"/>
      <c r="AS121" s="952"/>
      <c r="AT121" s="216"/>
      <c r="AU121" s="307">
        <f>IF(AR121=0,0,AS121/AR121)</f>
        <v>0</v>
      </c>
      <c r="AV121" s="1"/>
      <c r="AW121" s="341"/>
      <c r="AX121" s="216"/>
      <c r="AY121" s="341"/>
      <c r="AZ121"/>
      <c r="BA121" s="341"/>
      <c r="BB121" s="952"/>
      <c r="BC121" s="216"/>
      <c r="BD121" s="307">
        <f>IF(BA121=0,0,BB121/BA121)</f>
        <v>0</v>
      </c>
      <c r="BE121" s="1"/>
      <c r="BF121" s="341"/>
      <c r="BG121" s="216"/>
      <c r="BH121" s="341"/>
    </row>
    <row r="122" spans="1:60" ht="15.25" customHeight="1" x14ac:dyDescent="0.35">
      <c r="A122" s="9152" t="s">
        <v>566</v>
      </c>
      <c r="B122" s="936"/>
      <c r="C122" s="456"/>
      <c r="D122" s="456"/>
      <c r="E122" s="457"/>
      <c r="F122" s="847"/>
      <c r="G122" s="456"/>
      <c r="H122" s="847"/>
      <c r="I122" s="847"/>
      <c r="J122" s="1052"/>
      <c r="K122" s="456"/>
      <c r="L122" s="847"/>
      <c r="M122" s="938"/>
      <c r="O122" s="106"/>
      <c r="P122" s="106"/>
      <c r="Q122" s="106"/>
      <c r="R122" s="311"/>
      <c r="T122" s="106"/>
      <c r="U122" s="106"/>
      <c r="V122" s="312"/>
      <c r="X122" s="711"/>
      <c r="Y122" s="462"/>
      <c r="Z122" s="106"/>
      <c r="AA122" s="106"/>
      <c r="AB122" s="106"/>
      <c r="AC122" s="311"/>
      <c r="AE122" s="106"/>
      <c r="AF122" s="106"/>
      <c r="AG122" s="312"/>
      <c r="AH122" s="462"/>
      <c r="AI122" s="106"/>
      <c r="AJ122" s="106"/>
      <c r="AK122" s="106"/>
      <c r="AL122" s="311"/>
      <c r="AM122" s="1"/>
      <c r="AN122" s="106"/>
      <c r="AO122" s="106"/>
      <c r="AP122" s="106"/>
      <c r="AR122" s="106"/>
      <c r="AS122" s="106"/>
      <c r="AT122" s="106"/>
      <c r="AU122" s="311"/>
      <c r="AV122" s="1"/>
      <c r="AW122" s="106"/>
      <c r="AX122" s="106"/>
      <c r="AY122" s="106"/>
      <c r="AZ122" s="462"/>
      <c r="BA122" s="106"/>
      <c r="BB122" s="106"/>
      <c r="BC122" s="106"/>
      <c r="BD122" s="311"/>
      <c r="BE122" s="1"/>
      <c r="BF122" s="106"/>
      <c r="BG122" s="106"/>
      <c r="BH122" s="106"/>
    </row>
    <row r="123" spans="1:60" ht="14.5" customHeight="1" x14ac:dyDescent="0.35">
      <c r="A123" s="9153"/>
      <c r="B123" s="139" t="s">
        <v>567</v>
      </c>
      <c r="C123" s="868"/>
      <c r="D123" s="49"/>
      <c r="E123" s="141"/>
      <c r="F123" s="227"/>
      <c r="G123" s="141"/>
      <c r="H123" s="102"/>
      <c r="I123" s="103"/>
      <c r="J123" s="228"/>
      <c r="K123" s="141"/>
      <c r="L123" s="102"/>
      <c r="M123" s="268"/>
      <c r="N123" s="141"/>
      <c r="O123" s="102"/>
      <c r="P123" s="103"/>
      <c r="Q123" s="103"/>
      <c r="R123" s="228"/>
      <c r="S123" s="141"/>
      <c r="T123" s="102"/>
      <c r="U123" s="103"/>
      <c r="V123" s="268"/>
      <c r="W123" s="141"/>
      <c r="Z123" s="102"/>
      <c r="AA123" s="103"/>
      <c r="AB123" s="103"/>
      <c r="AC123" s="228"/>
      <c r="AD123" s="141"/>
      <c r="AE123" s="102"/>
      <c r="AF123" s="103"/>
      <c r="AG123" s="268"/>
      <c r="AI123" s="102"/>
      <c r="AJ123" s="103"/>
      <c r="AK123" s="103"/>
      <c r="AL123" s="228"/>
      <c r="AM123" s="141"/>
      <c r="AN123" s="102"/>
      <c r="AO123" s="103"/>
      <c r="AP123" s="102"/>
      <c r="AR123" s="102"/>
      <c r="AS123" s="103"/>
      <c r="AT123" s="103"/>
      <c r="AU123" s="228"/>
      <c r="AV123" s="141"/>
      <c r="AW123" s="102"/>
      <c r="AX123" s="103"/>
      <c r="AY123" s="102"/>
      <c r="BA123" s="102"/>
      <c r="BB123" s="103"/>
      <c r="BC123" s="103"/>
      <c r="BD123" s="228"/>
      <c r="BE123" s="141"/>
      <c r="BF123" s="102"/>
      <c r="BG123" s="103"/>
      <c r="BH123" s="102"/>
    </row>
    <row r="124" spans="1:60" x14ac:dyDescent="0.35">
      <c r="A124" s="9153"/>
      <c r="B124" s="6082"/>
      <c r="D124" s="1616" t="s">
        <v>568</v>
      </c>
      <c r="F124" s="349">
        <f>SUM(F34:F37)-SUM(F39:F45)</f>
        <v>13877015</v>
      </c>
      <c r="G124" s="350"/>
      <c r="H124" s="351">
        <f>SUM(H34:H37)-SUM(H39:H45)</f>
        <v>16218372</v>
      </c>
      <c r="I124" s="352">
        <f>SUM(I34:I37)-SUM(I39:I45)</f>
        <v>15555855</v>
      </c>
      <c r="J124" s="246"/>
      <c r="K124" s="350"/>
      <c r="L124" s="351">
        <f>SUM(L34:L37)-SUM(L39:L45)</f>
        <v>14338947</v>
      </c>
      <c r="M124" s="353">
        <f>SUM(M34:M37)-SUM(M39:M45)</f>
        <v>13752947.656968785</v>
      </c>
      <c r="N124" s="350"/>
      <c r="O124" s="351">
        <f>SUM(O34:O37)-SUM(O39:O45)</f>
        <v>14248104</v>
      </c>
      <c r="P124" s="352">
        <f>SUM(P34:P37)-SUM(P39:P45)</f>
        <v>13657565</v>
      </c>
      <c r="Q124" s="352"/>
      <c r="R124" s="246"/>
      <c r="S124" s="350"/>
      <c r="T124" s="351">
        <f>SUM(T34:T37)-SUM(T39:T45)</f>
        <v>17983912</v>
      </c>
      <c r="U124" s="352"/>
      <c r="V124" s="353">
        <f>SUM(V34:V37)-SUM(V39:V45)</f>
        <v>17423635</v>
      </c>
      <c r="W124" s="350"/>
      <c r="Z124" s="351">
        <f>SUM(Z34:Z37)-SUM(Z39:Z45)</f>
        <v>14248104</v>
      </c>
      <c r="AA124" s="352">
        <f>SUM(AA34:AA37)-SUM(AA39:AA45)</f>
        <v>13657565</v>
      </c>
      <c r="AB124" s="352"/>
      <c r="AC124" s="246"/>
      <c r="AD124" s="350"/>
      <c r="AE124" s="351">
        <f>SUM(AE34:AE37)-SUM(AE39:AE45)</f>
        <v>17269672</v>
      </c>
      <c r="AF124" s="352"/>
      <c r="AG124" s="353">
        <f>SUM(AG34:AG37)-SUM(AG39:AG45)</f>
        <v>17211691</v>
      </c>
      <c r="AI124" s="351">
        <v>17269672</v>
      </c>
      <c r="AJ124" s="352">
        <v>17211691</v>
      </c>
      <c r="AK124" s="352"/>
      <c r="AL124" s="246"/>
      <c r="AM124" s="350"/>
      <c r="AN124" s="351">
        <f>SUM(AN34:AN37)-SUM(AN39:AN45)</f>
        <v>17231040</v>
      </c>
      <c r="AO124" s="352"/>
      <c r="AP124" s="351">
        <f>SUM(AP34:AP37)-SUM(AP39:AP45)</f>
        <v>16160035.290313575</v>
      </c>
      <c r="AR124" s="351">
        <f>SUM(AR34:AR37)-SUM(AR39:AR45)</f>
        <v>20112409</v>
      </c>
      <c r="AS124" s="352">
        <f>SUM(AS34:AS37)-SUM(AS39:AS45)</f>
        <v>19188917</v>
      </c>
      <c r="AT124" s="352"/>
      <c r="AU124" s="246"/>
      <c r="AV124" s="350"/>
      <c r="AW124" s="351">
        <f>SUM(AW34:AW37)-SUM(AW39:AW45)</f>
        <v>21973837</v>
      </c>
      <c r="AX124" s="352"/>
      <c r="AY124" s="351">
        <f>SUM(AY34:AY37)-SUM(AY39:AY45)</f>
        <v>20881809.722228318</v>
      </c>
      <c r="BA124" s="351">
        <f>SUM(BA34:BA37)-SUM(BA39:BA45)</f>
        <v>21973837</v>
      </c>
      <c r="BB124" s="352">
        <f>SUM(BB34:BB37)-SUM(BB39:BB45)</f>
        <v>19860527</v>
      </c>
      <c r="BC124" s="352"/>
      <c r="BD124" s="246"/>
      <c r="BE124" s="350"/>
      <c r="BF124" s="351">
        <f>SUM(BF34:BF37)-SUM(BF39:BF45)</f>
        <v>18808073</v>
      </c>
      <c r="BG124" s="352"/>
      <c r="BH124" s="351">
        <f>SUM(BH34:BH37)-SUM(BH39:BH45)</f>
        <v>17198516.868625358</v>
      </c>
    </row>
    <row r="125" spans="1:60" x14ac:dyDescent="0.35">
      <c r="A125" s="9153"/>
      <c r="B125" s="6082"/>
      <c r="D125" s="1616" t="s">
        <v>569</v>
      </c>
      <c r="F125" s="349">
        <f>SUM(F47:F61)</f>
        <v>388468</v>
      </c>
      <c r="G125" s="350"/>
      <c r="H125" s="351">
        <f>SUM(H47:H61)</f>
        <v>507781</v>
      </c>
      <c r="I125" s="352">
        <f>SUM(I47:I61)</f>
        <v>2828560</v>
      </c>
      <c r="J125" s="246"/>
      <c r="K125" s="350"/>
      <c r="L125" s="351">
        <f>SUM(L47:L61)</f>
        <v>1982624</v>
      </c>
      <c r="M125" s="353">
        <f>SUM(M47:M61)</f>
        <v>1799672.9439916029</v>
      </c>
      <c r="N125" s="350"/>
      <c r="O125" s="351">
        <f>SUM(O47:O61)</f>
        <v>1944220</v>
      </c>
      <c r="P125" s="352">
        <f>SUM(P47:P61)</f>
        <v>1633165</v>
      </c>
      <c r="Q125" s="352"/>
      <c r="R125" s="246"/>
      <c r="S125" s="350"/>
      <c r="T125" s="351">
        <f>SUM(T47:T61)</f>
        <v>2795571</v>
      </c>
      <c r="U125" s="352"/>
      <c r="V125" s="353">
        <f>SUM(V47:V61)</f>
        <v>2678326</v>
      </c>
      <c r="W125" s="350"/>
      <c r="Z125" s="351">
        <f>SUM(Z47:Z61)</f>
        <v>1127266</v>
      </c>
      <c r="AA125" s="352">
        <f>SUM(AA47:AA61)</f>
        <v>1633165</v>
      </c>
      <c r="AB125" s="352"/>
      <c r="AC125" s="246"/>
      <c r="AD125" s="350"/>
      <c r="AE125" s="351">
        <f>SUM(AE47:AE61)</f>
        <v>2402859</v>
      </c>
      <c r="AF125" s="352"/>
      <c r="AG125" s="353">
        <f>SUM(AG47:AG61)</f>
        <v>2424696</v>
      </c>
      <c r="AI125" s="351">
        <v>2402859</v>
      </c>
      <c r="AJ125" s="352">
        <v>2424696</v>
      </c>
      <c r="AK125" s="352"/>
      <c r="AL125" s="246"/>
      <c r="AM125" s="350"/>
      <c r="AN125" s="351">
        <f>SUM(AN47:AN61)</f>
        <v>2832640</v>
      </c>
      <c r="AO125" s="352"/>
      <c r="AP125" s="351">
        <f>SUM(AP47:AP61)</f>
        <v>1551368.0552823213</v>
      </c>
      <c r="AR125" s="351">
        <f>SUM(AR47:AR61)</f>
        <v>1569829</v>
      </c>
      <c r="AS125" s="352">
        <f>SUM(AS47:AS61)</f>
        <v>1444654</v>
      </c>
      <c r="AT125" s="352"/>
      <c r="AU125" s="246"/>
      <c r="AV125" s="350"/>
      <c r="AW125" s="351">
        <f>SUM(AW47:AW61)</f>
        <v>1841168</v>
      </c>
      <c r="AX125" s="352"/>
      <c r="AY125" s="351">
        <f>SUM(AY47:AY61)</f>
        <v>1677526.6969310569</v>
      </c>
      <c r="BA125" s="351">
        <f>SUM(BA47:BA61)</f>
        <v>1751689</v>
      </c>
      <c r="BB125" s="352">
        <f>SUM(BB47:BB61)</f>
        <v>2854315</v>
      </c>
      <c r="BC125" s="352"/>
      <c r="BD125" s="246"/>
      <c r="BE125" s="350"/>
      <c r="BF125" s="351">
        <f>SUM(BF47:BF61)</f>
        <v>2941904</v>
      </c>
      <c r="BG125" s="352"/>
      <c r="BH125" s="351">
        <f>SUM(BH47:BH61)</f>
        <v>2534880.8061205549</v>
      </c>
    </row>
    <row r="126" spans="1:60" x14ac:dyDescent="0.35">
      <c r="A126" s="9153"/>
      <c r="B126" s="6082"/>
      <c r="D126" s="1616" t="s">
        <v>570</v>
      </c>
      <c r="F126" s="349">
        <f>SUM(F63:F87)*F27</f>
        <v>2651792.9147237409</v>
      </c>
      <c r="G126" s="350"/>
      <c r="H126" s="351">
        <f>SUM(H63:H87)*H27</f>
        <v>3988944.4368158197</v>
      </c>
      <c r="I126" s="352">
        <f>SUM(I63:I87)*I27</f>
        <v>4052005.3799887253</v>
      </c>
      <c r="J126" s="246"/>
      <c r="K126" s="350"/>
      <c r="L126" s="351">
        <f>SUM(L63:L87)*L27</f>
        <v>4139439.841972474</v>
      </c>
      <c r="M126" s="353">
        <f>SUM(M63:M87)*M27</f>
        <v>4205536.816880689</v>
      </c>
      <c r="N126" s="350"/>
      <c r="O126" s="351">
        <f>SUM(O63:O87)*O27</f>
        <v>4190468.022365768</v>
      </c>
      <c r="P126" s="352">
        <f>SUM(P63:P87)*P27</f>
        <v>4068677.5580047839</v>
      </c>
      <c r="Q126" s="352"/>
      <c r="R126" s="246"/>
      <c r="S126" s="350"/>
      <c r="T126" s="351">
        <f>SUM(T63:T87)*T27</f>
        <v>5651749.53459372</v>
      </c>
      <c r="U126" s="352"/>
      <c r="V126" s="353">
        <f>SUM(V63:V87)*V27</f>
        <v>5653302.7236606907</v>
      </c>
      <c r="W126" s="350"/>
      <c r="Z126" s="351">
        <f>SUM(Z63:Z87)*Z27</f>
        <v>4190468.022365768</v>
      </c>
      <c r="AA126" s="352">
        <f>SUM(AA63:AA87)*AA27</f>
        <v>4068677.5580047839</v>
      </c>
      <c r="AB126" s="352"/>
      <c r="AC126" s="246"/>
      <c r="AD126" s="350"/>
      <c r="AE126" s="351">
        <f>SUM(AE64:AE87)*AE27</f>
        <v>6080803.5658110743</v>
      </c>
      <c r="AF126" s="352"/>
      <c r="AG126" s="353">
        <f>SUM(AG64:AG87)*AG27</f>
        <v>6153708.4397390885</v>
      </c>
      <c r="AI126" s="351">
        <v>6080803.5658110743</v>
      </c>
      <c r="AJ126" s="352">
        <v>6153708.4397390885</v>
      </c>
      <c r="AK126" s="352"/>
      <c r="AL126" s="246"/>
      <c r="AM126" s="350"/>
      <c r="AN126" s="351">
        <f>SUM(AN64:AN87)*AN27</f>
        <v>6251023.6230119476</v>
      </c>
      <c r="AO126" s="352"/>
      <c r="AP126" s="351">
        <f>SUM(AP64:AP87)*AP27</f>
        <v>6326253.5299556935</v>
      </c>
      <c r="AR126" s="351">
        <f>SUM(AR64:AR87)*AR27</f>
        <v>6327962.950056646</v>
      </c>
      <c r="AS126" s="352">
        <f>SUM(AS64:AS87)*AS27</f>
        <v>6322183.3095587231</v>
      </c>
      <c r="AT126" s="352"/>
      <c r="AU126" s="246"/>
      <c r="AV126" s="350"/>
      <c r="AW126" s="351">
        <f>SUM(AW64:AW87)*AW27</f>
        <v>6866227.2484732019</v>
      </c>
      <c r="AX126" s="352"/>
      <c r="AY126" s="351">
        <f>SUM(AY64:AY87)*AY27</f>
        <v>6893344.4445239669</v>
      </c>
      <c r="BA126" s="351">
        <f>SUM(BA64:BA87)*BA27</f>
        <v>6857117.5310413707</v>
      </c>
      <c r="BB126" s="352">
        <f>SUM(BB64:BB87)*BB27</f>
        <v>6948819.5154034216</v>
      </c>
      <c r="BC126" s="352"/>
      <c r="BD126" s="246"/>
      <c r="BE126" s="350"/>
      <c r="BF126" s="351">
        <f>SUM(BF64:BF87)*BF27</f>
        <v>10219529.745854573</v>
      </c>
      <c r="BG126" s="352"/>
      <c r="BH126" s="351">
        <f>SUM(BH64:BH87)*BH27</f>
        <v>10363635.65836584</v>
      </c>
    </row>
    <row r="127" spans="1:60" x14ac:dyDescent="0.35">
      <c r="A127" s="9153"/>
      <c r="B127" s="6082"/>
      <c r="D127" s="1616" t="s">
        <v>552</v>
      </c>
      <c r="F127" s="349">
        <f>SUM(F89:F108)</f>
        <v>10967506</v>
      </c>
      <c r="G127" s="350"/>
      <c r="H127" s="351">
        <f>SUM(H89:H108)</f>
        <v>14524017</v>
      </c>
      <c r="I127" s="352">
        <f>SUM(I89:I108)</f>
        <v>14720200</v>
      </c>
      <c r="J127" s="246"/>
      <c r="K127" s="350"/>
      <c r="L127" s="351">
        <f>SUM(L89:L108)</f>
        <v>16087363</v>
      </c>
      <c r="M127" s="353">
        <f>SUM(M89:M108)</f>
        <v>16304662.878912907</v>
      </c>
      <c r="N127" s="350"/>
      <c r="O127" s="351">
        <f>SUM(O89:O108)</f>
        <v>15450974</v>
      </c>
      <c r="P127" s="352">
        <f>SUM(P89:P108)</f>
        <v>15070255</v>
      </c>
      <c r="Q127" s="352"/>
      <c r="R127" s="246"/>
      <c r="S127" s="350"/>
      <c r="T127" s="351">
        <f>SUM(T89:T108)</f>
        <v>17852557</v>
      </c>
      <c r="U127" s="352"/>
      <c r="V127" s="353">
        <f>SUM(V89:V108)</f>
        <v>17525291</v>
      </c>
      <c r="W127" s="350"/>
      <c r="Z127" s="351">
        <f>SUM(Z89:Z108)</f>
        <v>15450974</v>
      </c>
      <c r="AA127" s="352">
        <f>SUM(AA89:AA108)</f>
        <v>15070255</v>
      </c>
      <c r="AB127" s="352"/>
      <c r="AC127" s="246"/>
      <c r="AD127" s="350"/>
      <c r="AE127" s="351">
        <f>SUM(AE89:AE108)</f>
        <v>20674942</v>
      </c>
      <c r="AF127" s="352"/>
      <c r="AG127" s="353">
        <f>SUM(AG89:AG108)</f>
        <v>19947989</v>
      </c>
      <c r="AI127" s="351">
        <v>20674942</v>
      </c>
      <c r="AJ127" s="352">
        <v>19947989</v>
      </c>
      <c r="AK127" s="352"/>
      <c r="AL127" s="246"/>
      <c r="AM127" s="350"/>
      <c r="AN127" s="351">
        <f>SUM(AN89:AN108)</f>
        <v>20982728</v>
      </c>
      <c r="AO127" s="352"/>
      <c r="AP127" s="351">
        <f>SUM(AP89:AP108)</f>
        <v>20222123.768725898</v>
      </c>
      <c r="AR127" s="351">
        <f>SUM(AR89:AR108)</f>
        <v>21100928</v>
      </c>
      <c r="AS127" s="352">
        <f>SUM(AS89:AS108)</f>
        <v>21342918</v>
      </c>
      <c r="AT127" s="352"/>
      <c r="AU127" s="246"/>
      <c r="AV127" s="350"/>
      <c r="AW127" s="351">
        <f>SUM(AW89:AW108)</f>
        <v>24936946</v>
      </c>
      <c r="AX127" s="352"/>
      <c r="AY127" s="351">
        <f>SUM(AY89:AY108)</f>
        <v>25256730.671260927</v>
      </c>
      <c r="BA127" s="351">
        <f>SUM(BA89:BA108)</f>
        <v>24936946</v>
      </c>
      <c r="BB127" s="352">
        <f>SUM(BB89:BB108)</f>
        <v>24724464</v>
      </c>
      <c r="BC127" s="352"/>
      <c r="BD127" s="246"/>
      <c r="BE127" s="350"/>
      <c r="BF127" s="351">
        <f>SUM(BF89:BF108)</f>
        <v>25624234</v>
      </c>
      <c r="BG127" s="352"/>
      <c r="BH127" s="351">
        <f>SUM(BH89:BH108)</f>
        <v>25424036.210015859</v>
      </c>
    </row>
    <row r="128" spans="1:60" x14ac:dyDescent="0.35">
      <c r="A128" s="9153"/>
      <c r="B128" s="6082"/>
      <c r="D128" s="889" t="s">
        <v>571</v>
      </c>
      <c r="E128" s="143"/>
      <c r="F128" s="357">
        <f>SUM(F124:F127)</f>
        <v>27884781.914723739</v>
      </c>
      <c r="G128" s="358"/>
      <c r="H128" s="359">
        <f>SUM(H124:H127)</f>
        <v>35239114.436815821</v>
      </c>
      <c r="I128" s="360">
        <f>SUM(I124:I127)</f>
        <v>37156620.37998873</v>
      </c>
      <c r="J128" s="361"/>
      <c r="K128" s="358"/>
      <c r="L128" s="359">
        <f>SUM(L124:L127)</f>
        <v>36548373.84197247</v>
      </c>
      <c r="M128" s="362">
        <f>SUM(M124:M127)</f>
        <v>36062820.296753988</v>
      </c>
      <c r="N128" s="358"/>
      <c r="O128" s="359">
        <f>SUM(O124:O127)</f>
        <v>35833766.022365764</v>
      </c>
      <c r="P128" s="360">
        <f>SUM(P124:P127)</f>
        <v>34429662.558004782</v>
      </c>
      <c r="Q128" s="360"/>
      <c r="R128" s="361"/>
      <c r="S128" s="358"/>
      <c r="T128" s="359">
        <f>SUM(T124:T127)</f>
        <v>44283789.534593716</v>
      </c>
      <c r="U128" s="360"/>
      <c r="V128" s="362">
        <f>SUM(V124:V127)</f>
        <v>43280554.723660693</v>
      </c>
      <c r="W128" s="358"/>
      <c r="Z128" s="359">
        <f>SUM(Z124:Z127)</f>
        <v>35016812.022365764</v>
      </c>
      <c r="AA128" s="360">
        <f>SUM(AA124:AA127)</f>
        <v>34429662.558004782</v>
      </c>
      <c r="AB128" s="360"/>
      <c r="AC128" s="361"/>
      <c r="AD128" s="358"/>
      <c r="AE128" s="359">
        <f>SUM(AE124:AE127)</f>
        <v>46428276.565811075</v>
      </c>
      <c r="AF128" s="360"/>
      <c r="AG128" s="362">
        <f>SUM(AG124:AG127)</f>
        <v>45738084.439739093</v>
      </c>
      <c r="AI128" s="359">
        <v>46428276.565811075</v>
      </c>
      <c r="AJ128" s="360">
        <v>45738084.439739093</v>
      </c>
      <c r="AK128" s="360"/>
      <c r="AL128" s="361"/>
      <c r="AM128" s="358"/>
      <c r="AN128" s="359">
        <f>SUM(AN124:AN127)</f>
        <v>47297431.623011947</v>
      </c>
      <c r="AO128" s="360"/>
      <c r="AP128" s="359">
        <f>SUM(AP124:AP127)</f>
        <v>44259780.644277483</v>
      </c>
      <c r="AR128" s="359">
        <f>SUM(AR124:AR127)</f>
        <v>49111128.950056642</v>
      </c>
      <c r="AS128" s="360">
        <f>SUM(AS124:AS127)</f>
        <v>48298672.309558719</v>
      </c>
      <c r="AT128" s="360"/>
      <c r="AU128" s="361"/>
      <c r="AV128" s="358"/>
      <c r="AW128" s="359">
        <f>SUM(AW124:AW127)</f>
        <v>55618178.248473197</v>
      </c>
      <c r="AX128" s="360"/>
      <c r="AY128" s="359">
        <f>SUM(AY124:AY127)</f>
        <v>54709411.534944266</v>
      </c>
      <c r="BA128" s="359">
        <f>SUM(BA124:BA127)</f>
        <v>55519589.531041369</v>
      </c>
      <c r="BB128" s="360">
        <f>SUM(BB124:BB127)</f>
        <v>54388125.51540342</v>
      </c>
      <c r="BC128" s="360"/>
      <c r="BD128" s="361"/>
      <c r="BE128" s="358"/>
      <c r="BF128" s="359">
        <f>SUM(BF124:BF127)</f>
        <v>57593740.745854571</v>
      </c>
      <c r="BG128" s="360"/>
      <c r="BH128" s="359">
        <f>SUM(BH124:BH127)</f>
        <v>55521069.543127611</v>
      </c>
    </row>
    <row r="129" spans="1:60" ht="15.5" x14ac:dyDescent="0.35">
      <c r="A129" s="9153"/>
      <c r="B129" s="6082"/>
      <c r="D129" s="889" t="s">
        <v>572</v>
      </c>
      <c r="F129" s="366">
        <f>F128/(F17+F18)</f>
        <v>0.19545926810241745</v>
      </c>
      <c r="G129" s="367"/>
      <c r="H129" s="368">
        <f>H128/(H17+H18)</f>
        <v>0.16821694331466785</v>
      </c>
      <c r="I129" s="369">
        <f>I128/(I17+I18)</f>
        <v>0.20815134752436593</v>
      </c>
      <c r="J129" s="370"/>
      <c r="K129" s="367"/>
      <c r="L129" s="368">
        <f>L128/(L17+L18)</f>
        <v>0.20114902337953985</v>
      </c>
      <c r="M129" s="370">
        <f>M128/(M17+M18)</f>
        <v>0.21685960917121452</v>
      </c>
      <c r="N129" s="367"/>
      <c r="O129" s="368">
        <f>O128/(O17+O18)</f>
        <v>0.19297250145636793</v>
      </c>
      <c r="P129" s="369">
        <f>P128/(P17+P18)</f>
        <v>0.20038559827222724</v>
      </c>
      <c r="Q129" s="369"/>
      <c r="R129" s="370"/>
      <c r="S129" s="367"/>
      <c r="T129" s="368">
        <f>T128/(T17+T18)</f>
        <v>0.20455171926894536</v>
      </c>
      <c r="U129" s="369"/>
      <c r="V129" s="370">
        <f>V128/(V17+V18)</f>
        <v>0.20200166675217412</v>
      </c>
      <c r="W129" s="367"/>
      <c r="Z129" s="368">
        <f>Z128/(Z17+Z18)</f>
        <v>0.18857302926981664</v>
      </c>
      <c r="AA129" s="369">
        <f>AA128/(AA17+AA18)</f>
        <v>0.20038559827222724</v>
      </c>
      <c r="AB129" s="369"/>
      <c r="AC129" s="370"/>
      <c r="AD129" s="367"/>
      <c r="AE129" s="368">
        <f>AE128/(AE17+AE18)</f>
        <v>0.198168358570572</v>
      </c>
      <c r="AF129" s="369"/>
      <c r="AG129" s="370">
        <f>AG128/(AG17+AG18)</f>
        <v>0.19528906848951111</v>
      </c>
      <c r="AI129" s="368">
        <v>0.198168358570572</v>
      </c>
      <c r="AJ129" s="369">
        <v>0.19528906848951111</v>
      </c>
      <c r="AK129" s="369"/>
      <c r="AL129" s="370"/>
      <c r="AM129" s="367"/>
      <c r="AN129" s="368">
        <f>AN128/(AN17+AN18)</f>
        <v>0.17708175245938612</v>
      </c>
      <c r="AO129" s="369"/>
      <c r="AP129" s="368">
        <f>AP128/(AP17+AP18)</f>
        <v>0.16752632134536335</v>
      </c>
      <c r="AR129" s="368">
        <f>AR128/(AR17+AR18)</f>
        <v>0.19796333564695051</v>
      </c>
      <c r="AS129" s="369">
        <v>0.19528906848951111</v>
      </c>
      <c r="AT129" s="369"/>
      <c r="AU129" s="370"/>
      <c r="AV129" s="367"/>
      <c r="AW129" s="368">
        <f>AW128/(AW17+AW18)</f>
        <v>0.19696195689223217</v>
      </c>
      <c r="AX129" s="369"/>
      <c r="AY129" s="368">
        <f>AY128/(AY17+AY18)</f>
        <v>0.19044159801175345</v>
      </c>
      <c r="BA129" s="368">
        <f>BA128/(BA17+BA18)</f>
        <v>0.19661282235880467</v>
      </c>
      <c r="BB129" s="369">
        <v>0.19528906848951111</v>
      </c>
      <c r="BC129" s="369"/>
      <c r="BD129" s="370"/>
      <c r="BE129" s="367"/>
      <c r="BF129" s="368">
        <f>BF128/(BF17+BF18)</f>
        <v>0.18127778945359188</v>
      </c>
      <c r="BG129" s="369"/>
      <c r="BH129" s="368">
        <f>BH128/(BH17+BH18)</f>
        <v>0.18011526309798997</v>
      </c>
    </row>
    <row r="130" spans="1:60" x14ac:dyDescent="0.35">
      <c r="A130" s="9153"/>
      <c r="B130" s="371"/>
      <c r="C130" s="382"/>
      <c r="D130" s="296" t="s">
        <v>573</v>
      </c>
      <c r="E130" s="374"/>
      <c r="F130" s="679">
        <f>(F34+F36)-(F39+F41+F43)+(F47+F49+F51+F52+F54+F55+F56)+(F89+F91+F93+F95+F97+F99+F101+F103+F105+F107)+F126</f>
        <v>27884781.914723739</v>
      </c>
      <c r="G130" s="385"/>
      <c r="H130" s="381">
        <f>(H34+H36)-(H39+H41+H43)+(H47+H49+H51+H52+H54+H55+H56)+(H89+H91+H93+H95+H97+H99+H101+H103+H105+H107)+H126</f>
        <v>35239114.436815821</v>
      </c>
      <c r="I130" s="382">
        <f>(I34+I36)-(I39+I41+I43)+(I47+I49+I51+I52+I54+I55+I56)+(I89+I91+I93+I95+I97+I99+I101+I103+I105+I107)+I126</f>
        <v>36366917.379988723</v>
      </c>
      <c r="J130" s="384"/>
      <c r="K130" s="385"/>
      <c r="L130" s="381">
        <f>(L34+L36)-(L39+L41+L43)+(L47+L49+L51+L52+L54+L55+L56)+(L89+L91+L93+L95+L97+L99+L101+L103+L105+L107)+L126</f>
        <v>36340448.84197247</v>
      </c>
      <c r="M130" s="680">
        <f>(M34+M36)-(M39+M41+M43)+(M47+M49+M51+M52+M54+M55+M56)+(M89+M91+M93+M95+M97+M99+M101+M103+M105+M107)+M126</f>
        <v>35881509.296753988</v>
      </c>
      <c r="N130" s="385"/>
      <c r="O130" s="381">
        <f>(O34+O36)-(O39+O41+O43)+(O47+O49+O51+O52+O54+O55+O56)+(O89+O91+O93+O95+O97+O99+O101+O103+O105+O107)+O126</f>
        <v>32796448.022365768</v>
      </c>
      <c r="P130" s="382">
        <f>(P34+P36)-(P39+P41+P43)+(P47+P49+P51+P52+P54+P55+P56)+(P89+P91+P93+P95+P97+P99+P101+P103+P105+P107)+P126</f>
        <v>31982644.558004785</v>
      </c>
      <c r="Q130" s="383"/>
      <c r="R130" s="384"/>
      <c r="S130" s="385"/>
      <c r="T130" s="386">
        <f>(T34+T36)-(T39+T41+T43)+(T47+T49+T51+T52+T54+T55+T56)+(T89+T91+T93+T95+T97+T99+T101+T103+T105+T107)+T126</f>
        <v>38888865.534593716</v>
      </c>
      <c r="U130" s="1059"/>
      <c r="V130" s="680">
        <f>(V34+V36)-(V39+V41+V43)+(V47+V49+V51+V52+V54+V55+V56)+(V89+V91+V93+V95+V97+V99+V101+V103+V105+V107)+V126</f>
        <v>38419764.723660693</v>
      </c>
      <c r="W130" s="1055"/>
      <c r="Z130" s="381">
        <f>(Z34+Z36)-(Z39+Z41+Z43)+(Z47+Z49+Z51+Z52+Z54+Z55+Z56)+(Z89+Z91+Z93+Z95+Z97+Z99+Z101+Z103+Z105+Z107)+Z126</f>
        <v>32173919.022365768</v>
      </c>
      <c r="AA130" s="382">
        <f>(AA34+AA36)-(AA39+AA41+AA43)+(AA47+AA49+AA51+AA52+AA54+AA55+AA56)+(AA89+AA91+AA93+AA95+AA97+AA99+AA101+AA103+AA105+AA107)+AA126</f>
        <v>31982644.558004785</v>
      </c>
      <c r="AB130" s="383"/>
      <c r="AC130" s="384"/>
      <c r="AD130" s="385"/>
      <c r="AE130" s="386">
        <f>(AE34+AE36)-(AE39+AE41+AE43)+(AE47+AE49+AE51+AE52+AE54+AE55+AE56)+(AE89+AE91+AE93+AE95+AE97+AE99+AE101+AE103+AE105+AE107)+AE126</f>
        <v>44961618.565811075</v>
      </c>
      <c r="AF130" s="1059"/>
      <c r="AG130" s="680">
        <f>(AG34+AG36)-(AG39+AG41+AG43)+(AG47+AG49+AG51+AG52+AG54+AG55+AG56)+(AG89+AG91+AG93+AG95+AG97+AG99+AG101+AG103+AG105+AG107)+AG126</f>
        <v>44368417.439739086</v>
      </c>
      <c r="AI130" s="381">
        <v>44961618.565811075</v>
      </c>
      <c r="AJ130" s="382">
        <v>44368417.439739086</v>
      </c>
      <c r="AK130" s="383"/>
      <c r="AL130" s="384"/>
      <c r="AM130" s="385"/>
      <c r="AN130" s="386">
        <f>(AN34+AN36)-(AN39+AN41+AN43)+(AN47+AN49+AN51+AN52+AN54+AN55+AN56)+(AN89+AN91+AN93+AN95+AN97+AN99+AN101+AN103+AN105+AN107)+AN126</f>
        <v>45554111.623011947</v>
      </c>
      <c r="AO130" s="1059"/>
      <c r="AP130" s="386">
        <f>(AP34+AP36)-(AP39+AP41+AP43)+(AP47+AP49+AP51+AP52+AP54+AP55+AP56)+(AP89+AP91+AP93+AP95+AP97+AP99+AP101+AP103+AP105+AP107)+AP126</f>
        <v>42536366.030615978</v>
      </c>
      <c r="AR130" s="381">
        <f>(AR34+AR36)-(AR39+AR41+AR43)+(AR47+AR49+AR51+AR53+AR55+AR56+AR57)+(AR89+AR91+AR93+AR95+AR97+AR99+AR101+AR103+AR105+AR107)+AR126</f>
        <v>44368239.950056642</v>
      </c>
      <c r="AS130" s="382">
        <v>44368417.439739086</v>
      </c>
      <c r="AT130" s="383"/>
      <c r="AU130" s="384"/>
      <c r="AV130" s="385"/>
      <c r="AW130" s="386">
        <f>(AW34+AW36)-(AW39+AW41+AW43)+(AW47+AW49+AW51+AW53+AW55+AW56+AW57)+(AW89+AW91+AW93+AW95+AW97+AW99+AW101+AW103+AW105+AW107)+AW126</f>
        <v>49359678.248473205</v>
      </c>
      <c r="AX130" s="1059"/>
      <c r="AY130" s="386">
        <f>(AY34+AY36)-(AY39+AY41+AY43)+(AY47+AY49+AY51+AY53+AY55+AY56+AY57)+(AY89+AY91+AY93+AY95+AY97+AY99+AY101+AY103+AY105+AY107)+AY126</f>
        <v>49284963.827078365</v>
      </c>
      <c r="BA130" s="381">
        <f>(BA34+BA36)-(BA39+BA41+BA43)+(BA47+BA49+BA51+BA53+BA55+BA56+BA57)+(BA89+BA91+BA93+BA95+BA97+BA99+BA101+BA103+BA105+BA107)+BA126</f>
        <v>49261089.531041369</v>
      </c>
      <c r="BB130" s="382">
        <v>44368417.439739086</v>
      </c>
      <c r="BC130" s="383"/>
      <c r="BD130" s="384"/>
      <c r="BE130" s="385"/>
      <c r="BF130" s="386">
        <f>(BF34+BF36)-(BF39+BF41+BF43)+(BF47+BF49+BF51+BF53+BF55+BF56+BF57)+(BF89+BF91+BF93+BF95+BF97+BF99+BF101+BF103+BF105+BF107)+BF126</f>
        <v>53616656.745854571</v>
      </c>
      <c r="BG130" s="1059"/>
      <c r="BH130" s="386">
        <f>(BH34+BH36)-(BH39+BH41+BH43)+(BH47+BH49+BH51+BH53+BH55+BH56+BH57)+(BH89+BH91+BH93+BH95+BH97+BH99+BH101+BH103+BH105+BH107)+BH126</f>
        <v>52490015.962122686</v>
      </c>
    </row>
    <row r="131" spans="1:60" x14ac:dyDescent="0.35">
      <c r="A131" s="9153"/>
      <c r="B131" s="58"/>
      <c r="C131" s="398"/>
      <c r="D131" s="296" t="s">
        <v>575</v>
      </c>
      <c r="E131" s="392"/>
      <c r="F131" s="683">
        <f>(F128-F130)/F18</f>
        <v>0</v>
      </c>
      <c r="G131" s="401"/>
      <c r="H131" s="397">
        <f>(H128-H130)/H18</f>
        <v>0</v>
      </c>
      <c r="I131" s="398">
        <f>(I128-I130)/I18</f>
        <v>1.5480238414760754E-2</v>
      </c>
      <c r="J131" s="400"/>
      <c r="K131" s="401"/>
      <c r="L131" s="397">
        <f>(L128-L130)/L18</f>
        <v>5.324771904237028E-3</v>
      </c>
      <c r="M131" s="684">
        <f>(M128-M130)/M18</f>
        <v>7.3901656128233404E-3</v>
      </c>
      <c r="N131" s="401"/>
      <c r="O131" s="397">
        <f>(O128-O130)/O18</f>
        <v>7.778297727850611E-2</v>
      </c>
      <c r="P131" s="398">
        <f>(P128-P130)/P18</f>
        <v>7.9798709155313119E-2</v>
      </c>
      <c r="Q131" s="399"/>
      <c r="R131" s="400"/>
      <c r="S131" s="401"/>
      <c r="T131" s="402">
        <f>(T128-T130)/T18</f>
        <v>0.10338310701216388</v>
      </c>
      <c r="U131" s="1061"/>
      <c r="V131" s="684">
        <f>(V128-V130)/V18</f>
        <v>0.10210357148138538</v>
      </c>
      <c r="W131" s="392"/>
      <c r="Z131" s="397">
        <f>(Z128-Z130)/Z18</f>
        <v>7.2803928210422489E-2</v>
      </c>
      <c r="AA131" s="398">
        <f>(AA128-AA130)/AA18</f>
        <v>7.9798709155313119E-2</v>
      </c>
      <c r="AB131" s="399"/>
      <c r="AC131" s="400"/>
      <c r="AD131" s="401"/>
      <c r="AE131" s="402">
        <f>(AE128-AE130)/AE18</f>
        <v>2.5840390855604828E-2</v>
      </c>
      <c r="AF131" s="1061"/>
      <c r="AG131" s="684">
        <f>(AG128-AG130)/AG18</f>
        <v>2.3555673267011846E-2</v>
      </c>
      <c r="AI131" s="397">
        <v>2.5840390855604828E-2</v>
      </c>
      <c r="AJ131" s="398">
        <v>2.3555673267011846E-2</v>
      </c>
      <c r="AK131" s="399"/>
      <c r="AL131" s="400"/>
      <c r="AM131" s="401"/>
      <c r="AN131" s="402">
        <f>(AN128-AN130)/AN18</f>
        <v>2.9200154908285716E-2</v>
      </c>
      <c r="AO131" s="1061"/>
      <c r="AP131" s="402">
        <f>(AP128-AP130)/AP18</f>
        <v>2.7950828344061422E-2</v>
      </c>
      <c r="AR131" s="1222">
        <f>(AR128-AR130)/AR18</f>
        <v>7.9442152624190812E-2</v>
      </c>
      <c r="AS131" s="1218">
        <v>2.3555673267011846E-2</v>
      </c>
      <c r="AT131" s="8490"/>
      <c r="AU131" s="8491"/>
      <c r="AV131" s="8492"/>
      <c r="AW131" s="1211">
        <f>(AW128-AW130)/AW18</f>
        <v>9.033820192032288E-2</v>
      </c>
      <c r="AX131" s="8240"/>
      <c r="AY131" s="1211">
        <f>(AY128-AY130)/AY18</f>
        <v>7.9209631723122273E-2</v>
      </c>
      <c r="BA131" s="1222">
        <f>(BA128-BA130)/BA18</f>
        <v>9.0338201920322991E-2</v>
      </c>
      <c r="BB131" s="1218">
        <v>2.3555673267011846E-2</v>
      </c>
      <c r="BC131" s="8490"/>
      <c r="BD131" s="8491"/>
      <c r="BE131" s="8492"/>
      <c r="BF131" s="1211">
        <f>(BF128-BF130)/BF18</f>
        <v>5.2251165060098803E-2</v>
      </c>
      <c r="BG131" s="8240"/>
      <c r="BH131" s="1211">
        <f>(BH128-BH130)/BH18</f>
        <v>4.1634775309969153E-2</v>
      </c>
    </row>
    <row r="132" spans="1:60" x14ac:dyDescent="0.35">
      <c r="A132" s="9153"/>
      <c r="B132" s="58"/>
      <c r="C132" s="398"/>
      <c r="D132" s="296" t="s">
        <v>576</v>
      </c>
      <c r="E132" s="392"/>
      <c r="F132" s="683">
        <f>F130/F17</f>
        <v>0.30130532858641712</v>
      </c>
      <c r="G132" s="401"/>
      <c r="H132" s="397">
        <f>H130/H17</f>
        <v>0.2746778867724029</v>
      </c>
      <c r="I132" s="398">
        <f>I130/I17</f>
        <v>0.28524394644480167</v>
      </c>
      <c r="J132" s="400"/>
      <c r="K132" s="401"/>
      <c r="L132" s="397">
        <f>L130/L17</f>
        <v>0.25475365459002841</v>
      </c>
      <c r="M132" s="684">
        <f>M130/M17</f>
        <v>0.25311161425441853</v>
      </c>
      <c r="N132" s="401"/>
      <c r="O132" s="397">
        <f>O130/O17</f>
        <v>0.22364515664872958</v>
      </c>
      <c r="P132" s="398">
        <f>P130/P17</f>
        <v>0.22658273538825172</v>
      </c>
      <c r="Q132" s="399"/>
      <c r="R132" s="400"/>
      <c r="S132" s="401"/>
      <c r="T132" s="402">
        <f>T130/T17</f>
        <v>0.23668259751904921</v>
      </c>
      <c r="U132" s="1061"/>
      <c r="V132" s="684">
        <f>V130/V17</f>
        <v>0.23053895876436056</v>
      </c>
      <c r="W132" s="392"/>
      <c r="Z132" s="397">
        <f>Z130/Z17</f>
        <v>0.21940001413730786</v>
      </c>
      <c r="AA132" s="398">
        <f>AA130/AA17</f>
        <v>0.22658273538825172</v>
      </c>
      <c r="AB132" s="399"/>
      <c r="AC132" s="400"/>
      <c r="AD132" s="401"/>
      <c r="AE132" s="402">
        <f>AE130/AE17</f>
        <v>0.25326397157806319</v>
      </c>
      <c r="AF132" s="1061"/>
      <c r="AG132" s="684">
        <f>AG130/AG17</f>
        <v>0.25200573755082517</v>
      </c>
      <c r="AI132" s="397">
        <v>0.25326397157806319</v>
      </c>
      <c r="AJ132" s="398">
        <v>0.25200573755082517</v>
      </c>
      <c r="AK132" s="399"/>
      <c r="AL132" s="400"/>
      <c r="AM132" s="401"/>
      <c r="AN132" s="402">
        <f>AN130/AN17</f>
        <v>0.21965291136559487</v>
      </c>
      <c r="AO132" s="1061"/>
      <c r="AP132" s="402">
        <f>AP130/AP17</f>
        <v>0.21001757120892522</v>
      </c>
      <c r="AR132" s="1222">
        <f>AR130/AR17</f>
        <v>0.23552581485533375</v>
      </c>
      <c r="AS132" s="1218">
        <v>0.25200573755082517</v>
      </c>
      <c r="AT132" s="8490"/>
      <c r="AU132" s="8491"/>
      <c r="AV132" s="8492"/>
      <c r="AW132" s="1211">
        <f>AW130/AW17</f>
        <v>0.2316249260756825</v>
      </c>
      <c r="AX132" s="8240"/>
      <c r="AY132" s="1211">
        <f>AY130/AY17</f>
        <v>0.22525696083636407</v>
      </c>
      <c r="BA132" s="1222">
        <f>BA130/BA17</f>
        <v>0.23116228925961388</v>
      </c>
      <c r="BB132" s="1218">
        <v>0.25200573755082517</v>
      </c>
      <c r="BC132" s="8490"/>
      <c r="BD132" s="8491"/>
      <c r="BE132" s="8492"/>
      <c r="BF132" s="1211">
        <f>BF130/BF17</f>
        <v>0.22192773535944454</v>
      </c>
      <c r="BG132" s="8240"/>
      <c r="BH132" s="1211">
        <f>BH130/BH17</f>
        <v>0.22293299014596463</v>
      </c>
    </row>
    <row r="133" spans="1:60" x14ac:dyDescent="0.35">
      <c r="A133" s="9153"/>
      <c r="B133" s="58"/>
      <c r="C133" s="398"/>
      <c r="D133" s="296"/>
      <c r="E133" s="392"/>
      <c r="F133" s="683"/>
      <c r="G133" s="401"/>
      <c r="H133" s="397"/>
      <c r="I133" s="398"/>
      <c r="J133" s="400"/>
      <c r="K133" s="401"/>
      <c r="L133" s="397"/>
      <c r="M133" s="684"/>
      <c r="N133" s="401"/>
      <c r="O133" s="397"/>
      <c r="P133" s="398"/>
      <c r="Q133" s="399"/>
      <c r="R133" s="400"/>
      <c r="S133" s="401"/>
      <c r="T133" s="402"/>
      <c r="U133" s="1061"/>
      <c r="V133" s="684"/>
      <c r="W133" s="392"/>
      <c r="Z133" s="397"/>
      <c r="AA133" s="398"/>
      <c r="AB133" s="399"/>
      <c r="AC133" s="400"/>
      <c r="AD133" s="401"/>
      <c r="AE133" s="402"/>
      <c r="AF133" s="1061"/>
      <c r="AG133" s="684"/>
      <c r="AI133" s="397"/>
      <c r="AJ133" s="398"/>
      <c r="AK133" s="399"/>
      <c r="AL133" s="400"/>
      <c r="AM133" s="401"/>
      <c r="AN133" s="402"/>
      <c r="AO133" s="1061"/>
      <c r="AP133" s="402"/>
      <c r="AR133" s="1222"/>
      <c r="AS133" s="1218"/>
      <c r="AT133" s="8490"/>
      <c r="AU133" s="8491"/>
      <c r="AV133" s="8492"/>
      <c r="AW133" s="1211"/>
      <c r="AX133" s="8240"/>
      <c r="AY133" s="1211"/>
      <c r="BA133" s="1222"/>
      <c r="BB133" s="1218"/>
      <c r="BC133" s="8490"/>
      <c r="BD133" s="8491"/>
      <c r="BE133" s="8492"/>
      <c r="BF133" s="1211"/>
      <c r="BG133" s="8240"/>
      <c r="BH133" s="1211"/>
    </row>
    <row r="134" spans="1:60" x14ac:dyDescent="0.35">
      <c r="A134" s="9153"/>
      <c r="B134" s="58"/>
      <c r="C134" s="398"/>
      <c r="D134" s="296" t="s">
        <v>577</v>
      </c>
      <c r="E134" s="392"/>
      <c r="F134" s="683">
        <f>F128/F12</f>
        <v>0.22863800170679779</v>
      </c>
      <c r="G134" s="401"/>
      <c r="H134" s="397">
        <f>H128/H12</f>
        <v>0.2065941105832956</v>
      </c>
      <c r="I134" s="398">
        <f>I128/I12</f>
        <v>0.25090568498241328</v>
      </c>
      <c r="J134" s="400"/>
      <c r="K134" s="401"/>
      <c r="L134" s="397">
        <f>L128/L12</f>
        <v>0.21998367691811818</v>
      </c>
      <c r="M134" s="684">
        <f>M128/M12</f>
        <v>0.25001348356119535</v>
      </c>
      <c r="N134" s="401"/>
      <c r="O134" s="397">
        <f>O128/O12</f>
        <v>0.21568247171563143</v>
      </c>
      <c r="P134" s="398">
        <f>P128/P12</f>
        <v>0.2096877669704813</v>
      </c>
      <c r="Q134" s="399"/>
      <c r="R134" s="400"/>
      <c r="S134" s="401"/>
      <c r="T134" s="402">
        <f>T128/T12</f>
        <v>0.25331899157187349</v>
      </c>
      <c r="U134" s="1061"/>
      <c r="V134" s="684">
        <f>V128/V12</f>
        <v>0.24548800739048221</v>
      </c>
      <c r="W134" s="392"/>
      <c r="Z134" s="397">
        <f>Z128/Z12</f>
        <v>0.21076524761230958</v>
      </c>
      <c r="AA134" s="398">
        <f>AA128/AA12</f>
        <v>0.2096877669704813</v>
      </c>
      <c r="AB134" s="399"/>
      <c r="AC134" s="400"/>
      <c r="AD134" s="401"/>
      <c r="AE134" s="402">
        <f>AE128/AE12</f>
        <v>0.2135317384298655</v>
      </c>
      <c r="AF134" s="1061"/>
      <c r="AG134" s="684">
        <f>AG128/AG12</f>
        <v>0.20177876373505368</v>
      </c>
      <c r="AI134" s="397">
        <v>0.2135317384298655</v>
      </c>
      <c r="AJ134" s="398">
        <v>0.20177876373505368</v>
      </c>
      <c r="AK134" s="399"/>
      <c r="AL134" s="400"/>
      <c r="AM134" s="401"/>
      <c r="AN134" s="402">
        <f>AN128/AN12</f>
        <v>0.20240080859196899</v>
      </c>
      <c r="AO134" s="1061"/>
      <c r="AP134" s="402">
        <f>AP128/AP12</f>
        <v>0.21018617029793626</v>
      </c>
      <c r="AR134" s="1222">
        <f>AR128/AR12</f>
        <v>0.24329311126688347</v>
      </c>
      <c r="AS134" s="1218">
        <v>0.20177876373505368</v>
      </c>
      <c r="AT134" s="8490"/>
      <c r="AU134" s="8491"/>
      <c r="AV134" s="8492"/>
      <c r="AW134" s="1211">
        <f>AW128/AW12</f>
        <v>0.23337342022418286</v>
      </c>
      <c r="AX134" s="8240"/>
      <c r="AY134" s="1211">
        <f>AY128/AY12</f>
        <v>0.21367003550849109</v>
      </c>
      <c r="BA134" s="1222">
        <f>BA128/BA12</f>
        <v>0.23295974277362355</v>
      </c>
      <c r="BB134" s="1218">
        <v>0.20177876373505368</v>
      </c>
      <c r="BC134" s="8490"/>
      <c r="BD134" s="8491"/>
      <c r="BE134" s="8492"/>
      <c r="BF134" s="1211">
        <f>BF128/BF12</f>
        <v>0.25035796928098397</v>
      </c>
      <c r="BG134" s="8240"/>
      <c r="BH134" s="1211">
        <f>BH128/BH12</f>
        <v>0.23907829834857891</v>
      </c>
    </row>
    <row r="135" spans="1:60" x14ac:dyDescent="0.35">
      <c r="A135" s="9153"/>
      <c r="B135" s="58"/>
      <c r="C135" s="1993"/>
      <c r="D135" s="59" t="s">
        <v>578</v>
      </c>
      <c r="E135" s="392"/>
      <c r="F135" s="2966"/>
      <c r="G135" s="1742"/>
      <c r="H135" s="572"/>
      <c r="I135" s="1993"/>
      <c r="J135" s="247"/>
      <c r="K135" s="1742"/>
      <c r="L135" s="572"/>
      <c r="M135" s="3434"/>
      <c r="N135" s="1742"/>
      <c r="O135" s="572"/>
      <c r="P135" s="1993"/>
      <c r="Q135" s="254"/>
      <c r="R135" s="247"/>
      <c r="S135" s="1742"/>
      <c r="T135" s="1994"/>
      <c r="U135" s="3249"/>
      <c r="V135" s="3434"/>
      <c r="W135" s="392"/>
      <c r="Z135" s="572"/>
      <c r="AA135" s="1993"/>
      <c r="AB135" s="254"/>
      <c r="AC135" s="247"/>
      <c r="AD135" s="1742"/>
      <c r="AE135" s="1994"/>
      <c r="AF135" s="3249"/>
      <c r="AG135" s="3434"/>
      <c r="AI135" s="572"/>
      <c r="AJ135" s="1993"/>
      <c r="AK135" s="254"/>
      <c r="AL135" s="247"/>
      <c r="AM135" s="1742"/>
      <c r="AN135" s="1994"/>
      <c r="AO135" s="3249"/>
      <c r="AP135" s="1994"/>
      <c r="AR135" s="572"/>
      <c r="AS135" s="1993"/>
      <c r="AT135" s="254"/>
      <c r="AU135" s="247"/>
      <c r="AV135" s="1742"/>
      <c r="AW135" s="1994"/>
      <c r="AX135" s="3249"/>
      <c r="AY135" s="1994"/>
      <c r="BA135" s="572"/>
      <c r="BB135" s="1993"/>
      <c r="BC135" s="254"/>
      <c r="BD135" s="247"/>
      <c r="BE135" s="1742"/>
      <c r="BF135" s="1994"/>
      <c r="BG135" s="3249"/>
      <c r="BH135" s="1994"/>
    </row>
    <row r="136" spans="1:60" x14ac:dyDescent="0.35">
      <c r="A136" s="9153"/>
      <c r="B136" s="58"/>
      <c r="C136" s="406"/>
      <c r="D136" s="296" t="s">
        <v>579</v>
      </c>
      <c r="E136" s="392"/>
      <c r="F136" s="413"/>
      <c r="G136" s="409"/>
      <c r="H136" s="405"/>
      <c r="I136" s="406"/>
      <c r="J136" s="408"/>
      <c r="K136" s="409"/>
      <c r="L136" s="405"/>
      <c r="M136" s="691"/>
      <c r="N136" s="409"/>
      <c r="O136" s="405"/>
      <c r="P136" s="406"/>
      <c r="Q136" s="407"/>
      <c r="R136" s="408"/>
      <c r="S136" s="409"/>
      <c r="T136" s="410"/>
      <c r="U136" s="4963"/>
      <c r="V136" s="691"/>
      <c r="W136" s="392"/>
      <c r="Z136" s="405"/>
      <c r="AA136" s="406"/>
      <c r="AB136" s="407"/>
      <c r="AC136" s="408"/>
      <c r="AD136" s="409"/>
      <c r="AE136" s="410"/>
      <c r="AF136" s="4963"/>
      <c r="AG136" s="691"/>
      <c r="AI136" s="405"/>
      <c r="AJ136" s="406"/>
      <c r="AK136" s="407"/>
      <c r="AL136" s="408"/>
      <c r="AM136" s="409"/>
      <c r="AN136" s="410"/>
      <c r="AO136" s="4963"/>
      <c r="AP136" s="410"/>
      <c r="AR136" s="8427"/>
      <c r="AS136" s="8428"/>
      <c r="AT136" s="8493"/>
      <c r="AU136" s="8494"/>
      <c r="AV136" s="8495"/>
      <c r="AW136" s="8431"/>
      <c r="AX136" s="8496"/>
      <c r="AY136" s="8431"/>
      <c r="BA136" s="8427"/>
      <c r="BB136" s="8428"/>
      <c r="BC136" s="8493"/>
      <c r="BD136" s="8494"/>
      <c r="BE136" s="8495"/>
      <c r="BF136" s="8431"/>
      <c r="BG136" s="8496"/>
      <c r="BH136" s="8431"/>
    </row>
    <row r="137" spans="1:60" x14ac:dyDescent="0.35">
      <c r="A137" s="9153"/>
      <c r="B137" s="58"/>
      <c r="C137" s="395"/>
      <c r="D137" s="296"/>
      <c r="E137" s="392"/>
      <c r="F137" s="393"/>
      <c r="G137" s="392"/>
      <c r="H137" s="394"/>
      <c r="I137" s="395"/>
      <c r="J137" s="229"/>
      <c r="K137" s="392"/>
      <c r="L137" s="394"/>
      <c r="M137" s="977"/>
      <c r="N137" s="392"/>
      <c r="O137" s="394"/>
      <c r="P137" s="395"/>
      <c r="Q137"/>
      <c r="R137" s="229"/>
      <c r="S137" s="392"/>
      <c r="T137" s="396"/>
      <c r="U137" s="978"/>
      <c r="V137" s="977"/>
      <c r="W137" s="392"/>
      <c r="Z137" s="394"/>
      <c r="AA137" s="395"/>
      <c r="AB137"/>
      <c r="AC137" s="229"/>
      <c r="AD137" s="392"/>
      <c r="AE137" s="396"/>
      <c r="AF137" s="978"/>
      <c r="AG137" s="977"/>
      <c r="AI137" s="394"/>
      <c r="AJ137" s="395"/>
      <c r="AL137" s="229"/>
      <c r="AM137" s="392"/>
      <c r="AN137" s="396"/>
      <c r="AO137" s="978"/>
      <c r="AP137" s="396"/>
      <c r="AR137" s="394"/>
      <c r="AS137" s="395"/>
      <c r="AU137" s="229"/>
      <c r="AV137" s="392"/>
      <c r="AW137" s="396"/>
      <c r="AX137" s="978"/>
      <c r="AY137" s="396"/>
      <c r="BA137" s="394"/>
      <c r="BB137" s="395"/>
      <c r="BD137" s="229"/>
      <c r="BE137" s="392"/>
      <c r="BF137" s="396"/>
      <c r="BG137" s="978"/>
      <c r="BH137" s="396"/>
    </row>
    <row r="138" spans="1:60" x14ac:dyDescent="0.35">
      <c r="A138" s="9154"/>
      <c r="B138" s="58"/>
      <c r="C138" s="696"/>
      <c r="D138" s="980" t="s">
        <v>580</v>
      </c>
      <c r="E138" s="424"/>
      <c r="F138" s="693">
        <f>(SUM(F116:F121)+SUM(F88:F109))/F128</f>
        <v>0.39331510762897276</v>
      </c>
      <c r="G138" s="694"/>
      <c r="H138" s="695">
        <f>(SUM(H116:H121)+SUM(H88:H109))/H128</f>
        <v>0.41215612912298766</v>
      </c>
      <c r="I138" s="696">
        <f>(SUM(I116:I121)+SUM(I88:I109))/I128</f>
        <v>0.39616627802693782</v>
      </c>
      <c r="J138" s="267"/>
      <c r="K138" s="694"/>
      <c r="L138" s="695">
        <f>(SUM(L116:L121)+SUM(L88:L109))/L128</f>
        <v>0.44016631408987977</v>
      </c>
      <c r="M138" s="698">
        <f>(SUM(M116:M121)+SUM(M88:M109))/M128</f>
        <v>0.45211835194100136</v>
      </c>
      <c r="N138" s="694"/>
      <c r="O138" s="695">
        <f>(SUM(O116:O121)+SUM(O88:O109))/O128</f>
        <v>0.49374547986268053</v>
      </c>
      <c r="P138" s="696">
        <f>(SUM(P116:P121)+SUM(P88:P109))/P128</f>
        <v>0.49869536104436935</v>
      </c>
      <c r="Q138" s="1824"/>
      <c r="R138" s="267"/>
      <c r="S138" s="694"/>
      <c r="T138" s="697">
        <f>(SUM(T116:T121)+SUM(T88:T109))/T128</f>
        <v>0.51125915911766417</v>
      </c>
      <c r="U138" s="4964"/>
      <c r="V138" s="698">
        <f>(SUM(V116:V121)+SUM(V88:V109))/V128</f>
        <v>0.51353045592665458</v>
      </c>
      <c r="W138" s="982"/>
      <c r="Z138" s="695">
        <f>(SUM(Z116:Z121)+SUM(Z88:Z109))/Z128</f>
        <v>0.50526472794551858</v>
      </c>
      <c r="AA138" s="696">
        <f>(SUM(AA116:AA121)+SUM(AA88:AA109))/AA128</f>
        <v>0.49869536104436935</v>
      </c>
      <c r="AB138" s="1824"/>
      <c r="AC138" s="267"/>
      <c r="AD138" s="694"/>
      <c r="AE138" s="697">
        <f>(SUM(AE116:AE121)+SUM(AE88:AE109))/AE128</f>
        <v>0.55788926309346654</v>
      </c>
      <c r="AF138" s="4964"/>
      <c r="AG138" s="698">
        <f>(SUM(AG116:AG121)+SUM(AG88:AG109))/AG128</f>
        <v>0.55106848720802648</v>
      </c>
      <c r="AI138" s="695">
        <v>0.55788926309346654</v>
      </c>
      <c r="AJ138" s="696">
        <v>0.55106848720802648</v>
      </c>
      <c r="AK138" s="1824"/>
      <c r="AL138" s="267"/>
      <c r="AM138" s="694"/>
      <c r="AN138" s="697">
        <f>(SUM(AN116:AN121)+SUM(AN88:AN109))/AN128</f>
        <v>0.56199700676912345</v>
      </c>
      <c r="AO138" s="4964"/>
      <c r="AP138" s="697">
        <f>(SUM(AP116:AP121)+SUM(AP88:AP109))/AP128</f>
        <v>0.57801525438769485</v>
      </c>
      <c r="AR138" s="695">
        <f>(SUM(AR116:AR121)+SUM(AR88:AR109))/AR128</f>
        <v>0.54364897673502177</v>
      </c>
      <c r="AS138" s="696">
        <v>0.55106848720802648</v>
      </c>
      <c r="AT138" s="1824"/>
      <c r="AU138" s="267"/>
      <c r="AV138" s="694"/>
      <c r="AW138" s="697">
        <f>(SUM(AW116:AW121)+SUM(AW88:AW109))/AW128</f>
        <v>0.55796906654079248</v>
      </c>
      <c r="AX138" s="4964"/>
      <c r="AY138" s="697">
        <f>(SUM(AY116:AY121)+SUM(AY88:AY109))/AY128</f>
        <v>0.56624543004568517</v>
      </c>
      <c r="BA138" s="695">
        <f>(SUM(BA116:BA121)+SUM(BA88:BA109))/BA128</f>
        <v>0.55895987816424908</v>
      </c>
      <c r="BB138" s="696">
        <v>0.55106848720802648</v>
      </c>
      <c r="BC138" s="1824"/>
      <c r="BD138" s="267"/>
      <c r="BE138" s="694"/>
      <c r="BF138" s="697">
        <f>(SUM(BF116:BF121)+SUM(BF88:BF109))/BF128</f>
        <v>0.52836993405729282</v>
      </c>
      <c r="BG138" s="4964"/>
      <c r="BH138" s="697">
        <f>(SUM(BH116:BH121)+SUM(BH88:BH109))/BH128</f>
        <v>0.53420426992056291</v>
      </c>
    </row>
    <row r="139" spans="1:60" s="462" customFormat="1" ht="11.75" customHeight="1" x14ac:dyDescent="0.35">
      <c r="B139" s="85"/>
      <c r="C139" s="705"/>
      <c r="D139" s="86" t="s">
        <v>581</v>
      </c>
      <c r="E139" s="274"/>
      <c r="F139" s="702">
        <f>((F117+F119)+(F89+F91+F93+F95+F97+F99+F101+F103+F105+F107))/F130</f>
        <v>0.39331510762897276</v>
      </c>
      <c r="G139" s="703"/>
      <c r="H139" s="704">
        <f>((H117+H119)+(H89+H91+H93+H95+H97+H99+H101+H103+H105+H107))/H130</f>
        <v>0.41215612912298766</v>
      </c>
      <c r="I139" s="705">
        <f>((I117+I119)+(I89+I91+I93+I95+I97+I99+I101+I103+I105+I107))/I130</f>
        <v>0.40476897852496962</v>
      </c>
      <c r="J139" s="706"/>
      <c r="K139" s="703"/>
      <c r="L139" s="704">
        <f>((L117+L119)+(L89+L91+L93+L95+L97+L99+L101+L103+L105+L107))/L130</f>
        <v>0.44268476346993896</v>
      </c>
      <c r="M139" s="708">
        <f>((M117+M119)+(M89+M91+M93+M95+M97+M99+M101+M103+M105+M107))/M130</f>
        <v>0.45440292781630298</v>
      </c>
      <c r="N139" s="703"/>
      <c r="O139" s="704">
        <f>((O117+O119)+(O89+O91+O93+O95+O97+O99+O101+O103+O105+O107))/O130</f>
        <v>0.51406167486499199</v>
      </c>
      <c r="P139" s="705">
        <f>((P117+P119)+(P89+P91+P93+P95+P97+P99+P101+P103+P105+P107))/P130</f>
        <v>0.51943887785358278</v>
      </c>
      <c r="Q139" s="1826"/>
      <c r="R139" s="706"/>
      <c r="S139" s="703"/>
      <c r="T139" s="707">
        <f>((T117+T119)+(T89+T91+T93+T95+T97+T99+T101+T103+T105+T107))/T130</f>
        <v>0.53941642965489911</v>
      </c>
      <c r="U139" s="4965"/>
      <c r="V139" s="708">
        <f>((V117+V119)+(V89+V91+V93+V95+V97+V99+V101+V103+V105+V107))/V130</f>
        <v>0.53795699033189459</v>
      </c>
      <c r="W139" s="460"/>
      <c r="X139"/>
      <c r="Y139"/>
      <c r="Z139" s="704">
        <f>((Z117+Z119)+(Z89+Z91+Z93+Z95+Z97+Z99+Z101+Z103+Z105+Z107))/Z130</f>
        <v>0.52400818775854308</v>
      </c>
      <c r="AA139" s="705">
        <f>((AA117+AA119)+(AA89+AA91+AA93+AA95+AA97+AA99+AA101+AA103+AA105+AA107))/AA130</f>
        <v>0.51943887785358278</v>
      </c>
      <c r="AB139" s="1826"/>
      <c r="AC139" s="706"/>
      <c r="AD139" s="703"/>
      <c r="AE139" s="707">
        <f>((AE117+AE119)+(AE89+AE91+AE93+AE95+AE97+AE99+AE101+AE103+AE105+AE107))/AE130</f>
        <v>0.53919353380294999</v>
      </c>
      <c r="AF139" s="4965"/>
      <c r="AG139" s="708">
        <f>((AG117+AG119)+(AG89+AG91+AG93+AG95+AG97+AG99+AG101+AG103+AG105+AG107))/AG130</f>
        <v>0.53365570300447562</v>
      </c>
      <c r="AH139"/>
      <c r="AI139" s="704">
        <v>0.53919353380294999</v>
      </c>
      <c r="AJ139" s="705">
        <v>0.53365570300447562</v>
      </c>
      <c r="AK139" s="1826"/>
      <c r="AL139" s="706"/>
      <c r="AM139" s="703"/>
      <c r="AN139" s="707">
        <f>((AN117+AN119)+(AN89+AN91+AN93+AN95+AN97+AN99+AN101+AN103+AN105+AN107))/AN130</f>
        <v>0.55012022202054456</v>
      </c>
      <c r="AO139" s="4965"/>
      <c r="AP139" s="707">
        <f>((AP117+AP119)+(AP89+AP91+AP93+AP95+AP97+AP99+AP101+AP103+AP105+AP107))/AP130</f>
        <v>0.56958760822904064</v>
      </c>
      <c r="AR139" s="704">
        <f>((AR117+AR119)+(AR89+AR91+AR93+AR95+AR97+AR99+AR101+AR103+AR105+AR107))/AR130</f>
        <v>0.56482380252651887</v>
      </c>
      <c r="AS139" s="705">
        <v>0.53365570300447562</v>
      </c>
      <c r="AT139" s="1826"/>
      <c r="AU139" s="706"/>
      <c r="AV139" s="703"/>
      <c r="AW139" s="707">
        <f>((AW117+AW119)+(AW89+AW91+AW93+AW95+AW97+AW99+AW101+AW103+AW105+AW107))/AW130</f>
        <v>0.58727951697895553</v>
      </c>
      <c r="AX139" s="4965"/>
      <c r="AY139" s="707">
        <f>((AY117+AY119)+(AY89+AY91+AY93+AY95+AY97+AY99+AY101+AY103+AY105+AY107))/AY130</f>
        <v>0.59014086840941893</v>
      </c>
      <c r="AZ139"/>
      <c r="BA139" s="704">
        <f>((BA117+BA119)+(BA89+BA91+BA93+BA95+BA97+BA99+BA101+BA103+BA105+BA107))/BA130</f>
        <v>0.58845486926823964</v>
      </c>
      <c r="BB139" s="705">
        <v>0.53365570300447562</v>
      </c>
      <c r="BC139" s="1826"/>
      <c r="BD139" s="706"/>
      <c r="BE139" s="703"/>
      <c r="BF139" s="707">
        <f>((BF117+BF119)+(BF89+BF91+BF93+BF95+BF97+BF99+BF101+BF103+BF105+BF107))/BF130</f>
        <v>0.54307576725681017</v>
      </c>
      <c r="BG139" s="4965"/>
      <c r="BH139" s="707">
        <f>((BH117+BH119)+(BH89+BH91+BH93+BH95+BH97+BH99+BH101+BH103+BH105+BH107))/BH130</f>
        <v>0.54101735979841159</v>
      </c>
    </row>
    <row r="140" spans="1:60" s="462" customFormat="1" ht="12" x14ac:dyDescent="0.3">
      <c r="A140" s="455" t="s">
        <v>582</v>
      </c>
      <c r="C140" s="456"/>
      <c r="D140" s="2"/>
      <c r="E140" s="456"/>
      <c r="F140" s="456"/>
      <c r="G140" s="456"/>
      <c r="H140" s="459"/>
      <c r="I140" s="459"/>
      <c r="J140" s="7"/>
      <c r="K140" s="456"/>
      <c r="N140" s="982"/>
      <c r="O140" s="1087"/>
      <c r="P140" s="1087"/>
      <c r="Q140" s="1087"/>
      <c r="R140" s="1087"/>
      <c r="S140" s="1087"/>
      <c r="T140" s="1087"/>
      <c r="U140" s="1087"/>
      <c r="V140" s="1087"/>
      <c r="W140" s="456"/>
      <c r="Z140" s="1087"/>
      <c r="AA140" s="1087"/>
      <c r="AB140" s="1087"/>
      <c r="AC140" s="1087"/>
      <c r="AD140" s="1087"/>
      <c r="AE140" s="1087"/>
      <c r="AF140" s="1087"/>
      <c r="AG140" s="1087"/>
      <c r="AI140" s="1087"/>
      <c r="AJ140" s="1087"/>
      <c r="AK140" s="1087"/>
      <c r="AL140" s="1087"/>
      <c r="AM140" s="1087"/>
      <c r="AN140" s="1087"/>
      <c r="AO140" s="1087"/>
      <c r="AP140" s="1087"/>
      <c r="AR140" s="1087"/>
      <c r="AS140" s="1087"/>
      <c r="AT140" s="1087"/>
      <c r="AU140" s="1087"/>
      <c r="AV140" s="1087"/>
      <c r="AW140" s="1087"/>
      <c r="AX140" s="1087"/>
      <c r="AY140" s="1087"/>
      <c r="BA140" s="1087"/>
      <c r="BB140" s="1087"/>
      <c r="BC140" s="1087"/>
      <c r="BD140" s="1087"/>
      <c r="BE140" s="1087"/>
      <c r="BF140" s="1087"/>
      <c r="BG140" s="1087"/>
      <c r="BH140" s="1087"/>
    </row>
    <row r="141" spans="1:60" s="462" customFormat="1" ht="18" customHeight="1" x14ac:dyDescent="0.3">
      <c r="A141" s="463">
        <v>1</v>
      </c>
      <c r="B141" s="455"/>
      <c r="C141" s="456"/>
      <c r="D141" s="2"/>
      <c r="E141" s="456"/>
      <c r="F141" s="456"/>
      <c r="G141" s="456"/>
      <c r="H141" s="459"/>
      <c r="I141" s="459"/>
      <c r="J141" s="7"/>
      <c r="K141" s="456"/>
      <c r="N141" s="460"/>
      <c r="O141" s="461"/>
      <c r="P141" s="461"/>
      <c r="Q141" s="461"/>
      <c r="R141" s="461"/>
      <c r="S141" s="461"/>
      <c r="T141" s="461"/>
      <c r="U141" s="461"/>
      <c r="V141" s="461"/>
      <c r="W141" s="456"/>
      <c r="Z141" s="461"/>
      <c r="AA141" s="461"/>
      <c r="AB141" s="461"/>
      <c r="AC141" s="461"/>
      <c r="AD141" s="461"/>
      <c r="AE141" s="461"/>
      <c r="AF141" s="461"/>
      <c r="AG141" s="461"/>
      <c r="AI141" s="461"/>
      <c r="AJ141" s="461"/>
      <c r="AK141" s="461"/>
      <c r="AL141" s="461"/>
      <c r="AM141" s="461"/>
      <c r="AN141" s="461"/>
      <c r="AO141" s="461"/>
      <c r="AP141" s="461"/>
      <c r="AR141" s="461"/>
      <c r="AS141" s="461"/>
      <c r="AT141" s="461"/>
      <c r="AU141" s="461"/>
      <c r="AV141" s="461"/>
      <c r="AW141" s="461"/>
      <c r="AX141" s="461"/>
      <c r="AY141" s="461"/>
      <c r="BA141" s="461"/>
      <c r="BB141" s="461"/>
      <c r="BC141" s="461"/>
      <c r="BD141" s="461"/>
      <c r="BE141" s="461"/>
      <c r="BF141" s="461"/>
      <c r="BG141" s="461"/>
      <c r="BH141" s="461"/>
    </row>
    <row r="142" spans="1:60" s="462" customFormat="1" ht="12" x14ac:dyDescent="0.3">
      <c r="A142" s="468">
        <v>2</v>
      </c>
      <c r="B142" s="464" t="str">
        <f>X12</f>
        <v>Current revenue + capital miscellaneous revenue</v>
      </c>
      <c r="D142" s="709"/>
      <c r="E142" s="466"/>
      <c r="F142" s="466"/>
      <c r="G142" s="466"/>
      <c r="H142" s="466"/>
      <c r="I142" s="466"/>
      <c r="J142" s="467"/>
      <c r="K142" s="466"/>
      <c r="L142" s="466"/>
      <c r="M142" s="466"/>
      <c r="N142" s="456"/>
      <c r="O142" s="461"/>
      <c r="P142" s="461"/>
      <c r="Q142" s="461"/>
      <c r="R142" s="461"/>
      <c r="S142" s="461"/>
      <c r="T142" s="461"/>
      <c r="U142" s="461"/>
      <c r="V142" s="461"/>
      <c r="W142" s="456"/>
      <c r="X142" s="577"/>
      <c r="Z142" s="461"/>
      <c r="AA142" s="461"/>
      <c r="AB142" s="461"/>
      <c r="AC142" s="461"/>
      <c r="AD142" s="461"/>
      <c r="AE142" s="461"/>
      <c r="AF142" s="461"/>
      <c r="AG142" s="461"/>
      <c r="AI142" s="461"/>
      <c r="AJ142" s="461"/>
      <c r="AK142" s="461"/>
      <c r="AL142" s="461"/>
      <c r="AM142" s="461"/>
      <c r="AN142" s="461"/>
      <c r="AO142" s="461"/>
      <c r="AP142" s="461"/>
      <c r="AR142" s="461"/>
      <c r="AS142" s="461"/>
      <c r="AT142" s="461"/>
      <c r="AU142" s="461"/>
      <c r="AV142" s="461"/>
      <c r="AW142" s="461"/>
      <c r="AX142" s="461"/>
      <c r="AY142" s="461"/>
      <c r="BA142" s="461"/>
      <c r="BB142" s="461"/>
      <c r="BC142" s="461"/>
      <c r="BD142" s="461"/>
      <c r="BE142" s="461"/>
      <c r="BF142" s="461"/>
      <c r="BG142" s="461"/>
      <c r="BH142" s="461"/>
    </row>
    <row r="143" spans="1:60" s="462" customFormat="1" x14ac:dyDescent="0.35">
      <c r="A143" s="463">
        <v>3</v>
      </c>
      <c r="B143" s="464" t="str">
        <f>X13</f>
        <v>Grants</v>
      </c>
      <c r="D143" s="2"/>
      <c r="E143" s="456"/>
      <c r="F143" s="456"/>
      <c r="G143" s="456"/>
      <c r="H143" s="459"/>
      <c r="I143" s="459"/>
      <c r="J143" s="7"/>
      <c r="K143" s="456"/>
      <c r="N143" s="1"/>
      <c r="O143" s="6"/>
      <c r="P143" s="6"/>
      <c r="Q143" s="6"/>
      <c r="R143" s="7"/>
      <c r="S143" s="1"/>
      <c r="T143"/>
      <c r="U143"/>
      <c r="V143"/>
      <c r="W143" s="456"/>
      <c r="X143" s="577"/>
      <c r="Z143" s="6"/>
      <c r="AA143" s="6"/>
      <c r="AB143" s="6"/>
      <c r="AC143" s="7"/>
      <c r="AD143" s="1"/>
      <c r="AE143"/>
      <c r="AF143"/>
      <c r="AG143"/>
      <c r="AI143" s="6"/>
      <c r="AJ143" s="6"/>
      <c r="AK143" s="6"/>
      <c r="AL143" s="7"/>
      <c r="AM143" s="1"/>
      <c r="AN143"/>
      <c r="AO143"/>
      <c r="AP143"/>
      <c r="AR143" s="6"/>
      <c r="AS143" s="6"/>
      <c r="AT143" s="6"/>
      <c r="AU143" s="7"/>
      <c r="AV143" s="1"/>
      <c r="AW143"/>
      <c r="AX143"/>
      <c r="AY143"/>
      <c r="BA143" s="6"/>
      <c r="BB143" s="6"/>
      <c r="BC143" s="6"/>
      <c r="BD143" s="7"/>
      <c r="BE143" s="1"/>
      <c r="BF143"/>
      <c r="BG143"/>
      <c r="BH143"/>
    </row>
    <row r="144" spans="1:60" s="462" customFormat="1" x14ac:dyDescent="0.35">
      <c r="A144" s="468">
        <v>4</v>
      </c>
      <c r="B144" s="464" t="str">
        <f>X15</f>
        <v>not including loans</v>
      </c>
      <c r="D144" s="2"/>
      <c r="E144" s="456"/>
      <c r="F144" s="456"/>
      <c r="G144" s="456"/>
      <c r="H144" s="459"/>
      <c r="I144" s="459"/>
      <c r="J144" s="7"/>
      <c r="K144" s="456"/>
      <c r="N144" s="1"/>
      <c r="O144" s="6"/>
      <c r="P144" s="6"/>
      <c r="Q144" s="6"/>
      <c r="R144" s="7"/>
      <c r="S144" s="1"/>
      <c r="T144"/>
      <c r="U144"/>
      <c r="V144"/>
      <c r="W144" s="456"/>
      <c r="X144" s="577"/>
      <c r="Z144" s="6"/>
      <c r="AA144" s="6"/>
      <c r="AB144" s="6"/>
      <c r="AC144" s="7"/>
      <c r="AD144" s="1"/>
      <c r="AE144"/>
      <c r="AF144"/>
      <c r="AG144"/>
      <c r="AI144" s="6"/>
      <c r="AJ144" s="6"/>
      <c r="AK144" s="6"/>
      <c r="AL144" s="7"/>
      <c r="AM144" s="1"/>
      <c r="AN144"/>
      <c r="AO144"/>
      <c r="AP144"/>
      <c r="AR144" s="6"/>
      <c r="AS144" s="6"/>
      <c r="AT144" s="6"/>
      <c r="AU144" s="7"/>
      <c r="AV144" s="1"/>
      <c r="AW144"/>
      <c r="AX144"/>
      <c r="AY144"/>
      <c r="BA144" s="6"/>
      <c r="BB144" s="6"/>
      <c r="BC144" s="6"/>
      <c r="BD144" s="7"/>
      <c r="BE144" s="1"/>
      <c r="BF144"/>
      <c r="BG144"/>
      <c r="BH144"/>
    </row>
    <row r="145" spans="1:60" s="462" customFormat="1" x14ac:dyDescent="0.35">
      <c r="A145" s="463">
        <v>5</v>
      </c>
      <c r="B145" s="469" t="str">
        <f>X24</f>
        <v>6011 + 611 wages &amp; salaries</v>
      </c>
      <c r="D145" s="2"/>
      <c r="E145" s="456"/>
      <c r="F145" s="456"/>
      <c r="G145" s="456"/>
      <c r="H145" s="459"/>
      <c r="I145" s="459"/>
      <c r="J145" s="7"/>
      <c r="K145" s="456"/>
      <c r="N145" s="1"/>
      <c r="O145" s="6"/>
      <c r="P145" s="6"/>
      <c r="Q145" s="6"/>
      <c r="R145" s="7"/>
      <c r="S145" s="1"/>
      <c r="T145"/>
      <c r="U145"/>
      <c r="V145"/>
      <c r="W145" s="456"/>
      <c r="X145" s="577"/>
      <c r="Z145" s="6"/>
      <c r="AA145" s="6"/>
      <c r="AB145" s="6"/>
      <c r="AC145" s="7"/>
      <c r="AD145" s="1"/>
      <c r="AE145"/>
      <c r="AF145"/>
      <c r="AG145"/>
      <c r="AI145" s="6"/>
      <c r="AJ145" s="6"/>
      <c r="AK145" s="6"/>
      <c r="AL145" s="7"/>
      <c r="AM145" s="1"/>
      <c r="AN145"/>
      <c r="AO145"/>
      <c r="AP145"/>
      <c r="AR145" s="6"/>
      <c r="AS145" s="6"/>
      <c r="AT145" s="6"/>
      <c r="AU145" s="7"/>
      <c r="AV145" s="1"/>
      <c r="AW145"/>
      <c r="AX145"/>
      <c r="AY145"/>
      <c r="BA145" s="6"/>
      <c r="BB145" s="6"/>
      <c r="BC145" s="6"/>
      <c r="BD145" s="7"/>
      <c r="BE145" s="1"/>
      <c r="BF145"/>
      <c r="BG145"/>
      <c r="BH145"/>
    </row>
    <row r="146" spans="1:60" s="462" customFormat="1" x14ac:dyDescent="0.35">
      <c r="A146" s="468">
        <v>6</v>
      </c>
      <c r="B146" s="469" t="str">
        <f>X25</f>
        <v xml:space="preserve"> 634 Pensions ; not including statutory pensions neither Military</v>
      </c>
      <c r="D146" s="2"/>
      <c r="E146" s="456"/>
      <c r="F146" s="456"/>
      <c r="G146" s="456"/>
      <c r="H146" s="459"/>
      <c r="I146" s="459"/>
      <c r="J146" s="7"/>
      <c r="K146" s="456"/>
      <c r="N146" s="1"/>
      <c r="O146" s="6"/>
      <c r="P146" s="6"/>
      <c r="Q146" s="6"/>
      <c r="R146" s="7"/>
      <c r="S146" s="1"/>
      <c r="T146"/>
      <c r="U146"/>
      <c r="V146"/>
      <c r="W146" s="456"/>
      <c r="X146" s="577"/>
      <c r="Z146" s="6"/>
      <c r="AA146" s="6"/>
      <c r="AB146" s="6"/>
      <c r="AC146" s="7"/>
      <c r="AD146" s="1"/>
      <c r="AE146"/>
      <c r="AF146"/>
      <c r="AG146"/>
      <c r="AI146" s="6"/>
      <c r="AJ146" s="6"/>
      <c r="AK146" s="6"/>
      <c r="AL146" s="7"/>
      <c r="AM146" s="1"/>
      <c r="AN146"/>
      <c r="AO146"/>
      <c r="AP146"/>
      <c r="AR146" s="6"/>
      <c r="AS146" s="6"/>
      <c r="AT146" s="6"/>
      <c r="AU146" s="7"/>
      <c r="AV146" s="1"/>
      <c r="AW146"/>
      <c r="AX146"/>
      <c r="AY146"/>
      <c r="BA146" s="6"/>
      <c r="BB146" s="6"/>
      <c r="BC146" s="6"/>
      <c r="BD146" s="7"/>
      <c r="BE146" s="1"/>
      <c r="BF146"/>
      <c r="BG146"/>
      <c r="BH146"/>
    </row>
    <row r="147" spans="1:60" s="462" customFormat="1" x14ac:dyDescent="0.35">
      <c r="A147" s="463">
        <v>7</v>
      </c>
      <c r="B147" s="469" t="str">
        <f>X39</f>
        <v>Culture, sport, youth</v>
      </c>
      <c r="D147" s="2"/>
      <c r="E147" s="456"/>
      <c r="F147" s="456"/>
      <c r="G147" s="456"/>
      <c r="H147" s="459"/>
      <c r="I147" s="459"/>
      <c r="J147" s="7"/>
      <c r="K147" s="456"/>
      <c r="N147" s="1"/>
      <c r="O147" s="6"/>
      <c r="P147" s="6"/>
      <c r="Q147" s="6"/>
      <c r="R147" s="7"/>
      <c r="S147" s="1"/>
      <c r="T147"/>
      <c r="U147"/>
      <c r="V147"/>
      <c r="W147" s="456"/>
      <c r="X147" s="577"/>
      <c r="Z147" s="6"/>
      <c r="AA147" s="6"/>
      <c r="AB147" s="6"/>
      <c r="AC147" s="7"/>
      <c r="AD147" s="1"/>
      <c r="AE147"/>
      <c r="AF147"/>
      <c r="AG147"/>
      <c r="AI147" s="6"/>
      <c r="AJ147" s="6"/>
      <c r="AK147" s="6"/>
      <c r="AL147" s="7"/>
      <c r="AM147" s="1"/>
      <c r="AN147"/>
      <c r="AO147"/>
      <c r="AP147"/>
      <c r="AR147" s="6"/>
      <c r="AS147" s="6"/>
      <c r="AT147" s="6"/>
      <c r="AU147" s="7"/>
      <c r="AV147" s="1"/>
      <c r="AW147"/>
      <c r="AX147"/>
      <c r="AY147"/>
      <c r="BA147" s="6"/>
      <c r="BB147" s="6"/>
      <c r="BC147" s="6"/>
      <c r="BD147" s="7"/>
      <c r="BE147" s="1"/>
      <c r="BF147"/>
      <c r="BG147"/>
      <c r="BH147"/>
    </row>
    <row r="148" spans="1:60" s="462" customFormat="1" x14ac:dyDescent="0.35">
      <c r="A148" s="468">
        <v>8</v>
      </c>
      <c r="B148" s="469" t="str">
        <f>X47</f>
        <v>programme 435 Health Sciencs Education, Seems discontinued programme</v>
      </c>
      <c r="D148" s="2"/>
      <c r="E148" s="456"/>
      <c r="F148" s="456"/>
      <c r="G148" s="456"/>
      <c r="H148" s="459"/>
      <c r="I148" s="459"/>
      <c r="J148" s="7"/>
      <c r="K148" s="456"/>
      <c r="N148" s="1"/>
      <c r="O148" s="6"/>
      <c r="P148" s="6"/>
      <c r="Q148" s="6"/>
      <c r="R148" s="7"/>
      <c r="S148" s="1"/>
      <c r="T148"/>
      <c r="U148"/>
      <c r="V148"/>
      <c r="W148" s="456"/>
      <c r="X148" s="577"/>
      <c r="Z148" s="6"/>
      <c r="AA148" s="6"/>
      <c r="AB148" s="6"/>
      <c r="AC148" s="7"/>
      <c r="AD148" s="1"/>
      <c r="AE148"/>
      <c r="AF148"/>
      <c r="AG148"/>
      <c r="AI148" s="6"/>
      <c r="AJ148" s="6"/>
      <c r="AK148" s="6"/>
      <c r="AL148" s="7"/>
      <c r="AM148" s="1"/>
      <c r="AN148"/>
      <c r="AO148"/>
      <c r="AP148"/>
      <c r="AR148" s="6"/>
      <c r="AS148" s="6"/>
      <c r="AT148" s="6"/>
      <c r="AU148" s="7"/>
      <c r="AV148" s="1"/>
      <c r="AW148"/>
      <c r="AX148"/>
      <c r="AY148"/>
      <c r="BA148" s="6"/>
      <c r="BB148" s="6"/>
      <c r="BC148" s="6"/>
      <c r="BD148" s="7"/>
      <c r="BE148" s="1"/>
      <c r="BF148"/>
      <c r="BG148"/>
      <c r="BH148"/>
    </row>
    <row r="149" spans="1:60" s="462" customFormat="1" x14ac:dyDescent="0.35">
      <c r="A149" s="463">
        <v>9</v>
      </c>
      <c r="B149" s="469" t="str">
        <f>X51</f>
        <v>education subvention and grants$ (Does not disaggregate by operational, capital and salaries)</v>
      </c>
      <c r="D149" s="2"/>
      <c r="E149" s="456"/>
      <c r="F149" s="456"/>
      <c r="G149" s="456"/>
      <c r="H149" s="459"/>
      <c r="I149" s="459"/>
      <c r="J149" s="7"/>
      <c r="K149" s="456"/>
      <c r="N149" s="1"/>
      <c r="O149" s="6"/>
      <c r="P149" s="6"/>
      <c r="Q149" s="6"/>
      <c r="R149" s="7"/>
      <c r="S149" s="1"/>
      <c r="T149"/>
      <c r="U149"/>
      <c r="V149"/>
      <c r="W149" s="456"/>
      <c r="X149" s="577"/>
      <c r="Z149" s="6"/>
      <c r="AA149" s="6"/>
      <c r="AB149" s="6"/>
      <c r="AC149" s="7"/>
      <c r="AD149" s="1"/>
      <c r="AE149"/>
      <c r="AF149"/>
      <c r="AG149"/>
      <c r="AI149" s="6"/>
      <c r="AJ149" s="6"/>
      <c r="AK149" s="6"/>
      <c r="AL149" s="7"/>
      <c r="AM149" s="1"/>
      <c r="AN149"/>
      <c r="AO149"/>
      <c r="AP149"/>
      <c r="AR149" s="6"/>
      <c r="AS149" s="6"/>
      <c r="AT149" s="6"/>
      <c r="AU149" s="7"/>
      <c r="AV149" s="1"/>
      <c r="AW149"/>
      <c r="AX149"/>
      <c r="AY149"/>
      <c r="BA149" s="6"/>
      <c r="BB149" s="6"/>
      <c r="BC149" s="6"/>
      <c r="BD149" s="7"/>
      <c r="BE149" s="1"/>
      <c r="BF149"/>
      <c r="BG149"/>
      <c r="BH149"/>
    </row>
    <row r="150" spans="1:60" s="462" customFormat="1" x14ac:dyDescent="0.35">
      <c r="A150" s="463">
        <v>10</v>
      </c>
      <c r="B150" s="469" t="str">
        <f>X89</f>
        <v>Sum 10 Regions, programme education delivery</v>
      </c>
      <c r="D150" s="2"/>
      <c r="E150" s="456"/>
      <c r="F150" s="456"/>
      <c r="G150" s="456"/>
      <c r="H150" s="459"/>
      <c r="I150" s="459"/>
      <c r="J150" s="7"/>
      <c r="K150" s="456"/>
      <c r="N150" s="1"/>
      <c r="O150" s="6"/>
      <c r="P150" s="6"/>
      <c r="Q150" s="6"/>
      <c r="R150" s="7"/>
      <c r="S150" s="1"/>
      <c r="T150"/>
      <c r="U150"/>
      <c r="V150"/>
      <c r="W150" s="456"/>
      <c r="X150" s="577"/>
      <c r="Z150" s="6"/>
      <c r="AA150" s="6"/>
      <c r="AB150" s="6"/>
      <c r="AC150" s="7"/>
      <c r="AD150" s="1"/>
      <c r="AE150"/>
      <c r="AF150"/>
      <c r="AG150"/>
      <c r="AI150" s="6"/>
      <c r="AJ150" s="6"/>
      <c r="AK150" s="6"/>
      <c r="AL150" s="7"/>
      <c r="AM150" s="1"/>
      <c r="AN150"/>
      <c r="AO150"/>
      <c r="AP150"/>
      <c r="AR150" s="6"/>
      <c r="AS150" s="6"/>
      <c r="AT150" s="6"/>
      <c r="AU150" s="7"/>
      <c r="AV150" s="1"/>
      <c r="AW150"/>
      <c r="AX150"/>
      <c r="AY150"/>
      <c r="BA150" s="6"/>
      <c r="BB150" s="6"/>
      <c r="BC150" s="6"/>
      <c r="BD150" s="7"/>
      <c r="BE150" s="1"/>
      <c r="BF150"/>
      <c r="BG150"/>
      <c r="BH150"/>
    </row>
    <row r="151" spans="1:60" s="462" customFormat="1" x14ac:dyDescent="0.35">
      <c r="A151" s="468"/>
      <c r="B151" s="469" t="s">
        <v>2765</v>
      </c>
      <c r="D151" s="2"/>
      <c r="E151" s="456"/>
      <c r="F151" s="456"/>
      <c r="G151" s="456"/>
      <c r="H151" s="459"/>
      <c r="I151" s="459"/>
      <c r="J151" s="7"/>
      <c r="K151" s="456"/>
      <c r="N151" s="1"/>
      <c r="O151" s="6"/>
      <c r="P151" s="6"/>
      <c r="Q151" s="6"/>
      <c r="R151" s="7"/>
      <c r="S151" s="1"/>
      <c r="T151"/>
      <c r="U151"/>
      <c r="V151"/>
      <c r="W151" s="456"/>
      <c r="X151" s="577"/>
      <c r="Z151" s="6"/>
      <c r="AA151" s="6"/>
      <c r="AB151" s="6"/>
      <c r="AC151" s="7"/>
      <c r="AD151" s="1"/>
      <c r="AE151"/>
      <c r="AF151"/>
      <c r="AG151"/>
      <c r="AI151" s="6"/>
      <c r="AJ151" s="6"/>
      <c r="AK151" s="6"/>
      <c r="AL151" s="7"/>
      <c r="AM151" s="1"/>
      <c r="AN151"/>
      <c r="AO151"/>
      <c r="AP151"/>
      <c r="AR151" s="6"/>
      <c r="AS151" s="6"/>
      <c r="AT151" s="6"/>
      <c r="AU151" s="7"/>
      <c r="AV151" s="1"/>
      <c r="AW151"/>
      <c r="AX151"/>
      <c r="AY151"/>
      <c r="BA151" s="6"/>
      <c r="BB151" s="6"/>
      <c r="BC151" s="6"/>
      <c r="BD151" s="7"/>
      <c r="BE151" s="1"/>
      <c r="BF151"/>
      <c r="BG151"/>
      <c r="BH151"/>
    </row>
    <row r="152" spans="1:60" s="462" customFormat="1" x14ac:dyDescent="0.35">
      <c r="A152" s="468"/>
      <c r="B152" s="469"/>
      <c r="D152" s="2"/>
      <c r="E152" s="456"/>
      <c r="F152" s="456"/>
      <c r="G152" s="456"/>
      <c r="H152" s="459"/>
      <c r="I152" s="459"/>
      <c r="J152" s="7"/>
      <c r="K152" s="456"/>
      <c r="N152" s="1"/>
      <c r="O152" s="6"/>
      <c r="P152" s="6"/>
      <c r="Q152" s="6"/>
      <c r="R152" s="7"/>
      <c r="S152" s="1"/>
      <c r="T152"/>
      <c r="U152"/>
      <c r="V152"/>
      <c r="W152" s="456"/>
      <c r="X152" s="577"/>
      <c r="Z152" s="6"/>
      <c r="AA152" s="6"/>
      <c r="AB152" s="6"/>
      <c r="AC152" s="7"/>
      <c r="AD152" s="1"/>
      <c r="AE152"/>
      <c r="AF152"/>
      <c r="AG152"/>
      <c r="AI152" s="6"/>
      <c r="AJ152" s="6"/>
      <c r="AK152" s="6"/>
      <c r="AL152" s="7"/>
      <c r="AM152" s="1"/>
      <c r="AN152"/>
      <c r="AO152"/>
      <c r="AP152"/>
      <c r="AR152" s="6"/>
      <c r="AS152" s="6"/>
      <c r="AT152" s="6"/>
      <c r="AU152" s="7"/>
      <c r="AV152" s="1"/>
      <c r="AW152"/>
      <c r="AX152"/>
      <c r="AY152"/>
      <c r="BA152" s="6"/>
      <c r="BB152" s="6"/>
      <c r="BC152" s="6"/>
      <c r="BD152" s="7"/>
      <c r="BE152" s="1"/>
      <c r="BF152"/>
      <c r="BG152"/>
      <c r="BH152"/>
    </row>
    <row r="153" spans="1:60" s="462" customFormat="1" x14ac:dyDescent="0.35">
      <c r="A153" s="468"/>
      <c r="B153" s="469"/>
      <c r="D153" s="2"/>
      <c r="E153" s="456"/>
      <c r="F153" s="456"/>
      <c r="G153" s="456"/>
      <c r="H153" s="459"/>
      <c r="I153" s="459"/>
      <c r="J153" s="7"/>
      <c r="K153" s="456"/>
      <c r="N153" s="1"/>
      <c r="O153" s="6"/>
      <c r="P153" s="6"/>
      <c r="Q153" s="6"/>
      <c r="R153" s="7"/>
      <c r="S153" s="1"/>
      <c r="T153"/>
      <c r="U153"/>
      <c r="V153"/>
      <c r="W153" s="456"/>
      <c r="X153" s="577"/>
      <c r="Z153" s="6"/>
      <c r="AA153" s="6"/>
      <c r="AB153" s="6"/>
      <c r="AC153" s="7"/>
      <c r="AD153" s="1"/>
      <c r="AE153"/>
      <c r="AF153"/>
      <c r="AG153"/>
      <c r="AI153" s="6"/>
      <c r="AJ153" s="6"/>
      <c r="AK153" s="6"/>
      <c r="AL153" s="7"/>
      <c r="AM153" s="1"/>
      <c r="AN153"/>
      <c r="AO153"/>
      <c r="AP153"/>
      <c r="AR153" s="6"/>
      <c r="AS153" s="6"/>
      <c r="AT153" s="6"/>
      <c r="AU153" s="7"/>
      <c r="AV153" s="1"/>
      <c r="AW153"/>
      <c r="AX153"/>
      <c r="AY153"/>
      <c r="BA153" s="6"/>
      <c r="BB153" s="6"/>
      <c r="BC153" s="6"/>
      <c r="BD153" s="7"/>
      <c r="BE153" s="1"/>
      <c r="BF153"/>
      <c r="BG153"/>
      <c r="BH153"/>
    </row>
    <row r="154" spans="1:60" s="462" customFormat="1" x14ac:dyDescent="0.35">
      <c r="A154" s="468"/>
      <c r="B154" s="469"/>
      <c r="D154" s="2"/>
      <c r="E154" s="456"/>
      <c r="F154" s="456"/>
      <c r="G154" s="456"/>
      <c r="H154" s="459"/>
      <c r="I154" s="459"/>
      <c r="J154" s="7"/>
      <c r="K154" s="456"/>
      <c r="N154" s="1"/>
      <c r="O154" s="6"/>
      <c r="P154" s="6"/>
      <c r="Q154" s="6"/>
      <c r="R154" s="7"/>
      <c r="S154" s="1"/>
      <c r="T154"/>
      <c r="U154"/>
      <c r="V154"/>
      <c r="W154" s="456"/>
      <c r="X154" s="577"/>
      <c r="Z154" s="6"/>
      <c r="AA154" s="6"/>
      <c r="AB154" s="6"/>
      <c r="AC154" s="7"/>
      <c r="AD154" s="1"/>
      <c r="AE154"/>
      <c r="AF154"/>
      <c r="AG154"/>
      <c r="AI154" s="6"/>
      <c r="AJ154" s="6"/>
      <c r="AK154" s="6"/>
      <c r="AL154" s="7"/>
      <c r="AM154" s="1"/>
      <c r="AN154"/>
      <c r="AO154"/>
      <c r="AP154"/>
      <c r="AR154" s="6"/>
      <c r="AS154" s="6"/>
      <c r="AT154" s="6"/>
      <c r="AU154" s="7"/>
      <c r="AV154" s="1"/>
      <c r="AW154"/>
      <c r="AX154"/>
      <c r="AY154"/>
      <c r="BA154" s="6"/>
      <c r="BB154" s="6"/>
      <c r="BC154" s="6"/>
      <c r="BD154" s="7"/>
      <c r="BE154" s="1"/>
      <c r="BF154"/>
      <c r="BG154"/>
      <c r="BH154"/>
    </row>
    <row r="155" spans="1:60" s="462" customFormat="1" x14ac:dyDescent="0.35">
      <c r="A155" s="455" t="s">
        <v>583</v>
      </c>
      <c r="B155" s="469"/>
      <c r="D155" s="2"/>
      <c r="E155" s="456"/>
      <c r="F155" s="456"/>
      <c r="G155" s="456"/>
      <c r="H155" s="459"/>
      <c r="I155" s="459"/>
      <c r="J155" s="7"/>
      <c r="K155" s="456"/>
      <c r="N155" s="1"/>
      <c r="O155" s="6"/>
      <c r="P155" s="6"/>
      <c r="Q155" s="6"/>
      <c r="R155" s="7"/>
      <c r="S155" s="1"/>
      <c r="T155"/>
      <c r="U155"/>
      <c r="V155"/>
      <c r="W155" s="456"/>
      <c r="X155" s="577"/>
      <c r="Z155" s="6"/>
      <c r="AA155" s="6"/>
      <c r="AB155" s="6"/>
      <c r="AC155" s="7"/>
      <c r="AD155" s="1"/>
      <c r="AE155"/>
      <c r="AF155"/>
      <c r="AG155"/>
      <c r="AI155" s="6"/>
      <c r="AJ155" s="6"/>
      <c r="AK155" s="6"/>
      <c r="AL155" s="7"/>
      <c r="AM155" s="1"/>
      <c r="AN155"/>
      <c r="AO155"/>
      <c r="AP155"/>
      <c r="AR155" s="6"/>
      <c r="AS155" s="6"/>
      <c r="AT155" s="6"/>
      <c r="AU155" s="7"/>
      <c r="AV155" s="1"/>
      <c r="AW155"/>
      <c r="AX155"/>
      <c r="AY155"/>
      <c r="BA155" s="6"/>
      <c r="BB155" s="6"/>
      <c r="BC155" s="6"/>
      <c r="BD155" s="7"/>
      <c r="BE155" s="1"/>
      <c r="BF155"/>
      <c r="BG155"/>
      <c r="BH155"/>
    </row>
    <row r="156" spans="1:60" s="462" customFormat="1" ht="26.25" customHeight="1" x14ac:dyDescent="0.35">
      <c r="A156" s="8352" t="s">
        <v>2766</v>
      </c>
      <c r="B156" s="455"/>
      <c r="C156" s="456"/>
      <c r="D156" s="2"/>
      <c r="E156" s="456"/>
      <c r="F156" s="456"/>
      <c r="G156" s="456"/>
      <c r="H156" s="459"/>
      <c r="I156" s="459"/>
      <c r="J156" s="7"/>
      <c r="K156" s="456"/>
      <c r="N156" s="1"/>
      <c r="O156" s="6"/>
      <c r="P156" s="6"/>
      <c r="Q156" s="6"/>
      <c r="R156" s="7"/>
      <c r="S156" s="1"/>
      <c r="T156"/>
      <c r="U156"/>
      <c r="V156"/>
      <c r="W156" s="456"/>
      <c r="X156" s="577"/>
      <c r="Z156" s="6"/>
      <c r="AA156" s="6"/>
      <c r="AB156" s="6"/>
      <c r="AC156" s="7"/>
      <c r="AD156" s="1"/>
      <c r="AE156"/>
      <c r="AF156"/>
      <c r="AG156"/>
      <c r="AI156" s="6"/>
      <c r="AJ156" s="6"/>
      <c r="AK156" s="6"/>
      <c r="AL156" s="7"/>
      <c r="AM156" s="1"/>
      <c r="AN156"/>
      <c r="AO156"/>
      <c r="AP156"/>
      <c r="AR156" s="6"/>
      <c r="AS156" s="6"/>
      <c r="AT156" s="6"/>
      <c r="AU156" s="7"/>
      <c r="AV156" s="1"/>
      <c r="AW156"/>
      <c r="AX156"/>
      <c r="AY156"/>
      <c r="BA156" s="6"/>
      <c r="BB156" s="6"/>
      <c r="BC156" s="6"/>
      <c r="BD156" s="7"/>
      <c r="BE156" s="1"/>
      <c r="BF156"/>
      <c r="BG156"/>
      <c r="BH156"/>
    </row>
    <row r="157" spans="1:60" x14ac:dyDescent="0.35">
      <c r="B157" s="8353"/>
      <c r="C157" s="8353"/>
      <c r="D157" s="8353"/>
      <c r="E157" s="8353"/>
      <c r="F157" s="8353"/>
      <c r="G157" s="8353"/>
      <c r="H157" s="8353"/>
      <c r="I157" s="8353"/>
      <c r="J157" s="8353"/>
      <c r="K157" s="8353"/>
      <c r="L157" s="8353"/>
      <c r="M157" s="8354"/>
      <c r="W157" s="456"/>
      <c r="X157" s="577"/>
      <c r="Y157" s="462"/>
      <c r="AH157" s="462"/>
      <c r="AI157" s="6"/>
      <c r="AJ157" s="6"/>
      <c r="AK157" s="6"/>
      <c r="AL157" s="7"/>
      <c r="AM157" s="1"/>
      <c r="AR157" s="6"/>
      <c r="AS157" s="6"/>
      <c r="AT157" s="6"/>
      <c r="AU157" s="7"/>
      <c r="AV157" s="1"/>
      <c r="AZ157" s="462"/>
      <c r="BA157" s="6"/>
      <c r="BB157" s="6"/>
      <c r="BC157" s="6"/>
      <c r="BD157" s="7"/>
      <c r="BE157" s="1"/>
    </row>
  </sheetData>
  <mergeCells count="53">
    <mergeCell ref="BA5:BD5"/>
    <mergeCell ref="BF5:BH5"/>
    <mergeCell ref="BA7:BB7"/>
    <mergeCell ref="BD7:BD8"/>
    <mergeCell ref="BF7:BH7"/>
    <mergeCell ref="BA1:BH1"/>
    <mergeCell ref="BA4:BD4"/>
    <mergeCell ref="BF4:BH4"/>
    <mergeCell ref="AN5:AP5"/>
    <mergeCell ref="F1:M1"/>
    <mergeCell ref="O1:V1"/>
    <mergeCell ref="Z1:AG1"/>
    <mergeCell ref="AI1:AP1"/>
    <mergeCell ref="H4:J4"/>
    <mergeCell ref="L4:M4"/>
    <mergeCell ref="O4:R4"/>
    <mergeCell ref="T4:V4"/>
    <mergeCell ref="X4:X5"/>
    <mergeCell ref="Z4:AC4"/>
    <mergeCell ref="AE4:AG4"/>
    <mergeCell ref="AI4:AL4"/>
    <mergeCell ref="T7:V7"/>
    <mergeCell ref="Z7:AA7"/>
    <mergeCell ref="AN4:AP4"/>
    <mergeCell ref="H5:J5"/>
    <mergeCell ref="L5:M5"/>
    <mergeCell ref="R7:R8"/>
    <mergeCell ref="T5:V5"/>
    <mergeCell ref="Z5:AC5"/>
    <mergeCell ref="AE5:AG5"/>
    <mergeCell ref="AI5:AL5"/>
    <mergeCell ref="O5:R5"/>
    <mergeCell ref="AI7:AJ7"/>
    <mergeCell ref="AL7:AL8"/>
    <mergeCell ref="AN7:AP7"/>
    <mergeCell ref="AC7:AC8"/>
    <mergeCell ref="AE7:AG7"/>
    <mergeCell ref="A122:A138"/>
    <mergeCell ref="H7:I7"/>
    <mergeCell ref="J7:J8"/>
    <mergeCell ref="L7:M7"/>
    <mergeCell ref="O7:P7"/>
    <mergeCell ref="A10:A30"/>
    <mergeCell ref="A32:A113"/>
    <mergeCell ref="A115:A120"/>
    <mergeCell ref="AR7:AS7"/>
    <mergeCell ref="AU7:AU8"/>
    <mergeCell ref="AW7:AY7"/>
    <mergeCell ref="AR1:AY1"/>
    <mergeCell ref="AR4:AU4"/>
    <mergeCell ref="AW4:AY4"/>
    <mergeCell ref="AR5:AU5"/>
    <mergeCell ref="AW5:AY5"/>
  </mergeCells>
  <hyperlinks>
    <hyperlink ref="AO10" r:id="rId1" xr:uid="{00000000-0004-0000-1100-000000000000}"/>
    <hyperlink ref="AX10" r:id="rId2" xr:uid="{E91E1B34-FBEB-44DE-A617-EF606CE013BC}"/>
    <hyperlink ref="AT10" r:id="rId3" xr:uid="{8E1FFEEF-480D-46A0-9385-CD290E2B3B88}"/>
    <hyperlink ref="BG10" r:id="rId4" xr:uid="{7D209FD6-55AC-473D-B9F7-E8850E1CA0B0}"/>
    <hyperlink ref="BC10" r:id="rId5" xr:uid="{BAF85202-3CE2-4E17-9828-00A522FA74E1}"/>
  </hyperlinks>
  <pageMargins left="0.23622047244094491" right="0.23622047244094491" top="0.35433070866141736" bottom="0.35433070866141736" header="0.31496062992125984" footer="0.31496062992125984"/>
  <pageSetup paperSize="9" scale="33" orientation="portrait" horizontalDpi="4294967293" r:id="rId6"/>
  <headerFooter>
    <oddFooter>&amp;R&amp;1#&amp;"Calibri"&amp;12&amp;K000000Official Use</oddFooter>
  </headerFooter>
  <legacy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H138"/>
  <sheetViews>
    <sheetView topLeftCell="A3" zoomScale="88" zoomScaleNormal="91" workbookViewId="0">
      <pane xSplit="4" topLeftCell="Q1" activePane="topRight" state="frozen"/>
      <selection pane="topRight" activeCell="AE109" sqref="AE109"/>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5" width="20.81640625" style="462" customWidth="1"/>
    <col min="16" max="16" width="18.81640625" style="462" customWidth="1"/>
    <col min="17" max="17" width="10.6328125" style="462" customWidth="1"/>
    <col min="18" max="18" width="11.81640625" style="462" customWidth="1"/>
    <col min="19" max="19" width="2.1796875" style="462" customWidth="1"/>
    <col min="20" max="22" width="19.453125" style="462" customWidth="1"/>
    <col min="23" max="23" width="1.6328125" style="1" customWidth="1"/>
    <col min="24" max="24" width="18.453125" style="462" customWidth="1"/>
    <col min="25" max="25" width="22.81640625" style="462" customWidth="1"/>
    <col min="26" max="26" width="10.6328125" style="462" customWidth="1"/>
    <col min="27" max="27" width="11.81640625" style="462" customWidth="1"/>
    <col min="28" max="28" width="2.1796875" style="462" customWidth="1"/>
    <col min="29" max="31" width="19.453125" style="462" customWidth="1"/>
    <col min="32" max="32" width="1.6328125" style="1" customWidth="1"/>
    <col min="33" max="33" width="20.453125" style="462" customWidth="1"/>
    <col min="34" max="34" width="21.81640625" style="462" customWidth="1"/>
    <col min="35" max="35" width="10.6328125" style="462" customWidth="1"/>
    <col min="36" max="36" width="11.81640625" style="462" customWidth="1"/>
    <col min="37" max="37" width="2.1796875" style="462" customWidth="1"/>
    <col min="38" max="40" width="19.453125" style="462" customWidth="1"/>
    <col min="41" max="41" width="1.6328125" style="1" customWidth="1"/>
    <col min="42" max="42" width="20.1796875" style="462" customWidth="1"/>
    <col min="43" max="43" width="26.6328125" style="462" customWidth="1"/>
    <col min="44" max="44" width="17.1796875" style="462" customWidth="1"/>
    <col min="45" max="45" width="8.453125" style="462" customWidth="1"/>
    <col min="46" max="46" width="2.1796875" style="462" customWidth="1"/>
    <col min="47" max="49" width="19.453125" style="462" customWidth="1"/>
    <col min="50" max="50" width="1.6328125" style="1" customWidth="1"/>
    <col min="51" max="51" width="17.81640625" style="462" customWidth="1"/>
    <col min="52" max="52" width="20.81640625" style="462" customWidth="1"/>
    <col min="53" max="53" width="17.1796875" style="462" customWidth="1"/>
    <col min="54" max="54" width="8.453125" style="462" customWidth="1"/>
    <col min="55" max="55" width="2.1796875" style="462" customWidth="1"/>
    <col min="56" max="58" width="19.453125" style="462" customWidth="1"/>
    <col min="59" max="59" width="1.6328125" style="1" customWidth="1"/>
    <col min="60" max="60" width="55" customWidth="1"/>
  </cols>
  <sheetData>
    <row r="1" spans="1:60" s="470" customFormat="1" ht="31" x14ac:dyDescent="0.7">
      <c r="B1" s="1"/>
      <c r="C1" s="1"/>
      <c r="F1" s="9118" t="s">
        <v>823</v>
      </c>
      <c r="G1" s="9119"/>
      <c r="H1" s="9119"/>
      <c r="I1" s="9119"/>
      <c r="J1" s="9119"/>
      <c r="K1" s="9119"/>
      <c r="L1" s="9119"/>
      <c r="M1" s="9120"/>
      <c r="N1" s="710"/>
      <c r="O1" s="9121" t="s">
        <v>824</v>
      </c>
      <c r="P1" s="9122"/>
      <c r="Q1" s="9122"/>
      <c r="R1" s="9122"/>
      <c r="S1" s="9122"/>
      <c r="T1" s="9122"/>
      <c r="U1" s="9122"/>
      <c r="V1" s="9123"/>
      <c r="W1" s="1537"/>
      <c r="X1" s="9207" t="s">
        <v>825</v>
      </c>
      <c r="Y1" s="9208"/>
      <c r="Z1" s="9208"/>
      <c r="AA1" s="9208"/>
      <c r="AB1" s="9208"/>
      <c r="AC1" s="9208"/>
      <c r="AD1" s="9208"/>
      <c r="AE1" s="9209"/>
      <c r="AF1" s="1537"/>
      <c r="AG1" s="9127" t="s">
        <v>826</v>
      </c>
      <c r="AH1" s="9128"/>
      <c r="AI1" s="9128"/>
      <c r="AJ1" s="9128"/>
      <c r="AK1" s="9128"/>
      <c r="AL1" s="9128"/>
      <c r="AM1" s="9128"/>
      <c r="AN1" s="9129"/>
      <c r="AO1" s="1537"/>
      <c r="AP1" s="9164" t="s">
        <v>827</v>
      </c>
      <c r="AQ1" s="9165"/>
      <c r="AR1" s="9165"/>
      <c r="AS1" s="9165"/>
      <c r="AT1" s="9165"/>
      <c r="AU1" s="9165"/>
      <c r="AV1" s="9165"/>
      <c r="AW1" s="9166"/>
      <c r="AX1" s="1537"/>
      <c r="AY1" s="9400" t="s">
        <v>828</v>
      </c>
      <c r="AZ1" s="9401"/>
      <c r="BA1" s="9401"/>
      <c r="BB1" s="9401"/>
      <c r="BC1" s="9401"/>
      <c r="BD1" s="9401"/>
      <c r="BE1" s="9401"/>
      <c r="BF1" s="9402"/>
      <c r="BG1" s="1537"/>
    </row>
    <row r="2" spans="1:60" ht="21" x14ac:dyDescent="0.5">
      <c r="B2" s="1" t="s">
        <v>829</v>
      </c>
      <c r="C2" s="4" t="s">
        <v>44</v>
      </c>
      <c r="F2" s="1" t="s">
        <v>2767</v>
      </c>
      <c r="H2"/>
    </row>
    <row r="4" spans="1:60" s="8" customFormat="1" ht="15.25" customHeight="1" x14ac:dyDescent="0.35">
      <c r="D4" s="471"/>
      <c r="F4" s="8326" t="s">
        <v>830</v>
      </c>
      <c r="H4" s="9130" t="s">
        <v>831</v>
      </c>
      <c r="I4" s="9131"/>
      <c r="J4" s="9132"/>
      <c r="L4" s="9130" t="s">
        <v>832</v>
      </c>
      <c r="M4" s="9132"/>
      <c r="O4" s="9133" t="s">
        <v>2768</v>
      </c>
      <c r="P4" s="9134"/>
      <c r="Q4" s="9134"/>
      <c r="R4" s="9135"/>
      <c r="S4" s="712"/>
      <c r="T4" s="9302" t="s">
        <v>2769</v>
      </c>
      <c r="U4" s="9302"/>
      <c r="V4" s="9302"/>
      <c r="X4" s="9133" t="s">
        <v>2768</v>
      </c>
      <c r="Y4" s="9134"/>
      <c r="Z4" s="9134"/>
      <c r="AA4" s="9135"/>
      <c r="AB4" s="712"/>
      <c r="AC4" s="9133" t="s">
        <v>2769</v>
      </c>
      <c r="AD4" s="9134"/>
      <c r="AE4" s="9135"/>
      <c r="AG4" s="9133" t="s">
        <v>2768</v>
      </c>
      <c r="AH4" s="9134"/>
      <c r="AI4" s="9134"/>
      <c r="AJ4" s="9135"/>
      <c r="AK4" s="712"/>
      <c r="AL4" s="9133" t="s">
        <v>2769</v>
      </c>
      <c r="AM4" s="9134"/>
      <c r="AN4" s="9135"/>
      <c r="AP4" s="9133" t="s">
        <v>2768</v>
      </c>
      <c r="AQ4" s="9134"/>
      <c r="AR4" s="9134"/>
      <c r="AS4" s="9135"/>
      <c r="AT4" s="712"/>
      <c r="AU4" s="9133" t="s">
        <v>2769</v>
      </c>
      <c r="AV4" s="9134"/>
      <c r="AW4" s="9135"/>
      <c r="AY4" s="9133" t="s">
        <v>2768</v>
      </c>
      <c r="AZ4" s="9134"/>
      <c r="BA4" s="9134"/>
      <c r="BB4" s="9135"/>
      <c r="BC4" s="712"/>
      <c r="BD4" s="9133" t="s">
        <v>2769</v>
      </c>
      <c r="BE4" s="9134"/>
      <c r="BF4" s="9135"/>
      <c r="BH4" s="9180" t="s">
        <v>404</v>
      </c>
    </row>
    <row r="5" spans="1:60" x14ac:dyDescent="0.35">
      <c r="B5" s="1" t="s">
        <v>835</v>
      </c>
      <c r="C5" s="1538">
        <v>2008</v>
      </c>
      <c r="F5" s="8324" t="s">
        <v>2770</v>
      </c>
      <c r="G5" s="12"/>
      <c r="H5" s="9138" t="s">
        <v>2771</v>
      </c>
      <c r="I5" s="9139"/>
      <c r="J5" s="9140"/>
      <c r="K5" s="12"/>
      <c r="L5" s="9138" t="s">
        <v>738</v>
      </c>
      <c r="M5" s="9140"/>
      <c r="O5" s="9138" t="str">
        <f>L5</f>
        <v>2014-2015</v>
      </c>
      <c r="P5" s="9139"/>
      <c r="Q5" s="9139"/>
      <c r="R5" s="9140"/>
      <c r="S5" s="7678"/>
      <c r="T5" s="9138" t="s">
        <v>2772</v>
      </c>
      <c r="U5" s="9139"/>
      <c r="V5" s="9139"/>
      <c r="X5" s="9138" t="s">
        <v>2772</v>
      </c>
      <c r="Y5" s="9139"/>
      <c r="Z5" s="9139"/>
      <c r="AA5" s="9140"/>
      <c r="AB5" s="7678"/>
      <c r="AC5" s="9138" t="s">
        <v>2773</v>
      </c>
      <c r="AD5" s="9139"/>
      <c r="AE5" s="9139"/>
      <c r="AG5" s="9138" t="s">
        <v>2773</v>
      </c>
      <c r="AH5" s="9139"/>
      <c r="AI5" s="9139"/>
      <c r="AJ5" s="9140"/>
      <c r="AK5" s="7678"/>
      <c r="AL5" s="9138" t="s">
        <v>2774</v>
      </c>
      <c r="AM5" s="9139"/>
      <c r="AN5" s="9139"/>
      <c r="AP5" s="9138" t="s">
        <v>2774</v>
      </c>
      <c r="AQ5" s="9139"/>
      <c r="AR5" s="9139"/>
      <c r="AS5" s="9140"/>
      <c r="AT5" s="7678"/>
      <c r="AU5" s="9138" t="s">
        <v>2775</v>
      </c>
      <c r="AV5" s="9139"/>
      <c r="AW5" s="9139"/>
      <c r="AY5" s="9138" t="s">
        <v>2775</v>
      </c>
      <c r="AZ5" s="9139"/>
      <c r="BA5" s="9139"/>
      <c r="BB5" s="9140"/>
      <c r="BC5" s="7678"/>
      <c r="BD5" s="9138" t="s">
        <v>2776</v>
      </c>
      <c r="BE5" s="9139"/>
      <c r="BF5" s="9139"/>
      <c r="BH5" s="9181"/>
    </row>
    <row r="6" spans="1:60" x14ac:dyDescent="0.35">
      <c r="C6"/>
      <c r="F6" s="459"/>
      <c r="G6" s="456"/>
      <c r="H6" s="459"/>
      <c r="I6" s="459"/>
      <c r="J6" s="459"/>
      <c r="K6" s="456"/>
      <c r="L6" s="715"/>
      <c r="M6" s="462"/>
      <c r="BH6" s="6"/>
    </row>
    <row r="7" spans="1:60" ht="12.75" customHeight="1" x14ac:dyDescent="0.35">
      <c r="B7" s="1" t="s">
        <v>836</v>
      </c>
      <c r="C7" s="15" t="s">
        <v>1293</v>
      </c>
      <c r="D7" s="5" t="s">
        <v>417</v>
      </c>
      <c r="F7" s="717" t="s">
        <v>2777</v>
      </c>
      <c r="G7" s="456"/>
      <c r="H7" s="9194" t="s">
        <v>2777</v>
      </c>
      <c r="I7" s="9194"/>
      <c r="J7" s="9143" t="s">
        <v>1296</v>
      </c>
      <c r="K7" s="456"/>
      <c r="L7" s="9145" t="s">
        <v>2777</v>
      </c>
      <c r="M7" s="9146"/>
      <c r="O7" s="9145" t="s">
        <v>2777</v>
      </c>
      <c r="P7" s="9403"/>
      <c r="Q7" s="9403"/>
      <c r="R7" s="9146"/>
      <c r="S7" s="1539"/>
      <c r="T7" s="9145" t="s">
        <v>2777</v>
      </c>
      <c r="U7" s="9403"/>
      <c r="V7" s="9403"/>
      <c r="X7" s="9145" t="s">
        <v>2777</v>
      </c>
      <c r="Y7" s="9403"/>
      <c r="Z7" s="9403"/>
      <c r="AA7" s="9146"/>
      <c r="AB7" s="1539"/>
      <c r="AC7" s="9145" t="s">
        <v>2777</v>
      </c>
      <c r="AD7" s="9403"/>
      <c r="AE7" s="9403"/>
      <c r="AG7" s="9145" t="s">
        <v>2777</v>
      </c>
      <c r="AH7" s="9403"/>
      <c r="AI7" s="9403"/>
      <c r="AJ7" s="9146"/>
      <c r="AK7" s="1539"/>
      <c r="AL7" s="9145" t="s">
        <v>2777</v>
      </c>
      <c r="AM7" s="9403"/>
      <c r="AN7" s="9403"/>
      <c r="AP7" s="9145" t="s">
        <v>2777</v>
      </c>
      <c r="AQ7" s="9403"/>
      <c r="AR7" s="9403"/>
      <c r="AS7" s="9146"/>
      <c r="AT7" s="1539"/>
      <c r="AU7" s="9145" t="s">
        <v>2777</v>
      </c>
      <c r="AV7" s="9403"/>
      <c r="AW7" s="9403"/>
      <c r="AY7" s="9145" t="s">
        <v>2777</v>
      </c>
      <c r="AZ7" s="9403"/>
      <c r="BA7" s="9403"/>
      <c r="BB7" s="9146"/>
      <c r="BC7" s="1539"/>
      <c r="BD7" s="9145" t="s">
        <v>2777</v>
      </c>
      <c r="BE7" s="9403"/>
      <c r="BF7" s="9403"/>
      <c r="BH7" s="18"/>
    </row>
    <row r="8" spans="1:60" ht="24" x14ac:dyDescent="0.35">
      <c r="B8" s="1" t="s">
        <v>841</v>
      </c>
      <c r="C8" s="19" t="s">
        <v>2778</v>
      </c>
      <c r="F8" s="720" t="s">
        <v>843</v>
      </c>
      <c r="G8" s="456"/>
      <c r="H8" s="721" t="s">
        <v>844</v>
      </c>
      <c r="I8" s="720" t="s">
        <v>843</v>
      </c>
      <c r="J8" s="9144"/>
      <c r="K8" s="456"/>
      <c r="L8" s="721" t="s">
        <v>844</v>
      </c>
      <c r="M8" s="720" t="s">
        <v>843</v>
      </c>
      <c r="O8" s="1540" t="s">
        <v>424</v>
      </c>
      <c r="P8" s="1540" t="s">
        <v>845</v>
      </c>
      <c r="Q8" s="1540" t="s">
        <v>1300</v>
      </c>
      <c r="R8" s="1540"/>
      <c r="S8" s="1540"/>
      <c r="T8" s="1540" t="s">
        <v>424</v>
      </c>
      <c r="U8" s="1540" t="s">
        <v>1300</v>
      </c>
      <c r="V8" s="1540" t="s">
        <v>2779</v>
      </c>
      <c r="X8" s="1540" t="s">
        <v>424</v>
      </c>
      <c r="Y8" s="1540" t="s">
        <v>845</v>
      </c>
      <c r="Z8" s="1540" t="s">
        <v>1300</v>
      </c>
      <c r="AA8" s="1540"/>
      <c r="AB8" s="1540"/>
      <c r="AC8" s="1540" t="s">
        <v>424</v>
      </c>
      <c r="AD8" s="1540" t="s">
        <v>1300</v>
      </c>
      <c r="AE8" s="1540" t="s">
        <v>2780</v>
      </c>
      <c r="AG8" s="1540" t="s">
        <v>424</v>
      </c>
      <c r="AH8" s="1540" t="s">
        <v>845</v>
      </c>
      <c r="AI8" s="1540" t="s">
        <v>1300</v>
      </c>
      <c r="AJ8" s="1540"/>
      <c r="AK8" s="1540"/>
      <c r="AL8" s="1540" t="s">
        <v>424</v>
      </c>
      <c r="AM8" s="1540" t="s">
        <v>1300</v>
      </c>
      <c r="AN8" s="1540" t="s">
        <v>2780</v>
      </c>
      <c r="AP8" s="1540" t="s">
        <v>424</v>
      </c>
      <c r="AQ8" s="1540" t="s">
        <v>845</v>
      </c>
      <c r="AR8" s="1540" t="s">
        <v>1300</v>
      </c>
      <c r="AS8" s="1540"/>
      <c r="AT8" s="1540"/>
      <c r="AU8" s="1540" t="s">
        <v>424</v>
      </c>
      <c r="AV8" s="1540" t="s">
        <v>1300</v>
      </c>
      <c r="AW8" s="1540" t="s">
        <v>2780</v>
      </c>
      <c r="AY8" s="1540" t="s">
        <v>424</v>
      </c>
      <c r="AZ8" s="1540" t="s">
        <v>845</v>
      </c>
      <c r="BA8" s="1540" t="s">
        <v>1300</v>
      </c>
      <c r="BB8" s="1540"/>
      <c r="BC8" s="1540"/>
      <c r="BD8" s="1540" t="s">
        <v>424</v>
      </c>
      <c r="BE8" s="1540" t="s">
        <v>1300</v>
      </c>
      <c r="BF8" s="1540" t="s">
        <v>2780</v>
      </c>
      <c r="BH8" s="24"/>
    </row>
    <row r="9" spans="1:60" x14ac:dyDescent="0.35">
      <c r="C9"/>
      <c r="E9"/>
      <c r="F9"/>
      <c r="G9"/>
      <c r="H9"/>
      <c r="I9"/>
      <c r="J9" s="25"/>
      <c r="K9"/>
      <c r="N9"/>
      <c r="W9"/>
      <c r="AF9"/>
      <c r="AO9"/>
      <c r="AX9"/>
      <c r="BG9"/>
    </row>
    <row r="10" spans="1:60" ht="33.25" customHeight="1" x14ac:dyDescent="0.35">
      <c r="A10" s="9167" t="s">
        <v>854</v>
      </c>
      <c r="B10" s="27"/>
      <c r="C10" s="28" t="s">
        <v>427</v>
      </c>
      <c r="D10" s="29" t="s">
        <v>428</v>
      </c>
      <c r="E10" s="30"/>
      <c r="F10" s="31"/>
      <c r="G10"/>
      <c r="H10" s="31" t="s">
        <v>2781</v>
      </c>
      <c r="I10" s="36" t="s">
        <v>2782</v>
      </c>
      <c r="J10" s="472"/>
      <c r="K10" s="510"/>
      <c r="L10" s="31" t="s">
        <v>2783</v>
      </c>
      <c r="M10" s="36" t="s">
        <v>2782</v>
      </c>
      <c r="N10" s="33"/>
      <c r="O10" s="31" t="s">
        <v>2784</v>
      </c>
      <c r="P10" s="36" t="s">
        <v>2782</v>
      </c>
      <c r="Q10" s="472" t="s">
        <v>2785</v>
      </c>
      <c r="R10" s="472" t="s">
        <v>865</v>
      </c>
      <c r="S10" s="1541"/>
      <c r="T10" s="31" t="s">
        <v>2786</v>
      </c>
      <c r="U10" s="1542" t="s">
        <v>2787</v>
      </c>
      <c r="V10" s="36" t="s">
        <v>2788</v>
      </c>
      <c r="W10" s="33"/>
      <c r="X10" s="31" t="s">
        <v>2786</v>
      </c>
      <c r="Y10" s="36" t="s">
        <v>2788</v>
      </c>
      <c r="Z10" s="1542" t="s">
        <v>2787</v>
      </c>
      <c r="AA10" s="472" t="s">
        <v>865</v>
      </c>
      <c r="AB10" s="1541"/>
      <c r="AC10" s="31" t="s">
        <v>2789</v>
      </c>
      <c r="AD10" s="1542" t="s">
        <v>2790</v>
      </c>
      <c r="AE10" s="34" t="s">
        <v>2791</v>
      </c>
      <c r="AF10" s="33"/>
      <c r="AG10" s="31" t="s">
        <v>2792</v>
      </c>
      <c r="AH10" s="36" t="s">
        <v>1432</v>
      </c>
      <c r="AI10" s="1543" t="s">
        <v>2793</v>
      </c>
      <c r="AJ10" s="472" t="s">
        <v>865</v>
      </c>
      <c r="AK10" s="1541"/>
      <c r="AL10" s="31" t="s">
        <v>2794</v>
      </c>
      <c r="AM10" s="1542" t="s">
        <v>2790</v>
      </c>
      <c r="AN10" s="34" t="s">
        <v>2795</v>
      </c>
      <c r="AO10" s="33"/>
      <c r="AP10" s="31" t="s">
        <v>2796</v>
      </c>
      <c r="AQ10" s="36"/>
      <c r="AR10" s="1543" t="s">
        <v>2797</v>
      </c>
      <c r="AS10" s="472" t="s">
        <v>865</v>
      </c>
      <c r="AT10" s="1541"/>
      <c r="AU10" s="31" t="s">
        <v>2798</v>
      </c>
      <c r="AV10" s="1542" t="s">
        <v>2797</v>
      </c>
      <c r="AW10" s="34" t="s">
        <v>2799</v>
      </c>
      <c r="AX10" s="33"/>
      <c r="AY10" s="31" t="s">
        <v>2800</v>
      </c>
      <c r="AZ10" s="36" t="s">
        <v>2799</v>
      </c>
      <c r="BA10" s="1543" t="s">
        <v>2797</v>
      </c>
      <c r="BB10" s="472" t="s">
        <v>865</v>
      </c>
      <c r="BC10" s="1541"/>
      <c r="BD10" s="31" t="s">
        <v>2801</v>
      </c>
      <c r="BE10" s="1543" t="s">
        <v>2802</v>
      </c>
      <c r="BF10" s="34" t="s">
        <v>2803</v>
      </c>
      <c r="BG10" s="33"/>
      <c r="BH10" s="39"/>
    </row>
    <row r="11" spans="1:60" ht="12.75" customHeight="1" x14ac:dyDescent="0.35">
      <c r="A11" s="9168"/>
      <c r="B11" s="40" t="s">
        <v>870</v>
      </c>
      <c r="C11" s="41"/>
      <c r="D11" s="42"/>
      <c r="E11" s="43"/>
      <c r="F11" s="44"/>
      <c r="G11"/>
      <c r="H11" s="45"/>
      <c r="I11" s="46"/>
      <c r="J11" s="47"/>
      <c r="K11" s="48"/>
      <c r="L11" s="1544"/>
      <c r="M11" s="1545"/>
      <c r="N11" s="50"/>
      <c r="O11" s="1546"/>
      <c r="P11" s="1547" t="s">
        <v>2804</v>
      </c>
      <c r="Q11" s="734"/>
      <c r="R11" s="734"/>
      <c r="T11" s="1546" t="s">
        <v>2805</v>
      </c>
      <c r="U11" s="1548" t="s">
        <v>2806</v>
      </c>
      <c r="V11" s="1549"/>
      <c r="W11" s="50"/>
      <c r="X11" s="1546" t="s">
        <v>2805</v>
      </c>
      <c r="Y11" s="1547"/>
      <c r="Z11" s="1550" t="s">
        <v>2806</v>
      </c>
      <c r="AA11" s="734"/>
      <c r="AC11" s="1546"/>
      <c r="AD11" s="1548" t="s">
        <v>2807</v>
      </c>
      <c r="AE11" s="1551" t="s">
        <v>2808</v>
      </c>
      <c r="AF11" s="50"/>
      <c r="AG11" s="1546" t="s">
        <v>2809</v>
      </c>
      <c r="AH11" s="1547"/>
      <c r="AI11" s="1548" t="s">
        <v>2810</v>
      </c>
      <c r="AJ11" s="734"/>
      <c r="AL11" s="1552" t="s">
        <v>2811</v>
      </c>
      <c r="AM11" s="1548"/>
      <c r="AN11" s="1551" t="s">
        <v>2808</v>
      </c>
      <c r="AO11" s="50"/>
      <c r="AP11" s="6863" t="s">
        <v>2811</v>
      </c>
      <c r="AQ11" s="6864" t="s">
        <v>2812</v>
      </c>
      <c r="AR11" s="1548"/>
      <c r="AS11" s="734"/>
      <c r="AU11" s="1552" t="s">
        <v>2813</v>
      </c>
      <c r="AV11" s="1548"/>
      <c r="AW11" s="1551" t="s">
        <v>2814</v>
      </c>
      <c r="AX11" s="50"/>
      <c r="AY11" s="6863" t="s">
        <v>2813</v>
      </c>
      <c r="AZ11" s="6864" t="s">
        <v>2814</v>
      </c>
      <c r="BA11" s="1548"/>
      <c r="BB11" s="734"/>
      <c r="BD11" s="1552" t="s">
        <v>2815</v>
      </c>
      <c r="BE11" s="1548"/>
      <c r="BF11" s="1551" t="s">
        <v>2816</v>
      </c>
      <c r="BG11" s="50"/>
      <c r="BH11" s="18"/>
    </row>
    <row r="12" spans="1:60" x14ac:dyDescent="0.35">
      <c r="A12" s="9168"/>
      <c r="B12" s="58"/>
      <c r="C12" s="59" t="s">
        <v>872</v>
      </c>
      <c r="D12" s="60"/>
      <c r="F12" s="61"/>
      <c r="G12"/>
      <c r="H12" s="62">
        <v>67205203547</v>
      </c>
      <c r="I12" s="63">
        <v>47107061354.230003</v>
      </c>
      <c r="J12" s="476">
        <f>IF(H12=0,0,I12/H12)</f>
        <v>0.70094366013318676</v>
      </c>
      <c r="K12" s="65"/>
      <c r="L12" s="62">
        <v>75830158074</v>
      </c>
      <c r="M12" s="1553">
        <v>56794108527.050003</v>
      </c>
      <c r="N12" s="67"/>
      <c r="O12" s="780">
        <v>60130190000</v>
      </c>
      <c r="P12" s="781">
        <v>56794108527.050003</v>
      </c>
      <c r="Q12" s="748" t="s">
        <v>2817</v>
      </c>
      <c r="R12" s="748">
        <f>IF(O12=0,0,P12/O12)</f>
        <v>0.94451902658298603</v>
      </c>
      <c r="S12" s="847"/>
      <c r="T12" s="780">
        <v>77206500001</v>
      </c>
      <c r="U12" s="1554"/>
      <c r="V12" s="1042">
        <v>66077760475.445</v>
      </c>
      <c r="W12" s="67"/>
      <c r="X12" s="780">
        <v>77206500001</v>
      </c>
      <c r="Y12" s="781">
        <v>66077760475.445</v>
      </c>
      <c r="Z12" s="748"/>
      <c r="AA12" s="748">
        <f>IF(X12=0,0,Y12/X12)</f>
        <v>0.85585747928722511</v>
      </c>
      <c r="AB12" s="847"/>
      <c r="AC12" s="780">
        <v>76647747448</v>
      </c>
      <c r="AD12" s="1554"/>
      <c r="AE12" s="890">
        <f>53187450261.04*4/3</f>
        <v>70916600348.053329</v>
      </c>
      <c r="AF12" s="67"/>
      <c r="AG12" s="780">
        <v>71416639540</v>
      </c>
      <c r="AH12" s="781">
        <v>75940844569.429993</v>
      </c>
      <c r="AI12" s="1554"/>
      <c r="AJ12" s="748">
        <f>IF(AG12=0,0,AH12/AG12)</f>
        <v>1.0633494527125715</v>
      </c>
      <c r="AK12" s="847"/>
      <c r="AL12" s="780">
        <v>93446173522</v>
      </c>
      <c r="AM12" s="1554"/>
      <c r="AN12" s="1555">
        <v>79359762625.320007</v>
      </c>
      <c r="AO12" s="67"/>
      <c r="AP12" s="780">
        <f>93446173522</f>
        <v>93446173522</v>
      </c>
      <c r="AQ12" s="781">
        <v>79359762625.320007</v>
      </c>
      <c r="AR12" s="1557" t="s">
        <v>2818</v>
      </c>
      <c r="AS12" s="6865">
        <f>IF(AP12=0,0,AQ12/AP12)</f>
        <v>0.84925641825918496</v>
      </c>
      <c r="AT12" s="847"/>
      <c r="AU12" s="780">
        <f>AP12</f>
        <v>93446173522</v>
      </c>
      <c r="AV12" s="1554"/>
      <c r="AW12" s="1555">
        <f>72311848096.528*12/11</f>
        <v>78885652468.939636</v>
      </c>
      <c r="AX12" s="67"/>
      <c r="AY12" s="780">
        <v>99169448521</v>
      </c>
      <c r="AZ12" s="781">
        <f>72311848096.528*12/11</f>
        <v>78885652468.939636</v>
      </c>
      <c r="BA12" s="8497" t="s">
        <v>2819</v>
      </c>
      <c r="BB12" s="6865">
        <f>IF(AY12=0,0,AZ12/AY12)</f>
        <v>0.79546325653141958</v>
      </c>
      <c r="BC12" s="847"/>
      <c r="BD12" s="780">
        <v>89339870695</v>
      </c>
      <c r="BE12" s="8497" t="s">
        <v>2819</v>
      </c>
      <c r="BF12" s="1555">
        <v>87005633690.789993</v>
      </c>
      <c r="BG12" s="67"/>
      <c r="BH12" s="26"/>
    </row>
    <row r="13" spans="1:60" x14ac:dyDescent="0.35">
      <c r="A13" s="9168"/>
      <c r="B13" s="58"/>
      <c r="C13" s="59"/>
      <c r="D13" s="60"/>
      <c r="F13" s="61"/>
      <c r="G13"/>
      <c r="H13" s="62"/>
      <c r="I13" s="63"/>
      <c r="J13" s="476"/>
      <c r="K13" s="65"/>
      <c r="L13" s="62"/>
      <c r="M13" s="1553"/>
      <c r="N13" s="67"/>
      <c r="O13" s="780"/>
      <c r="P13" s="781"/>
      <c r="Q13" s="748"/>
      <c r="R13" s="748"/>
      <c r="S13" s="847"/>
      <c r="T13" s="780"/>
      <c r="U13" s="1554"/>
      <c r="V13" s="1042"/>
      <c r="W13" s="67"/>
      <c r="X13" s="780"/>
      <c r="Y13" s="781"/>
      <c r="Z13" s="748"/>
      <c r="AA13" s="748"/>
      <c r="AB13" s="847"/>
      <c r="AC13" s="780"/>
      <c r="AD13" s="1554"/>
      <c r="AE13" s="890"/>
      <c r="AF13" s="67"/>
      <c r="AG13" s="780"/>
      <c r="AH13" s="781"/>
      <c r="AI13" s="1554"/>
      <c r="AJ13" s="748"/>
      <c r="AK13" s="847"/>
      <c r="AL13" s="780"/>
      <c r="AM13" s="1554"/>
      <c r="AN13" s="1555"/>
      <c r="AO13" s="67"/>
      <c r="AP13" s="780">
        <f>18405145101</f>
        <v>18405145101</v>
      </c>
      <c r="AQ13" s="6866"/>
      <c r="AR13" s="1557" t="s">
        <v>2820</v>
      </c>
      <c r="AS13" s="6865">
        <f>IF(AP13=0,0,AQ13/AP13)</f>
        <v>0</v>
      </c>
      <c r="AT13" s="847"/>
      <c r="AU13" s="780">
        <f>AP13</f>
        <v>18405145101</v>
      </c>
      <c r="AV13" s="1554"/>
      <c r="AW13" s="1555"/>
      <c r="AX13" s="67"/>
      <c r="AY13" s="780">
        <v>8537307824</v>
      </c>
      <c r="AZ13" s="781"/>
      <c r="BA13" s="8497" t="s">
        <v>2820</v>
      </c>
      <c r="BB13" s="6865">
        <f>IF(AY13=0,0,AZ13/AY13)</f>
        <v>0</v>
      </c>
      <c r="BC13" s="847"/>
      <c r="BD13" s="780">
        <v>6664700000</v>
      </c>
      <c r="BE13" s="8497" t="s">
        <v>2820</v>
      </c>
      <c r="BF13" s="1555"/>
      <c r="BG13" s="67"/>
      <c r="BH13" s="26"/>
    </row>
    <row r="14" spans="1:60" x14ac:dyDescent="0.35">
      <c r="A14" s="9168"/>
      <c r="B14" s="58"/>
      <c r="C14" s="59" t="s">
        <v>878</v>
      </c>
      <c r="D14" s="60"/>
      <c r="F14" s="61"/>
      <c r="G14"/>
      <c r="H14" s="62">
        <v>51475345398</v>
      </c>
      <c r="I14" s="63">
        <v>4277000000</v>
      </c>
      <c r="J14" s="73">
        <f t="shared" ref="J14:J17" si="0">IF(H14=0,0,I14/H14)</f>
        <v>8.3088320572321531E-2</v>
      </c>
      <c r="K14" s="65"/>
      <c r="L14" s="62">
        <v>46819524926</v>
      </c>
      <c r="M14" s="1553">
        <v>1402000000</v>
      </c>
      <c r="N14" s="67"/>
      <c r="O14" s="785">
        <v>30463793850</v>
      </c>
      <c r="P14" s="786">
        <v>1402000000</v>
      </c>
      <c r="Q14" s="748" t="s">
        <v>2817</v>
      </c>
      <c r="R14" s="754">
        <f t="shared" ref="R14:R17" si="1">IF(O14=0,0,P14/O14)</f>
        <v>4.6021845043439986E-2</v>
      </c>
      <c r="S14" s="847"/>
      <c r="T14" s="785">
        <v>25946500001</v>
      </c>
      <c r="U14" s="1556"/>
      <c r="V14" s="1038">
        <v>3340197147.9299998</v>
      </c>
      <c r="W14" s="67"/>
      <c r="X14" s="785">
        <v>25946500001</v>
      </c>
      <c r="Y14" s="786">
        <v>3340197147.9299998</v>
      </c>
      <c r="Z14" s="748"/>
      <c r="AA14" s="754">
        <f t="shared" ref="AA14" si="2">IF(X14=0,0,Y14/X14)</f>
        <v>0.12873401606387241</v>
      </c>
      <c r="AB14" s="847"/>
      <c r="AC14" s="785">
        <v>30636674177</v>
      </c>
      <c r="AD14" s="1557" t="s">
        <v>2821</v>
      </c>
      <c r="AE14" s="890">
        <f>3495272408.44*4/3</f>
        <v>4660363211.2533331</v>
      </c>
      <c r="AF14" s="67"/>
      <c r="AG14" s="785">
        <v>32468850177</v>
      </c>
      <c r="AH14" s="786">
        <v>13137529906.5</v>
      </c>
      <c r="AI14" s="1557" t="s">
        <v>2821</v>
      </c>
      <c r="AJ14" s="754">
        <f t="shared" ref="AJ14" si="3">IF(AG14=0,0,AH14/AG14)</f>
        <v>0.40461949945508846</v>
      </c>
      <c r="AK14" s="847"/>
      <c r="AL14" s="785">
        <v>24022569069</v>
      </c>
      <c r="AM14" s="1557" t="s">
        <v>2821</v>
      </c>
      <c r="AN14" s="1555">
        <v>3735667375.7657499</v>
      </c>
      <c r="AO14" s="67"/>
      <c r="AP14" s="785">
        <f>24022569069+5057510830</f>
        <v>29080079899</v>
      </c>
      <c r="AQ14" s="786">
        <v>3735667375.7657499</v>
      </c>
      <c r="AR14" s="1557" t="s">
        <v>2822</v>
      </c>
      <c r="AS14" s="6867">
        <f t="shared" ref="AS14" si="4">IF(AP14=0,0,AQ14/AP14)</f>
        <v>0.12846138623897699</v>
      </c>
      <c r="AT14" s="847"/>
      <c r="AU14" s="785">
        <f>AP14</f>
        <v>29080079899</v>
      </c>
      <c r="AV14" s="1557"/>
      <c r="AW14" s="1555">
        <v>0</v>
      </c>
      <c r="AX14" s="67"/>
      <c r="AY14" s="785">
        <v>4811176040</v>
      </c>
      <c r="AZ14" s="786">
        <v>7016026130.8299999</v>
      </c>
      <c r="BA14" s="1557" t="s">
        <v>2822</v>
      </c>
      <c r="BB14" s="6867">
        <f t="shared" ref="BB14" si="5">IF(AY14=0,0,AZ14/AY14)</f>
        <v>1.4582767440847997</v>
      </c>
      <c r="BC14" s="847"/>
      <c r="BD14" s="785">
        <v>9674750000</v>
      </c>
      <c r="BE14" s="1557" t="s">
        <v>2822</v>
      </c>
      <c r="BF14" s="1555">
        <v>8070968250.4399996</v>
      </c>
      <c r="BG14" s="67"/>
      <c r="BH14" s="26"/>
    </row>
    <row r="15" spans="1:60" x14ac:dyDescent="0.35">
      <c r="A15" s="9168"/>
      <c r="B15" s="75"/>
      <c r="C15" s="587" t="s">
        <v>1399</v>
      </c>
      <c r="D15" s="60"/>
      <c r="F15" s="77"/>
      <c r="G15"/>
      <c r="H15" s="78"/>
      <c r="I15" s="79"/>
      <c r="J15" s="73"/>
      <c r="K15" s="80"/>
      <c r="L15" s="78"/>
      <c r="M15" s="1553"/>
      <c r="N15" s="67"/>
      <c r="O15" s="791"/>
      <c r="P15" s="1558"/>
      <c r="Q15" s="748"/>
      <c r="R15" s="754"/>
      <c r="S15" s="847"/>
      <c r="T15" s="791"/>
      <c r="U15" s="1556"/>
      <c r="V15" s="1040"/>
      <c r="W15" s="67"/>
      <c r="X15" s="791"/>
      <c r="Y15" s="1558"/>
      <c r="Z15" s="748"/>
      <c r="AA15" s="754"/>
      <c r="AB15" s="847"/>
      <c r="AC15" s="791"/>
      <c r="AD15" s="1556"/>
      <c r="AE15" s="890"/>
      <c r="AF15" s="67"/>
      <c r="AG15" s="791"/>
      <c r="AH15" s="1558"/>
      <c r="AI15" s="1556"/>
      <c r="AJ15" s="754"/>
      <c r="AK15" s="847"/>
      <c r="AL15" s="791"/>
      <c r="AM15" s="1556"/>
      <c r="AN15" s="1555"/>
      <c r="AO15" s="67"/>
      <c r="AP15" s="791"/>
      <c r="AQ15" s="1558"/>
      <c r="AR15" s="6868"/>
      <c r="AS15" s="6869"/>
      <c r="AT15" s="847"/>
      <c r="AU15" s="791"/>
      <c r="AV15" s="1556"/>
      <c r="AW15" s="1555"/>
      <c r="AX15" s="67"/>
      <c r="AY15" s="791">
        <v>29856446136</v>
      </c>
      <c r="AZ15" s="1558"/>
      <c r="BA15" s="1557" t="s">
        <v>2823</v>
      </c>
      <c r="BB15" s="6869"/>
      <c r="BC15" s="847"/>
      <c r="BD15" s="791">
        <v>37069658982</v>
      </c>
      <c r="BE15" s="1557" t="s">
        <v>2823</v>
      </c>
      <c r="BF15" s="1555"/>
      <c r="BG15" s="67"/>
      <c r="BH15" s="26"/>
    </row>
    <row r="16" spans="1:60" x14ac:dyDescent="0.35">
      <c r="A16" s="9168"/>
      <c r="B16" s="75"/>
      <c r="C16" s="587" t="s">
        <v>1401</v>
      </c>
      <c r="D16" s="60"/>
      <c r="F16" s="77"/>
      <c r="G16"/>
      <c r="H16" s="78"/>
      <c r="I16" s="79"/>
      <c r="J16" s="73"/>
      <c r="K16" s="80"/>
      <c r="L16" s="78"/>
      <c r="M16" s="1553"/>
      <c r="N16" s="67"/>
      <c r="O16" s="791"/>
      <c r="P16" s="1558"/>
      <c r="Q16" s="748"/>
      <c r="R16" s="754"/>
      <c r="S16" s="847"/>
      <c r="T16" s="791"/>
      <c r="U16" s="1556"/>
      <c r="V16" s="1040"/>
      <c r="W16" s="67"/>
      <c r="X16" s="791"/>
      <c r="Y16" s="1558"/>
      <c r="Z16" s="748"/>
      <c r="AA16" s="754"/>
      <c r="AB16" s="847"/>
      <c r="AC16" s="791"/>
      <c r="AD16" s="1556"/>
      <c r="AE16" s="890"/>
      <c r="AF16" s="67"/>
      <c r="AG16" s="791"/>
      <c r="AH16" s="1558"/>
      <c r="AI16" s="1556"/>
      <c r="AJ16" s="754"/>
      <c r="AK16" s="847"/>
      <c r="AL16" s="791"/>
      <c r="AM16" s="1556"/>
      <c r="AN16" s="1555"/>
      <c r="AO16" s="67"/>
      <c r="AP16" s="791"/>
      <c r="AQ16" s="1558"/>
      <c r="AR16" s="6868"/>
      <c r="AS16" s="6869"/>
      <c r="AT16" s="847"/>
      <c r="AU16" s="791"/>
      <c r="AV16" s="1556"/>
      <c r="AW16" s="1555"/>
      <c r="AX16" s="67"/>
      <c r="AY16" s="791"/>
      <c r="AZ16" s="1558"/>
      <c r="BA16" s="6868"/>
      <c r="BB16" s="6869"/>
      <c r="BC16" s="847"/>
      <c r="BD16" s="791"/>
      <c r="BE16" s="1557"/>
      <c r="BF16" s="1555"/>
      <c r="BG16" s="67"/>
      <c r="BH16" s="26"/>
    </row>
    <row r="17" spans="1:60" x14ac:dyDescent="0.35">
      <c r="A17" s="9168"/>
      <c r="B17" s="85"/>
      <c r="C17" s="86" t="s">
        <v>882</v>
      </c>
      <c r="D17" s="87"/>
      <c r="F17" s="88"/>
      <c r="G17"/>
      <c r="H17" s="89">
        <f>H12+H14</f>
        <v>118680548945</v>
      </c>
      <c r="I17" s="90"/>
      <c r="J17" s="91">
        <f t="shared" si="0"/>
        <v>0</v>
      </c>
      <c r="K17" s="80"/>
      <c r="L17" s="89">
        <f>L12+L14</f>
        <v>122649683000</v>
      </c>
      <c r="M17" s="1559">
        <f>SUM(M12:M14)</f>
        <v>58196108527.050003</v>
      </c>
      <c r="N17" s="67"/>
      <c r="O17" s="796">
        <f>O12+O14</f>
        <v>90593983850</v>
      </c>
      <c r="P17" s="796">
        <f>SUM(P12:P14)</f>
        <v>58196108527.050003</v>
      </c>
      <c r="Q17" s="766"/>
      <c r="R17" s="766">
        <f t="shared" si="1"/>
        <v>0.64238381020319824</v>
      </c>
      <c r="S17" s="847"/>
      <c r="T17" s="796">
        <f>T12+T14</f>
        <v>103153000002</v>
      </c>
      <c r="U17" s="1560"/>
      <c r="V17" s="1046">
        <f>SUM(V12:V16)</f>
        <v>69417957623.375</v>
      </c>
      <c r="W17" s="67"/>
      <c r="X17" s="796">
        <f>X12+X14</f>
        <v>103153000002</v>
      </c>
      <c r="Y17" s="796">
        <f>SUM(Y12:Y16)</f>
        <v>69417957623.375</v>
      </c>
      <c r="Z17" s="766"/>
      <c r="AA17" s="766">
        <f t="shared" ref="AA17" si="6">IF(X17=0,0,Y17/X17)</f>
        <v>0.67296111234795963</v>
      </c>
      <c r="AB17" s="847"/>
      <c r="AC17" s="791">
        <f>AC12+AC14</f>
        <v>107284421625</v>
      </c>
      <c r="AD17" s="1556"/>
      <c r="AE17" s="890">
        <f>SUM(AE12:AE16)</f>
        <v>75576963559.306656</v>
      </c>
      <c r="AF17" s="67"/>
      <c r="AG17" s="796">
        <f>AG12+AG14</f>
        <v>103885489717</v>
      </c>
      <c r="AH17" s="796">
        <f>SUM(AH12:AH16)</f>
        <v>89078374475.929993</v>
      </c>
      <c r="AI17" s="1556"/>
      <c r="AJ17" s="766">
        <f t="shared" ref="AJ17" si="7">IF(AG17=0,0,AH17/AG17)</f>
        <v>0.8574669544186887</v>
      </c>
      <c r="AK17" s="847"/>
      <c r="AL17" s="791">
        <f>AL12+AL14</f>
        <v>117468742591</v>
      </c>
      <c r="AM17" s="1556"/>
      <c r="AN17" s="1555">
        <f>SUM(AN12:AN16)</f>
        <v>83095430001.085754</v>
      </c>
      <c r="AO17" s="67"/>
      <c r="AP17" s="796">
        <f>AP12+AP14</f>
        <v>122526253421</v>
      </c>
      <c r="AQ17" s="796">
        <f>SUM(AQ12:AQ16)</f>
        <v>83095430001.085754</v>
      </c>
      <c r="AR17" s="6868" t="s">
        <v>2824</v>
      </c>
      <c r="AS17" s="6870">
        <f t="shared" ref="AS17" si="8">IF(AP17=0,0,AQ17/AP17)</f>
        <v>0.67818469659371694</v>
      </c>
      <c r="AT17" s="847"/>
      <c r="AU17" s="791">
        <f>AU12+AU14</f>
        <v>122526253421</v>
      </c>
      <c r="AV17" s="1556"/>
      <c r="AW17" s="1555">
        <f>SUM(AW12:AW16)</f>
        <v>78885652468.939636</v>
      </c>
      <c r="AX17" s="67"/>
      <c r="AY17" s="796">
        <f>SUM(AY12:AY16)</f>
        <v>142374378521</v>
      </c>
      <c r="AZ17" s="796">
        <f>SUM(AZ12:AZ16)</f>
        <v>85901678599.769638</v>
      </c>
      <c r="BA17" s="6868"/>
      <c r="BB17" s="6870">
        <f t="shared" ref="BB17" si="9">IF(AY17=0,0,AZ17/AY17)</f>
        <v>0.60335068354380406</v>
      </c>
      <c r="BC17" s="847"/>
      <c r="BD17" s="791">
        <f>SUM(BD12:BD16)</f>
        <v>142748979677</v>
      </c>
      <c r="BE17" s="1557"/>
      <c r="BF17" s="1555">
        <f>SUM(BF12:BF16)</f>
        <v>95076601941.229996</v>
      </c>
      <c r="BG17" s="67"/>
      <c r="BH17" s="24"/>
    </row>
    <row r="18" spans="1:60" x14ac:dyDescent="0.35">
      <c r="A18" s="9168"/>
      <c r="B18" s="100" t="s">
        <v>883</v>
      </c>
      <c r="C18" s="49"/>
      <c r="D18" s="42"/>
      <c r="E18" s="43"/>
      <c r="F18" s="101"/>
      <c r="G18"/>
      <c r="H18" s="102"/>
      <c r="I18" s="103"/>
      <c r="J18" s="104"/>
      <c r="K18" s="43"/>
      <c r="L18" s="102"/>
      <c r="M18" s="105"/>
      <c r="N18" s="43"/>
      <c r="O18" s="773"/>
      <c r="P18" s="774"/>
      <c r="Q18" s="775"/>
      <c r="R18" s="775"/>
      <c r="S18" s="847"/>
      <c r="T18" s="773"/>
      <c r="U18" s="1548" t="s">
        <v>2806</v>
      </c>
      <c r="V18" s="776"/>
      <c r="W18" s="43"/>
      <c r="X18" s="773"/>
      <c r="Y18" s="774"/>
      <c r="Z18" s="775" t="s">
        <v>2806</v>
      </c>
      <c r="AA18" s="775"/>
      <c r="AB18" s="847"/>
      <c r="AC18" s="773"/>
      <c r="AD18" s="1548" t="s">
        <v>2807</v>
      </c>
      <c r="AE18" s="776"/>
      <c r="AF18" s="43"/>
      <c r="AG18" s="773"/>
      <c r="AH18" s="774"/>
      <c r="AI18" s="1548" t="s">
        <v>2825</v>
      </c>
      <c r="AJ18" s="775"/>
      <c r="AK18" s="847"/>
      <c r="AL18" s="1552" t="s">
        <v>2811</v>
      </c>
      <c r="AM18" s="1548"/>
      <c r="AN18" s="776"/>
      <c r="AO18" s="43"/>
      <c r="AP18" s="6863" t="s">
        <v>2811</v>
      </c>
      <c r="AQ18" s="1618" t="s">
        <v>2826</v>
      </c>
      <c r="AR18" s="1548"/>
      <c r="AS18" s="6871"/>
      <c r="AT18" s="847"/>
      <c r="AU18" s="1552"/>
      <c r="AV18" s="1548"/>
      <c r="AW18" s="776" t="s">
        <v>2827</v>
      </c>
      <c r="AX18" s="43"/>
      <c r="AY18" s="6863"/>
      <c r="AZ18" s="1618" t="s">
        <v>2827</v>
      </c>
      <c r="BA18" s="1548"/>
      <c r="BB18" s="6871"/>
      <c r="BC18" s="847"/>
      <c r="BD18" s="1552" t="s">
        <v>2828</v>
      </c>
      <c r="BE18" s="1548"/>
      <c r="BF18" s="776" t="s">
        <v>2829</v>
      </c>
      <c r="BG18" s="43"/>
      <c r="BH18" s="18"/>
    </row>
    <row r="19" spans="1:60" x14ac:dyDescent="0.35">
      <c r="A19" s="9168"/>
      <c r="B19" s="6082"/>
      <c r="C19" s="110" t="s">
        <v>885</v>
      </c>
      <c r="D19" s="60"/>
      <c r="F19" s="111"/>
      <c r="G19"/>
      <c r="H19" s="112">
        <v>45192324942</v>
      </c>
      <c r="I19" s="113">
        <f>45108773377.7711-I24</f>
        <v>44243534319.875648</v>
      </c>
      <c r="J19" s="476">
        <f t="shared" ref="J19:J26" si="10">IF(H19=0,0,I19/H19)</f>
        <v>0.9790054921196899</v>
      </c>
      <c r="L19" s="112">
        <v>50054732863</v>
      </c>
      <c r="M19" s="482">
        <v>48156390823.265503</v>
      </c>
      <c r="O19" s="780">
        <v>50054732663</v>
      </c>
      <c r="P19" s="781">
        <f>48156390823.2655-P24</f>
        <v>47291151765.370049</v>
      </c>
      <c r="Q19" s="748" t="s">
        <v>2817</v>
      </c>
      <c r="R19" s="782">
        <f t="shared" ref="R19:R26" si="11">IF(O19=0,0,P19/O19)</f>
        <v>0.94478881914651069</v>
      </c>
      <c r="S19" s="847"/>
      <c r="T19" s="780">
        <v>56040027722</v>
      </c>
      <c r="U19" s="937"/>
      <c r="V19" s="1042">
        <f>57433353831.2-V24</f>
        <v>56125106556.659996</v>
      </c>
      <c r="X19" s="780">
        <v>56040027722</v>
      </c>
      <c r="Y19" s="781">
        <f>57433353831.2-Y24</f>
        <v>56125106556.659996</v>
      </c>
      <c r="Z19" s="748"/>
      <c r="AA19" s="782">
        <f t="shared" ref="AA19" si="12">IF(X19=0,0,Y19/X19)</f>
        <v>1.0015181797389903</v>
      </c>
      <c r="AB19" s="847"/>
      <c r="AC19" s="780">
        <f>62852170131-AC24</f>
        <v>60126151077</v>
      </c>
      <c r="AD19" s="1561" t="s">
        <v>2830</v>
      </c>
      <c r="AE19" s="890">
        <f>46347976927.972*4/3-AE24</f>
        <v>60159690214.176003</v>
      </c>
      <c r="AG19" s="780">
        <f>66262360907-AG24</f>
        <v>64616350853</v>
      </c>
      <c r="AH19" s="781">
        <f>72207480543.1-AH24</f>
        <v>72207480543.100006</v>
      </c>
      <c r="AI19" s="1561" t="s">
        <v>2830</v>
      </c>
      <c r="AJ19" s="782">
        <f t="shared" ref="AJ19" si="13">IF(AG19=0,0,AH19/AG19)</f>
        <v>1.1174800122552504</v>
      </c>
      <c r="AK19" s="847"/>
      <c r="AL19" s="780">
        <f>73636051067-AL24</f>
        <v>70525535362</v>
      </c>
      <c r="AM19" s="1561" t="s">
        <v>2830</v>
      </c>
      <c r="AN19" s="1555">
        <f>76286971696.4958-AN24</f>
        <v>74337865369.295807</v>
      </c>
      <c r="AP19" s="780">
        <v>71481417378</v>
      </c>
      <c r="AQ19" s="781">
        <f>41852228642+38471794674-AQ24</f>
        <v>78544644393</v>
      </c>
      <c r="AR19" s="1561" t="s">
        <v>2831</v>
      </c>
      <c r="AS19" s="6865">
        <f t="shared" ref="AS19" si="14">IF(AP19=0,0,AQ19/AP19)</f>
        <v>1.0988120727607993</v>
      </c>
      <c r="AT19" s="847"/>
      <c r="AU19" s="780">
        <f>96308350000-AU24-AU25</f>
        <v>81908030000</v>
      </c>
      <c r="AV19" s="1561"/>
      <c r="AW19" s="1555">
        <f>((37566106505+28446609669)*12/11)-AW24</f>
        <v>69702224861.454544</v>
      </c>
      <c r="AY19" s="780">
        <f>83942491458-AY24-AY25</f>
        <v>80831975753</v>
      </c>
      <c r="AZ19" s="781">
        <f>((37566106505+28446609669)*12/11)-AZ24</f>
        <v>69702224861.454544</v>
      </c>
      <c r="BA19" s="1561"/>
      <c r="BB19" s="6865">
        <f t="shared" ref="BB19" si="15">IF(AY19=0,0,AZ19/AY19)</f>
        <v>0.86231004762824459</v>
      </c>
      <c r="BC19" s="847"/>
      <c r="BD19" s="780">
        <f>139360000000-BD24-BD25</f>
        <v>119295633223</v>
      </c>
      <c r="BE19" s="1561"/>
      <c r="BF19" s="1555">
        <f>(26427180000+23304530000)*12/7-BF24</f>
        <v>83681657142.857147</v>
      </c>
      <c r="BH19" s="26"/>
    </row>
    <row r="20" spans="1:60" x14ac:dyDescent="0.35">
      <c r="A20" s="9168"/>
      <c r="B20" s="6082"/>
      <c r="C20" s="110" t="s">
        <v>1168</v>
      </c>
      <c r="D20" s="60"/>
      <c r="F20" s="111"/>
      <c r="G20"/>
      <c r="H20" s="112">
        <v>69610295907</v>
      </c>
      <c r="I20" s="113">
        <v>7404075651.2200003</v>
      </c>
      <c r="J20" s="1562">
        <f t="shared" si="10"/>
        <v>0.10636466279516918</v>
      </c>
      <c r="K20" s="374"/>
      <c r="L20" s="112">
        <v>67523775517</v>
      </c>
      <c r="M20" s="482">
        <v>6219648873.4499998</v>
      </c>
      <c r="O20" s="780">
        <f>67523775517-O21</f>
        <v>20704250591</v>
      </c>
      <c r="P20" s="781">
        <v>6219648873.4499998</v>
      </c>
      <c r="Q20" s="748" t="s">
        <v>2817</v>
      </c>
      <c r="R20" s="1563">
        <f>IF(O20=0,0,P20/O20)</f>
        <v>0.30040444333462812</v>
      </c>
      <c r="S20" s="847"/>
      <c r="T20" s="780">
        <f>57697449538-T21</f>
        <v>29418426713</v>
      </c>
      <c r="U20" s="1564"/>
      <c r="V20" s="1042">
        <v>5931206347.3000002</v>
      </c>
      <c r="X20" s="780"/>
      <c r="Y20" s="781">
        <v>5931206347.3000002</v>
      </c>
      <c r="Z20" s="748"/>
      <c r="AA20" s="1563">
        <f>IF(X20=0,0,Y20/X20)</f>
        <v>0</v>
      </c>
      <c r="AB20" s="847"/>
      <c r="AC20" s="780"/>
      <c r="AD20" s="1565"/>
      <c r="AE20" s="890"/>
      <c r="AG20" s="780"/>
      <c r="AH20" s="781"/>
      <c r="AI20" s="1565"/>
      <c r="AJ20" s="1563">
        <f>IF(AG20=0,0,AH20/AG20)</f>
        <v>0</v>
      </c>
      <c r="AK20" s="847"/>
      <c r="AL20" s="780"/>
      <c r="AM20" s="1565"/>
      <c r="AN20" s="1555"/>
      <c r="AP20" s="780"/>
      <c r="AQ20" s="781"/>
      <c r="AR20" s="1565"/>
      <c r="AS20" s="6872">
        <f>IF(AP20=0,0,AQ20/AP20)</f>
        <v>0</v>
      </c>
      <c r="AT20" s="847"/>
      <c r="AU20" s="780"/>
      <c r="AV20" s="1565"/>
      <c r="AW20" s="1555"/>
      <c r="AY20" s="780"/>
      <c r="AZ20" s="781"/>
      <c r="BA20" s="1565"/>
      <c r="BB20" s="6872">
        <f>IF(AY20=0,0,AZ20/AY20)</f>
        <v>0</v>
      </c>
      <c r="BC20" s="847"/>
      <c r="BD20" s="780"/>
      <c r="BE20" s="1565"/>
      <c r="BF20" s="1555"/>
      <c r="BH20" s="26"/>
    </row>
    <row r="21" spans="1:60" x14ac:dyDescent="0.35">
      <c r="A21" s="9168"/>
      <c r="B21" s="6082"/>
      <c r="C21" s="121" t="s">
        <v>1423</v>
      </c>
      <c r="D21" s="60"/>
      <c r="F21" s="122"/>
      <c r="G21"/>
      <c r="H21" s="114"/>
      <c r="I21" s="123"/>
      <c r="J21" s="476"/>
      <c r="L21" s="114"/>
      <c r="M21" s="482"/>
      <c r="O21" s="1566">
        <v>46819524926</v>
      </c>
      <c r="P21" s="1567"/>
      <c r="Q21" s="748" t="s">
        <v>2832</v>
      </c>
      <c r="R21" s="782"/>
      <c r="S21" s="847"/>
      <c r="T21" s="1566">
        <v>28279022825</v>
      </c>
      <c r="U21" s="937"/>
      <c r="V21" s="1568"/>
      <c r="X21" s="1566">
        <v>29418426713</v>
      </c>
      <c r="Y21" s="1567"/>
      <c r="Z21" s="748"/>
      <c r="AA21" s="782"/>
      <c r="AB21" s="847"/>
      <c r="AC21" s="1566">
        <f>1041999951+10049478261</f>
        <v>11091478212</v>
      </c>
      <c r="AD21" s="1561" t="s">
        <v>2833</v>
      </c>
      <c r="AE21" s="890">
        <f>2412279867.24*4/3</f>
        <v>3216373156.3199997</v>
      </c>
      <c r="AG21" s="1566">
        <f>961809176+11263061171</f>
        <v>12224870347</v>
      </c>
      <c r="AH21" s="781">
        <f>1344911153.1+9033860897.42</f>
        <v>10378772050.52</v>
      </c>
      <c r="AI21" s="1561" t="s">
        <v>2833</v>
      </c>
      <c r="AJ21" s="1563">
        <f t="shared" ref="AJ21:AJ24" si="16">IF(AG21=0,0,AH21/AG21)</f>
        <v>0.84898831283449683</v>
      </c>
      <c r="AK21" s="847"/>
      <c r="AL21" s="1566">
        <f>955882016+14883200000</f>
        <v>15839082016</v>
      </c>
      <c r="AM21" s="1561" t="s">
        <v>2833</v>
      </c>
      <c r="AN21" s="1555">
        <v>11690299675.07</v>
      </c>
      <c r="AP21" s="1566">
        <v>14883200000</v>
      </c>
      <c r="AQ21" s="781">
        <f>21737699632-AQ25</f>
        <v>11690299675</v>
      </c>
      <c r="AR21" s="1561" t="s">
        <v>2833</v>
      </c>
      <c r="AS21" s="6872">
        <f t="shared" ref="AS21:AS26" si="17">IF(AP21=0,0,AQ21/AP21)</f>
        <v>0.78546950084659217</v>
      </c>
      <c r="AT21" s="847"/>
      <c r="AU21" s="1566">
        <v>14033950000</v>
      </c>
      <c r="AV21" s="1561"/>
      <c r="AW21" s="1555">
        <f>13365541050*12/11-AW25</f>
        <v>2801715793.0909081</v>
      </c>
      <c r="AY21" s="1566">
        <f>1076341624+14033950000</f>
        <v>15110291624</v>
      </c>
      <c r="AZ21" s="781">
        <f>13365541050*12/11-AZ25</f>
        <v>2801715793.0909081</v>
      </c>
      <c r="BA21" s="1561" t="s">
        <v>2834</v>
      </c>
      <c r="BB21" s="6872">
        <f t="shared" ref="BB21:BB26" si="18">IF(AY21=0,0,AZ21/AY21)</f>
        <v>0.18541771812271862</v>
      </c>
      <c r="BC21" s="847"/>
      <c r="BD21" s="1566">
        <f>59340000000-BD22-BD23</f>
        <v>23889999999</v>
      </c>
      <c r="BE21" s="1561" t="s">
        <v>2834</v>
      </c>
      <c r="BF21" s="1555">
        <f>9508600000*12/7-BF25</f>
        <v>3144394285.7142868</v>
      </c>
      <c r="BH21" s="26"/>
    </row>
    <row r="22" spans="1:60" x14ac:dyDescent="0.35">
      <c r="A22" s="9168"/>
      <c r="B22" s="6082"/>
      <c r="C22" s="121"/>
      <c r="D22" s="60"/>
      <c r="F22" s="122"/>
      <c r="G22"/>
      <c r="H22" s="114"/>
      <c r="I22" s="123"/>
      <c r="J22" s="476"/>
      <c r="L22" s="114"/>
      <c r="M22" s="482"/>
      <c r="O22" s="1566"/>
      <c r="P22" s="1567"/>
      <c r="Q22" s="748"/>
      <c r="R22" s="782"/>
      <c r="S22" s="847"/>
      <c r="T22" s="1566"/>
      <c r="U22" s="937"/>
      <c r="V22" s="1568"/>
      <c r="X22" s="1566"/>
      <c r="Y22" s="1567"/>
      <c r="Z22" s="748"/>
      <c r="AA22" s="782"/>
      <c r="AB22" s="847"/>
      <c r="AC22" s="1566"/>
      <c r="AD22" s="1561"/>
      <c r="AE22" s="890"/>
      <c r="AG22" s="1566"/>
      <c r="AH22" s="781"/>
      <c r="AI22" s="1561"/>
      <c r="AJ22" s="1563"/>
      <c r="AK22" s="847"/>
      <c r="AL22" s="1566">
        <v>18405145101</v>
      </c>
      <c r="AM22" s="1561" t="s">
        <v>2835</v>
      </c>
      <c r="AN22" s="1555"/>
      <c r="AP22" s="1566">
        <v>18405145101</v>
      </c>
      <c r="AQ22" s="6866">
        <f>AP22*AQ21/AP21</f>
        <v>14456680135.49157</v>
      </c>
      <c r="AR22" s="1561" t="s">
        <v>2835</v>
      </c>
      <c r="AS22" s="6872">
        <f t="shared" si="17"/>
        <v>0.78546950084659206</v>
      </c>
      <c r="AT22" s="847"/>
      <c r="AU22" s="1566">
        <v>8537307824</v>
      </c>
      <c r="AV22" s="1561"/>
      <c r="AW22" s="6363">
        <f>AU22*AS22</f>
        <v>6705794915.0909853</v>
      </c>
      <c r="AY22" s="1566">
        <f>5103560854+3433746969</f>
        <v>8537307823</v>
      </c>
      <c r="AZ22" s="6866">
        <f>AW22</f>
        <v>6705794915.0909853</v>
      </c>
      <c r="BA22" s="8498" t="s">
        <v>2836</v>
      </c>
      <c r="BB22" s="6872">
        <f t="shared" si="18"/>
        <v>0.78546950093859647</v>
      </c>
      <c r="BC22" s="847"/>
      <c r="BD22" s="1566">
        <f>2569252757+4095447244</f>
        <v>6664700001</v>
      </c>
      <c r="BE22" s="8498" t="s">
        <v>2836</v>
      </c>
      <c r="BF22" s="890">
        <f>BD22*BB22</f>
        <v>5234918583.6909332</v>
      </c>
      <c r="BH22" s="26"/>
    </row>
    <row r="23" spans="1:60" x14ac:dyDescent="0.35">
      <c r="A23" s="9168"/>
      <c r="B23" s="6082"/>
      <c r="C23" s="121" t="s">
        <v>1428</v>
      </c>
      <c r="D23" s="60"/>
      <c r="F23" s="122"/>
      <c r="G23"/>
      <c r="H23" s="114"/>
      <c r="I23" s="123"/>
      <c r="J23" s="476"/>
      <c r="L23" s="114"/>
      <c r="M23" s="482"/>
      <c r="O23" s="1566"/>
      <c r="P23" s="781"/>
      <c r="Q23" s="748"/>
      <c r="R23" s="782"/>
      <c r="S23" s="847"/>
      <c r="T23" s="1566"/>
      <c r="U23" s="937"/>
      <c r="V23" s="1555"/>
      <c r="X23" s="1566">
        <v>28279022825</v>
      </c>
      <c r="Y23" s="781"/>
      <c r="Z23" s="748"/>
      <c r="AA23" s="782"/>
      <c r="AB23" s="847"/>
      <c r="AC23" s="1566">
        <f>3535303982+2862444367+32737773389</f>
        <v>39135521738</v>
      </c>
      <c r="AD23" s="1561" t="s">
        <v>2837</v>
      </c>
      <c r="AE23" s="1568">
        <f>AE14</f>
        <v>4660363211.2533331</v>
      </c>
      <c r="AG23" s="1566">
        <f>52317769744-AG21-AG25</f>
        <v>31387069480</v>
      </c>
      <c r="AH23" s="781">
        <v>12568178948.18</v>
      </c>
      <c r="AI23" s="1561" t="s">
        <v>2837</v>
      </c>
      <c r="AJ23" s="1563">
        <f t="shared" si="16"/>
        <v>0.40042537122455818</v>
      </c>
      <c r="AK23" s="847"/>
      <c r="AL23" s="1566">
        <v>25708854899</v>
      </c>
      <c r="AM23" s="1561" t="s">
        <v>2837</v>
      </c>
      <c r="AN23" s="890">
        <f>AL23*AJ23</f>
        <v>10294477766.690376</v>
      </c>
      <c r="AP23" s="1566">
        <f>25708854899</f>
        <v>25708854899</v>
      </c>
      <c r="AQ23" s="6866">
        <f>AP23*AQ21/AP21</f>
        <v>20193521424.854996</v>
      </c>
      <c r="AR23" s="1561" t="s">
        <v>2838</v>
      </c>
      <c r="AS23" s="6872">
        <f t="shared" si="17"/>
        <v>0.78546950084659217</v>
      </c>
      <c r="AT23" s="847"/>
      <c r="AU23" s="1566">
        <v>26763392176</v>
      </c>
      <c r="AV23" s="1561"/>
      <c r="AW23" s="6363">
        <f>AU23*AS23</f>
        <v>21021828293.444309</v>
      </c>
      <c r="AY23" s="1566">
        <v>26763392176</v>
      </c>
      <c r="AZ23" s="6866">
        <f>AW23</f>
        <v>21021828293.444309</v>
      </c>
      <c r="BA23" s="8498" t="s">
        <v>2839</v>
      </c>
      <c r="BB23" s="6872">
        <f t="shared" si="18"/>
        <v>0.78546950084659217</v>
      </c>
      <c r="BC23" s="847"/>
      <c r="BD23" s="1566">
        <v>28785300000</v>
      </c>
      <c r="BE23" s="8498" t="s">
        <v>2839</v>
      </c>
      <c r="BF23" s="890">
        <f>BD23*BB23</f>
        <v>22609975222.71941</v>
      </c>
      <c r="BH23" s="26"/>
    </row>
    <row r="24" spans="1:60" x14ac:dyDescent="0.35">
      <c r="A24" s="9168"/>
      <c r="B24" s="6082"/>
      <c r="C24" s="121" t="s">
        <v>1433</v>
      </c>
      <c r="D24" s="60"/>
      <c r="F24" s="163"/>
      <c r="G24" s="1569"/>
      <c r="H24" s="242">
        <v>1278870797</v>
      </c>
      <c r="I24" s="243">
        <v>865239057.89545703</v>
      </c>
      <c r="J24" s="1570">
        <f t="shared" si="10"/>
        <v>0.6765648726401069</v>
      </c>
      <c r="K24" s="274"/>
      <c r="L24" s="242">
        <v>1334997739</v>
      </c>
      <c r="M24" s="482"/>
      <c r="O24" s="791">
        <v>1334997739</v>
      </c>
      <c r="P24" s="781">
        <v>865239057.89545703</v>
      </c>
      <c r="Q24" s="748" t="s">
        <v>2817</v>
      </c>
      <c r="R24" s="1571">
        <f t="shared" si="11"/>
        <v>0.6481202421687825</v>
      </c>
      <c r="S24" s="847"/>
      <c r="T24" s="791">
        <v>2293721196</v>
      </c>
      <c r="U24" s="1572"/>
      <c r="V24" s="1040">
        <v>1308247274.54</v>
      </c>
      <c r="X24" s="791">
        <v>2293721196</v>
      </c>
      <c r="Y24" s="781">
        <v>1308247274.54</v>
      </c>
      <c r="Z24" s="748"/>
      <c r="AA24" s="1571">
        <f t="shared" ref="AA24" si="19">IF(X24=0,0,Y24/X24)</f>
        <v>0.57036019757825873</v>
      </c>
      <c r="AB24" s="847"/>
      <c r="AC24" s="791">
        <v>2726019054</v>
      </c>
      <c r="AD24" s="1573" t="s">
        <v>2840</v>
      </c>
      <c r="AE24" s="890">
        <f>1228209267.34*4/3</f>
        <v>1637612356.4533331</v>
      </c>
      <c r="AG24" s="791">
        <v>1646010054</v>
      </c>
      <c r="AH24" s="781"/>
      <c r="AI24" s="1573" t="s">
        <v>2840</v>
      </c>
      <c r="AJ24" s="1571">
        <f t="shared" si="16"/>
        <v>0</v>
      </c>
      <c r="AK24" s="847"/>
      <c r="AL24" s="791">
        <v>3110515705</v>
      </c>
      <c r="AM24" s="1573" t="s">
        <v>2840</v>
      </c>
      <c r="AN24" s="1555">
        <v>1949106327.2</v>
      </c>
      <c r="AP24" s="791">
        <v>3110515705</v>
      </c>
      <c r="AQ24" s="781">
        <v>1779378923</v>
      </c>
      <c r="AR24" s="1573" t="s">
        <v>2841</v>
      </c>
      <c r="AS24" s="6873">
        <f t="shared" si="17"/>
        <v>0.57205270500314032</v>
      </c>
      <c r="AT24" s="847"/>
      <c r="AU24" s="1566">
        <v>3110515705</v>
      </c>
      <c r="AV24" s="1573"/>
      <c r="AW24" s="1555">
        <f>2119010051*12/11</f>
        <v>2311647328.3636365</v>
      </c>
      <c r="AY24" s="791">
        <v>3110515705</v>
      </c>
      <c r="AZ24" s="781">
        <f>2119010051*12/11</f>
        <v>2311647328.3636365</v>
      </c>
      <c r="BA24" s="1573" t="s">
        <v>2842</v>
      </c>
      <c r="BB24" s="6873">
        <f t="shared" si="18"/>
        <v>0.74317172700583956</v>
      </c>
      <c r="BC24" s="847"/>
      <c r="BD24" s="1566"/>
      <c r="BE24" s="1573" t="s">
        <v>2842</v>
      </c>
      <c r="BF24" s="1555">
        <f>917410000*12/7</f>
        <v>1572702857.1428571</v>
      </c>
      <c r="BH24" s="26"/>
    </row>
    <row r="25" spans="1:60" x14ac:dyDescent="0.35">
      <c r="A25" s="9168"/>
      <c r="B25" s="6082"/>
      <c r="C25" s="121" t="s">
        <v>1435</v>
      </c>
      <c r="D25" s="60"/>
      <c r="F25" s="163"/>
      <c r="G25" s="235"/>
      <c r="H25" s="242"/>
      <c r="I25" s="243"/>
      <c r="J25" s="476"/>
      <c r="L25" s="242"/>
      <c r="M25" s="482"/>
      <c r="O25" s="791">
        <v>3736177230</v>
      </c>
      <c r="P25" s="1574"/>
      <c r="Q25" s="748"/>
      <c r="R25" s="782"/>
      <c r="S25" s="847"/>
      <c r="T25" s="791">
        <v>6648632346</v>
      </c>
      <c r="U25" s="937"/>
      <c r="V25" s="1040">
        <f t="shared" ref="V25" si="20">T25*R25</f>
        <v>0</v>
      </c>
      <c r="X25" s="791">
        <v>6648632346</v>
      </c>
      <c r="Y25" s="1574">
        <f t="shared" ref="Y25" si="21">W25*U25</f>
        <v>0</v>
      </c>
      <c r="Z25" s="748"/>
      <c r="AA25" s="782"/>
      <c r="AB25" s="847"/>
      <c r="AC25" s="791">
        <v>8865829917</v>
      </c>
      <c r="AD25" s="1561" t="s">
        <v>2843</v>
      </c>
      <c r="AE25" s="890"/>
      <c r="AG25" s="791">
        <v>8705829917</v>
      </c>
      <c r="AH25" s="1574">
        <v>11472250264.59</v>
      </c>
      <c r="AI25" s="1561" t="s">
        <v>2843</v>
      </c>
      <c r="AJ25" s="782"/>
      <c r="AK25" s="847"/>
      <c r="AL25" s="791">
        <v>10610866918</v>
      </c>
      <c r="AM25" s="1561" t="s">
        <v>2843</v>
      </c>
      <c r="AN25" s="1555"/>
      <c r="AP25" s="791">
        <v>10610866918</v>
      </c>
      <c r="AQ25" s="1574">
        <v>10047399957</v>
      </c>
      <c r="AR25" s="1561" t="s">
        <v>2844</v>
      </c>
      <c r="AS25" s="6873">
        <f t="shared" si="17"/>
        <v>0.94689717952789043</v>
      </c>
      <c r="AT25" s="847"/>
      <c r="AU25" s="1566">
        <v>11289804295</v>
      </c>
      <c r="AV25" s="1561"/>
      <c r="AW25" s="1555">
        <f>10797301573*12/11</f>
        <v>11778874443.272728</v>
      </c>
      <c r="AY25" s="791"/>
      <c r="AZ25" s="1574">
        <f>10797301573*12/11</f>
        <v>11778874443.272728</v>
      </c>
      <c r="BA25" s="1561" t="s">
        <v>2845</v>
      </c>
      <c r="BB25" s="6873">
        <f t="shared" si="18"/>
        <v>0</v>
      </c>
      <c r="BC25" s="847"/>
      <c r="BD25" s="1566">
        <v>20064366777</v>
      </c>
      <c r="BE25" s="1561" t="s">
        <v>2846</v>
      </c>
      <c r="BF25" s="1555">
        <f>7674370000*12/7</f>
        <v>13156062857.142857</v>
      </c>
      <c r="BH25" s="26"/>
    </row>
    <row r="26" spans="1:60" x14ac:dyDescent="0.35">
      <c r="A26" s="9168"/>
      <c r="B26" s="128"/>
      <c r="C26" s="129" t="s">
        <v>903</v>
      </c>
      <c r="D26" s="87"/>
      <c r="E26" s="141"/>
      <c r="F26" s="130"/>
      <c r="G26" s="235"/>
      <c r="H26" s="131">
        <f>H19+H20+H24</f>
        <v>116081491646</v>
      </c>
      <c r="I26" s="132">
        <f>SUM(I19:I24)</f>
        <v>52512849028.991104</v>
      </c>
      <c r="J26" s="484">
        <f t="shared" si="10"/>
        <v>0.4523791716007004</v>
      </c>
      <c r="L26" s="131">
        <f>L19+L20+L24</f>
        <v>118913506119</v>
      </c>
      <c r="M26" s="485">
        <f>SUM(M19:M24)</f>
        <v>54376039696.7155</v>
      </c>
      <c r="O26" s="796">
        <f>SUM(O19:O25)</f>
        <v>122649683149</v>
      </c>
      <c r="P26" s="796">
        <f>SUM(P19:P24)</f>
        <v>54376039696.7155</v>
      </c>
      <c r="Q26" s="798"/>
      <c r="R26" s="798">
        <f t="shared" si="11"/>
        <v>0.44334431447863748</v>
      </c>
      <c r="S26" s="847"/>
      <c r="T26" s="796">
        <f>SUM(T19:T25)</f>
        <v>122679830802</v>
      </c>
      <c r="U26" s="1575"/>
      <c r="V26" s="1046">
        <f>SUM(V19:V25)</f>
        <v>63364560178.5</v>
      </c>
      <c r="X26" s="796">
        <f>SUM(X19:X25)</f>
        <v>122679830802</v>
      </c>
      <c r="Y26" s="796">
        <f>SUM(Y19:Y25)</f>
        <v>63364560178.5</v>
      </c>
      <c r="Z26" s="798"/>
      <c r="AA26" s="798">
        <f t="shared" ref="AA26" si="22">IF(X26=0,0,Y26/X26)</f>
        <v>0.51650348524500078</v>
      </c>
      <c r="AB26" s="847"/>
      <c r="AC26" s="796">
        <f>SUM(AC19:AC25)</f>
        <v>121944999998</v>
      </c>
      <c r="AD26" s="1575"/>
      <c r="AE26" s="1576">
        <f>SUM(AE19:AE25)</f>
        <v>69674038938.202667</v>
      </c>
      <c r="AG26" s="796">
        <f>SUM(AG19:AG25)</f>
        <v>118580130651</v>
      </c>
      <c r="AH26" s="796">
        <f>SUM(AH19:AH25)</f>
        <v>106626681806.39001</v>
      </c>
      <c r="AI26" s="1575"/>
      <c r="AJ26" s="798">
        <f t="shared" ref="AJ26" si="23">IF(AG26=0,0,AH26/AG26)</f>
        <v>0.89919517899848778</v>
      </c>
      <c r="AK26" s="847"/>
      <c r="AL26" s="796">
        <f>SUM(AL19:AL25)</f>
        <v>144200000001</v>
      </c>
      <c r="AM26" s="1575"/>
      <c r="AN26" s="1577">
        <f>SUM(AN19:AN25)</f>
        <v>98271749138.25618</v>
      </c>
      <c r="AP26" s="796">
        <f>SUM(AP19:AP25)</f>
        <v>144200000001</v>
      </c>
      <c r="AQ26" s="797">
        <f>SUM(AQ19:AQ25)</f>
        <v>136711924508.34657</v>
      </c>
      <c r="AR26" s="6874"/>
      <c r="AS26" s="6875">
        <f t="shared" si="17"/>
        <v>0.94807159852564837</v>
      </c>
      <c r="AT26" s="847"/>
      <c r="AU26" s="796">
        <f>SUM(AU19:AU25)</f>
        <v>145643000000</v>
      </c>
      <c r="AV26" s="1575"/>
      <c r="AW26" s="1577">
        <f>SUM(AW19:AW25)</f>
        <v>114322085634.7171</v>
      </c>
      <c r="AY26" s="796">
        <f>SUM(AY19:AY25)</f>
        <v>134353483081</v>
      </c>
      <c r="AZ26" s="797">
        <f>SUM(AZ19:AZ25)</f>
        <v>114322085634.7171</v>
      </c>
      <c r="BA26" s="6874"/>
      <c r="BB26" s="6875">
        <f t="shared" si="18"/>
        <v>0.85090526135294742</v>
      </c>
      <c r="BC26" s="847"/>
      <c r="BD26" s="796">
        <f>SUM(BD19:BD25)</f>
        <v>198700000000</v>
      </c>
      <c r="BE26" s="1575"/>
      <c r="BF26" s="1577">
        <f>SUM(BF19:BF25)</f>
        <v>129399710949.26749</v>
      </c>
      <c r="BH26" s="24"/>
    </row>
    <row r="27" spans="1:60" x14ac:dyDescent="0.35">
      <c r="A27" s="9168"/>
      <c r="B27" s="139" t="s">
        <v>904</v>
      </c>
      <c r="C27" s="49"/>
      <c r="D27" s="140"/>
      <c r="F27" s="1578"/>
      <c r="G27" s="1579"/>
      <c r="H27" s="1580"/>
      <c r="I27" s="150"/>
      <c r="J27" s="486"/>
      <c r="K27" s="141"/>
      <c r="L27" s="1581"/>
      <c r="M27" s="148"/>
      <c r="N27" s="141"/>
      <c r="O27" s="1582"/>
      <c r="P27" s="1583"/>
      <c r="Q27" s="805"/>
      <c r="R27" s="805"/>
      <c r="S27" s="938"/>
      <c r="T27" s="1582"/>
      <c r="U27" s="1584"/>
      <c r="V27" s="1585"/>
      <c r="W27" s="141"/>
      <c r="X27" s="1582"/>
      <c r="Y27" s="1583"/>
      <c r="Z27" s="805"/>
      <c r="AA27" s="805"/>
      <c r="AB27" s="938"/>
      <c r="AC27" s="1586"/>
      <c r="AD27" s="1587" t="s">
        <v>2807</v>
      </c>
      <c r="AE27" s="1588"/>
      <c r="AF27" s="141"/>
      <c r="AG27" s="1582"/>
      <c r="AH27" s="1583"/>
      <c r="AI27" s="1584"/>
      <c r="AJ27" s="805"/>
      <c r="AK27" s="938"/>
      <c r="AL27" s="1586"/>
      <c r="AM27" s="1587"/>
      <c r="AN27" s="1588"/>
      <c r="AO27" s="141"/>
      <c r="AP27" s="6863" t="s">
        <v>2811</v>
      </c>
      <c r="AQ27" s="6876" t="s">
        <v>2826</v>
      </c>
      <c r="AR27" s="6877"/>
      <c r="AS27" s="6878"/>
      <c r="AT27" s="938"/>
      <c r="AU27" s="1586" t="s">
        <v>1831</v>
      </c>
      <c r="AV27" s="1587"/>
      <c r="AW27" s="1588"/>
      <c r="AX27" s="141"/>
      <c r="AY27" s="6863" t="s">
        <v>1831</v>
      </c>
      <c r="AZ27" s="6876"/>
      <c r="BA27" s="6877"/>
      <c r="BB27" s="6878"/>
      <c r="BC27" s="938"/>
      <c r="BD27" s="1586" t="s">
        <v>1831</v>
      </c>
      <c r="BE27" s="1587"/>
      <c r="BF27" s="1588"/>
      <c r="BG27" s="141"/>
      <c r="BH27" s="18"/>
    </row>
    <row r="28" spans="1:60" x14ac:dyDescent="0.35">
      <c r="A28" s="9168"/>
      <c r="B28" s="6082"/>
      <c r="C28" s="110" t="s">
        <v>905</v>
      </c>
      <c r="D28" s="60"/>
      <c r="F28" s="155"/>
      <c r="G28" s="235"/>
      <c r="H28" s="117">
        <v>23520703285</v>
      </c>
      <c r="I28" s="115">
        <v>22624746451.509998</v>
      </c>
      <c r="J28" s="476">
        <f t="shared" ref="J28:J31" si="24">IF(H28=0,0,I28/H28)</f>
        <v>0.96190773623417181</v>
      </c>
      <c r="L28" s="156">
        <v>28973104572</v>
      </c>
      <c r="M28" s="611">
        <v>27632218578.110001</v>
      </c>
      <c r="O28" s="785">
        <v>28973104572</v>
      </c>
      <c r="P28" s="786">
        <v>27632218578.110001</v>
      </c>
      <c r="Q28" s="782" t="s">
        <v>2847</v>
      </c>
      <c r="R28" s="782">
        <f t="shared" ref="R28:R31" si="25">IF(O28=0,0,P28/O28)</f>
        <v>0.95371963019848938</v>
      </c>
      <c r="S28" s="938"/>
      <c r="T28" s="785">
        <v>32571985531</v>
      </c>
      <c r="U28" s="937" t="s">
        <v>2848</v>
      </c>
      <c r="V28" s="1038">
        <v>31243315749.470001</v>
      </c>
      <c r="X28" s="785">
        <v>32571985531</v>
      </c>
      <c r="Y28" s="786">
        <v>31243315749.470001</v>
      </c>
      <c r="Z28" s="782" t="s">
        <v>2848</v>
      </c>
      <c r="AA28" s="782">
        <f t="shared" ref="AA28:AA31" si="26">IF(X28=0,0,Y28/X28)</f>
        <v>0.95920820423227027</v>
      </c>
      <c r="AB28" s="938"/>
      <c r="AC28" s="785">
        <v>34516958711</v>
      </c>
      <c r="AD28" s="937"/>
      <c r="AE28" s="890">
        <f>24446998122.452*4/3</f>
        <v>32595997496.602665</v>
      </c>
      <c r="AG28" s="785">
        <v>35778246346</v>
      </c>
      <c r="AH28" s="786">
        <v>33745935755.661999</v>
      </c>
      <c r="AI28" s="937" t="s">
        <v>2848</v>
      </c>
      <c r="AJ28" s="782">
        <f t="shared" ref="AJ28:AJ31" si="27">IF(AG28=0,0,AH28/AG28)</f>
        <v>0.94319703177500169</v>
      </c>
      <c r="AK28" s="938"/>
      <c r="AL28" s="785">
        <v>40256210032</v>
      </c>
      <c r="AM28" s="937"/>
      <c r="AN28" s="1555">
        <v>37645449618.635803</v>
      </c>
      <c r="AP28" s="785">
        <v>40256210032</v>
      </c>
      <c r="AQ28" s="786">
        <v>37645449618.635803</v>
      </c>
      <c r="AR28" s="6879"/>
      <c r="AS28" s="6865">
        <f t="shared" ref="AS28:AS31" si="28">IF(AP28=0,0,AQ28/AP28)</f>
        <v>0.93514639328220706</v>
      </c>
      <c r="AT28" s="938"/>
      <c r="AU28" s="785">
        <v>41997956754</v>
      </c>
      <c r="AV28" s="937"/>
      <c r="AW28" s="1555">
        <f>37566106505*12/11</f>
        <v>40981207096.36364</v>
      </c>
      <c r="AY28" s="785">
        <v>41997956754</v>
      </c>
      <c r="AZ28" s="786">
        <f>37566106505*12/11</f>
        <v>40981207096.36364</v>
      </c>
      <c r="BA28" s="6879"/>
      <c r="BB28" s="6865">
        <f t="shared" ref="BB28:BB31" si="29">IF(AY28=0,0,AZ28/AY28)</f>
        <v>0.97579049705699028</v>
      </c>
      <c r="BC28" s="938"/>
      <c r="BD28" s="785">
        <v>41997956754</v>
      </c>
      <c r="BE28" s="937"/>
      <c r="BF28" s="1555">
        <v>47122437120</v>
      </c>
      <c r="BH28" s="26"/>
    </row>
    <row r="29" spans="1:60" x14ac:dyDescent="0.35">
      <c r="A29" s="9168"/>
      <c r="B29" s="6082"/>
      <c r="C29" s="110" t="s">
        <v>907</v>
      </c>
      <c r="D29" s="60">
        <v>2</v>
      </c>
      <c r="F29" s="155"/>
      <c r="G29" s="235"/>
      <c r="H29" s="117"/>
      <c r="I29" s="115"/>
      <c r="J29" s="476">
        <f t="shared" si="24"/>
        <v>0</v>
      </c>
      <c r="L29" s="156"/>
      <c r="M29" s="611"/>
      <c r="O29" s="785"/>
      <c r="P29" s="786"/>
      <c r="Q29" s="782"/>
      <c r="R29" s="782">
        <f t="shared" si="25"/>
        <v>0</v>
      </c>
      <c r="S29" s="938"/>
      <c r="T29" s="785"/>
      <c r="U29" s="937"/>
      <c r="V29" s="1038"/>
      <c r="X29" s="785"/>
      <c r="Y29" s="786"/>
      <c r="Z29" s="782"/>
      <c r="AA29" s="782">
        <f t="shared" si="26"/>
        <v>0</v>
      </c>
      <c r="AB29" s="938"/>
      <c r="AC29" s="785"/>
      <c r="AD29" s="937"/>
      <c r="AE29" s="890"/>
      <c r="AG29" s="785"/>
      <c r="AH29" s="786"/>
      <c r="AI29" s="937"/>
      <c r="AJ29" s="782">
        <f t="shared" si="27"/>
        <v>0</v>
      </c>
      <c r="AK29" s="938"/>
      <c r="AL29" s="785"/>
      <c r="AM29" s="937"/>
      <c r="AN29" s="1555"/>
      <c r="AP29" s="785"/>
      <c r="AQ29" s="786"/>
      <c r="AR29" s="6879"/>
      <c r="AS29" s="6865">
        <f t="shared" si="28"/>
        <v>0</v>
      </c>
      <c r="AT29" s="938"/>
      <c r="AU29" s="785"/>
      <c r="AV29" s="937"/>
      <c r="AW29" s="1555"/>
      <c r="AY29" s="785"/>
      <c r="AZ29" s="786"/>
      <c r="BA29" s="6879"/>
      <c r="BB29" s="6865">
        <f t="shared" si="29"/>
        <v>0</v>
      </c>
      <c r="BC29" s="938"/>
      <c r="BD29" s="785"/>
      <c r="BE29" s="937"/>
      <c r="BF29" s="1555"/>
      <c r="BH29" s="723"/>
    </row>
    <row r="30" spans="1:60" x14ac:dyDescent="0.35">
      <c r="A30" s="9168"/>
      <c r="B30" s="6082"/>
      <c r="C30" s="110" t="s">
        <v>908</v>
      </c>
      <c r="D30" s="60"/>
      <c r="F30" s="155"/>
      <c r="G30" s="235"/>
      <c r="H30" s="117"/>
      <c r="I30" s="115"/>
      <c r="J30" s="476">
        <f t="shared" si="24"/>
        <v>0</v>
      </c>
      <c r="L30" s="156"/>
      <c r="M30" s="1589"/>
      <c r="O30" s="785">
        <v>0</v>
      </c>
      <c r="P30" s="786">
        <v>0</v>
      </c>
      <c r="Q30" s="782"/>
      <c r="R30" s="782">
        <f t="shared" si="25"/>
        <v>0</v>
      </c>
      <c r="S30" s="938"/>
      <c r="T30" s="785"/>
      <c r="U30" s="937"/>
      <c r="V30" s="1038"/>
      <c r="X30" s="785"/>
      <c r="Y30" s="786"/>
      <c r="Z30" s="782"/>
      <c r="AA30" s="782">
        <f t="shared" si="26"/>
        <v>0</v>
      </c>
      <c r="AB30" s="938"/>
      <c r="AC30" s="785"/>
      <c r="AD30" s="937"/>
      <c r="AE30" s="890"/>
      <c r="AG30" s="785"/>
      <c r="AH30" s="786"/>
      <c r="AI30" s="937"/>
      <c r="AJ30" s="782">
        <f t="shared" si="27"/>
        <v>0</v>
      </c>
      <c r="AK30" s="938"/>
      <c r="AL30" s="785"/>
      <c r="AM30" s="937"/>
      <c r="AN30" s="1555"/>
      <c r="AP30" s="785">
        <v>2400000000</v>
      </c>
      <c r="AQ30" s="786"/>
      <c r="AR30" s="6879" t="s">
        <v>2849</v>
      </c>
      <c r="AS30" s="6865">
        <f t="shared" si="28"/>
        <v>0</v>
      </c>
      <c r="AT30" s="938"/>
      <c r="AU30" s="785">
        <v>1881000000</v>
      </c>
      <c r="AV30" s="937" t="s">
        <v>2850</v>
      </c>
      <c r="AW30" s="1555"/>
      <c r="AY30" s="785">
        <v>1881000000</v>
      </c>
      <c r="AZ30" s="786"/>
      <c r="BA30" s="6879" t="s">
        <v>2850</v>
      </c>
      <c r="BB30" s="6865">
        <f t="shared" si="29"/>
        <v>0</v>
      </c>
      <c r="BC30" s="938"/>
      <c r="BD30" s="785">
        <v>1881000000</v>
      </c>
      <c r="BE30" s="937" t="s">
        <v>2850</v>
      </c>
      <c r="BF30" s="1555"/>
      <c r="BH30" s="26"/>
    </row>
    <row r="31" spans="1:60" x14ac:dyDescent="0.35">
      <c r="A31" s="9168"/>
      <c r="B31" s="6082"/>
      <c r="C31" s="161" t="s">
        <v>910</v>
      </c>
      <c r="D31" s="162"/>
      <c r="F31" s="163"/>
      <c r="G31" s="235"/>
      <c r="H31" s="164"/>
      <c r="I31" s="165"/>
      <c r="J31" s="476">
        <f t="shared" si="24"/>
        <v>0</v>
      </c>
      <c r="L31" s="166"/>
      <c r="M31" s="611"/>
      <c r="O31" s="818"/>
      <c r="P31" s="819"/>
      <c r="Q31" s="782"/>
      <c r="R31" s="782">
        <f t="shared" si="25"/>
        <v>0</v>
      </c>
      <c r="S31" s="938"/>
      <c r="T31" s="818"/>
      <c r="U31" s="937"/>
      <c r="V31" s="1040"/>
      <c r="X31" s="818"/>
      <c r="Y31" s="819"/>
      <c r="Z31" s="782"/>
      <c r="AA31" s="782">
        <f t="shared" si="26"/>
        <v>0</v>
      </c>
      <c r="AB31" s="938"/>
      <c r="AC31" s="818"/>
      <c r="AD31" s="937"/>
      <c r="AE31" s="890"/>
      <c r="AG31" s="818"/>
      <c r="AH31" s="819"/>
      <c r="AI31" s="937"/>
      <c r="AJ31" s="782">
        <f t="shared" si="27"/>
        <v>0</v>
      </c>
      <c r="AK31" s="938"/>
      <c r="AL31" s="818"/>
      <c r="AM31" s="937"/>
      <c r="AN31" s="1555"/>
      <c r="AP31" s="818"/>
      <c r="AQ31" s="819"/>
      <c r="AR31" s="6879"/>
      <c r="AS31" s="6865">
        <f t="shared" si="28"/>
        <v>0</v>
      </c>
      <c r="AT31" s="938"/>
      <c r="AU31" s="818"/>
      <c r="AV31" s="937"/>
      <c r="AW31" s="1555"/>
      <c r="AY31" s="818"/>
      <c r="AZ31" s="819"/>
      <c r="BA31" s="6879"/>
      <c r="BB31" s="6865">
        <f t="shared" si="29"/>
        <v>0</v>
      </c>
      <c r="BC31" s="938"/>
      <c r="BD31" s="818"/>
      <c r="BE31" s="937"/>
      <c r="BF31" s="1555"/>
      <c r="BH31" s="26"/>
    </row>
    <row r="32" spans="1:60" x14ac:dyDescent="0.35">
      <c r="A32" s="9168"/>
      <c r="B32" s="128"/>
      <c r="C32" s="129" t="s">
        <v>914</v>
      </c>
      <c r="D32" s="87"/>
      <c r="F32" s="1590">
        <f>IF(F29=0,0,(F30-F31)/F29)</f>
        <v>0</v>
      </c>
      <c r="G32" s="1591"/>
      <c r="H32" s="1592">
        <f>IF(H29=0,0,(H30-H31)/H29)</f>
        <v>0</v>
      </c>
      <c r="I32" s="1593">
        <f t="shared" ref="I32" si="30">IF(I29=0,0,(I30-I31)/I29)</f>
        <v>0</v>
      </c>
      <c r="J32" s="1594"/>
      <c r="K32" s="1591"/>
      <c r="L32" s="1595">
        <f>IF(L29=0,0,L30/L29)</f>
        <v>0</v>
      </c>
      <c r="M32" s="1596">
        <f>I32</f>
        <v>0</v>
      </c>
      <c r="N32" s="176"/>
      <c r="O32" s="824">
        <f t="shared" ref="O32:P32" si="31">IF(O29=0,0,(O30-O31)/O29)</f>
        <v>0</v>
      </c>
      <c r="P32" s="825">
        <f t="shared" si="31"/>
        <v>0</v>
      </c>
      <c r="Q32" s="826"/>
      <c r="R32" s="826"/>
      <c r="S32" s="1597"/>
      <c r="T32" s="824">
        <f t="shared" ref="T32:V32" si="32">IF(T29=0,0,(T30-T31)/T29)</f>
        <v>0</v>
      </c>
      <c r="U32" s="1598"/>
      <c r="V32" s="1599">
        <f t="shared" si="32"/>
        <v>0</v>
      </c>
      <c r="W32" s="176"/>
      <c r="X32" s="824">
        <f t="shared" ref="X32:Y32" si="33">IF(X29=0,0,(X30-X31)/X29)</f>
        <v>0</v>
      </c>
      <c r="Y32" s="825">
        <f t="shared" si="33"/>
        <v>0</v>
      </c>
      <c r="Z32" s="826"/>
      <c r="AA32" s="826"/>
      <c r="AB32" s="1597"/>
      <c r="AC32" s="824">
        <f t="shared" ref="AC32" si="34">IF(AC29=0,0,(AC30-AC31)/AC29)</f>
        <v>0</v>
      </c>
      <c r="AD32" s="1598"/>
      <c r="AE32" s="826">
        <f t="shared" ref="AE32" si="35">IF(AE29=0,0,(AE30-AE31)/AE29)</f>
        <v>0</v>
      </c>
      <c r="AF32" s="176"/>
      <c r="AG32" s="824">
        <f t="shared" ref="AG32:AH32" si="36">IF(AG29=0,0,(AG30-AG31)/AG29)</f>
        <v>0</v>
      </c>
      <c r="AH32" s="825">
        <f t="shared" si="36"/>
        <v>0</v>
      </c>
      <c r="AI32" s="1598"/>
      <c r="AJ32" s="826"/>
      <c r="AK32" s="1597"/>
      <c r="AL32" s="824">
        <f t="shared" ref="AL32" si="37">IF(AL29=0,0,(AL30-AL31)/AL29)</f>
        <v>0</v>
      </c>
      <c r="AM32" s="1598"/>
      <c r="AN32" s="826">
        <f t="shared" ref="AN32" si="38">IF(AN29=0,0,(AN30-AN31)/AN29)</f>
        <v>0</v>
      </c>
      <c r="AO32" s="176"/>
      <c r="AP32" s="6880">
        <f>AP30/AP28</f>
        <v>5.9618130919235061E-2</v>
      </c>
      <c r="AQ32" s="8499">
        <f>AP32</f>
        <v>5.9618130919235061E-2</v>
      </c>
      <c r="AR32" s="6881" t="s">
        <v>2851</v>
      </c>
      <c r="AS32" s="6882"/>
      <c r="AT32" s="1597"/>
      <c r="AU32" s="6880">
        <f>AU30/AU28</f>
        <v>4.4787893159132043E-2</v>
      </c>
      <c r="AV32" s="1598"/>
      <c r="AW32" s="8500">
        <f>AU32</f>
        <v>4.4787893159132043E-2</v>
      </c>
      <c r="AX32" s="176"/>
      <c r="AY32" s="6880">
        <f>AY30/AY28</f>
        <v>4.4787893159132043E-2</v>
      </c>
      <c r="AZ32" s="8499">
        <f>AW32</f>
        <v>4.4787893159132043E-2</v>
      </c>
      <c r="BA32" s="6881"/>
      <c r="BB32" s="6882"/>
      <c r="BC32" s="1597"/>
      <c r="BD32" s="6880">
        <f>BD30/BD28</f>
        <v>4.4787893159132043E-2</v>
      </c>
      <c r="BE32" s="1598"/>
      <c r="BF32" s="8500">
        <f>BD32</f>
        <v>4.4787893159132043E-2</v>
      </c>
      <c r="BG32" s="176"/>
      <c r="BH32" s="24"/>
    </row>
    <row r="33" spans="1:60" x14ac:dyDescent="0.35">
      <c r="A33" s="9168"/>
      <c r="B33" s="1600" t="s">
        <v>915</v>
      </c>
      <c r="C33" s="49"/>
      <c r="D33" s="140"/>
      <c r="F33" s="227"/>
      <c r="H33" s="777"/>
      <c r="I33" s="1341"/>
      <c r="J33" s="869">
        <f>IF(H33=0,0,I33/H33)</f>
        <v>0</v>
      </c>
      <c r="L33" s="777"/>
      <c r="M33" s="148">
        <f t="shared" ref="M33" si="39">L33*J33</f>
        <v>0</v>
      </c>
      <c r="O33" s="773"/>
      <c r="P33" s="774"/>
      <c r="Q33" s="774"/>
      <c r="R33" s="776"/>
      <c r="T33" s="773"/>
      <c r="U33" s="774"/>
      <c r="V33" s="776"/>
      <c r="X33" s="773"/>
      <c r="Y33" s="774"/>
      <c r="Z33" s="774"/>
      <c r="AA33" s="776"/>
      <c r="AC33" s="773"/>
      <c r="AD33" s="774"/>
      <c r="AE33" s="776"/>
      <c r="AG33" s="773"/>
      <c r="AH33" s="774"/>
      <c r="AI33" s="774"/>
      <c r="AJ33" s="776"/>
      <c r="AL33" s="773"/>
      <c r="AM33" s="774"/>
      <c r="AN33" s="776"/>
      <c r="AP33" s="773"/>
      <c r="AQ33" s="774"/>
      <c r="AR33" s="774"/>
      <c r="AS33" s="776"/>
      <c r="AU33" s="773"/>
      <c r="AV33" s="774"/>
      <c r="AW33" s="776"/>
      <c r="AY33" s="773"/>
      <c r="AZ33" s="774"/>
      <c r="BA33" s="774"/>
      <c r="BB33" s="776"/>
      <c r="BD33" s="773"/>
      <c r="BE33" s="774"/>
      <c r="BF33" s="776"/>
      <c r="BH33" s="195"/>
    </row>
    <row r="34" spans="1:60" x14ac:dyDescent="0.35">
      <c r="A34" s="9168"/>
      <c r="B34" s="1601"/>
      <c r="C34" s="121" t="s">
        <v>1336</v>
      </c>
      <c r="D34" s="60"/>
      <c r="F34" s="122"/>
      <c r="H34" s="198"/>
      <c r="I34" s="199"/>
      <c r="J34" s="1602"/>
      <c r="L34" s="198"/>
      <c r="M34" s="611"/>
      <c r="O34" s="198"/>
      <c r="P34" s="199"/>
      <c r="Q34" s="847"/>
      <c r="R34" s="890"/>
      <c r="T34" s="198"/>
      <c r="U34"/>
      <c r="V34" s="482"/>
      <c r="X34" s="198"/>
      <c r="Y34" s="199"/>
      <c r="Z34" s="847"/>
      <c r="AA34" s="890"/>
      <c r="AC34" s="198"/>
      <c r="AD34"/>
      <c r="AE34" s="66"/>
      <c r="AG34" s="198"/>
      <c r="AH34" s="199"/>
      <c r="AI34" s="847"/>
      <c r="AJ34" s="890"/>
      <c r="AL34" s="198"/>
      <c r="AM34"/>
      <c r="AN34" s="66"/>
      <c r="AP34" s="198"/>
      <c r="AQ34" s="199"/>
      <c r="AR34" s="847"/>
      <c r="AS34" s="890"/>
      <c r="AU34" s="198"/>
      <c r="AV34"/>
      <c r="AW34" s="66"/>
      <c r="AY34" s="198"/>
      <c r="AZ34" s="199"/>
      <c r="BA34" s="847"/>
      <c r="BB34" s="890"/>
      <c r="BD34" s="198"/>
      <c r="BE34"/>
      <c r="BF34" s="66"/>
      <c r="BH34" s="866"/>
    </row>
    <row r="35" spans="1:60" x14ac:dyDescent="0.35">
      <c r="A35" s="9169"/>
      <c r="B35" s="1603"/>
      <c r="C35" s="208" t="s">
        <v>933</v>
      </c>
      <c r="D35" s="87"/>
      <c r="F35" s="210"/>
      <c r="H35" s="211"/>
      <c r="I35" s="212"/>
      <c r="J35" s="1604"/>
      <c r="L35" s="211"/>
      <c r="M35" s="1345"/>
      <c r="O35" s="211"/>
      <c r="P35" s="212"/>
      <c r="Q35" s="1605"/>
      <c r="R35" s="1576"/>
      <c r="T35" s="211"/>
      <c r="U35" s="1606"/>
      <c r="V35" s="485"/>
      <c r="X35" s="211"/>
      <c r="Y35" s="212"/>
      <c r="Z35" s="1605"/>
      <c r="AA35" s="1576"/>
      <c r="AC35" s="211"/>
      <c r="AD35" s="1606"/>
      <c r="AE35" s="92"/>
      <c r="AG35" s="211"/>
      <c r="AH35" s="212"/>
      <c r="AI35" s="1605"/>
      <c r="AJ35" s="1576"/>
      <c r="AL35" s="211"/>
      <c r="AM35" s="1606"/>
      <c r="AN35" s="92"/>
      <c r="AP35" s="211"/>
      <c r="AQ35" s="212"/>
      <c r="AR35" s="1605"/>
      <c r="AS35" s="1576"/>
      <c r="AU35" s="211"/>
      <c r="AV35" s="1606"/>
      <c r="AW35" s="92"/>
      <c r="AY35" s="211"/>
      <c r="AZ35" s="212"/>
      <c r="BA35" s="1605"/>
      <c r="BB35" s="1576"/>
      <c r="BD35" s="211"/>
      <c r="BE35" s="1606"/>
      <c r="BF35" s="92"/>
      <c r="BH35" s="1607"/>
    </row>
    <row r="36" spans="1:60" ht="50" customHeight="1" x14ac:dyDescent="0.35">
      <c r="A36" s="220"/>
      <c r="B36" s="220"/>
      <c r="E36" s="30"/>
      <c r="F36" s="106"/>
      <c r="H36" s="106"/>
      <c r="I36" s="106"/>
      <c r="J36" s="221"/>
      <c r="L36" s="106"/>
      <c r="M36" s="1"/>
      <c r="O36" s="847"/>
      <c r="P36" s="847"/>
      <c r="Q36" s="847"/>
      <c r="R36" s="847"/>
      <c r="T36" s="847"/>
      <c r="U36" s="847"/>
      <c r="V36" s="1608"/>
      <c r="X36" s="847"/>
      <c r="Y36" s="847"/>
      <c r="Z36" s="847"/>
      <c r="AA36" s="847"/>
      <c r="AC36" s="847"/>
      <c r="AD36" s="847"/>
      <c r="AE36" s="1608"/>
      <c r="AG36" s="847"/>
      <c r="AH36" s="847"/>
      <c r="AI36" s="847"/>
      <c r="AJ36" s="847"/>
      <c r="AL36" s="847"/>
      <c r="AM36" s="847"/>
      <c r="AN36" s="1608"/>
      <c r="AP36" s="847"/>
      <c r="AQ36" s="847"/>
      <c r="AR36" s="847"/>
      <c r="AS36" s="847"/>
      <c r="AU36" s="847"/>
      <c r="AV36" s="847"/>
      <c r="AW36" s="1608"/>
      <c r="AY36" s="847"/>
      <c r="AZ36" s="847"/>
      <c r="BA36" s="847"/>
      <c r="BB36" s="847"/>
      <c r="BD36" s="847"/>
      <c r="BE36" s="847"/>
      <c r="BF36" s="1608"/>
    </row>
    <row r="37" spans="1:60" s="462" customFormat="1" ht="108" x14ac:dyDescent="0.35">
      <c r="A37" s="9167" t="s">
        <v>916</v>
      </c>
      <c r="B37" s="27"/>
      <c r="C37" s="28" t="s">
        <v>427</v>
      </c>
      <c r="D37" s="42" t="s">
        <v>428</v>
      </c>
      <c r="E37" s="457"/>
      <c r="F37" s="31" t="s">
        <v>2852</v>
      </c>
      <c r="G37" s="510"/>
      <c r="H37" s="31" t="s">
        <v>2781</v>
      </c>
      <c r="I37" s="1609" t="s">
        <v>1126</v>
      </c>
      <c r="J37" s="1610"/>
      <c r="K37" s="223"/>
      <c r="L37" s="31" t="s">
        <v>2783</v>
      </c>
      <c r="M37" s="1611" t="s">
        <v>2853</v>
      </c>
      <c r="N37" s="30"/>
      <c r="O37" s="31" t="s">
        <v>2854</v>
      </c>
      <c r="P37" s="31" t="s">
        <v>1126</v>
      </c>
      <c r="Q37" s="1610"/>
      <c r="R37" s="1610"/>
      <c r="T37" s="31" t="s">
        <v>2781</v>
      </c>
      <c r="U37" s="1612" t="s">
        <v>2855</v>
      </c>
      <c r="V37" s="31" t="s">
        <v>2856</v>
      </c>
      <c r="W37" s="30"/>
      <c r="X37" s="31" t="s">
        <v>2857</v>
      </c>
      <c r="Y37" s="31" t="s">
        <v>2856</v>
      </c>
      <c r="Z37" s="1610" t="s">
        <v>2855</v>
      </c>
      <c r="AA37" s="1610"/>
      <c r="AC37" s="31" t="s">
        <v>2789</v>
      </c>
      <c r="AD37" s="1612"/>
      <c r="AE37" s="472" t="s">
        <v>2858</v>
      </c>
      <c r="AF37" s="30"/>
      <c r="AG37" s="31" t="s">
        <v>2792</v>
      </c>
      <c r="AH37" s="31" t="s">
        <v>2859</v>
      </c>
      <c r="AI37" s="1610" t="s">
        <v>2855</v>
      </c>
      <c r="AJ37" s="1610"/>
      <c r="AL37" s="31" t="s">
        <v>2794</v>
      </c>
      <c r="AM37" s="1612"/>
      <c r="AN37" s="31" t="s">
        <v>2859</v>
      </c>
      <c r="AO37" s="30"/>
      <c r="AP37" s="31" t="s">
        <v>2860</v>
      </c>
      <c r="AQ37" s="31" t="s">
        <v>2861</v>
      </c>
      <c r="AR37" s="1610"/>
      <c r="AS37" s="1610"/>
      <c r="AU37" s="31" t="s">
        <v>2862</v>
      </c>
      <c r="AV37" s="1612"/>
      <c r="AW37" s="31" t="s">
        <v>2863</v>
      </c>
      <c r="AX37" s="30"/>
      <c r="AY37" s="31" t="s">
        <v>2862</v>
      </c>
      <c r="AZ37" s="31" t="s">
        <v>2863</v>
      </c>
      <c r="BA37" s="1610"/>
      <c r="BB37" s="1610"/>
      <c r="BD37" s="31" t="s">
        <v>2801</v>
      </c>
      <c r="BE37" s="8501"/>
      <c r="BF37" s="31" t="s">
        <v>2864</v>
      </c>
      <c r="BG37" s="30"/>
      <c r="BH37" s="1613"/>
    </row>
    <row r="38" spans="1:60" s="462" customFormat="1" ht="12" x14ac:dyDescent="0.3">
      <c r="A38" s="9168"/>
      <c r="B38" s="801" t="s">
        <v>925</v>
      </c>
      <c r="D38" s="140"/>
      <c r="E38" s="456"/>
      <c r="F38" s="870"/>
      <c r="G38" s="457"/>
      <c r="H38" s="1614"/>
      <c r="I38" s="1615"/>
      <c r="J38" s="228"/>
      <c r="K38" s="457"/>
      <c r="L38" s="773"/>
      <c r="M38" s="1616"/>
      <c r="N38" s="457"/>
      <c r="O38" s="773"/>
      <c r="P38" s="774"/>
      <c r="Q38" s="776"/>
      <c r="R38" s="776"/>
      <c r="T38" s="773"/>
      <c r="U38" s="774"/>
      <c r="V38" s="1617"/>
      <c r="W38" s="457"/>
      <c r="X38" s="773" t="s">
        <v>2865</v>
      </c>
      <c r="Y38" s="1618" t="s">
        <v>2866</v>
      </c>
      <c r="Z38" s="776"/>
      <c r="AA38" s="776"/>
      <c r="AC38" s="773"/>
      <c r="AD38" s="774"/>
      <c r="AE38" s="1617"/>
      <c r="AF38" s="457"/>
      <c r="AG38" s="773"/>
      <c r="AH38" s="1618" t="s">
        <v>2867</v>
      </c>
      <c r="AI38" s="774"/>
      <c r="AJ38" s="776"/>
      <c r="AL38" s="773"/>
      <c r="AM38" s="774"/>
      <c r="AN38" s="1617"/>
      <c r="AO38" s="457"/>
      <c r="AP38" s="773"/>
      <c r="AQ38" s="1618"/>
      <c r="AR38" s="774"/>
      <c r="AS38" s="776"/>
      <c r="AU38" s="773"/>
      <c r="AV38" s="774"/>
      <c r="AW38" s="1551" t="s">
        <v>2814</v>
      </c>
      <c r="AX38" s="457"/>
      <c r="AY38" s="773"/>
      <c r="AZ38" s="1618" t="s">
        <v>2814</v>
      </c>
      <c r="BA38" s="774"/>
      <c r="BB38" s="776"/>
      <c r="BD38" s="773" t="s">
        <v>2868</v>
      </c>
      <c r="BE38" s="774"/>
      <c r="BF38" s="1551"/>
      <c r="BG38" s="457"/>
      <c r="BH38" s="1619"/>
    </row>
    <row r="39" spans="1:60" s="462" customFormat="1" ht="12" x14ac:dyDescent="0.3">
      <c r="A39" s="9168"/>
      <c r="B39" s="1620"/>
      <c r="C39" s="1621" t="s">
        <v>2869</v>
      </c>
      <c r="D39" s="60"/>
      <c r="E39" s="456"/>
      <c r="F39" s="779"/>
      <c r="G39" s="456"/>
      <c r="H39" s="780">
        <f>8629306945+7615165637</f>
        <v>16244472582</v>
      </c>
      <c r="I39" s="781">
        <v>10849085475</v>
      </c>
      <c r="J39" s="476">
        <f>IF(H39=0,0,I39/H39)</f>
        <v>0.66786320209752681</v>
      </c>
      <c r="K39" s="456"/>
      <c r="L39" s="780">
        <f>9852014632</f>
        <v>9852014632</v>
      </c>
      <c r="M39" s="1622">
        <f>(6715352183.25+1822084586.55)*12/11</f>
        <v>9313567385.2363644</v>
      </c>
      <c r="N39" s="456"/>
      <c r="O39" s="780">
        <v>9852014632</v>
      </c>
      <c r="P39" s="781">
        <f>11691241058-P40</f>
        <v>9509193458</v>
      </c>
      <c r="Q39" s="782" t="s">
        <v>2870</v>
      </c>
      <c r="R39" s="782">
        <f>IF(O39=0,0,P39/O39)</f>
        <v>0.96520293698240212</v>
      </c>
      <c r="S39" s="938"/>
      <c r="T39" s="780">
        <v>10492148108</v>
      </c>
      <c r="U39" s="937"/>
      <c r="V39" s="783">
        <f>8099217098.83+2136777590</f>
        <v>10235994688.83</v>
      </c>
      <c r="W39" s="456"/>
      <c r="X39" s="780">
        <v>10492148108</v>
      </c>
      <c r="Y39" s="781">
        <f>8099217098.83+2136777590</f>
        <v>10235994688.83</v>
      </c>
      <c r="Z39" s="782"/>
      <c r="AA39" s="782">
        <f>IF(X39=0,0,Y39/X39)</f>
        <v>0.97558617963325456</v>
      </c>
      <c r="AB39" s="938"/>
      <c r="AC39" s="780">
        <v>10786399667</v>
      </c>
      <c r="AD39" s="937" t="s">
        <v>2871</v>
      </c>
      <c r="AE39" s="1623">
        <f>AC39*AA39</f>
        <v>10523062443.125938</v>
      </c>
      <c r="AF39" s="456"/>
      <c r="AG39" s="780">
        <v>11170714800</v>
      </c>
      <c r="AH39" s="781">
        <v>10359428481.8291</v>
      </c>
      <c r="AI39" s="937"/>
      <c r="AJ39" s="782">
        <f>IF(AG39=0,0,AH39/AG39)</f>
        <v>0.92737382229372645</v>
      </c>
      <c r="AK39" s="938"/>
      <c r="AL39" s="780">
        <v>12558217124</v>
      </c>
      <c r="AM39" s="937" t="s">
        <v>780</v>
      </c>
      <c r="AN39" s="1624">
        <f>13112436408.11-AN40</f>
        <v>12608525055.09</v>
      </c>
      <c r="AO39" s="456"/>
      <c r="AP39" s="780">
        <v>12558217124</v>
      </c>
      <c r="AQ39" s="781">
        <v>12645980064</v>
      </c>
      <c r="AR39" s="1561" t="s">
        <v>780</v>
      </c>
      <c r="AS39" s="6865">
        <f>IF(AP39=0,0,AQ39/AP39)</f>
        <v>1.0069884872297896</v>
      </c>
      <c r="AT39" s="938"/>
      <c r="AU39" s="780">
        <v>12763217124</v>
      </c>
      <c r="AV39" s="8502"/>
      <c r="AW39" s="1624">
        <v>12381935945</v>
      </c>
      <c r="AX39" s="456"/>
      <c r="AY39" s="780">
        <v>12763217124</v>
      </c>
      <c r="AZ39" s="781">
        <v>12381935945</v>
      </c>
      <c r="BA39" s="1561"/>
      <c r="BB39" s="6865">
        <f>IF(AY39=0,0,AZ39/AY39)</f>
        <v>0.97012656172063094</v>
      </c>
      <c r="BC39" s="938"/>
      <c r="BD39" s="780">
        <v>13962338655</v>
      </c>
      <c r="BE39" s="8503"/>
      <c r="BF39" s="1624">
        <f>(6700490000+801070000)*12/7</f>
        <v>12859817142.857143</v>
      </c>
      <c r="BG39" s="456"/>
      <c r="BH39" s="893"/>
    </row>
    <row r="40" spans="1:60" s="462" customFormat="1" ht="12" x14ac:dyDescent="0.3">
      <c r="A40" s="9168"/>
      <c r="B40" s="1620"/>
      <c r="C40" s="1621" t="s">
        <v>2872</v>
      </c>
      <c r="D40" s="60"/>
      <c r="E40" s="456"/>
      <c r="F40" s="779"/>
      <c r="G40" s="456"/>
      <c r="H40" s="780"/>
      <c r="I40" s="781"/>
      <c r="J40" s="476">
        <f t="shared" ref="J40:J44" si="40">IF(H40=0,0,I40/H40)</f>
        <v>0</v>
      </c>
      <c r="K40" s="456"/>
      <c r="L40" s="780">
        <f>8910708895+1614551191</f>
        <v>10525260086</v>
      </c>
      <c r="M40" s="1622">
        <f>397952053.04*12/11</f>
        <v>434129512.40727276</v>
      </c>
      <c r="N40" s="456"/>
      <c r="O40" s="780">
        <v>10525260086</v>
      </c>
      <c r="P40" s="781">
        <v>2182047600</v>
      </c>
      <c r="Q40" s="782" t="s">
        <v>2870</v>
      </c>
      <c r="R40" s="782">
        <f t="shared" ref="R40:R44" si="41">IF(O40=0,0,P40/O40)</f>
        <v>0.20731531403223133</v>
      </c>
      <c r="S40" s="938"/>
      <c r="T40" s="780">
        <v>10703083942</v>
      </c>
      <c r="U40" s="937"/>
      <c r="V40" s="783">
        <v>219522261.74000001</v>
      </c>
      <c r="W40" s="456"/>
      <c r="X40" s="780">
        <v>10703083942</v>
      </c>
      <c r="Y40" s="781">
        <v>219522261.74000001</v>
      </c>
      <c r="Z40" s="782"/>
      <c r="AA40" s="782">
        <f t="shared" ref="AA40" si="42">IF(X40=0,0,Y40/X40)</f>
        <v>2.0510187804710391E-2</v>
      </c>
      <c r="AB40" s="938"/>
      <c r="AC40" s="780">
        <v>10430007462</v>
      </c>
      <c r="AD40" s="937"/>
      <c r="AE40" s="1623">
        <f t="shared" ref="AE40:AE43" si="43">AC40*AA40</f>
        <v>213921411.85015079</v>
      </c>
      <c r="AF40" s="456"/>
      <c r="AG40" s="780">
        <v>2494052141</v>
      </c>
      <c r="AH40" s="781">
        <v>68182898.040000007</v>
      </c>
      <c r="AI40" s="937" t="s">
        <v>2873</v>
      </c>
      <c r="AJ40" s="782">
        <f t="shared" ref="AJ40:AJ44" si="44">IF(AG40=0,0,AH40/AG40)</f>
        <v>2.7338200721281555E-2</v>
      </c>
      <c r="AK40" s="938"/>
      <c r="AL40" s="780">
        <v>3700157952</v>
      </c>
      <c r="AM40" s="937" t="s">
        <v>2874</v>
      </c>
      <c r="AN40" s="1624">
        <v>503911353.01999998</v>
      </c>
      <c r="AO40" s="456"/>
      <c r="AP40" s="780">
        <v>1024000000</v>
      </c>
      <c r="AQ40" s="781">
        <v>503911353.01999998</v>
      </c>
      <c r="AR40" s="1561" t="s">
        <v>2875</v>
      </c>
      <c r="AS40" s="6865">
        <f t="shared" ref="AS40:AS44" si="45">IF(AP40=0,0,AQ40/AP40)</f>
        <v>0.49210093068359373</v>
      </c>
      <c r="AT40" s="938"/>
      <c r="AU40" s="780">
        <f t="shared" ref="AU40:AU43" si="46">AP40</f>
        <v>1024000000</v>
      </c>
      <c r="AV40" s="937" t="s">
        <v>2876</v>
      </c>
      <c r="AW40" s="8504">
        <f>42689573.42*12/11</f>
        <v>46570443.730909094</v>
      </c>
      <c r="AX40" s="456"/>
      <c r="AY40" s="780">
        <f>AU40</f>
        <v>1024000000</v>
      </c>
      <c r="AZ40" s="781">
        <f>42689573.42*12/11</f>
        <v>46570443.730909094</v>
      </c>
      <c r="BA40" s="1561" t="s">
        <v>2876</v>
      </c>
      <c r="BB40" s="6865">
        <f t="shared" ref="BB40:BB44" si="47">IF(AY40=0,0,AZ40/AY40)</f>
        <v>4.5478948955965916E-2</v>
      </c>
      <c r="BC40" s="938"/>
      <c r="BD40" s="780"/>
      <c r="BE40" s="8503" t="s">
        <v>2876</v>
      </c>
      <c r="BF40" s="8504">
        <f>43340000*12/7</f>
        <v>74297142.857142851</v>
      </c>
      <c r="BG40" s="456"/>
      <c r="BH40" s="893"/>
    </row>
    <row r="41" spans="1:60" s="462" customFormat="1" ht="12" x14ac:dyDescent="0.3">
      <c r="A41" s="9168"/>
      <c r="B41" s="1620"/>
      <c r="C41" s="1621"/>
      <c r="D41" s="60"/>
      <c r="E41" s="456"/>
      <c r="F41" s="779"/>
      <c r="G41" s="456"/>
      <c r="H41" s="780"/>
      <c r="I41" s="781"/>
      <c r="J41" s="476"/>
      <c r="K41" s="456"/>
      <c r="L41" s="780"/>
      <c r="M41" s="1622"/>
      <c r="N41" s="456"/>
      <c r="O41" s="780"/>
      <c r="P41" s="781"/>
      <c r="Q41" s="782"/>
      <c r="R41" s="782"/>
      <c r="S41" s="938"/>
      <c r="T41" s="780"/>
      <c r="U41" s="937"/>
      <c r="V41" s="783"/>
      <c r="W41" s="456"/>
      <c r="X41" s="780"/>
      <c r="Y41" s="781"/>
      <c r="Z41" s="782"/>
      <c r="AA41" s="782"/>
      <c r="AB41" s="938"/>
      <c r="AC41" s="780"/>
      <c r="AD41" s="937"/>
      <c r="AE41" s="1623"/>
      <c r="AF41" s="456"/>
      <c r="AG41" s="780"/>
      <c r="AH41" s="781"/>
      <c r="AI41" s="937"/>
      <c r="AJ41" s="782"/>
      <c r="AK41" s="938"/>
      <c r="AL41" s="780"/>
      <c r="AM41" s="937"/>
      <c r="AN41" s="1624"/>
      <c r="AO41" s="456"/>
      <c r="AP41" s="780">
        <f>3700157952-AP40</f>
        <v>2676157952</v>
      </c>
      <c r="AQ41" s="781">
        <v>1826808968</v>
      </c>
      <c r="AR41" s="1561" t="s">
        <v>2877</v>
      </c>
      <c r="AS41" s="6865">
        <f t="shared" si="45"/>
        <v>0.68262374671672599</v>
      </c>
      <c r="AT41" s="938"/>
      <c r="AU41" s="780">
        <f t="shared" si="46"/>
        <v>2676157952</v>
      </c>
      <c r="AV41" s="937" t="s">
        <v>2878</v>
      </c>
      <c r="AW41" s="8504">
        <v>1015062010</v>
      </c>
      <c r="AX41" s="456"/>
      <c r="AY41" s="780">
        <f>AU41</f>
        <v>2676157952</v>
      </c>
      <c r="AZ41" s="781">
        <v>1015062010</v>
      </c>
      <c r="BA41" s="1561" t="s">
        <v>2878</v>
      </c>
      <c r="BB41" s="6865">
        <f t="shared" si="47"/>
        <v>0.37929824330488549</v>
      </c>
      <c r="BC41" s="938"/>
      <c r="BD41" s="780">
        <v>2426157952</v>
      </c>
      <c r="BE41" s="8505" t="s">
        <v>2879</v>
      </c>
      <c r="BF41" s="6883">
        <f>AZ41</f>
        <v>1015062010</v>
      </c>
      <c r="BG41" s="456"/>
      <c r="BH41" s="893"/>
    </row>
    <row r="42" spans="1:60" s="462" customFormat="1" ht="12" x14ac:dyDescent="0.3">
      <c r="A42" s="9168"/>
      <c r="B42" s="1620"/>
      <c r="C42" s="1621" t="s">
        <v>2880</v>
      </c>
      <c r="D42" s="60"/>
      <c r="E42" s="456"/>
      <c r="F42" s="779"/>
      <c r="G42" s="456"/>
      <c r="H42" s="780"/>
      <c r="I42" s="781"/>
      <c r="J42" s="476"/>
      <c r="K42" s="456"/>
      <c r="L42" s="780"/>
      <c r="M42" s="1622"/>
      <c r="N42" s="456"/>
      <c r="O42" s="780"/>
      <c r="P42" s="1567"/>
      <c r="Q42" s="782"/>
      <c r="R42" s="782"/>
      <c r="S42" s="938"/>
      <c r="T42" s="780"/>
      <c r="U42" s="937"/>
      <c r="V42" s="1625"/>
      <c r="W42" s="456"/>
      <c r="X42" s="780"/>
      <c r="Y42" s="1567"/>
      <c r="Z42" s="782"/>
      <c r="AA42" s="782"/>
      <c r="AB42" s="938"/>
      <c r="AC42" s="780"/>
      <c r="AD42" s="937"/>
      <c r="AE42" s="1623"/>
      <c r="AF42" s="456"/>
      <c r="AG42" s="780">
        <v>7495150621</v>
      </c>
      <c r="AH42" s="1567">
        <f>AG42*AH14/AG14</f>
        <v>3032684092.6095157</v>
      </c>
      <c r="AI42" s="937" t="s">
        <v>2873</v>
      </c>
      <c r="AJ42" s="782">
        <f t="shared" si="44"/>
        <v>0.40461949945508852</v>
      </c>
      <c r="AK42" s="938"/>
      <c r="AL42" s="780">
        <v>6663320983</v>
      </c>
      <c r="AM42" s="937" t="s">
        <v>2874</v>
      </c>
      <c r="AN42" s="1626">
        <f>AL42*AJ42</f>
        <v>2696109600.8500485</v>
      </c>
      <c r="AO42" s="456"/>
      <c r="AP42" s="780">
        <v>6663320983</v>
      </c>
      <c r="AQ42" s="6866">
        <f>AP42*AQ40/AP40</f>
        <v>3279026457.1778183</v>
      </c>
      <c r="AR42" s="1561" t="s">
        <v>2874</v>
      </c>
      <c r="AS42" s="6865">
        <f t="shared" si="45"/>
        <v>0.49210093068359367</v>
      </c>
      <c r="AT42" s="938"/>
      <c r="AU42" s="780">
        <f>10394361360-AU40-AU41</f>
        <v>6694203408</v>
      </c>
      <c r="AV42" s="937"/>
      <c r="AW42" s="6883">
        <f>AQ42*AW23/AQ23</f>
        <v>3413527026.9211154</v>
      </c>
      <c r="AX42" s="456"/>
      <c r="AY42" s="780">
        <f>10394361360-AY40-AY41</f>
        <v>6694203408</v>
      </c>
      <c r="AZ42" s="6866">
        <f>AW42</f>
        <v>3413527026.9211154</v>
      </c>
      <c r="BA42" s="1561"/>
      <c r="BB42" s="6865">
        <f t="shared" si="47"/>
        <v>0.50992281215144031</v>
      </c>
      <c r="BC42" s="938"/>
      <c r="BD42" s="780">
        <f>4639516788-BD41-BD40</f>
        <v>2213358836</v>
      </c>
      <c r="BE42" s="8506"/>
      <c r="BF42" s="1623">
        <f>BF23*AZ42/AZ23</f>
        <v>3671410517.8395972</v>
      </c>
      <c r="BG42" s="456"/>
      <c r="BH42" s="893"/>
    </row>
    <row r="43" spans="1:60" s="462" customFormat="1" ht="12" x14ac:dyDescent="0.3">
      <c r="A43" s="9168"/>
      <c r="B43" s="1620"/>
      <c r="C43" s="1621" t="s">
        <v>2881</v>
      </c>
      <c r="D43" s="60">
        <v>1</v>
      </c>
      <c r="E43" s="456"/>
      <c r="F43" s="788"/>
      <c r="G43" s="456"/>
      <c r="H43" s="780">
        <f>1016588359</f>
        <v>1016588359</v>
      </c>
      <c r="I43" s="1627">
        <v>984726375</v>
      </c>
      <c r="J43" s="1628">
        <f t="shared" si="40"/>
        <v>0.96865792951697571</v>
      </c>
      <c r="K43" s="456"/>
      <c r="L43" s="785">
        <f>1040755939</f>
        <v>1040755939</v>
      </c>
      <c r="M43" s="1622">
        <f>(777929135.39+131803399.45)*12/11</f>
        <v>992435492.55272722</v>
      </c>
      <c r="N43" s="456"/>
      <c r="O43" s="785">
        <v>1040755939</v>
      </c>
      <c r="P43" s="786">
        <v>984890260</v>
      </c>
      <c r="Q43" s="782" t="s">
        <v>2882</v>
      </c>
      <c r="R43" s="782">
        <f t="shared" si="41"/>
        <v>0.94632201757726409</v>
      </c>
      <c r="S43" s="938"/>
      <c r="T43" s="785">
        <v>1046837751</v>
      </c>
      <c r="U43" s="937"/>
      <c r="V43" s="1629">
        <v>1043111033.59</v>
      </c>
      <c r="W43" s="456"/>
      <c r="X43" s="785">
        <v>1046837751</v>
      </c>
      <c r="Y43" s="786">
        <v>1043111033.59</v>
      </c>
      <c r="Z43" s="782"/>
      <c r="AA43" s="782">
        <f t="shared" ref="AA43:AA44" si="48">IF(X43=0,0,Y43/X43)</f>
        <v>0.99644002386574237</v>
      </c>
      <c r="AB43" s="938"/>
      <c r="AC43" s="785">
        <v>1070000000</v>
      </c>
      <c r="AD43" s="937" t="s">
        <v>784</v>
      </c>
      <c r="AE43" s="1623">
        <f t="shared" si="43"/>
        <v>1066190825.5363443</v>
      </c>
      <c r="AF43" s="456"/>
      <c r="AG43" s="785">
        <v>1143000000</v>
      </c>
      <c r="AH43" s="786">
        <v>1040433338.32364</v>
      </c>
      <c r="AI43" s="937"/>
      <c r="AJ43" s="782">
        <f t="shared" si="44"/>
        <v>0.91026538785970257</v>
      </c>
      <c r="AK43" s="938"/>
      <c r="AL43" s="785">
        <v>1303000000</v>
      </c>
      <c r="AM43" s="937" t="s">
        <v>2871</v>
      </c>
      <c r="AN43" s="1624">
        <f>1367173299.56-AN44</f>
        <v>1302990948.04</v>
      </c>
      <c r="AO43" s="456"/>
      <c r="AP43" s="785">
        <v>1303000000</v>
      </c>
      <c r="AQ43" s="786">
        <f>1367173299.56-AQ44</f>
        <v>1302990948.04</v>
      </c>
      <c r="AR43" s="1561" t="s">
        <v>2871</v>
      </c>
      <c r="AS43" s="6865">
        <f t="shared" si="45"/>
        <v>0.99999305298541818</v>
      </c>
      <c r="AT43" s="938"/>
      <c r="AU43" s="780">
        <f t="shared" si="46"/>
        <v>1303000000</v>
      </c>
      <c r="AV43" s="937"/>
      <c r="AW43" s="1624">
        <f>1067264098.25*12/11</f>
        <v>1164288107.1818182</v>
      </c>
      <c r="AX43" s="456"/>
      <c r="AY43" s="785">
        <f>AU43</f>
        <v>1303000000</v>
      </c>
      <c r="AZ43" s="786">
        <f>1067264098.25*12/11</f>
        <v>1164288107.1818182</v>
      </c>
      <c r="BA43" s="1561"/>
      <c r="BB43" s="6865">
        <f t="shared" si="47"/>
        <v>0.89354421119095795</v>
      </c>
      <c r="BC43" s="938"/>
      <c r="BD43" s="780">
        <v>1262180665</v>
      </c>
      <c r="BE43" s="8506"/>
      <c r="BF43" s="1624">
        <f>(610140000+75080000)*12/7</f>
        <v>1174662857.1428571</v>
      </c>
      <c r="BG43" s="456"/>
      <c r="BH43" s="893"/>
    </row>
    <row r="44" spans="1:60" s="462" customFormat="1" ht="12" x14ac:dyDescent="0.3">
      <c r="A44" s="9168"/>
      <c r="B44" s="1620"/>
      <c r="C44" s="1621" t="s">
        <v>2883</v>
      </c>
      <c r="D44" s="60"/>
      <c r="E44" s="457"/>
      <c r="F44" s="788"/>
      <c r="G44" s="456"/>
      <c r="H44" s="785">
        <f>389021818</f>
        <v>389021818</v>
      </c>
      <c r="I44" s="786">
        <v>10000000</v>
      </c>
      <c r="J44" s="476">
        <f t="shared" si="40"/>
        <v>2.5705499119332172E-2</v>
      </c>
      <c r="K44" s="456"/>
      <c r="L44" s="785">
        <f>350679460</f>
        <v>350679460</v>
      </c>
      <c r="M44" s="1622">
        <v>0</v>
      </c>
      <c r="N44" s="456"/>
      <c r="O44" s="791">
        <v>350679480</v>
      </c>
      <c r="P44" s="792">
        <v>0</v>
      </c>
      <c r="Q44" s="782" t="s">
        <v>2882</v>
      </c>
      <c r="R44" s="782">
        <f t="shared" si="41"/>
        <v>0</v>
      </c>
      <c r="S44" s="938"/>
      <c r="T44" s="791">
        <v>174000000</v>
      </c>
      <c r="U44" s="937"/>
      <c r="V44" s="1630">
        <v>0</v>
      </c>
      <c r="W44" s="456"/>
      <c r="X44" s="791">
        <v>174000000</v>
      </c>
      <c r="Y44" s="792">
        <v>0</v>
      </c>
      <c r="Z44" s="782"/>
      <c r="AA44" s="782">
        <f t="shared" si="48"/>
        <v>0</v>
      </c>
      <c r="AB44" s="938"/>
      <c r="AC44" s="791">
        <v>16085360</v>
      </c>
      <c r="AD44" s="937"/>
      <c r="AE44" s="1631">
        <f>AC44</f>
        <v>16085360</v>
      </c>
      <c r="AF44" s="456"/>
      <c r="AG44" s="791">
        <v>6695460</v>
      </c>
      <c r="AH44" s="792">
        <v>0</v>
      </c>
      <c r="AI44" s="937"/>
      <c r="AJ44" s="782">
        <f t="shared" si="44"/>
        <v>0</v>
      </c>
      <c r="AK44" s="938"/>
      <c r="AL44" s="791">
        <v>259470660</v>
      </c>
      <c r="AM44" s="937"/>
      <c r="AN44" s="1624">
        <v>64182351.520000003</v>
      </c>
      <c r="AO44" s="456"/>
      <c r="AP44" s="791">
        <v>259470660</v>
      </c>
      <c r="AQ44" s="792">
        <v>64182351.520000003</v>
      </c>
      <c r="AR44" s="1561" t="s">
        <v>2884</v>
      </c>
      <c r="AS44" s="6865">
        <f t="shared" si="45"/>
        <v>0.24735880164639812</v>
      </c>
      <c r="AT44" s="938"/>
      <c r="AU44" s="780">
        <v>74119900</v>
      </c>
      <c r="AV44" s="937"/>
      <c r="AW44" s="1624">
        <v>0</v>
      </c>
      <c r="AX44" s="456"/>
      <c r="AY44" s="791">
        <v>74119900</v>
      </c>
      <c r="AZ44" s="792">
        <v>0</v>
      </c>
      <c r="BA44" s="1561"/>
      <c r="BB44" s="6865">
        <f t="shared" si="47"/>
        <v>0</v>
      </c>
      <c r="BC44" s="938"/>
      <c r="BD44" s="780">
        <v>14129400</v>
      </c>
      <c r="BE44" s="8506"/>
      <c r="BF44" s="1624">
        <v>0</v>
      </c>
      <c r="BG44" s="456"/>
      <c r="BH44" s="893"/>
    </row>
    <row r="45" spans="1:60" s="462" customFormat="1" ht="12" x14ac:dyDescent="0.3">
      <c r="A45" s="9168"/>
      <c r="B45" s="1620"/>
      <c r="C45" s="1621" t="s">
        <v>2885</v>
      </c>
      <c r="D45" s="60"/>
      <c r="E45" s="456"/>
      <c r="F45" s="790"/>
      <c r="G45" s="456"/>
      <c r="H45" s="791"/>
      <c r="I45" s="792"/>
      <c r="J45" s="476">
        <f>IF(H45=0,0,I45/H45)</f>
        <v>0</v>
      </c>
      <c r="K45" s="456"/>
      <c r="L45" s="791"/>
      <c r="M45" s="1622"/>
      <c r="N45" s="456"/>
      <c r="O45" s="1632"/>
      <c r="P45" s="1633"/>
      <c r="Q45" s="782"/>
      <c r="R45" s="782"/>
      <c r="S45" s="938"/>
      <c r="T45" s="1632"/>
      <c r="U45" s="937"/>
      <c r="V45" s="1568"/>
      <c r="W45" s="456"/>
      <c r="X45" s="1632"/>
      <c r="Y45" s="1633"/>
      <c r="Z45" s="782"/>
      <c r="AA45" s="782"/>
      <c r="AB45" s="938"/>
      <c r="AC45" s="1632"/>
      <c r="AD45" s="937"/>
      <c r="AE45" s="890"/>
      <c r="AF45" s="456"/>
      <c r="AG45" s="1632">
        <v>0</v>
      </c>
      <c r="AH45" s="792">
        <v>0</v>
      </c>
      <c r="AI45" s="937"/>
      <c r="AJ45" s="782"/>
      <c r="AK45" s="938"/>
      <c r="AL45" s="1632"/>
      <c r="AM45" s="937"/>
      <c r="AN45" s="1555"/>
      <c r="AO45" s="456"/>
      <c r="AP45" s="1632">
        <v>0</v>
      </c>
      <c r="AQ45" s="792"/>
      <c r="AR45" s="1561" t="s">
        <v>2884</v>
      </c>
      <c r="AS45" s="6865"/>
      <c r="AT45" s="938"/>
      <c r="AU45" s="1632"/>
      <c r="AV45" s="937"/>
      <c r="AW45" s="1555"/>
      <c r="AX45" s="456"/>
      <c r="AY45" s="1632"/>
      <c r="AZ45" s="792"/>
      <c r="BA45" s="1561"/>
      <c r="BB45" s="6865"/>
      <c r="BC45" s="938"/>
      <c r="BD45" s="1632"/>
      <c r="BE45" s="8506"/>
      <c r="BF45" s="1555"/>
      <c r="BG45" s="456"/>
      <c r="BH45" s="893"/>
    </row>
    <row r="46" spans="1:60" s="462" customFormat="1" ht="12" x14ac:dyDescent="0.3">
      <c r="A46" s="9168"/>
      <c r="B46" s="801" t="s">
        <v>940</v>
      </c>
      <c r="D46" s="60"/>
      <c r="E46" s="456"/>
      <c r="F46" s="865"/>
      <c r="G46" s="457"/>
      <c r="H46" s="866"/>
      <c r="I46" s="847"/>
      <c r="J46" s="246"/>
      <c r="K46" s="457"/>
      <c r="L46" s="866"/>
      <c r="M46" s="1634"/>
      <c r="N46" s="457"/>
      <c r="O46" s="866"/>
      <c r="P46" s="847"/>
      <c r="Q46" s="890"/>
      <c r="R46" s="890"/>
      <c r="S46" s="892"/>
      <c r="T46" s="866"/>
      <c r="U46" s="847"/>
      <c r="V46" s="1635"/>
      <c r="W46" s="457"/>
      <c r="X46" s="866"/>
      <c r="Y46" s="847"/>
      <c r="Z46" s="890"/>
      <c r="AA46" s="890"/>
      <c r="AB46" s="892"/>
      <c r="AC46" s="866"/>
      <c r="AD46" s="847"/>
      <c r="AE46" s="1635"/>
      <c r="AF46" s="457"/>
      <c r="AG46" s="866"/>
      <c r="AH46" s="847"/>
      <c r="AI46" s="847"/>
      <c r="AJ46" s="890"/>
      <c r="AK46" s="892"/>
      <c r="AL46" s="866"/>
      <c r="AM46" s="847"/>
      <c r="AN46" s="1635"/>
      <c r="AO46" s="457"/>
      <c r="AP46" s="866"/>
      <c r="AQ46" s="847"/>
      <c r="AR46" s="847"/>
      <c r="AS46" s="890"/>
      <c r="AT46" s="892"/>
      <c r="AU46" s="866"/>
      <c r="AV46" s="847"/>
      <c r="AW46" s="1635"/>
      <c r="AX46" s="457"/>
      <c r="AY46" s="866"/>
      <c r="AZ46" s="847"/>
      <c r="BA46" s="847"/>
      <c r="BB46" s="890"/>
      <c r="BC46" s="892"/>
      <c r="BD46" s="866"/>
      <c r="BE46" s="847"/>
      <c r="BF46" s="1635"/>
      <c r="BG46" s="457"/>
      <c r="BH46" s="893"/>
    </row>
    <row r="47" spans="1:60" s="462" customFormat="1" ht="12" x14ac:dyDescent="0.3">
      <c r="A47" s="9168"/>
      <c r="B47" s="1620"/>
      <c r="C47" s="1620" t="s">
        <v>941</v>
      </c>
      <c r="D47" s="60"/>
      <c r="E47" s="456"/>
      <c r="F47" s="779"/>
      <c r="G47" s="456"/>
      <c r="H47" s="780"/>
      <c r="I47" s="781"/>
      <c r="J47" s="476">
        <f>IF(H47=0,0,I47/H47)</f>
        <v>0</v>
      </c>
      <c r="K47" s="456"/>
      <c r="L47" s="780"/>
      <c r="M47" s="1622">
        <f t="shared" ref="M47:M49" si="49">L47*J47</f>
        <v>0</v>
      </c>
      <c r="N47" s="456"/>
      <c r="O47" s="780"/>
      <c r="P47" s="781"/>
      <c r="Q47" s="782"/>
      <c r="R47" s="782">
        <f>IF(O47=0,0,P47/O47)</f>
        <v>0</v>
      </c>
      <c r="S47" s="938"/>
      <c r="T47" s="780"/>
      <c r="U47" s="937"/>
      <c r="V47" s="783"/>
      <c r="W47" s="456"/>
      <c r="X47" s="780"/>
      <c r="Y47" s="781"/>
      <c r="Z47" s="782"/>
      <c r="AA47" s="782">
        <f>IF(X47=0,0,Y47/X47)</f>
        <v>0</v>
      </c>
      <c r="AB47" s="938"/>
      <c r="AC47" s="780"/>
      <c r="AD47" s="937"/>
      <c r="AE47" s="1623"/>
      <c r="AF47" s="456"/>
      <c r="AG47" s="780"/>
      <c r="AH47" s="781"/>
      <c r="AI47" s="937"/>
      <c r="AJ47" s="782">
        <f>IF(AG47=0,0,AH47/AG47)</f>
        <v>0</v>
      </c>
      <c r="AK47" s="938"/>
      <c r="AL47" s="780"/>
      <c r="AM47" s="937"/>
      <c r="AN47" s="1624"/>
      <c r="AO47" s="456"/>
      <c r="AP47" s="780"/>
      <c r="AQ47" s="781"/>
      <c r="AR47" s="6879"/>
      <c r="AS47" s="6865">
        <f>IF(AP47=0,0,AQ47/AP47)</f>
        <v>0</v>
      </c>
      <c r="AT47" s="938"/>
      <c r="AU47" s="780"/>
      <c r="AV47" s="937"/>
      <c r="AW47" s="1624"/>
      <c r="AX47" s="456"/>
      <c r="AY47" s="780"/>
      <c r="AZ47" s="781"/>
      <c r="BA47" s="6879"/>
      <c r="BB47" s="6865">
        <f>IF(AY47=0,0,AZ47/AY47)</f>
        <v>0</v>
      </c>
      <c r="BC47" s="938"/>
      <c r="BD47" s="780"/>
      <c r="BE47" s="8506"/>
      <c r="BF47" s="1624"/>
      <c r="BG47" s="456"/>
      <c r="BH47" s="893"/>
    </row>
    <row r="48" spans="1:60" x14ac:dyDescent="0.35">
      <c r="A48" s="9168"/>
      <c r="B48" s="1620"/>
      <c r="C48" s="1620" t="s">
        <v>942</v>
      </c>
      <c r="D48" s="60"/>
      <c r="E48" s="143"/>
      <c r="F48" s="788"/>
      <c r="G48" s="456"/>
      <c r="H48" s="785"/>
      <c r="I48" s="786"/>
      <c r="J48" s="476">
        <f>IF(H48=0,0,I48/H48)</f>
        <v>0</v>
      </c>
      <c r="K48" s="456"/>
      <c r="L48" s="785"/>
      <c r="M48" s="1622">
        <f t="shared" si="49"/>
        <v>0</v>
      </c>
      <c r="N48" s="456"/>
      <c r="O48" s="785"/>
      <c r="P48" s="786"/>
      <c r="Q48" s="782"/>
      <c r="R48" s="782">
        <f>IF(O48=0,0,P48/O48)</f>
        <v>0</v>
      </c>
      <c r="S48" s="938"/>
      <c r="T48" s="785"/>
      <c r="U48" s="937"/>
      <c r="V48" s="1629"/>
      <c r="W48" s="456"/>
      <c r="X48" s="785"/>
      <c r="Y48" s="786"/>
      <c r="Z48" s="782"/>
      <c r="AA48" s="782">
        <f>IF(X48=0,0,Y48/X48)</f>
        <v>0</v>
      </c>
      <c r="AB48" s="938"/>
      <c r="AC48" s="785"/>
      <c r="AD48" s="937"/>
      <c r="AE48" s="1623"/>
      <c r="AF48" s="456"/>
      <c r="AG48" s="785"/>
      <c r="AH48" s="786"/>
      <c r="AI48" s="937"/>
      <c r="AJ48" s="782">
        <f>IF(AG48=0,0,AH48/AG48)</f>
        <v>0</v>
      </c>
      <c r="AK48" s="938"/>
      <c r="AL48" s="785"/>
      <c r="AM48" s="937"/>
      <c r="AN48" s="1624"/>
      <c r="AO48" s="456"/>
      <c r="AP48" s="785"/>
      <c r="AQ48" s="786"/>
      <c r="AR48" s="6879"/>
      <c r="AS48" s="6865">
        <f>IF(AP48=0,0,AQ48/AP48)</f>
        <v>0</v>
      </c>
      <c r="AT48" s="938"/>
      <c r="AU48" s="785"/>
      <c r="AV48" s="937"/>
      <c r="AW48" s="1624"/>
      <c r="AX48" s="456"/>
      <c r="AY48" s="785"/>
      <c r="AZ48" s="786"/>
      <c r="BA48" s="6879"/>
      <c r="BB48" s="6865">
        <f>IF(AY48=0,0,AZ48/AY48)</f>
        <v>0</v>
      </c>
      <c r="BC48" s="938"/>
      <c r="BD48" s="785"/>
      <c r="BE48" s="8506"/>
      <c r="BF48" s="1624"/>
      <c r="BG48" s="456"/>
      <c r="BH48" s="893"/>
    </row>
    <row r="49" spans="1:60" ht="24.75" customHeight="1" x14ac:dyDescent="0.35">
      <c r="A49" s="9168"/>
      <c r="B49" s="1636"/>
      <c r="C49" s="1636" t="s">
        <v>943</v>
      </c>
      <c r="D49" s="87"/>
      <c r="F49" s="795"/>
      <c r="G49" s="456"/>
      <c r="H49" s="791"/>
      <c r="I49" s="792"/>
      <c r="J49" s="476">
        <f>IF(H49=0,0,I49/H49)</f>
        <v>0</v>
      </c>
      <c r="K49" s="456"/>
      <c r="L49" s="796"/>
      <c r="M49" s="1637">
        <f t="shared" si="49"/>
        <v>0</v>
      </c>
      <c r="N49" s="456"/>
      <c r="O49" s="791"/>
      <c r="P49" s="792"/>
      <c r="Q49" s="782"/>
      <c r="R49" s="782">
        <f>IF(O49=0,0,P49/O49)</f>
        <v>0</v>
      </c>
      <c r="S49" s="938"/>
      <c r="T49" s="796"/>
      <c r="U49" s="1575"/>
      <c r="V49" s="799"/>
      <c r="W49" s="456"/>
      <c r="X49" s="791"/>
      <c r="Y49" s="792"/>
      <c r="Z49" s="782"/>
      <c r="AA49" s="782">
        <f>IF(X49=0,0,Y49/X49)</f>
        <v>0</v>
      </c>
      <c r="AB49" s="938"/>
      <c r="AC49" s="796"/>
      <c r="AD49" s="1575"/>
      <c r="AE49" s="1638"/>
      <c r="AF49" s="456"/>
      <c r="AG49" s="791"/>
      <c r="AH49" s="792"/>
      <c r="AI49" s="937"/>
      <c r="AJ49" s="782">
        <f>IF(AG49=0,0,AH49/AG49)</f>
        <v>0</v>
      </c>
      <c r="AK49" s="938"/>
      <c r="AL49" s="796"/>
      <c r="AM49" s="1575"/>
      <c r="AN49" s="1639"/>
      <c r="AO49" s="456"/>
      <c r="AP49" s="791"/>
      <c r="AQ49" s="792"/>
      <c r="AR49" s="6879"/>
      <c r="AS49" s="6865">
        <f>IF(AP49=0,0,AQ49/AP49)</f>
        <v>0</v>
      </c>
      <c r="AT49" s="938"/>
      <c r="AU49" s="796"/>
      <c r="AV49" s="1575"/>
      <c r="AW49" s="1639"/>
      <c r="AX49" s="456"/>
      <c r="AY49" s="791"/>
      <c r="AZ49" s="792"/>
      <c r="BA49" s="6879"/>
      <c r="BB49" s="6865">
        <f>IF(AY49=0,0,AZ49/AY49)</f>
        <v>0</v>
      </c>
      <c r="BC49" s="938"/>
      <c r="BD49" s="796"/>
      <c r="BE49" s="8507"/>
      <c r="BF49" s="1639"/>
      <c r="BG49" s="456"/>
      <c r="BH49" s="1640"/>
    </row>
    <row r="50" spans="1:60" x14ac:dyDescent="0.35">
      <c r="A50" s="9168"/>
      <c r="B50" s="141" t="s">
        <v>944</v>
      </c>
      <c r="C50" s="141"/>
      <c r="D50" s="60"/>
      <c r="F50" s="227"/>
      <c r="G50" s="143"/>
      <c r="H50" s="102"/>
      <c r="I50" s="103"/>
      <c r="J50" s="516"/>
      <c r="K50" s="143"/>
      <c r="L50" s="245"/>
      <c r="M50" s="1641"/>
      <c r="N50" s="143"/>
      <c r="O50" s="1642" t="s">
        <v>2886</v>
      </c>
      <c r="P50" s="774"/>
      <c r="Q50" s="900"/>
      <c r="R50" s="900"/>
      <c r="S50" s="892"/>
      <c r="T50" s="773"/>
      <c r="U50" s="1643"/>
      <c r="V50" s="1644" t="s">
        <v>2887</v>
      </c>
      <c r="W50" s="143"/>
      <c r="X50" s="1642"/>
      <c r="Y50" s="1645" t="s">
        <v>1211</v>
      </c>
      <c r="Z50" s="900"/>
      <c r="AA50" s="900"/>
      <c r="AB50" s="892"/>
      <c r="AC50" s="773"/>
      <c r="AD50" s="1643"/>
      <c r="AE50" s="1644" t="s">
        <v>2887</v>
      </c>
      <c r="AF50" s="143"/>
      <c r="AG50" s="1642"/>
      <c r="AH50" s="1645" t="s">
        <v>1211</v>
      </c>
      <c r="AI50" s="1643"/>
      <c r="AJ50" s="900"/>
      <c r="AK50" s="892"/>
      <c r="AL50" s="773"/>
      <c r="AM50" s="1643"/>
      <c r="AN50" s="1644" t="s">
        <v>2887</v>
      </c>
      <c r="AO50" s="143"/>
      <c r="AP50" s="1642"/>
      <c r="AQ50" s="6497" t="s">
        <v>2888</v>
      </c>
      <c r="AR50" s="1643"/>
      <c r="AS50" s="900"/>
      <c r="AT50" s="892"/>
      <c r="AU50" s="6468" t="s">
        <v>2889</v>
      </c>
      <c r="AV50" s="1643"/>
      <c r="AW50" s="1644" t="s">
        <v>2888</v>
      </c>
      <c r="AX50" s="143"/>
      <c r="AY50" s="1642" t="s">
        <v>2889</v>
      </c>
      <c r="AZ50" s="6497" t="s">
        <v>2888</v>
      </c>
      <c r="BA50" s="1643"/>
      <c r="BB50" s="900"/>
      <c r="BC50" s="892"/>
      <c r="BD50" s="6468"/>
      <c r="BE50" s="1643"/>
      <c r="BF50" s="1644" t="s">
        <v>2888</v>
      </c>
      <c r="BG50" s="143"/>
      <c r="BH50" s="26"/>
    </row>
    <row r="51" spans="1:60" x14ac:dyDescent="0.35">
      <c r="A51" s="9168"/>
      <c r="B51" s="1646" t="s">
        <v>1363</v>
      </c>
      <c r="C51" s="232"/>
      <c r="D51" s="60"/>
      <c r="F51" s="111"/>
      <c r="H51" s="112"/>
      <c r="I51" s="113"/>
      <c r="J51" s="476">
        <f>IF(H51=0,0,I51/H51)</f>
        <v>0</v>
      </c>
      <c r="L51" s="112"/>
      <c r="M51" s="611">
        <f t="shared" ref="M51:M72" si="50">L51*J51</f>
        <v>0</v>
      </c>
      <c r="O51" s="780">
        <v>79870771.840000018</v>
      </c>
      <c r="P51" s="781">
        <v>36956886.189999998</v>
      </c>
      <c r="Q51" s="782"/>
      <c r="R51" s="782">
        <f>IF(O51=0,0,P51/O51)</f>
        <v>0.46270851449931338</v>
      </c>
      <c r="S51" s="938"/>
      <c r="T51" s="780"/>
      <c r="U51" s="937" t="s">
        <v>2890</v>
      </c>
      <c r="V51" s="1647">
        <f t="shared" ref="V51:V69" si="51">T51*R51</f>
        <v>0</v>
      </c>
      <c r="X51" s="780"/>
      <c r="Y51" s="1648">
        <f>X51</f>
        <v>0</v>
      </c>
      <c r="Z51" s="782"/>
      <c r="AA51" s="782">
        <f>IF(X51=0,0,Y51/X51)</f>
        <v>0</v>
      </c>
      <c r="AB51" s="938"/>
      <c r="AC51" s="780"/>
      <c r="AD51" s="937"/>
      <c r="AE51" s="1647">
        <f>AC51*AA51</f>
        <v>0</v>
      </c>
      <c r="AG51" s="780"/>
      <c r="AH51" s="1648">
        <f>AG51</f>
        <v>0</v>
      </c>
      <c r="AI51" s="937"/>
      <c r="AJ51" s="782">
        <f>IF(AG51=0,0,AH51/AG51)</f>
        <v>0</v>
      </c>
      <c r="AK51" s="938"/>
      <c r="AL51" s="780"/>
      <c r="AM51" s="937"/>
      <c r="AN51" s="1647">
        <f>AL51*AJ51</f>
        <v>0</v>
      </c>
      <c r="AP51" s="780"/>
      <c r="AQ51" s="1648"/>
      <c r="AR51" s="6879"/>
      <c r="AS51" s="6865">
        <f>IF(AP51=0,0,AQ51/AP51)</f>
        <v>0</v>
      </c>
      <c r="AT51" s="938"/>
      <c r="AU51" s="780"/>
      <c r="AV51" s="937"/>
      <c r="AW51" s="6884"/>
      <c r="AY51" s="878"/>
      <c r="AZ51" s="6511"/>
      <c r="BA51" s="6879"/>
      <c r="BB51" s="6865">
        <f>IF(AY51=0,0,AZ51/AY51)</f>
        <v>0</v>
      </c>
      <c r="BC51" s="938"/>
      <c r="BD51" s="780"/>
      <c r="BE51" s="937"/>
      <c r="BF51" s="6884"/>
      <c r="BH51" s="257"/>
    </row>
    <row r="52" spans="1:60" x14ac:dyDescent="0.35">
      <c r="A52" s="9168"/>
      <c r="B52" s="1649" t="s">
        <v>2891</v>
      </c>
      <c r="C52" s="1650" t="s">
        <v>2892</v>
      </c>
      <c r="D52" s="60"/>
      <c r="F52" s="155"/>
      <c r="H52" s="117"/>
      <c r="I52" s="115"/>
      <c r="J52" s="476">
        <f>IF(H52=0,0,I52/H52)</f>
        <v>0</v>
      </c>
      <c r="L52" s="117"/>
      <c r="M52" s="611">
        <f t="shared" si="50"/>
        <v>0</v>
      </c>
      <c r="O52" s="780">
        <v>63765719.229999997</v>
      </c>
      <c r="P52" s="781">
        <v>48467434.920000002</v>
      </c>
      <c r="Q52" s="782"/>
      <c r="R52" s="782">
        <f t="shared" ref="R52:R69" si="52">IF(O52=0,0,P52/O52)</f>
        <v>0.76008606983919069</v>
      </c>
      <c r="S52" s="938"/>
      <c r="T52" s="780">
        <v>55324709</v>
      </c>
      <c r="U52" s="937" t="s">
        <v>2893</v>
      </c>
      <c r="V52" s="1647">
        <f t="shared" si="51"/>
        <v>42051540.628806904</v>
      </c>
      <c r="X52" s="780">
        <v>55324709</v>
      </c>
      <c r="Y52" s="1648">
        <f t="shared" ref="Y52:Y69" si="53">X52</f>
        <v>55324709</v>
      </c>
      <c r="Z52" s="782"/>
      <c r="AA52" s="782">
        <f t="shared" ref="AA52:AA61" si="54">IF(X52=0,0,Y52/X52)</f>
        <v>1</v>
      </c>
      <c r="AB52" s="938"/>
      <c r="AC52" s="780">
        <v>67094463</v>
      </c>
      <c r="AD52" s="937" t="s">
        <v>886</v>
      </c>
      <c r="AE52" s="1647">
        <f t="shared" ref="AE52:AE62" si="55">AC52*AA52</f>
        <v>67094463</v>
      </c>
      <c r="AG52" s="780">
        <v>70094463</v>
      </c>
      <c r="AH52" s="1648">
        <f t="shared" ref="AH52:AH72" si="56">AG52</f>
        <v>70094463</v>
      </c>
      <c r="AI52" s="937" t="s">
        <v>886</v>
      </c>
      <c r="AJ52" s="782">
        <f t="shared" ref="AJ52:AJ72" si="57">IF(AG52=0,0,AH52/AG52)</f>
        <v>1</v>
      </c>
      <c r="AK52" s="938"/>
      <c r="AL52" s="780">
        <v>71433445</v>
      </c>
      <c r="AM52" s="937" t="s">
        <v>2894</v>
      </c>
      <c r="AN52" s="1647">
        <f t="shared" ref="AN52:AN70" si="58">AL52*AJ52</f>
        <v>71433445</v>
      </c>
      <c r="AP52" s="780">
        <v>71433445</v>
      </c>
      <c r="AQ52" s="781">
        <v>71433418.210000008</v>
      </c>
      <c r="AR52" s="6879" t="s">
        <v>2894</v>
      </c>
      <c r="AS52" s="6865">
        <f t="shared" ref="AS52:AS72" si="59">IF(AP52=0,0,AQ52/AP52)</f>
        <v>0.9999996249655887</v>
      </c>
      <c r="AT52" s="938"/>
      <c r="AU52" s="780">
        <f>AP52</f>
        <v>71433445</v>
      </c>
      <c r="AV52" s="8508"/>
      <c r="AW52" s="6885">
        <f>AU52</f>
        <v>71433445</v>
      </c>
      <c r="AY52" s="878">
        <f>AU52</f>
        <v>71433445</v>
      </c>
      <c r="AZ52" s="847">
        <f>AW52</f>
        <v>71433445</v>
      </c>
      <c r="BA52" s="6879"/>
      <c r="BB52" s="6865">
        <f t="shared" ref="BB52:BB72" si="60">IF(AY52=0,0,AZ52/AY52)</f>
        <v>1</v>
      </c>
      <c r="BC52" s="938"/>
      <c r="BD52" s="780">
        <v>87500679</v>
      </c>
      <c r="BE52" s="8508" t="s">
        <v>780</v>
      </c>
      <c r="BF52" s="6885">
        <f>BD52</f>
        <v>87500679</v>
      </c>
      <c r="BH52" s="26" t="s">
        <v>2895</v>
      </c>
    </row>
    <row r="53" spans="1:60" x14ac:dyDescent="0.35">
      <c r="A53" s="9168"/>
      <c r="B53" s="1649" t="s">
        <v>2896</v>
      </c>
      <c r="C53" s="1650" t="s">
        <v>2897</v>
      </c>
      <c r="D53" s="60"/>
      <c r="F53" s="155"/>
      <c r="H53" s="117"/>
      <c r="I53" s="115"/>
      <c r="J53" s="476">
        <f>IF(H53=0,0,I53/H53)</f>
        <v>0</v>
      </c>
      <c r="L53" s="117"/>
      <c r="M53" s="611">
        <f t="shared" si="50"/>
        <v>0</v>
      </c>
      <c r="O53" s="785">
        <v>3269450.8499999996</v>
      </c>
      <c r="P53" s="786">
        <v>2137549.9699999997</v>
      </c>
      <c r="Q53" s="782"/>
      <c r="R53" s="782">
        <f t="shared" si="52"/>
        <v>0.65379480165606407</v>
      </c>
      <c r="S53" s="938"/>
      <c r="T53" s="785">
        <v>58398875</v>
      </c>
      <c r="U53" s="937"/>
      <c r="V53" s="1647">
        <f t="shared" si="51"/>
        <v>38180880.89756228</v>
      </c>
      <c r="X53" s="785">
        <v>58398875</v>
      </c>
      <c r="Y53" s="1648">
        <f t="shared" si="53"/>
        <v>58398875</v>
      </c>
      <c r="Z53" s="782"/>
      <c r="AA53" s="782">
        <f t="shared" si="54"/>
        <v>1</v>
      </c>
      <c r="AB53" s="938"/>
      <c r="AC53" s="785">
        <v>66898875</v>
      </c>
      <c r="AD53" s="937" t="s">
        <v>886</v>
      </c>
      <c r="AE53" s="1647">
        <f t="shared" si="55"/>
        <v>66898875</v>
      </c>
      <c r="AG53" s="785">
        <f>AC53</f>
        <v>66898875</v>
      </c>
      <c r="AH53" s="1648">
        <f t="shared" si="56"/>
        <v>66898875</v>
      </c>
      <c r="AI53" s="937"/>
      <c r="AJ53" s="782">
        <f t="shared" si="57"/>
        <v>1</v>
      </c>
      <c r="AK53" s="938"/>
      <c r="AL53" s="785">
        <v>72000000</v>
      </c>
      <c r="AM53" s="937" t="s">
        <v>784</v>
      </c>
      <c r="AN53" s="1647">
        <f t="shared" si="58"/>
        <v>72000000</v>
      </c>
      <c r="AP53" s="785">
        <v>72000000</v>
      </c>
      <c r="AQ53" s="781">
        <v>72259171.730000004</v>
      </c>
      <c r="AR53" s="6879" t="s">
        <v>784</v>
      </c>
      <c r="AS53" s="6865">
        <f t="shared" si="59"/>
        <v>1.0035996073611111</v>
      </c>
      <c r="AT53" s="938"/>
      <c r="AU53" s="780">
        <f>AP53</f>
        <v>72000000</v>
      </c>
      <c r="AV53" s="8508"/>
      <c r="AW53" s="6885">
        <f t="shared" ref="AW53:AW70" si="61">AU53</f>
        <v>72000000</v>
      </c>
      <c r="AY53" s="878">
        <f>AU53</f>
        <v>72000000</v>
      </c>
      <c r="AZ53" s="847">
        <f>AW53</f>
        <v>72000000</v>
      </c>
      <c r="BA53" s="6879"/>
      <c r="BB53" s="6865">
        <f t="shared" si="60"/>
        <v>1</v>
      </c>
      <c r="BC53" s="938"/>
      <c r="BD53" s="780">
        <v>68730419</v>
      </c>
      <c r="BE53" s="8508" t="s">
        <v>2898</v>
      </c>
      <c r="BF53" s="6885">
        <f t="shared" ref="BF53" si="62">BD53</f>
        <v>68730419</v>
      </c>
      <c r="BH53" s="26" t="s">
        <v>2899</v>
      </c>
    </row>
    <row r="54" spans="1:60" x14ac:dyDescent="0.35">
      <c r="A54" s="9168"/>
      <c r="B54" s="1649" t="s">
        <v>2900</v>
      </c>
      <c r="C54" s="1650" t="s">
        <v>2901</v>
      </c>
      <c r="D54" s="60"/>
      <c r="F54" s="155"/>
      <c r="H54" s="117"/>
      <c r="I54" s="115"/>
      <c r="J54" s="476">
        <f>IF(H54=0,0,I54/H54)</f>
        <v>0</v>
      </c>
      <c r="L54" s="117"/>
      <c r="M54" s="611">
        <f t="shared" si="50"/>
        <v>0</v>
      </c>
      <c r="O54" s="785">
        <v>27648536.119999997</v>
      </c>
      <c r="P54" s="786">
        <v>22330747.460000001</v>
      </c>
      <c r="Q54" s="782"/>
      <c r="R54" s="782">
        <f t="shared" si="52"/>
        <v>0.80766472999077543</v>
      </c>
      <c r="S54" s="938"/>
      <c r="T54" s="785"/>
      <c r="U54" s="937"/>
      <c r="V54" s="1647">
        <f t="shared" si="51"/>
        <v>0</v>
      </c>
      <c r="X54" s="785"/>
      <c r="Y54" s="1648">
        <f t="shared" si="53"/>
        <v>0</v>
      </c>
      <c r="Z54" s="782"/>
      <c r="AA54" s="782">
        <f t="shared" si="54"/>
        <v>0</v>
      </c>
      <c r="AB54" s="938"/>
      <c r="AC54" s="785"/>
      <c r="AD54" s="937"/>
      <c r="AE54" s="1647">
        <f t="shared" si="55"/>
        <v>0</v>
      </c>
      <c r="AG54" s="785"/>
      <c r="AH54" s="1648">
        <f t="shared" si="56"/>
        <v>0</v>
      </c>
      <c r="AI54" s="937"/>
      <c r="AJ54" s="782">
        <f t="shared" si="57"/>
        <v>0</v>
      </c>
      <c r="AK54" s="938"/>
      <c r="AL54" s="785"/>
      <c r="AM54" s="937"/>
      <c r="AN54" s="1647">
        <f t="shared" si="58"/>
        <v>0</v>
      </c>
      <c r="AP54" s="785"/>
      <c r="AQ54" s="781"/>
      <c r="AR54" s="6879"/>
      <c r="AS54" s="6865">
        <f t="shared" si="59"/>
        <v>0</v>
      </c>
      <c r="AT54" s="938"/>
      <c r="AU54" s="785"/>
      <c r="AV54" s="8508"/>
      <c r="AW54" s="6885"/>
      <c r="AY54" s="1035"/>
      <c r="AZ54" s="847"/>
      <c r="BA54" s="6879"/>
      <c r="BB54" s="6865">
        <f t="shared" si="60"/>
        <v>0</v>
      </c>
      <c r="BC54" s="938"/>
      <c r="BD54" s="785"/>
      <c r="BE54" s="8508"/>
      <c r="BF54" s="6885"/>
      <c r="BH54" s="26" t="s">
        <v>2901</v>
      </c>
    </row>
    <row r="55" spans="1:60" x14ac:dyDescent="0.35">
      <c r="A55" s="9168"/>
      <c r="B55" s="1649" t="s">
        <v>2900</v>
      </c>
      <c r="C55" s="1650" t="s">
        <v>2902</v>
      </c>
      <c r="D55" s="60"/>
      <c r="F55" s="155"/>
      <c r="H55" s="117"/>
      <c r="I55" s="115"/>
      <c r="J55" s="476">
        <f>IF(H55=0,0,I55/H55)</f>
        <v>0</v>
      </c>
      <c r="L55" s="117"/>
      <c r="M55" s="611">
        <f t="shared" si="50"/>
        <v>0</v>
      </c>
      <c r="O55" s="785">
        <v>51144597.38000001</v>
      </c>
      <c r="P55" s="786">
        <v>16219618.640000001</v>
      </c>
      <c r="Q55" s="782"/>
      <c r="R55" s="782">
        <f t="shared" si="52"/>
        <v>0.31713259016371981</v>
      </c>
      <c r="S55" s="938"/>
      <c r="T55" s="785">
        <v>29675043</v>
      </c>
      <c r="U55" s="937"/>
      <c r="V55" s="1647">
        <f t="shared" si="51"/>
        <v>9410923.2498097625</v>
      </c>
      <c r="X55" s="785">
        <v>29675043</v>
      </c>
      <c r="Y55" s="1648">
        <f t="shared" si="53"/>
        <v>29675043</v>
      </c>
      <c r="Z55" s="782"/>
      <c r="AA55" s="782">
        <f t="shared" si="54"/>
        <v>1</v>
      </c>
      <c r="AB55" s="938"/>
      <c r="AC55" s="785">
        <v>30273043</v>
      </c>
      <c r="AD55" s="937" t="s">
        <v>900</v>
      </c>
      <c r="AE55" s="1647">
        <f t="shared" si="55"/>
        <v>30273043</v>
      </c>
      <c r="AG55" s="785">
        <v>29273039</v>
      </c>
      <c r="AH55" s="1648">
        <f t="shared" si="56"/>
        <v>29273039</v>
      </c>
      <c r="AI55" s="937"/>
      <c r="AJ55" s="782">
        <f t="shared" si="57"/>
        <v>1</v>
      </c>
      <c r="AK55" s="938"/>
      <c r="AL55" s="785">
        <v>39391127</v>
      </c>
      <c r="AM55" s="937" t="s">
        <v>900</v>
      </c>
      <c r="AN55" s="1647">
        <f t="shared" si="58"/>
        <v>39391127</v>
      </c>
      <c r="AP55" s="785">
        <v>30391127</v>
      </c>
      <c r="AQ55" s="781">
        <v>30294666.440000001</v>
      </c>
      <c r="AR55" s="6879" t="s">
        <v>900</v>
      </c>
      <c r="AS55" s="6865">
        <f t="shared" si="59"/>
        <v>0.99682602886033156</v>
      </c>
      <c r="AT55" s="938"/>
      <c r="AU55" s="785">
        <f>AP55</f>
        <v>30391127</v>
      </c>
      <c r="AV55" s="8508"/>
      <c r="AW55" s="6885">
        <f t="shared" si="61"/>
        <v>30391127</v>
      </c>
      <c r="AY55" s="878">
        <f>AU55</f>
        <v>30391127</v>
      </c>
      <c r="AZ55" s="847">
        <f>AW55</f>
        <v>30391127</v>
      </c>
      <c r="BA55" s="6879"/>
      <c r="BB55" s="6865">
        <f t="shared" si="60"/>
        <v>1</v>
      </c>
      <c r="BC55" s="938"/>
      <c r="BD55" s="785">
        <v>29272622</v>
      </c>
      <c r="BE55" s="8508" t="s">
        <v>2903</v>
      </c>
      <c r="BF55" s="6885">
        <f t="shared" ref="BF55:BF56" si="63">BD55</f>
        <v>29272622</v>
      </c>
      <c r="BH55" s="26" t="s">
        <v>2902</v>
      </c>
    </row>
    <row r="56" spans="1:60" x14ac:dyDescent="0.35">
      <c r="A56" s="9168"/>
      <c r="B56" s="1649" t="s">
        <v>2904</v>
      </c>
      <c r="C56" s="1650" t="s">
        <v>2905</v>
      </c>
      <c r="D56" s="60"/>
      <c r="F56" s="155"/>
      <c r="H56" s="117"/>
      <c r="I56" s="115"/>
      <c r="J56" s="476">
        <f t="shared" ref="J56:J72" si="64">IF(H56=0,0,I56/H56)</f>
        <v>0</v>
      </c>
      <c r="L56" s="117"/>
      <c r="M56" s="611">
        <f t="shared" si="50"/>
        <v>0</v>
      </c>
      <c r="O56" s="785">
        <v>17231700.960000001</v>
      </c>
      <c r="P56" s="786">
        <v>12437384.619999999</v>
      </c>
      <c r="Q56" s="782"/>
      <c r="R56" s="782">
        <f t="shared" si="52"/>
        <v>0.72177347139849612</v>
      </c>
      <c r="S56" s="938"/>
      <c r="T56" s="785">
        <v>35000000</v>
      </c>
      <c r="U56" s="937"/>
      <c r="V56" s="1647">
        <f t="shared" si="51"/>
        <v>25262071.498947363</v>
      </c>
      <c r="X56" s="785">
        <v>35000000</v>
      </c>
      <c r="Y56" s="1648">
        <f t="shared" si="53"/>
        <v>35000000</v>
      </c>
      <c r="Z56" s="782"/>
      <c r="AA56" s="782">
        <f t="shared" si="54"/>
        <v>1</v>
      </c>
      <c r="AB56" s="938"/>
      <c r="AC56" s="785">
        <v>35000000</v>
      </c>
      <c r="AD56" s="937" t="s">
        <v>2906</v>
      </c>
      <c r="AE56" s="1647">
        <f t="shared" si="55"/>
        <v>35000000</v>
      </c>
      <c r="AG56" s="785">
        <v>35000000</v>
      </c>
      <c r="AH56" s="1648">
        <f t="shared" si="56"/>
        <v>35000000</v>
      </c>
      <c r="AI56" s="937"/>
      <c r="AJ56" s="782">
        <f t="shared" si="57"/>
        <v>1</v>
      </c>
      <c r="AK56" s="938"/>
      <c r="AL56" s="785">
        <v>35000000</v>
      </c>
      <c r="AM56" s="937" t="s">
        <v>2906</v>
      </c>
      <c r="AN56" s="1647">
        <f t="shared" si="58"/>
        <v>35000000</v>
      </c>
      <c r="AP56" s="785">
        <v>35000000</v>
      </c>
      <c r="AQ56" s="781">
        <v>40984564.630000003</v>
      </c>
      <c r="AR56" s="6879" t="s">
        <v>2906</v>
      </c>
      <c r="AS56" s="6865">
        <f t="shared" si="59"/>
        <v>1.170987560857143</v>
      </c>
      <c r="AT56" s="938"/>
      <c r="AU56" s="785">
        <f t="shared" ref="AU56:AU58" si="65">AP56</f>
        <v>35000000</v>
      </c>
      <c r="AV56" s="8508"/>
      <c r="AW56" s="6885">
        <f t="shared" si="61"/>
        <v>35000000</v>
      </c>
      <c r="AY56" s="878">
        <f>AU56</f>
        <v>35000000</v>
      </c>
      <c r="AZ56" s="847">
        <f>AW56</f>
        <v>35000000</v>
      </c>
      <c r="BA56" s="6879"/>
      <c r="BB56" s="6865">
        <f t="shared" si="60"/>
        <v>1</v>
      </c>
      <c r="BC56" s="938"/>
      <c r="BD56" s="785">
        <v>40220678</v>
      </c>
      <c r="BE56" s="8508" t="s">
        <v>2907</v>
      </c>
      <c r="BF56" s="6885">
        <f t="shared" si="63"/>
        <v>40220678</v>
      </c>
      <c r="BH56" s="26" t="s">
        <v>2905</v>
      </c>
    </row>
    <row r="57" spans="1:60" x14ac:dyDescent="0.35">
      <c r="A57" s="9168"/>
      <c r="B57" s="1651" t="s">
        <v>2908</v>
      </c>
      <c r="C57" s="1652" t="s">
        <v>2909</v>
      </c>
      <c r="D57" s="60"/>
      <c r="F57" s="163"/>
      <c r="H57" s="242"/>
      <c r="I57" s="243"/>
      <c r="J57" s="476"/>
      <c r="L57" s="242"/>
      <c r="M57" s="611"/>
      <c r="O57" s="791">
        <v>34920503.100000009</v>
      </c>
      <c r="P57" s="792">
        <v>11457733.359999999</v>
      </c>
      <c r="Q57" s="782"/>
      <c r="R57" s="782">
        <f t="shared" si="52"/>
        <v>0.32810905751240443</v>
      </c>
      <c r="S57" s="938"/>
      <c r="T57" s="791">
        <v>17231701</v>
      </c>
      <c r="U57" s="937"/>
      <c r="V57" s="1647">
        <f t="shared" si="51"/>
        <v>5653877.1744455574</v>
      </c>
      <c r="X57" s="791">
        <v>17231701</v>
      </c>
      <c r="Y57" s="1648">
        <f t="shared" si="53"/>
        <v>17231701</v>
      </c>
      <c r="Z57" s="782"/>
      <c r="AA57" s="782">
        <f t="shared" si="54"/>
        <v>1</v>
      </c>
      <c r="AB57" s="938"/>
      <c r="AC57" s="791">
        <v>17231701</v>
      </c>
      <c r="AD57" s="937" t="s">
        <v>505</v>
      </c>
      <c r="AE57" s="1647">
        <f t="shared" si="55"/>
        <v>17231701</v>
      </c>
      <c r="AG57" s="791">
        <v>17231701</v>
      </c>
      <c r="AH57" s="1648">
        <f t="shared" si="56"/>
        <v>17231701</v>
      </c>
      <c r="AI57" s="937"/>
      <c r="AJ57" s="782">
        <f t="shared" si="57"/>
        <v>1</v>
      </c>
      <c r="AK57" s="938"/>
      <c r="AL57" s="791">
        <v>17231701</v>
      </c>
      <c r="AM57" s="937" t="s">
        <v>505</v>
      </c>
      <c r="AN57" s="1647">
        <f t="shared" si="58"/>
        <v>17231701</v>
      </c>
      <c r="AP57" s="791"/>
      <c r="AQ57" s="781"/>
      <c r="AR57" s="6879" t="s">
        <v>505</v>
      </c>
      <c r="AS57" s="6865">
        <f t="shared" si="59"/>
        <v>0</v>
      </c>
      <c r="AT57" s="938"/>
      <c r="AU57" s="785">
        <f t="shared" si="65"/>
        <v>0</v>
      </c>
      <c r="AV57" s="8508"/>
      <c r="AW57" s="6885"/>
      <c r="AY57" s="878">
        <f>AU57</f>
        <v>0</v>
      </c>
      <c r="AZ57" s="847"/>
      <c r="BA57" s="6879"/>
      <c r="BB57" s="6865">
        <f t="shared" si="60"/>
        <v>0</v>
      </c>
      <c r="BC57" s="938"/>
      <c r="BD57" s="785">
        <v>23576658</v>
      </c>
      <c r="BE57" s="8508" t="s">
        <v>2910</v>
      </c>
      <c r="BF57" s="6885"/>
      <c r="BH57" s="26" t="s">
        <v>2909</v>
      </c>
    </row>
    <row r="58" spans="1:60" x14ac:dyDescent="0.35">
      <c r="A58" s="9168"/>
      <c r="B58" s="1651" t="s">
        <v>2908</v>
      </c>
      <c r="C58" s="1652" t="s">
        <v>2911</v>
      </c>
      <c r="D58" s="60"/>
      <c r="F58" s="163"/>
      <c r="H58" s="242"/>
      <c r="I58" s="243"/>
      <c r="J58" s="476"/>
      <c r="L58" s="242"/>
      <c r="M58" s="611"/>
      <c r="O58" s="791">
        <v>10473451</v>
      </c>
      <c r="P58" s="792">
        <v>8756460</v>
      </c>
      <c r="Q58" s="782"/>
      <c r="R58" s="782">
        <f t="shared" si="52"/>
        <v>0.8360625356436957</v>
      </c>
      <c r="S58" s="938"/>
      <c r="T58" s="791">
        <v>26162954</v>
      </c>
      <c r="U58" s="937"/>
      <c r="V58" s="1647">
        <f t="shared" si="51"/>
        <v>21873865.661169372</v>
      </c>
      <c r="X58" s="791">
        <v>26162954</v>
      </c>
      <c r="Y58" s="1648">
        <f t="shared" si="53"/>
        <v>26162954</v>
      </c>
      <c r="Z58" s="782"/>
      <c r="AA58" s="782">
        <f t="shared" si="54"/>
        <v>1</v>
      </c>
      <c r="AB58" s="938"/>
      <c r="AC58" s="791">
        <v>29912953</v>
      </c>
      <c r="AD58" s="937" t="s">
        <v>505</v>
      </c>
      <c r="AE58" s="1647">
        <f t="shared" si="55"/>
        <v>29912953</v>
      </c>
      <c r="AG58" s="791">
        <v>30739035</v>
      </c>
      <c r="AH58" s="1648">
        <f t="shared" si="56"/>
        <v>30739035</v>
      </c>
      <c r="AI58" s="937"/>
      <c r="AJ58" s="782">
        <f t="shared" si="57"/>
        <v>1</v>
      </c>
      <c r="AK58" s="938"/>
      <c r="AL58" s="791">
        <v>33870116</v>
      </c>
      <c r="AM58" s="937" t="s">
        <v>505</v>
      </c>
      <c r="AN58" s="1647">
        <f t="shared" si="58"/>
        <v>33870116</v>
      </c>
      <c r="AP58" s="791">
        <v>33870116</v>
      </c>
      <c r="AQ58" s="781">
        <v>33074687.330000002</v>
      </c>
      <c r="AR58" s="6879" t="s">
        <v>505</v>
      </c>
      <c r="AS58" s="6865">
        <f t="shared" si="59"/>
        <v>0.97651532489584625</v>
      </c>
      <c r="AT58" s="938"/>
      <c r="AU58" s="785">
        <f t="shared" si="65"/>
        <v>33870116</v>
      </c>
      <c r="AV58" s="8508"/>
      <c r="AW58" s="6885">
        <f t="shared" si="61"/>
        <v>33870116</v>
      </c>
      <c r="AY58" s="878">
        <f>AU58</f>
        <v>33870116</v>
      </c>
      <c r="AZ58" s="847">
        <f>AW58</f>
        <v>33870116</v>
      </c>
      <c r="BA58" s="6879"/>
      <c r="BB58" s="6865">
        <f t="shared" si="60"/>
        <v>1</v>
      </c>
      <c r="BC58" s="938"/>
      <c r="BD58" s="785">
        <v>31023635</v>
      </c>
      <c r="BE58" s="8508" t="s">
        <v>2910</v>
      </c>
      <c r="BF58" s="6885">
        <f t="shared" ref="BF58" si="66">BD58</f>
        <v>31023635</v>
      </c>
      <c r="BH58" s="26" t="s">
        <v>2911</v>
      </c>
    </row>
    <row r="59" spans="1:60" x14ac:dyDescent="0.35">
      <c r="A59" s="9168"/>
      <c r="B59" s="1651" t="s">
        <v>2912</v>
      </c>
      <c r="C59" s="1652" t="s">
        <v>2913</v>
      </c>
      <c r="D59" s="60"/>
      <c r="F59" s="163"/>
      <c r="H59" s="242"/>
      <c r="I59" s="243"/>
      <c r="J59" s="476"/>
      <c r="L59" s="242"/>
      <c r="M59" s="611"/>
      <c r="O59" s="791">
        <v>52858722.530000001</v>
      </c>
      <c r="P59" s="792">
        <v>36603713.979999997</v>
      </c>
      <c r="Q59" s="782"/>
      <c r="R59" s="782">
        <f t="shared" si="52"/>
        <v>0.6924820016076918</v>
      </c>
      <c r="S59" s="938"/>
      <c r="T59" s="791"/>
      <c r="U59" s="937"/>
      <c r="V59" s="1647">
        <f t="shared" si="51"/>
        <v>0</v>
      </c>
      <c r="X59" s="791"/>
      <c r="Y59" s="1648">
        <f t="shared" si="53"/>
        <v>0</v>
      </c>
      <c r="Z59" s="782"/>
      <c r="AA59" s="782">
        <f t="shared" si="54"/>
        <v>0</v>
      </c>
      <c r="AB59" s="938"/>
      <c r="AC59" s="791"/>
      <c r="AD59" s="937"/>
      <c r="AE59" s="1647">
        <f t="shared" si="55"/>
        <v>0</v>
      </c>
      <c r="AG59" s="791"/>
      <c r="AH59" s="1648">
        <f t="shared" si="56"/>
        <v>0</v>
      </c>
      <c r="AI59" s="937"/>
      <c r="AJ59" s="782">
        <f t="shared" si="57"/>
        <v>0</v>
      </c>
      <c r="AK59" s="938"/>
      <c r="AL59" s="791"/>
      <c r="AM59" s="937"/>
      <c r="AN59" s="1647">
        <f t="shared" si="58"/>
        <v>0</v>
      </c>
      <c r="AP59" s="791"/>
      <c r="AQ59" s="781"/>
      <c r="AR59" s="6879"/>
      <c r="AS59" s="6865">
        <f t="shared" si="59"/>
        <v>0</v>
      </c>
      <c r="AT59" s="938"/>
      <c r="AU59" s="791"/>
      <c r="AV59" s="8508"/>
      <c r="AW59" s="6885"/>
      <c r="AY59" s="818"/>
      <c r="AZ59" s="847"/>
      <c r="BA59" s="6879"/>
      <c r="BB59" s="6865">
        <f t="shared" si="60"/>
        <v>0</v>
      </c>
      <c r="BC59" s="938"/>
      <c r="BD59" s="791"/>
      <c r="BE59" s="8508"/>
      <c r="BF59" s="6885"/>
      <c r="BH59" s="26" t="s">
        <v>2913</v>
      </c>
    </row>
    <row r="60" spans="1:60" x14ac:dyDescent="0.35">
      <c r="A60" s="9168"/>
      <c r="B60" s="1651" t="s">
        <v>2914</v>
      </c>
      <c r="C60" s="1652" t="s">
        <v>2915</v>
      </c>
      <c r="D60" s="60"/>
      <c r="F60" s="163"/>
      <c r="H60" s="242"/>
      <c r="I60" s="243"/>
      <c r="J60" s="476"/>
      <c r="L60" s="242"/>
      <c r="M60" s="611"/>
      <c r="O60" s="791">
        <v>479623909.19999999</v>
      </c>
      <c r="P60" s="792">
        <v>474445774.72000003</v>
      </c>
      <c r="Q60" s="782"/>
      <c r="R60" s="782">
        <f t="shared" si="52"/>
        <v>0.98920376073695548</v>
      </c>
      <c r="S60" s="938"/>
      <c r="T60" s="791">
        <v>45254754</v>
      </c>
      <c r="U60" s="937"/>
      <c r="V60" s="1647">
        <f t="shared" si="51"/>
        <v>44766172.848025776</v>
      </c>
      <c r="X60" s="791">
        <v>45254754</v>
      </c>
      <c r="Y60" s="1648">
        <f t="shared" si="53"/>
        <v>45254754</v>
      </c>
      <c r="Z60" s="782"/>
      <c r="AA60" s="782">
        <f t="shared" si="54"/>
        <v>1</v>
      </c>
      <c r="AB60" s="938"/>
      <c r="AC60" s="791">
        <v>51564755</v>
      </c>
      <c r="AD60" s="937" t="s">
        <v>2916</v>
      </c>
      <c r="AE60" s="1647">
        <f t="shared" si="55"/>
        <v>51564755</v>
      </c>
      <c r="AG60" s="791">
        <v>51504755</v>
      </c>
      <c r="AH60" s="1648">
        <f t="shared" si="56"/>
        <v>51504755</v>
      </c>
      <c r="AI60" s="937"/>
      <c r="AJ60" s="782">
        <f t="shared" si="57"/>
        <v>1</v>
      </c>
      <c r="AK60" s="938"/>
      <c r="AL60" s="791">
        <v>56164741</v>
      </c>
      <c r="AM60" s="937" t="s">
        <v>1849</v>
      </c>
      <c r="AN60" s="1647">
        <f t="shared" si="58"/>
        <v>56164741</v>
      </c>
      <c r="AP60" s="791">
        <v>56164741</v>
      </c>
      <c r="AQ60" s="781">
        <v>55904994.509999998</v>
      </c>
      <c r="AR60" s="6879" t="s">
        <v>1849</v>
      </c>
      <c r="AS60" s="6865">
        <f t="shared" si="59"/>
        <v>0.99537527485437882</v>
      </c>
      <c r="AT60" s="938"/>
      <c r="AU60" s="791">
        <f>AP60</f>
        <v>56164741</v>
      </c>
      <c r="AV60" s="8508"/>
      <c r="AW60" s="6885">
        <f t="shared" si="61"/>
        <v>56164741</v>
      </c>
      <c r="AY60" s="878">
        <f>AU60</f>
        <v>56164741</v>
      </c>
      <c r="AZ60" s="847">
        <f>AW60</f>
        <v>56164741</v>
      </c>
      <c r="BA60" s="6879"/>
      <c r="BB60" s="6865">
        <f t="shared" si="60"/>
        <v>1</v>
      </c>
      <c r="BC60" s="938"/>
      <c r="BD60" s="791">
        <v>54223060</v>
      </c>
      <c r="BE60" s="8508" t="s">
        <v>2917</v>
      </c>
      <c r="BF60" s="6885">
        <f t="shared" ref="BF60" si="67">BD60</f>
        <v>54223060</v>
      </c>
      <c r="BH60" s="26" t="s">
        <v>2918</v>
      </c>
    </row>
    <row r="61" spans="1:60" x14ac:dyDescent="0.35">
      <c r="A61" s="9168"/>
      <c r="B61" s="1651" t="s">
        <v>2919</v>
      </c>
      <c r="C61" s="1652" t="s">
        <v>2920</v>
      </c>
      <c r="D61" s="60"/>
      <c r="F61" s="163"/>
      <c r="H61" s="242"/>
      <c r="I61" s="243"/>
      <c r="J61" s="476"/>
      <c r="L61" s="242"/>
      <c r="M61" s="611"/>
      <c r="O61" s="791">
        <v>16321716.619999997</v>
      </c>
      <c r="P61" s="792">
        <v>11527487.140000001</v>
      </c>
      <c r="Q61" s="782"/>
      <c r="R61" s="782">
        <f t="shared" si="52"/>
        <v>0.70626683506284293</v>
      </c>
      <c r="S61" s="938"/>
      <c r="T61" s="791"/>
      <c r="U61" s="937"/>
      <c r="V61" s="1647">
        <f t="shared" si="51"/>
        <v>0</v>
      </c>
      <c r="X61" s="791"/>
      <c r="Y61" s="1648">
        <f t="shared" si="53"/>
        <v>0</v>
      </c>
      <c r="Z61" s="782"/>
      <c r="AA61" s="782">
        <f t="shared" si="54"/>
        <v>0</v>
      </c>
      <c r="AB61" s="938"/>
      <c r="AC61" s="791"/>
      <c r="AD61" s="937"/>
      <c r="AE61" s="1647">
        <f t="shared" si="55"/>
        <v>0</v>
      </c>
      <c r="AG61" s="791"/>
      <c r="AH61" s="1648">
        <f t="shared" si="56"/>
        <v>0</v>
      </c>
      <c r="AI61" s="937"/>
      <c r="AJ61" s="782">
        <f t="shared" si="57"/>
        <v>0</v>
      </c>
      <c r="AK61" s="938"/>
      <c r="AL61" s="791"/>
      <c r="AM61" s="937"/>
      <c r="AN61" s="1647">
        <f t="shared" si="58"/>
        <v>0</v>
      </c>
      <c r="AP61" s="791"/>
      <c r="AQ61" s="781"/>
      <c r="AR61" s="6879"/>
      <c r="AS61" s="6865">
        <f t="shared" si="59"/>
        <v>0</v>
      </c>
      <c r="AT61" s="938"/>
      <c r="AU61" s="791"/>
      <c r="AV61" s="8508"/>
      <c r="AW61" s="6885"/>
      <c r="AY61" s="818"/>
      <c r="AZ61" s="847"/>
      <c r="BA61" s="6879"/>
      <c r="BB61" s="6865">
        <f t="shared" si="60"/>
        <v>0</v>
      </c>
      <c r="BC61" s="938"/>
      <c r="BD61" s="791"/>
      <c r="BE61" s="8508"/>
      <c r="BF61" s="6885"/>
      <c r="BH61" s="26" t="s">
        <v>2920</v>
      </c>
    </row>
    <row r="62" spans="1:60" x14ac:dyDescent="0.35">
      <c r="A62" s="9168"/>
      <c r="B62" s="1651" t="s">
        <v>2921</v>
      </c>
      <c r="C62" s="1652" t="s">
        <v>2922</v>
      </c>
      <c r="D62" s="60"/>
      <c r="F62" s="163"/>
      <c r="H62" s="242"/>
      <c r="I62" s="243"/>
      <c r="J62" s="476"/>
      <c r="L62" s="242"/>
      <c r="M62" s="611"/>
      <c r="O62" s="791"/>
      <c r="P62" s="792"/>
      <c r="Q62" s="782"/>
      <c r="R62" s="782"/>
      <c r="S62" s="938"/>
      <c r="T62" s="791">
        <v>22031208</v>
      </c>
      <c r="U62" s="937"/>
      <c r="V62" s="1647">
        <f t="shared" si="51"/>
        <v>0</v>
      </c>
      <c r="X62" s="791">
        <v>22031208</v>
      </c>
      <c r="Y62" s="1648">
        <f t="shared" si="53"/>
        <v>22031208</v>
      </c>
      <c r="Z62" s="782"/>
      <c r="AA62" s="782"/>
      <c r="AB62" s="938"/>
      <c r="AC62" s="791">
        <v>25031200</v>
      </c>
      <c r="AD62" s="937" t="s">
        <v>1860</v>
      </c>
      <c r="AE62" s="1647">
        <f t="shared" si="55"/>
        <v>0</v>
      </c>
      <c r="AG62" s="791">
        <v>22031208</v>
      </c>
      <c r="AH62" s="1648">
        <f t="shared" si="56"/>
        <v>22031208</v>
      </c>
      <c r="AI62" s="937"/>
      <c r="AJ62" s="782">
        <f t="shared" si="57"/>
        <v>1</v>
      </c>
      <c r="AK62" s="938"/>
      <c r="AL62" s="791">
        <v>35031200</v>
      </c>
      <c r="AM62" s="937" t="s">
        <v>1860</v>
      </c>
      <c r="AN62" s="1647">
        <f t="shared" si="58"/>
        <v>35031200</v>
      </c>
      <c r="AP62" s="791">
        <v>35031200</v>
      </c>
      <c r="AQ62" s="781">
        <v>35027865.43</v>
      </c>
      <c r="AR62" s="6879" t="s">
        <v>1112</v>
      </c>
      <c r="AS62" s="6865">
        <f t="shared" si="59"/>
        <v>0.99990481142524379</v>
      </c>
      <c r="AT62" s="938"/>
      <c r="AU62" s="791">
        <f>AP62</f>
        <v>35031200</v>
      </c>
      <c r="AV62" s="8508"/>
      <c r="AW62" s="6885">
        <f t="shared" si="61"/>
        <v>35031200</v>
      </c>
      <c r="AY62" s="878">
        <f>AU62</f>
        <v>35031200</v>
      </c>
      <c r="AZ62" s="847">
        <f>AW62</f>
        <v>35031200</v>
      </c>
      <c r="BA62" s="6879"/>
      <c r="BB62" s="6865">
        <f t="shared" si="60"/>
        <v>1</v>
      </c>
      <c r="BC62" s="938"/>
      <c r="BD62" s="791">
        <v>29701327</v>
      </c>
      <c r="BE62" s="8508" t="s">
        <v>2848</v>
      </c>
      <c r="BF62" s="6885">
        <f t="shared" ref="BF62" si="68">BD62</f>
        <v>29701327</v>
      </c>
      <c r="BH62" s="26" t="s">
        <v>2922</v>
      </c>
    </row>
    <row r="63" spans="1:60" x14ac:dyDescent="0.35">
      <c r="A63" s="9168"/>
      <c r="B63" s="1653" t="s">
        <v>1116</v>
      </c>
      <c r="C63" s="1654"/>
      <c r="D63" s="60"/>
      <c r="F63" s="163"/>
      <c r="H63" s="242"/>
      <c r="I63" s="243"/>
      <c r="J63" s="476"/>
      <c r="L63" s="242"/>
      <c r="M63" s="611"/>
      <c r="O63" s="791">
        <v>10000000</v>
      </c>
      <c r="P63" s="792">
        <v>0</v>
      </c>
      <c r="Q63" s="782"/>
      <c r="R63" s="782">
        <f t="shared" si="52"/>
        <v>0</v>
      </c>
      <c r="S63" s="938"/>
      <c r="T63" s="791"/>
      <c r="U63" s="937"/>
      <c r="V63" s="1647">
        <f t="shared" si="51"/>
        <v>0</v>
      </c>
      <c r="X63" s="791"/>
      <c r="Y63" s="781"/>
      <c r="Z63" s="782"/>
      <c r="AA63" s="782"/>
      <c r="AB63" s="938"/>
      <c r="AC63" s="791"/>
      <c r="AD63" s="937"/>
      <c r="AE63" s="1647"/>
      <c r="AG63" s="791"/>
      <c r="AH63" s="1648">
        <f t="shared" si="56"/>
        <v>0</v>
      </c>
      <c r="AI63" s="937"/>
      <c r="AJ63" s="782">
        <f t="shared" si="57"/>
        <v>0</v>
      </c>
      <c r="AK63" s="938"/>
      <c r="AL63" s="791"/>
      <c r="AM63" s="937"/>
      <c r="AN63" s="1647">
        <f t="shared" si="58"/>
        <v>0</v>
      </c>
      <c r="AP63" s="791"/>
      <c r="AQ63" s="781"/>
      <c r="AR63" s="6879"/>
      <c r="AS63" s="6865">
        <f t="shared" si="59"/>
        <v>0</v>
      </c>
      <c r="AT63" s="938"/>
      <c r="AU63" s="791"/>
      <c r="AV63" s="937"/>
      <c r="AW63" s="6885"/>
      <c r="AY63" s="818"/>
      <c r="AZ63" s="847"/>
      <c r="BA63" s="6879"/>
      <c r="BB63" s="6865">
        <f t="shared" si="60"/>
        <v>0</v>
      </c>
      <c r="BC63" s="938"/>
      <c r="BD63" s="791"/>
      <c r="BE63" s="937"/>
      <c r="BF63" s="6885"/>
      <c r="BH63" s="26"/>
    </row>
    <row r="64" spans="1:60" x14ac:dyDescent="0.35">
      <c r="A64" s="9168"/>
      <c r="B64" s="1653"/>
      <c r="C64" s="1654"/>
      <c r="D64" s="60"/>
      <c r="F64" s="163"/>
      <c r="H64" s="242"/>
      <c r="I64" s="243"/>
      <c r="J64" s="476"/>
      <c r="L64" s="242"/>
      <c r="M64" s="611"/>
      <c r="O64" s="791"/>
      <c r="P64" s="792"/>
      <c r="Q64" s="782"/>
      <c r="R64" s="782"/>
      <c r="S64" s="938"/>
      <c r="T64" s="791"/>
      <c r="U64" s="937"/>
      <c r="V64" s="1647"/>
      <c r="X64" s="791"/>
      <c r="Y64" s="781"/>
      <c r="Z64" s="782"/>
      <c r="AA64" s="782"/>
      <c r="AB64" s="938"/>
      <c r="AC64" s="791">
        <v>10000000</v>
      </c>
      <c r="AD64" s="937" t="s">
        <v>886</v>
      </c>
      <c r="AE64" s="1655">
        <f>AC64</f>
        <v>10000000</v>
      </c>
      <c r="AG64" s="791">
        <v>10000000</v>
      </c>
      <c r="AH64" s="1648">
        <f t="shared" si="56"/>
        <v>10000000</v>
      </c>
      <c r="AI64" s="937" t="s">
        <v>886</v>
      </c>
      <c r="AJ64" s="782">
        <f t="shared" si="57"/>
        <v>1</v>
      </c>
      <c r="AK64" s="938"/>
      <c r="AL64" s="791">
        <v>15000000</v>
      </c>
      <c r="AM64" s="937" t="s">
        <v>2894</v>
      </c>
      <c r="AN64" s="1647">
        <f t="shared" si="58"/>
        <v>15000000</v>
      </c>
      <c r="AP64" s="791">
        <v>15000000</v>
      </c>
      <c r="AQ64" s="781">
        <v>14988426.120000001</v>
      </c>
      <c r="AR64" s="6879" t="s">
        <v>2894</v>
      </c>
      <c r="AS64" s="6865">
        <f t="shared" si="59"/>
        <v>0.99922840800000012</v>
      </c>
      <c r="AT64" s="938"/>
      <c r="AU64" s="791">
        <f>AP64</f>
        <v>15000000</v>
      </c>
      <c r="AV64" s="937"/>
      <c r="AW64" s="6885">
        <f t="shared" si="61"/>
        <v>15000000</v>
      </c>
      <c r="AY64" s="878">
        <f>AU64</f>
        <v>15000000</v>
      </c>
      <c r="AZ64" s="847">
        <f>AW64</f>
        <v>15000000</v>
      </c>
      <c r="BA64" s="6879"/>
      <c r="BB64" s="6865">
        <f t="shared" si="60"/>
        <v>1</v>
      </c>
      <c r="BC64" s="938"/>
      <c r="BD64" s="791">
        <v>10000000</v>
      </c>
      <c r="BE64" s="8509" t="s">
        <v>780</v>
      </c>
      <c r="BF64" s="6885">
        <f t="shared" ref="BF64:BF65" si="69">BD64</f>
        <v>10000000</v>
      </c>
      <c r="BH64" s="26" t="s">
        <v>2895</v>
      </c>
    </row>
    <row r="65" spans="1:60" x14ac:dyDescent="0.35">
      <c r="A65" s="9168"/>
      <c r="B65" s="1653"/>
      <c r="C65" s="1654"/>
      <c r="D65" s="60"/>
      <c r="F65" s="163"/>
      <c r="H65" s="242"/>
      <c r="I65" s="243"/>
      <c r="J65" s="476"/>
      <c r="L65" s="242"/>
      <c r="M65" s="611"/>
      <c r="O65" s="791"/>
      <c r="P65" s="792"/>
      <c r="Q65" s="782"/>
      <c r="R65" s="782"/>
      <c r="S65" s="938"/>
      <c r="T65" s="791"/>
      <c r="U65" s="937"/>
      <c r="V65" s="1647"/>
      <c r="X65" s="791"/>
      <c r="Y65" s="781"/>
      <c r="Z65" s="782"/>
      <c r="AA65" s="782"/>
      <c r="AB65" s="938"/>
      <c r="AC65" s="791">
        <v>7500000</v>
      </c>
      <c r="AD65" s="937" t="s">
        <v>886</v>
      </c>
      <c r="AE65" s="1655">
        <f t="shared" ref="AE65:AE70" si="70">AC65</f>
        <v>7500000</v>
      </c>
      <c r="AG65" s="791">
        <v>7000000</v>
      </c>
      <c r="AH65" s="1648">
        <f t="shared" si="56"/>
        <v>7000000</v>
      </c>
      <c r="AI65" s="937"/>
      <c r="AJ65" s="782">
        <f t="shared" si="57"/>
        <v>1</v>
      </c>
      <c r="AK65" s="938"/>
      <c r="AL65" s="791">
        <v>7000000</v>
      </c>
      <c r="AM65" s="937" t="s">
        <v>886</v>
      </c>
      <c r="AN65" s="1647">
        <f t="shared" si="58"/>
        <v>7000000</v>
      </c>
      <c r="AP65" s="791">
        <v>7000000</v>
      </c>
      <c r="AQ65" s="781">
        <v>2940000</v>
      </c>
      <c r="AR65" s="6879" t="s">
        <v>886</v>
      </c>
      <c r="AS65" s="6865">
        <f t="shared" si="59"/>
        <v>0.42</v>
      </c>
      <c r="AT65" s="938"/>
      <c r="AU65" s="791">
        <f>AP65</f>
        <v>7000000</v>
      </c>
      <c r="AV65" s="937"/>
      <c r="AW65" s="6885">
        <f t="shared" si="61"/>
        <v>7000000</v>
      </c>
      <c r="AY65" s="878">
        <f>AU65</f>
        <v>7000000</v>
      </c>
      <c r="AZ65" s="847">
        <f>AW65</f>
        <v>7000000</v>
      </c>
      <c r="BA65" s="6879"/>
      <c r="BB65" s="6865">
        <f t="shared" si="60"/>
        <v>1</v>
      </c>
      <c r="BC65" s="938"/>
      <c r="BD65" s="791">
        <v>0</v>
      </c>
      <c r="BE65" s="937"/>
      <c r="BF65" s="6885">
        <f t="shared" si="69"/>
        <v>0</v>
      </c>
      <c r="BH65" s="26" t="s">
        <v>2897</v>
      </c>
    </row>
    <row r="66" spans="1:60" x14ac:dyDescent="0.35">
      <c r="A66" s="9168"/>
      <c r="B66" s="1651" t="s">
        <v>2923</v>
      </c>
      <c r="C66" s="1652" t="s">
        <v>2924</v>
      </c>
      <c r="D66" s="60"/>
      <c r="F66" s="163"/>
      <c r="H66" s="242"/>
      <c r="I66" s="243"/>
      <c r="J66" s="476"/>
      <c r="L66" s="242"/>
      <c r="M66" s="611"/>
      <c r="O66" s="791">
        <v>10000000</v>
      </c>
      <c r="P66" s="792">
        <v>0</v>
      </c>
      <c r="Q66" s="782"/>
      <c r="R66" s="782">
        <f t="shared" si="52"/>
        <v>0</v>
      </c>
      <c r="S66" s="938"/>
      <c r="T66" s="791"/>
      <c r="U66" s="937"/>
      <c r="V66" s="1647">
        <f t="shared" si="51"/>
        <v>0</v>
      </c>
      <c r="X66" s="791"/>
      <c r="Y66" s="781">
        <f t="shared" si="53"/>
        <v>0</v>
      </c>
      <c r="Z66" s="782"/>
      <c r="AA66" s="782">
        <f t="shared" ref="AA66:AA69" si="71">IF(X66=0,0,Y66/X66)</f>
        <v>0</v>
      </c>
      <c r="AB66" s="938"/>
      <c r="AC66" s="791"/>
      <c r="AD66" s="937"/>
      <c r="AE66" s="1655">
        <f t="shared" si="70"/>
        <v>0</v>
      </c>
      <c r="AG66" s="791"/>
      <c r="AH66" s="1648">
        <f t="shared" si="56"/>
        <v>0</v>
      </c>
      <c r="AI66" s="937"/>
      <c r="AJ66" s="782">
        <f t="shared" si="57"/>
        <v>0</v>
      </c>
      <c r="AK66" s="938"/>
      <c r="AL66" s="791"/>
      <c r="AM66" s="937"/>
      <c r="AN66" s="1647">
        <f t="shared" si="58"/>
        <v>0</v>
      </c>
      <c r="AP66" s="791"/>
      <c r="AQ66" s="781"/>
      <c r="AR66" s="6879"/>
      <c r="AS66" s="6865">
        <f t="shared" si="59"/>
        <v>0</v>
      </c>
      <c r="AT66" s="938"/>
      <c r="AU66" s="791"/>
      <c r="AV66" s="937"/>
      <c r="AW66" s="6885"/>
      <c r="AY66" s="818"/>
      <c r="AZ66" s="847"/>
      <c r="BA66" s="6879"/>
      <c r="BB66" s="6865">
        <f t="shared" si="60"/>
        <v>0</v>
      </c>
      <c r="BC66" s="938"/>
      <c r="BD66" s="791"/>
      <c r="BE66" s="937"/>
      <c r="BF66" s="6885"/>
      <c r="BH66" s="26" t="s">
        <v>2923</v>
      </c>
    </row>
    <row r="67" spans="1:60" x14ac:dyDescent="0.35">
      <c r="A67" s="9168"/>
      <c r="B67" s="1651" t="s">
        <v>2900</v>
      </c>
      <c r="C67" s="1652" t="s">
        <v>2901</v>
      </c>
      <c r="D67" s="60"/>
      <c r="F67" s="163"/>
      <c r="H67" s="242"/>
      <c r="I67" s="243"/>
      <c r="J67" s="476"/>
      <c r="L67" s="242"/>
      <c r="M67" s="611"/>
      <c r="O67" s="791">
        <v>5000000</v>
      </c>
      <c r="P67" s="792">
        <v>0</v>
      </c>
      <c r="Q67" s="782"/>
      <c r="R67" s="782">
        <f t="shared" si="52"/>
        <v>0</v>
      </c>
      <c r="S67" s="938"/>
      <c r="T67" s="791"/>
      <c r="U67" s="937"/>
      <c r="V67" s="1647">
        <f t="shared" si="51"/>
        <v>0</v>
      </c>
      <c r="X67" s="791"/>
      <c r="Y67" s="781">
        <f t="shared" si="53"/>
        <v>0</v>
      </c>
      <c r="Z67" s="782"/>
      <c r="AA67" s="782">
        <f t="shared" si="71"/>
        <v>0</v>
      </c>
      <c r="AB67" s="938"/>
      <c r="AC67" s="791"/>
      <c r="AD67" s="937"/>
      <c r="AE67" s="1655">
        <f t="shared" si="70"/>
        <v>0</v>
      </c>
      <c r="AG67" s="791"/>
      <c r="AH67" s="1648">
        <f t="shared" si="56"/>
        <v>0</v>
      </c>
      <c r="AI67" s="937"/>
      <c r="AJ67" s="782">
        <f t="shared" si="57"/>
        <v>0</v>
      </c>
      <c r="AK67" s="938"/>
      <c r="AL67" s="791"/>
      <c r="AM67" s="937"/>
      <c r="AN67" s="1647">
        <f t="shared" si="58"/>
        <v>0</v>
      </c>
      <c r="AP67" s="791"/>
      <c r="AQ67" s="781"/>
      <c r="AR67" s="6879"/>
      <c r="AS67" s="6865">
        <f t="shared" si="59"/>
        <v>0</v>
      </c>
      <c r="AT67" s="938"/>
      <c r="AU67" s="791"/>
      <c r="AV67" s="937"/>
      <c r="AW67" s="6885"/>
      <c r="AY67" s="818"/>
      <c r="AZ67" s="847"/>
      <c r="BA67" s="6879"/>
      <c r="BB67" s="6865">
        <f t="shared" si="60"/>
        <v>0</v>
      </c>
      <c r="BC67" s="938"/>
      <c r="BD67" s="791"/>
      <c r="BE67" s="937"/>
      <c r="BF67" s="6885"/>
      <c r="BH67" s="26" t="s">
        <v>2900</v>
      </c>
    </row>
    <row r="68" spans="1:60" x14ac:dyDescent="0.35">
      <c r="A68" s="9168"/>
      <c r="B68" s="1651" t="s">
        <v>2925</v>
      </c>
      <c r="C68" s="1652" t="s">
        <v>2926</v>
      </c>
      <c r="D68" s="60"/>
      <c r="F68" s="163"/>
      <c r="H68" s="242"/>
      <c r="I68" s="243"/>
      <c r="J68" s="476"/>
      <c r="L68" s="242"/>
      <c r="M68" s="611"/>
      <c r="O68" s="791">
        <v>20000000</v>
      </c>
      <c r="P68" s="792">
        <v>17932498.43</v>
      </c>
      <c r="Q68" s="782"/>
      <c r="R68" s="782">
        <f t="shared" si="52"/>
        <v>0.89662492149999995</v>
      </c>
      <c r="S68" s="938"/>
      <c r="T68" s="791"/>
      <c r="U68" s="937"/>
      <c r="V68" s="1647">
        <f t="shared" si="51"/>
        <v>0</v>
      </c>
      <c r="X68" s="791"/>
      <c r="Y68" s="781">
        <f t="shared" si="53"/>
        <v>0</v>
      </c>
      <c r="Z68" s="782"/>
      <c r="AA68" s="782">
        <f t="shared" si="71"/>
        <v>0</v>
      </c>
      <c r="AB68" s="938"/>
      <c r="AC68" s="791"/>
      <c r="AD68" s="937"/>
      <c r="AE68" s="1655">
        <f t="shared" si="70"/>
        <v>0</v>
      </c>
      <c r="AG68" s="791"/>
      <c r="AH68" s="1648">
        <f t="shared" si="56"/>
        <v>0</v>
      </c>
      <c r="AI68" s="937"/>
      <c r="AJ68" s="782">
        <f t="shared" si="57"/>
        <v>0</v>
      </c>
      <c r="AK68" s="938"/>
      <c r="AL68" s="791"/>
      <c r="AM68" s="937"/>
      <c r="AN68" s="1647">
        <f t="shared" si="58"/>
        <v>0</v>
      </c>
      <c r="AP68" s="791"/>
      <c r="AQ68" s="781"/>
      <c r="AR68" s="6879"/>
      <c r="AS68" s="6865">
        <f t="shared" si="59"/>
        <v>0</v>
      </c>
      <c r="AT68" s="938"/>
      <c r="AU68" s="791"/>
      <c r="AV68" s="937"/>
      <c r="AW68" s="6885"/>
      <c r="AY68" s="818"/>
      <c r="AZ68" s="847"/>
      <c r="BA68" s="6879"/>
      <c r="BB68" s="6865">
        <f t="shared" si="60"/>
        <v>0</v>
      </c>
      <c r="BC68" s="938"/>
      <c r="BD68" s="791"/>
      <c r="BE68" s="937"/>
      <c r="BF68" s="6885"/>
      <c r="BH68" s="26" t="s">
        <v>2925</v>
      </c>
    </row>
    <row r="69" spans="1:60" x14ac:dyDescent="0.35">
      <c r="A69" s="9168"/>
      <c r="B69" s="1651" t="s">
        <v>2927</v>
      </c>
      <c r="C69" s="1652" t="s">
        <v>2928</v>
      </c>
      <c r="D69" s="60"/>
      <c r="F69" s="163"/>
      <c r="H69" s="242"/>
      <c r="I69" s="243"/>
      <c r="J69" s="476"/>
      <c r="L69" s="242"/>
      <c r="M69" s="611"/>
      <c r="O69" s="791">
        <v>7999999.6767178178</v>
      </c>
      <c r="P69" s="792">
        <v>0</v>
      </c>
      <c r="Q69" s="782"/>
      <c r="R69" s="782">
        <f t="shared" si="52"/>
        <v>0</v>
      </c>
      <c r="S69" s="938"/>
      <c r="T69" s="791"/>
      <c r="U69" s="937"/>
      <c r="V69" s="1647">
        <f t="shared" si="51"/>
        <v>0</v>
      </c>
      <c r="X69" s="791"/>
      <c r="Y69" s="781">
        <f t="shared" si="53"/>
        <v>0</v>
      </c>
      <c r="Z69" s="782"/>
      <c r="AA69" s="782">
        <f t="shared" si="71"/>
        <v>0</v>
      </c>
      <c r="AB69" s="938"/>
      <c r="AC69" s="791"/>
      <c r="AD69" s="937"/>
      <c r="AE69" s="1655">
        <f t="shared" si="70"/>
        <v>0</v>
      </c>
      <c r="AG69" s="791"/>
      <c r="AH69" s="1648">
        <f t="shared" si="56"/>
        <v>0</v>
      </c>
      <c r="AI69" s="937"/>
      <c r="AJ69" s="782">
        <f t="shared" si="57"/>
        <v>0</v>
      </c>
      <c r="AK69" s="938"/>
      <c r="AL69" s="791"/>
      <c r="AM69" s="937"/>
      <c r="AN69" s="1647">
        <f t="shared" si="58"/>
        <v>0</v>
      </c>
      <c r="AP69" s="791"/>
      <c r="AQ69" s="781"/>
      <c r="AR69" s="6879"/>
      <c r="AS69" s="6865">
        <f t="shared" si="59"/>
        <v>0</v>
      </c>
      <c r="AT69" s="938"/>
      <c r="AU69" s="791"/>
      <c r="AV69" s="937"/>
      <c r="AW69" s="6885"/>
      <c r="AY69" s="818"/>
      <c r="AZ69" s="847"/>
      <c r="BA69" s="6879"/>
      <c r="BB69" s="6865">
        <f t="shared" si="60"/>
        <v>0</v>
      </c>
      <c r="BC69" s="938"/>
      <c r="BD69" s="791"/>
      <c r="BE69" s="937"/>
      <c r="BF69" s="6885"/>
      <c r="BH69" s="26" t="s">
        <v>2927</v>
      </c>
    </row>
    <row r="70" spans="1:60" x14ac:dyDescent="0.35">
      <c r="A70" s="9168"/>
      <c r="B70" s="1651"/>
      <c r="C70" s="1652"/>
      <c r="D70" s="60"/>
      <c r="F70" s="163"/>
      <c r="H70" s="242"/>
      <c r="I70" s="243"/>
      <c r="J70" s="476"/>
      <c r="L70" s="242"/>
      <c r="M70" s="611"/>
      <c r="O70" s="791"/>
      <c r="P70" s="792"/>
      <c r="Q70" s="782"/>
      <c r="R70" s="782"/>
      <c r="S70" s="938"/>
      <c r="T70" s="791"/>
      <c r="U70" s="937"/>
      <c r="V70" s="1647"/>
      <c r="X70" s="791"/>
      <c r="Y70" s="1656"/>
      <c r="Z70" s="782"/>
      <c r="AA70" s="782"/>
      <c r="AB70" s="938"/>
      <c r="AC70" s="791">
        <v>5000000</v>
      </c>
      <c r="AD70" s="937" t="s">
        <v>2916</v>
      </c>
      <c r="AE70" s="1655">
        <f t="shared" si="70"/>
        <v>5000000</v>
      </c>
      <c r="AG70" s="791">
        <v>5000000</v>
      </c>
      <c r="AH70" s="1648">
        <f t="shared" si="56"/>
        <v>5000000</v>
      </c>
      <c r="AI70" s="937"/>
      <c r="AJ70" s="782">
        <f t="shared" si="57"/>
        <v>1</v>
      </c>
      <c r="AK70" s="938"/>
      <c r="AL70" s="791">
        <v>10000000</v>
      </c>
      <c r="AM70" s="937" t="s">
        <v>1849</v>
      </c>
      <c r="AN70" s="1647">
        <f t="shared" si="58"/>
        <v>10000000</v>
      </c>
      <c r="AP70" s="791">
        <v>10000000</v>
      </c>
      <c r="AQ70" s="781">
        <v>10000000</v>
      </c>
      <c r="AR70" s="6879" t="s">
        <v>1849</v>
      </c>
      <c r="AS70" s="6865">
        <f t="shared" si="59"/>
        <v>1</v>
      </c>
      <c r="AT70" s="938"/>
      <c r="AU70" s="791">
        <f>AP70</f>
        <v>10000000</v>
      </c>
      <c r="AV70" s="937"/>
      <c r="AW70" s="6885">
        <f t="shared" si="61"/>
        <v>10000000</v>
      </c>
      <c r="AY70" s="878">
        <f>AU70</f>
        <v>10000000</v>
      </c>
      <c r="AZ70" s="847">
        <f>AW70</f>
        <v>10000000</v>
      </c>
      <c r="BA70" s="6879"/>
      <c r="BB70" s="6865">
        <f t="shared" si="60"/>
        <v>1</v>
      </c>
      <c r="BC70" s="938"/>
      <c r="BD70" s="791">
        <v>0</v>
      </c>
      <c r="BE70" s="937"/>
      <c r="BF70" s="6885">
        <f t="shared" ref="BF70" si="72">BD70</f>
        <v>0</v>
      </c>
      <c r="BH70" s="26" t="s">
        <v>2915</v>
      </c>
    </row>
    <row r="71" spans="1:60" x14ac:dyDescent="0.35">
      <c r="A71" s="9168"/>
      <c r="B71" s="1654"/>
      <c r="C71" s="1654"/>
      <c r="D71" s="60"/>
      <c r="E71" s="141"/>
      <c r="F71" s="163"/>
      <c r="H71" s="242"/>
      <c r="I71" s="243"/>
      <c r="J71" s="476"/>
      <c r="L71" s="242"/>
      <c r="M71" s="611"/>
      <c r="O71" s="791"/>
      <c r="P71" s="792"/>
      <c r="Q71" s="782"/>
      <c r="R71" s="782"/>
      <c r="S71" s="938"/>
      <c r="T71" s="791"/>
      <c r="U71" s="937"/>
      <c r="V71" s="1647"/>
      <c r="X71" s="791"/>
      <c r="Y71" s="792"/>
      <c r="Z71" s="782"/>
      <c r="AA71" s="782"/>
      <c r="AB71" s="938"/>
      <c r="AC71" s="791"/>
      <c r="AD71" s="937"/>
      <c r="AE71" s="1647"/>
      <c r="AG71" s="791"/>
      <c r="AH71" s="1648">
        <f t="shared" si="56"/>
        <v>0</v>
      </c>
      <c r="AI71" s="937"/>
      <c r="AJ71" s="782">
        <f t="shared" si="57"/>
        <v>0</v>
      </c>
      <c r="AK71" s="938"/>
      <c r="AL71" s="791"/>
      <c r="AM71" s="937"/>
      <c r="AN71" s="1647"/>
      <c r="AP71" s="791"/>
      <c r="AQ71" s="1648"/>
      <c r="AR71" s="6879"/>
      <c r="AS71" s="6865">
        <f t="shared" si="59"/>
        <v>0</v>
      </c>
      <c r="AT71" s="938"/>
      <c r="AU71" s="791"/>
      <c r="AV71" s="937"/>
      <c r="AW71" s="6884"/>
      <c r="AY71" s="818"/>
      <c r="AZ71" s="6511"/>
      <c r="BA71" s="6879"/>
      <c r="BB71" s="6865">
        <f t="shared" si="60"/>
        <v>0</v>
      </c>
      <c r="BC71" s="938"/>
      <c r="BD71" s="791"/>
      <c r="BE71" s="937"/>
      <c r="BF71" s="6884"/>
      <c r="BH71" s="26"/>
    </row>
    <row r="72" spans="1:60" s="462" customFormat="1" x14ac:dyDescent="0.35">
      <c r="A72" s="9168"/>
      <c r="B72" s="1654"/>
      <c r="C72" s="1654" t="s">
        <v>964</v>
      </c>
      <c r="D72" s="87"/>
      <c r="E72" s="456"/>
      <c r="F72" s="130"/>
      <c r="G72" s="1"/>
      <c r="H72" s="131"/>
      <c r="I72" s="132"/>
      <c r="J72" s="484">
        <f t="shared" si="64"/>
        <v>0</v>
      </c>
      <c r="K72" s="1"/>
      <c r="L72" s="242"/>
      <c r="M72" s="611">
        <f t="shared" si="50"/>
        <v>0</v>
      </c>
      <c r="N72" s="1"/>
      <c r="O72" s="796"/>
      <c r="P72" s="797"/>
      <c r="Q72" s="798"/>
      <c r="R72" s="798">
        <f t="shared" ref="R72" si="73">IF(O72=0,0,P72/O72)</f>
        <v>0</v>
      </c>
      <c r="S72" s="938"/>
      <c r="T72" s="796"/>
      <c r="U72" s="1575"/>
      <c r="V72" s="1657"/>
      <c r="W72" s="1"/>
      <c r="X72" s="796"/>
      <c r="Y72" s="797"/>
      <c r="Z72" s="798"/>
      <c r="AA72" s="798">
        <f t="shared" ref="AA72" si="74">IF(X72=0,0,Y72/X72)</f>
        <v>0</v>
      </c>
      <c r="AB72" s="938"/>
      <c r="AC72" s="796"/>
      <c r="AD72" s="1575"/>
      <c r="AE72" s="1657"/>
      <c r="AF72" s="1"/>
      <c r="AG72" s="796"/>
      <c r="AH72" s="1658">
        <f t="shared" si="56"/>
        <v>0</v>
      </c>
      <c r="AI72" s="1575"/>
      <c r="AJ72" s="798">
        <f t="shared" si="57"/>
        <v>0</v>
      </c>
      <c r="AK72" s="938"/>
      <c r="AL72" s="796"/>
      <c r="AM72" s="1575"/>
      <c r="AN72" s="1657"/>
      <c r="AO72" s="1"/>
      <c r="AP72" s="796"/>
      <c r="AQ72" s="1658"/>
      <c r="AR72" s="6874"/>
      <c r="AS72" s="6875">
        <f t="shared" si="59"/>
        <v>0</v>
      </c>
      <c r="AT72" s="938"/>
      <c r="AU72" s="796"/>
      <c r="AV72" s="1575"/>
      <c r="AW72" s="6886"/>
      <c r="AX72" s="1"/>
      <c r="AY72" s="796"/>
      <c r="AZ72" s="8510"/>
      <c r="BA72" s="6874"/>
      <c r="BB72" s="6875">
        <f t="shared" si="60"/>
        <v>0</v>
      </c>
      <c r="BC72" s="938"/>
      <c r="BD72" s="796"/>
      <c r="BE72" s="1575"/>
      <c r="BF72" s="6886"/>
      <c r="BG72" s="1"/>
      <c r="BH72" s="26"/>
    </row>
    <row r="73" spans="1:60" s="462" customFormat="1" x14ac:dyDescent="0.35">
      <c r="A73" s="9168"/>
      <c r="B73" s="271" t="s">
        <v>965</v>
      </c>
      <c r="C73" s="271"/>
      <c r="D73" s="140"/>
      <c r="E73" s="456"/>
      <c r="F73" s="227"/>
      <c r="G73" s="143"/>
      <c r="H73" s="245"/>
      <c r="I73" s="106"/>
      <c r="J73" s="518"/>
      <c r="K73" s="141"/>
      <c r="L73" s="102"/>
      <c r="M73" s="1659"/>
      <c r="N73" s="141"/>
      <c r="O73" s="1660" t="s">
        <v>2929</v>
      </c>
      <c r="P73" s="847"/>
      <c r="Q73" s="909"/>
      <c r="R73" s="909"/>
      <c r="S73" s="892"/>
      <c r="T73" s="773"/>
      <c r="U73" s="1643"/>
      <c r="V73" s="1644"/>
      <c r="W73" s="141"/>
      <c r="X73" s="1660"/>
      <c r="Y73" s="847"/>
      <c r="Z73" s="909"/>
      <c r="AA73" s="909"/>
      <c r="AB73" s="892"/>
      <c r="AC73" s="773"/>
      <c r="AD73" s="1643"/>
      <c r="AE73" s="1644"/>
      <c r="AF73" s="141"/>
      <c r="AG73" s="1660"/>
      <c r="AH73" s="847"/>
      <c r="AI73" s="1661"/>
      <c r="AJ73" s="909"/>
      <c r="AK73" s="892"/>
      <c r="AL73" s="773"/>
      <c r="AM73" s="1643"/>
      <c r="AN73" s="1644"/>
      <c r="AO73" s="141"/>
      <c r="AP73" s="6887" t="s">
        <v>2930</v>
      </c>
      <c r="AQ73" s="6546" t="s">
        <v>2931</v>
      </c>
      <c r="AR73" s="1661"/>
      <c r="AS73" s="909"/>
      <c r="AT73" s="892"/>
      <c r="AU73" s="773"/>
      <c r="AV73" s="1643"/>
      <c r="AW73" s="1644" t="s">
        <v>2931</v>
      </c>
      <c r="AX73" s="141"/>
      <c r="AY73" s="6887"/>
      <c r="AZ73" s="6546" t="s">
        <v>2931</v>
      </c>
      <c r="BA73" s="1661"/>
      <c r="BB73" s="909"/>
      <c r="BC73" s="892"/>
      <c r="BD73" s="773"/>
      <c r="BE73" s="1643"/>
      <c r="BF73" s="1644" t="s">
        <v>2931</v>
      </c>
      <c r="BG73" s="141"/>
      <c r="BH73" s="18"/>
    </row>
    <row r="74" spans="1:60" s="462" customFormat="1" ht="12" x14ac:dyDescent="0.3">
      <c r="A74" s="9168"/>
      <c r="B74" s="1620"/>
      <c r="C74" s="1620" t="s">
        <v>1286</v>
      </c>
      <c r="D74" s="60"/>
      <c r="E74" s="456"/>
      <c r="F74" s="779"/>
      <c r="G74" s="456"/>
      <c r="H74" s="780">
        <v>5985564026</v>
      </c>
      <c r="I74" s="781"/>
      <c r="J74" s="476">
        <f t="shared" ref="J74:J81" si="75">IF(H74=0,0,I74/H74)</f>
        <v>0</v>
      </c>
      <c r="K74" s="456"/>
      <c r="L74" s="780">
        <v>7188271713</v>
      </c>
      <c r="M74" s="1622">
        <f>(6715352183.25)*12/11</f>
        <v>7325838745.363636</v>
      </c>
      <c r="N74" s="456"/>
      <c r="O74" s="780">
        <v>9680058193.4599991</v>
      </c>
      <c r="P74" s="781">
        <v>6915063614.6199999</v>
      </c>
      <c r="Q74" s="782" t="s">
        <v>2870</v>
      </c>
      <c r="R74" s="782">
        <f t="shared" ref="R74:R78" si="76">IF(O74=0,0,P74/O74)</f>
        <v>0.71436178134672024</v>
      </c>
      <c r="S74" s="938"/>
      <c r="T74" s="780">
        <v>8093492364</v>
      </c>
      <c r="U74" s="937"/>
      <c r="V74" s="1647">
        <f t="shared" ref="V74:V75" si="77">T74*R74</f>
        <v>5781681622.4631176</v>
      </c>
      <c r="W74" s="456"/>
      <c r="X74" s="780">
        <v>8093492364</v>
      </c>
      <c r="Y74" s="781">
        <v>8099217098.8299999</v>
      </c>
      <c r="Z74" s="782"/>
      <c r="AA74" s="782">
        <f t="shared" ref="AA74:AA78" si="78">IF(X74=0,0,Y74/X74)</f>
        <v>1.0007073256602383</v>
      </c>
      <c r="AB74" s="938"/>
      <c r="AC74" s="780">
        <v>8313492364</v>
      </c>
      <c r="AD74" s="937" t="s">
        <v>2871</v>
      </c>
      <c r="AE74" s="1647"/>
      <c r="AF74" s="456"/>
      <c r="AG74" s="780">
        <v>8747235086</v>
      </c>
      <c r="AH74" s="781">
        <v>8396212059.5018196</v>
      </c>
      <c r="AI74" s="937"/>
      <c r="AJ74" s="782">
        <f t="shared" ref="AJ74:AJ78" si="79">IF(AG74=0,0,AH74/AG74)</f>
        <v>0.95987040212741115</v>
      </c>
      <c r="AK74" s="938"/>
      <c r="AL74" s="780">
        <v>10145597962</v>
      </c>
      <c r="AM74" s="937" t="s">
        <v>780</v>
      </c>
      <c r="AN74" s="1647"/>
      <c r="AO74" s="456"/>
      <c r="AP74" s="780">
        <v>10145597962</v>
      </c>
      <c r="AQ74" s="8511">
        <v>10318023070</v>
      </c>
      <c r="AR74" s="6879" t="s">
        <v>2932</v>
      </c>
      <c r="AS74" s="6865">
        <f t="shared" ref="AS74:AS78" si="80">IF(AP74=0,0,AQ74/AP74)</f>
        <v>1.0169950661011615</v>
      </c>
      <c r="AT74" s="938"/>
      <c r="AU74" s="780">
        <v>10345597961</v>
      </c>
      <c r="AV74" s="937" t="s">
        <v>2933</v>
      </c>
      <c r="AW74" s="8511">
        <v>10341053237</v>
      </c>
      <c r="AX74" s="456"/>
      <c r="AY74" s="780">
        <v>10345597961</v>
      </c>
      <c r="AZ74" s="8511">
        <v>10341053237</v>
      </c>
      <c r="BA74" s="6879" t="s">
        <v>2933</v>
      </c>
      <c r="BB74" s="6865">
        <f t="shared" ref="BB74:BB78" si="81">IF(AY74=0,0,AZ74/AY74)</f>
        <v>0.99956070939377961</v>
      </c>
      <c r="BC74" s="938"/>
      <c r="BD74" s="780">
        <v>11935706742</v>
      </c>
      <c r="BE74" s="8512" t="s">
        <v>2934</v>
      </c>
      <c r="BF74" s="8513">
        <f>6700490000*12/7</f>
        <v>11486554285.714285</v>
      </c>
      <c r="BG74" s="456"/>
      <c r="BH74" s="893"/>
    </row>
    <row r="75" spans="1:60" s="462" customFormat="1" ht="12" x14ac:dyDescent="0.3">
      <c r="A75" s="9168"/>
      <c r="B75" s="1620"/>
      <c r="C75" s="1621" t="s">
        <v>2935</v>
      </c>
      <c r="D75" s="60"/>
      <c r="E75" s="456"/>
      <c r="F75" s="788"/>
      <c r="G75" s="456"/>
      <c r="H75" s="785">
        <f>1016588359*650812033/1040755939</f>
        <v>635699410.2581085</v>
      </c>
      <c r="I75" s="786"/>
      <c r="J75" s="476">
        <f t="shared" si="75"/>
        <v>0</v>
      </c>
      <c r="K75" s="456"/>
      <c r="L75" s="785">
        <v>650812033</v>
      </c>
      <c r="M75" s="1622">
        <f>(777929135.39)*12/11</f>
        <v>848649965.88</v>
      </c>
      <c r="N75" s="456"/>
      <c r="O75" s="785">
        <v>785604378.68999994</v>
      </c>
      <c r="P75" s="786">
        <v>726118882.5</v>
      </c>
      <c r="Q75" s="782" t="s">
        <v>2882</v>
      </c>
      <c r="R75" s="782">
        <f t="shared" si="76"/>
        <v>0.92428059491064396</v>
      </c>
      <c r="S75" s="938"/>
      <c r="T75" s="785">
        <v>874106596</v>
      </c>
      <c r="U75" s="937"/>
      <c r="V75" s="1647">
        <f t="shared" si="77"/>
        <v>807919764.56619787</v>
      </c>
      <c r="W75" s="456"/>
      <c r="X75" s="785">
        <v>874106596</v>
      </c>
      <c r="Y75" s="786">
        <v>870380079.70000005</v>
      </c>
      <c r="Z75" s="782"/>
      <c r="AA75" s="782">
        <f t="shared" si="78"/>
        <v>0.99573677133080463</v>
      </c>
      <c r="AB75" s="938"/>
      <c r="AC75" s="785">
        <v>921317343</v>
      </c>
      <c r="AD75" s="937" t="s">
        <v>784</v>
      </c>
      <c r="AE75" s="1647"/>
      <c r="AF75" s="456"/>
      <c r="AG75" s="785">
        <v>957817343</v>
      </c>
      <c r="AH75" s="786">
        <v>895414533.77454603</v>
      </c>
      <c r="AI75" s="937"/>
      <c r="AJ75" s="782">
        <f t="shared" si="79"/>
        <v>0.93484894621974501</v>
      </c>
      <c r="AK75" s="938"/>
      <c r="AL75" s="785">
        <v>1062817843</v>
      </c>
      <c r="AM75" s="937" t="s">
        <v>2871</v>
      </c>
      <c r="AN75" s="1647"/>
      <c r="AO75" s="456"/>
      <c r="AP75" s="785">
        <v>1062817843</v>
      </c>
      <c r="AQ75" s="786">
        <v>1062814140.88</v>
      </c>
      <c r="AR75" s="6879" t="s">
        <v>2936</v>
      </c>
      <c r="AS75" s="6865">
        <f t="shared" si="80"/>
        <v>0.99999651669378309</v>
      </c>
      <c r="AT75" s="938"/>
      <c r="AU75" s="780">
        <f>AP75</f>
        <v>1062817843</v>
      </c>
      <c r="AV75" s="937"/>
      <c r="AW75" s="6885">
        <f>AQ75</f>
        <v>1062814140.88</v>
      </c>
      <c r="AX75" s="456"/>
      <c r="AY75" s="878">
        <f>AU75</f>
        <v>1062817843</v>
      </c>
      <c r="AZ75" s="847">
        <f>AW75</f>
        <v>1062814140.88</v>
      </c>
      <c r="BA75" s="6879"/>
      <c r="BB75" s="6865">
        <f t="shared" si="81"/>
        <v>0.99999651669378309</v>
      </c>
      <c r="BC75" s="938"/>
      <c r="BD75" s="780">
        <v>1099817343</v>
      </c>
      <c r="BE75" s="8512" t="s">
        <v>2847</v>
      </c>
      <c r="BF75" s="8514">
        <f>610140000*12/7</f>
        <v>1045954285.7142857</v>
      </c>
      <c r="BG75" s="456"/>
      <c r="BH75" s="893"/>
    </row>
    <row r="76" spans="1:60" s="462" customFormat="1" ht="12" x14ac:dyDescent="0.3">
      <c r="A76" s="9168"/>
      <c r="B76" s="1620"/>
      <c r="C76" s="1620" t="s">
        <v>943</v>
      </c>
      <c r="D76" s="60"/>
      <c r="E76" s="456"/>
      <c r="F76" s="790"/>
      <c r="G76" s="456"/>
      <c r="H76" s="791"/>
      <c r="I76" s="792"/>
      <c r="J76" s="476">
        <f t="shared" si="75"/>
        <v>0</v>
      </c>
      <c r="K76" s="456"/>
      <c r="L76" s="791"/>
      <c r="M76" s="1622">
        <f t="shared" ref="M76:M81" si="82">L76*J76</f>
        <v>0</v>
      </c>
      <c r="N76" s="456"/>
      <c r="O76" s="791"/>
      <c r="P76" s="792"/>
      <c r="Q76" s="782"/>
      <c r="R76" s="782">
        <f t="shared" si="76"/>
        <v>0</v>
      </c>
      <c r="S76" s="938"/>
      <c r="T76" s="791"/>
      <c r="U76" s="937"/>
      <c r="V76" s="1647"/>
      <c r="W76" s="456"/>
      <c r="X76" s="791"/>
      <c r="Y76" s="792"/>
      <c r="Z76" s="782"/>
      <c r="AA76" s="782">
        <f t="shared" si="78"/>
        <v>0</v>
      </c>
      <c r="AB76" s="938"/>
      <c r="AC76" s="791"/>
      <c r="AD76" s="937"/>
      <c r="AE76" s="1647"/>
      <c r="AF76" s="456"/>
      <c r="AG76" s="791"/>
      <c r="AH76" s="792"/>
      <c r="AI76" s="937"/>
      <c r="AJ76" s="782">
        <f t="shared" si="79"/>
        <v>0</v>
      </c>
      <c r="AK76" s="938"/>
      <c r="AL76" s="791"/>
      <c r="AM76" s="937"/>
      <c r="AN76" s="1647"/>
      <c r="AO76" s="456"/>
      <c r="AP76" s="791">
        <f>SUM(AP52:AP62)*AP74/AP39</f>
        <v>269745303.14812052</v>
      </c>
      <c r="AQ76" s="792">
        <f>SUM(AQ52:AQ62)*AQ74/AQ39</f>
        <v>276577768.1497274</v>
      </c>
      <c r="AR76" s="6879"/>
      <c r="AS76" s="6865">
        <f t="shared" si="80"/>
        <v>1.0253293196280608</v>
      </c>
      <c r="AT76" s="938"/>
      <c r="AU76" s="791">
        <f>SUM(AU52:AU62)*AU74/AU39</f>
        <v>270644789.3990562</v>
      </c>
      <c r="AV76" s="937"/>
      <c r="AW76" s="6885">
        <f>AQ76</f>
        <v>276577768.1497274</v>
      </c>
      <c r="AX76" s="456"/>
      <c r="AY76" s="818">
        <f>SUM(AY52:AY62)*AY74/AY39</f>
        <v>270644789.3990562</v>
      </c>
      <c r="AZ76" s="847">
        <f>AW76</f>
        <v>276577768.1497274</v>
      </c>
      <c r="BA76" s="6879"/>
      <c r="BB76" s="6865">
        <f t="shared" si="81"/>
        <v>1.0219216440997991</v>
      </c>
      <c r="BC76" s="938"/>
      <c r="BD76" s="791">
        <v>17265627</v>
      </c>
      <c r="BE76" s="8512" t="s">
        <v>2847</v>
      </c>
      <c r="BF76" s="8514">
        <f>10870000*12/7</f>
        <v>18634285.714285713</v>
      </c>
      <c r="BG76" s="456"/>
      <c r="BH76" s="893"/>
    </row>
    <row r="77" spans="1:60" s="462" customFormat="1" ht="12" x14ac:dyDescent="0.3">
      <c r="A77" s="9168"/>
      <c r="B77" s="1620"/>
      <c r="C77" s="1620" t="s">
        <v>977</v>
      </c>
      <c r="D77" s="60"/>
      <c r="E77" s="456"/>
      <c r="F77" s="790"/>
      <c r="G77" s="456"/>
      <c r="H77" s="791"/>
      <c r="I77" s="792"/>
      <c r="J77" s="476">
        <f t="shared" si="75"/>
        <v>0</v>
      </c>
      <c r="K77" s="456"/>
      <c r="L77" s="791"/>
      <c r="M77" s="1622">
        <f t="shared" si="82"/>
        <v>0</v>
      </c>
      <c r="N77" s="456"/>
      <c r="O77" s="791"/>
      <c r="P77" s="792"/>
      <c r="Q77" s="782"/>
      <c r="R77" s="782">
        <f t="shared" si="76"/>
        <v>0</v>
      </c>
      <c r="S77" s="938"/>
      <c r="T77" s="791"/>
      <c r="U77" s="937"/>
      <c r="V77" s="1647"/>
      <c r="W77" s="456"/>
      <c r="X77" s="791"/>
      <c r="Y77" s="792"/>
      <c r="Z77" s="782"/>
      <c r="AA77" s="782">
        <f t="shared" si="78"/>
        <v>0</v>
      </c>
      <c r="AB77" s="938"/>
      <c r="AC77" s="791"/>
      <c r="AD77" s="937"/>
      <c r="AE77" s="1647"/>
      <c r="AF77" s="456"/>
      <c r="AG77" s="791"/>
      <c r="AH77" s="792"/>
      <c r="AI77" s="937"/>
      <c r="AJ77" s="782">
        <f t="shared" si="79"/>
        <v>0</v>
      </c>
      <c r="AK77" s="938"/>
      <c r="AL77" s="791"/>
      <c r="AM77" s="937"/>
      <c r="AN77" s="1647"/>
      <c r="AO77" s="456"/>
      <c r="AP77" s="791"/>
      <c r="AQ77" s="792"/>
      <c r="AR77" s="6879"/>
      <c r="AS77" s="6865">
        <f t="shared" si="80"/>
        <v>0</v>
      </c>
      <c r="AT77" s="938"/>
      <c r="AU77" s="791"/>
      <c r="AV77" s="937"/>
      <c r="AW77" s="1647"/>
      <c r="AX77" s="456"/>
      <c r="AY77" s="818"/>
      <c r="AZ77" s="847"/>
      <c r="BA77" s="6879"/>
      <c r="BB77" s="6865">
        <f t="shared" si="81"/>
        <v>0</v>
      </c>
      <c r="BC77" s="938"/>
      <c r="BD77" s="791"/>
      <c r="BE77" s="937"/>
      <c r="BF77" s="8515"/>
      <c r="BG77" s="456"/>
      <c r="BH77" s="893"/>
    </row>
    <row r="78" spans="1:60" s="462" customFormat="1" ht="12" x14ac:dyDescent="0.3">
      <c r="A78" s="9168"/>
      <c r="B78" s="1620"/>
      <c r="C78" s="1620" t="s">
        <v>962</v>
      </c>
      <c r="D78" s="60"/>
      <c r="E78" s="456"/>
      <c r="F78" s="790"/>
      <c r="G78" s="456"/>
      <c r="H78" s="791"/>
      <c r="I78" s="792"/>
      <c r="J78" s="476">
        <f t="shared" si="75"/>
        <v>0</v>
      </c>
      <c r="K78" s="456"/>
      <c r="L78" s="791"/>
      <c r="M78" s="1622">
        <f t="shared" si="82"/>
        <v>0</v>
      </c>
      <c r="N78" s="456"/>
      <c r="O78" s="791"/>
      <c r="P78" s="792"/>
      <c r="Q78" s="782"/>
      <c r="R78" s="782">
        <f t="shared" si="76"/>
        <v>0</v>
      </c>
      <c r="S78" s="938"/>
      <c r="T78" s="791"/>
      <c r="U78" s="937"/>
      <c r="V78" s="1647"/>
      <c r="W78" s="456"/>
      <c r="X78" s="791"/>
      <c r="Y78" s="792"/>
      <c r="Z78" s="782"/>
      <c r="AA78" s="782">
        <f t="shared" si="78"/>
        <v>0</v>
      </c>
      <c r="AB78" s="938"/>
      <c r="AC78" s="791"/>
      <c r="AD78" s="937"/>
      <c r="AE78" s="1647"/>
      <c r="AF78" s="456"/>
      <c r="AG78" s="791"/>
      <c r="AH78" s="792"/>
      <c r="AI78" s="937"/>
      <c r="AJ78" s="782">
        <f t="shared" si="79"/>
        <v>0</v>
      </c>
      <c r="AK78" s="938"/>
      <c r="AL78" s="791"/>
      <c r="AM78" s="937"/>
      <c r="AN78" s="1647"/>
      <c r="AO78" s="456"/>
      <c r="AP78" s="791"/>
      <c r="AQ78" s="792"/>
      <c r="AR78" s="6879"/>
      <c r="AS78" s="6865">
        <f t="shared" si="80"/>
        <v>0</v>
      </c>
      <c r="AT78" s="938"/>
      <c r="AU78" s="791"/>
      <c r="AV78" s="937"/>
      <c r="AW78" s="1647"/>
      <c r="AX78" s="456"/>
      <c r="AY78" s="818"/>
      <c r="AZ78" s="847"/>
      <c r="BA78" s="6879"/>
      <c r="BB78" s="6865">
        <f t="shared" si="81"/>
        <v>0</v>
      </c>
      <c r="BC78" s="938"/>
      <c r="BD78" s="791"/>
      <c r="BE78" s="937"/>
      <c r="BF78" s="8515"/>
      <c r="BG78" s="456"/>
      <c r="BH78" s="893"/>
    </row>
    <row r="79" spans="1:60" x14ac:dyDescent="0.35">
      <c r="A79" s="9168"/>
      <c r="B79" s="1620"/>
      <c r="C79" s="1620" t="s">
        <v>963</v>
      </c>
      <c r="D79" s="60"/>
      <c r="F79" s="790"/>
      <c r="G79" s="456"/>
      <c r="H79" s="791"/>
      <c r="I79" s="792"/>
      <c r="J79" s="476"/>
      <c r="K79" s="456"/>
      <c r="L79" s="791"/>
      <c r="M79" s="1622"/>
      <c r="N79" s="456"/>
      <c r="O79" s="791"/>
      <c r="P79" s="792"/>
      <c r="Q79" s="782"/>
      <c r="R79" s="782"/>
      <c r="S79" s="938"/>
      <c r="T79" s="791"/>
      <c r="U79" s="937"/>
      <c r="V79" s="1647"/>
      <c r="W79" s="456"/>
      <c r="X79" s="791"/>
      <c r="Y79" s="792"/>
      <c r="Z79" s="782"/>
      <c r="AA79" s="782"/>
      <c r="AB79" s="938"/>
      <c r="AC79" s="791"/>
      <c r="AD79" s="937"/>
      <c r="AE79" s="1647"/>
      <c r="AF79" s="456"/>
      <c r="AG79" s="791"/>
      <c r="AH79" s="792"/>
      <c r="AI79" s="937"/>
      <c r="AJ79" s="782"/>
      <c r="AK79" s="938"/>
      <c r="AL79" s="791"/>
      <c r="AM79" s="937"/>
      <c r="AN79" s="1647"/>
      <c r="AO79" s="456"/>
      <c r="AP79" s="791"/>
      <c r="AQ79" s="792"/>
      <c r="AR79" s="6879"/>
      <c r="AS79" s="6865"/>
      <c r="AT79" s="938"/>
      <c r="AU79" s="791"/>
      <c r="AV79" s="937"/>
      <c r="AW79" s="1647"/>
      <c r="AX79" s="456"/>
      <c r="AY79" s="818"/>
      <c r="AZ79" s="847"/>
      <c r="BA79" s="6879"/>
      <c r="BB79" s="6865"/>
      <c r="BC79" s="938"/>
      <c r="BD79" s="791"/>
      <c r="BE79" s="937"/>
      <c r="BF79" s="8515"/>
      <c r="BG79" s="456"/>
      <c r="BH79" s="893"/>
    </row>
    <row r="80" spans="1:60" x14ac:dyDescent="0.35">
      <c r="A80" s="9168"/>
      <c r="B80" s="1620"/>
      <c r="C80" s="1620" t="s">
        <v>964</v>
      </c>
      <c r="D80" s="60"/>
      <c r="E80" s="143"/>
      <c r="F80" s="790"/>
      <c r="G80" s="456"/>
      <c r="H80" s="791"/>
      <c r="I80" s="792"/>
      <c r="J80" s="476">
        <f t="shared" si="75"/>
        <v>0</v>
      </c>
      <c r="K80" s="456"/>
      <c r="L80" s="791"/>
      <c r="M80" s="1622">
        <f t="shared" si="82"/>
        <v>0</v>
      </c>
      <c r="N80" s="456"/>
      <c r="O80" s="791"/>
      <c r="P80" s="792"/>
      <c r="Q80" s="782"/>
      <c r="R80" s="782">
        <f t="shared" ref="R80:R81" si="83">IF(O80=0,0,P80/O80)</f>
        <v>0</v>
      </c>
      <c r="S80" s="938"/>
      <c r="T80" s="791"/>
      <c r="U80" s="937"/>
      <c r="V80" s="1647"/>
      <c r="W80" s="456"/>
      <c r="X80" s="791"/>
      <c r="Y80" s="792"/>
      <c r="Z80" s="782"/>
      <c r="AA80" s="782">
        <f t="shared" ref="AA80:AA81" si="84">IF(X80=0,0,Y80/X80)</f>
        <v>0</v>
      </c>
      <c r="AB80" s="938"/>
      <c r="AC80" s="791"/>
      <c r="AD80" s="937"/>
      <c r="AE80" s="1647"/>
      <c r="AF80" s="456"/>
      <c r="AG80" s="791"/>
      <c r="AH80" s="792"/>
      <c r="AI80" s="937"/>
      <c r="AJ80" s="782">
        <f t="shared" ref="AJ80:AJ81" si="85">IF(AG80=0,0,AH80/AG80)</f>
        <v>0</v>
      </c>
      <c r="AK80" s="938"/>
      <c r="AL80" s="791"/>
      <c r="AM80" s="937"/>
      <c r="AN80" s="1647"/>
      <c r="AO80" s="456"/>
      <c r="AP80" s="791"/>
      <c r="AQ80" s="792"/>
      <c r="AR80" s="6879"/>
      <c r="AS80" s="6865">
        <f t="shared" ref="AS80:AS81" si="86">IF(AP80=0,0,AQ80/AP80)</f>
        <v>0</v>
      </c>
      <c r="AT80" s="938"/>
      <c r="AU80" s="791"/>
      <c r="AV80" s="937"/>
      <c r="AW80" s="1647"/>
      <c r="AX80" s="456"/>
      <c r="AY80" s="818"/>
      <c r="AZ80" s="847"/>
      <c r="BA80" s="6879"/>
      <c r="BB80" s="6865">
        <f t="shared" ref="BB80:BB81" si="87">IF(AY80=0,0,AZ80/AY80)</f>
        <v>0</v>
      </c>
      <c r="BC80" s="938"/>
      <c r="BD80" s="791"/>
      <c r="BE80" s="937"/>
      <c r="BF80" s="8515"/>
      <c r="BG80" s="456"/>
      <c r="BH80" s="893"/>
    </row>
    <row r="81" spans="1:60" x14ac:dyDescent="0.35">
      <c r="A81" s="9168"/>
      <c r="B81" s="1662"/>
      <c r="C81" s="232" t="s">
        <v>978</v>
      </c>
      <c r="D81" s="87"/>
      <c r="F81" s="130"/>
      <c r="H81" s="242"/>
      <c r="I81" s="243"/>
      <c r="J81" s="476">
        <f t="shared" si="75"/>
        <v>0</v>
      </c>
      <c r="L81" s="242"/>
      <c r="M81" s="611">
        <f t="shared" si="82"/>
        <v>0</v>
      </c>
      <c r="O81" s="791"/>
      <c r="P81" s="792"/>
      <c r="Q81" s="782"/>
      <c r="R81" s="782">
        <f t="shared" si="83"/>
        <v>0</v>
      </c>
      <c r="S81" s="938"/>
      <c r="T81" s="796"/>
      <c r="U81" s="1575"/>
      <c r="V81" s="1657"/>
      <c r="X81" s="791"/>
      <c r="Y81" s="792"/>
      <c r="Z81" s="782"/>
      <c r="AA81" s="782">
        <f t="shared" si="84"/>
        <v>0</v>
      </c>
      <c r="AB81" s="938"/>
      <c r="AC81" s="796"/>
      <c r="AD81" s="1575"/>
      <c r="AE81" s="1657"/>
      <c r="AG81" s="791"/>
      <c r="AH81" s="792"/>
      <c r="AI81" s="937"/>
      <c r="AJ81" s="782">
        <f t="shared" si="85"/>
        <v>0</v>
      </c>
      <c r="AK81" s="938"/>
      <c r="AL81" s="796"/>
      <c r="AM81" s="1575"/>
      <c r="AN81" s="1657"/>
      <c r="AP81" s="791"/>
      <c r="AQ81" s="792"/>
      <c r="AR81" s="6879"/>
      <c r="AS81" s="6865">
        <f t="shared" si="86"/>
        <v>0</v>
      </c>
      <c r="AT81" s="938"/>
      <c r="AU81" s="796"/>
      <c r="AV81" s="1575"/>
      <c r="AW81" s="1657"/>
      <c r="AY81" s="791"/>
      <c r="AZ81" s="1656"/>
      <c r="BA81" s="6879"/>
      <c r="BB81" s="6865">
        <f t="shared" si="87"/>
        <v>0</v>
      </c>
      <c r="BC81" s="938"/>
      <c r="BD81" s="796"/>
      <c r="BE81" s="1575"/>
      <c r="BF81" s="8516"/>
      <c r="BH81" s="24"/>
    </row>
    <row r="82" spans="1:60" x14ac:dyDescent="0.35">
      <c r="A82" s="9168"/>
      <c r="B82" s="271" t="s">
        <v>979</v>
      </c>
      <c r="C82" s="271"/>
      <c r="D82" s="140"/>
      <c r="F82" s="227"/>
      <c r="G82" s="143"/>
      <c r="H82" s="102"/>
      <c r="I82" s="103"/>
      <c r="J82" s="228"/>
      <c r="K82" s="143"/>
      <c r="L82" s="102"/>
      <c r="M82" s="1659"/>
      <c r="N82" s="143"/>
      <c r="O82" s="773"/>
      <c r="P82" s="774"/>
      <c r="Q82" s="776"/>
      <c r="R82" s="776"/>
      <c r="S82" s="892"/>
      <c r="T82" s="773"/>
      <c r="U82" s="774"/>
      <c r="V82" s="1617"/>
      <c r="W82" s="143"/>
      <c r="X82" s="773"/>
      <c r="Y82" s="774"/>
      <c r="Z82" s="776"/>
      <c r="AA82" s="776"/>
      <c r="AB82" s="892"/>
      <c r="AC82" s="773"/>
      <c r="AD82" s="774"/>
      <c r="AE82" s="1617"/>
      <c r="AF82" s="143"/>
      <c r="AG82" s="773"/>
      <c r="AH82" s="774"/>
      <c r="AI82" s="774"/>
      <c r="AJ82" s="776"/>
      <c r="AK82" s="892"/>
      <c r="AL82" s="773"/>
      <c r="AM82" s="774"/>
      <c r="AN82" s="1617"/>
      <c r="AO82" s="143"/>
      <c r="AP82" s="773"/>
      <c r="AQ82" s="774"/>
      <c r="AR82" s="774"/>
      <c r="AS82" s="776"/>
      <c r="AT82" s="892"/>
      <c r="AU82" s="773"/>
      <c r="AV82" s="774"/>
      <c r="AW82" s="1617"/>
      <c r="AX82" s="143"/>
      <c r="AY82" s="773"/>
      <c r="AZ82" s="774"/>
      <c r="BA82" s="774"/>
      <c r="BB82" s="776"/>
      <c r="BC82" s="892"/>
      <c r="BD82" s="773"/>
      <c r="BE82" s="774"/>
      <c r="BF82" s="1617"/>
      <c r="BG82" s="143"/>
      <c r="BH82" s="18"/>
    </row>
    <row r="83" spans="1:60" x14ac:dyDescent="0.35">
      <c r="A83" s="9168"/>
      <c r="B83" s="272"/>
      <c r="C83" s="272" t="s">
        <v>980</v>
      </c>
      <c r="D83" s="60"/>
      <c r="F83" s="155"/>
      <c r="H83" s="117"/>
      <c r="I83" s="115"/>
      <c r="J83" s="476">
        <f t="shared" ref="J83" si="88">IF(H83=0,0,I83/H83)</f>
        <v>0</v>
      </c>
      <c r="L83" s="117"/>
      <c r="M83" s="611">
        <f>M33*M86</f>
        <v>0</v>
      </c>
      <c r="O83" s="780"/>
      <c r="P83" s="781"/>
      <c r="Q83" s="782"/>
      <c r="R83" s="782">
        <f t="shared" ref="R83:R86" si="89">IF(O83=0,0,P83/O83)</f>
        <v>0</v>
      </c>
      <c r="S83" s="938"/>
      <c r="T83" s="780"/>
      <c r="U83" s="937"/>
      <c r="V83" s="1647"/>
      <c r="X83" s="780"/>
      <c r="Y83" s="781"/>
      <c r="Z83" s="782"/>
      <c r="AA83" s="782">
        <f t="shared" ref="AA83" si="90">IF(X83=0,0,Y83/X83)</f>
        <v>0</v>
      </c>
      <c r="AB83" s="938"/>
      <c r="AC83" s="780"/>
      <c r="AD83" s="937"/>
      <c r="AE83" s="1647"/>
      <c r="AG83" s="780"/>
      <c r="AH83" s="781"/>
      <c r="AI83" s="937"/>
      <c r="AJ83" s="782">
        <f t="shared" ref="AJ83" si="91">IF(AG83=0,0,AH83/AG83)</f>
        <v>0</v>
      </c>
      <c r="AK83" s="938"/>
      <c r="AL83" s="780"/>
      <c r="AM83" s="937"/>
      <c r="AN83" s="1647"/>
      <c r="AP83" s="780"/>
      <c r="AQ83" s="781"/>
      <c r="AR83" s="6879"/>
      <c r="AS83" s="6865">
        <f t="shared" ref="AS83" si="92">IF(AP83=0,0,AQ83/AP83)</f>
        <v>0</v>
      </c>
      <c r="AT83" s="938"/>
      <c r="AU83" s="780"/>
      <c r="AV83" s="937"/>
      <c r="AW83" s="1647"/>
      <c r="AY83" s="780"/>
      <c r="AZ83" s="781"/>
      <c r="BA83" s="6879"/>
      <c r="BB83" s="6865">
        <f t="shared" ref="BB83" si="93">IF(AY83=0,0,AZ83/AY83)</f>
        <v>0</v>
      </c>
      <c r="BC83" s="938"/>
      <c r="BD83" s="780"/>
      <c r="BE83" s="937"/>
      <c r="BF83" s="1647"/>
      <c r="BH83" s="26"/>
    </row>
    <row r="84" spans="1:60" x14ac:dyDescent="0.35">
      <c r="A84" s="9168"/>
      <c r="B84" s="274"/>
      <c r="C84" s="275" t="s">
        <v>1336</v>
      </c>
      <c r="D84" s="60"/>
      <c r="F84" s="163"/>
      <c r="H84" s="242"/>
      <c r="I84" s="243"/>
      <c r="J84" s="476"/>
      <c r="L84" s="242"/>
      <c r="M84" s="611"/>
      <c r="O84" s="780"/>
      <c r="P84" s="781"/>
      <c r="Q84" s="782"/>
      <c r="R84" s="782"/>
      <c r="S84" s="938"/>
      <c r="T84" s="780"/>
      <c r="U84" s="937"/>
      <c r="V84" s="1647"/>
      <c r="X84" s="780"/>
      <c r="Y84" s="781"/>
      <c r="Z84" s="782"/>
      <c r="AA84" s="782"/>
      <c r="AB84" s="938"/>
      <c r="AC84" s="780"/>
      <c r="AD84" s="937"/>
      <c r="AE84" s="1647"/>
      <c r="AG84" s="780"/>
      <c r="AH84" s="781"/>
      <c r="AI84" s="937"/>
      <c r="AJ84" s="782"/>
      <c r="AK84" s="938"/>
      <c r="AL84" s="780"/>
      <c r="AM84" s="937"/>
      <c r="AN84" s="1647"/>
      <c r="AP84" s="780"/>
      <c r="AQ84" s="781"/>
      <c r="AR84" s="6879"/>
      <c r="AS84" s="6865"/>
      <c r="AT84" s="938"/>
      <c r="AU84" s="780"/>
      <c r="AV84" s="937"/>
      <c r="AW84" s="1647"/>
      <c r="AY84" s="780"/>
      <c r="AZ84" s="781"/>
      <c r="BA84" s="6879"/>
      <c r="BB84" s="6865"/>
      <c r="BC84" s="938"/>
      <c r="BD84" s="780"/>
      <c r="BE84" s="937"/>
      <c r="BF84" s="1647"/>
      <c r="BH84" s="26"/>
    </row>
    <row r="85" spans="1:60" s="462" customFormat="1" ht="15.25" customHeight="1" x14ac:dyDescent="0.35">
      <c r="A85" s="9168"/>
      <c r="B85" s="274"/>
      <c r="C85" s="275" t="s">
        <v>933</v>
      </c>
      <c r="D85" s="60"/>
      <c r="E85" s="457"/>
      <c r="F85" s="163"/>
      <c r="G85" s="1"/>
      <c r="H85" s="242"/>
      <c r="I85" s="243"/>
      <c r="J85" s="476"/>
      <c r="K85" s="1"/>
      <c r="L85" s="242"/>
      <c r="M85" s="611"/>
      <c r="N85" s="1"/>
      <c r="O85" s="785"/>
      <c r="P85" s="786"/>
      <c r="Q85" s="782"/>
      <c r="R85" s="782">
        <f t="shared" si="89"/>
        <v>0</v>
      </c>
      <c r="S85" s="938"/>
      <c r="T85" s="785"/>
      <c r="U85" s="937"/>
      <c r="V85" s="1647"/>
      <c r="W85" s="1"/>
      <c r="X85" s="785"/>
      <c r="Y85" s="786"/>
      <c r="Z85" s="782"/>
      <c r="AA85" s="782">
        <f t="shared" ref="AA85:AA86" si="94">IF(X85=0,0,Y85/X85)</f>
        <v>0</v>
      </c>
      <c r="AB85" s="938"/>
      <c r="AC85" s="785"/>
      <c r="AD85" s="937"/>
      <c r="AE85" s="1647"/>
      <c r="AF85" s="1"/>
      <c r="AG85" s="785"/>
      <c r="AH85" s="786"/>
      <c r="AI85" s="937"/>
      <c r="AJ85" s="782">
        <f t="shared" ref="AJ85:AJ86" si="95">IF(AG85=0,0,AH85/AG85)</f>
        <v>0</v>
      </c>
      <c r="AK85" s="938"/>
      <c r="AL85" s="785"/>
      <c r="AM85" s="937"/>
      <c r="AN85" s="1647"/>
      <c r="AO85" s="1"/>
      <c r="AP85" s="785"/>
      <c r="AQ85" s="786"/>
      <c r="AR85" s="6879"/>
      <c r="AS85" s="6865">
        <f t="shared" ref="AS85:AS86" si="96">IF(AP85=0,0,AQ85/AP85)</f>
        <v>0</v>
      </c>
      <c r="AT85" s="938"/>
      <c r="AU85" s="785"/>
      <c r="AV85" s="937"/>
      <c r="AW85" s="1647"/>
      <c r="AX85" s="1"/>
      <c r="AY85" s="785"/>
      <c r="AZ85" s="786"/>
      <c r="BA85" s="6879"/>
      <c r="BB85" s="6865">
        <f t="shared" ref="BB85:BB86" si="97">IF(AY85=0,0,AZ85/AY85)</f>
        <v>0</v>
      </c>
      <c r="BC85" s="938"/>
      <c r="BD85" s="785"/>
      <c r="BE85" s="937"/>
      <c r="BF85" s="1647"/>
      <c r="BG85" s="1"/>
      <c r="BH85" s="26"/>
    </row>
    <row r="86" spans="1:60" s="462" customFormat="1" x14ac:dyDescent="0.35">
      <c r="A86" s="9168"/>
      <c r="B86" s="277"/>
      <c r="C86" s="277" t="s">
        <v>981</v>
      </c>
      <c r="D86" s="87"/>
      <c r="E86" s="456"/>
      <c r="F86" s="278"/>
      <c r="G86" s="279"/>
      <c r="H86" s="280"/>
      <c r="I86" s="281"/>
      <c r="J86" s="484"/>
      <c r="K86" s="1"/>
      <c r="L86" s="280"/>
      <c r="M86" s="1663"/>
      <c r="N86" s="1"/>
      <c r="O86" s="925"/>
      <c r="P86" s="926"/>
      <c r="Q86" s="798"/>
      <c r="R86" s="798">
        <f t="shared" si="89"/>
        <v>0</v>
      </c>
      <c r="S86" s="1664"/>
      <c r="T86" s="925"/>
      <c r="U86" s="1575"/>
      <c r="V86" s="1657"/>
      <c r="W86" s="1"/>
      <c r="X86" s="925"/>
      <c r="Y86" s="926"/>
      <c r="Z86" s="798"/>
      <c r="AA86" s="798">
        <f t="shared" si="94"/>
        <v>0</v>
      </c>
      <c r="AB86" s="1664"/>
      <c r="AC86" s="925"/>
      <c r="AD86" s="1575"/>
      <c r="AE86" s="1657"/>
      <c r="AF86" s="1"/>
      <c r="AG86" s="925"/>
      <c r="AH86" s="926"/>
      <c r="AI86" s="1575"/>
      <c r="AJ86" s="798">
        <f t="shared" si="95"/>
        <v>0</v>
      </c>
      <c r="AK86" s="1664"/>
      <c r="AL86" s="925"/>
      <c r="AM86" s="1575"/>
      <c r="AN86" s="1657"/>
      <c r="AO86" s="1"/>
      <c r="AP86" s="925"/>
      <c r="AQ86" s="926"/>
      <c r="AR86" s="6874"/>
      <c r="AS86" s="6875">
        <f t="shared" si="96"/>
        <v>0</v>
      </c>
      <c r="AT86" s="1664"/>
      <c r="AU86" s="925"/>
      <c r="AV86" s="1575"/>
      <c r="AW86" s="1657"/>
      <c r="AX86" s="1"/>
      <c r="AY86" s="925"/>
      <c r="AZ86" s="926"/>
      <c r="BA86" s="6874"/>
      <c r="BB86" s="6875">
        <f t="shared" si="97"/>
        <v>0</v>
      </c>
      <c r="BC86" s="1664"/>
      <c r="BD86" s="925"/>
      <c r="BE86" s="1575"/>
      <c r="BF86" s="1657"/>
      <c r="BG86" s="1"/>
      <c r="BH86" s="24"/>
    </row>
    <row r="87" spans="1:60" s="462" customFormat="1" ht="12" x14ac:dyDescent="0.3">
      <c r="A87" s="9168"/>
      <c r="B87" s="1665" t="s">
        <v>982</v>
      </c>
      <c r="C87" s="1666"/>
      <c r="D87" s="140"/>
      <c r="E87" s="456"/>
      <c r="F87" s="1667"/>
      <c r="G87" s="1668"/>
      <c r="H87" s="1669"/>
      <c r="I87" s="1670"/>
      <c r="J87" s="293"/>
      <c r="K87" s="456"/>
      <c r="L87" s="1669"/>
      <c r="M87" s="1671"/>
      <c r="N87" s="457"/>
      <c r="O87" s="773"/>
      <c r="P87" s="774"/>
      <c r="Q87" s="776"/>
      <c r="R87" s="776"/>
      <c r="S87" s="892"/>
      <c r="T87" s="773"/>
      <c r="U87" s="774"/>
      <c r="V87" s="1617"/>
      <c r="W87" s="457"/>
      <c r="X87" s="773"/>
      <c r="Y87" s="774"/>
      <c r="Z87" s="776"/>
      <c r="AA87" s="776"/>
      <c r="AB87" s="892"/>
      <c r="AC87" s="773"/>
      <c r="AD87" s="774"/>
      <c r="AE87" s="1617"/>
      <c r="AF87" s="457"/>
      <c r="AG87" s="773"/>
      <c r="AH87" s="774"/>
      <c r="AI87" s="774"/>
      <c r="AJ87" s="776"/>
      <c r="AK87" s="892"/>
      <c r="AL87" s="773"/>
      <c r="AM87" s="774"/>
      <c r="AN87" s="1617"/>
      <c r="AO87" s="457"/>
      <c r="AP87" s="773"/>
      <c r="AQ87" s="774"/>
      <c r="AR87" s="774"/>
      <c r="AS87" s="776"/>
      <c r="AT87" s="892"/>
      <c r="AU87" s="773"/>
      <c r="AV87" s="774"/>
      <c r="AW87" s="1617"/>
      <c r="AX87" s="457"/>
      <c r="AY87" s="773"/>
      <c r="AZ87" s="774"/>
      <c r="BA87" s="774"/>
      <c r="BB87" s="776"/>
      <c r="BC87" s="892"/>
      <c r="BD87" s="773"/>
      <c r="BE87" s="774"/>
      <c r="BF87" s="1617"/>
      <c r="BG87" s="457"/>
      <c r="BH87" s="1619"/>
    </row>
    <row r="88" spans="1:60" s="462" customFormat="1" ht="12" x14ac:dyDescent="0.3">
      <c r="A88" s="9168"/>
      <c r="B88" s="1672"/>
      <c r="C88" s="1673" t="s">
        <v>1286</v>
      </c>
      <c r="D88" s="60"/>
      <c r="E88" s="456"/>
      <c r="F88" s="1674"/>
      <c r="G88" s="1675"/>
      <c r="H88" s="1676">
        <v>1612462200</v>
      </c>
      <c r="I88" s="1677">
        <v>1510833920</v>
      </c>
      <c r="J88" s="523">
        <f t="shared" ref="J88:J91" si="98">IF(H88=0,0,I88/H88)</f>
        <v>0.93697323261283272</v>
      </c>
      <c r="K88" s="456"/>
      <c r="L88" s="1676">
        <v>1957605689.45</v>
      </c>
      <c r="M88" s="1678">
        <v>1796250000</v>
      </c>
      <c r="N88" s="456"/>
      <c r="O88" s="1679">
        <v>1957605689.45</v>
      </c>
      <c r="P88" s="1680">
        <v>1796250000</v>
      </c>
      <c r="Q88" s="782"/>
      <c r="R88" s="782">
        <f t="shared" ref="R88:R91" si="99">IF(O88=0,0,P88/O88)</f>
        <v>0.91757497931295151</v>
      </c>
      <c r="S88" s="938"/>
      <c r="T88" s="1679"/>
      <c r="U88" s="937"/>
      <c r="V88" s="1647"/>
      <c r="W88" s="456"/>
      <c r="X88" s="1679"/>
      <c r="Y88" s="1680"/>
      <c r="Z88" s="782"/>
      <c r="AA88" s="782">
        <f t="shared" ref="AA88:AA89" si="100">IF(X88=0,0,Y88/X88)</f>
        <v>0</v>
      </c>
      <c r="AB88" s="938"/>
      <c r="AC88" s="1679"/>
      <c r="AD88" s="937"/>
      <c r="AE88" s="1647"/>
      <c r="AF88" s="456"/>
      <c r="AG88" s="1679"/>
      <c r="AH88" s="1680"/>
      <c r="AI88" s="937"/>
      <c r="AJ88" s="782">
        <f t="shared" ref="AJ88:AJ89" si="101">IF(AG88=0,0,AH88/AG88)</f>
        <v>0</v>
      </c>
      <c r="AK88" s="938"/>
      <c r="AL88" s="1679"/>
      <c r="AM88" s="937"/>
      <c r="AN88" s="1647"/>
      <c r="AO88" s="456"/>
      <c r="AP88" s="1679"/>
      <c r="AQ88" s="1680"/>
      <c r="AR88" s="6879"/>
      <c r="AS88" s="6865">
        <f t="shared" ref="AS88:AS89" si="102">IF(AP88=0,0,AQ88/AP88)</f>
        <v>0</v>
      </c>
      <c r="AT88" s="938"/>
      <c r="AU88" s="1679"/>
      <c r="AV88" s="937"/>
      <c r="AW88" s="1647"/>
      <c r="AX88" s="456"/>
      <c r="AY88" s="1679"/>
      <c r="AZ88" s="1680"/>
      <c r="BA88" s="6879"/>
      <c r="BB88" s="6865">
        <f t="shared" ref="BB88:BB89" si="103">IF(AY88=0,0,AZ88/AY88)</f>
        <v>0</v>
      </c>
      <c r="BC88" s="938"/>
      <c r="BD88" s="1679"/>
      <c r="BE88" s="937"/>
      <c r="BF88" s="1647"/>
      <c r="BG88" s="456"/>
      <c r="BH88" s="893"/>
    </row>
    <row r="89" spans="1:60" s="462" customFormat="1" ht="12" x14ac:dyDescent="0.3">
      <c r="A89" s="9168"/>
      <c r="B89" s="1672"/>
      <c r="C89" s="1673" t="s">
        <v>2937</v>
      </c>
      <c r="D89" s="60"/>
      <c r="E89" s="456"/>
      <c r="F89" s="753"/>
      <c r="G89" s="1675"/>
      <c r="H89" s="746">
        <v>0</v>
      </c>
      <c r="I89" s="747">
        <v>0</v>
      </c>
      <c r="J89" s="523">
        <f t="shared" si="98"/>
        <v>0</v>
      </c>
      <c r="K89" s="456"/>
      <c r="L89" s="746">
        <v>0</v>
      </c>
      <c r="M89" s="1678">
        <v>0</v>
      </c>
      <c r="N89" s="456"/>
      <c r="O89" s="785">
        <v>0</v>
      </c>
      <c r="P89" s="786">
        <v>0</v>
      </c>
      <c r="Q89" s="782"/>
      <c r="R89" s="782">
        <f t="shared" si="99"/>
        <v>0</v>
      </c>
      <c r="S89" s="938"/>
      <c r="T89" s="785"/>
      <c r="U89" s="937"/>
      <c r="V89" s="1647"/>
      <c r="W89" s="456"/>
      <c r="X89" s="785"/>
      <c r="Y89" s="786"/>
      <c r="Z89" s="782"/>
      <c r="AA89" s="782">
        <f t="shared" si="100"/>
        <v>0</v>
      </c>
      <c r="AB89" s="938"/>
      <c r="AC89" s="785"/>
      <c r="AD89" s="937"/>
      <c r="AE89" s="1647"/>
      <c r="AF89" s="456"/>
      <c r="AG89" s="785"/>
      <c r="AH89" s="786"/>
      <c r="AI89" s="937"/>
      <c r="AJ89" s="782">
        <f t="shared" si="101"/>
        <v>0</v>
      </c>
      <c r="AK89" s="938"/>
      <c r="AL89" s="785"/>
      <c r="AM89" s="937"/>
      <c r="AN89" s="1647"/>
      <c r="AO89" s="456"/>
      <c r="AP89" s="785"/>
      <c r="AQ89" s="786"/>
      <c r="AR89" s="6879"/>
      <c r="AS89" s="6865">
        <f t="shared" si="102"/>
        <v>0</v>
      </c>
      <c r="AT89" s="938"/>
      <c r="AU89" s="785"/>
      <c r="AV89" s="937"/>
      <c r="AW89" s="1647"/>
      <c r="AX89" s="456"/>
      <c r="AY89" s="785"/>
      <c r="AZ89" s="786"/>
      <c r="BA89" s="6879"/>
      <c r="BB89" s="6865">
        <f t="shared" si="103"/>
        <v>0</v>
      </c>
      <c r="BC89" s="938"/>
      <c r="BD89" s="785"/>
      <c r="BE89" s="937"/>
      <c r="BF89" s="1647"/>
      <c r="BG89" s="456"/>
      <c r="BH89" s="893"/>
    </row>
    <row r="90" spans="1:60" x14ac:dyDescent="0.35">
      <c r="A90" s="9168"/>
      <c r="B90" s="1681"/>
      <c r="C90" s="1673" t="s">
        <v>943</v>
      </c>
      <c r="D90" s="60"/>
      <c r="F90" s="753"/>
      <c r="G90" s="1675"/>
      <c r="H90" s="746"/>
      <c r="I90" s="747"/>
      <c r="J90" s="523">
        <f t="shared" si="98"/>
        <v>0</v>
      </c>
      <c r="K90" s="456"/>
      <c r="L90" s="746"/>
      <c r="M90" s="1678"/>
      <c r="N90" s="456"/>
      <c r="O90" s="791"/>
      <c r="P90" s="792"/>
      <c r="Q90" s="782"/>
      <c r="R90" s="782"/>
      <c r="S90" s="938"/>
      <c r="T90" s="791"/>
      <c r="U90" s="937"/>
      <c r="V90" s="1647"/>
      <c r="W90" s="456"/>
      <c r="X90" s="791"/>
      <c r="Y90" s="792"/>
      <c r="Z90" s="782"/>
      <c r="AA90" s="782"/>
      <c r="AB90" s="938"/>
      <c r="AC90" s="791"/>
      <c r="AD90" s="937"/>
      <c r="AE90" s="1647"/>
      <c r="AF90" s="456"/>
      <c r="AG90" s="791"/>
      <c r="AH90" s="792"/>
      <c r="AI90" s="937"/>
      <c r="AJ90" s="782"/>
      <c r="AK90" s="938"/>
      <c r="AL90" s="791"/>
      <c r="AM90" s="937"/>
      <c r="AN90" s="1647"/>
      <c r="AO90" s="456"/>
      <c r="AP90" s="791"/>
      <c r="AQ90" s="792"/>
      <c r="AR90" s="6879"/>
      <c r="AS90" s="6865"/>
      <c r="AT90" s="938"/>
      <c r="AU90" s="791"/>
      <c r="AV90" s="937"/>
      <c r="AW90" s="1647"/>
      <c r="AX90" s="456"/>
      <c r="AY90" s="791"/>
      <c r="AZ90" s="792"/>
      <c r="BA90" s="6879"/>
      <c r="BB90" s="6865"/>
      <c r="BC90" s="938"/>
      <c r="BD90" s="791"/>
      <c r="BE90" s="937"/>
      <c r="BF90" s="1647"/>
      <c r="BG90" s="456"/>
      <c r="BH90" s="893"/>
    </row>
    <row r="91" spans="1:60" ht="14.5" customHeight="1" x14ac:dyDescent="0.35">
      <c r="A91" s="9169"/>
      <c r="B91" s="1682"/>
      <c r="C91" s="1683" t="s">
        <v>977</v>
      </c>
      <c r="D91" s="87"/>
      <c r="F91" s="763"/>
      <c r="G91" s="1684"/>
      <c r="H91" s="764"/>
      <c r="I91" s="765"/>
      <c r="J91" s="527">
        <f t="shared" si="98"/>
        <v>0</v>
      </c>
      <c r="K91" s="456"/>
      <c r="L91" s="764"/>
      <c r="M91" s="1685"/>
      <c r="N91" s="456"/>
      <c r="O91" s="796"/>
      <c r="P91" s="797"/>
      <c r="Q91" s="798"/>
      <c r="R91" s="798">
        <f t="shared" si="99"/>
        <v>0</v>
      </c>
      <c r="S91" s="938"/>
      <c r="T91" s="796"/>
      <c r="U91" s="1575"/>
      <c r="V91" s="1657"/>
      <c r="W91" s="456"/>
      <c r="X91" s="796"/>
      <c r="Y91" s="797"/>
      <c r="Z91" s="798"/>
      <c r="AA91" s="798">
        <f t="shared" ref="AA91" si="104">IF(X91=0,0,Y91/X91)</f>
        <v>0</v>
      </c>
      <c r="AB91" s="938"/>
      <c r="AC91" s="796"/>
      <c r="AD91" s="1575"/>
      <c r="AE91" s="1657"/>
      <c r="AF91" s="456"/>
      <c r="AG91" s="796"/>
      <c r="AH91" s="797"/>
      <c r="AI91" s="1575"/>
      <c r="AJ91" s="798">
        <f t="shared" ref="AJ91" si="105">IF(AG91=0,0,AH91/AG91)</f>
        <v>0</v>
      </c>
      <c r="AK91" s="938"/>
      <c r="AL91" s="796"/>
      <c r="AM91" s="1575"/>
      <c r="AN91" s="1657"/>
      <c r="AO91" s="456"/>
      <c r="AP91" s="796"/>
      <c r="AQ91" s="797"/>
      <c r="AR91" s="6874"/>
      <c r="AS91" s="6875">
        <f t="shared" ref="AS91" si="106">IF(AP91=0,0,AQ91/AP91)</f>
        <v>0</v>
      </c>
      <c r="AT91" s="938"/>
      <c r="AU91" s="796"/>
      <c r="AV91" s="1575"/>
      <c r="AW91" s="1657"/>
      <c r="AX91" s="456"/>
      <c r="AY91" s="796"/>
      <c r="AZ91" s="797"/>
      <c r="BA91" s="6874"/>
      <c r="BB91" s="6875">
        <f t="shared" ref="BB91" si="107">IF(AY91=0,0,AZ91/AY91)</f>
        <v>0</v>
      </c>
      <c r="BC91" s="938"/>
      <c r="BD91" s="796"/>
      <c r="BE91" s="1575"/>
      <c r="BF91" s="1657"/>
      <c r="BG91" s="456"/>
      <c r="BH91" s="1640"/>
    </row>
    <row r="92" spans="1:60" x14ac:dyDescent="0.35">
      <c r="A92" s="310"/>
      <c r="B92" s="310"/>
      <c r="F92" s="106"/>
      <c r="H92" s="106"/>
      <c r="I92" s="106"/>
      <c r="J92" s="558"/>
      <c r="L92" s="106"/>
      <c r="M92" s="312"/>
      <c r="O92"/>
      <c r="P92"/>
      <c r="Q92"/>
      <c r="R92"/>
      <c r="S92"/>
      <c r="T92"/>
      <c r="U92"/>
      <c r="V92" s="1686"/>
      <c r="X92"/>
      <c r="Y92"/>
      <c r="Z92"/>
      <c r="AA92"/>
      <c r="AB92"/>
      <c r="AC92"/>
      <c r="AD92"/>
      <c r="AE92" s="1686"/>
      <c r="AG92"/>
      <c r="AH92"/>
      <c r="AI92"/>
      <c r="AJ92"/>
      <c r="AK92"/>
      <c r="AL92"/>
      <c r="AM92"/>
      <c r="AN92" s="1686"/>
      <c r="AP92"/>
      <c r="AQ92"/>
      <c r="AR92"/>
      <c r="AS92"/>
      <c r="AT92"/>
      <c r="AU92"/>
      <c r="AV92"/>
      <c r="AW92" s="1686"/>
      <c r="AY92"/>
      <c r="AZ92"/>
      <c r="BA92"/>
      <c r="BB92"/>
      <c r="BC92"/>
      <c r="BD92"/>
      <c r="BE92"/>
      <c r="BF92" s="1686"/>
    </row>
    <row r="93" spans="1:60" x14ac:dyDescent="0.35">
      <c r="A93" s="9159" t="s">
        <v>1364</v>
      </c>
      <c r="B93" s="939"/>
      <c r="C93" s="940"/>
      <c r="D93" s="184"/>
      <c r="F93" s="316"/>
      <c r="G93" s="290"/>
      <c r="H93" s="317"/>
      <c r="I93" s="1687"/>
      <c r="J93" s="293"/>
      <c r="L93" s="1688"/>
      <c r="M93" s="268"/>
      <c r="O93" s="317"/>
      <c r="P93" s="1687"/>
      <c r="Q93" s="348"/>
      <c r="R93" s="293"/>
      <c r="S93"/>
      <c r="T93" s="317"/>
      <c r="U93" s="348"/>
      <c r="V93" s="1689"/>
      <c r="X93" s="317"/>
      <c r="Y93" s="1687"/>
      <c r="Z93" s="348"/>
      <c r="AA93" s="293"/>
      <c r="AB93"/>
      <c r="AC93" s="317"/>
      <c r="AD93" s="348"/>
      <c r="AE93" s="1689"/>
      <c r="AG93" s="317"/>
      <c r="AH93" s="1687"/>
      <c r="AI93" s="348"/>
      <c r="AJ93" s="293"/>
      <c r="AK93"/>
      <c r="AL93" s="317"/>
      <c r="AM93" s="348"/>
      <c r="AN93" s="1689"/>
      <c r="AP93" s="317"/>
      <c r="AQ93" s="1687"/>
      <c r="AR93" s="348"/>
      <c r="AS93" s="293"/>
      <c r="AT93"/>
      <c r="AU93" s="317"/>
      <c r="AV93" s="348"/>
      <c r="AW93" s="1689"/>
      <c r="AY93" s="317"/>
      <c r="AZ93" s="1687"/>
      <c r="BA93" s="348"/>
      <c r="BB93" s="293"/>
      <c r="BC93"/>
      <c r="BD93" s="317"/>
      <c r="BE93" s="348"/>
      <c r="BF93" s="1689"/>
    </row>
    <row r="94" spans="1:60" x14ac:dyDescent="0.35">
      <c r="A94" s="9160"/>
      <c r="B94" s="944"/>
      <c r="C94" s="945" t="s">
        <v>2938</v>
      </c>
      <c r="D94" s="197"/>
      <c r="F94" s="327"/>
      <c r="G94" s="272"/>
      <c r="H94" s="325"/>
      <c r="I94" s="946"/>
      <c r="J94" s="523">
        <f t="shared" ref="J94:J102" si="108">IF(H94=0,0,I94/H94)</f>
        <v>0</v>
      </c>
      <c r="L94" s="325"/>
      <c r="M94" s="157">
        <f t="shared" ref="M94:M102" si="109">L94*J94</f>
        <v>0</v>
      </c>
      <c r="O94" s="1690"/>
      <c r="P94" s="1691"/>
      <c r="Q94"/>
      <c r="R94" s="523">
        <f t="shared" ref="R94:R102" si="110">IF(O94=0,0,P94/O94)</f>
        <v>0</v>
      </c>
      <c r="S94"/>
      <c r="T94" s="325"/>
      <c r="U94"/>
      <c r="V94" s="1692"/>
      <c r="X94" s="1690"/>
      <c r="Y94" s="1691"/>
      <c r="Z94"/>
      <c r="AA94" s="523">
        <f t="shared" ref="AA94:AA102" si="111">IF(X94=0,0,Y94/X94)</f>
        <v>0</v>
      </c>
      <c r="AB94"/>
      <c r="AC94" s="325"/>
      <c r="AD94"/>
      <c r="AE94" s="1692"/>
      <c r="AG94" s="1690"/>
      <c r="AH94" s="1691"/>
      <c r="AI94"/>
      <c r="AJ94" s="523">
        <f t="shared" ref="AJ94:AJ102" si="112">IF(AG94=0,0,AH94/AG94)</f>
        <v>0</v>
      </c>
      <c r="AK94"/>
      <c r="AL94" s="325"/>
      <c r="AM94"/>
      <c r="AN94" s="1692"/>
      <c r="AP94" s="1690"/>
      <c r="AQ94" s="1691"/>
      <c r="AR94"/>
      <c r="AS94" s="523">
        <f t="shared" ref="AS94:AS102" si="113">IF(AP94=0,0,AQ94/AP94)</f>
        <v>0</v>
      </c>
      <c r="AT94"/>
      <c r="AU94" s="325"/>
      <c r="AV94"/>
      <c r="AW94" s="1692"/>
      <c r="AY94" s="1690"/>
      <c r="AZ94" s="1691"/>
      <c r="BA94"/>
      <c r="BB94" s="523">
        <f t="shared" ref="BB94:BB102" si="114">IF(AY94=0,0,AZ94/AY94)</f>
        <v>0</v>
      </c>
      <c r="BC94"/>
      <c r="BD94" s="325"/>
      <c r="BE94"/>
      <c r="BF94" s="1692"/>
    </row>
    <row r="95" spans="1:60" x14ac:dyDescent="0.35">
      <c r="A95" s="9160"/>
      <c r="B95" s="1693"/>
      <c r="C95" s="945" t="s">
        <v>2939</v>
      </c>
      <c r="D95" s="197"/>
      <c r="F95" s="336"/>
      <c r="G95" s="272"/>
      <c r="H95" s="330"/>
      <c r="I95" s="948"/>
      <c r="J95" s="523">
        <f t="shared" si="108"/>
        <v>0</v>
      </c>
      <c r="L95" s="330"/>
      <c r="M95" s="157">
        <f t="shared" si="109"/>
        <v>0</v>
      </c>
      <c r="O95" s="1694"/>
      <c r="P95" s="1695"/>
      <c r="Q95"/>
      <c r="R95" s="523">
        <f t="shared" si="110"/>
        <v>0</v>
      </c>
      <c r="S95"/>
      <c r="T95" s="330"/>
      <c r="U95"/>
      <c r="V95" s="1692"/>
      <c r="X95" s="1694"/>
      <c r="Y95" s="1695"/>
      <c r="Z95"/>
      <c r="AA95" s="523">
        <f t="shared" si="111"/>
        <v>0</v>
      </c>
      <c r="AB95"/>
      <c r="AC95" s="330"/>
      <c r="AD95"/>
      <c r="AE95" s="1692"/>
      <c r="AG95" s="1694"/>
      <c r="AH95" s="1695"/>
      <c r="AI95"/>
      <c r="AJ95" s="523">
        <f t="shared" si="112"/>
        <v>0</v>
      </c>
      <c r="AK95"/>
      <c r="AL95" s="330"/>
      <c r="AM95"/>
      <c r="AN95" s="1692"/>
      <c r="AP95" s="1694"/>
      <c r="AQ95" s="1695"/>
      <c r="AR95"/>
      <c r="AS95" s="523">
        <f t="shared" si="113"/>
        <v>0</v>
      </c>
      <c r="AT95"/>
      <c r="AU95" s="330"/>
      <c r="AV95"/>
      <c r="AW95" s="1692"/>
      <c r="AY95" s="1694"/>
      <c r="AZ95" s="1695"/>
      <c r="BA95"/>
      <c r="BB95" s="523">
        <f t="shared" si="114"/>
        <v>0</v>
      </c>
      <c r="BC95"/>
      <c r="BD95" s="330"/>
      <c r="BE95"/>
      <c r="BF95" s="1692"/>
    </row>
    <row r="96" spans="1:60" x14ac:dyDescent="0.35">
      <c r="A96" s="9160"/>
      <c r="B96" s="944"/>
      <c r="C96" s="945"/>
      <c r="D96" s="197"/>
      <c r="F96" s="336"/>
      <c r="G96" s="272"/>
      <c r="H96" s="330"/>
      <c r="I96" s="948"/>
      <c r="J96" s="523">
        <f t="shared" si="108"/>
        <v>0</v>
      </c>
      <c r="L96" s="330"/>
      <c r="M96" s="157">
        <f t="shared" si="109"/>
        <v>0</v>
      </c>
      <c r="O96" s="330"/>
      <c r="P96" s="948"/>
      <c r="Q96"/>
      <c r="R96" s="523">
        <f t="shared" si="110"/>
        <v>0</v>
      </c>
      <c r="S96"/>
      <c r="T96" s="330"/>
      <c r="U96"/>
      <c r="V96" s="1692"/>
      <c r="X96" s="330"/>
      <c r="Y96" s="948"/>
      <c r="Z96"/>
      <c r="AA96" s="523">
        <f t="shared" si="111"/>
        <v>0</v>
      </c>
      <c r="AB96"/>
      <c r="AC96" s="330"/>
      <c r="AD96"/>
      <c r="AE96" s="1692"/>
      <c r="AG96" s="330"/>
      <c r="AH96" s="948"/>
      <c r="AI96"/>
      <c r="AJ96" s="523">
        <f t="shared" si="112"/>
        <v>0</v>
      </c>
      <c r="AK96"/>
      <c r="AL96" s="330"/>
      <c r="AM96"/>
      <c r="AN96" s="1692"/>
      <c r="AP96" s="330"/>
      <c r="AQ96" s="948"/>
      <c r="AR96"/>
      <c r="AS96" s="523">
        <f t="shared" si="113"/>
        <v>0</v>
      </c>
      <c r="AT96"/>
      <c r="AU96" s="330"/>
      <c r="AV96"/>
      <c r="AW96" s="1692"/>
      <c r="AY96" s="330"/>
      <c r="AZ96" s="948"/>
      <c r="BA96"/>
      <c r="BB96" s="523">
        <f t="shared" si="114"/>
        <v>0</v>
      </c>
      <c r="BC96"/>
      <c r="BD96" s="330"/>
      <c r="BE96"/>
      <c r="BF96" s="1692"/>
    </row>
    <row r="97" spans="1:60" x14ac:dyDescent="0.35">
      <c r="A97" s="9160"/>
      <c r="B97" s="944"/>
      <c r="C97" s="945"/>
      <c r="D97" s="197"/>
      <c r="F97" s="336"/>
      <c r="G97" s="272"/>
      <c r="H97" s="330"/>
      <c r="I97" s="948"/>
      <c r="J97" s="523">
        <f t="shared" si="108"/>
        <v>0</v>
      </c>
      <c r="L97" s="330"/>
      <c r="M97" s="157">
        <f t="shared" si="109"/>
        <v>0</v>
      </c>
      <c r="O97" s="330"/>
      <c r="P97" s="948"/>
      <c r="Q97"/>
      <c r="R97" s="523">
        <f t="shared" si="110"/>
        <v>0</v>
      </c>
      <c r="S97"/>
      <c r="T97" s="330"/>
      <c r="U97"/>
      <c r="V97" s="1692"/>
      <c r="X97" s="330"/>
      <c r="Y97" s="948"/>
      <c r="Z97"/>
      <c r="AA97" s="523">
        <f t="shared" si="111"/>
        <v>0</v>
      </c>
      <c r="AB97"/>
      <c r="AC97" s="330"/>
      <c r="AD97"/>
      <c r="AE97" s="1692"/>
      <c r="AG97" s="330"/>
      <c r="AH97" s="948"/>
      <c r="AI97"/>
      <c r="AJ97" s="523">
        <f t="shared" si="112"/>
        <v>0</v>
      </c>
      <c r="AK97"/>
      <c r="AL97" s="330"/>
      <c r="AM97"/>
      <c r="AN97" s="1692"/>
      <c r="AP97" s="330"/>
      <c r="AQ97" s="948"/>
      <c r="AR97"/>
      <c r="AS97" s="523">
        <f t="shared" si="113"/>
        <v>0</v>
      </c>
      <c r="AT97"/>
      <c r="AU97" s="330"/>
      <c r="AV97"/>
      <c r="AW97" s="1692"/>
      <c r="AY97" s="330"/>
      <c r="AZ97" s="948"/>
      <c r="BA97"/>
      <c r="BB97" s="523">
        <f t="shared" si="114"/>
        <v>0</v>
      </c>
      <c r="BC97"/>
      <c r="BD97" s="330"/>
      <c r="BE97"/>
      <c r="BF97" s="1692"/>
    </row>
    <row r="98" spans="1:60" x14ac:dyDescent="0.35">
      <c r="A98" s="9160"/>
      <c r="B98" s="944"/>
      <c r="C98" s="945"/>
      <c r="D98" s="197"/>
      <c r="F98" s="336"/>
      <c r="G98" s="272"/>
      <c r="H98" s="330"/>
      <c r="I98" s="948"/>
      <c r="J98" s="523">
        <f t="shared" si="108"/>
        <v>0</v>
      </c>
      <c r="L98" s="330"/>
      <c r="M98" s="157">
        <f t="shared" si="109"/>
        <v>0</v>
      </c>
      <c r="O98" s="330"/>
      <c r="P98" s="948"/>
      <c r="Q98"/>
      <c r="R98" s="523">
        <f t="shared" si="110"/>
        <v>0</v>
      </c>
      <c r="S98"/>
      <c r="T98" s="330"/>
      <c r="U98"/>
      <c r="V98" s="1692"/>
      <c r="X98" s="330"/>
      <c r="Y98" s="948"/>
      <c r="Z98"/>
      <c r="AA98" s="523">
        <f t="shared" si="111"/>
        <v>0</v>
      </c>
      <c r="AB98"/>
      <c r="AC98" s="330"/>
      <c r="AD98"/>
      <c r="AE98" s="1692"/>
      <c r="AG98" s="330"/>
      <c r="AH98" s="948"/>
      <c r="AI98"/>
      <c r="AJ98" s="523">
        <f t="shared" si="112"/>
        <v>0</v>
      </c>
      <c r="AK98"/>
      <c r="AL98" s="330"/>
      <c r="AM98"/>
      <c r="AN98" s="1692"/>
      <c r="AP98" s="330"/>
      <c r="AQ98" s="948"/>
      <c r="AR98"/>
      <c r="AS98" s="523">
        <f t="shared" si="113"/>
        <v>0</v>
      </c>
      <c r="AT98"/>
      <c r="AU98" s="330"/>
      <c r="AV98"/>
      <c r="AW98" s="1692"/>
      <c r="AY98" s="330"/>
      <c r="AZ98" s="948"/>
      <c r="BA98"/>
      <c r="BB98" s="523">
        <f t="shared" si="114"/>
        <v>0</v>
      </c>
      <c r="BC98"/>
      <c r="BD98" s="330"/>
      <c r="BE98"/>
      <c r="BF98" s="1692"/>
    </row>
    <row r="99" spans="1:60" x14ac:dyDescent="0.35">
      <c r="A99" s="9160"/>
      <c r="B99" s="944"/>
      <c r="C99" s="945"/>
      <c r="D99" s="197"/>
      <c r="F99" s="336"/>
      <c r="G99" s="272"/>
      <c r="H99" s="330"/>
      <c r="I99" s="948"/>
      <c r="J99" s="523">
        <f t="shared" si="108"/>
        <v>0</v>
      </c>
      <c r="L99" s="330"/>
      <c r="M99" s="157">
        <f t="shared" si="109"/>
        <v>0</v>
      </c>
      <c r="O99" s="330"/>
      <c r="P99" s="948"/>
      <c r="Q99"/>
      <c r="R99" s="523">
        <f t="shared" si="110"/>
        <v>0</v>
      </c>
      <c r="S99"/>
      <c r="T99" s="330"/>
      <c r="U99"/>
      <c r="V99" s="1692"/>
      <c r="X99" s="330"/>
      <c r="Y99" s="948"/>
      <c r="Z99"/>
      <c r="AA99" s="523">
        <f t="shared" si="111"/>
        <v>0</v>
      </c>
      <c r="AB99"/>
      <c r="AC99" s="330"/>
      <c r="AD99"/>
      <c r="AE99" s="1692"/>
      <c r="AG99" s="330"/>
      <c r="AH99" s="948"/>
      <c r="AI99"/>
      <c r="AJ99" s="523">
        <f t="shared" si="112"/>
        <v>0</v>
      </c>
      <c r="AK99"/>
      <c r="AL99" s="330"/>
      <c r="AM99"/>
      <c r="AN99" s="1692"/>
      <c r="AP99" s="330"/>
      <c r="AQ99" s="948"/>
      <c r="AR99"/>
      <c r="AS99" s="523">
        <f t="shared" si="113"/>
        <v>0</v>
      </c>
      <c r="AT99"/>
      <c r="AU99" s="330"/>
      <c r="AV99"/>
      <c r="AW99" s="1692"/>
      <c r="AY99" s="330"/>
      <c r="AZ99" s="948"/>
      <c r="BA99"/>
      <c r="BB99" s="523">
        <f t="shared" si="114"/>
        <v>0</v>
      </c>
      <c r="BC99"/>
      <c r="BD99" s="330"/>
      <c r="BE99"/>
      <c r="BF99" s="1692"/>
    </row>
    <row r="100" spans="1:60" x14ac:dyDescent="0.35">
      <c r="A100" s="9160"/>
      <c r="B100" s="944"/>
      <c r="C100" s="945"/>
      <c r="D100" s="197"/>
      <c r="F100" s="336"/>
      <c r="G100" s="272"/>
      <c r="H100" s="330"/>
      <c r="I100" s="948"/>
      <c r="J100" s="523">
        <f t="shared" si="108"/>
        <v>0</v>
      </c>
      <c r="L100" s="330"/>
      <c r="M100" s="157">
        <f t="shared" si="109"/>
        <v>0</v>
      </c>
      <c r="O100" s="330"/>
      <c r="P100" s="948"/>
      <c r="Q100"/>
      <c r="R100" s="523">
        <f t="shared" si="110"/>
        <v>0</v>
      </c>
      <c r="S100"/>
      <c r="T100" s="330"/>
      <c r="U100"/>
      <c r="V100" s="1692"/>
      <c r="X100" s="330"/>
      <c r="Y100" s="948"/>
      <c r="Z100"/>
      <c r="AA100" s="523">
        <f t="shared" si="111"/>
        <v>0</v>
      </c>
      <c r="AB100"/>
      <c r="AC100" s="330"/>
      <c r="AD100"/>
      <c r="AE100" s="1692"/>
      <c r="AG100" s="330"/>
      <c r="AH100" s="948"/>
      <c r="AI100"/>
      <c r="AJ100" s="523">
        <f t="shared" si="112"/>
        <v>0</v>
      </c>
      <c r="AK100"/>
      <c r="AL100" s="330"/>
      <c r="AM100"/>
      <c r="AN100" s="1692"/>
      <c r="AP100" s="330"/>
      <c r="AQ100" s="948"/>
      <c r="AR100"/>
      <c r="AS100" s="523">
        <f t="shared" si="113"/>
        <v>0</v>
      </c>
      <c r="AT100"/>
      <c r="AU100" s="330"/>
      <c r="AV100"/>
      <c r="AW100" s="1692"/>
      <c r="AY100" s="330"/>
      <c r="AZ100" s="948"/>
      <c r="BA100"/>
      <c r="BB100" s="523">
        <f t="shared" si="114"/>
        <v>0</v>
      </c>
      <c r="BC100"/>
      <c r="BD100" s="330"/>
      <c r="BE100"/>
      <c r="BF100" s="1692"/>
    </row>
    <row r="101" spans="1:60" x14ac:dyDescent="0.35">
      <c r="A101" s="9160"/>
      <c r="B101" s="944"/>
      <c r="C101" s="945"/>
      <c r="D101" s="197"/>
      <c r="F101" s="336"/>
      <c r="G101" s="272"/>
      <c r="H101" s="330"/>
      <c r="I101" s="948"/>
      <c r="J101" s="523">
        <f t="shared" si="108"/>
        <v>0</v>
      </c>
      <c r="L101" s="330"/>
      <c r="M101" s="157">
        <f t="shared" si="109"/>
        <v>0</v>
      </c>
      <c r="O101" s="330"/>
      <c r="P101" s="948"/>
      <c r="Q101"/>
      <c r="R101" s="523">
        <f t="shared" si="110"/>
        <v>0</v>
      </c>
      <c r="S101"/>
      <c r="T101" s="330"/>
      <c r="U101"/>
      <c r="V101" s="1692"/>
      <c r="X101" s="330"/>
      <c r="Y101" s="948"/>
      <c r="Z101"/>
      <c r="AA101" s="523">
        <f t="shared" si="111"/>
        <v>0</v>
      </c>
      <c r="AB101"/>
      <c r="AC101" s="330"/>
      <c r="AD101"/>
      <c r="AE101" s="1692"/>
      <c r="AG101" s="330"/>
      <c r="AH101" s="948"/>
      <c r="AI101"/>
      <c r="AJ101" s="523">
        <f t="shared" si="112"/>
        <v>0</v>
      </c>
      <c r="AK101"/>
      <c r="AL101" s="330"/>
      <c r="AM101"/>
      <c r="AN101" s="1692"/>
      <c r="AP101" s="330"/>
      <c r="AQ101" s="948"/>
      <c r="AR101"/>
      <c r="AS101" s="523">
        <f t="shared" si="113"/>
        <v>0</v>
      </c>
      <c r="AT101"/>
      <c r="AU101" s="330"/>
      <c r="AV101"/>
      <c r="AW101" s="1692"/>
      <c r="AY101" s="330"/>
      <c r="AZ101" s="948"/>
      <c r="BA101"/>
      <c r="BB101" s="523">
        <f t="shared" si="114"/>
        <v>0</v>
      </c>
      <c r="BC101"/>
      <c r="BD101" s="330"/>
      <c r="BE101"/>
      <c r="BF101" s="1692"/>
    </row>
    <row r="102" spans="1:60" s="1708" customFormat="1" ht="14.5" customHeight="1" x14ac:dyDescent="0.35">
      <c r="A102" s="9161"/>
      <c r="B102" s="949"/>
      <c r="C102" s="950"/>
      <c r="D102" s="209"/>
      <c r="E102" s="1700"/>
      <c r="F102" s="343"/>
      <c r="G102" s="274"/>
      <c r="H102" s="341"/>
      <c r="I102" s="951"/>
      <c r="J102" s="527">
        <f t="shared" si="108"/>
        <v>0</v>
      </c>
      <c r="K102" s="1"/>
      <c r="L102" s="341"/>
      <c r="M102" s="213">
        <f t="shared" si="109"/>
        <v>0</v>
      </c>
      <c r="N102" s="1"/>
      <c r="O102" s="341"/>
      <c r="P102" s="951"/>
      <c r="Q102" s="1696"/>
      <c r="R102" s="527">
        <f t="shared" si="110"/>
        <v>0</v>
      </c>
      <c r="S102" s="938"/>
      <c r="T102" s="341"/>
      <c r="U102" s="1696"/>
      <c r="V102" s="1697"/>
      <c r="W102" s="1"/>
      <c r="X102" s="341"/>
      <c r="Y102" s="951"/>
      <c r="Z102" s="1696"/>
      <c r="AA102" s="527">
        <f t="shared" si="111"/>
        <v>0</v>
      </c>
      <c r="AB102" s="938"/>
      <c r="AC102" s="341"/>
      <c r="AD102" s="1696"/>
      <c r="AE102" s="1697"/>
      <c r="AF102" s="1"/>
      <c r="AG102" s="341"/>
      <c r="AH102" s="951"/>
      <c r="AI102" s="1696"/>
      <c r="AJ102" s="527">
        <f t="shared" si="112"/>
        <v>0</v>
      </c>
      <c r="AK102" s="938"/>
      <c r="AL102" s="341"/>
      <c r="AM102" s="1696"/>
      <c r="AN102" s="1697"/>
      <c r="AO102" s="1"/>
      <c r="AP102" s="341"/>
      <c r="AQ102" s="951"/>
      <c r="AR102" s="1696"/>
      <c r="AS102" s="527">
        <f t="shared" si="113"/>
        <v>0</v>
      </c>
      <c r="AT102" s="938"/>
      <c r="AU102" s="341"/>
      <c r="AV102" s="1696"/>
      <c r="AW102" s="1697"/>
      <c r="AX102" s="1"/>
      <c r="AY102" s="341"/>
      <c r="AZ102" s="951"/>
      <c r="BA102" s="1696"/>
      <c r="BB102" s="527">
        <f t="shared" si="114"/>
        <v>0</v>
      </c>
      <c r="BC102" s="938"/>
      <c r="BD102" s="341"/>
      <c r="BE102" s="1696"/>
      <c r="BF102" s="1697"/>
      <c r="BG102" s="1"/>
      <c r="BH102"/>
    </row>
    <row r="103" spans="1:60" s="1708" customFormat="1" x14ac:dyDescent="0.35">
      <c r="A103" s="310"/>
      <c r="B103" s="310"/>
      <c r="C103" s="1"/>
      <c r="D103" s="5"/>
      <c r="E103" s="1710"/>
      <c r="F103" s="106"/>
      <c r="G103" s="1"/>
      <c r="H103" s="106"/>
      <c r="I103" s="106"/>
      <c r="J103" s="6888"/>
      <c r="K103" s="1"/>
      <c r="L103" s="106"/>
      <c r="M103" s="312"/>
      <c r="N103" s="1"/>
      <c r="O103" s="847"/>
      <c r="P103" s="847"/>
      <c r="Q103" s="6888"/>
      <c r="R103" s="6888"/>
      <c r="S103" s="938"/>
      <c r="T103" s="847"/>
      <c r="U103" s="6888"/>
      <c r="V103" s="6889"/>
      <c r="W103" s="1"/>
      <c r="X103" s="847"/>
      <c r="Y103" s="847"/>
      <c r="Z103" s="6888"/>
      <c r="AA103" s="6888"/>
      <c r="AB103" s="938"/>
      <c r="AC103" s="847"/>
      <c r="AD103" s="6888"/>
      <c r="AE103" s="6889"/>
      <c r="AF103" s="1"/>
      <c r="AG103" s="847"/>
      <c r="AH103" s="847"/>
      <c r="AI103" s="6888"/>
      <c r="AJ103" s="6888"/>
      <c r="AK103" s="938"/>
      <c r="AL103" s="847"/>
      <c r="AM103" s="6888"/>
      <c r="AN103" s="6889"/>
      <c r="AO103" s="1"/>
      <c r="AP103" s="847"/>
      <c r="AQ103" s="847"/>
      <c r="AR103" s="6888"/>
      <c r="AS103" s="6888"/>
      <c r="AT103" s="938"/>
      <c r="AU103" s="847"/>
      <c r="AV103" s="6888"/>
      <c r="AW103" s="6889"/>
      <c r="AX103" s="1"/>
      <c r="AY103" s="847"/>
      <c r="AZ103" s="847"/>
      <c r="BA103" s="6888"/>
      <c r="BB103" s="6888"/>
      <c r="BC103" s="938"/>
      <c r="BD103" s="847"/>
      <c r="BE103" s="6888"/>
      <c r="BF103" s="6889"/>
      <c r="BG103" s="1"/>
      <c r="BH103"/>
    </row>
    <row r="104" spans="1:60" s="1708" customFormat="1" ht="13" x14ac:dyDescent="0.3">
      <c r="A104" s="9167" t="s">
        <v>988</v>
      </c>
      <c r="B104" s="1698" t="s">
        <v>989</v>
      </c>
      <c r="C104" s="1699"/>
      <c r="D104" s="771"/>
      <c r="E104" s="1710"/>
      <c r="F104" s="1701"/>
      <c r="G104" s="1702"/>
      <c r="H104" s="1703"/>
      <c r="I104" s="1704"/>
      <c r="J104" s="8517"/>
      <c r="K104" s="1700"/>
      <c r="L104" s="1703"/>
      <c r="M104" s="1705"/>
      <c r="N104" s="1700"/>
      <c r="O104" s="1703"/>
      <c r="P104" s="1704"/>
      <c r="Q104" s="1704"/>
      <c r="R104" s="1706"/>
      <c r="S104" s="1707"/>
      <c r="T104" s="1703"/>
      <c r="U104" s="1704"/>
      <c r="V104" s="1706"/>
      <c r="W104" s="1700"/>
      <c r="X104" s="1703"/>
      <c r="Y104" s="1704"/>
      <c r="Z104" s="1704"/>
      <c r="AA104" s="1706"/>
      <c r="AB104" s="1707"/>
      <c r="AC104" s="1703"/>
      <c r="AD104" s="1704"/>
      <c r="AE104" s="1706"/>
      <c r="AF104" s="1700"/>
      <c r="AG104" s="1703"/>
      <c r="AH104" s="1704"/>
      <c r="AI104" s="1704"/>
      <c r="AJ104" s="1706"/>
      <c r="AK104" s="1707"/>
      <c r="AL104" s="1703"/>
      <c r="AM104" s="1704"/>
      <c r="AN104" s="1706"/>
      <c r="AO104" s="1700"/>
      <c r="AP104" s="1703"/>
      <c r="AQ104" s="1704"/>
      <c r="AR104" s="1704"/>
      <c r="AS104" s="1706"/>
      <c r="AT104" s="1707"/>
      <c r="AU104" s="1703"/>
      <c r="AV104" s="1704"/>
      <c r="AW104" s="8518"/>
      <c r="AX104" s="1700"/>
      <c r="AY104" s="1703"/>
      <c r="AZ104" s="1704"/>
      <c r="BA104" s="1704"/>
      <c r="BB104" s="1706"/>
      <c r="BC104" s="1707"/>
      <c r="BD104" s="1703"/>
      <c r="BE104" s="1704"/>
      <c r="BF104" s="8518"/>
      <c r="BG104" s="1700"/>
    </row>
    <row r="105" spans="1:60" s="1708" customFormat="1" ht="13" x14ac:dyDescent="0.3">
      <c r="A105" s="9168"/>
      <c r="B105" s="1709"/>
      <c r="D105" s="778" t="s">
        <v>990</v>
      </c>
      <c r="E105" s="1710"/>
      <c r="F105" s="8519">
        <f>SUM(F39:F44)-SUM(F47:F49)</f>
        <v>0</v>
      </c>
      <c r="G105" s="1710"/>
      <c r="H105" s="6894">
        <f>SUM(H39:H44)-SUM(H47:H49)</f>
        <v>17650082759</v>
      </c>
      <c r="I105" s="6892">
        <f>SUM(I39:I44)-SUM(I47:I49)</f>
        <v>11843811850</v>
      </c>
      <c r="J105" s="8520"/>
      <c r="K105" s="1710"/>
      <c r="L105" s="6894">
        <f>SUM(L39:L44)-SUM(L47:L49)</f>
        <v>21768710117</v>
      </c>
      <c r="M105" s="6893">
        <f>SUM(M39:M44)-SUM(M47:M49)</f>
        <v>10740132390.196363</v>
      </c>
      <c r="N105" s="1710"/>
      <c r="O105" s="6890">
        <f>SUM(O39:O45)-SUM(O47:O49)</f>
        <v>21768710137</v>
      </c>
      <c r="P105" s="6891">
        <f>SUM(P39:P45)-SUM(P47:P49)</f>
        <v>12676131318</v>
      </c>
      <c r="Q105" s="6892"/>
      <c r="R105" s="6893"/>
      <c r="S105" s="6892"/>
      <c r="T105" s="6894">
        <f>SUM(T39:T45)-SUM(T47:T49)</f>
        <v>22416069801</v>
      </c>
      <c r="U105" s="6892"/>
      <c r="V105" s="6893">
        <f>SUM(V39:V45)-SUM(V47:V49)</f>
        <v>11498627984.16</v>
      </c>
      <c r="W105" s="1710"/>
      <c r="X105" s="6890">
        <f>SUM(X39:X45)-SUM(X47:X49)</f>
        <v>22416069801</v>
      </c>
      <c r="Y105" s="6891">
        <f>SUM(Y39:Y45)-SUM(Y47:Y49)</f>
        <v>11498627984.16</v>
      </c>
      <c r="Z105" s="6892"/>
      <c r="AA105" s="6893"/>
      <c r="AB105" s="6892"/>
      <c r="AC105" s="6894">
        <f>SUM(AC39:AC45)-SUM(AC47:AC49)</f>
        <v>22302492489</v>
      </c>
      <c r="AD105" s="6892"/>
      <c r="AE105" s="6893">
        <f>SUM(AE39:AE45)-SUM(AE47:AE49)</f>
        <v>11819260040.512434</v>
      </c>
      <c r="AF105" s="1710"/>
      <c r="AG105" s="6890">
        <f>SUM(AG39:AG45)-SUM(AG47:AG49)</f>
        <v>22309613022</v>
      </c>
      <c r="AH105" s="6891">
        <f>SUM(AH39:AH45)-SUM(AH47:AH49)</f>
        <v>14500728810.802258</v>
      </c>
      <c r="AI105" s="6892"/>
      <c r="AJ105" s="6893"/>
      <c r="AK105" s="6892"/>
      <c r="AL105" s="6894">
        <f>SUM(AL39:AL45)-SUM(AL47:AL49)</f>
        <v>24484166719</v>
      </c>
      <c r="AM105" s="6892"/>
      <c r="AN105" s="6893">
        <f>SUM(AN39:AN45)-SUM(AN47:AN49)</f>
        <v>17175719308.52005</v>
      </c>
      <c r="AO105" s="1710"/>
      <c r="AP105" s="6890">
        <f>SUM(AP39:AP45)-SUM(AP47:AP49)</f>
        <v>24484166719</v>
      </c>
      <c r="AQ105" s="6891">
        <f>SUM(AQ39:AQ45)-SUM(AQ47:AQ49)</f>
        <v>19622900141.75782</v>
      </c>
      <c r="AR105" s="6892"/>
      <c r="AS105" s="6893"/>
      <c r="AT105" s="6892"/>
      <c r="AU105" s="6894">
        <f>SUM(AU39:AU45)-SUM(AU47:AU49)</f>
        <v>24534698384</v>
      </c>
      <c r="AV105" s="6892"/>
      <c r="AW105" s="8521">
        <f>SUM(AW39:AW45)-SUM(AW47:AW49)</f>
        <v>18021383532.833843</v>
      </c>
      <c r="AX105" s="1710"/>
      <c r="AY105" s="6890">
        <f>SUM(AY39:AY45)-SUM(AY47:AY49)</f>
        <v>24534698384</v>
      </c>
      <c r="AZ105" s="6891">
        <f>SUM(AZ39:AZ45)-SUM(AZ47:AZ49)</f>
        <v>18021383532.833843</v>
      </c>
      <c r="BA105" s="6892"/>
      <c r="BB105" s="6893"/>
      <c r="BC105" s="6892"/>
      <c r="BD105" s="6894">
        <f>SUM(BD39:BD45)-SUM(BD47:BD49)</f>
        <v>19878165508</v>
      </c>
      <c r="BE105" s="6892"/>
      <c r="BF105" s="8521">
        <f>SUM(BF39:BF45)-SUM(BF47:BF49)</f>
        <v>18795249670.696739</v>
      </c>
      <c r="BG105" s="1710"/>
    </row>
    <row r="106" spans="1:60" s="1708" customFormat="1" ht="13" x14ac:dyDescent="0.3">
      <c r="A106" s="9168"/>
      <c r="B106" s="1709"/>
      <c r="D106" s="778" t="s">
        <v>944</v>
      </c>
      <c r="E106" s="1710"/>
      <c r="F106" s="8519">
        <f>SUM(F51:F72)</f>
        <v>0</v>
      </c>
      <c r="G106" s="1710"/>
      <c r="H106" s="6894">
        <f>SUM(H51:H72)</f>
        <v>0</v>
      </c>
      <c r="I106" s="6892">
        <f>SUM(I51:I72)</f>
        <v>0</v>
      </c>
      <c r="J106" s="8520"/>
      <c r="K106" s="1710"/>
      <c r="L106" s="6894">
        <f>SUM(L51:L72)</f>
        <v>0</v>
      </c>
      <c r="M106" s="6893">
        <f>SUM(M51:M72)</f>
        <v>0</v>
      </c>
      <c r="N106" s="1710"/>
      <c r="O106" s="6890">
        <f>SUM(O51:O72)</f>
        <v>890129078.50671792</v>
      </c>
      <c r="P106" s="6891">
        <f>SUM(P51:P72)</f>
        <v>699273289.42999995</v>
      </c>
      <c r="Q106" s="6892"/>
      <c r="R106" s="6893"/>
      <c r="S106" s="6892"/>
      <c r="T106" s="6894">
        <f>SUM(T51:T72)</f>
        <v>289079244</v>
      </c>
      <c r="U106" s="6892"/>
      <c r="V106" s="6893">
        <f>SUM(V51:V72)</f>
        <v>187199331.958767</v>
      </c>
      <c r="W106" s="1710"/>
      <c r="X106" s="6890">
        <f>SUM(X51:X72)</f>
        <v>289079244</v>
      </c>
      <c r="Y106" s="6891">
        <f>SUM(Y51:Y72)</f>
        <v>289079244</v>
      </c>
      <c r="Z106" s="6892"/>
      <c r="AA106" s="6893"/>
      <c r="AB106" s="6892"/>
      <c r="AC106" s="6894">
        <f>SUM(AC51:AC72)</f>
        <v>345506990</v>
      </c>
      <c r="AD106" s="6892"/>
      <c r="AE106" s="6893">
        <f>SUM(AE51:AE72)</f>
        <v>320475790</v>
      </c>
      <c r="AF106" s="1710"/>
      <c r="AG106" s="6890">
        <f>SUM(AG51:AG72)</f>
        <v>344773076</v>
      </c>
      <c r="AH106" s="6891">
        <f>SUM(AH51:AH72)</f>
        <v>344773076</v>
      </c>
      <c r="AI106" s="6892"/>
      <c r="AJ106" s="6893"/>
      <c r="AK106" s="6892"/>
      <c r="AL106" s="6894">
        <f>SUM(AL51:AL72)</f>
        <v>392122330</v>
      </c>
      <c r="AM106" s="6892"/>
      <c r="AN106" s="6893">
        <f>SUM(AN51:AN72)</f>
        <v>392122330</v>
      </c>
      <c r="AO106" s="1710"/>
      <c r="AP106" s="6890">
        <f>SUM(AP51:AP72)</f>
        <v>365890629</v>
      </c>
      <c r="AQ106" s="6891">
        <f>SUM(AQ51:AQ72)</f>
        <v>366907794.40000004</v>
      </c>
      <c r="AR106" s="6892"/>
      <c r="AS106" s="6893"/>
      <c r="AT106" s="6892"/>
      <c r="AU106" s="6894">
        <f>SUM(AU51:AU72)</f>
        <v>365890629</v>
      </c>
      <c r="AV106" s="6892"/>
      <c r="AW106" s="8521">
        <f>SUM(AW51:AW72)</f>
        <v>365890629</v>
      </c>
      <c r="AX106" s="1710"/>
      <c r="AY106" s="6890">
        <f>SUM(AY51:AY72)</f>
        <v>365890629</v>
      </c>
      <c r="AZ106" s="6891">
        <f>SUM(AZ51:AZ72)</f>
        <v>365890629</v>
      </c>
      <c r="BA106" s="6892"/>
      <c r="BB106" s="6893"/>
      <c r="BC106" s="6892"/>
      <c r="BD106" s="6894">
        <f>SUM(BD51:BD72)</f>
        <v>374249078</v>
      </c>
      <c r="BE106" s="6892"/>
      <c r="BF106" s="8521">
        <f>SUM(BF51:BF72)</f>
        <v>350672420</v>
      </c>
      <c r="BG106" s="1710"/>
    </row>
    <row r="107" spans="1:60" x14ac:dyDescent="0.35">
      <c r="A107" s="9168"/>
      <c r="B107" s="1709"/>
      <c r="C107" s="1708"/>
      <c r="D107" s="778" t="s">
        <v>991</v>
      </c>
      <c r="E107" s="143"/>
      <c r="F107" s="8519">
        <f>SUM(F74:F81)*F32</f>
        <v>0</v>
      </c>
      <c r="G107" s="1710"/>
      <c r="H107" s="6894">
        <f>SUM(H74:H81)*H32</f>
        <v>0</v>
      </c>
      <c r="I107" s="6892">
        <f>SUM(I74:I81)*I32</f>
        <v>0</v>
      </c>
      <c r="J107" s="8520"/>
      <c r="K107" s="1710"/>
      <c r="L107" s="6894">
        <f>SUM(L74:L81)*L32</f>
        <v>0</v>
      </c>
      <c r="M107" s="6893">
        <f>SUM(M74:M81)*M32</f>
        <v>0</v>
      </c>
      <c r="N107" s="1710"/>
      <c r="O107" s="6890">
        <f>SUM(O74:O81)*O32</f>
        <v>0</v>
      </c>
      <c r="P107" s="6891">
        <f>SUM(P74:P81)*P32</f>
        <v>0</v>
      </c>
      <c r="Q107" s="6892"/>
      <c r="R107" s="6893"/>
      <c r="S107" s="6892"/>
      <c r="T107" s="6894">
        <f>SUM(T74:T81)*T32</f>
        <v>0</v>
      </c>
      <c r="U107" s="6892"/>
      <c r="V107" s="6893">
        <f>SUM(V74:V81)*V32</f>
        <v>0</v>
      </c>
      <c r="W107" s="1710"/>
      <c r="X107" s="6890">
        <f>SUM(X74:X81)*X32</f>
        <v>0</v>
      </c>
      <c r="Y107" s="6891">
        <f>SUM(Y74:Y81)*Y32</f>
        <v>0</v>
      </c>
      <c r="Z107" s="6892"/>
      <c r="AA107" s="6893"/>
      <c r="AB107" s="6892"/>
      <c r="AC107" s="6894">
        <f>SUM(AC74:AC81)*AC32</f>
        <v>0</v>
      </c>
      <c r="AD107" s="6892"/>
      <c r="AE107" s="6893">
        <f>SUM(AE74:AE81)*AE32</f>
        <v>0</v>
      </c>
      <c r="AF107" s="1710"/>
      <c r="AG107" s="6890">
        <f>SUM(AG74:AG81)*AG32</f>
        <v>0</v>
      </c>
      <c r="AH107" s="6891">
        <f>SUM(AH74:AH81)*AH32</f>
        <v>0</v>
      </c>
      <c r="AI107" s="6892"/>
      <c r="AJ107" s="6893"/>
      <c r="AK107" s="6892"/>
      <c r="AL107" s="6894">
        <f>SUM(AL74:AL81)*AL32</f>
        <v>0</v>
      </c>
      <c r="AM107" s="6892"/>
      <c r="AN107" s="6893">
        <f>SUM(AN74:AN81)*AN32</f>
        <v>0</v>
      </c>
      <c r="AO107" s="1710"/>
      <c r="AP107" s="6890">
        <f>SUM(AP74:AP81)*AP32</f>
        <v>684306511.65764689</v>
      </c>
      <c r="AQ107" s="6891">
        <f>SUM(AQ74:AQ81)*AQ32</f>
        <v>694993292.39964604</v>
      </c>
      <c r="AR107" s="6892"/>
      <c r="AS107" s="6893"/>
      <c r="AT107" s="6892"/>
      <c r="AU107" s="6894">
        <f>SUM(AU74:AU81)*AU32</f>
        <v>523080518.0561862</v>
      </c>
      <c r="AV107" s="6892"/>
      <c r="AW107" s="8521">
        <f>SUM(AW74:AW81)*AW32</f>
        <v>523142529.25148183</v>
      </c>
      <c r="AX107" s="1710"/>
      <c r="AY107" s="6890">
        <f>SUM(AY74:AY81)*AY32</f>
        <v>523080518.0561862</v>
      </c>
      <c r="AZ107" s="6891">
        <f>SUM(AZ74:AZ81)*AZ32</f>
        <v>523142529.25148183</v>
      </c>
      <c r="BA107" s="6892"/>
      <c r="BB107" s="6893"/>
      <c r="BC107" s="6892"/>
      <c r="BD107" s="6894">
        <f>SUM(BD74:BD81)*BD32</f>
        <v>584606951.04967391</v>
      </c>
      <c r="BE107" s="6892"/>
      <c r="BF107" s="8521">
        <f>SUM(BF74:BF81)*BF32</f>
        <v>562139245.31071746</v>
      </c>
      <c r="BG107" s="1710"/>
      <c r="BH107" s="1708"/>
    </row>
    <row r="108" spans="1:60" x14ac:dyDescent="0.35">
      <c r="A108" s="9168"/>
      <c r="B108" s="1709"/>
      <c r="C108" s="1708"/>
      <c r="D108" s="778" t="s">
        <v>979</v>
      </c>
      <c r="F108" s="8519">
        <f>SUM(F83:F85)</f>
        <v>0</v>
      </c>
      <c r="G108" s="1710"/>
      <c r="H108" s="6894">
        <f>SUM(H83:H85)</f>
        <v>0</v>
      </c>
      <c r="I108" s="6892">
        <f>SUM(I83:I85)</f>
        <v>0</v>
      </c>
      <c r="J108" s="8520"/>
      <c r="K108" s="1710"/>
      <c r="L108" s="6894">
        <f>SUM(L83:L85)</f>
        <v>0</v>
      </c>
      <c r="M108" s="6893">
        <f>SUM(M83:M85)</f>
        <v>0</v>
      </c>
      <c r="N108" s="1710"/>
      <c r="O108" s="6890">
        <f>SUM(O83:O85)</f>
        <v>0</v>
      </c>
      <c r="P108" s="6891">
        <f>SUM(P83:P85)</f>
        <v>0</v>
      </c>
      <c r="Q108" s="6892"/>
      <c r="R108" s="6893"/>
      <c r="S108" s="6892"/>
      <c r="T108" s="6894">
        <f>SUM(T83:T85)</f>
        <v>0</v>
      </c>
      <c r="U108" s="6892"/>
      <c r="V108" s="6893">
        <f>SUM(V83:V85)</f>
        <v>0</v>
      </c>
      <c r="W108" s="1710"/>
      <c r="X108" s="6890">
        <f>SUM(X83:X85)</f>
        <v>0</v>
      </c>
      <c r="Y108" s="6891">
        <f>SUM(Y83:Y85)</f>
        <v>0</v>
      </c>
      <c r="Z108" s="6892"/>
      <c r="AA108" s="6893"/>
      <c r="AB108" s="6892"/>
      <c r="AC108" s="6894">
        <f>SUM(AC83:AC85)</f>
        <v>0</v>
      </c>
      <c r="AD108" s="6892"/>
      <c r="AE108" s="6893">
        <f>SUM(AE83:AE85)</f>
        <v>0</v>
      </c>
      <c r="AF108" s="1710"/>
      <c r="AG108" s="6890">
        <f>SUM(AG83:AG85)</f>
        <v>0</v>
      </c>
      <c r="AH108" s="6891">
        <f>SUM(AH83:AH85)</f>
        <v>0</v>
      </c>
      <c r="AI108" s="6892"/>
      <c r="AJ108" s="6893"/>
      <c r="AK108" s="6892"/>
      <c r="AL108" s="6894">
        <f>SUM(AL83:AL85)</f>
        <v>0</v>
      </c>
      <c r="AM108" s="6892"/>
      <c r="AN108" s="6893">
        <f>SUM(AN83:AN85)</f>
        <v>0</v>
      </c>
      <c r="AO108" s="1710"/>
      <c r="AP108" s="6890">
        <f>SUM(AP83:AP85)</f>
        <v>0</v>
      </c>
      <c r="AQ108" s="6891">
        <f>SUM(AQ83:AQ85)</f>
        <v>0</v>
      </c>
      <c r="AR108" s="6892"/>
      <c r="AS108" s="6893"/>
      <c r="AT108" s="6892"/>
      <c r="AU108" s="6894">
        <f>SUM(AU83:AU85)</f>
        <v>0</v>
      </c>
      <c r="AV108" s="6892"/>
      <c r="AW108" s="8521">
        <f>SUM(AW83:AW85)</f>
        <v>0</v>
      </c>
      <c r="AX108" s="1710"/>
      <c r="AY108" s="6890">
        <f>SUM(AY83:AY85)</f>
        <v>0</v>
      </c>
      <c r="AZ108" s="6891">
        <f>SUM(AZ83:AZ85)</f>
        <v>0</v>
      </c>
      <c r="BA108" s="6892"/>
      <c r="BB108" s="6893"/>
      <c r="BC108" s="6892"/>
      <c r="BD108" s="6894">
        <f>SUM(BD83:BD85)</f>
        <v>0</v>
      </c>
      <c r="BE108" s="6892"/>
      <c r="BF108" s="8521">
        <f>SUM(BF83:BF85)</f>
        <v>0</v>
      </c>
      <c r="BG108" s="1710"/>
      <c r="BH108" s="1708"/>
    </row>
    <row r="109" spans="1:60" x14ac:dyDescent="0.35">
      <c r="A109" s="9168"/>
      <c r="B109" s="1711"/>
      <c r="C109"/>
      <c r="D109" s="356" t="s">
        <v>992</v>
      </c>
      <c r="E109" s="374"/>
      <c r="F109" s="8522">
        <f t="shared" ref="F109" si="115">SUM(F105:F108)</f>
        <v>0</v>
      </c>
      <c r="G109" s="143"/>
      <c r="H109" s="5248">
        <f t="shared" ref="H109:I109" si="116">SUM(H105:H108)</f>
        <v>17650082759</v>
      </c>
      <c r="I109" s="5249">
        <f t="shared" si="116"/>
        <v>11843811850</v>
      </c>
      <c r="J109" s="8523"/>
      <c r="K109" s="143"/>
      <c r="L109" s="5248">
        <f t="shared" ref="L109:M109" si="117">SUM(L105:L108)</f>
        <v>21768710117</v>
      </c>
      <c r="M109" s="5250">
        <f t="shared" si="117"/>
        <v>10740132390.196363</v>
      </c>
      <c r="N109" s="143"/>
      <c r="O109" s="6895">
        <f t="shared" ref="O109:P109" si="118">SUM(O105:O108)</f>
        <v>22658839215.506718</v>
      </c>
      <c r="P109" s="6896">
        <f t="shared" si="118"/>
        <v>13375404607.43</v>
      </c>
      <c r="Q109" s="5249"/>
      <c r="R109" s="5250"/>
      <c r="S109" s="5249"/>
      <c r="T109" s="5248">
        <f t="shared" ref="T109" si="119">SUM(T105:T108)</f>
        <v>22705149045</v>
      </c>
      <c r="U109" s="5249"/>
      <c r="V109" s="6897">
        <f t="shared" ref="V109" si="120">SUM(V105:V108)</f>
        <v>11685827316.118767</v>
      </c>
      <c r="W109" s="143"/>
      <c r="X109" s="6895">
        <f t="shared" ref="X109:Y109" si="121">SUM(X105:X108)</f>
        <v>22705149045</v>
      </c>
      <c r="Y109" s="6896">
        <f t="shared" si="121"/>
        <v>11787707228.16</v>
      </c>
      <c r="Z109" s="5249"/>
      <c r="AA109" s="5250"/>
      <c r="AB109" s="5249"/>
      <c r="AC109" s="5248">
        <f t="shared" ref="AC109" si="122">SUM(AC105:AC108)</f>
        <v>22647999479</v>
      </c>
      <c r="AD109" s="5249"/>
      <c r="AE109" s="6897">
        <f t="shared" ref="AE109" si="123">SUM(AE105:AE108)</f>
        <v>12139735830.512434</v>
      </c>
      <c r="AF109" s="143"/>
      <c r="AG109" s="6895">
        <f>SUM(AG105:AG108)</f>
        <v>22654386098</v>
      </c>
      <c r="AH109" s="6896">
        <f t="shared" ref="AH109" si="124">SUM(AH105:AH108)</f>
        <v>14845501886.802258</v>
      </c>
      <c r="AI109" s="5249"/>
      <c r="AJ109" s="5250"/>
      <c r="AK109" s="5249"/>
      <c r="AL109" s="5248">
        <f t="shared" ref="AL109" si="125">SUM(AL105:AL108)</f>
        <v>24876289049</v>
      </c>
      <c r="AM109" s="5249"/>
      <c r="AN109" s="6897">
        <f t="shared" ref="AN109" si="126">SUM(AN105:AN108)</f>
        <v>17567841638.52005</v>
      </c>
      <c r="AO109" s="143"/>
      <c r="AP109" s="6895">
        <f>SUM(AP105:AP108)</f>
        <v>25534363859.657646</v>
      </c>
      <c r="AQ109" s="6896">
        <f>SUM(AQ105:AQ108)</f>
        <v>20684801228.557468</v>
      </c>
      <c r="AR109" s="5249"/>
      <c r="AS109" s="5250"/>
      <c r="AT109" s="5249"/>
      <c r="AU109" s="5248">
        <f>SUM(AU105:AU108)</f>
        <v>25423669531.056187</v>
      </c>
      <c r="AV109" s="5249"/>
      <c r="AW109" s="8524">
        <f>SUM(AW105:AW108)</f>
        <v>18910416691.085323</v>
      </c>
      <c r="AX109" s="143"/>
      <c r="AY109" s="6895">
        <f>SUM(AY105:AY108)</f>
        <v>25423669531.056187</v>
      </c>
      <c r="AZ109" s="6896">
        <f>SUM(AZ105:AZ108)</f>
        <v>18910416691.085323</v>
      </c>
      <c r="BA109" s="5249"/>
      <c r="BB109" s="5250"/>
      <c r="BC109" s="5249"/>
      <c r="BD109" s="5248">
        <f>SUM(BD105:BD108)</f>
        <v>20837021537.049675</v>
      </c>
      <c r="BE109" s="5249"/>
      <c r="BF109" s="8524">
        <f>SUM(BF105:BF108)</f>
        <v>19708061336.007458</v>
      </c>
      <c r="BG109" s="143"/>
    </row>
    <row r="110" spans="1:60" x14ac:dyDescent="0.35">
      <c r="A110" s="9168"/>
      <c r="B110" s="1711"/>
      <c r="C110"/>
      <c r="D110" s="365" t="s">
        <v>993</v>
      </c>
      <c r="E110" s="392"/>
      <c r="F110" s="8525" t="e">
        <f>F109/SUM(F19:F23)</f>
        <v>#DIV/0!</v>
      </c>
      <c r="G110" s="8526"/>
      <c r="H110" s="6902">
        <f>H109/SUM(H19:H23)</f>
        <v>0.15374285559399528</v>
      </c>
      <c r="I110" s="6900">
        <f>I109/SUM(I19:I23)</f>
        <v>0.22931965015667397</v>
      </c>
      <c r="J110" s="6901"/>
      <c r="K110" s="8526"/>
      <c r="L110" s="6902">
        <f>L109/SUM(L19:L23)</f>
        <v>0.18514191425737495</v>
      </c>
      <c r="M110" s="6901">
        <f>M109/SUM(M19:M23)</f>
        <v>0.19751589946785156</v>
      </c>
      <c r="O110" s="6898">
        <f>O109/SUM(O19:O23)</f>
        <v>0.19271242309707215</v>
      </c>
      <c r="P110" s="6899">
        <f>P109/SUM(P19:P23)</f>
        <v>0.24995710114130967</v>
      </c>
      <c r="Q110" s="6900"/>
      <c r="R110" s="6901"/>
      <c r="S110" s="6900"/>
      <c r="T110" s="6902">
        <f>T109/SUM(T19:T23)</f>
        <v>0.19962768290610844</v>
      </c>
      <c r="U110" s="6900"/>
      <c r="V110" s="6903">
        <f>V109/SUM(V19:V23)</f>
        <v>0.18831004887776792</v>
      </c>
      <c r="X110" s="6898">
        <f>X109/SUM(X19:X23)</f>
        <v>0.19962768290610844</v>
      </c>
      <c r="Y110" s="6899">
        <f>Y109/SUM(Y19:Y23)</f>
        <v>0.18995178212413247</v>
      </c>
      <c r="Z110" s="6900"/>
      <c r="AA110" s="6901"/>
      <c r="AB110" s="6900"/>
      <c r="AC110" s="6902">
        <f>AC109/SUM(AC19:AC23)</f>
        <v>0.20523201438496971</v>
      </c>
      <c r="AD110" s="6900"/>
      <c r="AE110" s="6903">
        <f>AE109/SUM(AE19:AE23)</f>
        <v>0.17842994466979986</v>
      </c>
      <c r="AG110" s="6898">
        <f>AG109/SUM(AG19:AG23)</f>
        <v>0.20932037229510092</v>
      </c>
      <c r="AH110" s="6899">
        <f>AH109/SUM(AH19:AH23)</f>
        <v>0.15601482396834912</v>
      </c>
      <c r="AI110" s="6900"/>
      <c r="AJ110" s="6901"/>
      <c r="AK110" s="6900"/>
      <c r="AL110" s="6902">
        <f>AL109/SUM(AL19:AL23)</f>
        <v>0.19065414355926791</v>
      </c>
      <c r="AM110" s="6900"/>
      <c r="AN110" s="6903">
        <f>AN109/SUM(AN19:AN23)</f>
        <v>0.18238537820209771</v>
      </c>
      <c r="AP110" s="6898">
        <f>AP109/SUM(AP19:AP23)</f>
        <v>0.19569768880738458</v>
      </c>
      <c r="AQ110" s="6899">
        <f>AQ109/SUM(AQ19:AQ23)</f>
        <v>0.16563059701363242</v>
      </c>
      <c r="AR110" s="6900"/>
      <c r="AS110" s="6901"/>
      <c r="AT110" s="6900"/>
      <c r="AU110" s="6902">
        <f>AU109/SUM(AU19:AU23)</f>
        <v>0.19371495256768748</v>
      </c>
      <c r="AV110" s="8527"/>
      <c r="AW110" s="8528">
        <f>AW109/SUM(AW19:AW23)</f>
        <v>0.18866728166506019</v>
      </c>
      <c r="AY110" s="6898">
        <f>AY109/SUM(AY19:AY23)</f>
        <v>0.19371452839998293</v>
      </c>
      <c r="AZ110" s="6899">
        <f>AZ109/SUM(AZ19:AZ23)</f>
        <v>0.18866728166506019</v>
      </c>
      <c r="BA110" s="6900"/>
      <c r="BB110" s="6901"/>
      <c r="BC110" s="6900"/>
      <c r="BD110" s="6902">
        <f>BD109/SUM(BD19:BD23)</f>
        <v>0.1166453812215492</v>
      </c>
      <c r="BE110" s="8527"/>
      <c r="BF110" s="8528">
        <f>BF109/SUM(BF19:BF23)</f>
        <v>0.17186621506975483</v>
      </c>
    </row>
    <row r="111" spans="1:60" x14ac:dyDescent="0.35">
      <c r="A111" s="9168"/>
      <c r="B111" s="371"/>
      <c r="C111" s="372"/>
      <c r="D111" s="296" t="s">
        <v>994</v>
      </c>
      <c r="E111" s="392"/>
      <c r="F111" s="1713"/>
      <c r="G111" s="570"/>
      <c r="H111" s="1714">
        <f>H39+H43+SUM(H51:H61)+H84</f>
        <v>17261060941</v>
      </c>
      <c r="I111" s="1715">
        <f>I39+I43+SUM(I51:I61)+I84</f>
        <v>11833811850</v>
      </c>
      <c r="J111" s="569"/>
      <c r="K111" s="570"/>
      <c r="L111" s="1716">
        <f>L39+L43+SUM(L51:L61)+L84</f>
        <v>10892770571</v>
      </c>
      <c r="M111" s="1717">
        <f>M39+M43+SUM(M51:M61)+M84</f>
        <v>10306002877.789091</v>
      </c>
      <c r="N111" s="1718"/>
      <c r="O111" s="1719">
        <f>O39+O43+SUM(O51:O61)+O84</f>
        <v>11729899649.83</v>
      </c>
      <c r="P111" s="1715">
        <f>P39+P43+SUM(P51:P61)+P84</f>
        <v>11175424509</v>
      </c>
      <c r="Q111" s="1718"/>
      <c r="R111" s="569"/>
      <c r="S111" s="1720"/>
      <c r="T111" s="1716">
        <f>T39+T43+SUM(T51:T61)+T84</f>
        <v>11806033895</v>
      </c>
      <c r="U111" s="1721"/>
      <c r="V111" s="1722">
        <f>V39+V43+SUM(V51:V61)+V84</f>
        <v>11466305054.378767</v>
      </c>
      <c r="X111" s="1719">
        <f>X39+X43+SUM(X51:X62)+X84+X107</f>
        <v>11828065103</v>
      </c>
      <c r="Y111" s="1715">
        <f>Y39+Y43+SUM(Y51:Y62)+Y84+Y107</f>
        <v>11568184966.42</v>
      </c>
      <c r="Z111" s="1718"/>
      <c r="AA111" s="569"/>
      <c r="AB111" s="1720"/>
      <c r="AC111" s="1716">
        <f>AC39+AC43+SUM(AC51:AC62)+AC84+AC107</f>
        <v>12179406657</v>
      </c>
      <c r="AD111" s="1721"/>
      <c r="AE111" s="1722">
        <f>AE39+AE43+SUM(AE51:AE62)+AE84+AE107</f>
        <v>11887229058.662283</v>
      </c>
      <c r="AG111" s="1719">
        <f>AG39+AG43+SUM(AG51:AG62)+AG84+AG107</f>
        <v>12636487876</v>
      </c>
      <c r="AH111" s="1715">
        <f>AH39+AH43+SUM(AH51:AH62)+AH84+AH107</f>
        <v>11722634896.15274</v>
      </c>
      <c r="AI111" s="1718"/>
      <c r="AJ111" s="569"/>
      <c r="AK111" s="1720"/>
      <c r="AL111" s="1716">
        <f>AL39+AL43+SUM(AL51:AL62)+AL84+AL107</f>
        <v>14221339454</v>
      </c>
      <c r="AM111" s="1721"/>
      <c r="AN111" s="1722">
        <f>AN39+AN43+SUM(AN51:AN62)+AN84+AN107</f>
        <v>14271638333.130001</v>
      </c>
      <c r="AP111" s="1719">
        <f>AP39+AP43+SUM(AP51:AP62)+AP84+AP107</f>
        <v>14879414264.657646</v>
      </c>
      <c r="AQ111" s="1715">
        <f>AQ39+AQ43+SUM(AQ51:AQ62)+AQ84+AQ107</f>
        <v>14982943672.719648</v>
      </c>
      <c r="AR111" s="1718"/>
      <c r="AS111" s="569"/>
      <c r="AT111" s="1720"/>
      <c r="AU111" s="1716">
        <f>AU39+AU43+SUM(AU51:AU62)+AU84+AU107</f>
        <v>14923188271.056187</v>
      </c>
      <c r="AV111" s="8529"/>
      <c r="AW111" s="1717">
        <f>AW39+AW43+SUM(AW51:AW62)+AW84+AW107</f>
        <v>14403257210.4333</v>
      </c>
      <c r="AY111" s="1719">
        <f>AY39+AY43+SUM(AY51:AY62)+AY84+AY107</f>
        <v>14923188271.056187</v>
      </c>
      <c r="AZ111" s="1715">
        <f>AZ39+AZ43+SUM(AZ51:AZ62)+AZ84+AZ107</f>
        <v>14403257210.4333</v>
      </c>
      <c r="BA111" s="1718"/>
      <c r="BB111" s="569"/>
      <c r="BC111" s="1720"/>
      <c r="BD111" s="1716">
        <f>BD39+BD43+SUM(BD51:BD62)+BD84+BD107</f>
        <v>16173375349.049673</v>
      </c>
      <c r="BE111" s="8529"/>
      <c r="BF111" s="1717">
        <f>BF39+BF43+SUM(BF51:BF62)+BF84+BF107</f>
        <v>14937291665.310717</v>
      </c>
      <c r="BH111" s="254"/>
    </row>
    <row r="112" spans="1:60" x14ac:dyDescent="0.35">
      <c r="A112" s="9168"/>
      <c r="B112" s="58"/>
      <c r="C112" s="390"/>
      <c r="D112" s="59" t="s">
        <v>995</v>
      </c>
      <c r="E112" s="392"/>
      <c r="F112" s="1723"/>
      <c r="G112" s="1724"/>
      <c r="H112" s="1725">
        <f>(H109-H111)/SUM(H20:H23)</f>
        <v>5.5885672217187059E-3</v>
      </c>
      <c r="I112" s="1726">
        <f>(I109-I111)/SUM(I20:I23)</f>
        <v>1.3506074858044242E-3</v>
      </c>
      <c r="J112" s="1727"/>
      <c r="K112" s="1724"/>
      <c r="L112" s="1728">
        <f>(L109-L111)/SUM(L20:L23)</f>
        <v>0.16106829724386248</v>
      </c>
      <c r="M112" s="1729">
        <f>(M109-M111)/SUM(M20:M23)</f>
        <v>6.9799681821341053E-2</v>
      </c>
      <c r="N112" s="1730"/>
      <c r="O112" s="1731">
        <f>(O109-O111)/SUM(O20:O23)</f>
        <v>0.16185320625214764</v>
      </c>
      <c r="P112" s="1726">
        <f>(P109-P111)/SUM(P20:P23)</f>
        <v>0.35371451720066077</v>
      </c>
      <c r="Q112" s="1732"/>
      <c r="R112" s="1727"/>
      <c r="S112" s="1733"/>
      <c r="T112" s="1728">
        <f>(T109-T111)/SUM(T20:T23)</f>
        <v>0.1889011600559875</v>
      </c>
      <c r="U112" s="1734"/>
      <c r="V112" s="1735">
        <f>(V109-V111)/SUM(V19:V23)</f>
        <v>3.537468654957607E-3</v>
      </c>
      <c r="X112" s="1731">
        <f>(X109-X111)/SUM(X20:X23)</f>
        <v>0.18851931981562314</v>
      </c>
      <c r="Y112" s="1726">
        <f>(Y109-Y111)/SUM(Y20:Y23)</f>
        <v>3.7011401877786725E-2</v>
      </c>
      <c r="Z112" s="1732"/>
      <c r="AA112" s="1727"/>
      <c r="AB112" s="1733"/>
      <c r="AC112" s="1728">
        <f>(AC109-AC111)/SUM(AC20:AC23)</f>
        <v>0.2084256044044295</v>
      </c>
      <c r="AD112" s="1734"/>
      <c r="AE112" s="1735">
        <f>(AE109-AE111)/SUM(AE20:AE23)</f>
        <v>3.2057283634585251E-2</v>
      </c>
      <c r="AG112" s="1731">
        <f>(AG109-AG111)/SUM(AG20:AG23)</f>
        <v>0.22970540319323182</v>
      </c>
      <c r="AH112" s="1726">
        <f>(AH109-AH111)/SUM(AH20:AH23)</f>
        <v>0.1360907159659876</v>
      </c>
      <c r="AI112" s="1732"/>
      <c r="AJ112" s="1727"/>
      <c r="AK112" s="1733"/>
      <c r="AL112" s="1728">
        <f>(AL109-AL111)/SUM(AL20:AL23)</f>
        <v>0.17772146546455203</v>
      </c>
      <c r="AM112" s="1734"/>
      <c r="AN112" s="1735">
        <f>(AN109-AN111)/SUM(AN20:AN23)</f>
        <v>0.1499311655131367</v>
      </c>
      <c r="AP112" s="1731">
        <f>(AP109-AP111)/SUM(AP20:AP23)</f>
        <v>0.18060093690887025</v>
      </c>
      <c r="AQ112" s="1726">
        <f>(AQ109-AQ111)/SUM(AQ20:AQ23)</f>
        <v>0.12304263881135333</v>
      </c>
      <c r="AR112" s="1732"/>
      <c r="AS112" s="1727"/>
      <c r="AT112" s="1733"/>
      <c r="AU112" s="1728">
        <f>(AU109-AU111)/SUM(AU20:AU23)</f>
        <v>0.2128419125300372</v>
      </c>
      <c r="AV112" s="8530"/>
      <c r="AW112" s="1729">
        <f>(AW109-AW111)/SUM(AW20:AW23)</f>
        <v>0.14763370672427403</v>
      </c>
      <c r="AY112" s="1731">
        <f>(AY109-AY111)/SUM(AY20:AY23)</f>
        <v>0.20829745501790842</v>
      </c>
      <c r="AZ112" s="1726">
        <f>(AZ109-AZ111)/SUM(AZ20:AZ23)</f>
        <v>0.14763370672427403</v>
      </c>
      <c r="BA112" s="1732"/>
      <c r="BB112" s="1727"/>
      <c r="BC112" s="1733"/>
      <c r="BD112" s="1728">
        <f>(BD109-BD111)/SUM(BD20:BD23)</f>
        <v>7.8591947893495148E-2</v>
      </c>
      <c r="BE112" s="8530"/>
      <c r="BF112" s="1729">
        <f>(BF109-BF111)/SUM(BF20:BF23)</f>
        <v>0.15394899219737632</v>
      </c>
    </row>
    <row r="113" spans="1:60" x14ac:dyDescent="0.35">
      <c r="A113" s="9168"/>
      <c r="B113" s="58"/>
      <c r="C113" s="390"/>
      <c r="D113" s="59" t="s">
        <v>996</v>
      </c>
      <c r="E113" s="392"/>
      <c r="F113" s="1723"/>
      <c r="G113" s="1724"/>
      <c r="H113" s="1725">
        <f>H111/H19</f>
        <v>0.381946734609315</v>
      </c>
      <c r="I113" s="1726">
        <f>I111/I19</f>
        <v>0.26746985818182845</v>
      </c>
      <c r="J113" s="1727"/>
      <c r="K113" s="1724"/>
      <c r="L113" s="1728">
        <f>L111/L19</f>
        <v>0.21761719517739822</v>
      </c>
      <c r="M113" s="1729">
        <f>M111/M19</f>
        <v>0.2140111146537588</v>
      </c>
      <c r="N113" s="1730"/>
      <c r="O113" s="1731">
        <f>O111/O19</f>
        <v>0.23434147034213679</v>
      </c>
      <c r="P113" s="1726">
        <f>P111/P19</f>
        <v>0.23631110877666214</v>
      </c>
      <c r="Q113" s="1732"/>
      <c r="R113" s="1727"/>
      <c r="S113" s="1733"/>
      <c r="T113" s="1728">
        <f>T111/T19</f>
        <v>0.21067144994229237</v>
      </c>
      <c r="U113" s="1734"/>
      <c r="V113" s="1735">
        <f>V111/V19</f>
        <v>0.20429903403039751</v>
      </c>
      <c r="X113" s="1731">
        <f>X111/X19</f>
        <v>0.2110645833666599</v>
      </c>
      <c r="Y113" s="1726">
        <f>Y111/Y19</f>
        <v>0.2061142628698899</v>
      </c>
      <c r="Z113" s="1732"/>
      <c r="AA113" s="1727"/>
      <c r="AB113" s="1733"/>
      <c r="AC113" s="1728">
        <f>AC111/AC19</f>
        <v>0.20256421604972777</v>
      </c>
      <c r="AD113" s="1734"/>
      <c r="AE113" s="1735">
        <f>AE111/AE19</f>
        <v>0.1975945856160872</v>
      </c>
      <c r="AG113" s="1731">
        <f>AG111/AG19</f>
        <v>0.19556176895144667</v>
      </c>
      <c r="AH113" s="1726">
        <f>AH111/AH19</f>
        <v>0.16234654370963136</v>
      </c>
      <c r="AI113" s="1732"/>
      <c r="AJ113" s="1727"/>
      <c r="AK113" s="1733"/>
      <c r="AL113" s="1728">
        <f>AL111/AL19</f>
        <v>0.20164808931975337</v>
      </c>
      <c r="AM113" s="1734"/>
      <c r="AN113" s="1735">
        <f>AN111/AN19</f>
        <v>0.19198342947071895</v>
      </c>
      <c r="AP113" s="1731">
        <f>AP111/AP19</f>
        <v>0.20815779555648709</v>
      </c>
      <c r="AQ113" s="1726">
        <f>AQ111/AQ19</f>
        <v>0.19075703745951325</v>
      </c>
      <c r="AR113" s="1732"/>
      <c r="AS113" s="1727"/>
      <c r="AT113" s="1733"/>
      <c r="AU113" s="1728">
        <f>AU111/AU19</f>
        <v>0.18219444749258634</v>
      </c>
      <c r="AV113" s="8530"/>
      <c r="AW113" s="1729">
        <f>AW111/AW19</f>
        <v>0.20663984885794265</v>
      </c>
      <c r="AY113" s="1731">
        <f>AY111/AY19</f>
        <v>0.18461986277135292</v>
      </c>
      <c r="AZ113" s="1726">
        <f>AZ111/AZ19</f>
        <v>0.20663984885794265</v>
      </c>
      <c r="BA113" s="1732"/>
      <c r="BB113" s="1727"/>
      <c r="BC113" s="1733"/>
      <c r="BD113" s="1728">
        <f>BD111/BD19</f>
        <v>0.13557390922110862</v>
      </c>
      <c r="BE113" s="8530"/>
      <c r="BF113" s="1729">
        <f>BF111/BF19</f>
        <v>0.1785013845962744</v>
      </c>
    </row>
    <row r="114" spans="1:60" s="254" customFormat="1" x14ac:dyDescent="0.35">
      <c r="A114" s="9168"/>
      <c r="B114" s="58"/>
      <c r="C114" s="390"/>
      <c r="D114" s="1736"/>
      <c r="E114" s="1742"/>
      <c r="F114" s="1723"/>
      <c r="G114" s="1724"/>
      <c r="H114" s="1725"/>
      <c r="I114" s="1726"/>
      <c r="J114" s="1727"/>
      <c r="K114" s="1724"/>
      <c r="L114" s="1728"/>
      <c r="M114" s="1729"/>
      <c r="N114" s="1730"/>
      <c r="O114" s="1725"/>
      <c r="P114" s="1726"/>
      <c r="Q114" s="1732"/>
      <c r="R114" s="1727"/>
      <c r="S114" s="1733"/>
      <c r="T114" s="1728"/>
      <c r="U114" s="1734"/>
      <c r="V114" s="1735"/>
      <c r="W114" s="1"/>
      <c r="X114" s="1725"/>
      <c r="Y114" s="1726"/>
      <c r="Z114" s="1732"/>
      <c r="AA114" s="1727"/>
      <c r="AB114" s="1733"/>
      <c r="AC114" s="1728"/>
      <c r="AD114" s="1734"/>
      <c r="AE114" s="1735"/>
      <c r="AF114" s="1"/>
      <c r="AG114" s="1725"/>
      <c r="AH114" s="1726"/>
      <c r="AI114" s="1732"/>
      <c r="AJ114" s="1727"/>
      <c r="AK114" s="1733"/>
      <c r="AL114" s="1728"/>
      <c r="AM114" s="1734"/>
      <c r="AN114" s="1735"/>
      <c r="AO114" s="1"/>
      <c r="AP114" s="1725"/>
      <c r="AQ114" s="1726"/>
      <c r="AR114" s="1732"/>
      <c r="AS114" s="1727"/>
      <c r="AT114" s="1733"/>
      <c r="AU114" s="1728"/>
      <c r="AV114" s="8530"/>
      <c r="AW114" s="1729"/>
      <c r="AX114" s="1"/>
      <c r="AY114" s="1725"/>
      <c r="AZ114" s="1726"/>
      <c r="BA114" s="1732"/>
      <c r="BB114" s="1727"/>
      <c r="BC114" s="1733"/>
      <c r="BD114" s="1728"/>
      <c r="BE114" s="8530"/>
      <c r="BF114" s="1729"/>
      <c r="BG114" s="1"/>
      <c r="BH114"/>
    </row>
    <row r="115" spans="1:60" x14ac:dyDescent="0.35">
      <c r="A115" s="9168"/>
      <c r="B115" s="58"/>
      <c r="C115" s="390"/>
      <c r="D115" s="296" t="s">
        <v>997</v>
      </c>
      <c r="E115" s="392"/>
      <c r="F115" s="1723"/>
      <c r="G115" s="1724"/>
      <c r="H115" s="1725">
        <f>H109/H12</f>
        <v>0.26262970465756275</v>
      </c>
      <c r="I115" s="1726">
        <f>I109/I12</f>
        <v>0.25142327943019693</v>
      </c>
      <c r="J115" s="1727"/>
      <c r="K115" s="1724"/>
      <c r="L115" s="1728">
        <f>L109/L12</f>
        <v>0.28707193377807122</v>
      </c>
      <c r="M115" s="1729">
        <f>M109/M12</f>
        <v>0.18910645256595643</v>
      </c>
      <c r="N115" s="1730"/>
      <c r="O115" s="1731">
        <f>O109/O12</f>
        <v>0.37682966269534018</v>
      </c>
      <c r="P115" s="1726">
        <f>P109/P12</f>
        <v>0.23550690299257956</v>
      </c>
      <c r="Q115" s="1732"/>
      <c r="R115" s="1727"/>
      <c r="S115" s="1732"/>
      <c r="T115" s="1728">
        <f>T109/T12</f>
        <v>0.29408338734052075</v>
      </c>
      <c r="U115" s="1737"/>
      <c r="V115" s="1738">
        <f>V109/V12</f>
        <v>0.17684962734869486</v>
      </c>
      <c r="X115" s="1731">
        <f>X109/X12</f>
        <v>0.29408338734052075</v>
      </c>
      <c r="Y115" s="1726">
        <f>Y109/Y12</f>
        <v>0.1783914458260189</v>
      </c>
      <c r="Z115" s="1732"/>
      <c r="AA115" s="1727"/>
      <c r="AB115" s="1732"/>
      <c r="AC115" s="1728">
        <f>AC109/AC12</f>
        <v>0.29548160556662206</v>
      </c>
      <c r="AD115" s="1737"/>
      <c r="AE115" s="1738">
        <f>AE109/AE12</f>
        <v>0.17118327402796418</v>
      </c>
      <c r="AG115" s="1731">
        <f>AG109/AG12</f>
        <v>0.31721439490738601</v>
      </c>
      <c r="AH115" s="1726">
        <f>AH109/AH12</f>
        <v>0.19548771113849739</v>
      </c>
      <c r="AI115" s="1732"/>
      <c r="AJ115" s="1727"/>
      <c r="AK115" s="1732"/>
      <c r="AL115" s="1728">
        <f>AL109/AL12</f>
        <v>0.26620982017143147</v>
      </c>
      <c r="AM115" s="1737"/>
      <c r="AN115" s="1738">
        <f>AN109/AN12</f>
        <v>0.22136963440103549</v>
      </c>
      <c r="AP115" s="1731">
        <f>AP109/AP12</f>
        <v>0.2732521075744862</v>
      </c>
      <c r="AQ115" s="1726">
        <f>AQ109/AQ12</f>
        <v>0.26064595639248939</v>
      </c>
      <c r="AR115" s="1732"/>
      <c r="AS115" s="1727"/>
      <c r="AT115" s="1732"/>
      <c r="AU115" s="1728">
        <f>AU109/AU12</f>
        <v>0.27206752906870713</v>
      </c>
      <c r="AV115" s="8531"/>
      <c r="AW115" s="1729">
        <f>AW109/AW12</f>
        <v>0.23971934184775986</v>
      </c>
      <c r="AY115" s="1731">
        <f>AY109/AY12</f>
        <v>0.25636594647062599</v>
      </c>
      <c r="AZ115" s="1726">
        <f>AZ109/AZ12</f>
        <v>0.23971934184775986</v>
      </c>
      <c r="BA115" s="1732"/>
      <c r="BB115" s="1727"/>
      <c r="BC115" s="1732"/>
      <c r="BD115" s="1728">
        <f>BD109/BD12</f>
        <v>0.23323317321765322</v>
      </c>
      <c r="BE115" s="8531"/>
      <c r="BF115" s="1729">
        <f>BF109/BF12</f>
        <v>0.22651477266458506</v>
      </c>
    </row>
    <row r="116" spans="1:60" x14ac:dyDescent="0.35">
      <c r="A116" s="9168"/>
      <c r="B116" s="1739"/>
      <c r="C116" s="1740"/>
      <c r="D116" s="1741" t="s">
        <v>998</v>
      </c>
      <c r="E116" s="392"/>
      <c r="F116" s="1743"/>
      <c r="G116" s="1744"/>
      <c r="H116" s="1745">
        <f>H109-SUM(H87:H91)</f>
        <v>16037620559</v>
      </c>
      <c r="I116" s="1746">
        <f>I109-SUM(I87:I91)</f>
        <v>10332977930</v>
      </c>
      <c r="J116" s="1747"/>
      <c r="K116" s="1744"/>
      <c r="L116" s="1748">
        <f>L109-SUM(L87:L91)</f>
        <v>19811104427.549999</v>
      </c>
      <c r="M116" s="1749">
        <f>M109-SUM(M87:M91)</f>
        <v>8943882390.1963634</v>
      </c>
      <c r="N116" s="1750"/>
      <c r="O116" s="1751">
        <f>O109-SUM(O87:O91)</f>
        <v>20701233526.056717</v>
      </c>
      <c r="P116" s="1746">
        <f>P109-SUM(P87:P91)</f>
        <v>11579154607.43</v>
      </c>
      <c r="Q116" s="1718"/>
      <c r="R116" s="1747"/>
      <c r="S116" s="1718"/>
      <c r="T116" s="1748">
        <f>T109-SUM(T87:T91)</f>
        <v>22705149045</v>
      </c>
      <c r="U116" s="1750"/>
      <c r="V116" s="1752">
        <f>V109-SUM(V87:V91)</f>
        <v>11685827316.118767</v>
      </c>
      <c r="W116" s="235"/>
      <c r="X116" s="1751"/>
      <c r="Y116" s="1746"/>
      <c r="Z116" s="1718"/>
      <c r="AA116" s="1747"/>
      <c r="AB116" s="1718"/>
      <c r="AC116" s="1748"/>
      <c r="AD116" s="1750"/>
      <c r="AE116" s="1752"/>
      <c r="AF116" s="235"/>
      <c r="AG116" s="1751"/>
      <c r="AH116" s="1746"/>
      <c r="AI116" s="1718"/>
      <c r="AJ116" s="1747"/>
      <c r="AK116" s="1718"/>
      <c r="AL116" s="1748"/>
      <c r="AM116" s="1750"/>
      <c r="AN116" s="1752"/>
      <c r="AO116" s="235"/>
      <c r="AP116" s="1751"/>
      <c r="AQ116" s="1746"/>
      <c r="AR116" s="1718"/>
      <c r="AS116" s="1747"/>
      <c r="AT116" s="1718"/>
      <c r="AU116" s="1748"/>
      <c r="AV116" s="8532"/>
      <c r="AW116" s="1749"/>
      <c r="AX116" s="235"/>
      <c r="AY116" s="1751"/>
      <c r="AZ116" s="1746"/>
      <c r="BA116" s="1718"/>
      <c r="BB116" s="1747"/>
      <c r="BC116" s="1718"/>
      <c r="BD116" s="1748"/>
      <c r="BE116" s="8532"/>
      <c r="BF116" s="1749"/>
      <c r="BG116" s="235"/>
      <c r="BH116" s="254"/>
    </row>
    <row r="117" spans="1:60" x14ac:dyDescent="0.35">
      <c r="A117" s="9168"/>
      <c r="B117" s="58"/>
      <c r="C117" s="390"/>
      <c r="D117" s="296" t="s">
        <v>999</v>
      </c>
      <c r="E117" s="424"/>
      <c r="F117" s="1723"/>
      <c r="G117" s="1724"/>
      <c r="H117" s="1725">
        <f>H116/H12</f>
        <v>0.2386365893198148</v>
      </c>
      <c r="I117" s="1726">
        <f>I116/I12</f>
        <v>0.21935093450850857</v>
      </c>
      <c r="J117" s="1727"/>
      <c r="K117" s="1724"/>
      <c r="L117" s="1728">
        <f>L116/L12</f>
        <v>0.2612562723160492</v>
      </c>
      <c r="M117" s="1729">
        <f>M116/M12</f>
        <v>0.15747905235516735</v>
      </c>
      <c r="N117" s="1730"/>
      <c r="O117" s="1731">
        <f>O116/O12</f>
        <v>0.3442735425591823</v>
      </c>
      <c r="P117" s="1726">
        <f>P116/P12</f>
        <v>0.20387950278179046</v>
      </c>
      <c r="Q117" s="1732"/>
      <c r="R117" s="1727"/>
      <c r="S117" s="1732"/>
      <c r="T117" s="1728">
        <f>T116/T12</f>
        <v>0.29408338734052075</v>
      </c>
      <c r="U117" s="1730"/>
      <c r="V117" s="1753">
        <f>V116/V12</f>
        <v>0.17684962734869486</v>
      </c>
      <c r="X117" s="1731"/>
      <c r="Y117" s="1726"/>
      <c r="Z117" s="1732"/>
      <c r="AA117" s="1727"/>
      <c r="AB117" s="1732"/>
      <c r="AC117" s="1728"/>
      <c r="AD117" s="1730"/>
      <c r="AE117" s="1753"/>
      <c r="AG117" s="1731"/>
      <c r="AH117" s="1726"/>
      <c r="AI117" s="1732"/>
      <c r="AJ117" s="1727"/>
      <c r="AK117" s="1732"/>
      <c r="AL117" s="1728"/>
      <c r="AM117" s="1730"/>
      <c r="AN117" s="1753"/>
      <c r="AP117" s="1731"/>
      <c r="AQ117" s="1726"/>
      <c r="AR117" s="1732"/>
      <c r="AS117" s="1727"/>
      <c r="AT117" s="1732"/>
      <c r="AU117" s="1728"/>
      <c r="AV117" s="8533"/>
      <c r="AW117" s="1729"/>
      <c r="AY117" s="1731"/>
      <c r="AZ117" s="1726"/>
      <c r="BA117" s="1732"/>
      <c r="BB117" s="1727"/>
      <c r="BC117" s="1732"/>
      <c r="BD117" s="1728"/>
      <c r="BE117" s="8533"/>
      <c r="BF117" s="1729"/>
    </row>
    <row r="118" spans="1:60" x14ac:dyDescent="0.35">
      <c r="A118" s="9168"/>
      <c r="B118" s="58"/>
      <c r="C118" s="390"/>
      <c r="D118" s="1736"/>
      <c r="E118" s="274"/>
      <c r="F118" s="1723"/>
      <c r="G118" s="1724"/>
      <c r="H118" s="1754"/>
      <c r="I118" s="1755"/>
      <c r="J118" s="1727"/>
      <c r="K118" s="1724"/>
      <c r="L118" s="1756"/>
      <c r="M118" s="1757"/>
      <c r="N118" s="1732"/>
      <c r="O118" s="1754"/>
      <c r="P118" s="1755"/>
      <c r="Q118" s="1732"/>
      <c r="R118" s="1727"/>
      <c r="S118" s="1732"/>
      <c r="T118" s="1728"/>
      <c r="U118" s="1730"/>
      <c r="V118" s="1752"/>
      <c r="X118" s="1754"/>
      <c r="Y118" s="1755"/>
      <c r="Z118" s="1732"/>
      <c r="AA118" s="1727"/>
      <c r="AB118" s="1732"/>
      <c r="AC118" s="1728"/>
      <c r="AD118" s="1730"/>
      <c r="AE118" s="1752"/>
      <c r="AG118" s="1754"/>
      <c r="AH118" s="1755"/>
      <c r="AI118" s="1732"/>
      <c r="AJ118" s="1727"/>
      <c r="AK118" s="1732"/>
      <c r="AL118" s="1728"/>
      <c r="AM118" s="1730"/>
      <c r="AN118" s="1752"/>
      <c r="AP118" s="1754"/>
      <c r="AQ118" s="1755"/>
      <c r="AR118" s="1732"/>
      <c r="AS118" s="1727"/>
      <c r="AT118" s="1732"/>
      <c r="AU118" s="1728"/>
      <c r="AV118" s="8533"/>
      <c r="AW118" s="1757"/>
      <c r="AY118" s="1754"/>
      <c r="AZ118" s="1755"/>
      <c r="BA118" s="1732"/>
      <c r="BB118" s="1727"/>
      <c r="BC118" s="1732"/>
      <c r="BD118" s="1728"/>
      <c r="BE118" s="8533"/>
      <c r="BF118" s="1757"/>
    </row>
    <row r="119" spans="1:60" s="462" customFormat="1" x14ac:dyDescent="0.35">
      <c r="A119" s="9168"/>
      <c r="B119" s="58"/>
      <c r="C119" s="390"/>
      <c r="D119" s="1758" t="s">
        <v>1000</v>
      </c>
      <c r="E119" s="456"/>
      <c r="F119" s="1759"/>
      <c r="G119" s="1760"/>
      <c r="H119" s="1761"/>
      <c r="I119" s="1762"/>
      <c r="J119" s="565"/>
      <c r="K119" s="1760"/>
      <c r="L119" s="1763"/>
      <c r="M119" s="1764"/>
      <c r="N119" s="1732"/>
      <c r="O119" s="1761"/>
      <c r="P119" s="1762"/>
      <c r="Q119" s="1732"/>
      <c r="R119" s="565"/>
      <c r="S119" s="1732"/>
      <c r="T119" s="1763"/>
      <c r="U119" s="1732"/>
      <c r="V119" s="1765"/>
      <c r="W119" s="1"/>
      <c r="X119" s="1761"/>
      <c r="Y119" s="1762"/>
      <c r="Z119" s="1732"/>
      <c r="AA119" s="565"/>
      <c r="AB119" s="1732"/>
      <c r="AC119" s="1763"/>
      <c r="AD119" s="1732"/>
      <c r="AE119" s="1765"/>
      <c r="AF119" s="1"/>
      <c r="AG119" s="1761"/>
      <c r="AH119" s="1762"/>
      <c r="AI119" s="1732"/>
      <c r="AJ119" s="565"/>
      <c r="AK119" s="1732"/>
      <c r="AL119" s="1763"/>
      <c r="AM119" s="1732"/>
      <c r="AN119" s="1765"/>
      <c r="AO119" s="1"/>
      <c r="AP119" s="1761"/>
      <c r="AQ119" s="1762"/>
      <c r="AR119" s="1732"/>
      <c r="AS119" s="565"/>
      <c r="AT119" s="1732"/>
      <c r="AU119" s="1763"/>
      <c r="AV119" s="8534"/>
      <c r="AW119" s="1764"/>
      <c r="AX119" s="1"/>
      <c r="AY119" s="1761"/>
      <c r="AZ119" s="1762"/>
      <c r="BA119" s="1732"/>
      <c r="BB119" s="565"/>
      <c r="BC119" s="1732"/>
      <c r="BD119" s="1763"/>
      <c r="BE119" s="8534"/>
      <c r="BF119" s="1764"/>
      <c r="BG119" s="1"/>
      <c r="BH119"/>
    </row>
    <row r="120" spans="1:60" s="462" customFormat="1" x14ac:dyDescent="0.35">
      <c r="A120" s="9169"/>
      <c r="B120" s="85"/>
      <c r="C120" s="432"/>
      <c r="D120" s="1758" t="s">
        <v>1001</v>
      </c>
      <c r="E120" s="456"/>
      <c r="F120" s="434"/>
      <c r="G120" s="1766"/>
      <c r="H120" s="436"/>
      <c r="I120" s="437"/>
      <c r="J120" s="574"/>
      <c r="K120" s="1766"/>
      <c r="L120" s="439"/>
      <c r="M120" s="1767"/>
      <c r="N120" s="1732"/>
      <c r="O120" s="436"/>
      <c r="P120" s="437"/>
      <c r="Q120" s="1768"/>
      <c r="R120" s="574"/>
      <c r="S120" s="1769"/>
      <c r="T120" s="439"/>
      <c r="U120" s="1770"/>
      <c r="V120" s="1771"/>
      <c r="W120" s="1"/>
      <c r="X120" s="436"/>
      <c r="Y120" s="437"/>
      <c r="Z120" s="1768"/>
      <c r="AA120" s="574"/>
      <c r="AB120" s="1769"/>
      <c r="AC120" s="439"/>
      <c r="AD120" s="1770"/>
      <c r="AE120" s="1771"/>
      <c r="AF120" s="1"/>
      <c r="AG120" s="436"/>
      <c r="AH120" s="437"/>
      <c r="AI120" s="1768"/>
      <c r="AJ120" s="574"/>
      <c r="AK120" s="1769"/>
      <c r="AL120" s="439"/>
      <c r="AM120" s="1770"/>
      <c r="AN120" s="1771"/>
      <c r="AO120" s="1"/>
      <c r="AP120" s="436"/>
      <c r="AQ120" s="437"/>
      <c r="AR120" s="1768"/>
      <c r="AS120" s="574"/>
      <c r="AT120" s="1769"/>
      <c r="AU120" s="439"/>
      <c r="AV120" s="1770"/>
      <c r="AW120" s="1767"/>
      <c r="AX120" s="1"/>
      <c r="AY120" s="436"/>
      <c r="AZ120" s="437"/>
      <c r="BA120" s="1768"/>
      <c r="BB120" s="574"/>
      <c r="BC120" s="1769"/>
      <c r="BD120" s="439"/>
      <c r="BE120" s="1770"/>
      <c r="BF120" s="1767"/>
      <c r="BG120" s="1"/>
      <c r="BH120"/>
    </row>
    <row r="121" spans="1:60" s="462" customFormat="1" ht="12" customHeight="1" x14ac:dyDescent="0.35">
      <c r="C121" s="456"/>
      <c r="D121" s="5"/>
      <c r="E121" s="466"/>
      <c r="F121" s="456"/>
      <c r="G121" s="456"/>
      <c r="H121" s="459"/>
      <c r="I121" s="459"/>
      <c r="J121" s="7"/>
      <c r="K121" s="456"/>
      <c r="N121" s="456"/>
      <c r="O121" s="1"/>
      <c r="P121" s="1"/>
      <c r="Q121" s="1"/>
      <c r="R121" s="1"/>
      <c r="S121" s="1"/>
      <c r="T121" s="1"/>
      <c r="U121" s="1"/>
      <c r="V121" s="1"/>
      <c r="W121" s="456"/>
      <c r="X121" s="1"/>
      <c r="Y121" s="1"/>
      <c r="Z121" s="1"/>
      <c r="AA121" s="1"/>
      <c r="AB121" s="1"/>
      <c r="AC121" s="1"/>
      <c r="AD121" s="1"/>
      <c r="AE121" s="1"/>
      <c r="AF121" s="456"/>
      <c r="AG121" s="1"/>
      <c r="AH121" s="1"/>
      <c r="AI121" s="1"/>
      <c r="AJ121" s="1"/>
      <c r="AK121" s="1"/>
      <c r="AL121" s="1"/>
      <c r="AM121" s="1"/>
      <c r="AN121" s="1"/>
      <c r="AO121" s="456"/>
      <c r="AP121" s="1"/>
      <c r="AQ121" s="1"/>
      <c r="AR121" s="1"/>
      <c r="AS121" s="1"/>
      <c r="AT121" s="1"/>
      <c r="AU121" s="1"/>
      <c r="AV121" s="1"/>
      <c r="AW121" s="1"/>
      <c r="AX121" s="456"/>
      <c r="AY121" s="1"/>
      <c r="AZ121" s="1"/>
      <c r="BA121" s="1"/>
      <c r="BB121" s="1"/>
      <c r="BC121" s="1"/>
      <c r="BD121" s="1"/>
      <c r="BE121" s="1"/>
      <c r="BF121" s="1"/>
      <c r="BG121" s="456"/>
    </row>
    <row r="122" spans="1:60" s="462" customFormat="1" x14ac:dyDescent="0.35">
      <c r="A122" s="576" t="s">
        <v>582</v>
      </c>
      <c r="B122" s="576"/>
      <c r="C122" s="456"/>
      <c r="D122" s="5"/>
      <c r="E122" s="456"/>
      <c r="F122" s="456"/>
      <c r="G122" s="456"/>
      <c r="H122" s="459"/>
      <c r="I122" s="459"/>
      <c r="J122" s="7"/>
      <c r="K122" s="456"/>
      <c r="N122" s="456"/>
      <c r="O122" s="1"/>
      <c r="P122" s="1"/>
      <c r="Q122" s="1"/>
      <c r="R122" s="1"/>
      <c r="S122" s="1"/>
      <c r="T122" s="1"/>
      <c r="U122" s="1"/>
      <c r="V122" s="1"/>
      <c r="W122" s="456"/>
      <c r="X122" s="1"/>
      <c r="Y122" s="1"/>
      <c r="Z122" s="1"/>
      <c r="AA122" s="1"/>
      <c r="AB122" s="1"/>
      <c r="AC122" s="1"/>
      <c r="AD122" s="1"/>
      <c r="AE122" s="1"/>
      <c r="AF122" s="456"/>
      <c r="AG122" s="1"/>
      <c r="AH122" s="1"/>
      <c r="AI122" s="1"/>
      <c r="AJ122" s="1"/>
      <c r="AK122" s="1"/>
      <c r="AL122" s="1"/>
      <c r="AM122" s="1"/>
      <c r="AN122" s="1"/>
      <c r="AO122" s="456"/>
      <c r="AP122" s="1"/>
      <c r="AQ122" s="1"/>
      <c r="AR122" s="1"/>
      <c r="AS122" s="1"/>
      <c r="AT122" s="1"/>
      <c r="AU122" s="1"/>
      <c r="AV122" s="1"/>
      <c r="AW122" s="1"/>
      <c r="AX122" s="456"/>
      <c r="AY122" s="1"/>
      <c r="AZ122" s="1"/>
      <c r="BA122" s="1"/>
      <c r="BB122" s="1"/>
      <c r="BC122" s="1"/>
      <c r="BD122" s="1"/>
      <c r="BE122" s="1"/>
      <c r="BF122" s="1"/>
      <c r="BG122" s="456"/>
    </row>
    <row r="123" spans="1:60" s="462" customFormat="1" ht="12" x14ac:dyDescent="0.3">
      <c r="A123" s="463">
        <v>1</v>
      </c>
      <c r="B123" s="464" t="e">
        <f>#REF!</f>
        <v>#REF!</v>
      </c>
      <c r="D123" s="465"/>
      <c r="E123" s="456"/>
      <c r="F123" s="466"/>
      <c r="G123" s="466"/>
      <c r="H123" s="466"/>
      <c r="I123" s="466"/>
      <c r="J123" s="467"/>
      <c r="K123" s="466"/>
      <c r="L123" s="466"/>
      <c r="M123" s="466"/>
      <c r="N123" s="456"/>
      <c r="W123" s="456"/>
      <c r="AF123" s="456"/>
      <c r="AO123" s="456"/>
      <c r="AX123" s="456"/>
      <c r="BG123" s="456"/>
      <c r="BH123" s="577"/>
    </row>
    <row r="124" spans="1:60" s="462" customFormat="1" ht="12" x14ac:dyDescent="0.3">
      <c r="A124" s="468">
        <v>2</v>
      </c>
      <c r="B124" s="469">
        <f>BH29</f>
        <v>0</v>
      </c>
      <c r="D124" s="5"/>
      <c r="E124" s="456"/>
      <c r="F124" s="456"/>
      <c r="G124" s="456"/>
      <c r="H124" s="459"/>
      <c r="I124" s="459"/>
      <c r="J124" s="7"/>
      <c r="K124" s="456"/>
      <c r="N124" s="456"/>
      <c r="W124" s="456"/>
      <c r="AF124" s="456"/>
      <c r="AO124" s="456"/>
      <c r="AX124" s="456"/>
      <c r="BG124" s="456"/>
      <c r="BH124" s="577"/>
    </row>
    <row r="125" spans="1:60" s="462" customFormat="1" ht="12" x14ac:dyDescent="0.3">
      <c r="A125" s="463">
        <v>3</v>
      </c>
      <c r="B125" s="469"/>
      <c r="D125" s="5"/>
      <c r="E125" s="456"/>
      <c r="F125" s="456"/>
      <c r="G125" s="456"/>
      <c r="H125" s="459"/>
      <c r="I125" s="459"/>
      <c r="J125" s="7"/>
      <c r="K125" s="456"/>
      <c r="N125" s="456"/>
      <c r="W125" s="456"/>
      <c r="AF125" s="456"/>
      <c r="AO125" s="456"/>
      <c r="AX125" s="456"/>
      <c r="BG125" s="456"/>
      <c r="BH125" s="577"/>
    </row>
    <row r="126" spans="1:60" s="462" customFormat="1" ht="12" x14ac:dyDescent="0.3">
      <c r="A126" s="468"/>
      <c r="B126" s="469"/>
      <c r="D126" s="5"/>
      <c r="E126" s="456"/>
      <c r="F126" s="456"/>
      <c r="G126" s="456"/>
      <c r="H126" s="459"/>
      <c r="I126" s="459"/>
      <c r="J126" s="7"/>
      <c r="K126" s="456"/>
      <c r="N126" s="456"/>
      <c r="W126" s="456"/>
      <c r="AF126" s="456"/>
      <c r="AO126" s="456"/>
      <c r="AX126" s="456"/>
      <c r="BG126" s="456"/>
      <c r="BH126" s="577"/>
    </row>
    <row r="127" spans="1:60" s="462" customFormat="1" ht="12" x14ac:dyDescent="0.3">
      <c r="A127" s="468"/>
      <c r="B127" s="469"/>
      <c r="D127" s="5"/>
      <c r="E127" s="456"/>
      <c r="F127" s="456"/>
      <c r="G127" s="456"/>
      <c r="H127" s="459"/>
      <c r="I127" s="459"/>
      <c r="J127" s="7"/>
      <c r="K127" s="456"/>
      <c r="N127" s="456"/>
      <c r="W127" s="456"/>
      <c r="AF127" s="456"/>
      <c r="AO127" s="456"/>
      <c r="AX127" s="456"/>
      <c r="BG127" s="456"/>
      <c r="BH127" s="577"/>
    </row>
    <row r="128" spans="1:60" s="462" customFormat="1" ht="12" x14ac:dyDescent="0.3">
      <c r="A128" s="468"/>
      <c r="B128" s="469"/>
      <c r="D128" s="5"/>
      <c r="E128" s="456"/>
      <c r="F128" s="456"/>
      <c r="G128" s="456"/>
      <c r="H128" s="459"/>
      <c r="I128" s="459"/>
      <c r="J128" s="7"/>
      <c r="K128" s="456"/>
      <c r="N128" s="456"/>
      <c r="W128" s="456"/>
      <c r="AF128" s="456"/>
      <c r="AO128" s="456"/>
      <c r="AX128" s="456"/>
      <c r="BG128" s="456"/>
      <c r="BH128" s="577"/>
    </row>
    <row r="129" spans="1:60" s="462" customFormat="1" ht="12" x14ac:dyDescent="0.3">
      <c r="A129" s="468"/>
      <c r="B129" s="469"/>
      <c r="D129" s="5"/>
      <c r="E129" s="456"/>
      <c r="F129" s="456"/>
      <c r="G129" s="456"/>
      <c r="H129" s="459"/>
      <c r="I129" s="459"/>
      <c r="J129" s="7"/>
      <c r="K129" s="456"/>
      <c r="N129" s="456"/>
      <c r="W129" s="456"/>
      <c r="AF129" s="456"/>
      <c r="AO129" s="456"/>
      <c r="AX129" s="456"/>
      <c r="BG129" s="456"/>
      <c r="BH129" s="577"/>
    </row>
    <row r="130" spans="1:60" s="462" customFormat="1" ht="12" x14ac:dyDescent="0.3">
      <c r="A130" s="468"/>
      <c r="B130" s="469"/>
      <c r="D130" s="5"/>
      <c r="E130" s="456"/>
      <c r="F130" s="456"/>
      <c r="G130" s="456"/>
      <c r="H130" s="459"/>
      <c r="I130" s="459"/>
      <c r="J130" s="7"/>
      <c r="K130" s="456"/>
      <c r="N130" s="456"/>
      <c r="W130" s="456"/>
      <c r="AF130" s="456"/>
      <c r="AO130" s="456"/>
      <c r="AX130" s="456"/>
      <c r="BG130" s="456"/>
      <c r="BH130" s="577"/>
    </row>
    <row r="131" spans="1:60" s="462" customFormat="1" ht="12" x14ac:dyDescent="0.3">
      <c r="A131" s="468"/>
      <c r="B131" s="469"/>
      <c r="D131" s="5"/>
      <c r="E131" s="456"/>
      <c r="F131" s="456"/>
      <c r="G131" s="456"/>
      <c r="H131" s="459"/>
      <c r="I131" s="459"/>
      <c r="J131" s="7"/>
      <c r="K131" s="456"/>
      <c r="N131" s="456"/>
      <c r="W131" s="456"/>
      <c r="AF131" s="456"/>
      <c r="AO131" s="456"/>
      <c r="AX131" s="456"/>
      <c r="BG131" s="456"/>
      <c r="BH131" s="577"/>
    </row>
    <row r="132" spans="1:60" s="462" customFormat="1" ht="12" x14ac:dyDescent="0.3">
      <c r="A132" s="468"/>
      <c r="B132" s="469"/>
      <c r="D132" s="5"/>
      <c r="E132" s="456"/>
      <c r="F132" s="456"/>
      <c r="G132" s="456"/>
      <c r="H132" s="459"/>
      <c r="I132" s="459"/>
      <c r="J132" s="7"/>
      <c r="K132" s="456"/>
      <c r="N132" s="456"/>
      <c r="W132" s="456"/>
      <c r="AF132" s="456"/>
      <c r="AO132" s="456"/>
      <c r="AX132" s="456"/>
      <c r="BG132" s="456"/>
      <c r="BH132" s="577"/>
    </row>
    <row r="133" spans="1:60" s="462" customFormat="1" ht="12" x14ac:dyDescent="0.3">
      <c r="A133" s="468"/>
      <c r="B133" s="469"/>
      <c r="D133" s="5"/>
      <c r="E133" s="456"/>
      <c r="F133" s="456"/>
      <c r="G133" s="456"/>
      <c r="H133" s="459"/>
      <c r="I133" s="459"/>
      <c r="J133" s="7"/>
      <c r="K133" s="456"/>
      <c r="N133" s="456"/>
      <c r="W133" s="456"/>
      <c r="AF133" s="456"/>
      <c r="AO133" s="456"/>
      <c r="AX133" s="456"/>
      <c r="BG133" s="456"/>
      <c r="BH133" s="577"/>
    </row>
    <row r="134" spans="1:60" s="462" customFormat="1" ht="12" x14ac:dyDescent="0.3">
      <c r="A134" s="468"/>
      <c r="B134" s="469"/>
      <c r="D134" s="5"/>
      <c r="E134" s="456"/>
      <c r="F134" s="456"/>
      <c r="G134" s="456"/>
      <c r="H134" s="459"/>
      <c r="I134" s="459"/>
      <c r="J134" s="7"/>
      <c r="K134" s="456"/>
      <c r="N134" s="456"/>
      <c r="W134" s="456"/>
      <c r="AF134" s="456"/>
      <c r="AO134" s="456"/>
      <c r="AX134" s="456"/>
      <c r="BG134" s="456"/>
      <c r="BH134" s="577"/>
    </row>
    <row r="135" spans="1:60" s="462" customFormat="1" ht="12" x14ac:dyDescent="0.3">
      <c r="A135" s="468"/>
      <c r="B135" s="469"/>
      <c r="D135" s="5"/>
      <c r="E135" s="456"/>
      <c r="F135" s="456"/>
      <c r="G135" s="456"/>
      <c r="H135" s="459"/>
      <c r="I135" s="459"/>
      <c r="J135" s="7"/>
      <c r="K135" s="456"/>
      <c r="N135" s="456"/>
      <c r="W135" s="456"/>
      <c r="AF135" s="456"/>
      <c r="AO135" s="456"/>
      <c r="AX135" s="456"/>
      <c r="BG135" s="456"/>
      <c r="BH135" s="577"/>
    </row>
    <row r="136" spans="1:60" s="462" customFormat="1" ht="93" customHeight="1" x14ac:dyDescent="0.3">
      <c r="A136" s="9170" t="s">
        <v>2940</v>
      </c>
      <c r="B136" s="9171"/>
      <c r="C136" s="9171"/>
      <c r="D136" s="9171"/>
      <c r="E136" s="9171"/>
      <c r="F136" s="9171"/>
      <c r="G136" s="9171"/>
      <c r="H136" s="9171"/>
      <c r="I136" s="9171"/>
      <c r="J136" s="9171"/>
      <c r="K136" s="9171"/>
      <c r="L136" s="9171"/>
      <c r="M136" s="9172"/>
      <c r="N136" s="456"/>
      <c r="W136" s="456"/>
      <c r="AF136" s="456"/>
      <c r="AO136" s="456"/>
      <c r="AX136" s="456"/>
      <c r="BG136" s="456"/>
      <c r="BH136" s="577"/>
    </row>
    <row r="137" spans="1:60" x14ac:dyDescent="0.35">
      <c r="A137" s="455" t="s">
        <v>1002</v>
      </c>
      <c r="B137" s="455"/>
      <c r="C137" s="456"/>
      <c r="F137" s="456"/>
      <c r="G137" s="456"/>
      <c r="H137" s="459"/>
      <c r="I137" s="459"/>
      <c r="K137" s="456"/>
      <c r="L137" s="462"/>
      <c r="M137" s="462"/>
      <c r="N137" s="456"/>
      <c r="W137" s="456"/>
      <c r="AF137" s="456"/>
      <c r="AO137" s="456"/>
      <c r="AX137" s="456"/>
      <c r="BG137" s="456"/>
      <c r="BH137" s="577"/>
    </row>
    <row r="138" spans="1:60" x14ac:dyDescent="0.35">
      <c r="N138" s="456"/>
      <c r="W138" s="456"/>
      <c r="AF138" s="456"/>
      <c r="AO138" s="456"/>
      <c r="AX138" s="456"/>
      <c r="BG138" s="456"/>
      <c r="BH138" s="577"/>
    </row>
  </sheetData>
  <mergeCells count="49">
    <mergeCell ref="AY7:BB7"/>
    <mergeCell ref="BD7:BF7"/>
    <mergeCell ref="A10:A35"/>
    <mergeCell ref="A37:A91"/>
    <mergeCell ref="A93:A102"/>
    <mergeCell ref="X7:AA7"/>
    <mergeCell ref="T7:V7"/>
    <mergeCell ref="O7:R7"/>
    <mergeCell ref="AP7:AS7"/>
    <mergeCell ref="AU7:AW7"/>
    <mergeCell ref="AC7:AE7"/>
    <mergeCell ref="AG7:AJ7"/>
    <mergeCell ref="AL7:AN7"/>
    <mergeCell ref="AY1:BF1"/>
    <mergeCell ref="AY4:BB4"/>
    <mergeCell ref="BD4:BF4"/>
    <mergeCell ref="BH4:BH5"/>
    <mergeCell ref="AY5:BB5"/>
    <mergeCell ref="BD5:BF5"/>
    <mergeCell ref="A104:A120"/>
    <mergeCell ref="A136:M136"/>
    <mergeCell ref="H7:I7"/>
    <mergeCell ref="J7:J8"/>
    <mergeCell ref="L7:M7"/>
    <mergeCell ref="H5:J5"/>
    <mergeCell ref="AP1:AW1"/>
    <mergeCell ref="L5:M5"/>
    <mergeCell ref="O5:R5"/>
    <mergeCell ref="T5:V5"/>
    <mergeCell ref="X5:AA5"/>
    <mergeCell ref="AC5:AE5"/>
    <mergeCell ref="AG5:AJ5"/>
    <mergeCell ref="AL5:AN5"/>
    <mergeCell ref="AP4:AS4"/>
    <mergeCell ref="AU4:AW4"/>
    <mergeCell ref="AP5:AS5"/>
    <mergeCell ref="AU5:AW5"/>
    <mergeCell ref="F1:M1"/>
    <mergeCell ref="O1:V1"/>
    <mergeCell ref="X1:AE1"/>
    <mergeCell ref="AG1:AN1"/>
    <mergeCell ref="H4:J4"/>
    <mergeCell ref="L4:M4"/>
    <mergeCell ref="O4:R4"/>
    <mergeCell ref="T4:V4"/>
    <mergeCell ref="X4:AA4"/>
    <mergeCell ref="AC4:AE4"/>
    <mergeCell ref="AG4:AJ4"/>
    <mergeCell ref="AL4:AN4"/>
  </mergeCells>
  <hyperlinks>
    <hyperlink ref="P11" r:id="rId1" xr:uid="{B39274C5-C323-4620-8D10-0AA08AA95356}"/>
    <hyperlink ref="T11" r:id="rId2" xr:uid="{6AFA3396-72DC-42BA-9821-E1CDE4A3BE64}"/>
    <hyperlink ref="U37" r:id="rId3" xr:uid="{C960D86D-F219-4344-9D27-065A5F5FABA9}"/>
    <hyperlink ref="Y11" r:id="rId4" display="http://www.mef.gouv.ht/index.php?page=A%20la%20une…" xr:uid="{5797FFA4-C2A8-424D-910F-77FDC5AF6124}"/>
    <hyperlink ref="AH11" r:id="rId5" display="http://www.mef.gouv.ht/index.php?page=A%20la%20une…" xr:uid="{7D26CFC0-5C27-45ED-A15D-F6D66F65339F}"/>
    <hyperlink ref="AI10" r:id="rId6" xr:uid="{E956E3F4-FAB5-403D-ADE7-15DBC916CD1F}"/>
    <hyperlink ref="AR10" r:id="rId7" xr:uid="{85DCBC98-4127-436A-8DF7-0519BB8557A1}"/>
    <hyperlink ref="BA10" r:id="rId8" xr:uid="{24A3972B-2E9E-4E52-B8FF-16BC69C7E452}"/>
    <hyperlink ref="BE10" r:id="rId9" xr:uid="{1475AE91-8D24-455D-A647-C4819A306119}"/>
  </hyperlinks>
  <pageMargins left="0.23622047244094491" right="0.23622047244094491" top="0.35433070866141736" bottom="0.35433070866141736" header="0.31496062992125984" footer="0.31496062992125984"/>
  <pageSetup paperSize="9" scale="36" orientation="portrait" horizontalDpi="4294967293" r:id="rId10"/>
  <headerFooter>
    <oddFooter>&amp;R&amp;1#&amp;"Calibri"&amp;12&amp;K000000Official Use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09774-C3C5-4424-B7B0-A6D593E29046}">
  <sheetPr>
    <tabColor rgb="FF002060"/>
  </sheetPr>
  <dimension ref="A1:CK66"/>
  <sheetViews>
    <sheetView topLeftCell="L1" zoomScale="110" zoomScaleNormal="110" workbookViewId="0">
      <selection activeCell="AK1" sqref="AK1"/>
    </sheetView>
  </sheetViews>
  <sheetFormatPr defaultColWidth="8.81640625" defaultRowHeight="14.5" x14ac:dyDescent="0.35"/>
  <cols>
    <col min="1" max="1" width="3.6328125" style="9086" customWidth="1"/>
    <col min="2" max="2" width="32.36328125" style="9086" bestFit="1" customWidth="1"/>
    <col min="3" max="3" width="2" style="9086" customWidth="1"/>
    <col min="4" max="8" width="8.6328125" style="9086" customWidth="1"/>
    <col min="9" max="9" width="1.26953125" style="9086" customWidth="1"/>
    <col min="10" max="14" width="8.6328125" style="9086" customWidth="1"/>
    <col min="15" max="15" width="2" style="9086" customWidth="1"/>
    <col min="16" max="20" width="8.6328125" style="9086"/>
    <col min="21" max="21" width="0.90625" style="9086" customWidth="1"/>
    <col min="22" max="26" width="8.6328125" style="9086"/>
    <col min="27" max="27" width="1.54296875" style="9086" customWidth="1"/>
    <col min="28" max="32" width="8.81640625" style="9086" customWidth="1"/>
    <col min="33" max="33" width="2" style="9086" customWidth="1"/>
    <col min="34" max="89" width="8.6328125" style="9086"/>
    <col min="90" max="16384" width="8.81640625" style="9087"/>
  </cols>
  <sheetData>
    <row r="1" spans="1:89" s="9079" customFormat="1" ht="22" thickBot="1" x14ac:dyDescent="0.4">
      <c r="A1" s="9078"/>
      <c r="B1" s="9078"/>
      <c r="C1" s="9078"/>
      <c r="D1" s="9078"/>
      <c r="E1" s="9078"/>
      <c r="F1" s="9078"/>
      <c r="G1" s="9078"/>
      <c r="H1" s="9078"/>
      <c r="I1" s="9078"/>
      <c r="J1" s="9078"/>
      <c r="K1" s="9078"/>
      <c r="L1" s="9078"/>
      <c r="M1" s="9078"/>
      <c r="N1" s="9078"/>
      <c r="O1" s="9078"/>
      <c r="P1" s="9078"/>
      <c r="Q1" s="9078"/>
      <c r="R1" s="9078"/>
      <c r="S1" s="9078"/>
      <c r="T1" s="9078"/>
      <c r="U1" s="9078"/>
      <c r="V1" s="9078"/>
      <c r="W1" s="9078"/>
      <c r="X1" s="9078"/>
      <c r="Y1" s="9078"/>
      <c r="Z1" s="9078"/>
      <c r="AA1" s="9078"/>
      <c r="AB1" s="9078"/>
      <c r="AC1" s="9078"/>
      <c r="AD1" s="9078"/>
      <c r="AE1" s="9078"/>
      <c r="AF1" s="9078"/>
      <c r="AG1" s="9078"/>
      <c r="AH1" s="9078"/>
      <c r="AI1" s="9078"/>
      <c r="AJ1" s="9078"/>
      <c r="AK1" s="9078"/>
      <c r="AL1" s="9078"/>
      <c r="AM1" s="9078"/>
      <c r="AN1" s="9078"/>
      <c r="AO1" s="9078"/>
      <c r="AP1" s="9078"/>
      <c r="AQ1" s="9078"/>
      <c r="AR1" s="9078"/>
      <c r="AS1" s="9078"/>
      <c r="AT1" s="9078"/>
      <c r="AU1" s="9078"/>
      <c r="AV1" s="9078"/>
      <c r="AW1" s="9078"/>
      <c r="AX1" s="9078"/>
      <c r="AY1" s="9078"/>
      <c r="AZ1" s="9078"/>
      <c r="BA1" s="9078"/>
      <c r="BB1" s="9078"/>
      <c r="BC1" s="9078"/>
      <c r="BD1" s="9078"/>
      <c r="BE1" s="9078"/>
      <c r="BF1" s="9078"/>
      <c r="BG1" s="9078"/>
      <c r="BH1" s="9078"/>
      <c r="BI1" s="9078"/>
      <c r="BJ1" s="9078"/>
      <c r="BK1" s="9078"/>
      <c r="BL1" s="9078"/>
      <c r="BM1" s="9078"/>
      <c r="BN1" s="9078"/>
      <c r="BO1" s="9078"/>
      <c r="BP1" s="9078"/>
      <c r="BQ1" s="9078"/>
      <c r="BR1" s="9078"/>
      <c r="BS1" s="9078"/>
      <c r="BT1" s="9078"/>
      <c r="BU1" s="9078"/>
      <c r="BV1" s="9078"/>
      <c r="BW1" s="9078"/>
      <c r="BX1" s="9078"/>
      <c r="BY1" s="9078"/>
      <c r="BZ1" s="9078"/>
      <c r="CA1" s="9078"/>
      <c r="CB1" s="9078"/>
      <c r="CC1" s="9078"/>
      <c r="CD1" s="9078"/>
      <c r="CE1" s="9078"/>
      <c r="CF1" s="9078"/>
      <c r="CG1" s="9078"/>
      <c r="CH1" s="9078"/>
      <c r="CI1" s="9078"/>
      <c r="CJ1" s="9078"/>
      <c r="CK1" s="9078"/>
    </row>
    <row r="2" spans="1:89" s="9079" customFormat="1" ht="22" thickBot="1" x14ac:dyDescent="0.4">
      <c r="A2" s="9078"/>
      <c r="B2" s="9078"/>
      <c r="C2" s="9078"/>
      <c r="D2" s="9096" t="s">
        <v>83</v>
      </c>
      <c r="E2" s="9097"/>
      <c r="F2" s="9097"/>
      <c r="G2" s="9097"/>
      <c r="H2" s="9097"/>
      <c r="I2" s="9097"/>
      <c r="J2" s="9097"/>
      <c r="K2" s="9097"/>
      <c r="L2" s="9097"/>
      <c r="M2" s="9097"/>
      <c r="N2" s="9098"/>
      <c r="O2" s="9078"/>
      <c r="P2" s="9096" t="s">
        <v>84</v>
      </c>
      <c r="Q2" s="9097"/>
      <c r="R2" s="9097"/>
      <c r="S2" s="9097"/>
      <c r="T2" s="9097"/>
      <c r="U2" s="9097"/>
      <c r="V2" s="9097"/>
      <c r="W2" s="9097"/>
      <c r="X2" s="9097"/>
      <c r="Y2" s="9097"/>
      <c r="Z2" s="9098"/>
      <c r="AA2" s="9078"/>
      <c r="AB2" s="9078"/>
      <c r="AC2" s="9078"/>
      <c r="AD2" s="9078"/>
      <c r="AE2" s="9078"/>
      <c r="AF2" s="9078"/>
      <c r="AG2" s="9078"/>
      <c r="AH2" s="9078"/>
      <c r="AI2" s="9078"/>
      <c r="AJ2" s="9078"/>
      <c r="AK2" s="9078"/>
      <c r="AL2" s="9078"/>
      <c r="AM2" s="9078"/>
      <c r="AN2" s="9078"/>
      <c r="AO2" s="9078"/>
      <c r="AP2" s="9078"/>
      <c r="AQ2" s="9078"/>
      <c r="AR2" s="9078"/>
      <c r="AS2" s="9078"/>
      <c r="AT2" s="9078"/>
      <c r="AU2" s="9078"/>
      <c r="AV2" s="9078"/>
      <c r="AW2" s="9078"/>
      <c r="AX2" s="9078"/>
      <c r="AY2" s="9078"/>
      <c r="AZ2" s="9078"/>
      <c r="BA2" s="9078"/>
      <c r="BB2" s="9078"/>
      <c r="BC2" s="9078"/>
      <c r="BD2" s="9078"/>
      <c r="BE2" s="9078"/>
      <c r="BF2" s="9078"/>
      <c r="BG2" s="9078"/>
      <c r="BH2" s="9078"/>
      <c r="BI2" s="9078"/>
      <c r="BJ2" s="9078"/>
      <c r="BK2" s="9078"/>
      <c r="BL2" s="9078"/>
      <c r="BM2" s="9078"/>
      <c r="BN2" s="9078"/>
      <c r="BO2" s="9078"/>
      <c r="BP2" s="9078"/>
      <c r="BQ2" s="9078"/>
      <c r="BR2" s="9078"/>
      <c r="BS2" s="9078"/>
      <c r="BT2" s="9078"/>
      <c r="BU2" s="9078"/>
      <c r="BV2" s="9078"/>
      <c r="BW2" s="9078"/>
      <c r="BX2" s="9078"/>
      <c r="BY2" s="9078"/>
      <c r="BZ2" s="9078"/>
      <c r="CA2" s="9078"/>
      <c r="CB2" s="9078"/>
      <c r="CC2" s="9078"/>
      <c r="CD2" s="9078"/>
      <c r="CE2" s="9078"/>
      <c r="CF2" s="9078"/>
      <c r="CG2" s="9078"/>
      <c r="CH2" s="9078"/>
      <c r="CI2" s="9078"/>
      <c r="CJ2" s="9078"/>
      <c r="CK2" s="9078"/>
    </row>
    <row r="3" spans="1:89" s="9079" customFormat="1" ht="22" thickBot="1" x14ac:dyDescent="0.4">
      <c r="A3" s="9078"/>
      <c r="B3" s="9078"/>
      <c r="C3" s="9078"/>
      <c r="D3" s="9101" t="s">
        <v>85</v>
      </c>
      <c r="E3" s="9102"/>
      <c r="F3" s="9102"/>
      <c r="G3" s="9102"/>
      <c r="H3" s="9102"/>
      <c r="I3" s="9078"/>
      <c r="J3" s="9099" t="s">
        <v>86</v>
      </c>
      <c r="K3" s="9099"/>
      <c r="L3" s="9099"/>
      <c r="M3" s="9099"/>
      <c r="N3" s="9100"/>
      <c r="O3" s="9078"/>
      <c r="P3" s="9101" t="s">
        <v>85</v>
      </c>
      <c r="Q3" s="9102"/>
      <c r="R3" s="9102"/>
      <c r="S3" s="9102"/>
      <c r="T3" s="9102"/>
      <c r="U3" s="9089"/>
      <c r="V3" s="9099" t="s">
        <v>86</v>
      </c>
      <c r="W3" s="9099"/>
      <c r="X3" s="9099"/>
      <c r="Y3" s="9099"/>
      <c r="Z3" s="9100"/>
      <c r="AA3" s="9089"/>
      <c r="AB3" s="9096" t="s">
        <v>87</v>
      </c>
      <c r="AC3" s="9097"/>
      <c r="AD3" s="9097"/>
      <c r="AE3" s="9097"/>
      <c r="AF3" s="9098"/>
      <c r="AG3" s="9078"/>
      <c r="AH3" s="9078"/>
      <c r="AI3" s="9078"/>
      <c r="AJ3" s="9078"/>
      <c r="AK3" s="9078"/>
      <c r="AL3" s="9078"/>
      <c r="AM3" s="9078"/>
      <c r="AN3" s="9078"/>
      <c r="AO3" s="9078"/>
      <c r="AP3" s="9078"/>
      <c r="AQ3" s="9078"/>
      <c r="AR3" s="9078"/>
      <c r="AS3" s="9078"/>
      <c r="AT3" s="9078"/>
      <c r="AU3" s="9078"/>
      <c r="AV3" s="9078"/>
      <c r="AW3" s="9078"/>
      <c r="AX3" s="9078"/>
      <c r="AY3" s="9078"/>
      <c r="AZ3" s="9078"/>
      <c r="BA3" s="9078"/>
      <c r="BB3" s="9078"/>
      <c r="BC3" s="9078"/>
      <c r="BD3" s="9078"/>
      <c r="BE3" s="9078"/>
      <c r="BF3" s="9078"/>
      <c r="BG3" s="9078"/>
      <c r="BH3" s="9078"/>
      <c r="BI3" s="9078"/>
      <c r="BJ3" s="9078"/>
      <c r="BK3" s="9078"/>
      <c r="BL3" s="9078"/>
      <c r="BM3" s="9078"/>
      <c r="BN3" s="9078"/>
      <c r="BO3" s="9078"/>
      <c r="BP3" s="9078"/>
      <c r="BQ3" s="9078"/>
      <c r="BR3" s="9078"/>
      <c r="BS3" s="9078"/>
      <c r="BT3" s="9078"/>
      <c r="BU3" s="9078"/>
      <c r="BV3" s="9078"/>
      <c r="BW3" s="9078"/>
      <c r="BX3" s="9078"/>
      <c r="BY3" s="9078"/>
      <c r="BZ3" s="9078"/>
      <c r="CA3" s="9078"/>
      <c r="CB3" s="9078"/>
      <c r="CC3" s="9078"/>
      <c r="CD3" s="9078"/>
      <c r="CE3" s="9078"/>
      <c r="CF3" s="9078"/>
      <c r="CG3" s="9078"/>
      <c r="CH3" s="9078"/>
      <c r="CI3" s="9078"/>
      <c r="CJ3" s="9078"/>
      <c r="CK3" s="9078"/>
    </row>
    <row r="4" spans="1:89" s="9079" customFormat="1" ht="21.5" x14ac:dyDescent="0.9">
      <c r="A4" s="9078"/>
      <c r="B4" s="9088" t="s">
        <v>9</v>
      </c>
      <c r="C4" s="9078"/>
      <c r="D4" s="9080">
        <v>2016</v>
      </c>
      <c r="E4" s="9081">
        <v>2017</v>
      </c>
      <c r="F4" s="9081">
        <v>2018</v>
      </c>
      <c r="G4" s="9081">
        <v>2019</v>
      </c>
      <c r="H4" s="9081">
        <v>2020</v>
      </c>
      <c r="I4" s="9082"/>
      <c r="J4" s="9081">
        <v>2016</v>
      </c>
      <c r="K4" s="9081">
        <v>2017</v>
      </c>
      <c r="L4" s="9081">
        <v>2018</v>
      </c>
      <c r="M4" s="9083">
        <v>2019</v>
      </c>
      <c r="N4" s="9084">
        <v>2020</v>
      </c>
      <c r="O4" s="8941"/>
      <c r="P4" s="9080">
        <v>2016</v>
      </c>
      <c r="Q4" s="9081">
        <v>2017</v>
      </c>
      <c r="R4" s="9081">
        <v>2018</v>
      </c>
      <c r="S4" s="9081">
        <v>2019</v>
      </c>
      <c r="T4" s="9081">
        <v>2020</v>
      </c>
      <c r="U4" s="9082"/>
      <c r="V4" s="9081">
        <v>2016</v>
      </c>
      <c r="W4" s="9081">
        <v>2017</v>
      </c>
      <c r="X4" s="9081">
        <v>2018</v>
      </c>
      <c r="Y4" s="9081">
        <v>2019</v>
      </c>
      <c r="Z4" s="9085">
        <v>2020</v>
      </c>
      <c r="AA4" s="8941"/>
      <c r="AB4" s="9080">
        <v>2016</v>
      </c>
      <c r="AC4" s="9081">
        <v>2017</v>
      </c>
      <c r="AD4" s="9081">
        <v>2018</v>
      </c>
      <c r="AE4" s="9081">
        <v>2019</v>
      </c>
      <c r="AF4" s="9085">
        <v>2020</v>
      </c>
      <c r="AG4" s="9078"/>
      <c r="AH4" s="9078"/>
      <c r="AI4" s="9078"/>
      <c r="AJ4" s="9078"/>
      <c r="AK4" s="9078"/>
      <c r="AL4" s="9078"/>
      <c r="AM4" s="9078"/>
      <c r="AN4" s="9078"/>
      <c r="AO4" s="9078"/>
      <c r="AP4" s="9078"/>
      <c r="AQ4" s="9078"/>
      <c r="AR4" s="9078"/>
      <c r="AS4" s="9078"/>
      <c r="AT4" s="9078"/>
      <c r="AU4" s="9078"/>
      <c r="AV4" s="9078"/>
      <c r="AW4" s="9078"/>
      <c r="AX4" s="9078"/>
      <c r="AY4" s="9078"/>
      <c r="AZ4" s="9078"/>
      <c r="BA4" s="9078"/>
      <c r="BB4" s="9078"/>
      <c r="BC4" s="9078"/>
      <c r="BD4" s="9078"/>
      <c r="BE4" s="9078"/>
      <c r="BF4" s="9078"/>
      <c r="BG4" s="9078"/>
      <c r="BH4" s="9078"/>
      <c r="BI4" s="9078"/>
      <c r="BJ4" s="9078"/>
      <c r="BK4" s="9078"/>
      <c r="BL4" s="9078"/>
      <c r="BM4" s="9078"/>
      <c r="BN4" s="9078"/>
      <c r="BO4" s="9078"/>
      <c r="BP4" s="9078"/>
      <c r="BQ4" s="9078"/>
      <c r="BR4" s="9078"/>
      <c r="BS4" s="9078"/>
      <c r="BT4" s="9078"/>
      <c r="BU4" s="9078"/>
      <c r="BV4" s="9078"/>
      <c r="BW4" s="9078"/>
      <c r="BX4" s="9078"/>
      <c r="BY4" s="9078"/>
      <c r="BZ4" s="9078"/>
      <c r="CA4" s="9078"/>
      <c r="CB4" s="9078"/>
      <c r="CC4" s="9078"/>
      <c r="CD4" s="9078"/>
      <c r="CE4" s="9078"/>
      <c r="CF4" s="9078"/>
      <c r="CG4" s="9078"/>
      <c r="CH4" s="9078"/>
      <c r="CI4" s="9078"/>
      <c r="CJ4" s="9078"/>
      <c r="CK4" s="9078"/>
    </row>
    <row r="5" spans="1:89" s="8942" customFormat="1" ht="21.5" x14ac:dyDescent="0.9">
      <c r="A5" s="8942">
        <v>1</v>
      </c>
      <c r="B5" s="8943" t="s">
        <v>22</v>
      </c>
      <c r="C5" s="8941"/>
      <c r="D5" s="8944">
        <v>12.47718013635644</v>
      </c>
      <c r="E5" s="8945">
        <v>12.990298101953037</v>
      </c>
      <c r="F5" s="8945">
        <v>13.514388497833741</v>
      </c>
      <c r="G5" s="8945">
        <v>12.161970243735746</v>
      </c>
      <c r="H5" s="8946" t="s">
        <v>6773</v>
      </c>
      <c r="I5" s="8941"/>
      <c r="J5" s="8945">
        <v>12.461851967105858</v>
      </c>
      <c r="K5" s="8945">
        <v>12.990298101953037</v>
      </c>
      <c r="L5" s="8945">
        <v>13.44332839766964</v>
      </c>
      <c r="M5" s="8945">
        <v>12.097381527498541</v>
      </c>
      <c r="N5" s="8947">
        <v>11.080756497932345</v>
      </c>
      <c r="O5" s="8941"/>
      <c r="P5" s="8944">
        <v>12.384031414106953</v>
      </c>
      <c r="Q5" s="8945">
        <v>15.656937633839693</v>
      </c>
      <c r="R5" s="8945">
        <v>17.630619402504873</v>
      </c>
      <c r="S5" s="8945">
        <v>18.36045060899535</v>
      </c>
      <c r="T5" s="8946"/>
      <c r="U5" s="8941"/>
      <c r="V5" s="8945">
        <v>12.361429398412589</v>
      </c>
      <c r="W5" s="8945">
        <v>15.656937633839693</v>
      </c>
      <c r="X5" s="8945">
        <v>17.497606624625192</v>
      </c>
      <c r="Y5" s="8945">
        <v>18.213645371331509</v>
      </c>
      <c r="Z5" s="8948"/>
      <c r="AA5" s="8941"/>
      <c r="AB5" s="8949">
        <v>4.543952592452424</v>
      </c>
      <c r="AC5" s="8945">
        <v>3.597580729307237</v>
      </c>
      <c r="AD5" s="8945">
        <v>3.5857368882995742</v>
      </c>
      <c r="AE5" s="8945">
        <v>3.4147207804049549</v>
      </c>
      <c r="AF5" s="8947">
        <v>3.1258439761414967</v>
      </c>
      <c r="AG5" s="8941"/>
      <c r="AH5" s="8941"/>
      <c r="AI5" s="8941"/>
      <c r="AJ5" s="8941"/>
      <c r="AK5" s="8941"/>
      <c r="AL5" s="8941"/>
      <c r="AM5" s="8941"/>
      <c r="AN5" s="8941"/>
      <c r="AO5" s="8941"/>
      <c r="AP5" s="8941"/>
      <c r="AQ5" s="8941"/>
      <c r="AR5" s="8941"/>
      <c r="AS5" s="8941"/>
      <c r="AT5" s="8941"/>
      <c r="AU5" s="8941"/>
      <c r="AV5" s="8941"/>
      <c r="AW5" s="8941"/>
      <c r="AX5" s="8941"/>
      <c r="AY5" s="8941"/>
      <c r="AZ5" s="8941"/>
      <c r="BA5" s="8941"/>
      <c r="BB5" s="8941"/>
      <c r="BC5" s="8941"/>
      <c r="BD5" s="8941"/>
      <c r="BE5" s="8941"/>
      <c r="BF5" s="8941"/>
      <c r="BG5" s="8941"/>
      <c r="BH5" s="8941"/>
      <c r="BI5" s="8941"/>
      <c r="BJ5" s="8941"/>
      <c r="BK5" s="8941"/>
      <c r="BL5" s="8941"/>
      <c r="BM5" s="8941"/>
      <c r="BN5" s="8941"/>
      <c r="BO5" s="8941"/>
      <c r="BP5" s="8941"/>
      <c r="BQ5" s="8941"/>
      <c r="BR5" s="8941"/>
      <c r="BS5" s="8941"/>
      <c r="BT5" s="8941"/>
      <c r="BU5" s="8941"/>
      <c r="BV5" s="8941"/>
      <c r="BW5" s="8941"/>
      <c r="BX5" s="8941"/>
      <c r="BY5" s="8941"/>
      <c r="BZ5" s="8941"/>
      <c r="CA5" s="8941"/>
      <c r="CB5" s="8941"/>
      <c r="CC5" s="8941"/>
      <c r="CD5" s="8941"/>
      <c r="CE5" s="8941"/>
      <c r="CF5" s="8941"/>
      <c r="CG5" s="8941"/>
      <c r="CH5" s="8941"/>
      <c r="CI5" s="8941"/>
      <c r="CJ5" s="8941"/>
      <c r="CK5" s="8941"/>
    </row>
    <row r="6" spans="1:89" s="8942" customFormat="1" ht="21.5" x14ac:dyDescent="0.9">
      <c r="A6" s="8942">
        <v>2</v>
      </c>
      <c r="B6" s="8943" t="s">
        <v>23</v>
      </c>
      <c r="C6" s="8941"/>
      <c r="D6" s="8944">
        <v>13.362685030951631</v>
      </c>
      <c r="E6" s="8945">
        <v>12.221349613695773</v>
      </c>
      <c r="F6" s="8945">
        <v>12.528520713069566</v>
      </c>
      <c r="G6" s="8945">
        <v>13.511712976112062</v>
      </c>
      <c r="H6" s="8945">
        <v>12.956725172600606</v>
      </c>
      <c r="I6" s="8941"/>
      <c r="J6" s="8945">
        <v>11.115433250319617</v>
      </c>
      <c r="K6" s="8945">
        <v>11.11867305128831</v>
      </c>
      <c r="L6" s="8945">
        <v>11.567759678333115</v>
      </c>
      <c r="M6" s="8945">
        <v>12.54639002164464</v>
      </c>
      <c r="N6" s="8947">
        <v>12.126067649935331</v>
      </c>
      <c r="O6" s="8941"/>
      <c r="P6" s="8944">
        <v>28.169077510516839</v>
      </c>
      <c r="Q6" s="8945">
        <v>29.86424712058901</v>
      </c>
      <c r="R6" s="8945">
        <v>27.379779790646392</v>
      </c>
      <c r="S6" s="8945">
        <v>26.429091980243946</v>
      </c>
      <c r="T6" s="8945">
        <v>24.515913836426339</v>
      </c>
      <c r="U6" s="8941"/>
      <c r="V6" s="8945">
        <v>19.275270528281855</v>
      </c>
      <c r="W6" s="8945">
        <v>23.858983744755868</v>
      </c>
      <c r="X6" s="8945">
        <v>23.022837224834195</v>
      </c>
      <c r="Y6" s="8945">
        <v>22.579593839542888</v>
      </c>
      <c r="Z6" s="8947">
        <v>21.414078649752621</v>
      </c>
      <c r="AA6" s="8941"/>
      <c r="AB6" s="8949">
        <v>3.2551057478151284</v>
      </c>
      <c r="AC6" s="8945">
        <v>3.2980665722528024</v>
      </c>
      <c r="AD6" s="8945">
        <v>3.5519637557266419</v>
      </c>
      <c r="AE6" s="8946"/>
      <c r="AF6" s="8948"/>
      <c r="AG6" s="8941"/>
      <c r="AH6" s="8941"/>
      <c r="AI6" s="8941"/>
      <c r="AJ6" s="8941"/>
      <c r="AK6" s="8941"/>
      <c r="AL6" s="8941"/>
      <c r="AM6" s="8941"/>
      <c r="AN6" s="8941"/>
      <c r="AO6" s="8941"/>
      <c r="AP6" s="8941"/>
      <c r="AQ6" s="8941"/>
      <c r="AR6" s="8941"/>
      <c r="AS6" s="8941"/>
      <c r="AT6" s="8941"/>
      <c r="AU6" s="8941"/>
      <c r="AV6" s="8941"/>
      <c r="AW6" s="8941"/>
      <c r="AX6" s="8941"/>
      <c r="AY6" s="8941"/>
      <c r="AZ6" s="8941"/>
      <c r="BA6" s="8941"/>
      <c r="BB6" s="8941"/>
      <c r="BC6" s="8941"/>
      <c r="BD6" s="8941"/>
      <c r="BE6" s="8941"/>
      <c r="BF6" s="8941"/>
      <c r="BG6" s="8941"/>
      <c r="BH6" s="8941"/>
      <c r="BI6" s="8941"/>
      <c r="BJ6" s="8941"/>
      <c r="BK6" s="8941"/>
      <c r="BL6" s="8941"/>
      <c r="BM6" s="8941"/>
      <c r="BN6" s="8941"/>
      <c r="BO6" s="8941"/>
      <c r="BP6" s="8941"/>
      <c r="BQ6" s="8941"/>
      <c r="BR6" s="8941"/>
      <c r="BS6" s="8941"/>
      <c r="BT6" s="8941"/>
      <c r="BU6" s="8941"/>
      <c r="BV6" s="8941"/>
      <c r="BW6" s="8941"/>
      <c r="BX6" s="8941"/>
      <c r="BY6" s="8941"/>
      <c r="BZ6" s="8941"/>
      <c r="CA6" s="8941"/>
      <c r="CB6" s="8941"/>
      <c r="CC6" s="8941"/>
      <c r="CD6" s="8941"/>
      <c r="CE6" s="8941"/>
      <c r="CF6" s="8941"/>
      <c r="CG6" s="8941"/>
      <c r="CH6" s="8941"/>
      <c r="CI6" s="8941"/>
      <c r="CJ6" s="8941"/>
      <c r="CK6" s="8941"/>
    </row>
    <row r="7" spans="1:89" s="8942" customFormat="1" ht="21.5" x14ac:dyDescent="0.9">
      <c r="A7" s="8942">
        <v>3</v>
      </c>
      <c r="B7" s="8943" t="s">
        <v>24</v>
      </c>
      <c r="C7" s="8941"/>
      <c r="D7" s="8944">
        <v>18.336500527218952</v>
      </c>
      <c r="E7" s="8945">
        <v>18.50252623396813</v>
      </c>
      <c r="F7" s="8945">
        <v>14.518146063882137</v>
      </c>
      <c r="G7" s="8945">
        <v>18.617392686617251</v>
      </c>
      <c r="H7" s="8945">
        <v>20.02084486660257</v>
      </c>
      <c r="I7" s="8941"/>
      <c r="J7" s="8945">
        <v>15.800549177278938</v>
      </c>
      <c r="K7" s="8945">
        <v>16.054157955081948</v>
      </c>
      <c r="L7" s="8945">
        <v>12.045672220926091</v>
      </c>
      <c r="M7" s="8945">
        <v>16.249720582832094</v>
      </c>
      <c r="N7" s="8947">
        <v>16.94003384668326</v>
      </c>
      <c r="O7" s="8941"/>
      <c r="P7" s="8944">
        <v>23.35372120220234</v>
      </c>
      <c r="Q7" s="8945">
        <v>22.266600966076286</v>
      </c>
      <c r="R7" s="8945">
        <v>17.036242378730172</v>
      </c>
      <c r="S7" s="8945">
        <v>19.900769145141027</v>
      </c>
      <c r="T7" s="8945">
        <v>21.5134653955982</v>
      </c>
      <c r="U7" s="8941"/>
      <c r="V7" s="8945">
        <v>18.439283788321241</v>
      </c>
      <c r="W7" s="8945">
        <v>17.883380526632628</v>
      </c>
      <c r="X7" s="8945">
        <v>12.803049304858821</v>
      </c>
      <c r="Y7" s="8945">
        <v>15.764566572047634</v>
      </c>
      <c r="Z7" s="8947">
        <v>16.104098828426601</v>
      </c>
      <c r="AA7" s="8941"/>
      <c r="AB7" s="8949">
        <v>2.181677647237922</v>
      </c>
      <c r="AC7" s="8945">
        <v>2.1685376073088611</v>
      </c>
      <c r="AD7" s="8945">
        <v>1.9859901891644332</v>
      </c>
      <c r="AE7" s="8945">
        <v>2.4875043461433779</v>
      </c>
      <c r="AF7" s="8947">
        <v>2.6269837929058255</v>
      </c>
      <c r="AG7" s="8941"/>
      <c r="AH7" s="8941"/>
      <c r="AI7" s="8941"/>
      <c r="AJ7" s="8941"/>
      <c r="AK7" s="8941"/>
      <c r="AL7" s="8941"/>
      <c r="AM7" s="8941"/>
      <c r="AN7" s="8941"/>
      <c r="AO7" s="8941"/>
      <c r="AP7" s="8941"/>
      <c r="AQ7" s="8941"/>
      <c r="AR7" s="8941"/>
      <c r="AS7" s="8941"/>
      <c r="AT7" s="8941"/>
      <c r="AU7" s="8941"/>
      <c r="AV7" s="8941"/>
      <c r="AW7" s="8941"/>
      <c r="AX7" s="8941"/>
      <c r="AY7" s="8941"/>
      <c r="AZ7" s="8941"/>
      <c r="BA7" s="8941"/>
      <c r="BB7" s="8941"/>
      <c r="BC7" s="8941"/>
      <c r="BD7" s="8941"/>
      <c r="BE7" s="8941"/>
      <c r="BF7" s="8941"/>
      <c r="BG7" s="8941"/>
      <c r="BH7" s="8941"/>
      <c r="BI7" s="8941"/>
      <c r="BJ7" s="8941"/>
      <c r="BK7" s="8941"/>
      <c r="BL7" s="8941"/>
      <c r="BM7" s="8941"/>
      <c r="BN7" s="8941"/>
      <c r="BO7" s="8941"/>
      <c r="BP7" s="8941"/>
      <c r="BQ7" s="8941"/>
      <c r="BR7" s="8941"/>
      <c r="BS7" s="8941"/>
      <c r="BT7" s="8941"/>
      <c r="BU7" s="8941"/>
      <c r="BV7" s="8941"/>
      <c r="BW7" s="8941"/>
      <c r="BX7" s="8941"/>
      <c r="BY7" s="8941"/>
      <c r="BZ7" s="8941"/>
      <c r="CA7" s="8941"/>
      <c r="CB7" s="8941"/>
      <c r="CC7" s="8941"/>
      <c r="CD7" s="8941"/>
      <c r="CE7" s="8941"/>
      <c r="CF7" s="8941"/>
      <c r="CG7" s="8941"/>
      <c r="CH7" s="8941"/>
      <c r="CI7" s="8941"/>
      <c r="CJ7" s="8941"/>
      <c r="CK7" s="8941"/>
    </row>
    <row r="8" spans="1:89" s="8942" customFormat="1" ht="21.5" x14ac:dyDescent="0.9">
      <c r="A8" s="8942">
        <v>4</v>
      </c>
      <c r="B8" s="8943" t="s">
        <v>25</v>
      </c>
      <c r="C8" s="8941"/>
      <c r="D8" s="8944">
        <v>19.931565949752112</v>
      </c>
      <c r="E8" s="8945">
        <v>17.759333691879402</v>
      </c>
      <c r="F8" s="8945">
        <v>22.548584188182765</v>
      </c>
      <c r="G8" s="8945">
        <v>26.232619048618588</v>
      </c>
      <c r="H8" s="8945">
        <v>19.220684369805138</v>
      </c>
      <c r="I8" s="8941"/>
      <c r="J8" s="8945">
        <v>19.381350550631598</v>
      </c>
      <c r="K8" s="8945">
        <v>16.67037222119454</v>
      </c>
      <c r="L8" s="8945">
        <v>20.194186251631272</v>
      </c>
      <c r="M8" s="8945">
        <v>22.98423257976572</v>
      </c>
      <c r="N8" s="8947">
        <v>17.055781102185037</v>
      </c>
      <c r="O8" s="8941"/>
      <c r="P8" s="8944">
        <v>26.809921706256468</v>
      </c>
      <c r="Q8" s="8945">
        <v>27.806721297640959</v>
      </c>
      <c r="R8" s="8945">
        <v>29.886559889372744</v>
      </c>
      <c r="S8" s="8945">
        <v>32.864504373024786</v>
      </c>
      <c r="T8" s="8945">
        <v>29.278472726996736</v>
      </c>
      <c r="U8" s="8941"/>
      <c r="V8" s="8945">
        <v>25.74777475541951</v>
      </c>
      <c r="W8" s="8945">
        <v>24.420402803408848</v>
      </c>
      <c r="X8" s="8945">
        <v>24.777735902720622</v>
      </c>
      <c r="Y8" s="8945">
        <v>26.958624094712462</v>
      </c>
      <c r="Z8" s="8947">
        <v>23.75334512706609</v>
      </c>
      <c r="AA8" s="8941"/>
      <c r="AB8" s="8949">
        <v>2.89909672194984</v>
      </c>
      <c r="AC8" s="8945">
        <v>3.3055244378163096</v>
      </c>
      <c r="AD8" s="8945">
        <v>3.3696098810581274</v>
      </c>
      <c r="AE8" s="8946"/>
      <c r="AF8" s="8948"/>
      <c r="AG8" s="8941"/>
      <c r="AH8" s="8941"/>
      <c r="AI8" s="8941"/>
      <c r="AJ8" s="8941"/>
      <c r="AK8" s="8941"/>
      <c r="AL8" s="8941"/>
      <c r="AM8" s="8941"/>
      <c r="AN8" s="8941"/>
      <c r="AO8" s="8941"/>
      <c r="AP8" s="8941"/>
      <c r="AQ8" s="8941"/>
      <c r="AR8" s="8941"/>
      <c r="AS8" s="8941"/>
      <c r="AT8" s="8941"/>
      <c r="AU8" s="8941"/>
      <c r="AV8" s="8941"/>
      <c r="AW8" s="8941"/>
      <c r="AX8" s="8941"/>
      <c r="AY8" s="8941"/>
      <c r="AZ8" s="8941"/>
      <c r="BA8" s="8941"/>
      <c r="BB8" s="8941"/>
      <c r="BC8" s="8941"/>
      <c r="BD8" s="8941"/>
      <c r="BE8" s="8941"/>
      <c r="BF8" s="8941"/>
      <c r="BG8" s="8941"/>
      <c r="BH8" s="8941"/>
      <c r="BI8" s="8941"/>
      <c r="BJ8" s="8941"/>
      <c r="BK8" s="8941"/>
      <c r="BL8" s="8941"/>
      <c r="BM8" s="8941"/>
      <c r="BN8" s="8941"/>
      <c r="BO8" s="8941"/>
      <c r="BP8" s="8941"/>
      <c r="BQ8" s="8941"/>
      <c r="BR8" s="8941"/>
      <c r="BS8" s="8941"/>
      <c r="BT8" s="8941"/>
      <c r="BU8" s="8941"/>
      <c r="BV8" s="8941"/>
      <c r="BW8" s="8941"/>
      <c r="BX8" s="8941"/>
      <c r="BY8" s="8941"/>
      <c r="BZ8" s="8941"/>
      <c r="CA8" s="8941"/>
      <c r="CB8" s="8941"/>
      <c r="CC8" s="8941"/>
      <c r="CD8" s="8941"/>
      <c r="CE8" s="8941"/>
      <c r="CF8" s="8941"/>
      <c r="CG8" s="8941"/>
      <c r="CH8" s="8941"/>
      <c r="CI8" s="8941"/>
      <c r="CJ8" s="8941"/>
      <c r="CK8" s="8941"/>
    </row>
    <row r="9" spans="1:89" s="8942" customFormat="1" ht="21.5" x14ac:dyDescent="0.9">
      <c r="A9" s="8942">
        <v>5</v>
      </c>
      <c r="B9" s="8943" t="s">
        <v>26</v>
      </c>
      <c r="C9" s="8941"/>
      <c r="D9" s="8944">
        <v>21.110822604114048</v>
      </c>
      <c r="E9" s="8945">
        <v>23.498673539469433</v>
      </c>
      <c r="F9" s="8945">
        <v>19.93398481302809</v>
      </c>
      <c r="G9" s="8945">
        <v>22.375589019986801</v>
      </c>
      <c r="H9" s="8945">
        <v>19.872656620185733</v>
      </c>
      <c r="I9" s="8941"/>
      <c r="J9" s="8945">
        <v>18.751195176035363</v>
      </c>
      <c r="K9" s="8945">
        <v>21.404040848227304</v>
      </c>
      <c r="L9" s="8945">
        <v>18.331628071995702</v>
      </c>
      <c r="M9" s="8945">
        <v>20.383156045835278</v>
      </c>
      <c r="N9" s="8947">
        <v>19.260950918691318</v>
      </c>
      <c r="O9" s="8941"/>
      <c r="P9" s="8944">
        <v>31.322424929379224</v>
      </c>
      <c r="Q9" s="8945">
        <v>31.10549562652708</v>
      </c>
      <c r="R9" s="8945">
        <v>26.286634751344568</v>
      </c>
      <c r="S9" s="8945">
        <v>29.175901875719841</v>
      </c>
      <c r="T9" s="8945">
        <v>25.148971392158249</v>
      </c>
      <c r="U9" s="8941"/>
      <c r="V9" s="8945">
        <v>24.899459973486817</v>
      </c>
      <c r="W9" s="8945">
        <v>26.11925086307701</v>
      </c>
      <c r="X9" s="8945">
        <v>22.166945583889316</v>
      </c>
      <c r="Y9" s="8945">
        <v>25.181979613532118</v>
      </c>
      <c r="Z9" s="8947">
        <v>23.713760948614649</v>
      </c>
      <c r="AA9" s="8941"/>
      <c r="AB9" s="8949">
        <v>6.565472460211379</v>
      </c>
      <c r="AC9" s="8945">
        <v>6.8787899245190038</v>
      </c>
      <c r="AD9" s="8945">
        <v>7.1215460332042806</v>
      </c>
      <c r="AE9" s="8945">
        <v>5.497420684305883</v>
      </c>
      <c r="AF9" s="8947">
        <v>6.8483621523374092</v>
      </c>
      <c r="AG9" s="8941"/>
      <c r="AH9" s="8941"/>
      <c r="AI9" s="8941"/>
      <c r="AJ9" s="8941"/>
      <c r="AK9" s="8941"/>
      <c r="AL9" s="8941"/>
      <c r="AM9" s="8941"/>
      <c r="AN9" s="8941"/>
      <c r="AO9" s="8941"/>
      <c r="AP9" s="8941"/>
      <c r="AQ9" s="8941"/>
      <c r="AR9" s="8941"/>
      <c r="AS9" s="8941"/>
      <c r="AT9" s="8941"/>
      <c r="AU9" s="8941"/>
      <c r="AV9" s="8941"/>
      <c r="AW9" s="8941"/>
      <c r="AX9" s="8941"/>
      <c r="AY9" s="8941"/>
      <c r="AZ9" s="8941"/>
      <c r="BA9" s="8941"/>
      <c r="BB9" s="8941"/>
      <c r="BC9" s="8941"/>
      <c r="BD9" s="8941"/>
      <c r="BE9" s="8941"/>
      <c r="BF9" s="8941"/>
      <c r="BG9" s="8941"/>
      <c r="BH9" s="8941"/>
      <c r="BI9" s="8941"/>
      <c r="BJ9" s="8941"/>
      <c r="BK9" s="8941"/>
      <c r="BL9" s="8941"/>
      <c r="BM9" s="8941"/>
      <c r="BN9" s="8941"/>
      <c r="BO9" s="8941"/>
      <c r="BP9" s="8941"/>
      <c r="BQ9" s="8941"/>
      <c r="BR9" s="8941"/>
      <c r="BS9" s="8941"/>
      <c r="BT9" s="8941"/>
      <c r="BU9" s="8941"/>
      <c r="BV9" s="8941"/>
      <c r="BW9" s="8941"/>
      <c r="BX9" s="8941"/>
      <c r="BY9" s="8941"/>
      <c r="BZ9" s="8941"/>
      <c r="CA9" s="8941"/>
      <c r="CB9" s="8941"/>
      <c r="CC9" s="8941"/>
      <c r="CD9" s="8941"/>
      <c r="CE9" s="8941"/>
      <c r="CF9" s="8941"/>
      <c r="CG9" s="8941"/>
      <c r="CH9" s="8941"/>
      <c r="CI9" s="8941"/>
      <c r="CJ9" s="8941"/>
      <c r="CK9" s="8941"/>
    </row>
    <row r="10" spans="1:89" s="8942" customFormat="1" ht="21.5" x14ac:dyDescent="0.9">
      <c r="A10" s="8942">
        <v>6</v>
      </c>
      <c r="B10" s="8943" t="s">
        <v>27</v>
      </c>
      <c r="C10" s="8941"/>
      <c r="D10" s="8944">
        <v>26.323122400625103</v>
      </c>
      <c r="E10" s="8945">
        <v>22.584560498712428</v>
      </c>
      <c r="F10" s="8945">
        <v>27.69168464136494</v>
      </c>
      <c r="G10" s="8945">
        <v>27.595626442982951</v>
      </c>
      <c r="H10" s="8945">
        <v>29.940245655230257</v>
      </c>
      <c r="I10" s="8941"/>
      <c r="J10" s="8945">
        <v>23.002328939108597</v>
      </c>
      <c r="K10" s="8945">
        <v>21.784225610484008</v>
      </c>
      <c r="L10" s="8945">
        <v>26.392447925959132</v>
      </c>
      <c r="M10" s="8945">
        <v>26.087104703108643</v>
      </c>
      <c r="N10" s="8947">
        <v>28.0152703497697</v>
      </c>
      <c r="O10" s="8941"/>
      <c r="P10" s="8944">
        <v>36.363459683173964</v>
      </c>
      <c r="Q10" s="8945">
        <v>27.965889631030581</v>
      </c>
      <c r="R10" s="8945">
        <v>39.87485626473493</v>
      </c>
      <c r="S10" s="8945">
        <v>35.647700166932452</v>
      </c>
      <c r="T10" s="8945">
        <v>37.330927294314833</v>
      </c>
      <c r="U10" s="8941"/>
      <c r="V10" s="8945">
        <v>29.855731203374603</v>
      </c>
      <c r="W10" s="8945">
        <v>26.353477062637872</v>
      </c>
      <c r="X10" s="8945">
        <v>37.090174577772039</v>
      </c>
      <c r="Y10" s="8945">
        <v>33.055264968215361</v>
      </c>
      <c r="Z10" s="8947">
        <v>33.971868440806055</v>
      </c>
      <c r="AA10" s="8941"/>
      <c r="AB10" s="8949">
        <v>5.4927039838803386</v>
      </c>
      <c r="AC10" s="8945">
        <v>5.6284719368300316</v>
      </c>
      <c r="AD10" s="8945">
        <v>6.6832866233914796</v>
      </c>
      <c r="AE10" s="8945">
        <v>5.9629096662467882</v>
      </c>
      <c r="AF10" s="8947">
        <v>6.2960593174081732</v>
      </c>
      <c r="AG10" s="8941"/>
      <c r="AH10" s="8941"/>
      <c r="AI10" s="8941"/>
      <c r="AJ10" s="8941"/>
      <c r="AK10" s="8941"/>
      <c r="AL10" s="8941"/>
      <c r="AM10" s="8941"/>
      <c r="AN10" s="8941"/>
      <c r="AO10" s="8941"/>
      <c r="AP10" s="8941"/>
      <c r="AQ10" s="8941"/>
      <c r="AR10" s="8941"/>
      <c r="AS10" s="8941"/>
      <c r="AT10" s="8941"/>
      <c r="AU10" s="8941"/>
      <c r="AV10" s="8941"/>
      <c r="AW10" s="8941"/>
      <c r="AX10" s="8941"/>
      <c r="AY10" s="8941"/>
      <c r="AZ10" s="8941"/>
      <c r="BA10" s="8941"/>
      <c r="BB10" s="8941"/>
      <c r="BC10" s="8941"/>
      <c r="BD10" s="8941"/>
      <c r="BE10" s="8941"/>
      <c r="BF10" s="8941"/>
      <c r="BG10" s="8941"/>
      <c r="BH10" s="8941"/>
      <c r="BI10" s="8941"/>
      <c r="BJ10" s="8941"/>
      <c r="BK10" s="8941"/>
      <c r="BL10" s="8941"/>
      <c r="BM10" s="8941"/>
      <c r="BN10" s="8941"/>
      <c r="BO10" s="8941"/>
      <c r="BP10" s="8941"/>
      <c r="BQ10" s="8941"/>
      <c r="BR10" s="8941"/>
      <c r="BS10" s="8941"/>
      <c r="BT10" s="8941"/>
      <c r="BU10" s="8941"/>
      <c r="BV10" s="8941"/>
      <c r="BW10" s="8941"/>
      <c r="BX10" s="8941"/>
      <c r="BY10" s="8941"/>
      <c r="BZ10" s="8941"/>
      <c r="CA10" s="8941"/>
      <c r="CB10" s="8941"/>
      <c r="CC10" s="8941"/>
      <c r="CD10" s="8941"/>
      <c r="CE10" s="8941"/>
      <c r="CF10" s="8941"/>
      <c r="CG10" s="8941"/>
      <c r="CH10" s="8941"/>
      <c r="CI10" s="8941"/>
      <c r="CJ10" s="8941"/>
      <c r="CK10" s="8941"/>
    </row>
    <row r="11" spans="1:89" s="8942" customFormat="1" ht="21.5" x14ac:dyDescent="0.9">
      <c r="A11" s="8942">
        <v>7</v>
      </c>
      <c r="B11" s="8943" t="s">
        <v>28</v>
      </c>
      <c r="C11" s="8941"/>
      <c r="D11" s="8944">
        <v>20.179387063979384</v>
      </c>
      <c r="E11" s="8945">
        <v>21.836584485138079</v>
      </c>
      <c r="F11" s="8945">
        <v>21.956840716103436</v>
      </c>
      <c r="G11" s="8945">
        <v>22.426276083612819</v>
      </c>
      <c r="H11" s="8945">
        <v>21.90796512012091</v>
      </c>
      <c r="I11" s="8941"/>
      <c r="J11" s="8945">
        <v>19.411999068485635</v>
      </c>
      <c r="K11" s="8945">
        <v>20.823557331028582</v>
      </c>
      <c r="L11" s="8945">
        <v>20.927259328042215</v>
      </c>
      <c r="M11" s="8945">
        <v>21.374682333958482</v>
      </c>
      <c r="N11" s="8947">
        <v>21.069286301108914</v>
      </c>
      <c r="O11" s="8941"/>
      <c r="P11" s="8944">
        <v>33.173970227621318</v>
      </c>
      <c r="Q11" s="8945">
        <v>35.935323910066778</v>
      </c>
      <c r="R11" s="8945">
        <v>35.906172454325876</v>
      </c>
      <c r="S11" s="8945">
        <v>36.09254415946468</v>
      </c>
      <c r="T11" s="8945">
        <v>35.62154091617937</v>
      </c>
      <c r="U11" s="8941"/>
      <c r="V11" s="8945">
        <v>31.031787849936816</v>
      </c>
      <c r="W11" s="8945">
        <v>33.216157418832317</v>
      </c>
      <c r="X11" s="8945">
        <v>33.2154071075812</v>
      </c>
      <c r="Y11" s="8945">
        <v>33.387812341455522</v>
      </c>
      <c r="Z11" s="8947">
        <v>33.418377309888555</v>
      </c>
      <c r="AA11" s="8941"/>
      <c r="AB11" s="8949">
        <v>4.9972204324190983</v>
      </c>
      <c r="AC11" s="8945">
        <v>5.0371956421688848</v>
      </c>
      <c r="AD11" s="8945">
        <v>5.2963233817338269</v>
      </c>
      <c r="AE11" s="8945">
        <v>5.3370512188677361</v>
      </c>
      <c r="AF11" s="8947">
        <v>5.5000778059211761</v>
      </c>
      <c r="AG11" s="8941"/>
      <c r="AH11" s="8941"/>
      <c r="AI11" s="8941"/>
      <c r="AJ11" s="8941"/>
      <c r="AK11" s="8941"/>
      <c r="AL11" s="8941"/>
      <c r="AM11" s="8941"/>
      <c r="AN11" s="8941"/>
      <c r="AO11" s="8941"/>
      <c r="AP11" s="8941"/>
      <c r="AQ11" s="8941"/>
      <c r="AR11" s="8941"/>
      <c r="AS11" s="8941"/>
      <c r="AT11" s="8941"/>
      <c r="AU11" s="8941"/>
      <c r="AV11" s="8941"/>
      <c r="AW11" s="8941"/>
      <c r="AX11" s="8941"/>
      <c r="AY11" s="8941"/>
      <c r="AZ11" s="8941"/>
      <c r="BA11" s="8941"/>
      <c r="BB11" s="8941"/>
      <c r="BC11" s="8941"/>
      <c r="BD11" s="8941"/>
      <c r="BE11" s="8941"/>
      <c r="BF11" s="8941"/>
      <c r="BG11" s="8941"/>
      <c r="BH11" s="8941"/>
      <c r="BI11" s="8941"/>
      <c r="BJ11" s="8941"/>
      <c r="BK11" s="8941"/>
      <c r="BL11" s="8941"/>
      <c r="BM11" s="8941"/>
      <c r="BN11" s="8941"/>
      <c r="BO11" s="8941"/>
      <c r="BP11" s="8941"/>
      <c r="BQ11" s="8941"/>
      <c r="BR11" s="8941"/>
      <c r="BS11" s="8941"/>
      <c r="BT11" s="8941"/>
      <c r="BU11" s="8941"/>
      <c r="BV11" s="8941"/>
      <c r="BW11" s="8941"/>
      <c r="BX11" s="8941"/>
      <c r="BY11" s="8941"/>
      <c r="BZ11" s="8941"/>
      <c r="CA11" s="8941"/>
      <c r="CB11" s="8941"/>
      <c r="CC11" s="8941"/>
      <c r="CD11" s="8941"/>
      <c r="CE11" s="8941"/>
      <c r="CF11" s="8941"/>
      <c r="CG11" s="8941"/>
      <c r="CH11" s="8941"/>
      <c r="CI11" s="8941"/>
      <c r="CJ11" s="8941"/>
      <c r="CK11" s="8941"/>
    </row>
    <row r="12" spans="1:89" s="8942" customFormat="1" ht="21.5" x14ac:dyDescent="0.9">
      <c r="A12" s="8942">
        <v>8</v>
      </c>
      <c r="B12" s="8943" t="s">
        <v>29</v>
      </c>
      <c r="C12" s="8941"/>
      <c r="D12" s="8944">
        <v>14.12011864645476</v>
      </c>
      <c r="E12" s="8945">
        <v>12.544774215987481</v>
      </c>
      <c r="F12" s="8945">
        <v>14.563920596546865</v>
      </c>
      <c r="G12" s="8945">
        <v>15.194388902733483</v>
      </c>
      <c r="H12" s="8945">
        <v>13.250845045398721</v>
      </c>
      <c r="I12" s="8941"/>
      <c r="J12" s="8945">
        <v>13.784916745509502</v>
      </c>
      <c r="K12" s="8945">
        <v>12.306659508961729</v>
      </c>
      <c r="L12" s="8945">
        <v>14.269030729046072</v>
      </c>
      <c r="M12" s="8945">
        <v>14.89236484909947</v>
      </c>
      <c r="N12" s="8947">
        <v>12.994473925078017</v>
      </c>
      <c r="O12" s="8941"/>
      <c r="P12" s="8944">
        <v>19.098927036693365</v>
      </c>
      <c r="Q12" s="8945">
        <v>17.968692397365601</v>
      </c>
      <c r="R12" s="8945">
        <v>16.676802184686899</v>
      </c>
      <c r="S12" s="8945">
        <v>18.176096251300013</v>
      </c>
      <c r="T12" s="8945">
        <v>17.9383887923826</v>
      </c>
      <c r="U12" s="8941"/>
      <c r="V12" s="8945">
        <v>18.479311500369004</v>
      </c>
      <c r="W12" s="8945">
        <v>17.484136538073116</v>
      </c>
      <c r="X12" s="8945">
        <v>16.193615829193913</v>
      </c>
      <c r="Y12" s="8945">
        <v>17.649518387498745</v>
      </c>
      <c r="Z12" s="8947">
        <v>17.411990161918425</v>
      </c>
      <c r="AA12" s="8941"/>
      <c r="AB12" s="8949">
        <v>2.3942089168655976</v>
      </c>
      <c r="AC12" s="8945">
        <v>2.409090896440826</v>
      </c>
      <c r="AD12" s="8945">
        <v>3.022337138676694</v>
      </c>
      <c r="AE12" s="8945">
        <v>3.0066850370201372</v>
      </c>
      <c r="AF12" s="8947">
        <v>3.0402974037104991</v>
      </c>
      <c r="AG12" s="8941"/>
      <c r="AH12" s="8941"/>
      <c r="AI12" s="8941"/>
      <c r="AJ12" s="8941"/>
      <c r="AK12" s="8941"/>
      <c r="AL12" s="8941"/>
      <c r="AM12" s="8941"/>
      <c r="AN12" s="8941"/>
      <c r="AO12" s="8941"/>
      <c r="AP12" s="8941"/>
      <c r="AQ12" s="8941"/>
      <c r="AR12" s="8941"/>
      <c r="AS12" s="8941"/>
      <c r="AT12" s="8941"/>
      <c r="AU12" s="8941"/>
      <c r="AV12" s="8941"/>
      <c r="AW12" s="8941"/>
      <c r="AX12" s="8941"/>
      <c r="AY12" s="8941"/>
      <c r="AZ12" s="8941"/>
      <c r="BA12" s="8941"/>
      <c r="BB12" s="8941"/>
      <c r="BC12" s="8941"/>
      <c r="BD12" s="8941"/>
      <c r="BE12" s="8941"/>
      <c r="BF12" s="8941"/>
      <c r="BG12" s="8941"/>
      <c r="BH12" s="8941"/>
      <c r="BI12" s="8941"/>
      <c r="BJ12" s="8941"/>
      <c r="BK12" s="8941"/>
      <c r="BL12" s="8941"/>
      <c r="BM12" s="8941"/>
      <c r="BN12" s="8941"/>
      <c r="BO12" s="8941"/>
      <c r="BP12" s="8941"/>
      <c r="BQ12" s="8941"/>
      <c r="BR12" s="8941"/>
      <c r="BS12" s="8941"/>
      <c r="BT12" s="8941"/>
      <c r="BU12" s="8941"/>
      <c r="BV12" s="8941"/>
      <c r="BW12" s="8941"/>
      <c r="BX12" s="8941"/>
      <c r="BY12" s="8941"/>
      <c r="BZ12" s="8941"/>
      <c r="CA12" s="8941"/>
      <c r="CB12" s="8941"/>
      <c r="CC12" s="8941"/>
      <c r="CD12" s="8941"/>
      <c r="CE12" s="8941"/>
      <c r="CF12" s="8941"/>
      <c r="CG12" s="8941"/>
      <c r="CH12" s="8941"/>
      <c r="CI12" s="8941"/>
      <c r="CJ12" s="8941"/>
      <c r="CK12" s="8941"/>
    </row>
    <row r="13" spans="1:89" s="8942" customFormat="1" ht="21.5" x14ac:dyDescent="0.9">
      <c r="A13" s="8942">
        <v>9</v>
      </c>
      <c r="B13" s="8943" t="s">
        <v>30</v>
      </c>
      <c r="C13" s="8941"/>
      <c r="D13" s="8944">
        <v>13.316129722966078</v>
      </c>
      <c r="E13" s="8945">
        <v>17.139107597399892</v>
      </c>
      <c r="F13" s="8945">
        <v>21.312877723045627</v>
      </c>
      <c r="G13" s="8945">
        <v>19.834333114168846</v>
      </c>
      <c r="H13" s="8945">
        <v>23.983350380565341</v>
      </c>
      <c r="I13" s="8941"/>
      <c r="J13" s="8945">
        <v>11.53446357380319</v>
      </c>
      <c r="K13" s="8945">
        <v>14.287302742348777</v>
      </c>
      <c r="L13" s="8945">
        <v>16.042418153726668</v>
      </c>
      <c r="M13" s="8945">
        <v>15.709956034148757</v>
      </c>
      <c r="N13" s="8947">
        <v>19.480917234223593</v>
      </c>
      <c r="O13" s="8941"/>
      <c r="P13" s="8944">
        <v>19.056829587666712</v>
      </c>
      <c r="Q13" s="8945">
        <v>25.395887623618336</v>
      </c>
      <c r="R13" s="8945">
        <v>28.965162777422311</v>
      </c>
      <c r="S13" s="8945">
        <v>27.470279070096737</v>
      </c>
      <c r="T13" s="8945">
        <v>33.303526242947605</v>
      </c>
      <c r="U13" s="8941"/>
      <c r="V13" s="8945">
        <v>15.19212608996019</v>
      </c>
      <c r="W13" s="8945">
        <v>18.990456887370847</v>
      </c>
      <c r="X13" s="8945">
        <v>19.679921260307388</v>
      </c>
      <c r="Y13" s="8945">
        <v>19.752972681774516</v>
      </c>
      <c r="Z13" s="8947">
        <v>25.213005291701503</v>
      </c>
      <c r="AA13" s="8941"/>
      <c r="AB13" s="8949">
        <v>2.6542307874992233</v>
      </c>
      <c r="AC13" s="8945">
        <v>3.0669922465995705</v>
      </c>
      <c r="AD13" s="8945">
        <v>3.2904994235777232</v>
      </c>
      <c r="AE13" s="8945">
        <v>3.1853184110185042</v>
      </c>
      <c r="AF13" s="8947">
        <v>3.4808944729034939</v>
      </c>
      <c r="AG13" s="8941"/>
      <c r="AH13" s="8941"/>
      <c r="AI13" s="8941"/>
      <c r="AJ13" s="8941"/>
      <c r="AK13" s="8941"/>
      <c r="AL13" s="8941"/>
      <c r="AM13" s="8941"/>
      <c r="AN13" s="8941"/>
      <c r="AO13" s="8941"/>
      <c r="AP13" s="8941"/>
      <c r="AQ13" s="8941"/>
      <c r="AR13" s="8941"/>
      <c r="AS13" s="8941"/>
      <c r="AT13" s="8941"/>
      <c r="AU13" s="8941"/>
      <c r="AV13" s="8941"/>
      <c r="AW13" s="8941"/>
      <c r="AX13" s="8941"/>
      <c r="AY13" s="8941"/>
      <c r="AZ13" s="8941"/>
      <c r="BA13" s="8941"/>
      <c r="BB13" s="8941"/>
      <c r="BC13" s="8941"/>
      <c r="BD13" s="8941"/>
      <c r="BE13" s="8941"/>
      <c r="BF13" s="8941"/>
      <c r="BG13" s="8941"/>
      <c r="BH13" s="8941"/>
      <c r="BI13" s="8941"/>
      <c r="BJ13" s="8941"/>
      <c r="BK13" s="8941"/>
      <c r="BL13" s="8941"/>
      <c r="BM13" s="8941"/>
      <c r="BN13" s="8941"/>
      <c r="BO13" s="8941"/>
      <c r="BP13" s="8941"/>
      <c r="BQ13" s="8941"/>
      <c r="BR13" s="8941"/>
      <c r="BS13" s="8941"/>
      <c r="BT13" s="8941"/>
      <c r="BU13" s="8941"/>
      <c r="BV13" s="8941"/>
      <c r="BW13" s="8941"/>
      <c r="BX13" s="8941"/>
      <c r="BY13" s="8941"/>
      <c r="BZ13" s="8941"/>
      <c r="CA13" s="8941"/>
      <c r="CB13" s="8941"/>
      <c r="CC13" s="8941"/>
      <c r="CD13" s="8941"/>
      <c r="CE13" s="8941"/>
      <c r="CF13" s="8941"/>
      <c r="CG13" s="8941"/>
      <c r="CH13" s="8941"/>
      <c r="CI13" s="8941"/>
      <c r="CJ13" s="8941"/>
      <c r="CK13" s="8941"/>
    </row>
    <row r="14" spans="1:89" s="8942" customFormat="1" ht="21.5" x14ac:dyDescent="0.9">
      <c r="A14" s="8942">
        <v>10</v>
      </c>
      <c r="B14" s="8943" t="s">
        <v>108</v>
      </c>
      <c r="C14" s="8941"/>
      <c r="D14" s="8950" t="s">
        <v>6773</v>
      </c>
      <c r="E14" s="8946" t="s">
        <v>6773</v>
      </c>
      <c r="F14" s="8945">
        <v>10.046795641775567</v>
      </c>
      <c r="G14" s="8945">
        <v>12.938193528408092</v>
      </c>
      <c r="H14" s="8946" t="s">
        <v>6773</v>
      </c>
      <c r="I14" s="8941"/>
      <c r="J14" s="8946" t="s">
        <v>6773</v>
      </c>
      <c r="K14" s="8946" t="s">
        <v>6773</v>
      </c>
      <c r="L14" s="8945">
        <v>9.5930444699225212</v>
      </c>
      <c r="M14" s="8945">
        <v>12.521799322947624</v>
      </c>
      <c r="N14" s="8948" t="s">
        <v>6773</v>
      </c>
      <c r="O14" s="8941"/>
      <c r="P14" s="8950" t="s">
        <v>6773</v>
      </c>
      <c r="Q14" s="8946" t="s">
        <v>6773</v>
      </c>
      <c r="R14" s="8945">
        <v>16.671595506165431</v>
      </c>
      <c r="S14" s="8945">
        <v>18.913596010184378</v>
      </c>
      <c r="T14" s="8946" t="s">
        <v>6773</v>
      </c>
      <c r="U14" s="8941"/>
      <c r="V14" s="8946" t="s">
        <v>6773</v>
      </c>
      <c r="W14" s="8946" t="s">
        <v>6773</v>
      </c>
      <c r="X14" s="8945">
        <v>15.409503322590377</v>
      </c>
      <c r="Y14" s="8945">
        <v>17.989062667358091</v>
      </c>
      <c r="Z14" s="8948" t="s">
        <v>6773</v>
      </c>
      <c r="AA14" s="8941"/>
      <c r="AB14" s="8951"/>
      <c r="AC14" s="8946"/>
      <c r="AD14" s="8945">
        <v>1.6037332675025269</v>
      </c>
      <c r="AE14" s="8945">
        <v>1.9568401819622376</v>
      </c>
      <c r="AF14" s="8948" t="s">
        <v>6773</v>
      </c>
      <c r="AG14" s="8941"/>
      <c r="AH14" s="8941"/>
      <c r="AI14" s="8941"/>
      <c r="AJ14" s="8941"/>
      <c r="AK14" s="8941"/>
      <c r="AL14" s="8941"/>
      <c r="AM14" s="8941"/>
      <c r="AN14" s="8941"/>
      <c r="AO14" s="8941"/>
      <c r="AP14" s="8941"/>
      <c r="AQ14" s="8941"/>
      <c r="AR14" s="8941"/>
      <c r="AS14" s="8941"/>
      <c r="AT14" s="8941"/>
      <c r="AU14" s="8941"/>
      <c r="AV14" s="8941"/>
      <c r="AW14" s="8941"/>
      <c r="AX14" s="8941"/>
      <c r="AY14" s="8941"/>
      <c r="AZ14" s="8941"/>
      <c r="BA14" s="8941"/>
      <c r="BB14" s="8941"/>
      <c r="BC14" s="8941"/>
      <c r="BD14" s="8941"/>
      <c r="BE14" s="8941"/>
      <c r="BF14" s="8941"/>
      <c r="BG14" s="8941"/>
      <c r="BH14" s="8941"/>
      <c r="BI14" s="8941"/>
      <c r="BJ14" s="8941"/>
      <c r="BK14" s="8941"/>
      <c r="BL14" s="8941"/>
      <c r="BM14" s="8941"/>
      <c r="BN14" s="8941"/>
      <c r="BO14" s="8941"/>
      <c r="BP14" s="8941"/>
      <c r="BQ14" s="8941"/>
      <c r="BR14" s="8941"/>
      <c r="BS14" s="8941"/>
      <c r="BT14" s="8941"/>
      <c r="BU14" s="8941"/>
      <c r="BV14" s="8941"/>
      <c r="BW14" s="8941"/>
      <c r="BX14" s="8941"/>
      <c r="BY14" s="8941"/>
      <c r="BZ14" s="8941"/>
      <c r="CA14" s="8941"/>
      <c r="CB14" s="8941"/>
      <c r="CC14" s="8941"/>
      <c r="CD14" s="8941"/>
      <c r="CE14" s="8941"/>
      <c r="CF14" s="8941"/>
      <c r="CG14" s="8941"/>
      <c r="CH14" s="8941"/>
      <c r="CI14" s="8941"/>
      <c r="CJ14" s="8941"/>
      <c r="CK14" s="8941"/>
    </row>
    <row r="15" spans="1:89" s="8942" customFormat="1" ht="21.5" x14ac:dyDescent="0.9">
      <c r="A15" s="8942">
        <v>11</v>
      </c>
      <c r="B15" s="8943" t="s">
        <v>109</v>
      </c>
      <c r="C15" s="8941"/>
      <c r="D15" s="8944">
        <v>20.15594876286227</v>
      </c>
      <c r="E15" s="8945">
        <v>18.4199085559369</v>
      </c>
      <c r="F15" s="8945">
        <v>17.020207699811078</v>
      </c>
      <c r="G15" s="8945">
        <v>17.708803055455579</v>
      </c>
      <c r="H15" s="8945">
        <v>15.112710800442258</v>
      </c>
      <c r="I15" s="8941"/>
      <c r="J15" s="8945">
        <v>19.120035520190253</v>
      </c>
      <c r="K15" s="8945">
        <v>14.754687845069403</v>
      </c>
      <c r="L15" s="8945">
        <v>10.484575382306033</v>
      </c>
      <c r="M15" s="8945">
        <v>14.450801305854657</v>
      </c>
      <c r="N15" s="8947">
        <v>14.369144727720332</v>
      </c>
      <c r="O15" s="8941"/>
      <c r="P15" s="8944">
        <v>25.632781865413399</v>
      </c>
      <c r="Q15" s="8945">
        <v>22.749588677506175</v>
      </c>
      <c r="R15" s="8945">
        <v>22.404540169981917</v>
      </c>
      <c r="S15" s="8945">
        <v>23.298386676271189</v>
      </c>
      <c r="T15" s="8945">
        <v>19.961581156114132</v>
      </c>
      <c r="U15" s="8941"/>
      <c r="V15" s="8945">
        <v>23.819610172567337</v>
      </c>
      <c r="W15" s="8945">
        <v>16.797026634072775</v>
      </c>
      <c r="X15" s="8945">
        <v>11.59309143597685</v>
      </c>
      <c r="Y15" s="8945">
        <v>17.321565738803905</v>
      </c>
      <c r="Z15" s="8947">
        <v>18.482992020033265</v>
      </c>
      <c r="AA15" s="8941"/>
      <c r="AB15" s="8949">
        <v>2.4018211773124047</v>
      </c>
      <c r="AC15" s="8945">
        <v>2.4347896778791003</v>
      </c>
      <c r="AD15" s="8945">
        <v>2.4051529666045615</v>
      </c>
      <c r="AE15" s="8945">
        <v>2.496049077269535</v>
      </c>
      <c r="AF15" s="8947">
        <v>2.7609808881609847</v>
      </c>
      <c r="AG15" s="8941"/>
      <c r="AH15" s="8941"/>
      <c r="AI15" s="8941"/>
      <c r="AJ15" s="8941"/>
      <c r="AK15" s="8941"/>
      <c r="AL15" s="8941"/>
      <c r="AM15" s="8941"/>
      <c r="AN15" s="8941"/>
      <c r="AO15" s="8941"/>
      <c r="AP15" s="8941"/>
      <c r="AQ15" s="8941"/>
      <c r="AR15" s="8941"/>
      <c r="AS15" s="8941"/>
      <c r="AT15" s="8941"/>
      <c r="AU15" s="8941"/>
      <c r="AV15" s="8941"/>
      <c r="AW15" s="8941"/>
      <c r="AX15" s="8941"/>
      <c r="AY15" s="8941"/>
      <c r="AZ15" s="8941"/>
      <c r="BA15" s="8941"/>
      <c r="BB15" s="8941"/>
      <c r="BC15" s="8941"/>
      <c r="BD15" s="8941"/>
      <c r="BE15" s="8941"/>
      <c r="BF15" s="8941"/>
      <c r="BG15" s="8941"/>
      <c r="BH15" s="8941"/>
      <c r="BI15" s="8941"/>
      <c r="BJ15" s="8941"/>
      <c r="BK15" s="8941"/>
      <c r="BL15" s="8941"/>
      <c r="BM15" s="8941"/>
      <c r="BN15" s="8941"/>
      <c r="BO15" s="8941"/>
      <c r="BP15" s="8941"/>
      <c r="BQ15" s="8941"/>
      <c r="BR15" s="8941"/>
      <c r="BS15" s="8941"/>
      <c r="BT15" s="8941"/>
      <c r="BU15" s="8941"/>
      <c r="BV15" s="8941"/>
      <c r="BW15" s="8941"/>
      <c r="BX15" s="8941"/>
      <c r="BY15" s="8941"/>
      <c r="BZ15" s="8941"/>
      <c r="CA15" s="8941"/>
      <c r="CB15" s="8941"/>
      <c r="CC15" s="8941"/>
      <c r="CD15" s="8941"/>
      <c r="CE15" s="8941"/>
      <c r="CF15" s="8941"/>
      <c r="CG15" s="8941"/>
      <c r="CH15" s="8941"/>
      <c r="CI15" s="8941"/>
      <c r="CJ15" s="8941"/>
      <c r="CK15" s="8941"/>
    </row>
    <row r="16" spans="1:89" s="8942" customFormat="1" ht="21.5" x14ac:dyDescent="0.9">
      <c r="A16" s="8942">
        <v>12</v>
      </c>
      <c r="B16" s="8943" t="s">
        <v>88</v>
      </c>
      <c r="C16" s="8941"/>
      <c r="D16" s="8950" t="s">
        <v>6773</v>
      </c>
      <c r="E16" s="8946" t="s">
        <v>6773</v>
      </c>
      <c r="F16" s="8946" t="s">
        <v>6773</v>
      </c>
      <c r="G16" s="8945">
        <v>14.672275926129677</v>
      </c>
      <c r="H16" s="8945">
        <v>19.620729926884071</v>
      </c>
      <c r="I16" s="8941"/>
      <c r="J16" s="8946" t="s">
        <v>6773</v>
      </c>
      <c r="K16" s="8946" t="s">
        <v>6773</v>
      </c>
      <c r="L16" s="8946" t="s">
        <v>6773</v>
      </c>
      <c r="M16" s="8945">
        <v>14.638312997055635</v>
      </c>
      <c r="N16" s="8947">
        <v>19.55015523207009</v>
      </c>
      <c r="O16" s="8941"/>
      <c r="P16" s="8950" t="s">
        <v>6773</v>
      </c>
      <c r="Q16" s="8946" t="s">
        <v>6773</v>
      </c>
      <c r="R16" s="8946"/>
      <c r="S16" s="8945">
        <v>22.789113023323917</v>
      </c>
      <c r="T16" s="8945">
        <v>31.166610775594229</v>
      </c>
      <c r="U16" s="8941"/>
      <c r="V16" s="8946" t="s">
        <v>6773</v>
      </c>
      <c r="W16" s="8946" t="s">
        <v>6773</v>
      </c>
      <c r="X16" s="8946"/>
      <c r="Y16" s="8945">
        <v>22.697858661912704</v>
      </c>
      <c r="Z16" s="8947">
        <v>30.935518962595022</v>
      </c>
      <c r="AA16" s="8941"/>
      <c r="AB16" s="8951" t="s">
        <v>6773</v>
      </c>
      <c r="AC16" s="8946" t="s">
        <v>6773</v>
      </c>
      <c r="AD16" s="8946"/>
      <c r="AE16" s="8945">
        <v>2.3477581479362852</v>
      </c>
      <c r="AF16" s="8947">
        <v>2.9965715572394762</v>
      </c>
      <c r="AG16" s="8941"/>
      <c r="AH16" s="8941"/>
      <c r="AI16" s="8941"/>
      <c r="AJ16" s="8941"/>
      <c r="AK16" s="8941"/>
      <c r="AL16" s="8941"/>
      <c r="AM16" s="8941"/>
      <c r="AN16" s="8941"/>
      <c r="AO16" s="8941"/>
      <c r="AP16" s="8941"/>
      <c r="AQ16" s="8941"/>
      <c r="AR16" s="8941"/>
      <c r="AS16" s="8941"/>
      <c r="AT16" s="8941"/>
      <c r="AU16" s="8941"/>
      <c r="AV16" s="8941"/>
      <c r="AW16" s="8941"/>
      <c r="AX16" s="8941"/>
      <c r="AY16" s="8941"/>
      <c r="AZ16" s="8941"/>
      <c r="BA16" s="8941"/>
      <c r="BB16" s="8941"/>
      <c r="BC16" s="8941"/>
      <c r="BD16" s="8941"/>
      <c r="BE16" s="8941"/>
      <c r="BF16" s="8941"/>
      <c r="BG16" s="8941"/>
      <c r="BH16" s="8941"/>
      <c r="BI16" s="8941"/>
      <c r="BJ16" s="8941"/>
      <c r="BK16" s="8941"/>
      <c r="BL16" s="8941"/>
      <c r="BM16" s="8941"/>
      <c r="BN16" s="8941"/>
      <c r="BO16" s="8941"/>
      <c r="BP16" s="8941"/>
      <c r="BQ16" s="8941"/>
      <c r="BR16" s="8941"/>
      <c r="BS16" s="8941"/>
      <c r="BT16" s="8941"/>
      <c r="BU16" s="8941"/>
      <c r="BV16" s="8941"/>
      <c r="BW16" s="8941"/>
      <c r="BX16" s="8941"/>
      <c r="BY16" s="8941"/>
      <c r="BZ16" s="8941"/>
      <c r="CA16" s="8941"/>
      <c r="CB16" s="8941"/>
      <c r="CC16" s="8941"/>
      <c r="CD16" s="8941"/>
      <c r="CE16" s="8941"/>
      <c r="CF16" s="8941"/>
      <c r="CG16" s="8941"/>
      <c r="CH16" s="8941"/>
      <c r="CI16" s="8941"/>
      <c r="CJ16" s="8941"/>
      <c r="CK16" s="8941"/>
    </row>
    <row r="17" spans="1:89" s="8942" customFormat="1" ht="21.5" x14ac:dyDescent="0.9">
      <c r="A17" s="8942">
        <v>13</v>
      </c>
      <c r="B17" s="8943" t="s">
        <v>6774</v>
      </c>
      <c r="C17" s="8941"/>
      <c r="D17" s="8944">
        <v>11.93473678148016</v>
      </c>
      <c r="E17" s="8945">
        <v>13.787587991442244</v>
      </c>
      <c r="F17" s="8945">
        <v>16.477479252875511</v>
      </c>
      <c r="G17" s="8945">
        <v>14.010522112297712</v>
      </c>
      <c r="H17" s="8945">
        <v>13.741045193411653</v>
      </c>
      <c r="I17" s="8941"/>
      <c r="J17" s="8945">
        <v>11.8247349296864</v>
      </c>
      <c r="K17" s="8945">
        <v>13.606991741417302</v>
      </c>
      <c r="L17" s="8945">
        <v>14.606389635216289</v>
      </c>
      <c r="M17" s="8945">
        <v>11.898844551986402</v>
      </c>
      <c r="N17" s="8947">
        <v>12.386650868860889</v>
      </c>
      <c r="O17" s="8941"/>
      <c r="P17" s="8944">
        <v>18.534476421685625</v>
      </c>
      <c r="Q17" s="8945">
        <v>20.630801544791115</v>
      </c>
      <c r="R17" s="8945">
        <v>14.912315289936501</v>
      </c>
      <c r="S17" s="8945">
        <v>15.060851251275164</v>
      </c>
      <c r="T17" s="8945">
        <v>15.582786715449185</v>
      </c>
      <c r="U17" s="8941"/>
      <c r="V17" s="8945">
        <v>18.154933189134361</v>
      </c>
      <c r="W17" s="8945">
        <v>20.126317276779712</v>
      </c>
      <c r="X17" s="8945">
        <v>12.947409538801807</v>
      </c>
      <c r="Y17" s="8945">
        <v>12.263698104741383</v>
      </c>
      <c r="Z17" s="8947">
        <v>13.582144910465296</v>
      </c>
      <c r="AA17" s="8941"/>
      <c r="AB17" s="8949">
        <v>4.8200849901958893</v>
      </c>
      <c r="AC17" s="8945">
        <v>4.4429690871632603</v>
      </c>
      <c r="AD17" s="8946"/>
      <c r="AE17" s="8945">
        <v>2.5473129707068858</v>
      </c>
      <c r="AF17" s="8947">
        <v>3.2149759977793559</v>
      </c>
      <c r="AG17" s="8941"/>
      <c r="AH17" s="8941"/>
      <c r="AI17" s="8941"/>
      <c r="AJ17" s="8941"/>
      <c r="AK17" s="8941"/>
      <c r="AL17" s="8941"/>
      <c r="AM17" s="8941"/>
      <c r="AN17" s="8941"/>
      <c r="AO17" s="8941"/>
      <c r="AP17" s="8941"/>
      <c r="AQ17" s="8941"/>
      <c r="AR17" s="8941"/>
      <c r="AS17" s="8941"/>
      <c r="AT17" s="8941"/>
      <c r="AU17" s="8941"/>
      <c r="AV17" s="8941"/>
      <c r="AW17" s="8941"/>
      <c r="AX17" s="8941"/>
      <c r="AY17" s="8941"/>
      <c r="AZ17" s="8941"/>
      <c r="BA17" s="8941"/>
      <c r="BB17" s="8941"/>
      <c r="BC17" s="8941"/>
      <c r="BD17" s="8941"/>
      <c r="BE17" s="8941"/>
      <c r="BF17" s="8941"/>
      <c r="BG17" s="8941"/>
      <c r="BH17" s="8941"/>
      <c r="BI17" s="8941"/>
      <c r="BJ17" s="8941"/>
      <c r="BK17" s="8941"/>
      <c r="BL17" s="8941"/>
      <c r="BM17" s="8941"/>
      <c r="BN17" s="8941"/>
      <c r="BO17" s="8941"/>
      <c r="BP17" s="8941"/>
      <c r="BQ17" s="8941"/>
      <c r="BR17" s="8941"/>
      <c r="BS17" s="8941"/>
      <c r="BT17" s="8941"/>
      <c r="BU17" s="8941"/>
      <c r="BV17" s="8941"/>
      <c r="BW17" s="8941"/>
      <c r="BX17" s="8941"/>
      <c r="BY17" s="8941"/>
      <c r="BZ17" s="8941"/>
      <c r="CA17" s="8941"/>
      <c r="CB17" s="8941"/>
      <c r="CC17" s="8941"/>
      <c r="CD17" s="8941"/>
      <c r="CE17" s="8941"/>
      <c r="CF17" s="8941"/>
      <c r="CG17" s="8941"/>
      <c r="CH17" s="8941"/>
      <c r="CI17" s="8941"/>
      <c r="CJ17" s="8941"/>
      <c r="CK17" s="8941"/>
    </row>
    <row r="18" spans="1:89" s="8942" customFormat="1" ht="21.5" x14ac:dyDescent="0.9">
      <c r="A18" s="8942">
        <v>14</v>
      </c>
      <c r="B18" s="8943" t="s">
        <v>1370</v>
      </c>
      <c r="C18" s="8941"/>
      <c r="D18" s="8944">
        <v>25.825767586721849</v>
      </c>
      <c r="E18" s="8945">
        <v>21.185477756970588</v>
      </c>
      <c r="F18" s="8945">
        <v>24.625819102642467</v>
      </c>
      <c r="G18" s="8945">
        <v>29.387170354922926</v>
      </c>
      <c r="H18" s="8945">
        <v>25.37936547208438</v>
      </c>
      <c r="I18" s="8941"/>
      <c r="J18" s="8945">
        <v>19.456918556035742</v>
      </c>
      <c r="K18" s="8945">
        <v>14.951094869014678</v>
      </c>
      <c r="L18" s="8945">
        <v>18.877071149562873</v>
      </c>
      <c r="M18" s="8945">
        <v>21.115790563165696</v>
      </c>
      <c r="N18" s="8947">
        <v>18.79100477604695</v>
      </c>
      <c r="O18" s="8941"/>
      <c r="P18" s="8944">
        <v>36.835412623332509</v>
      </c>
      <c r="Q18" s="8945">
        <v>33.105053219287818</v>
      </c>
      <c r="R18" s="8945">
        <v>40.171761591402507</v>
      </c>
      <c r="S18" s="8945">
        <v>41.501879265548013</v>
      </c>
      <c r="T18" s="8945">
        <v>34.436935544567085</v>
      </c>
      <c r="U18" s="8941"/>
      <c r="V18" s="8945">
        <v>23.608230840157191</v>
      </c>
      <c r="W18" s="8945">
        <v>19.326167187273267</v>
      </c>
      <c r="X18" s="8945">
        <v>25.784652604523046</v>
      </c>
      <c r="Y18" s="8945">
        <v>25.783651038701944</v>
      </c>
      <c r="Z18" s="8947">
        <v>22.408890914460724</v>
      </c>
      <c r="AA18" s="8941"/>
      <c r="AB18" s="8949">
        <v>3.7539478735833125</v>
      </c>
      <c r="AC18" s="8945">
        <v>3.3470881073249519</v>
      </c>
      <c r="AD18" s="8945">
        <v>4.1766589847334696</v>
      </c>
      <c r="AE18" s="8945">
        <v>3.8699782835299059</v>
      </c>
      <c r="AF18" s="8947">
        <v>3.9620614130377798</v>
      </c>
      <c r="AG18" s="8941"/>
      <c r="AH18" s="8941"/>
      <c r="AI18" s="8941"/>
      <c r="AJ18" s="8941"/>
      <c r="AK18" s="8941"/>
      <c r="AL18" s="8941"/>
      <c r="AM18" s="8941"/>
      <c r="AN18" s="8941"/>
      <c r="AO18" s="8941"/>
      <c r="AP18" s="8941"/>
      <c r="AQ18" s="8941"/>
      <c r="AR18" s="8941"/>
      <c r="AS18" s="8941"/>
      <c r="AT18" s="8941"/>
      <c r="AU18" s="8941"/>
      <c r="AV18" s="8941"/>
      <c r="AW18" s="8941"/>
      <c r="AX18" s="8941"/>
      <c r="AY18" s="8941"/>
      <c r="AZ18" s="8941"/>
      <c r="BA18" s="8941"/>
      <c r="BB18" s="8941"/>
      <c r="BC18" s="8941"/>
      <c r="BD18" s="8941"/>
      <c r="BE18" s="8941"/>
      <c r="BF18" s="8941"/>
      <c r="BG18" s="8941"/>
      <c r="BH18" s="8941"/>
      <c r="BI18" s="8941"/>
      <c r="BJ18" s="8941"/>
      <c r="BK18" s="8941"/>
      <c r="BL18" s="8941"/>
      <c r="BM18" s="8941"/>
      <c r="BN18" s="8941"/>
      <c r="BO18" s="8941"/>
      <c r="BP18" s="8941"/>
      <c r="BQ18" s="8941"/>
      <c r="BR18" s="8941"/>
      <c r="BS18" s="8941"/>
      <c r="BT18" s="8941"/>
      <c r="BU18" s="8941"/>
      <c r="BV18" s="8941"/>
      <c r="BW18" s="8941"/>
      <c r="BX18" s="8941"/>
      <c r="BY18" s="8941"/>
      <c r="BZ18" s="8941"/>
      <c r="CA18" s="8941"/>
      <c r="CB18" s="8941"/>
      <c r="CC18" s="8941"/>
      <c r="CD18" s="8941"/>
      <c r="CE18" s="8941"/>
      <c r="CF18" s="8941"/>
      <c r="CG18" s="8941"/>
      <c r="CH18" s="8941"/>
      <c r="CI18" s="8941"/>
      <c r="CJ18" s="8941"/>
      <c r="CK18" s="8941"/>
    </row>
    <row r="19" spans="1:89" s="8942" customFormat="1" ht="21.5" x14ac:dyDescent="0.9">
      <c r="A19" s="8942">
        <v>15</v>
      </c>
      <c r="B19" s="8943" t="s">
        <v>36</v>
      </c>
      <c r="C19" s="8941"/>
      <c r="D19" s="8944">
        <v>16.798050829150711</v>
      </c>
      <c r="E19" s="8945">
        <v>17.54326903226417</v>
      </c>
      <c r="F19" s="8945">
        <v>22.000224065955837</v>
      </c>
      <c r="G19" s="8945">
        <v>21.355894725032996</v>
      </c>
      <c r="H19" s="8945">
        <v>22.051402763357661</v>
      </c>
      <c r="I19" s="8941"/>
      <c r="J19" s="8945">
        <v>14.515072818315913</v>
      </c>
      <c r="K19" s="8945">
        <v>13.923752389089156</v>
      </c>
      <c r="L19" s="8945">
        <v>17.606803837079404</v>
      </c>
      <c r="M19" s="8945">
        <v>16.320315356505731</v>
      </c>
      <c r="N19" s="8947">
        <v>16.924788553448373</v>
      </c>
      <c r="O19" s="8941"/>
      <c r="P19" s="8950"/>
      <c r="Q19" s="8946"/>
      <c r="R19" s="8946"/>
      <c r="S19" s="8946"/>
      <c r="T19" s="8946"/>
      <c r="U19" s="8941"/>
      <c r="V19" s="8946"/>
      <c r="W19" s="8946"/>
      <c r="X19" s="8946"/>
      <c r="Y19" s="8946"/>
      <c r="Z19" s="8948"/>
      <c r="AA19" s="8941"/>
      <c r="AB19" s="8949">
        <v>3.9018652878344988</v>
      </c>
      <c r="AC19" s="8945">
        <v>3.7276909891342775</v>
      </c>
      <c r="AD19" s="8945">
        <v>4.7549735917982821</v>
      </c>
      <c r="AE19" s="8945">
        <v>4.193899414737202</v>
      </c>
      <c r="AF19" s="8947">
        <v>4.4047406934536095</v>
      </c>
      <c r="AG19" s="8941"/>
      <c r="AH19" s="8941"/>
      <c r="AI19" s="8941"/>
      <c r="AJ19" s="8941"/>
      <c r="AK19" s="8941"/>
      <c r="AL19" s="8941"/>
      <c r="AM19" s="8941"/>
      <c r="AN19" s="8941"/>
      <c r="AO19" s="8941"/>
      <c r="AP19" s="8941"/>
      <c r="AQ19" s="8941"/>
      <c r="AR19" s="8941"/>
      <c r="AS19" s="8941"/>
      <c r="AT19" s="8941"/>
      <c r="AU19" s="8941"/>
      <c r="AV19" s="8941"/>
      <c r="AW19" s="8941"/>
      <c r="AX19" s="8941"/>
      <c r="AY19" s="8941"/>
      <c r="AZ19" s="8941"/>
      <c r="BA19" s="8941"/>
      <c r="BB19" s="8941"/>
      <c r="BC19" s="8941"/>
      <c r="BD19" s="8941"/>
      <c r="BE19" s="8941"/>
      <c r="BF19" s="8941"/>
      <c r="BG19" s="8941"/>
      <c r="BH19" s="8941"/>
      <c r="BI19" s="8941"/>
      <c r="BJ19" s="8941"/>
      <c r="BK19" s="8941"/>
      <c r="BL19" s="8941"/>
      <c r="BM19" s="8941"/>
      <c r="BN19" s="8941"/>
      <c r="BO19" s="8941"/>
      <c r="BP19" s="8941"/>
      <c r="BQ19" s="8941"/>
      <c r="BR19" s="8941"/>
      <c r="BS19" s="8941"/>
      <c r="BT19" s="8941"/>
      <c r="BU19" s="8941"/>
      <c r="BV19" s="8941"/>
      <c r="BW19" s="8941"/>
      <c r="BX19" s="8941"/>
      <c r="BY19" s="8941"/>
      <c r="BZ19" s="8941"/>
      <c r="CA19" s="8941"/>
      <c r="CB19" s="8941"/>
      <c r="CC19" s="8941"/>
      <c r="CD19" s="8941"/>
      <c r="CE19" s="8941"/>
      <c r="CF19" s="8941"/>
      <c r="CG19" s="8941"/>
      <c r="CH19" s="8941"/>
      <c r="CI19" s="8941"/>
      <c r="CJ19" s="8941"/>
      <c r="CK19" s="8941"/>
    </row>
    <row r="20" spans="1:89" s="8942" customFormat="1" ht="21.5" x14ac:dyDescent="0.9">
      <c r="A20" s="8942">
        <v>16</v>
      </c>
      <c r="B20" s="8943" t="s">
        <v>6775</v>
      </c>
      <c r="C20" s="8941"/>
      <c r="D20" s="8944">
        <v>20.411803430992258</v>
      </c>
      <c r="E20" s="8945">
        <v>19.174029114054644</v>
      </c>
      <c r="F20" s="8945">
        <v>17.374015517236721</v>
      </c>
      <c r="G20" s="8945">
        <v>18.037231006920116</v>
      </c>
      <c r="H20" s="8945">
        <v>26.07419721230071</v>
      </c>
      <c r="I20" s="8941"/>
      <c r="J20" s="8945">
        <v>19.272872161618455</v>
      </c>
      <c r="K20" s="8945">
        <v>18.515414008292613</v>
      </c>
      <c r="L20" s="8945">
        <v>16.845814071713594</v>
      </c>
      <c r="M20" s="8945">
        <v>17.483122885583128</v>
      </c>
      <c r="N20" s="8947">
        <v>24.605299838613114</v>
      </c>
      <c r="O20" s="8941"/>
      <c r="P20" s="8944">
        <v>21.471627781429131</v>
      </c>
      <c r="Q20" s="8945">
        <v>21.866933364889928</v>
      </c>
      <c r="R20" s="8945">
        <v>18.043151861731236</v>
      </c>
      <c r="S20" s="8945">
        <v>19.831404467647765</v>
      </c>
      <c r="T20" s="8945">
        <v>28.096145707650983</v>
      </c>
      <c r="U20" s="8941"/>
      <c r="V20" s="8945">
        <v>20.16661563640282</v>
      </c>
      <c r="W20" s="8945">
        <v>21.00906448989064</v>
      </c>
      <c r="X20" s="8945">
        <v>17.447380490211302</v>
      </c>
      <c r="Y20" s="8945">
        <v>19.126889983518815</v>
      </c>
      <c r="Z20" s="8947">
        <v>26.376222736872396</v>
      </c>
      <c r="AA20" s="8941"/>
      <c r="AB20" s="8949">
        <v>2.1186894898024899</v>
      </c>
      <c r="AC20" s="8945">
        <v>1.4549473182322616</v>
      </c>
      <c r="AD20" s="8945">
        <v>1.8961773861826119</v>
      </c>
      <c r="AE20" s="8945">
        <v>1.7350075871474371</v>
      </c>
      <c r="AF20" s="8947">
        <v>2.604394883501465</v>
      </c>
      <c r="AG20" s="8941"/>
      <c r="AH20" s="8941"/>
      <c r="AI20" s="8941"/>
      <c r="AJ20" s="8941"/>
      <c r="AK20" s="8941"/>
      <c r="AL20" s="8941"/>
      <c r="AM20" s="8941"/>
      <c r="AN20" s="8941"/>
      <c r="AO20" s="8941"/>
      <c r="AP20" s="8941"/>
      <c r="AQ20" s="8941"/>
      <c r="AR20" s="8941"/>
      <c r="AS20" s="8941"/>
      <c r="AT20" s="8941"/>
      <c r="AU20" s="8941"/>
      <c r="AV20" s="8941"/>
      <c r="AW20" s="8941"/>
      <c r="AX20" s="8941"/>
      <c r="AY20" s="8941"/>
      <c r="AZ20" s="8941"/>
      <c r="BA20" s="8941"/>
      <c r="BB20" s="8941"/>
      <c r="BC20" s="8941"/>
      <c r="BD20" s="8941"/>
      <c r="BE20" s="8941"/>
      <c r="BF20" s="8941"/>
      <c r="BG20" s="8941"/>
      <c r="BH20" s="8941"/>
      <c r="BI20" s="8941"/>
      <c r="BJ20" s="8941"/>
      <c r="BK20" s="8941"/>
      <c r="BL20" s="8941"/>
      <c r="BM20" s="8941"/>
      <c r="BN20" s="8941"/>
      <c r="BO20" s="8941"/>
      <c r="BP20" s="8941"/>
      <c r="BQ20" s="8941"/>
      <c r="BR20" s="8941"/>
      <c r="BS20" s="8941"/>
      <c r="BT20" s="8941"/>
      <c r="BU20" s="8941"/>
      <c r="BV20" s="8941"/>
      <c r="BW20" s="8941"/>
      <c r="BX20" s="8941"/>
      <c r="BY20" s="8941"/>
      <c r="BZ20" s="8941"/>
      <c r="CA20" s="8941"/>
      <c r="CB20" s="8941"/>
      <c r="CC20" s="8941"/>
      <c r="CD20" s="8941"/>
      <c r="CE20" s="8941"/>
      <c r="CF20" s="8941"/>
      <c r="CG20" s="8941"/>
      <c r="CH20" s="8941"/>
      <c r="CI20" s="8941"/>
      <c r="CJ20" s="8941"/>
      <c r="CK20" s="8941"/>
    </row>
    <row r="21" spans="1:89" s="8942" customFormat="1" ht="21.5" x14ac:dyDescent="0.9">
      <c r="A21" s="8942">
        <v>17</v>
      </c>
      <c r="B21" s="8943" t="s">
        <v>110</v>
      </c>
      <c r="C21" s="8941"/>
      <c r="D21" s="8950" t="s">
        <v>6773</v>
      </c>
      <c r="E21" s="8946" t="s">
        <v>6773</v>
      </c>
      <c r="F21" s="8946" t="s">
        <v>6773</v>
      </c>
      <c r="G21" s="8946" t="s">
        <v>6773</v>
      </c>
      <c r="H21" s="8946"/>
      <c r="I21" s="8941"/>
      <c r="J21" s="8946" t="s">
        <v>6773</v>
      </c>
      <c r="K21" s="8946" t="s">
        <v>6773</v>
      </c>
      <c r="L21" s="8945">
        <v>14.630367030762834</v>
      </c>
      <c r="M21" s="8945">
        <v>12.485605284283926</v>
      </c>
      <c r="N21" s="8948" t="s">
        <v>6773</v>
      </c>
      <c r="O21" s="8941"/>
      <c r="P21" s="8950" t="s">
        <v>6773</v>
      </c>
      <c r="Q21" s="8946" t="s">
        <v>6773</v>
      </c>
      <c r="R21" s="8946" t="s">
        <v>6773</v>
      </c>
      <c r="S21" s="8946" t="s">
        <v>6773</v>
      </c>
      <c r="T21" s="8946" t="s">
        <v>6773</v>
      </c>
      <c r="U21" s="8941"/>
      <c r="V21" s="8946" t="s">
        <v>6773</v>
      </c>
      <c r="W21" s="8946" t="s">
        <v>6773</v>
      </c>
      <c r="X21" s="8946" t="s">
        <v>6773</v>
      </c>
      <c r="Y21" s="8946" t="s">
        <v>6773</v>
      </c>
      <c r="Z21" s="8948"/>
      <c r="AA21" s="8941"/>
      <c r="AB21" s="8951"/>
      <c r="AC21" s="8946"/>
      <c r="AD21" s="8945">
        <v>2.5016450365727367</v>
      </c>
      <c r="AE21" s="8945">
        <v>1.6097550460819301</v>
      </c>
      <c r="AF21" s="8948" t="s">
        <v>6773</v>
      </c>
      <c r="AG21" s="8941"/>
      <c r="AH21" s="8941"/>
      <c r="AI21" s="8941"/>
      <c r="AJ21" s="8941"/>
      <c r="AK21" s="8941"/>
      <c r="AL21" s="8941"/>
      <c r="AM21" s="8941"/>
      <c r="AN21" s="8941"/>
      <c r="AO21" s="8941"/>
      <c r="AP21" s="8941"/>
      <c r="AQ21" s="8941"/>
      <c r="AR21" s="8941"/>
      <c r="AS21" s="8941"/>
      <c r="AT21" s="8941"/>
      <c r="AU21" s="8941"/>
      <c r="AV21" s="8941"/>
      <c r="AW21" s="8941"/>
      <c r="AX21" s="8941"/>
      <c r="AY21" s="8941"/>
      <c r="AZ21" s="8941"/>
      <c r="BA21" s="8941"/>
      <c r="BB21" s="8941"/>
      <c r="BC21" s="8941"/>
      <c r="BD21" s="8941"/>
      <c r="BE21" s="8941"/>
      <c r="BF21" s="8941"/>
      <c r="BG21" s="8941"/>
      <c r="BH21" s="8941"/>
      <c r="BI21" s="8941"/>
      <c r="BJ21" s="8941"/>
      <c r="BK21" s="8941"/>
      <c r="BL21" s="8941"/>
      <c r="BM21" s="8941"/>
      <c r="BN21" s="8941"/>
      <c r="BO21" s="8941"/>
      <c r="BP21" s="8941"/>
      <c r="BQ21" s="8941"/>
      <c r="BR21" s="8941"/>
      <c r="BS21" s="8941"/>
      <c r="BT21" s="8941"/>
      <c r="BU21" s="8941"/>
      <c r="BV21" s="8941"/>
      <c r="BW21" s="8941"/>
      <c r="BX21" s="8941"/>
      <c r="BY21" s="8941"/>
      <c r="BZ21" s="8941"/>
      <c r="CA21" s="8941"/>
      <c r="CB21" s="8941"/>
      <c r="CC21" s="8941"/>
      <c r="CD21" s="8941"/>
      <c r="CE21" s="8941"/>
      <c r="CF21" s="8941"/>
      <c r="CG21" s="8941"/>
      <c r="CH21" s="8941"/>
      <c r="CI21" s="8941"/>
      <c r="CJ21" s="8941"/>
      <c r="CK21" s="8941"/>
    </row>
    <row r="22" spans="1:89" s="8942" customFormat="1" ht="21.5" x14ac:dyDescent="0.9">
      <c r="A22" s="8942">
        <v>18</v>
      </c>
      <c r="B22" s="8943" t="s">
        <v>6782</v>
      </c>
      <c r="C22" s="8941"/>
      <c r="D22" s="8944">
        <v>11.938093100800616</v>
      </c>
      <c r="E22" s="8946"/>
      <c r="F22" s="8945">
        <v>22.08565789778293</v>
      </c>
      <c r="G22" s="8945">
        <v>23.828576928527855</v>
      </c>
      <c r="H22" s="8945">
        <v>18.304821802897553</v>
      </c>
      <c r="I22" s="8941"/>
      <c r="J22" s="8945">
        <v>8.9757409270884363</v>
      </c>
      <c r="K22" s="8946"/>
      <c r="L22" s="8945">
        <v>15.060327173010737</v>
      </c>
      <c r="M22" s="8945">
        <v>17.553798271393877</v>
      </c>
      <c r="N22" s="8947">
        <v>14.379666407213715</v>
      </c>
      <c r="O22" s="8941"/>
      <c r="P22" s="8944">
        <v>12.036495602518183</v>
      </c>
      <c r="Q22" s="8946"/>
      <c r="R22" s="8946"/>
      <c r="S22" s="8946" t="s">
        <v>6773</v>
      </c>
      <c r="T22" s="8946" t="s">
        <v>6773</v>
      </c>
      <c r="U22" s="8941"/>
      <c r="V22" s="8945">
        <v>8.8849912796036641</v>
      </c>
      <c r="W22" s="8946"/>
      <c r="X22" s="8946"/>
      <c r="Y22" s="8946"/>
      <c r="Z22" s="8948"/>
      <c r="AA22" s="8941"/>
      <c r="AB22" s="8951"/>
      <c r="AC22" s="8946"/>
      <c r="AD22" s="8945">
        <v>2.8002682744226699</v>
      </c>
      <c r="AE22" s="8945">
        <v>2.925024214080596</v>
      </c>
      <c r="AF22" s="8947">
        <v>2.9436885062115143</v>
      </c>
      <c r="AG22" s="8941"/>
      <c r="AH22" s="8941"/>
      <c r="AI22" s="8941"/>
      <c r="AJ22" s="8941"/>
      <c r="AK22" s="8941"/>
      <c r="AL22" s="8941"/>
      <c r="AM22" s="8941"/>
      <c r="AN22" s="8941"/>
      <c r="AO22" s="8941"/>
      <c r="AP22" s="8941"/>
      <c r="AQ22" s="8941"/>
      <c r="AR22" s="8941"/>
      <c r="AS22" s="8941"/>
      <c r="AT22" s="8941"/>
      <c r="AU22" s="8941"/>
      <c r="AV22" s="8941"/>
      <c r="AW22" s="8941"/>
      <c r="AX22" s="8941"/>
      <c r="AY22" s="8941"/>
      <c r="AZ22" s="8941"/>
      <c r="BA22" s="8941"/>
      <c r="BB22" s="8941"/>
      <c r="BC22" s="8941"/>
      <c r="BD22" s="8941"/>
      <c r="BE22" s="8941"/>
      <c r="BF22" s="8941"/>
      <c r="BG22" s="8941"/>
      <c r="BH22" s="8941"/>
      <c r="BI22" s="8941"/>
      <c r="BJ22" s="8941"/>
      <c r="BK22" s="8941"/>
      <c r="BL22" s="8941"/>
      <c r="BM22" s="8941"/>
      <c r="BN22" s="8941"/>
      <c r="BO22" s="8941"/>
      <c r="BP22" s="8941"/>
      <c r="BQ22" s="8941"/>
      <c r="BR22" s="8941"/>
      <c r="BS22" s="8941"/>
      <c r="BT22" s="8941"/>
      <c r="BU22" s="8941"/>
      <c r="BV22" s="8941"/>
      <c r="BW22" s="8941"/>
      <c r="BX22" s="8941"/>
      <c r="BY22" s="8941"/>
      <c r="BZ22" s="8941"/>
      <c r="CA22" s="8941"/>
      <c r="CB22" s="8941"/>
      <c r="CC22" s="8941"/>
      <c r="CD22" s="8941"/>
      <c r="CE22" s="8941"/>
      <c r="CF22" s="8941"/>
      <c r="CG22" s="8941"/>
      <c r="CH22" s="8941"/>
      <c r="CI22" s="8941"/>
      <c r="CJ22" s="8941"/>
      <c r="CK22" s="8941"/>
    </row>
    <row r="23" spans="1:89" s="8942" customFormat="1" ht="21.5" x14ac:dyDescent="0.9">
      <c r="A23" s="8942">
        <v>19</v>
      </c>
      <c r="B23" s="8943" t="s">
        <v>40</v>
      </c>
      <c r="C23" s="8941"/>
      <c r="D23" s="8944">
        <v>31.4051036140078</v>
      </c>
      <c r="E23" s="8945">
        <v>24.52483711476912</v>
      </c>
      <c r="F23" s="8945">
        <v>25.69229893790067</v>
      </c>
      <c r="G23" s="8945">
        <v>26.773618036651342</v>
      </c>
      <c r="H23" s="8945">
        <v>24.194042101702973</v>
      </c>
      <c r="I23" s="8941"/>
      <c r="J23" s="8945">
        <v>23.832235962872854</v>
      </c>
      <c r="K23" s="8945">
        <v>18.239510896300544</v>
      </c>
      <c r="L23" s="8945">
        <v>19.255661797827056</v>
      </c>
      <c r="M23" s="8945">
        <v>19.299144617850338</v>
      </c>
      <c r="N23" s="8947">
        <v>18.020257356092351</v>
      </c>
      <c r="O23" s="8941"/>
      <c r="P23" s="8944">
        <v>31.119138469999331</v>
      </c>
      <c r="Q23" s="8945">
        <v>23.69820433585285</v>
      </c>
      <c r="R23" s="8945">
        <v>23.655637265105511</v>
      </c>
      <c r="S23" s="8945">
        <v>26.949516310161297</v>
      </c>
      <c r="T23" s="8945">
        <v>24.709119059209623</v>
      </c>
      <c r="U23" s="8941"/>
      <c r="V23" s="8945">
        <v>22.254784190728778</v>
      </c>
      <c r="W23" s="8945">
        <v>16.708872306030976</v>
      </c>
      <c r="X23" s="8945">
        <v>16.952497652881501</v>
      </c>
      <c r="Y23" s="8945">
        <v>18.718269277982436</v>
      </c>
      <c r="Z23" s="8947">
        <v>17.500347386806798</v>
      </c>
      <c r="AA23" s="8941"/>
      <c r="AB23" s="8949">
        <v>4.7215277821504165</v>
      </c>
      <c r="AC23" s="8945">
        <v>3.7752739947935545</v>
      </c>
      <c r="AD23" s="8945">
        <v>4.3606735492662487</v>
      </c>
      <c r="AE23" s="8945">
        <v>3.7992606422373454</v>
      </c>
      <c r="AF23" s="8948"/>
      <c r="AG23" s="8941"/>
      <c r="AH23" s="8941"/>
      <c r="AI23" s="8941"/>
      <c r="AJ23" s="8941"/>
      <c r="AK23" s="8941"/>
      <c r="AL23" s="8941"/>
      <c r="AM23" s="8941"/>
      <c r="AN23" s="8941"/>
      <c r="AO23" s="8941"/>
      <c r="AP23" s="8941"/>
      <c r="AQ23" s="8941"/>
      <c r="AR23" s="8941"/>
      <c r="AS23" s="8941"/>
      <c r="AT23" s="8941"/>
      <c r="AU23" s="8941"/>
      <c r="AV23" s="8941"/>
      <c r="AW23" s="8941"/>
      <c r="AX23" s="8941"/>
      <c r="AY23" s="8941"/>
      <c r="AZ23" s="8941"/>
      <c r="BA23" s="8941"/>
      <c r="BB23" s="8941"/>
      <c r="BC23" s="8941"/>
      <c r="BD23" s="8941"/>
      <c r="BE23" s="8941"/>
      <c r="BF23" s="8941"/>
      <c r="BG23" s="8941"/>
      <c r="BH23" s="8941"/>
      <c r="BI23" s="8941"/>
      <c r="BJ23" s="8941"/>
      <c r="BK23" s="8941"/>
      <c r="BL23" s="8941"/>
      <c r="BM23" s="8941"/>
      <c r="BN23" s="8941"/>
      <c r="BO23" s="8941"/>
      <c r="BP23" s="8941"/>
      <c r="BQ23" s="8941"/>
      <c r="BR23" s="8941"/>
      <c r="BS23" s="8941"/>
      <c r="BT23" s="8941"/>
      <c r="BU23" s="8941"/>
      <c r="BV23" s="8941"/>
      <c r="BW23" s="8941"/>
      <c r="BX23" s="8941"/>
      <c r="BY23" s="8941"/>
      <c r="BZ23" s="8941"/>
      <c r="CA23" s="8941"/>
      <c r="CB23" s="8941"/>
      <c r="CC23" s="8941"/>
      <c r="CD23" s="8941"/>
      <c r="CE23" s="8941"/>
      <c r="CF23" s="8941"/>
      <c r="CG23" s="8941"/>
      <c r="CH23" s="8941"/>
      <c r="CI23" s="8941"/>
      <c r="CJ23" s="8941"/>
      <c r="CK23" s="8941"/>
    </row>
    <row r="24" spans="1:89" s="8942" customFormat="1" ht="21.5" x14ac:dyDescent="0.9">
      <c r="A24" s="8942">
        <v>20</v>
      </c>
      <c r="B24" s="8943" t="s">
        <v>42</v>
      </c>
      <c r="C24" s="8941"/>
      <c r="D24" s="8944">
        <v>14.319783597960486</v>
      </c>
      <c r="E24" s="8945">
        <v>14.658427715292166</v>
      </c>
      <c r="F24" s="8945">
        <v>11.348707312502256</v>
      </c>
      <c r="G24" s="8945">
        <v>13.814959526497738</v>
      </c>
      <c r="H24" s="8945">
        <v>9.9765167540975952</v>
      </c>
      <c r="I24" s="8941"/>
      <c r="J24" s="8945">
        <v>13.227695172763726</v>
      </c>
      <c r="K24" s="8945">
        <v>13.968027600637702</v>
      </c>
      <c r="L24" s="8945">
        <v>10.917322970012432</v>
      </c>
      <c r="M24" s="8945">
        <v>13.342806524774131</v>
      </c>
      <c r="N24" s="8947">
        <v>9.1610938053144775</v>
      </c>
      <c r="O24" s="8941"/>
      <c r="P24" s="8944">
        <v>19.236089375181155</v>
      </c>
      <c r="Q24" s="8945">
        <v>19.346880268112212</v>
      </c>
      <c r="R24" s="8945">
        <v>17.724408589439815</v>
      </c>
      <c r="S24" s="8945">
        <v>17.46669589147853</v>
      </c>
      <c r="T24" s="8945">
        <v>13.823012987727449</v>
      </c>
      <c r="U24" s="8941"/>
      <c r="V24" s="8945">
        <v>17.146761357057059</v>
      </c>
      <c r="W24" s="8945">
        <v>17.974602817324104</v>
      </c>
      <c r="X24" s="8945">
        <v>16.550150450344326</v>
      </c>
      <c r="Y24" s="8945">
        <v>16.685148852682762</v>
      </c>
      <c r="Z24" s="8947">
        <v>12.304059458194819</v>
      </c>
      <c r="AA24" s="8941"/>
      <c r="AB24" s="8949">
        <v>2.1212710793728795</v>
      </c>
      <c r="AC24" s="8945">
        <v>2.3903198976608491</v>
      </c>
      <c r="AD24" s="8945">
        <v>2.3747569323704556</v>
      </c>
      <c r="AE24" s="8945">
        <v>1.8150394668331733</v>
      </c>
      <c r="AF24" s="8947">
        <v>0.82023982695781394</v>
      </c>
      <c r="AG24" s="8941"/>
      <c r="AH24" s="8941"/>
      <c r="AI24" s="8941"/>
      <c r="AJ24" s="8941"/>
      <c r="AK24" s="8941"/>
      <c r="AL24" s="8941"/>
      <c r="AM24" s="8941"/>
      <c r="AN24" s="8941"/>
      <c r="AO24" s="8941"/>
      <c r="AP24" s="8941"/>
      <c r="AQ24" s="8941"/>
      <c r="AR24" s="8941"/>
      <c r="AS24" s="8941"/>
      <c r="AT24" s="8941"/>
      <c r="AU24" s="8941"/>
      <c r="AV24" s="8941"/>
      <c r="AW24" s="8941"/>
      <c r="AX24" s="8941"/>
      <c r="AY24" s="8941"/>
      <c r="AZ24" s="8941"/>
      <c r="BA24" s="8941"/>
      <c r="BB24" s="8941"/>
      <c r="BC24" s="8941"/>
      <c r="BD24" s="8941"/>
      <c r="BE24" s="8941"/>
      <c r="BF24" s="8941"/>
      <c r="BG24" s="8941"/>
      <c r="BH24" s="8941"/>
      <c r="BI24" s="8941"/>
      <c r="BJ24" s="8941"/>
      <c r="BK24" s="8941"/>
      <c r="BL24" s="8941"/>
      <c r="BM24" s="8941"/>
      <c r="BN24" s="8941"/>
      <c r="BO24" s="8941"/>
      <c r="BP24" s="8941"/>
      <c r="BQ24" s="8941"/>
      <c r="BR24" s="8941"/>
      <c r="BS24" s="8941"/>
      <c r="BT24" s="8941"/>
      <c r="BU24" s="8941"/>
      <c r="BV24" s="8941"/>
      <c r="BW24" s="8941"/>
      <c r="BX24" s="8941"/>
      <c r="BY24" s="8941"/>
      <c r="BZ24" s="8941"/>
      <c r="CA24" s="8941"/>
      <c r="CB24" s="8941"/>
      <c r="CC24" s="8941"/>
      <c r="CD24" s="8941"/>
      <c r="CE24" s="8941"/>
      <c r="CF24" s="8941"/>
      <c r="CG24" s="8941"/>
      <c r="CH24" s="8941"/>
      <c r="CI24" s="8941"/>
      <c r="CJ24" s="8941"/>
      <c r="CK24" s="8941"/>
    </row>
    <row r="25" spans="1:89" s="8942" customFormat="1" ht="21.5" x14ac:dyDescent="0.9">
      <c r="A25" s="8942">
        <v>21</v>
      </c>
      <c r="B25" s="8943" t="s">
        <v>43</v>
      </c>
      <c r="C25" s="8941"/>
      <c r="D25" s="8944">
        <v>20.038559827222723</v>
      </c>
      <c r="E25" s="8945">
        <v>19.715393929761802</v>
      </c>
      <c r="F25" s="8945">
        <v>19.133651699992939</v>
      </c>
      <c r="G25" s="8945">
        <v>19.853624108094632</v>
      </c>
      <c r="H25" s="8945">
        <v>18.011526309798999</v>
      </c>
      <c r="I25" s="8941"/>
      <c r="J25" s="8945">
        <v>17.925684889447517</v>
      </c>
      <c r="K25" s="8945">
        <v>18.530943072600319</v>
      </c>
      <c r="L25" s="8945">
        <v>17.881812472275708</v>
      </c>
      <c r="M25" s="8945">
        <v>18.652038043184671</v>
      </c>
      <c r="N25" s="8947">
        <v>16.98674340316154</v>
      </c>
      <c r="O25" s="8941"/>
      <c r="P25" s="8944">
        <v>22.658273538825171</v>
      </c>
      <c r="Q25" s="8945">
        <v>25.591237026260416</v>
      </c>
      <c r="R25" s="8945">
        <v>22.939875517880388</v>
      </c>
      <c r="S25" s="8945">
        <v>21.363514361223103</v>
      </c>
      <c r="T25" s="8945">
        <v>22.293299014596464</v>
      </c>
      <c r="U25" s="8941"/>
      <c r="V25" s="8945">
        <v>19.815273820973943</v>
      </c>
      <c r="W25" s="8945">
        <v>23.574916626588632</v>
      </c>
      <c r="X25" s="8945">
        <v>21.019387815018568</v>
      </c>
      <c r="Y25" s="8945">
        <v>19.690327005617473</v>
      </c>
      <c r="Z25" s="8947">
        <v>20.661423838143989</v>
      </c>
      <c r="AA25" s="8941"/>
      <c r="AB25" s="8949">
        <v>3.719403480696267</v>
      </c>
      <c r="AC25" s="8945">
        <v>4.6647810030962935</v>
      </c>
      <c r="AD25" s="8945">
        <v>4.9259327718729375</v>
      </c>
      <c r="AE25" s="8945">
        <v>5.041871083043417</v>
      </c>
      <c r="AF25" s="8947">
        <v>4.8670373745791267</v>
      </c>
      <c r="AG25" s="8941"/>
      <c r="AH25" s="8941"/>
      <c r="AI25" s="8941"/>
      <c r="AJ25" s="8941"/>
      <c r="AK25" s="8941"/>
      <c r="AL25" s="8941"/>
      <c r="AM25" s="8941"/>
      <c r="AN25" s="8941"/>
      <c r="AO25" s="8941"/>
      <c r="AP25" s="8941"/>
      <c r="AQ25" s="8941"/>
      <c r="AR25" s="8941"/>
      <c r="AS25" s="8941"/>
      <c r="AT25" s="8941"/>
      <c r="AU25" s="8941"/>
      <c r="AV25" s="8941"/>
      <c r="AW25" s="8941"/>
      <c r="AX25" s="8941"/>
      <c r="AY25" s="8941"/>
      <c r="AZ25" s="8941"/>
      <c r="BA25" s="8941"/>
      <c r="BB25" s="8941"/>
      <c r="BC25" s="8941"/>
      <c r="BD25" s="8941"/>
      <c r="BE25" s="8941"/>
      <c r="BF25" s="8941"/>
      <c r="BG25" s="8941"/>
      <c r="BH25" s="8941"/>
      <c r="BI25" s="8941"/>
      <c r="BJ25" s="8941"/>
      <c r="BK25" s="8941"/>
      <c r="BL25" s="8941"/>
      <c r="BM25" s="8941"/>
      <c r="BN25" s="8941"/>
      <c r="BO25" s="8941"/>
      <c r="BP25" s="8941"/>
      <c r="BQ25" s="8941"/>
      <c r="BR25" s="8941"/>
      <c r="BS25" s="8941"/>
      <c r="BT25" s="8941"/>
      <c r="BU25" s="8941"/>
      <c r="BV25" s="8941"/>
      <c r="BW25" s="8941"/>
      <c r="BX25" s="8941"/>
      <c r="BY25" s="8941"/>
      <c r="BZ25" s="8941"/>
      <c r="CA25" s="8941"/>
      <c r="CB25" s="8941"/>
      <c r="CC25" s="8941"/>
      <c r="CD25" s="8941"/>
      <c r="CE25" s="8941"/>
      <c r="CF25" s="8941"/>
      <c r="CG25" s="8941"/>
      <c r="CH25" s="8941"/>
      <c r="CI25" s="8941"/>
      <c r="CJ25" s="8941"/>
      <c r="CK25" s="8941"/>
    </row>
    <row r="26" spans="1:89" s="8942" customFormat="1" ht="21.5" x14ac:dyDescent="0.9">
      <c r="A26" s="8942">
        <v>22</v>
      </c>
      <c r="B26" s="8943" t="s">
        <v>44</v>
      </c>
      <c r="C26" s="8941"/>
      <c r="D26" s="8944">
        <v>18.995178212413247</v>
      </c>
      <c r="E26" s="8945">
        <v>15.601482396834912</v>
      </c>
      <c r="F26" s="8945">
        <v>18.238537820209771</v>
      </c>
      <c r="G26" s="8945">
        <v>18.866728166506022</v>
      </c>
      <c r="H26" s="8945">
        <v>17.186621506975484</v>
      </c>
      <c r="I26" s="8941"/>
      <c r="J26" s="8945">
        <v>18.602996998564578</v>
      </c>
      <c r="K26" s="8945">
        <v>13.922877121655478</v>
      </c>
      <c r="L26" s="8945">
        <v>17.876797546163825</v>
      </c>
      <c r="M26" s="8945">
        <v>16.541350331473172</v>
      </c>
      <c r="N26" s="8947">
        <v>15.230375084635398</v>
      </c>
      <c r="O26" s="8941"/>
      <c r="P26" s="8944">
        <v>20.611426286988991</v>
      </c>
      <c r="Q26" s="8945">
        <v>16.234654370963135</v>
      </c>
      <c r="R26" s="8945">
        <v>19.198342947071893</v>
      </c>
      <c r="S26" s="8945">
        <v>20.663984885794264</v>
      </c>
      <c r="T26" s="8945">
        <v>17.850138459627441</v>
      </c>
      <c r="U26" s="8941"/>
      <c r="V26" s="8945">
        <v>20.141928330390694</v>
      </c>
      <c r="W26" s="8945">
        <v>14.008929979821891</v>
      </c>
      <c r="X26" s="8945">
        <v>18.70783177750069</v>
      </c>
      <c r="Y26" s="8945">
        <v>17.189145587388175</v>
      </c>
      <c r="Z26" s="8947">
        <v>15.178566692061047</v>
      </c>
      <c r="AA26" s="8941"/>
      <c r="AB26" s="8949">
        <v>1.3958555781919977</v>
      </c>
      <c r="AC26" s="8945">
        <v>1.504226981829538</v>
      </c>
      <c r="AD26" s="8945">
        <v>1.7800692497074277</v>
      </c>
      <c r="AE26" s="8945">
        <v>1.5201128517111</v>
      </c>
      <c r="AF26" s="8947">
        <v>1.3592816366510694</v>
      </c>
      <c r="AG26" s="8941"/>
      <c r="AH26" s="8941"/>
      <c r="AI26" s="8941"/>
      <c r="AJ26" s="8941"/>
      <c r="AK26" s="8941"/>
      <c r="AL26" s="8941"/>
      <c r="AM26" s="8941"/>
      <c r="AN26" s="8941"/>
      <c r="AO26" s="8941"/>
      <c r="AP26" s="8941"/>
      <c r="AQ26" s="8941"/>
      <c r="AR26" s="8941"/>
      <c r="AS26" s="8941"/>
      <c r="AT26" s="8941"/>
      <c r="AU26" s="8941"/>
      <c r="AV26" s="8941"/>
      <c r="AW26" s="8941"/>
      <c r="AX26" s="8941"/>
      <c r="AY26" s="8941"/>
      <c r="AZ26" s="8941"/>
      <c r="BA26" s="8941"/>
      <c r="BB26" s="8941"/>
      <c r="BC26" s="8941"/>
      <c r="BD26" s="8941"/>
      <c r="BE26" s="8941"/>
      <c r="BF26" s="8941"/>
      <c r="BG26" s="8941"/>
      <c r="BH26" s="8941"/>
      <c r="BI26" s="8941"/>
      <c r="BJ26" s="8941"/>
      <c r="BK26" s="8941"/>
      <c r="BL26" s="8941"/>
      <c r="BM26" s="8941"/>
      <c r="BN26" s="8941"/>
      <c r="BO26" s="8941"/>
      <c r="BP26" s="8941"/>
      <c r="BQ26" s="8941"/>
      <c r="BR26" s="8941"/>
      <c r="BS26" s="8941"/>
      <c r="BT26" s="8941"/>
      <c r="BU26" s="8941"/>
      <c r="BV26" s="8941"/>
      <c r="BW26" s="8941"/>
      <c r="BX26" s="8941"/>
      <c r="BY26" s="8941"/>
      <c r="BZ26" s="8941"/>
      <c r="CA26" s="8941"/>
      <c r="CB26" s="8941"/>
      <c r="CC26" s="8941"/>
      <c r="CD26" s="8941"/>
      <c r="CE26" s="8941"/>
      <c r="CF26" s="8941"/>
      <c r="CG26" s="8941"/>
      <c r="CH26" s="8941"/>
      <c r="CI26" s="8941"/>
      <c r="CJ26" s="8941"/>
      <c r="CK26" s="8941"/>
    </row>
    <row r="27" spans="1:89" s="8942" customFormat="1" ht="21.5" x14ac:dyDescent="0.9">
      <c r="A27" s="8942">
        <v>23</v>
      </c>
      <c r="B27" s="8943" t="s">
        <v>45</v>
      </c>
      <c r="C27" s="8941"/>
      <c r="D27" s="8944">
        <v>18.013877809860464</v>
      </c>
      <c r="E27" s="8945">
        <v>21.579415871868942</v>
      </c>
      <c r="F27" s="8945">
        <v>20.531020747119253</v>
      </c>
      <c r="G27" s="8945">
        <v>22.307268232966106</v>
      </c>
      <c r="H27" s="8945">
        <v>18.854894642222035</v>
      </c>
      <c r="I27" s="8941"/>
      <c r="J27" s="8945">
        <v>13.703443360536582</v>
      </c>
      <c r="K27" s="8945">
        <v>14.895005003410983</v>
      </c>
      <c r="L27" s="8945">
        <v>14.730090906217949</v>
      </c>
      <c r="M27" s="8945">
        <v>15.045861777844461</v>
      </c>
      <c r="N27" s="8947">
        <v>11.745997579816578</v>
      </c>
      <c r="O27" s="8941"/>
      <c r="P27" s="8950"/>
      <c r="Q27" s="8946"/>
      <c r="R27" s="8946"/>
      <c r="S27" s="8946"/>
      <c r="T27" s="8946"/>
      <c r="U27" s="8941"/>
      <c r="V27" s="8946"/>
      <c r="W27" s="8946"/>
      <c r="X27" s="8946"/>
      <c r="Y27" s="8946"/>
      <c r="Z27" s="8948"/>
      <c r="AA27" s="8941"/>
      <c r="AB27" s="8949">
        <v>6.280382874605281</v>
      </c>
      <c r="AC27" s="8945">
        <v>5.9154491202661745</v>
      </c>
      <c r="AD27" s="8945">
        <v>6.4319535904292024</v>
      </c>
      <c r="AE27" s="8945">
        <v>5.8602515932205597</v>
      </c>
      <c r="AF27" s="8947">
        <v>6.6413986770445286</v>
      </c>
      <c r="AG27" s="8941"/>
      <c r="AH27" s="8941"/>
      <c r="AI27" s="8941"/>
      <c r="AJ27" s="8941"/>
      <c r="AK27" s="8941"/>
      <c r="AL27" s="8941"/>
      <c r="AM27" s="8941"/>
      <c r="AN27" s="8941"/>
      <c r="AO27" s="8941"/>
      <c r="AP27" s="8941"/>
      <c r="AQ27" s="8941"/>
      <c r="AR27" s="8941"/>
      <c r="AS27" s="8941"/>
      <c r="AT27" s="8941"/>
      <c r="AU27" s="8941"/>
      <c r="AV27" s="8941"/>
      <c r="AW27" s="8941"/>
      <c r="AX27" s="8941"/>
      <c r="AY27" s="8941"/>
      <c r="AZ27" s="8941"/>
      <c r="BA27" s="8941"/>
      <c r="BB27" s="8941"/>
      <c r="BC27" s="8941"/>
      <c r="BD27" s="8941"/>
      <c r="BE27" s="8941"/>
      <c r="BF27" s="8941"/>
      <c r="BG27" s="8941"/>
      <c r="BH27" s="8941"/>
      <c r="BI27" s="8941"/>
      <c r="BJ27" s="8941"/>
      <c r="BK27" s="8941"/>
      <c r="BL27" s="8941"/>
      <c r="BM27" s="8941"/>
      <c r="BN27" s="8941"/>
      <c r="BO27" s="8941"/>
      <c r="BP27" s="8941"/>
      <c r="BQ27" s="8941"/>
      <c r="BR27" s="8941"/>
      <c r="BS27" s="8941"/>
      <c r="BT27" s="8941"/>
      <c r="BU27" s="8941"/>
      <c r="BV27" s="8941"/>
      <c r="BW27" s="8941"/>
      <c r="BX27" s="8941"/>
      <c r="BY27" s="8941"/>
      <c r="BZ27" s="8941"/>
      <c r="CA27" s="8941"/>
      <c r="CB27" s="8941"/>
      <c r="CC27" s="8941"/>
      <c r="CD27" s="8941"/>
      <c r="CE27" s="8941"/>
      <c r="CF27" s="8941"/>
      <c r="CG27" s="8941"/>
      <c r="CH27" s="8941"/>
      <c r="CI27" s="8941"/>
      <c r="CJ27" s="8941"/>
      <c r="CK27" s="8941"/>
    </row>
    <row r="28" spans="1:89" s="8942" customFormat="1" ht="21.5" x14ac:dyDescent="0.9">
      <c r="A28" s="8942">
        <v>24</v>
      </c>
      <c r="B28" s="8943" t="s">
        <v>111</v>
      </c>
      <c r="C28" s="8941"/>
      <c r="D28" s="8944">
        <v>21.513153646485943</v>
      </c>
      <c r="E28" s="8945">
        <v>20.499957688469227</v>
      </c>
      <c r="F28" s="8945">
        <v>23.758625669643099</v>
      </c>
      <c r="G28" s="8945">
        <v>24.585409052131265</v>
      </c>
      <c r="H28" s="8945">
        <v>24.229297518059152</v>
      </c>
      <c r="I28" s="8941"/>
      <c r="J28" s="8945">
        <v>18.913531128175602</v>
      </c>
      <c r="K28" s="8945">
        <v>17.864731020622497</v>
      </c>
      <c r="L28" s="8945">
        <v>20.173887736862827</v>
      </c>
      <c r="M28" s="8945">
        <v>20.746022217717858</v>
      </c>
      <c r="N28" s="8947">
        <v>20.100148153411215</v>
      </c>
      <c r="O28" s="8941"/>
      <c r="P28" s="8944">
        <v>26.659886451101588</v>
      </c>
      <c r="Q28" s="8945">
        <v>23.954464399124504</v>
      </c>
      <c r="R28" s="8945">
        <v>28.047414344078131</v>
      </c>
      <c r="S28" s="8945">
        <v>28.959579949496099</v>
      </c>
      <c r="T28" s="8945">
        <v>29.219130279391404</v>
      </c>
      <c r="U28" s="8941"/>
      <c r="V28" s="8945">
        <v>22.254127633633953</v>
      </c>
      <c r="W28" s="8945">
        <v>19.862299157639203</v>
      </c>
      <c r="X28" s="8945">
        <v>22.630362342260895</v>
      </c>
      <c r="Y28" s="8945">
        <v>23.122016604745362</v>
      </c>
      <c r="Z28" s="8947">
        <v>22.736172309653547</v>
      </c>
      <c r="AA28" s="8941"/>
      <c r="AB28" s="8949">
        <v>4.4380548052000712</v>
      </c>
      <c r="AC28" s="8945">
        <v>4.4432858845642675</v>
      </c>
      <c r="AD28" s="8945">
        <v>5.1048302217914054</v>
      </c>
      <c r="AE28" s="8945">
        <v>4.8669269386738625</v>
      </c>
      <c r="AF28" s="8947">
        <v>4.795482446107254</v>
      </c>
      <c r="AG28" s="8941"/>
      <c r="AH28" s="8941"/>
      <c r="AI28" s="8941"/>
      <c r="AJ28" s="8941"/>
      <c r="AK28" s="8941"/>
      <c r="AL28" s="8941"/>
      <c r="AM28" s="8941"/>
      <c r="AN28" s="8941"/>
      <c r="AO28" s="8941"/>
      <c r="AP28" s="8941"/>
      <c r="AQ28" s="8941"/>
      <c r="AR28" s="8941"/>
      <c r="AS28" s="8941"/>
      <c r="AT28" s="8941"/>
      <c r="AU28" s="8941"/>
      <c r="AV28" s="8941"/>
      <c r="AW28" s="8941"/>
      <c r="AX28" s="8941"/>
      <c r="AY28" s="8941"/>
      <c r="AZ28" s="8941"/>
      <c r="BA28" s="8941"/>
      <c r="BB28" s="8941"/>
      <c r="BC28" s="8941"/>
      <c r="BD28" s="8941"/>
      <c r="BE28" s="8941"/>
      <c r="BF28" s="8941"/>
      <c r="BG28" s="8941"/>
      <c r="BH28" s="8941"/>
      <c r="BI28" s="8941"/>
      <c r="BJ28" s="8941"/>
      <c r="BK28" s="8941"/>
      <c r="BL28" s="8941"/>
      <c r="BM28" s="8941"/>
      <c r="BN28" s="8941"/>
      <c r="BO28" s="8941"/>
      <c r="BP28" s="8941"/>
      <c r="BQ28" s="8941"/>
      <c r="BR28" s="8941"/>
      <c r="BS28" s="8941"/>
      <c r="BT28" s="8941"/>
      <c r="BU28" s="8941"/>
      <c r="BV28" s="8941"/>
      <c r="BW28" s="8941"/>
      <c r="BX28" s="8941"/>
      <c r="BY28" s="8941"/>
      <c r="BZ28" s="8941"/>
      <c r="CA28" s="8941"/>
      <c r="CB28" s="8941"/>
      <c r="CC28" s="8941"/>
      <c r="CD28" s="8941"/>
      <c r="CE28" s="8941"/>
      <c r="CF28" s="8941"/>
      <c r="CG28" s="8941"/>
      <c r="CH28" s="8941"/>
      <c r="CI28" s="8941"/>
      <c r="CJ28" s="8941"/>
      <c r="CK28" s="8941"/>
    </row>
    <row r="29" spans="1:89" s="8942" customFormat="1" ht="21.5" x14ac:dyDescent="0.9">
      <c r="A29" s="8942">
        <v>25</v>
      </c>
      <c r="B29" s="8943" t="s">
        <v>112</v>
      </c>
      <c r="C29" s="8941"/>
      <c r="D29" s="8950"/>
      <c r="E29" s="8945">
        <v>14.868909930867268</v>
      </c>
      <c r="F29" s="8945">
        <v>13.982124732905987</v>
      </c>
      <c r="G29" s="8945">
        <v>11.464407111291528</v>
      </c>
      <c r="H29" s="8945">
        <v>12.029795152462862</v>
      </c>
      <c r="I29" s="8941"/>
      <c r="J29" s="8946"/>
      <c r="K29" s="8945">
        <v>14.005740386395898</v>
      </c>
      <c r="L29" s="8945">
        <v>12.76440431178712</v>
      </c>
      <c r="M29" s="8945">
        <v>10.243297381346842</v>
      </c>
      <c r="N29" s="8947">
        <v>10.776698512313338</v>
      </c>
      <c r="O29" s="8941"/>
      <c r="P29" s="8950"/>
      <c r="Q29" s="8945">
        <v>15.991755005889283</v>
      </c>
      <c r="R29" s="8946"/>
      <c r="S29" s="8946"/>
      <c r="T29" s="8946" t="s">
        <v>6773</v>
      </c>
      <c r="U29" s="8941"/>
      <c r="V29" s="8946"/>
      <c r="W29" s="8945">
        <v>14.396903663644558</v>
      </c>
      <c r="X29" s="8946"/>
      <c r="Y29" s="8946"/>
      <c r="Z29" s="8948" t="s">
        <v>6773</v>
      </c>
      <c r="AA29" s="8941"/>
      <c r="AB29" s="8951"/>
      <c r="AC29" s="8945">
        <v>3.2254531433516163</v>
      </c>
      <c r="AD29" s="8945">
        <v>2.9765408473127684</v>
      </c>
      <c r="AE29" s="8945">
        <v>2.0974496996873349</v>
      </c>
      <c r="AF29" s="8947">
        <v>2.2563897926393803</v>
      </c>
      <c r="AG29" s="8941"/>
      <c r="AH29" s="8941"/>
      <c r="AI29" s="8941"/>
      <c r="AJ29" s="8941"/>
      <c r="AK29" s="8941"/>
      <c r="AL29" s="8941"/>
      <c r="AM29" s="8941"/>
      <c r="AN29" s="8941"/>
      <c r="AO29" s="8941"/>
      <c r="AP29" s="8941"/>
      <c r="AQ29" s="8941"/>
      <c r="AR29" s="8941"/>
      <c r="AS29" s="8941"/>
      <c r="AT29" s="8941"/>
      <c r="AU29" s="8941"/>
      <c r="AV29" s="8941"/>
      <c r="AW29" s="8941"/>
      <c r="AX29" s="8941"/>
      <c r="AY29" s="8941"/>
      <c r="AZ29" s="8941"/>
      <c r="BA29" s="8941"/>
      <c r="BB29" s="8941"/>
      <c r="BC29" s="8941"/>
      <c r="BD29" s="8941"/>
      <c r="BE29" s="8941"/>
      <c r="BF29" s="8941"/>
      <c r="BG29" s="8941"/>
      <c r="BH29" s="8941"/>
      <c r="BI29" s="8941"/>
      <c r="BJ29" s="8941"/>
      <c r="BK29" s="8941"/>
      <c r="BL29" s="8941"/>
      <c r="BM29" s="8941"/>
      <c r="BN29" s="8941"/>
      <c r="BO29" s="8941"/>
      <c r="BP29" s="8941"/>
      <c r="BQ29" s="8941"/>
      <c r="BR29" s="8941"/>
      <c r="BS29" s="8941"/>
      <c r="BT29" s="8941"/>
      <c r="BU29" s="8941"/>
      <c r="BV29" s="8941"/>
      <c r="BW29" s="8941"/>
      <c r="BX29" s="8941"/>
      <c r="BY29" s="8941"/>
      <c r="BZ29" s="8941"/>
      <c r="CA29" s="8941"/>
      <c r="CB29" s="8941"/>
      <c r="CC29" s="8941"/>
      <c r="CD29" s="8941"/>
      <c r="CE29" s="8941"/>
      <c r="CF29" s="8941"/>
      <c r="CG29" s="8941"/>
      <c r="CH29" s="8941"/>
      <c r="CI29" s="8941"/>
      <c r="CJ29" s="8941"/>
      <c r="CK29" s="8941"/>
    </row>
    <row r="30" spans="1:89" s="8942" customFormat="1" ht="21.5" x14ac:dyDescent="0.9">
      <c r="A30" s="8942">
        <v>26</v>
      </c>
      <c r="B30" s="8943" t="s">
        <v>47</v>
      </c>
      <c r="C30" s="8941"/>
      <c r="D30" s="8944">
        <v>16.182008527051806</v>
      </c>
      <c r="E30" s="8945">
        <v>18.385067045785114</v>
      </c>
      <c r="F30" s="8945">
        <v>18.262462079946161</v>
      </c>
      <c r="G30" s="8945">
        <v>16.689927423176581</v>
      </c>
      <c r="H30" s="8945">
        <v>17.074517834351198</v>
      </c>
      <c r="I30" s="8941"/>
      <c r="J30" s="8945">
        <v>15.892506563272121</v>
      </c>
      <c r="K30" s="8945">
        <v>18.051939763427956</v>
      </c>
      <c r="L30" s="8945">
        <v>17.86155756106977</v>
      </c>
      <c r="M30" s="8945">
        <v>16.184168870998338</v>
      </c>
      <c r="N30" s="8947">
        <v>16.575676627857892</v>
      </c>
      <c r="O30" s="8941"/>
      <c r="P30" s="8944">
        <v>21.536563393408443</v>
      </c>
      <c r="Q30" s="8945">
        <v>20.014701887366876</v>
      </c>
      <c r="R30" s="8945">
        <v>21.685432772228324</v>
      </c>
      <c r="S30" s="8945">
        <v>19.867807219345192</v>
      </c>
      <c r="T30" s="8945">
        <v>20.362580274870041</v>
      </c>
      <c r="U30" s="8941"/>
      <c r="V30" s="8945">
        <v>21.008584641976665</v>
      </c>
      <c r="W30" s="8945">
        <v>19.599157060694044</v>
      </c>
      <c r="X30" s="8945">
        <v>21.099301286252302</v>
      </c>
      <c r="Y30" s="8945">
        <v>19.136034091359662</v>
      </c>
      <c r="Z30" s="8947">
        <v>19.640454896436481</v>
      </c>
      <c r="AA30" s="8941"/>
      <c r="AB30" s="8949">
        <v>7.8049390103711422</v>
      </c>
      <c r="AC30" s="8945">
        <v>8.2819543541280218</v>
      </c>
      <c r="AD30" s="8945">
        <v>8.6978501198795399</v>
      </c>
      <c r="AE30" s="8945">
        <v>7.8251326185214118</v>
      </c>
      <c r="AF30" s="8947">
        <v>8.3149426204143762</v>
      </c>
      <c r="AG30" s="8941"/>
      <c r="AH30" s="8941"/>
      <c r="AI30" s="8941"/>
      <c r="AJ30" s="8941"/>
      <c r="AK30" s="8941"/>
      <c r="AL30" s="8941"/>
      <c r="AM30" s="8941"/>
      <c r="AN30" s="8941"/>
      <c r="AO30" s="8941"/>
      <c r="AP30" s="8941"/>
      <c r="AQ30" s="8941"/>
      <c r="AR30" s="8941"/>
      <c r="AS30" s="8941"/>
      <c r="AT30" s="8941"/>
      <c r="AU30" s="8941"/>
      <c r="AV30" s="8941"/>
      <c r="AW30" s="8941"/>
      <c r="AX30" s="8941"/>
      <c r="AY30" s="8941"/>
      <c r="AZ30" s="8941"/>
      <c r="BA30" s="8941"/>
      <c r="BB30" s="8941"/>
      <c r="BC30" s="8941"/>
      <c r="BD30" s="8941"/>
      <c r="BE30" s="8941"/>
      <c r="BF30" s="8941"/>
      <c r="BG30" s="8941"/>
      <c r="BH30" s="8941"/>
      <c r="BI30" s="8941"/>
      <c r="BJ30" s="8941"/>
      <c r="BK30" s="8941"/>
      <c r="BL30" s="8941"/>
      <c r="BM30" s="8941"/>
      <c r="BN30" s="8941"/>
      <c r="BO30" s="8941"/>
      <c r="BP30" s="8941"/>
      <c r="BQ30" s="8941"/>
      <c r="BR30" s="8941"/>
      <c r="BS30" s="8941"/>
      <c r="BT30" s="8941"/>
      <c r="BU30" s="8941"/>
      <c r="BV30" s="8941"/>
      <c r="BW30" s="8941"/>
      <c r="BX30" s="8941"/>
      <c r="BY30" s="8941"/>
      <c r="BZ30" s="8941"/>
      <c r="CA30" s="8941"/>
      <c r="CB30" s="8941"/>
      <c r="CC30" s="8941"/>
      <c r="CD30" s="8941"/>
      <c r="CE30" s="8941"/>
      <c r="CF30" s="8941"/>
      <c r="CG30" s="8941"/>
      <c r="CH30" s="8941"/>
      <c r="CI30" s="8941"/>
      <c r="CJ30" s="8941"/>
      <c r="CK30" s="8941"/>
    </row>
    <row r="31" spans="1:89" s="8942" customFormat="1" ht="21.5" x14ac:dyDescent="0.9">
      <c r="A31" s="8942">
        <v>27</v>
      </c>
      <c r="B31" s="8943" t="s">
        <v>48</v>
      </c>
      <c r="C31" s="8941"/>
      <c r="D31" s="8944">
        <v>14.804075299718303</v>
      </c>
      <c r="E31" s="8945">
        <v>17.304591809244229</v>
      </c>
      <c r="F31" s="8945">
        <v>16.362127762679922</v>
      </c>
      <c r="G31" s="8945">
        <v>15.030503064716497</v>
      </c>
      <c r="H31" s="8945">
        <v>16.392680977464856</v>
      </c>
      <c r="I31" s="8941"/>
      <c r="J31" s="8945">
        <v>14.575798264855644</v>
      </c>
      <c r="K31" s="8945">
        <v>16.284833972160847</v>
      </c>
      <c r="L31" s="8945">
        <v>15.912697675685553</v>
      </c>
      <c r="M31" s="8945">
        <v>14.295274431392347</v>
      </c>
      <c r="N31" s="8947">
        <v>14.309390026804989</v>
      </c>
      <c r="O31" s="8941"/>
      <c r="P31" s="8944">
        <v>14.860392922147073</v>
      </c>
      <c r="Q31" s="8945">
        <v>19.827697137854503</v>
      </c>
      <c r="R31" s="8945">
        <v>17.989382635534145</v>
      </c>
      <c r="S31" s="8946"/>
      <c r="T31" s="8946"/>
      <c r="U31" s="8941"/>
      <c r="V31" s="8945">
        <v>14.630389254019576</v>
      </c>
      <c r="W31" s="8945">
        <v>18.500292791249763</v>
      </c>
      <c r="X31" s="8945">
        <v>17.447593435403775</v>
      </c>
      <c r="Y31" s="8946"/>
      <c r="Z31" s="8948"/>
      <c r="AA31" s="8941"/>
      <c r="AB31" s="8949">
        <v>2.5044218366093367</v>
      </c>
      <c r="AC31" s="8945">
        <v>2.7253142849182725</v>
      </c>
      <c r="AD31" s="8945">
        <v>2.2707194380917599</v>
      </c>
      <c r="AE31" s="8945">
        <v>2.5070244707596983</v>
      </c>
      <c r="AF31" s="8947">
        <v>2.4173001131737553</v>
      </c>
      <c r="AG31" s="8941"/>
      <c r="AH31" s="8941"/>
      <c r="AI31" s="8941"/>
      <c r="AJ31" s="8941"/>
      <c r="AK31" s="8941"/>
      <c r="AL31" s="8941"/>
      <c r="AM31" s="8941"/>
      <c r="AN31" s="8941"/>
      <c r="AO31" s="8941"/>
      <c r="AP31" s="8941"/>
      <c r="AQ31" s="8941"/>
      <c r="AR31" s="8941"/>
      <c r="AS31" s="8941"/>
      <c r="AT31" s="8941"/>
      <c r="AU31" s="8941"/>
      <c r="AV31" s="8941"/>
      <c r="AW31" s="8941"/>
      <c r="AX31" s="8941"/>
      <c r="AY31" s="8941"/>
      <c r="AZ31" s="8941"/>
      <c r="BA31" s="8941"/>
      <c r="BB31" s="8941"/>
      <c r="BC31" s="8941"/>
      <c r="BD31" s="8941"/>
      <c r="BE31" s="8941"/>
      <c r="BF31" s="8941"/>
      <c r="BG31" s="8941"/>
      <c r="BH31" s="8941"/>
      <c r="BI31" s="8941"/>
      <c r="BJ31" s="8941"/>
      <c r="BK31" s="8941"/>
      <c r="BL31" s="8941"/>
      <c r="BM31" s="8941"/>
      <c r="BN31" s="8941"/>
      <c r="BO31" s="8941"/>
      <c r="BP31" s="8941"/>
      <c r="BQ31" s="8941"/>
      <c r="BR31" s="8941"/>
      <c r="BS31" s="8941"/>
      <c r="BT31" s="8941"/>
      <c r="BU31" s="8941"/>
      <c r="BV31" s="8941"/>
      <c r="BW31" s="8941"/>
      <c r="BX31" s="8941"/>
      <c r="BY31" s="8941"/>
      <c r="BZ31" s="8941"/>
      <c r="CA31" s="8941"/>
      <c r="CB31" s="8941"/>
      <c r="CC31" s="8941"/>
      <c r="CD31" s="8941"/>
      <c r="CE31" s="8941"/>
      <c r="CF31" s="8941"/>
      <c r="CG31" s="8941"/>
      <c r="CH31" s="8941"/>
      <c r="CI31" s="8941"/>
      <c r="CJ31" s="8941"/>
      <c r="CK31" s="8941"/>
    </row>
    <row r="32" spans="1:89" s="8942" customFormat="1" ht="21.5" x14ac:dyDescent="0.9">
      <c r="A32" s="8942">
        <v>28</v>
      </c>
      <c r="B32" s="8943" t="s">
        <v>49</v>
      </c>
      <c r="C32" s="8941"/>
      <c r="D32" s="8944">
        <v>21.932961475517164</v>
      </c>
      <c r="E32" s="8945">
        <v>19.012342304613671</v>
      </c>
      <c r="F32" s="8945">
        <v>20.887348713271724</v>
      </c>
      <c r="G32" s="8945">
        <v>19.601823161074961</v>
      </c>
      <c r="H32" s="8945">
        <v>17.180999468981259</v>
      </c>
      <c r="I32" s="8941"/>
      <c r="J32" s="8945">
        <v>19.29995138769031</v>
      </c>
      <c r="K32" s="8945">
        <v>17.944903272901474</v>
      </c>
      <c r="L32" s="8945">
        <v>19.700757012757304</v>
      </c>
      <c r="M32" s="8945">
        <v>18.720853466797312</v>
      </c>
      <c r="N32" s="8947">
        <v>16.421835830164998</v>
      </c>
      <c r="O32" s="8941"/>
      <c r="P32" s="8944">
        <v>27.132605358749135</v>
      </c>
      <c r="Q32" s="8945">
        <v>15.678909003244531</v>
      </c>
      <c r="R32" s="8945">
        <v>27.3288094689769</v>
      </c>
      <c r="S32" s="8945">
        <v>26.436524072072871</v>
      </c>
      <c r="T32" s="8945">
        <v>26.774127969348662</v>
      </c>
      <c r="U32" s="8941"/>
      <c r="V32" s="8945">
        <v>22.415814701296643</v>
      </c>
      <c r="W32" s="8945">
        <v>14.54930392100357</v>
      </c>
      <c r="X32" s="8945">
        <v>25.057398049661682</v>
      </c>
      <c r="Y32" s="8945">
        <v>24.578949302575595</v>
      </c>
      <c r="Z32" s="8947">
        <v>24.714098016457687</v>
      </c>
      <c r="AA32" s="8941"/>
      <c r="AB32" s="8949">
        <v>2.6871929167635944</v>
      </c>
      <c r="AC32" s="8945">
        <v>2.617671263516669</v>
      </c>
      <c r="AD32" s="8945">
        <v>3.0710618469274942</v>
      </c>
      <c r="AE32" s="8945">
        <v>2.9056357768763514</v>
      </c>
      <c r="AF32" s="8947">
        <v>3.1128806411427354</v>
      </c>
      <c r="AG32" s="8941"/>
      <c r="AH32" s="8941"/>
      <c r="AI32" s="8941"/>
      <c r="AJ32" s="8941"/>
      <c r="AK32" s="8941"/>
      <c r="AL32" s="8941"/>
      <c r="AM32" s="8941"/>
      <c r="AN32" s="8941"/>
      <c r="AO32" s="8941"/>
      <c r="AP32" s="8941"/>
      <c r="AQ32" s="8941"/>
      <c r="AR32" s="8941"/>
      <c r="AS32" s="8941"/>
      <c r="AT32" s="8941"/>
      <c r="AU32" s="8941"/>
      <c r="AV32" s="8941"/>
      <c r="AW32" s="8941"/>
      <c r="AX32" s="8941"/>
      <c r="AY32" s="8941"/>
      <c r="AZ32" s="8941"/>
      <c r="BA32" s="8941"/>
      <c r="BB32" s="8941"/>
      <c r="BC32" s="8941"/>
      <c r="BD32" s="8941"/>
      <c r="BE32" s="8941"/>
      <c r="BF32" s="8941"/>
      <c r="BG32" s="8941"/>
      <c r="BH32" s="8941"/>
      <c r="BI32" s="8941"/>
      <c r="BJ32" s="8941"/>
      <c r="BK32" s="8941"/>
      <c r="BL32" s="8941"/>
      <c r="BM32" s="8941"/>
      <c r="BN32" s="8941"/>
      <c r="BO32" s="8941"/>
      <c r="BP32" s="8941"/>
      <c r="BQ32" s="8941"/>
      <c r="BR32" s="8941"/>
      <c r="BS32" s="8941"/>
      <c r="BT32" s="8941"/>
      <c r="BU32" s="8941"/>
      <c r="BV32" s="8941"/>
      <c r="BW32" s="8941"/>
      <c r="BX32" s="8941"/>
      <c r="BY32" s="8941"/>
      <c r="BZ32" s="8941"/>
      <c r="CA32" s="8941"/>
      <c r="CB32" s="8941"/>
      <c r="CC32" s="8941"/>
      <c r="CD32" s="8941"/>
      <c r="CE32" s="8941"/>
      <c r="CF32" s="8941"/>
      <c r="CG32" s="8941"/>
      <c r="CH32" s="8941"/>
      <c r="CI32" s="8941"/>
      <c r="CJ32" s="8941"/>
      <c r="CK32" s="8941"/>
    </row>
    <row r="33" spans="1:89" s="8942" customFormat="1" ht="21.5" x14ac:dyDescent="0.9">
      <c r="A33" s="8942">
        <v>29</v>
      </c>
      <c r="B33" s="8943" t="s">
        <v>50</v>
      </c>
      <c r="C33" s="8941"/>
      <c r="D33" s="8944">
        <v>23.631828434065081</v>
      </c>
      <c r="E33" s="8945">
        <v>16.808971570508653</v>
      </c>
      <c r="F33" s="8945">
        <v>21.039646502649703</v>
      </c>
      <c r="G33" s="8945">
        <v>23.625909867532847</v>
      </c>
      <c r="H33" s="8945">
        <v>23.995649502971599</v>
      </c>
      <c r="I33" s="8941"/>
      <c r="J33" s="8945">
        <v>20.13477637257769</v>
      </c>
      <c r="K33" s="8945">
        <v>13.907340506018883</v>
      </c>
      <c r="L33" s="8945">
        <v>17.932132536110672</v>
      </c>
      <c r="M33" s="8945">
        <v>19.962660229330954</v>
      </c>
      <c r="N33" s="8947">
        <v>20.472516909076194</v>
      </c>
      <c r="O33" s="8941"/>
      <c r="P33" s="8944">
        <v>28.494986270563476</v>
      </c>
      <c r="Q33" s="8945">
        <v>20.002400687635799</v>
      </c>
      <c r="R33" s="8945">
        <v>23.661391032639493</v>
      </c>
      <c r="S33" s="8945">
        <v>28.172958621719722</v>
      </c>
      <c r="T33" s="8945">
        <v>29.337887578152593</v>
      </c>
      <c r="U33" s="8941"/>
      <c r="V33" s="8945">
        <v>23.305507330124399</v>
      </c>
      <c r="W33" s="8945">
        <v>15.539983529727133</v>
      </c>
      <c r="X33" s="8945">
        <v>19.418104844787631</v>
      </c>
      <c r="Y33" s="8945">
        <v>22.750248072925213</v>
      </c>
      <c r="Z33" s="8947">
        <v>23.911225332549186</v>
      </c>
      <c r="AA33" s="8941"/>
      <c r="AB33" s="8949">
        <v>3.2490440910470682</v>
      </c>
      <c r="AC33" s="8945">
        <v>2.4078181149420375</v>
      </c>
      <c r="AD33" s="8945">
        <v>3.5379315129364057</v>
      </c>
      <c r="AE33" s="8945">
        <v>3.5135201759569705</v>
      </c>
      <c r="AF33" s="8947">
        <v>4.1369517348071927</v>
      </c>
      <c r="AG33" s="8941"/>
      <c r="AH33" s="8941"/>
      <c r="AI33" s="8941"/>
      <c r="AJ33" s="8941"/>
      <c r="AK33" s="8941"/>
      <c r="AL33" s="8941"/>
      <c r="AM33" s="8941"/>
      <c r="AN33" s="8941"/>
      <c r="AO33" s="8941"/>
      <c r="AP33" s="8941"/>
      <c r="AQ33" s="8941"/>
      <c r="AR33" s="8941"/>
      <c r="AS33" s="8941"/>
      <c r="AT33" s="8941"/>
      <c r="AU33" s="8941"/>
      <c r="AV33" s="8941"/>
      <c r="AW33" s="8941"/>
      <c r="AX33" s="8941"/>
      <c r="AY33" s="8941"/>
      <c r="AZ33" s="8941"/>
      <c r="BA33" s="8941"/>
      <c r="BB33" s="8941"/>
      <c r="BC33" s="8941"/>
      <c r="BD33" s="8941"/>
      <c r="BE33" s="8941"/>
      <c r="BF33" s="8941"/>
      <c r="BG33" s="8941"/>
      <c r="BH33" s="8941"/>
      <c r="BI33" s="8941"/>
      <c r="BJ33" s="8941"/>
      <c r="BK33" s="8941"/>
      <c r="BL33" s="8941"/>
      <c r="BM33" s="8941"/>
      <c r="BN33" s="8941"/>
      <c r="BO33" s="8941"/>
      <c r="BP33" s="8941"/>
      <c r="BQ33" s="8941"/>
      <c r="BR33" s="8941"/>
      <c r="BS33" s="8941"/>
      <c r="BT33" s="8941"/>
      <c r="BU33" s="8941"/>
      <c r="BV33" s="8941"/>
      <c r="BW33" s="8941"/>
      <c r="BX33" s="8941"/>
      <c r="BY33" s="8941"/>
      <c r="BZ33" s="8941"/>
      <c r="CA33" s="8941"/>
      <c r="CB33" s="8941"/>
      <c r="CC33" s="8941"/>
      <c r="CD33" s="8941"/>
      <c r="CE33" s="8941"/>
      <c r="CF33" s="8941"/>
      <c r="CG33" s="8941"/>
      <c r="CH33" s="8941"/>
      <c r="CI33" s="8941"/>
      <c r="CJ33" s="8941"/>
      <c r="CK33" s="8941"/>
    </row>
    <row r="34" spans="1:89" s="8942" customFormat="1" ht="21.5" x14ac:dyDescent="0.9">
      <c r="A34" s="8942">
        <v>30</v>
      </c>
      <c r="B34" s="8943" t="s">
        <v>51</v>
      </c>
      <c r="C34" s="8941"/>
      <c r="D34" s="8944">
        <v>16.568325679268437</v>
      </c>
      <c r="E34" s="8945">
        <v>22.692151418449363</v>
      </c>
      <c r="F34" s="8945">
        <v>21.375929418779052</v>
      </c>
      <c r="G34" s="8945">
        <v>19.914132357265864</v>
      </c>
      <c r="H34" s="8945">
        <v>19.551193282314358</v>
      </c>
      <c r="I34" s="8941"/>
      <c r="J34" s="8945">
        <v>15.253339320638421</v>
      </c>
      <c r="K34" s="8945">
        <v>20.469968586843613</v>
      </c>
      <c r="L34" s="8945">
        <v>20.524040376964876</v>
      </c>
      <c r="M34" s="8945">
        <v>18.979898283533281</v>
      </c>
      <c r="N34" s="8947">
        <v>18.562066630210708</v>
      </c>
      <c r="O34" s="8941"/>
      <c r="P34" s="8944">
        <v>23.144048468885767</v>
      </c>
      <c r="Q34" s="8946"/>
      <c r="R34" s="8946"/>
      <c r="S34" s="8946"/>
      <c r="T34" s="8946"/>
      <c r="U34" s="8941"/>
      <c r="V34" s="8945">
        <v>20.628873803968027</v>
      </c>
      <c r="W34" s="8946"/>
      <c r="X34" s="8946"/>
      <c r="Y34" s="8946"/>
      <c r="Z34" s="8948"/>
      <c r="AA34" s="8941"/>
      <c r="AB34" s="8949">
        <v>3.6997243269281492</v>
      </c>
      <c r="AC34" s="8945">
        <v>3.7488470251003054</v>
      </c>
      <c r="AD34" s="8945">
        <v>4.1154574351604545</v>
      </c>
      <c r="AE34" s="8945">
        <v>3.7382229034434125</v>
      </c>
      <c r="AF34" s="8947">
        <v>4.1862829855798029</v>
      </c>
      <c r="AG34" s="8941"/>
      <c r="AH34" s="8941"/>
      <c r="AI34" s="8941"/>
      <c r="AJ34" s="8941"/>
      <c r="AK34" s="8941"/>
      <c r="AL34" s="8941"/>
      <c r="AM34" s="8941"/>
      <c r="AN34" s="8941"/>
      <c r="AO34" s="8941"/>
      <c r="AP34" s="8941"/>
      <c r="AQ34" s="8941"/>
      <c r="AR34" s="8941"/>
      <c r="AS34" s="8941"/>
      <c r="AT34" s="8941"/>
      <c r="AU34" s="8941"/>
      <c r="AV34" s="8941"/>
      <c r="AW34" s="8941"/>
      <c r="AX34" s="8941"/>
      <c r="AY34" s="8941"/>
      <c r="AZ34" s="8941"/>
      <c r="BA34" s="8941"/>
      <c r="BB34" s="8941"/>
      <c r="BC34" s="8941"/>
      <c r="BD34" s="8941"/>
      <c r="BE34" s="8941"/>
      <c r="BF34" s="8941"/>
      <c r="BG34" s="8941"/>
      <c r="BH34" s="8941"/>
      <c r="BI34" s="8941"/>
      <c r="BJ34" s="8941"/>
      <c r="BK34" s="8941"/>
      <c r="BL34" s="8941"/>
      <c r="BM34" s="8941"/>
      <c r="BN34" s="8941"/>
      <c r="BO34" s="8941"/>
      <c r="BP34" s="8941"/>
      <c r="BQ34" s="8941"/>
      <c r="BR34" s="8941"/>
      <c r="BS34" s="8941"/>
      <c r="BT34" s="8941"/>
      <c r="BU34" s="8941"/>
      <c r="BV34" s="8941"/>
      <c r="BW34" s="8941"/>
      <c r="BX34" s="8941"/>
      <c r="BY34" s="8941"/>
      <c r="BZ34" s="8941"/>
      <c r="CA34" s="8941"/>
      <c r="CB34" s="8941"/>
      <c r="CC34" s="8941"/>
      <c r="CD34" s="8941"/>
      <c r="CE34" s="8941"/>
      <c r="CF34" s="8941"/>
      <c r="CG34" s="8941"/>
      <c r="CH34" s="8941"/>
      <c r="CI34" s="8941"/>
      <c r="CJ34" s="8941"/>
      <c r="CK34" s="8941"/>
    </row>
    <row r="35" spans="1:89" s="8942" customFormat="1" ht="21.5" x14ac:dyDescent="0.9">
      <c r="A35" s="8942">
        <v>31</v>
      </c>
      <c r="B35" s="8943" t="s">
        <v>52</v>
      </c>
      <c r="C35" s="8941"/>
      <c r="D35" s="8944">
        <v>12.829813700576956</v>
      </c>
      <c r="E35" s="8945">
        <v>15.340384731555028</v>
      </c>
      <c r="F35" s="8946"/>
      <c r="G35" s="8945">
        <v>12.938931720052402</v>
      </c>
      <c r="H35" s="8945">
        <v>12.016614845111185</v>
      </c>
      <c r="I35" s="8941"/>
      <c r="J35" s="8945">
        <v>12.378207619106091</v>
      </c>
      <c r="K35" s="8945">
        <v>14.775546280530213</v>
      </c>
      <c r="L35" s="8945">
        <v>0</v>
      </c>
      <c r="M35" s="8945">
        <v>12.224937963511112</v>
      </c>
      <c r="N35" s="8947">
        <v>11.621929811784195</v>
      </c>
      <c r="O35" s="8941"/>
      <c r="P35" s="8944">
        <v>22.221705926720013</v>
      </c>
      <c r="Q35" s="8945">
        <v>26.006858784666175</v>
      </c>
      <c r="R35" s="8946"/>
      <c r="S35" s="8946"/>
      <c r="T35" s="8946"/>
      <c r="U35" s="8941"/>
      <c r="V35" s="8945">
        <v>20.848763860052443</v>
      </c>
      <c r="W35" s="8945">
        <v>24.395972831039227</v>
      </c>
      <c r="X35" s="8946"/>
      <c r="Y35" s="8946"/>
      <c r="Z35" s="8948"/>
      <c r="AA35" s="8941"/>
      <c r="AB35" s="8949">
        <v>2.6825772358552906</v>
      </c>
      <c r="AC35" s="8945">
        <v>2.9675290992863808</v>
      </c>
      <c r="AD35" s="8946"/>
      <c r="AE35" s="8945">
        <v>0.23540811975348727</v>
      </c>
      <c r="AF35" s="8947">
        <v>0.27644961496523307</v>
      </c>
      <c r="AG35" s="8941"/>
      <c r="AH35" s="8941"/>
      <c r="AI35" s="8941"/>
      <c r="AJ35" s="8941"/>
      <c r="AK35" s="8941"/>
      <c r="AL35" s="8941"/>
      <c r="AM35" s="8941"/>
      <c r="AN35" s="8941"/>
      <c r="AO35" s="8941"/>
      <c r="AP35" s="8941"/>
      <c r="AQ35" s="8941"/>
      <c r="AR35" s="8941"/>
      <c r="AS35" s="8941"/>
      <c r="AT35" s="8941"/>
      <c r="AU35" s="8941"/>
      <c r="AV35" s="8941"/>
      <c r="AW35" s="8941"/>
      <c r="AX35" s="8941"/>
      <c r="AY35" s="8941"/>
      <c r="AZ35" s="8941"/>
      <c r="BA35" s="8941"/>
      <c r="BB35" s="8941"/>
      <c r="BC35" s="8941"/>
      <c r="BD35" s="8941"/>
      <c r="BE35" s="8941"/>
      <c r="BF35" s="8941"/>
      <c r="BG35" s="8941"/>
      <c r="BH35" s="8941"/>
      <c r="BI35" s="8941"/>
      <c r="BJ35" s="8941"/>
      <c r="BK35" s="8941"/>
      <c r="BL35" s="8941"/>
      <c r="BM35" s="8941"/>
      <c r="BN35" s="8941"/>
      <c r="BO35" s="8941"/>
      <c r="BP35" s="8941"/>
      <c r="BQ35" s="8941"/>
      <c r="BR35" s="8941"/>
      <c r="BS35" s="8941"/>
      <c r="BT35" s="8941"/>
      <c r="BU35" s="8941"/>
      <c r="BV35" s="8941"/>
      <c r="BW35" s="8941"/>
      <c r="BX35" s="8941"/>
      <c r="BY35" s="8941"/>
      <c r="BZ35" s="8941"/>
      <c r="CA35" s="8941"/>
      <c r="CB35" s="8941"/>
      <c r="CC35" s="8941"/>
      <c r="CD35" s="8941"/>
      <c r="CE35" s="8941"/>
      <c r="CF35" s="8941"/>
      <c r="CG35" s="8941"/>
      <c r="CH35" s="8941"/>
      <c r="CI35" s="8941"/>
      <c r="CJ35" s="8941"/>
      <c r="CK35" s="8941"/>
    </row>
    <row r="36" spans="1:89" s="8942" customFormat="1" ht="21.5" x14ac:dyDescent="0.9">
      <c r="A36" s="8942">
        <v>32</v>
      </c>
      <c r="B36" s="8943" t="s">
        <v>53</v>
      </c>
      <c r="C36" s="8941"/>
      <c r="D36" s="8944">
        <v>29.213618354974958</v>
      </c>
      <c r="E36" s="8945">
        <v>26.615312025895598</v>
      </c>
      <c r="F36" s="8945">
        <v>28.408195821834738</v>
      </c>
      <c r="G36" s="8945">
        <v>29.738825995252625</v>
      </c>
      <c r="H36" s="8945">
        <v>24.787149967783169</v>
      </c>
      <c r="I36" s="8941"/>
      <c r="J36" s="8945">
        <v>27.634020047472713</v>
      </c>
      <c r="K36" s="8945">
        <v>25.168236511072717</v>
      </c>
      <c r="L36" s="8945">
        <v>27.303742929502107</v>
      </c>
      <c r="M36" s="8945">
        <v>28.620631390586897</v>
      </c>
      <c r="N36" s="8947">
        <v>23.946172983753186</v>
      </c>
      <c r="O36" s="8941"/>
      <c r="P36" s="8944">
        <v>28.378539951122324</v>
      </c>
      <c r="Q36" s="8945">
        <v>25.85450684200643</v>
      </c>
      <c r="R36" s="8945">
        <v>30.343892647818361</v>
      </c>
      <c r="S36" s="8946"/>
      <c r="T36" s="8946"/>
      <c r="U36" s="8941"/>
      <c r="V36" s="8945">
        <v>26.844094846394519</v>
      </c>
      <c r="W36" s="8945">
        <v>24.44879633361613</v>
      </c>
      <c r="X36" s="8945">
        <v>29.06983131574701</v>
      </c>
      <c r="Y36" s="8946"/>
      <c r="Z36" s="8948"/>
      <c r="AA36" s="8941"/>
      <c r="AB36" s="8949">
        <v>5.5526311600286045</v>
      </c>
      <c r="AC36" s="8945">
        <v>4.991845864010152</v>
      </c>
      <c r="AD36" s="8945">
        <v>5.9082936278198712</v>
      </c>
      <c r="AE36" s="8945">
        <v>5.8599388455779637</v>
      </c>
      <c r="AF36" s="8947">
        <v>5.7605450880049629</v>
      </c>
      <c r="AG36" s="8941"/>
      <c r="AH36" s="8941"/>
      <c r="AI36" s="8941"/>
      <c r="AJ36" s="8941"/>
      <c r="AK36" s="8941"/>
      <c r="AL36" s="8941"/>
      <c r="AM36" s="8941"/>
      <c r="AN36" s="8941"/>
      <c r="AO36" s="8941"/>
      <c r="AP36" s="8941"/>
      <c r="AQ36" s="8941"/>
      <c r="AR36" s="8941"/>
      <c r="AS36" s="8941"/>
      <c r="AT36" s="8941"/>
      <c r="AU36" s="8941"/>
      <c r="AV36" s="8941"/>
      <c r="AW36" s="8941"/>
      <c r="AX36" s="8941"/>
      <c r="AY36" s="8941"/>
      <c r="AZ36" s="8941"/>
      <c r="BA36" s="8941"/>
      <c r="BB36" s="8941"/>
      <c r="BC36" s="8941"/>
      <c r="BD36" s="8941"/>
      <c r="BE36" s="8941"/>
      <c r="BF36" s="8941"/>
      <c r="BG36" s="8941"/>
      <c r="BH36" s="8941"/>
      <c r="BI36" s="8941"/>
      <c r="BJ36" s="8941"/>
      <c r="BK36" s="8941"/>
      <c r="BL36" s="8941"/>
      <c r="BM36" s="8941"/>
      <c r="BN36" s="8941"/>
      <c r="BO36" s="8941"/>
      <c r="BP36" s="8941"/>
      <c r="BQ36" s="8941"/>
      <c r="BR36" s="8941"/>
      <c r="BS36" s="8941"/>
      <c r="BT36" s="8941"/>
      <c r="BU36" s="8941"/>
      <c r="BV36" s="8941"/>
      <c r="BW36" s="8941"/>
      <c r="BX36" s="8941"/>
      <c r="BY36" s="8941"/>
      <c r="BZ36" s="8941"/>
      <c r="CA36" s="8941"/>
      <c r="CB36" s="8941"/>
      <c r="CC36" s="8941"/>
      <c r="CD36" s="8941"/>
      <c r="CE36" s="8941"/>
      <c r="CF36" s="8941"/>
      <c r="CG36" s="8941"/>
      <c r="CH36" s="8941"/>
      <c r="CI36" s="8941"/>
      <c r="CJ36" s="8941"/>
      <c r="CK36" s="8941"/>
    </row>
    <row r="37" spans="1:89" s="8942" customFormat="1" ht="21.5" x14ac:dyDescent="0.9">
      <c r="A37" s="8942">
        <v>33</v>
      </c>
      <c r="B37" s="8943" t="s">
        <v>54</v>
      </c>
      <c r="C37" s="8941"/>
      <c r="D37" s="8944">
        <v>25.219460446367968</v>
      </c>
      <c r="E37" s="8945">
        <v>25.19921411286019</v>
      </c>
      <c r="F37" s="8945">
        <v>21.819334630657846</v>
      </c>
      <c r="G37" s="8945">
        <v>24.444553805636517</v>
      </c>
      <c r="H37" s="8945">
        <v>23.06061830313951</v>
      </c>
      <c r="I37" s="8941"/>
      <c r="J37" s="8945">
        <v>20.009473917039994</v>
      </c>
      <c r="K37" s="8945">
        <v>22.865705133695336</v>
      </c>
      <c r="L37" s="8945">
        <v>16.414945341786609</v>
      </c>
      <c r="M37" s="8945">
        <v>18.562144495833355</v>
      </c>
      <c r="N37" s="8947">
        <v>17.934927111063299</v>
      </c>
      <c r="O37" s="8941"/>
      <c r="P37" s="8944">
        <v>30.552110231146877</v>
      </c>
      <c r="Q37" s="8945">
        <v>28.158677305035319</v>
      </c>
      <c r="R37" s="8946"/>
      <c r="S37" s="8946"/>
      <c r="T37" s="8945">
        <v>28.962942766504128</v>
      </c>
      <c r="U37" s="8941"/>
      <c r="V37" s="8945">
        <v>22.377965110750296</v>
      </c>
      <c r="W37" s="8945">
        <v>24.973837459595032</v>
      </c>
      <c r="X37" s="8946"/>
      <c r="Y37" s="8946"/>
      <c r="Z37" s="8947">
        <v>20.900545463647781</v>
      </c>
      <c r="AA37" s="8941"/>
      <c r="AB37" s="8949">
        <v>5.8650384880072046</v>
      </c>
      <c r="AC37" s="8945">
        <v>5.5055686558179042</v>
      </c>
      <c r="AD37" s="8945">
        <v>5.6613697912146916</v>
      </c>
      <c r="AE37" s="8945">
        <v>6.0475385432065174</v>
      </c>
      <c r="AF37" s="8947">
        <v>6.2614752424549334</v>
      </c>
      <c r="AG37" s="8941"/>
      <c r="AH37" s="8941"/>
      <c r="AI37" s="8941"/>
      <c r="AJ37" s="8941"/>
      <c r="AK37" s="8941"/>
      <c r="AL37" s="8941"/>
      <c r="AM37" s="8941"/>
      <c r="AN37" s="8941"/>
      <c r="AO37" s="8941"/>
      <c r="AP37" s="8941"/>
      <c r="AQ37" s="8941"/>
      <c r="AR37" s="8941"/>
      <c r="AS37" s="8941"/>
      <c r="AT37" s="8941"/>
      <c r="AU37" s="8941"/>
      <c r="AV37" s="8941"/>
      <c r="AW37" s="8941"/>
      <c r="AX37" s="8941"/>
      <c r="AY37" s="8941"/>
      <c r="AZ37" s="8941"/>
      <c r="BA37" s="8941"/>
      <c r="BB37" s="8941"/>
      <c r="BC37" s="8941"/>
      <c r="BD37" s="8941"/>
      <c r="BE37" s="8941"/>
      <c r="BF37" s="8941"/>
      <c r="BG37" s="8941"/>
      <c r="BH37" s="8941"/>
      <c r="BI37" s="8941"/>
      <c r="BJ37" s="8941"/>
      <c r="BK37" s="8941"/>
      <c r="BL37" s="8941"/>
      <c r="BM37" s="8941"/>
      <c r="BN37" s="8941"/>
      <c r="BO37" s="8941"/>
      <c r="BP37" s="8941"/>
      <c r="BQ37" s="8941"/>
      <c r="BR37" s="8941"/>
      <c r="BS37" s="8941"/>
      <c r="BT37" s="8941"/>
      <c r="BU37" s="8941"/>
      <c r="BV37" s="8941"/>
      <c r="BW37" s="8941"/>
      <c r="BX37" s="8941"/>
      <c r="BY37" s="8941"/>
      <c r="BZ37" s="8941"/>
      <c r="CA37" s="8941"/>
      <c r="CB37" s="8941"/>
      <c r="CC37" s="8941"/>
      <c r="CD37" s="8941"/>
      <c r="CE37" s="8941"/>
      <c r="CF37" s="8941"/>
      <c r="CG37" s="8941"/>
      <c r="CH37" s="8941"/>
      <c r="CI37" s="8941"/>
      <c r="CJ37" s="8941"/>
      <c r="CK37" s="8941"/>
    </row>
    <row r="38" spans="1:89" s="8942" customFormat="1" ht="21.5" x14ac:dyDescent="0.9">
      <c r="A38" s="8942">
        <v>34</v>
      </c>
      <c r="B38" s="8943" t="s">
        <v>113</v>
      </c>
      <c r="C38" s="8941"/>
      <c r="D38" s="8944">
        <v>19.518624904934263</v>
      </c>
      <c r="E38" s="8945">
        <v>17.333190810202971</v>
      </c>
      <c r="F38" s="8945">
        <v>14.622213530951914</v>
      </c>
      <c r="G38" s="8945">
        <v>15.263632313477583</v>
      </c>
      <c r="H38" s="8945">
        <v>15.195321961277889</v>
      </c>
      <c r="I38" s="8941"/>
      <c r="J38" s="8945">
        <v>19.175480698802726</v>
      </c>
      <c r="K38" s="8945">
        <v>17.094324470400434</v>
      </c>
      <c r="L38" s="8945">
        <v>14.376695430343517</v>
      </c>
      <c r="M38" s="8945">
        <v>15.019660159562587</v>
      </c>
      <c r="N38" s="8947">
        <v>14.897888822662871</v>
      </c>
      <c r="O38" s="8941"/>
      <c r="P38" s="8944">
        <v>25.875237954714997</v>
      </c>
      <c r="Q38" s="8945">
        <v>22.008135415383215</v>
      </c>
      <c r="R38" s="8945">
        <v>19.923624396582937</v>
      </c>
      <c r="S38" s="8945">
        <v>21.156120941249092</v>
      </c>
      <c r="T38" s="8945">
        <v>21.237908624587966</v>
      </c>
      <c r="U38" s="8941"/>
      <c r="V38" s="8945">
        <v>25.270318939924369</v>
      </c>
      <c r="W38" s="8945">
        <v>21.582765449759094</v>
      </c>
      <c r="X38" s="8945">
        <v>19.459144558939396</v>
      </c>
      <c r="Y38" s="8945">
        <v>20.68002354863274</v>
      </c>
      <c r="Z38" s="8947">
        <v>20.659837404640243</v>
      </c>
      <c r="AA38" s="8941"/>
      <c r="AB38" s="8949">
        <v>3.6270365381024372</v>
      </c>
      <c r="AC38" s="8945">
        <v>4.0406906713174058</v>
      </c>
      <c r="AD38" s="8945">
        <v>4.5208689360944039</v>
      </c>
      <c r="AE38" s="8945">
        <v>4.125923756319299</v>
      </c>
      <c r="AF38" s="8947">
        <v>4.292388223112412</v>
      </c>
      <c r="AG38" s="8941"/>
      <c r="AH38" s="8941"/>
      <c r="AI38" s="8941"/>
      <c r="AJ38" s="8941"/>
      <c r="AK38" s="8941"/>
      <c r="AL38" s="8941"/>
      <c r="AM38" s="8941"/>
      <c r="AN38" s="8941"/>
      <c r="AO38" s="8941"/>
      <c r="AP38" s="8941"/>
      <c r="AQ38" s="8941"/>
      <c r="AR38" s="8941"/>
      <c r="AS38" s="8941"/>
      <c r="AT38" s="8941"/>
      <c r="AU38" s="8941"/>
      <c r="AV38" s="8941"/>
      <c r="AW38" s="8941"/>
      <c r="AX38" s="8941"/>
      <c r="AY38" s="8941"/>
      <c r="AZ38" s="8941"/>
      <c r="BA38" s="8941"/>
      <c r="BB38" s="8941"/>
      <c r="BC38" s="8941"/>
      <c r="BD38" s="8941"/>
      <c r="BE38" s="8941"/>
      <c r="BF38" s="8941"/>
      <c r="BG38" s="8941"/>
      <c r="BH38" s="8941"/>
      <c r="BI38" s="8941"/>
      <c r="BJ38" s="8941"/>
      <c r="BK38" s="8941"/>
      <c r="BL38" s="8941"/>
      <c r="BM38" s="8941"/>
      <c r="BN38" s="8941"/>
      <c r="BO38" s="8941"/>
      <c r="BP38" s="8941"/>
      <c r="BQ38" s="8941"/>
      <c r="BR38" s="8941"/>
      <c r="BS38" s="8941"/>
      <c r="BT38" s="8941"/>
      <c r="BU38" s="8941"/>
      <c r="BV38" s="8941"/>
      <c r="BW38" s="8941"/>
      <c r="BX38" s="8941"/>
      <c r="BY38" s="8941"/>
      <c r="BZ38" s="8941"/>
      <c r="CA38" s="8941"/>
      <c r="CB38" s="8941"/>
      <c r="CC38" s="8941"/>
      <c r="CD38" s="8941"/>
      <c r="CE38" s="8941"/>
      <c r="CF38" s="8941"/>
      <c r="CG38" s="8941"/>
      <c r="CH38" s="8941"/>
      <c r="CI38" s="8941"/>
      <c r="CJ38" s="8941"/>
      <c r="CK38" s="8941"/>
    </row>
    <row r="39" spans="1:89" s="8942" customFormat="1" ht="21.5" x14ac:dyDescent="0.9">
      <c r="A39" s="8942">
        <v>35</v>
      </c>
      <c r="B39" s="8943" t="s">
        <v>57</v>
      </c>
      <c r="C39" s="8941"/>
      <c r="D39" s="8944">
        <v>24.153886306984422</v>
      </c>
      <c r="E39" s="8945">
        <v>22.013394457279105</v>
      </c>
      <c r="F39" s="8945">
        <v>23.789747636126005</v>
      </c>
      <c r="G39" s="8946"/>
      <c r="H39" s="8946"/>
      <c r="I39" s="8941"/>
      <c r="J39" s="8945">
        <v>20.317880787765787</v>
      </c>
      <c r="K39" s="8945">
        <v>18.7616930741979</v>
      </c>
      <c r="L39" s="8945">
        <v>19.516967999395504</v>
      </c>
      <c r="M39" s="8945">
        <v>22.759268511899126</v>
      </c>
      <c r="N39" s="8948" t="s">
        <v>6773</v>
      </c>
      <c r="O39" s="8941"/>
      <c r="P39" s="8944">
        <v>22.978388866818719</v>
      </c>
      <c r="Q39" s="8945">
        <v>20.53163433712022</v>
      </c>
      <c r="R39" s="8945">
        <v>22.966877637611322</v>
      </c>
      <c r="S39" s="8946" t="s">
        <v>6773</v>
      </c>
      <c r="T39" s="8946"/>
      <c r="U39" s="8941"/>
      <c r="V39" s="8945">
        <v>18.189483133544133</v>
      </c>
      <c r="W39" s="8945">
        <v>16.527801125359616</v>
      </c>
      <c r="X39" s="8945">
        <v>17.612967029655042</v>
      </c>
      <c r="Y39" s="8946" t="s">
        <v>6773</v>
      </c>
      <c r="Z39" s="8948" t="s">
        <v>6773</v>
      </c>
      <c r="AA39" s="8941"/>
      <c r="AB39" s="8949">
        <v>4.081202822973343</v>
      </c>
      <c r="AC39" s="8945">
        <v>4.35978142305789</v>
      </c>
      <c r="AD39" s="8945">
        <v>4.4097359858235627</v>
      </c>
      <c r="AE39" s="8945">
        <v>4.1763386525550912</v>
      </c>
      <c r="AF39" s="8948" t="s">
        <v>6773</v>
      </c>
      <c r="AG39" s="8941"/>
      <c r="AH39" s="8941"/>
      <c r="AI39" s="8941"/>
      <c r="AJ39" s="8941"/>
      <c r="AK39" s="8941"/>
      <c r="AL39" s="8941"/>
      <c r="AM39" s="8941"/>
      <c r="AN39" s="8941"/>
      <c r="AO39" s="8941"/>
      <c r="AP39" s="8941"/>
      <c r="AQ39" s="8941"/>
      <c r="AR39" s="8941"/>
      <c r="AS39" s="8941"/>
      <c r="AT39" s="8941"/>
      <c r="AU39" s="8941"/>
      <c r="AV39" s="8941"/>
      <c r="AW39" s="8941"/>
      <c r="AX39" s="8941"/>
      <c r="AY39" s="8941"/>
      <c r="AZ39" s="8941"/>
      <c r="BA39" s="8941"/>
      <c r="BB39" s="8941"/>
      <c r="BC39" s="8941"/>
      <c r="BD39" s="8941"/>
      <c r="BE39" s="8941"/>
      <c r="BF39" s="8941"/>
      <c r="BG39" s="8941"/>
      <c r="BH39" s="8941"/>
      <c r="BI39" s="8941"/>
      <c r="BJ39" s="8941"/>
      <c r="BK39" s="8941"/>
      <c r="BL39" s="8941"/>
      <c r="BM39" s="8941"/>
      <c r="BN39" s="8941"/>
      <c r="BO39" s="8941"/>
      <c r="BP39" s="8941"/>
      <c r="BQ39" s="8941"/>
      <c r="BR39" s="8941"/>
      <c r="BS39" s="8941"/>
      <c r="BT39" s="8941"/>
      <c r="BU39" s="8941"/>
      <c r="BV39" s="8941"/>
      <c r="BW39" s="8941"/>
      <c r="BX39" s="8941"/>
      <c r="BY39" s="8941"/>
      <c r="BZ39" s="8941"/>
      <c r="CA39" s="8941"/>
      <c r="CB39" s="8941"/>
      <c r="CC39" s="8941"/>
      <c r="CD39" s="8941"/>
      <c r="CE39" s="8941"/>
      <c r="CF39" s="8941"/>
      <c r="CG39" s="8941"/>
      <c r="CH39" s="8941"/>
      <c r="CI39" s="8941"/>
      <c r="CJ39" s="8941"/>
      <c r="CK39" s="8941"/>
    </row>
    <row r="40" spans="1:89" s="8942" customFormat="1" ht="21.5" x14ac:dyDescent="0.9">
      <c r="A40" s="8942">
        <v>36</v>
      </c>
      <c r="B40" s="8943" t="s">
        <v>58</v>
      </c>
      <c r="C40" s="8941"/>
      <c r="D40" s="8944">
        <v>17.736843901594071</v>
      </c>
      <c r="E40" s="8945">
        <v>17.782241898770035</v>
      </c>
      <c r="F40" s="8945">
        <v>14.028956207481148</v>
      </c>
      <c r="G40" s="8945">
        <v>17.18830989427158</v>
      </c>
      <c r="H40" s="8945">
        <v>18.451048847472677</v>
      </c>
      <c r="I40" s="8941"/>
      <c r="J40" s="8945">
        <v>16.187540076507211</v>
      </c>
      <c r="K40" s="8945">
        <v>15.657431492883786</v>
      </c>
      <c r="L40" s="8945">
        <v>13.627106461120952</v>
      </c>
      <c r="M40" s="8945">
        <v>16.671985807307038</v>
      </c>
      <c r="N40" s="8947">
        <v>15.426414853961083</v>
      </c>
      <c r="O40" s="8941"/>
      <c r="P40" s="8944">
        <v>37.447713074784744</v>
      </c>
      <c r="Q40" s="8945">
        <v>37.346383843599867</v>
      </c>
      <c r="R40" s="8945">
        <v>18.379700069370557</v>
      </c>
      <c r="S40" s="8945">
        <v>36.838058629889296</v>
      </c>
      <c r="T40" s="8945">
        <v>38.528555720273523</v>
      </c>
      <c r="U40" s="8941"/>
      <c r="V40" s="8945">
        <v>30.911535121809486</v>
      </c>
      <c r="W40" s="8945">
        <v>28.78820972439906</v>
      </c>
      <c r="X40" s="8945">
        <v>17.087110759210596</v>
      </c>
      <c r="Y40" s="8945">
        <v>34.163279267296545</v>
      </c>
      <c r="Z40" s="8947">
        <v>26.779777399843447</v>
      </c>
      <c r="AA40" s="8941"/>
      <c r="AB40" s="8949">
        <v>3.5381988521712491</v>
      </c>
      <c r="AC40" s="8945">
        <v>3.285041099892926</v>
      </c>
      <c r="AD40" s="8945">
        <v>3.0711838859301377</v>
      </c>
      <c r="AE40" s="8945">
        <v>3.5329523797305433</v>
      </c>
      <c r="AF40" s="8947">
        <v>3.4383534797486135</v>
      </c>
      <c r="AG40" s="8941"/>
      <c r="AH40" s="8941"/>
      <c r="AI40" s="8941"/>
      <c r="AJ40" s="8941"/>
      <c r="AK40" s="8941"/>
      <c r="AL40" s="8941"/>
      <c r="AM40" s="8941"/>
      <c r="AN40" s="8941"/>
      <c r="AO40" s="8941"/>
      <c r="AP40" s="8941"/>
      <c r="AQ40" s="8941"/>
      <c r="AR40" s="8941"/>
      <c r="AS40" s="8941"/>
      <c r="AT40" s="8941"/>
      <c r="AU40" s="8941"/>
      <c r="AV40" s="8941"/>
      <c r="AW40" s="8941"/>
      <c r="AX40" s="8941"/>
      <c r="AY40" s="8941"/>
      <c r="AZ40" s="8941"/>
      <c r="BA40" s="8941"/>
      <c r="BB40" s="8941"/>
      <c r="BC40" s="8941"/>
      <c r="BD40" s="8941"/>
      <c r="BE40" s="8941"/>
      <c r="BF40" s="8941"/>
      <c r="BG40" s="8941"/>
      <c r="BH40" s="8941"/>
      <c r="BI40" s="8941"/>
      <c r="BJ40" s="8941"/>
      <c r="BK40" s="8941"/>
      <c r="BL40" s="8941"/>
      <c r="BM40" s="8941"/>
      <c r="BN40" s="8941"/>
      <c r="BO40" s="8941"/>
      <c r="BP40" s="8941"/>
      <c r="BQ40" s="8941"/>
      <c r="BR40" s="8941"/>
      <c r="BS40" s="8941"/>
      <c r="BT40" s="8941"/>
      <c r="BU40" s="8941"/>
      <c r="BV40" s="8941"/>
      <c r="BW40" s="8941"/>
      <c r="BX40" s="8941"/>
      <c r="BY40" s="8941"/>
      <c r="BZ40" s="8941"/>
      <c r="CA40" s="8941"/>
      <c r="CB40" s="8941"/>
      <c r="CC40" s="8941"/>
      <c r="CD40" s="8941"/>
      <c r="CE40" s="8941"/>
      <c r="CF40" s="8941"/>
      <c r="CG40" s="8941"/>
      <c r="CH40" s="8941"/>
      <c r="CI40" s="8941"/>
      <c r="CJ40" s="8941"/>
      <c r="CK40" s="8941"/>
    </row>
    <row r="41" spans="1:89" s="8942" customFormat="1" ht="21.5" x14ac:dyDescent="0.9">
      <c r="A41" s="8942">
        <v>37</v>
      </c>
      <c r="B41" s="8943" t="s">
        <v>6778</v>
      </c>
      <c r="C41" s="8941"/>
      <c r="D41" s="8950" t="s">
        <v>6773</v>
      </c>
      <c r="E41" s="8946" t="s">
        <v>6773</v>
      </c>
      <c r="F41" s="8945">
        <v>33.625757207662012</v>
      </c>
      <c r="G41" s="8945">
        <v>36.540318270404846</v>
      </c>
      <c r="H41" s="8945">
        <v>45.400409068942274</v>
      </c>
      <c r="I41" s="8941"/>
      <c r="J41" s="8946" t="s">
        <v>6773</v>
      </c>
      <c r="K41" s="8946" t="s">
        <v>6773</v>
      </c>
      <c r="L41" s="8945">
        <v>32.795712036216322</v>
      </c>
      <c r="M41" s="8945">
        <v>35.514254049801337</v>
      </c>
      <c r="N41" s="8947">
        <v>44.310473556116314</v>
      </c>
      <c r="O41" s="8941"/>
      <c r="P41" s="8950" t="s">
        <v>6773</v>
      </c>
      <c r="Q41" s="8946" t="s">
        <v>6773</v>
      </c>
      <c r="R41" s="8945">
        <v>49.216342547049422</v>
      </c>
      <c r="S41" s="8945">
        <v>48.003959321071832</v>
      </c>
      <c r="T41" s="8945">
        <v>54.344431960813125</v>
      </c>
      <c r="U41" s="8941"/>
      <c r="V41" s="8946" t="s">
        <v>6773</v>
      </c>
      <c r="W41" s="8946" t="s">
        <v>6773</v>
      </c>
      <c r="X41" s="8945">
        <v>52.039203349837351</v>
      </c>
      <c r="Y41" s="8945">
        <v>50.562493498850444</v>
      </c>
      <c r="Z41" s="8947">
        <v>56.796129332777312</v>
      </c>
      <c r="AA41" s="8941"/>
      <c r="AB41" s="8951" t="s">
        <v>6773</v>
      </c>
      <c r="AC41" s="8946" t="s">
        <v>6773</v>
      </c>
      <c r="AD41" s="8946" t="s">
        <v>6773</v>
      </c>
      <c r="AE41" s="8946" t="s">
        <v>6773</v>
      </c>
      <c r="AF41" s="8948" t="s">
        <v>6773</v>
      </c>
      <c r="AG41" s="8941"/>
      <c r="AH41" s="8941"/>
      <c r="AI41" s="8941"/>
      <c r="AJ41" s="8941"/>
      <c r="AK41" s="8941"/>
      <c r="AL41" s="8941"/>
      <c r="AM41" s="8941"/>
      <c r="AN41" s="8941"/>
      <c r="AO41" s="8941"/>
      <c r="AP41" s="8941"/>
      <c r="AQ41" s="8941"/>
      <c r="AR41" s="8941"/>
      <c r="AS41" s="8941"/>
      <c r="AT41" s="8941"/>
      <c r="AU41" s="8941"/>
      <c r="AV41" s="8941"/>
      <c r="AW41" s="8941"/>
      <c r="AX41" s="8941"/>
      <c r="AY41" s="8941"/>
      <c r="AZ41" s="8941"/>
      <c r="BA41" s="8941"/>
      <c r="BB41" s="8941"/>
      <c r="BC41" s="8941"/>
      <c r="BD41" s="8941"/>
      <c r="BE41" s="8941"/>
      <c r="BF41" s="8941"/>
      <c r="BG41" s="8941"/>
      <c r="BH41" s="8941"/>
      <c r="BI41" s="8941"/>
      <c r="BJ41" s="8941"/>
      <c r="BK41" s="8941"/>
      <c r="BL41" s="8941"/>
      <c r="BM41" s="8941"/>
      <c r="BN41" s="8941"/>
      <c r="BO41" s="8941"/>
      <c r="BP41" s="8941"/>
      <c r="BQ41" s="8941"/>
      <c r="BR41" s="8941"/>
      <c r="BS41" s="8941"/>
      <c r="BT41" s="8941"/>
      <c r="BU41" s="8941"/>
      <c r="BV41" s="8941"/>
      <c r="BW41" s="8941"/>
      <c r="BX41" s="8941"/>
      <c r="BY41" s="8941"/>
      <c r="BZ41" s="8941"/>
      <c r="CA41" s="8941"/>
      <c r="CB41" s="8941"/>
      <c r="CC41" s="8941"/>
      <c r="CD41" s="8941"/>
      <c r="CE41" s="8941"/>
      <c r="CF41" s="8941"/>
      <c r="CG41" s="8941"/>
      <c r="CH41" s="8941"/>
      <c r="CI41" s="8941"/>
      <c r="CJ41" s="8941"/>
      <c r="CK41" s="8941"/>
    </row>
    <row r="42" spans="1:89" s="8942" customFormat="1" ht="21.5" x14ac:dyDescent="0.9">
      <c r="A42" s="8942">
        <v>38</v>
      </c>
      <c r="B42" s="8943" t="s">
        <v>6779</v>
      </c>
      <c r="C42" s="8941"/>
      <c r="D42" s="8950" t="s">
        <v>6773</v>
      </c>
      <c r="E42" s="8946" t="s">
        <v>6773</v>
      </c>
      <c r="F42" s="8945">
        <v>20.537240430944731</v>
      </c>
      <c r="G42" s="8945">
        <v>33.535094726397631</v>
      </c>
      <c r="H42" s="8945">
        <v>27.098026666128678</v>
      </c>
      <c r="I42" s="8941"/>
      <c r="J42" s="8946" t="s">
        <v>6773</v>
      </c>
      <c r="K42" s="8946" t="s">
        <v>6773</v>
      </c>
      <c r="L42" s="8945">
        <v>20.335500110881643</v>
      </c>
      <c r="M42" s="8945">
        <v>32.857721864133794</v>
      </c>
      <c r="N42" s="8947">
        <v>26.96737121297506</v>
      </c>
      <c r="O42" s="8941"/>
      <c r="P42" s="8950" t="s">
        <v>6773</v>
      </c>
      <c r="Q42" s="8946" t="s">
        <v>6773</v>
      </c>
      <c r="R42" s="8945">
        <v>25.662372225630303</v>
      </c>
      <c r="S42" s="8945">
        <v>30.739152071810683</v>
      </c>
      <c r="T42" s="8945">
        <v>31.554416516466439</v>
      </c>
      <c r="U42" s="8941"/>
      <c r="V42" s="8946" t="s">
        <v>6773</v>
      </c>
      <c r="W42" s="8946" t="s">
        <v>6773</v>
      </c>
      <c r="X42" s="8945">
        <v>26.420499098200406</v>
      </c>
      <c r="Y42" s="8945">
        <v>32.47416598798457</v>
      </c>
      <c r="Z42" s="8947">
        <v>32.097370624540218</v>
      </c>
      <c r="AA42" s="8941"/>
      <c r="AB42" s="8951" t="s">
        <v>6773</v>
      </c>
      <c r="AC42" s="8946" t="s">
        <v>6773</v>
      </c>
      <c r="AD42" s="8946" t="s">
        <v>6773</v>
      </c>
      <c r="AE42" s="8946" t="s">
        <v>6773</v>
      </c>
      <c r="AF42" s="8948" t="s">
        <v>6773</v>
      </c>
      <c r="AG42" s="8941"/>
      <c r="AH42" s="8941"/>
      <c r="AI42" s="8941"/>
      <c r="AJ42" s="8941"/>
      <c r="AK42" s="8941"/>
      <c r="AL42" s="8941"/>
      <c r="AM42" s="8941"/>
      <c r="AN42" s="8941"/>
      <c r="AO42" s="8941"/>
      <c r="AP42" s="8941"/>
      <c r="AQ42" s="8941"/>
      <c r="AR42" s="8941"/>
      <c r="AS42" s="8941"/>
      <c r="AT42" s="8941"/>
      <c r="AU42" s="8941"/>
      <c r="AV42" s="8941"/>
      <c r="AW42" s="8941"/>
      <c r="AX42" s="8941"/>
      <c r="AY42" s="8941"/>
      <c r="AZ42" s="8941"/>
      <c r="BA42" s="8941"/>
      <c r="BB42" s="8941"/>
      <c r="BC42" s="8941"/>
      <c r="BD42" s="8941"/>
      <c r="BE42" s="8941"/>
      <c r="BF42" s="8941"/>
      <c r="BG42" s="8941"/>
      <c r="BH42" s="8941"/>
      <c r="BI42" s="8941"/>
      <c r="BJ42" s="8941"/>
      <c r="BK42" s="8941"/>
      <c r="BL42" s="8941"/>
      <c r="BM42" s="8941"/>
      <c r="BN42" s="8941"/>
      <c r="BO42" s="8941"/>
      <c r="BP42" s="8941"/>
      <c r="BQ42" s="8941"/>
      <c r="BR42" s="8941"/>
      <c r="BS42" s="8941"/>
      <c r="BT42" s="8941"/>
      <c r="BU42" s="8941"/>
      <c r="BV42" s="8941"/>
      <c r="BW42" s="8941"/>
      <c r="BX42" s="8941"/>
      <c r="BY42" s="8941"/>
      <c r="BZ42" s="8941"/>
      <c r="CA42" s="8941"/>
      <c r="CB42" s="8941"/>
      <c r="CC42" s="8941"/>
      <c r="CD42" s="8941"/>
      <c r="CE42" s="8941"/>
      <c r="CF42" s="8941"/>
      <c r="CG42" s="8941"/>
      <c r="CH42" s="8941"/>
      <c r="CI42" s="8941"/>
      <c r="CJ42" s="8941"/>
      <c r="CK42" s="8941"/>
    </row>
    <row r="43" spans="1:89" s="8942" customFormat="1" ht="21.5" x14ac:dyDescent="0.9">
      <c r="A43" s="8942">
        <v>39</v>
      </c>
      <c r="B43" s="8943" t="s">
        <v>6780</v>
      </c>
      <c r="C43" s="8941"/>
      <c r="D43" s="8950" t="s">
        <v>6773</v>
      </c>
      <c r="E43" s="8946" t="s">
        <v>6773</v>
      </c>
      <c r="F43" s="8945">
        <v>26.956500456981658</v>
      </c>
      <c r="G43" s="8945">
        <v>27.440828778564903</v>
      </c>
      <c r="H43" s="8945">
        <v>33.076121514655377</v>
      </c>
      <c r="I43" s="8941"/>
      <c r="J43" s="8946" t="s">
        <v>6773</v>
      </c>
      <c r="K43" s="8946" t="s">
        <v>6773</v>
      </c>
      <c r="L43" s="8945">
        <v>25.903734452569061</v>
      </c>
      <c r="M43" s="8945">
        <v>25.980981207033761</v>
      </c>
      <c r="N43" s="8947">
        <v>29.326124290451027</v>
      </c>
      <c r="O43" s="8941"/>
      <c r="P43" s="8950" t="s">
        <v>6773</v>
      </c>
      <c r="Q43" s="8946" t="s">
        <v>6773</v>
      </c>
      <c r="R43" s="8945">
        <v>39.789306979384548</v>
      </c>
      <c r="S43" s="8945">
        <v>34.459594074299851</v>
      </c>
      <c r="T43" s="8945">
        <v>40.557337754400216</v>
      </c>
      <c r="U43" s="8941"/>
      <c r="V43" s="8946" t="s">
        <v>6773</v>
      </c>
      <c r="W43" s="8946" t="s">
        <v>6773</v>
      </c>
      <c r="X43" s="8945">
        <v>43.073240939979243</v>
      </c>
      <c r="Y43" s="8945">
        <v>37.253816501753633</v>
      </c>
      <c r="Z43" s="8947">
        <v>48.139422290352456</v>
      </c>
      <c r="AA43" s="8941"/>
      <c r="AB43" s="8951" t="s">
        <v>6773</v>
      </c>
      <c r="AC43" s="8946" t="s">
        <v>6773</v>
      </c>
      <c r="AD43" s="8946" t="s">
        <v>6773</v>
      </c>
      <c r="AE43" s="8946" t="s">
        <v>6773</v>
      </c>
      <c r="AF43" s="8948" t="s">
        <v>6773</v>
      </c>
      <c r="AG43" s="8941"/>
      <c r="AH43" s="8941"/>
      <c r="AI43" s="8941"/>
      <c r="AJ43" s="8941"/>
      <c r="AK43" s="8941"/>
      <c r="AL43" s="8941"/>
      <c r="AM43" s="8941"/>
      <c r="AN43" s="8941"/>
      <c r="AO43" s="8941"/>
      <c r="AP43" s="8941"/>
      <c r="AQ43" s="8941"/>
      <c r="AR43" s="8941"/>
      <c r="AS43" s="8941"/>
      <c r="AT43" s="8941"/>
      <c r="AU43" s="8941"/>
      <c r="AV43" s="8941"/>
      <c r="AW43" s="8941"/>
      <c r="AX43" s="8941"/>
      <c r="AY43" s="8941"/>
      <c r="AZ43" s="8941"/>
      <c r="BA43" s="8941"/>
      <c r="BB43" s="8941"/>
      <c r="BC43" s="8941"/>
      <c r="BD43" s="8941"/>
      <c r="BE43" s="8941"/>
      <c r="BF43" s="8941"/>
      <c r="BG43" s="8941"/>
      <c r="BH43" s="8941"/>
      <c r="BI43" s="8941"/>
      <c r="BJ43" s="8941"/>
      <c r="BK43" s="8941"/>
      <c r="BL43" s="8941"/>
      <c r="BM43" s="8941"/>
      <c r="BN43" s="8941"/>
      <c r="BO43" s="8941"/>
      <c r="BP43" s="8941"/>
      <c r="BQ43" s="8941"/>
      <c r="BR43" s="8941"/>
      <c r="BS43" s="8941"/>
      <c r="BT43" s="8941"/>
      <c r="BU43" s="8941"/>
      <c r="BV43" s="8941"/>
      <c r="BW43" s="8941"/>
      <c r="BX43" s="8941"/>
      <c r="BY43" s="8941"/>
      <c r="BZ43" s="8941"/>
      <c r="CA43" s="8941"/>
      <c r="CB43" s="8941"/>
      <c r="CC43" s="8941"/>
      <c r="CD43" s="8941"/>
      <c r="CE43" s="8941"/>
      <c r="CF43" s="8941"/>
      <c r="CG43" s="8941"/>
      <c r="CH43" s="8941"/>
      <c r="CI43" s="8941"/>
      <c r="CJ43" s="8941"/>
      <c r="CK43" s="8941"/>
    </row>
    <row r="44" spans="1:89" s="8942" customFormat="1" ht="21.5" x14ac:dyDescent="0.9">
      <c r="A44" s="8942">
        <v>40</v>
      </c>
      <c r="B44" s="8943" t="s">
        <v>6781</v>
      </c>
      <c r="C44" s="8941"/>
      <c r="D44" s="8950" t="s">
        <v>6773</v>
      </c>
      <c r="E44" s="8946" t="s">
        <v>6773</v>
      </c>
      <c r="F44" s="8945">
        <v>33.625757207662012</v>
      </c>
      <c r="G44" s="8945">
        <v>26.790597870495848</v>
      </c>
      <c r="H44" s="8945">
        <v>38.713657968448246</v>
      </c>
      <c r="I44" s="8941"/>
      <c r="J44" s="8946" t="s">
        <v>6773</v>
      </c>
      <c r="K44" s="8946" t="s">
        <v>6773</v>
      </c>
      <c r="L44" s="8945">
        <v>32.795712036216322</v>
      </c>
      <c r="M44" s="8945">
        <v>22.578315778644246</v>
      </c>
      <c r="N44" s="8947">
        <v>30.071978497081826</v>
      </c>
      <c r="O44" s="8941"/>
      <c r="P44" s="8950" t="s">
        <v>6773</v>
      </c>
      <c r="Q44" s="8946" t="s">
        <v>6773</v>
      </c>
      <c r="R44" s="8945">
        <v>49.216342547049422</v>
      </c>
      <c r="S44" s="8945">
        <v>47.986236163980998</v>
      </c>
      <c r="T44" s="8945">
        <v>38.075080141369753</v>
      </c>
      <c r="U44" s="8941"/>
      <c r="V44" s="8946" t="s">
        <v>6773</v>
      </c>
      <c r="W44" s="8946" t="s">
        <v>6773</v>
      </c>
      <c r="X44" s="8945">
        <v>52.039203349837351</v>
      </c>
      <c r="Y44" s="8945">
        <v>31.069811268991725</v>
      </c>
      <c r="Z44" s="8947">
        <v>27.66868932164952</v>
      </c>
      <c r="AA44" s="8941"/>
      <c r="AB44" s="8951" t="s">
        <v>6773</v>
      </c>
      <c r="AC44" s="8946" t="s">
        <v>6773</v>
      </c>
      <c r="AD44" s="8946" t="s">
        <v>6773</v>
      </c>
      <c r="AE44" s="8946" t="s">
        <v>6773</v>
      </c>
      <c r="AF44" s="8948" t="s">
        <v>6773</v>
      </c>
      <c r="AG44" s="8941"/>
      <c r="AH44" s="8941"/>
      <c r="AI44" s="8941"/>
      <c r="AJ44" s="8941"/>
      <c r="AK44" s="8941"/>
      <c r="AL44" s="8941"/>
      <c r="AM44" s="8941"/>
      <c r="AN44" s="8941"/>
      <c r="AO44" s="8941"/>
      <c r="AP44" s="8941"/>
      <c r="AQ44" s="8941"/>
      <c r="AR44" s="8941"/>
      <c r="AS44" s="8941"/>
      <c r="AT44" s="8941"/>
      <c r="AU44" s="8941"/>
      <c r="AV44" s="8941"/>
      <c r="AW44" s="8941"/>
      <c r="AX44" s="8941"/>
      <c r="AY44" s="8941"/>
      <c r="AZ44" s="8941"/>
      <c r="BA44" s="8941"/>
      <c r="BB44" s="8941"/>
      <c r="BC44" s="8941"/>
      <c r="BD44" s="8941"/>
      <c r="BE44" s="8941"/>
      <c r="BF44" s="8941"/>
      <c r="BG44" s="8941"/>
      <c r="BH44" s="8941"/>
      <c r="BI44" s="8941"/>
      <c r="BJ44" s="8941"/>
      <c r="BK44" s="8941"/>
      <c r="BL44" s="8941"/>
      <c r="BM44" s="8941"/>
      <c r="BN44" s="8941"/>
      <c r="BO44" s="8941"/>
      <c r="BP44" s="8941"/>
      <c r="BQ44" s="8941"/>
      <c r="BR44" s="8941"/>
      <c r="BS44" s="8941"/>
      <c r="BT44" s="8941"/>
      <c r="BU44" s="8941"/>
      <c r="BV44" s="8941"/>
      <c r="BW44" s="8941"/>
      <c r="BX44" s="8941"/>
      <c r="BY44" s="8941"/>
      <c r="BZ44" s="8941"/>
      <c r="CA44" s="8941"/>
      <c r="CB44" s="8941"/>
      <c r="CC44" s="8941"/>
      <c r="CD44" s="8941"/>
      <c r="CE44" s="8941"/>
      <c r="CF44" s="8941"/>
      <c r="CG44" s="8941"/>
      <c r="CH44" s="8941"/>
      <c r="CI44" s="8941"/>
      <c r="CJ44" s="8941"/>
      <c r="CK44" s="8941"/>
    </row>
    <row r="45" spans="1:89" s="8942" customFormat="1" ht="21.5" x14ac:dyDescent="0.9">
      <c r="A45" s="8942">
        <v>41</v>
      </c>
      <c r="B45" s="8943" t="s">
        <v>59</v>
      </c>
      <c r="C45" s="8941"/>
      <c r="D45" s="8944">
        <v>23.122821478285751</v>
      </c>
      <c r="E45" s="8945">
        <v>23.122821478285751</v>
      </c>
      <c r="F45" s="8945">
        <v>20.178509968827196</v>
      </c>
      <c r="G45" s="8945">
        <v>24.370147771457752</v>
      </c>
      <c r="H45" s="8945">
        <v>20.212993844718628</v>
      </c>
      <c r="I45" s="8941"/>
      <c r="J45" s="8945">
        <v>21.040081327902286</v>
      </c>
      <c r="K45" s="8945">
        <v>21.040081327902286</v>
      </c>
      <c r="L45" s="8945">
        <v>18.864496174475988</v>
      </c>
      <c r="M45" s="8945">
        <v>22.940330412572973</v>
      </c>
      <c r="N45" s="8947">
        <v>19.510457744767674</v>
      </c>
      <c r="O45" s="8941"/>
      <c r="P45" s="8944">
        <v>24.253504824057266</v>
      </c>
      <c r="Q45" s="8945">
        <v>24.253504824057266</v>
      </c>
      <c r="R45" s="8945">
        <v>22.358333417600821</v>
      </c>
      <c r="S45" s="8945">
        <v>42.944304100696769</v>
      </c>
      <c r="T45" s="8945">
        <v>24.911033565968271</v>
      </c>
      <c r="U45" s="8941"/>
      <c r="V45" s="8945">
        <v>21.372405373330725</v>
      </c>
      <c r="W45" s="8945">
        <v>21.372405373330725</v>
      </c>
      <c r="X45" s="8945">
        <v>20.543837464615962</v>
      </c>
      <c r="Y45" s="8945">
        <v>37.99135616370782</v>
      </c>
      <c r="Z45" s="8947">
        <v>23.719729477747737</v>
      </c>
      <c r="AA45" s="8941"/>
      <c r="AB45" s="8951" t="s">
        <v>6773</v>
      </c>
      <c r="AC45" s="8946" t="s">
        <v>6773</v>
      </c>
      <c r="AD45" s="8946" t="s">
        <v>6773</v>
      </c>
      <c r="AE45" s="8946" t="s">
        <v>6773</v>
      </c>
      <c r="AF45" s="8948" t="s">
        <v>6773</v>
      </c>
      <c r="AG45" s="8941"/>
      <c r="AH45" s="8941"/>
      <c r="AI45" s="8941"/>
      <c r="AJ45" s="8941"/>
      <c r="AK45" s="8941"/>
      <c r="AL45" s="8941"/>
      <c r="AM45" s="8941"/>
      <c r="AN45" s="8941"/>
      <c r="AO45" s="8941"/>
      <c r="AP45" s="8941"/>
      <c r="AQ45" s="8941"/>
      <c r="AR45" s="8941"/>
      <c r="AS45" s="8941"/>
      <c r="AT45" s="8941"/>
      <c r="AU45" s="8941"/>
      <c r="AV45" s="8941"/>
      <c r="AW45" s="8941"/>
      <c r="AX45" s="8941"/>
      <c r="AY45" s="8941"/>
      <c r="AZ45" s="8941"/>
      <c r="BA45" s="8941"/>
      <c r="BB45" s="8941"/>
      <c r="BC45" s="8941"/>
      <c r="BD45" s="8941"/>
      <c r="BE45" s="8941"/>
      <c r="BF45" s="8941"/>
      <c r="BG45" s="8941"/>
      <c r="BH45" s="8941"/>
      <c r="BI45" s="8941"/>
      <c r="BJ45" s="8941"/>
      <c r="BK45" s="8941"/>
      <c r="BL45" s="8941"/>
      <c r="BM45" s="8941"/>
      <c r="BN45" s="8941"/>
      <c r="BO45" s="8941"/>
      <c r="BP45" s="8941"/>
      <c r="BQ45" s="8941"/>
      <c r="BR45" s="8941"/>
      <c r="BS45" s="8941"/>
      <c r="BT45" s="8941"/>
      <c r="BU45" s="8941"/>
      <c r="BV45" s="8941"/>
      <c r="BW45" s="8941"/>
      <c r="BX45" s="8941"/>
      <c r="BY45" s="8941"/>
      <c r="BZ45" s="8941"/>
      <c r="CA45" s="8941"/>
      <c r="CB45" s="8941"/>
      <c r="CC45" s="8941"/>
      <c r="CD45" s="8941"/>
      <c r="CE45" s="8941"/>
      <c r="CF45" s="8941"/>
      <c r="CG45" s="8941"/>
      <c r="CH45" s="8941"/>
      <c r="CI45" s="8941"/>
      <c r="CJ45" s="8941"/>
      <c r="CK45" s="8941"/>
    </row>
    <row r="46" spans="1:89" s="8942" customFormat="1" ht="21.5" x14ac:dyDescent="0.9">
      <c r="A46" s="8942">
        <v>42</v>
      </c>
      <c r="B46" s="8943" t="s">
        <v>60</v>
      </c>
      <c r="C46" s="8941"/>
      <c r="D46" s="8944">
        <v>18.200528894777683</v>
      </c>
      <c r="E46" s="8945">
        <v>22.384084863561196</v>
      </c>
      <c r="F46" s="8945">
        <v>25.149873488666017</v>
      </c>
      <c r="G46" s="8945">
        <v>27.369369574913467</v>
      </c>
      <c r="H46" s="8945">
        <v>27.280456976141377</v>
      </c>
      <c r="I46" s="8941"/>
      <c r="J46" s="8945">
        <v>17.885808630945576</v>
      </c>
      <c r="K46" s="8945">
        <v>21.933497689361488</v>
      </c>
      <c r="L46" s="8945">
        <v>24.63478386460233</v>
      </c>
      <c r="M46" s="8945">
        <v>26.567683001281438</v>
      </c>
      <c r="N46" s="8947">
        <v>26.632420367086564</v>
      </c>
      <c r="O46" s="8941"/>
      <c r="P46" s="8944">
        <v>21.767133534833334</v>
      </c>
      <c r="Q46" s="8945">
        <v>29.208198503131406</v>
      </c>
      <c r="R46" s="8945">
        <v>32.90758630554155</v>
      </c>
      <c r="S46" s="8945">
        <v>31.110033899735708</v>
      </c>
      <c r="T46" s="8945">
        <v>31.886530776023527</v>
      </c>
      <c r="U46" s="8941"/>
      <c r="V46" s="8945">
        <v>21.292768557748513</v>
      </c>
      <c r="W46" s="8945">
        <v>28.396026105661239</v>
      </c>
      <c r="X46" s="8945">
        <v>31.978555603619064</v>
      </c>
      <c r="Y46" s="8945">
        <v>30.029300015779476</v>
      </c>
      <c r="Z46" s="8947">
        <v>30.930029171232317</v>
      </c>
      <c r="AA46" s="8941"/>
      <c r="AB46" s="8951" t="s">
        <v>6773</v>
      </c>
      <c r="AC46" s="8946" t="s">
        <v>6773</v>
      </c>
      <c r="AD46" s="8946" t="s">
        <v>6773</v>
      </c>
      <c r="AE46" s="8946" t="s">
        <v>6773</v>
      </c>
      <c r="AF46" s="8948" t="s">
        <v>6773</v>
      </c>
      <c r="AG46" s="8941"/>
      <c r="AH46" s="8941"/>
      <c r="AI46" s="8941"/>
      <c r="AJ46" s="8941"/>
      <c r="AK46" s="8941"/>
      <c r="AL46" s="8941"/>
      <c r="AM46" s="8941"/>
      <c r="AN46" s="8941"/>
      <c r="AO46" s="8941"/>
      <c r="AP46" s="8941"/>
      <c r="AQ46" s="8941"/>
      <c r="AR46" s="8941"/>
      <c r="AS46" s="8941"/>
      <c r="AT46" s="8941"/>
      <c r="AU46" s="8941"/>
      <c r="AV46" s="8941"/>
      <c r="AW46" s="8941"/>
      <c r="AX46" s="8941"/>
      <c r="AY46" s="8941"/>
      <c r="AZ46" s="8941"/>
      <c r="BA46" s="8941"/>
      <c r="BB46" s="8941"/>
      <c r="BC46" s="8941"/>
      <c r="BD46" s="8941"/>
      <c r="BE46" s="8941"/>
      <c r="BF46" s="8941"/>
      <c r="BG46" s="8941"/>
      <c r="BH46" s="8941"/>
      <c r="BI46" s="8941"/>
      <c r="BJ46" s="8941"/>
      <c r="BK46" s="8941"/>
      <c r="BL46" s="8941"/>
      <c r="BM46" s="8941"/>
      <c r="BN46" s="8941"/>
      <c r="BO46" s="8941"/>
      <c r="BP46" s="8941"/>
      <c r="BQ46" s="8941"/>
      <c r="BR46" s="8941"/>
      <c r="BS46" s="8941"/>
      <c r="BT46" s="8941"/>
      <c r="BU46" s="8941"/>
      <c r="BV46" s="8941"/>
      <c r="BW46" s="8941"/>
      <c r="BX46" s="8941"/>
      <c r="BY46" s="8941"/>
      <c r="BZ46" s="8941"/>
      <c r="CA46" s="8941"/>
      <c r="CB46" s="8941"/>
      <c r="CC46" s="8941"/>
      <c r="CD46" s="8941"/>
      <c r="CE46" s="8941"/>
      <c r="CF46" s="8941"/>
      <c r="CG46" s="8941"/>
      <c r="CH46" s="8941"/>
      <c r="CI46" s="8941"/>
      <c r="CJ46" s="8941"/>
      <c r="CK46" s="8941"/>
    </row>
    <row r="47" spans="1:89" s="8942" customFormat="1" ht="21.5" x14ac:dyDescent="0.9">
      <c r="A47" s="8942">
        <v>43</v>
      </c>
      <c r="B47" s="8943" t="s">
        <v>61</v>
      </c>
      <c r="C47" s="8941"/>
      <c r="D47" s="8944">
        <v>18.102176615399614</v>
      </c>
      <c r="E47" s="8945">
        <v>22.686975868560669</v>
      </c>
      <c r="F47" s="8945">
        <v>20.362304632793681</v>
      </c>
      <c r="G47" s="8946" t="s">
        <v>6773</v>
      </c>
      <c r="H47" s="8946" t="s">
        <v>6773</v>
      </c>
      <c r="I47" s="8941"/>
      <c r="J47" s="8945">
        <v>16.415917597477232</v>
      </c>
      <c r="K47" s="8945">
        <v>19.904053333733739</v>
      </c>
      <c r="L47" s="8945">
        <v>18.02331707377542</v>
      </c>
      <c r="M47" s="8945">
        <v>16.122832966991439</v>
      </c>
      <c r="N47" s="8947">
        <v>15.060783293713561</v>
      </c>
      <c r="O47" s="8941"/>
      <c r="P47" s="8944">
        <v>25.111618926581293</v>
      </c>
      <c r="Q47" s="8945">
        <v>24.83581296292305</v>
      </c>
      <c r="R47" s="8945">
        <v>24.167889399081403</v>
      </c>
      <c r="S47" s="8946" t="s">
        <v>6773</v>
      </c>
      <c r="T47" s="8946" t="s">
        <v>6773</v>
      </c>
      <c r="U47" s="8941"/>
      <c r="V47" s="8945">
        <v>21.751087589309343</v>
      </c>
      <c r="W47" s="8945">
        <v>21.392868264876181</v>
      </c>
      <c r="X47" s="8945">
        <v>20.805099076445433</v>
      </c>
      <c r="Y47" s="8946" t="s">
        <v>6773</v>
      </c>
      <c r="Z47" s="8948"/>
      <c r="AA47" s="8941"/>
      <c r="AB47" s="8949">
        <v>3.4257418739813645</v>
      </c>
      <c r="AC47" s="8945">
        <v>3.6557182648024042</v>
      </c>
      <c r="AD47" s="8945">
        <v>4.0096798212956068</v>
      </c>
      <c r="AE47" s="8945">
        <v>3.4221220471045664</v>
      </c>
      <c r="AF47" s="8947">
        <v>3.3227406382908957</v>
      </c>
      <c r="AG47" s="8941"/>
      <c r="AH47" s="8941"/>
      <c r="AI47" s="8941"/>
      <c r="AJ47" s="8941"/>
      <c r="AK47" s="8941"/>
      <c r="AL47" s="8941"/>
      <c r="AM47" s="8941"/>
      <c r="AN47" s="8941"/>
      <c r="AO47" s="8941"/>
      <c r="AP47" s="8941"/>
      <c r="AQ47" s="8941"/>
      <c r="AR47" s="8941"/>
      <c r="AS47" s="8941"/>
      <c r="AT47" s="8941"/>
      <c r="AU47" s="8941"/>
      <c r="AV47" s="8941"/>
      <c r="AW47" s="8941"/>
      <c r="AX47" s="8941"/>
      <c r="AY47" s="8941"/>
      <c r="AZ47" s="8941"/>
      <c r="BA47" s="8941"/>
      <c r="BB47" s="8941"/>
      <c r="BC47" s="8941"/>
      <c r="BD47" s="8941"/>
      <c r="BE47" s="8941"/>
      <c r="BF47" s="8941"/>
      <c r="BG47" s="8941"/>
      <c r="BH47" s="8941"/>
      <c r="BI47" s="8941"/>
      <c r="BJ47" s="8941"/>
      <c r="BK47" s="8941"/>
      <c r="BL47" s="8941"/>
      <c r="BM47" s="8941"/>
      <c r="BN47" s="8941"/>
      <c r="BO47" s="8941"/>
      <c r="BP47" s="8941"/>
      <c r="BQ47" s="8941"/>
      <c r="BR47" s="8941"/>
      <c r="BS47" s="8941"/>
      <c r="BT47" s="8941"/>
      <c r="BU47" s="8941"/>
      <c r="BV47" s="8941"/>
      <c r="BW47" s="8941"/>
      <c r="BX47" s="8941"/>
      <c r="BY47" s="8941"/>
      <c r="BZ47" s="8941"/>
      <c r="CA47" s="8941"/>
      <c r="CB47" s="8941"/>
      <c r="CC47" s="8941"/>
      <c r="CD47" s="8941"/>
      <c r="CE47" s="8941"/>
      <c r="CF47" s="8941"/>
      <c r="CG47" s="8941"/>
      <c r="CH47" s="8941"/>
      <c r="CI47" s="8941"/>
      <c r="CJ47" s="8941"/>
      <c r="CK47" s="8941"/>
    </row>
    <row r="48" spans="1:89" s="8942" customFormat="1" ht="21.5" x14ac:dyDescent="0.9">
      <c r="A48" s="8942">
        <v>44</v>
      </c>
      <c r="B48" s="8943" t="s">
        <v>63</v>
      </c>
      <c r="C48" s="8941"/>
      <c r="D48" s="8944">
        <v>12.872407291011942</v>
      </c>
      <c r="E48" s="8945">
        <v>12.173009437873528</v>
      </c>
      <c r="F48" s="8945">
        <v>12.644584647739221</v>
      </c>
      <c r="G48" s="8945">
        <v>10.277441229295228</v>
      </c>
      <c r="H48" s="8945">
        <v>10.113273701943761</v>
      </c>
      <c r="I48" s="8941"/>
      <c r="J48" s="8945">
        <v>11.796555497955188</v>
      </c>
      <c r="K48" s="8945">
        <v>10.992937692829607</v>
      </c>
      <c r="L48" s="8945">
        <v>11.19229337304542</v>
      </c>
      <c r="M48" s="8945">
        <v>9.8668563105585214</v>
      </c>
      <c r="N48" s="8947">
        <v>9.5914797954376887</v>
      </c>
      <c r="O48" s="8941"/>
      <c r="P48" s="8950"/>
      <c r="Q48" s="8946"/>
      <c r="R48" s="8946"/>
      <c r="S48" s="8946"/>
      <c r="T48" s="8946"/>
      <c r="U48" s="8941"/>
      <c r="V48" s="8946"/>
      <c r="W48" s="8946"/>
      <c r="X48" s="8946"/>
      <c r="Y48" s="8946"/>
      <c r="Z48" s="8948"/>
      <c r="AA48" s="8941"/>
      <c r="AB48" s="8949">
        <v>2.9932768196433792</v>
      </c>
      <c r="AC48" s="8945">
        <v>2.77966730977385</v>
      </c>
      <c r="AD48" s="8945">
        <v>3.1258123212893159</v>
      </c>
      <c r="AE48" s="8945">
        <v>2.7177019040257648</v>
      </c>
      <c r="AF48" s="8947">
        <v>2.6532556462651344</v>
      </c>
      <c r="AG48" s="8941"/>
      <c r="AH48" s="8941"/>
      <c r="AI48" s="8941"/>
      <c r="AJ48" s="8941"/>
      <c r="AK48" s="8941"/>
      <c r="AL48" s="8941"/>
      <c r="AM48" s="8941"/>
      <c r="AN48" s="8941"/>
      <c r="AO48" s="8941"/>
      <c r="AP48" s="8941"/>
      <c r="AQ48" s="8941"/>
      <c r="AR48" s="8941"/>
      <c r="AS48" s="8941"/>
      <c r="AT48" s="8941"/>
      <c r="AU48" s="8941"/>
      <c r="AV48" s="8941"/>
      <c r="AW48" s="8941"/>
      <c r="AX48" s="8941"/>
      <c r="AY48" s="8941"/>
      <c r="AZ48" s="8941"/>
      <c r="BA48" s="8941"/>
      <c r="BB48" s="8941"/>
      <c r="BC48" s="8941"/>
      <c r="BD48" s="8941"/>
      <c r="BE48" s="8941"/>
      <c r="BF48" s="8941"/>
      <c r="BG48" s="8941"/>
      <c r="BH48" s="8941"/>
      <c r="BI48" s="8941"/>
      <c r="BJ48" s="8941"/>
      <c r="BK48" s="8941"/>
      <c r="BL48" s="8941"/>
      <c r="BM48" s="8941"/>
      <c r="BN48" s="8941"/>
      <c r="BO48" s="8941"/>
      <c r="BP48" s="8941"/>
      <c r="BQ48" s="8941"/>
      <c r="BR48" s="8941"/>
      <c r="BS48" s="8941"/>
      <c r="BT48" s="8941"/>
      <c r="BU48" s="8941"/>
      <c r="BV48" s="8941"/>
      <c r="BW48" s="8941"/>
      <c r="BX48" s="8941"/>
      <c r="BY48" s="8941"/>
      <c r="BZ48" s="8941"/>
      <c r="CA48" s="8941"/>
      <c r="CB48" s="8941"/>
      <c r="CC48" s="8941"/>
      <c r="CD48" s="8941"/>
      <c r="CE48" s="8941"/>
      <c r="CF48" s="8941"/>
      <c r="CG48" s="8941"/>
      <c r="CH48" s="8941"/>
      <c r="CI48" s="8941"/>
      <c r="CJ48" s="8941"/>
      <c r="CK48" s="8941"/>
    </row>
    <row r="49" spans="1:89" s="8942" customFormat="1" ht="21.5" x14ac:dyDescent="0.9">
      <c r="A49" s="8942">
        <v>45</v>
      </c>
      <c r="B49" s="8943" t="s">
        <v>6776</v>
      </c>
      <c r="C49" s="8941"/>
      <c r="D49" s="8944">
        <v>16.69713093926266</v>
      </c>
      <c r="E49" s="8945">
        <v>16.15213598353585</v>
      </c>
      <c r="F49" s="8945">
        <v>20.731514361486941</v>
      </c>
      <c r="G49" s="8945">
        <v>18.639289887892566</v>
      </c>
      <c r="H49" s="8945">
        <v>17.232208257700986</v>
      </c>
      <c r="I49" s="8941"/>
      <c r="J49" s="8945">
        <v>15.684652294234933</v>
      </c>
      <c r="K49" s="8945">
        <v>15.259193385003181</v>
      </c>
      <c r="L49" s="8945">
        <v>19.665131565202302</v>
      </c>
      <c r="M49" s="8945">
        <v>17.179730627018188</v>
      </c>
      <c r="N49" s="8947">
        <v>15.981143816542787</v>
      </c>
      <c r="O49" s="8941"/>
      <c r="P49" s="8944">
        <v>23.800645559583145</v>
      </c>
      <c r="Q49" s="8946"/>
      <c r="R49" s="8946"/>
      <c r="S49" s="8946"/>
      <c r="T49" s="8946"/>
      <c r="U49" s="8941"/>
      <c r="V49" s="8945">
        <v>21.321797415688533</v>
      </c>
      <c r="W49" s="8946"/>
      <c r="X49" s="8946"/>
      <c r="Y49" s="8946"/>
      <c r="Z49" s="8948"/>
      <c r="AA49" s="8941"/>
      <c r="AB49" s="8949">
        <v>5.1728830865159789</v>
      </c>
      <c r="AC49" s="8945">
        <v>5.0840323767476079</v>
      </c>
      <c r="AD49" s="8945">
        <v>5.6562913907284766</v>
      </c>
      <c r="AE49" s="8945">
        <v>4.2338497453310699</v>
      </c>
      <c r="AF49" s="8947">
        <v>4.2113659282391591</v>
      </c>
      <c r="AG49" s="8941"/>
      <c r="AH49" s="8941"/>
      <c r="AI49" s="8941"/>
      <c r="AJ49" s="8941"/>
      <c r="AK49" s="8941"/>
      <c r="AL49" s="8941"/>
      <c r="AM49" s="8941"/>
      <c r="AN49" s="8941"/>
      <c r="AO49" s="8941"/>
      <c r="AP49" s="8941"/>
      <c r="AQ49" s="8941"/>
      <c r="AR49" s="8941"/>
      <c r="AS49" s="8941"/>
      <c r="AT49" s="8941"/>
      <c r="AU49" s="8941"/>
      <c r="AV49" s="8941"/>
      <c r="AW49" s="8941"/>
      <c r="AX49" s="8941"/>
      <c r="AY49" s="8941"/>
      <c r="AZ49" s="8941"/>
      <c r="BA49" s="8941"/>
      <c r="BB49" s="8941"/>
      <c r="BC49" s="8941"/>
      <c r="BD49" s="8941"/>
      <c r="BE49" s="8941"/>
      <c r="BF49" s="8941"/>
      <c r="BG49" s="8941"/>
      <c r="BH49" s="8941"/>
      <c r="BI49" s="8941"/>
      <c r="BJ49" s="8941"/>
      <c r="BK49" s="8941"/>
      <c r="BL49" s="8941"/>
      <c r="BM49" s="8941"/>
      <c r="BN49" s="8941"/>
      <c r="BO49" s="8941"/>
      <c r="BP49" s="8941"/>
      <c r="BQ49" s="8941"/>
      <c r="BR49" s="8941"/>
      <c r="BS49" s="8941"/>
      <c r="BT49" s="8941"/>
      <c r="BU49" s="8941"/>
      <c r="BV49" s="8941"/>
      <c r="BW49" s="8941"/>
      <c r="BX49" s="8941"/>
      <c r="BY49" s="8941"/>
      <c r="BZ49" s="8941"/>
      <c r="CA49" s="8941"/>
      <c r="CB49" s="8941"/>
      <c r="CC49" s="8941"/>
      <c r="CD49" s="8941"/>
      <c r="CE49" s="8941"/>
      <c r="CF49" s="8941"/>
      <c r="CG49" s="8941"/>
      <c r="CH49" s="8941"/>
      <c r="CI49" s="8941"/>
      <c r="CJ49" s="8941"/>
      <c r="CK49" s="8941"/>
    </row>
    <row r="50" spans="1:89" s="8942" customFormat="1" ht="21.5" x14ac:dyDescent="0.9">
      <c r="A50" s="8942">
        <v>46</v>
      </c>
      <c r="B50" s="8943" t="s">
        <v>65</v>
      </c>
      <c r="C50" s="8941"/>
      <c r="D50" s="8944">
        <v>22.265935057153879</v>
      </c>
      <c r="E50" s="8945">
        <v>21.978232926236998</v>
      </c>
      <c r="F50" s="8945">
        <v>23.481353555096344</v>
      </c>
      <c r="G50" s="8945">
        <v>21.926705720354121</v>
      </c>
      <c r="H50" s="8945">
        <v>21.051401549915571</v>
      </c>
      <c r="I50" s="8941"/>
      <c r="J50" s="8945">
        <v>17.933716504009542</v>
      </c>
      <c r="K50" s="8945">
        <v>17.065981411866328</v>
      </c>
      <c r="L50" s="8945">
        <v>17.931750530528532</v>
      </c>
      <c r="M50" s="8945">
        <v>17.203633322463759</v>
      </c>
      <c r="N50" s="8947">
        <v>19.452455229386718</v>
      </c>
      <c r="O50" s="8941"/>
      <c r="P50" s="8944">
        <v>35.148028498567733</v>
      </c>
      <c r="Q50" s="8945">
        <v>39.066435049920607</v>
      </c>
      <c r="R50" s="8945">
        <v>39.122002358799634</v>
      </c>
      <c r="S50" s="8945">
        <v>34.85105039011853</v>
      </c>
      <c r="T50" s="8945">
        <v>33.189286586050159</v>
      </c>
      <c r="U50" s="8941"/>
      <c r="V50" s="8945">
        <v>24.259444894986043</v>
      </c>
      <c r="W50" s="8945">
        <v>25.31966201641071</v>
      </c>
      <c r="X50" s="8945">
        <v>25.343922306030365</v>
      </c>
      <c r="Y50" s="8945">
        <v>23.88691619437882</v>
      </c>
      <c r="Z50" s="8947">
        <v>29.159369976903953</v>
      </c>
      <c r="AA50" s="8941"/>
      <c r="AB50" s="8949">
        <v>5.0019517119568331</v>
      </c>
      <c r="AC50" s="8945">
        <v>4.6249667474833078</v>
      </c>
      <c r="AD50" s="8945">
        <v>5.1634804256895368</v>
      </c>
      <c r="AE50" s="8946"/>
      <c r="AF50" s="8948"/>
      <c r="AG50" s="8941"/>
      <c r="AH50" s="8941"/>
      <c r="AI50" s="8941"/>
      <c r="AJ50" s="8941"/>
      <c r="AK50" s="8941"/>
      <c r="AL50" s="8941"/>
      <c r="AM50" s="8941"/>
      <c r="AN50" s="8941"/>
      <c r="AO50" s="8941"/>
      <c r="AP50" s="8941"/>
      <c r="AQ50" s="8941"/>
      <c r="AR50" s="8941"/>
      <c r="AS50" s="8941"/>
      <c r="AT50" s="8941"/>
      <c r="AU50" s="8941"/>
      <c r="AV50" s="8941"/>
      <c r="AW50" s="8941"/>
      <c r="AX50" s="8941"/>
      <c r="AY50" s="8941"/>
      <c r="AZ50" s="8941"/>
      <c r="BA50" s="8941"/>
      <c r="BB50" s="8941"/>
      <c r="BC50" s="8941"/>
      <c r="BD50" s="8941"/>
      <c r="BE50" s="8941"/>
      <c r="BF50" s="8941"/>
      <c r="BG50" s="8941"/>
      <c r="BH50" s="8941"/>
      <c r="BI50" s="8941"/>
      <c r="BJ50" s="8941"/>
      <c r="BK50" s="8941"/>
      <c r="BL50" s="8941"/>
      <c r="BM50" s="8941"/>
      <c r="BN50" s="8941"/>
      <c r="BO50" s="8941"/>
      <c r="BP50" s="8941"/>
      <c r="BQ50" s="8941"/>
      <c r="BR50" s="8941"/>
      <c r="BS50" s="8941"/>
      <c r="BT50" s="8941"/>
      <c r="BU50" s="8941"/>
      <c r="BV50" s="8941"/>
      <c r="BW50" s="8941"/>
      <c r="BX50" s="8941"/>
      <c r="BY50" s="8941"/>
      <c r="BZ50" s="8941"/>
      <c r="CA50" s="8941"/>
      <c r="CB50" s="8941"/>
      <c r="CC50" s="8941"/>
      <c r="CD50" s="8941"/>
      <c r="CE50" s="8941"/>
      <c r="CF50" s="8941"/>
      <c r="CG50" s="8941"/>
      <c r="CH50" s="8941"/>
      <c r="CI50" s="8941"/>
      <c r="CJ50" s="8941"/>
      <c r="CK50" s="8941"/>
    </row>
    <row r="51" spans="1:89" s="8942" customFormat="1" ht="21.5" x14ac:dyDescent="0.9">
      <c r="A51" s="8942">
        <v>47</v>
      </c>
      <c r="B51" s="8943" t="s">
        <v>66</v>
      </c>
      <c r="C51" s="8941"/>
      <c r="D51" s="8944">
        <v>16.489245794965441</v>
      </c>
      <c r="E51" s="8945">
        <v>13.581872854064295</v>
      </c>
      <c r="F51" s="8945">
        <v>18.59670493808018</v>
      </c>
      <c r="G51" s="8945">
        <v>15.114869246617099</v>
      </c>
      <c r="H51" s="8945">
        <v>15.429030507757844</v>
      </c>
      <c r="I51" s="8941"/>
      <c r="J51" s="8945">
        <v>15.778803333719207</v>
      </c>
      <c r="K51" s="8945">
        <v>12.017901094924632</v>
      </c>
      <c r="L51" s="8945">
        <v>15.256400690625743</v>
      </c>
      <c r="M51" s="8945">
        <v>12.398195085831995</v>
      </c>
      <c r="N51" s="8947">
        <v>12.588687568865689</v>
      </c>
      <c r="O51" s="8941"/>
      <c r="P51" s="8944">
        <v>23.052453895028982</v>
      </c>
      <c r="Q51" s="8945">
        <v>15.515455326012475</v>
      </c>
      <c r="R51" s="8945">
        <v>21.449908221481646</v>
      </c>
      <c r="S51" s="8945">
        <v>16.545633399214747</v>
      </c>
      <c r="T51" s="8945">
        <v>16.539684103261084</v>
      </c>
      <c r="U51" s="8941"/>
      <c r="V51" s="8945">
        <v>21.632158805980051</v>
      </c>
      <c r="W51" s="8945">
        <v>13.279529145065027</v>
      </c>
      <c r="X51" s="8945">
        <v>17.087261488261909</v>
      </c>
      <c r="Y51" s="8945">
        <v>13.304154269977378</v>
      </c>
      <c r="Z51" s="8947">
        <v>13.047967391730003</v>
      </c>
      <c r="AA51" s="8941"/>
      <c r="AB51" s="8949">
        <v>3.0654710090045629</v>
      </c>
      <c r="AC51" s="8945">
        <v>2.2056347261686771</v>
      </c>
      <c r="AD51" s="8945">
        <v>3.1398893068749998</v>
      </c>
      <c r="AE51" s="8945">
        <v>2.1399884975693491</v>
      </c>
      <c r="AF51" s="8947">
        <v>2.7959230963010158</v>
      </c>
      <c r="AG51" s="8941"/>
      <c r="AH51" s="8941"/>
      <c r="AI51" s="8941"/>
      <c r="AJ51" s="8941"/>
      <c r="AK51" s="8941"/>
      <c r="AL51" s="8941"/>
      <c r="AM51" s="8941"/>
      <c r="AN51" s="8941"/>
      <c r="AO51" s="8941"/>
      <c r="AP51" s="8941"/>
      <c r="AQ51" s="8941"/>
      <c r="AR51" s="8941"/>
      <c r="AS51" s="8941"/>
      <c r="AT51" s="8941"/>
      <c r="AU51" s="8941"/>
      <c r="AV51" s="8941"/>
      <c r="AW51" s="8941"/>
      <c r="AX51" s="8941"/>
      <c r="AY51" s="8941"/>
      <c r="AZ51" s="8941"/>
      <c r="BA51" s="8941"/>
      <c r="BB51" s="8941"/>
      <c r="BC51" s="8941"/>
      <c r="BD51" s="8941"/>
      <c r="BE51" s="8941"/>
      <c r="BF51" s="8941"/>
      <c r="BG51" s="8941"/>
      <c r="BH51" s="8941"/>
      <c r="BI51" s="8941"/>
      <c r="BJ51" s="8941"/>
      <c r="BK51" s="8941"/>
      <c r="BL51" s="8941"/>
      <c r="BM51" s="8941"/>
      <c r="BN51" s="8941"/>
      <c r="BO51" s="8941"/>
      <c r="BP51" s="8941"/>
      <c r="BQ51" s="8941"/>
      <c r="BR51" s="8941"/>
      <c r="BS51" s="8941"/>
      <c r="BT51" s="8941"/>
      <c r="BU51" s="8941"/>
      <c r="BV51" s="8941"/>
      <c r="BW51" s="8941"/>
      <c r="BX51" s="8941"/>
      <c r="BY51" s="8941"/>
      <c r="BZ51" s="8941"/>
      <c r="CA51" s="8941"/>
      <c r="CB51" s="8941"/>
      <c r="CC51" s="8941"/>
      <c r="CD51" s="8941"/>
      <c r="CE51" s="8941"/>
      <c r="CF51" s="8941"/>
      <c r="CG51" s="8941"/>
      <c r="CH51" s="8941"/>
      <c r="CI51" s="8941"/>
      <c r="CJ51" s="8941"/>
      <c r="CK51" s="8941"/>
    </row>
    <row r="52" spans="1:89" s="8942" customFormat="1" ht="21.5" x14ac:dyDescent="0.9">
      <c r="A52" s="8942">
        <v>48</v>
      </c>
      <c r="B52" s="8943" t="s">
        <v>67</v>
      </c>
      <c r="C52" s="8941"/>
      <c r="D52" s="8944">
        <v>3.8184620681766188</v>
      </c>
      <c r="E52" s="8945">
        <v>2.9236204166159094</v>
      </c>
      <c r="F52" s="8945">
        <v>4.6931997733441415</v>
      </c>
      <c r="G52" s="8945">
        <v>2.3140838344212216</v>
      </c>
      <c r="H52" s="8945">
        <v>4.4548941137235287</v>
      </c>
      <c r="I52" s="8941"/>
      <c r="J52" s="8945">
        <v>3.8090940149483652</v>
      </c>
      <c r="K52" s="8945">
        <v>2.9232643118148598</v>
      </c>
      <c r="L52" s="8945">
        <v>4.6873324189223524</v>
      </c>
      <c r="M52" s="8945">
        <v>2.3140838344212216</v>
      </c>
      <c r="N52" s="8947">
        <v>4.402507431991511</v>
      </c>
      <c r="O52" s="8941"/>
      <c r="P52" s="8950" t="s">
        <v>6773</v>
      </c>
      <c r="Q52" s="8945">
        <v>3.1690489552041727</v>
      </c>
      <c r="R52" s="8945">
        <v>4.7277500419850824</v>
      </c>
      <c r="S52" s="8945">
        <v>2.4375313707957513</v>
      </c>
      <c r="T52" s="8945">
        <v>5.3236091184441259</v>
      </c>
      <c r="U52" s="8941"/>
      <c r="V52" s="8946" t="s">
        <v>6773</v>
      </c>
      <c r="W52" s="8945">
        <v>3.1686305574809386</v>
      </c>
      <c r="X52" s="8945">
        <v>4.7217960361200904</v>
      </c>
      <c r="Y52" s="8945">
        <v>2.4375313707957513</v>
      </c>
      <c r="Z52" s="8947">
        <v>5.2489704819087741</v>
      </c>
      <c r="AA52" s="8941"/>
      <c r="AB52" s="8949">
        <v>0.40615906895251075</v>
      </c>
      <c r="AC52" s="8945">
        <v>0.24172957510991142</v>
      </c>
      <c r="AD52" s="8945">
        <v>0.54671156793524323</v>
      </c>
      <c r="AE52" s="8945">
        <v>0.38715850974692873</v>
      </c>
      <c r="AF52" s="8947">
        <v>1.2090487678935009</v>
      </c>
      <c r="AG52" s="8941"/>
      <c r="AH52" s="8941"/>
      <c r="AI52" s="8941"/>
      <c r="AJ52" s="8941"/>
      <c r="AK52" s="8941"/>
      <c r="AL52" s="8941"/>
      <c r="AM52" s="8941"/>
      <c r="AN52" s="8941"/>
      <c r="AO52" s="8941"/>
      <c r="AP52" s="8941"/>
      <c r="AQ52" s="8941"/>
      <c r="AR52" s="8941"/>
      <c r="AS52" s="8941"/>
      <c r="AT52" s="8941"/>
      <c r="AU52" s="8941"/>
      <c r="AV52" s="8941"/>
      <c r="AW52" s="8941"/>
      <c r="AX52" s="8941"/>
      <c r="AY52" s="8941"/>
      <c r="AZ52" s="8941"/>
      <c r="BA52" s="8941"/>
      <c r="BB52" s="8941"/>
      <c r="BC52" s="8941"/>
      <c r="BD52" s="8941"/>
      <c r="BE52" s="8941"/>
      <c r="BF52" s="8941"/>
      <c r="BG52" s="8941"/>
      <c r="BH52" s="8941"/>
      <c r="BI52" s="8941"/>
      <c r="BJ52" s="8941"/>
      <c r="BK52" s="8941"/>
      <c r="BL52" s="8941"/>
      <c r="BM52" s="8941"/>
      <c r="BN52" s="8941"/>
      <c r="BO52" s="8941"/>
      <c r="BP52" s="8941"/>
      <c r="BQ52" s="8941"/>
      <c r="BR52" s="8941"/>
      <c r="BS52" s="8941"/>
      <c r="BT52" s="8941"/>
      <c r="BU52" s="8941"/>
      <c r="BV52" s="8941"/>
      <c r="BW52" s="8941"/>
      <c r="BX52" s="8941"/>
      <c r="BY52" s="8941"/>
      <c r="BZ52" s="8941"/>
      <c r="CA52" s="8941"/>
      <c r="CB52" s="8941"/>
      <c r="CC52" s="8941"/>
      <c r="CD52" s="8941"/>
      <c r="CE52" s="8941"/>
      <c r="CF52" s="8941"/>
      <c r="CG52" s="8941"/>
      <c r="CH52" s="8941"/>
      <c r="CI52" s="8941"/>
      <c r="CJ52" s="8941"/>
      <c r="CK52" s="8941"/>
    </row>
    <row r="53" spans="1:89" s="8942" customFormat="1" ht="21.5" x14ac:dyDescent="0.9">
      <c r="A53" s="8942">
        <v>49</v>
      </c>
      <c r="B53" s="8943" t="s">
        <v>114</v>
      </c>
      <c r="C53" s="8941"/>
      <c r="D53" s="8944">
        <v>19.016772120116499</v>
      </c>
      <c r="E53" s="8946" t="s">
        <v>6773</v>
      </c>
      <c r="F53" s="8945">
        <v>17.370028915247008</v>
      </c>
      <c r="G53" s="8945">
        <v>20.214070075930838</v>
      </c>
      <c r="H53" s="8946" t="s">
        <v>6773</v>
      </c>
      <c r="I53" s="8941"/>
      <c r="J53" s="8945">
        <v>18.085148719744662</v>
      </c>
      <c r="K53" s="8946" t="s">
        <v>6773</v>
      </c>
      <c r="L53" s="8945">
        <v>16.362571248979101</v>
      </c>
      <c r="M53" s="8945">
        <v>19.035066182519888</v>
      </c>
      <c r="N53" s="8948" t="s">
        <v>6773</v>
      </c>
      <c r="O53" s="8941"/>
      <c r="P53" s="8944">
        <v>23.054091909557798</v>
      </c>
      <c r="Q53" s="8946" t="s">
        <v>6773</v>
      </c>
      <c r="R53" s="8946"/>
      <c r="S53" s="8946"/>
      <c r="T53" s="8946" t="s">
        <v>6773</v>
      </c>
      <c r="U53" s="8941"/>
      <c r="V53" s="8945">
        <v>21.57772621809745</v>
      </c>
      <c r="W53" s="8946" t="s">
        <v>6773</v>
      </c>
      <c r="X53" s="8946"/>
      <c r="Y53" s="8946"/>
      <c r="Z53" s="8948"/>
      <c r="AA53" s="8941"/>
      <c r="AB53" s="8949">
        <v>5.5618586036606636</v>
      </c>
      <c r="AC53" s="8946"/>
      <c r="AD53" s="8945">
        <v>6.2635653839228711</v>
      </c>
      <c r="AE53" s="8945">
        <v>5.7128821666343486</v>
      </c>
      <c r="AF53" s="8948" t="s">
        <v>6773</v>
      </c>
      <c r="AG53" s="8941"/>
      <c r="AH53" s="8941"/>
      <c r="AI53" s="8941"/>
      <c r="AJ53" s="8941"/>
      <c r="AK53" s="8941"/>
      <c r="AL53" s="8941"/>
      <c r="AM53" s="8941"/>
      <c r="AN53" s="8941"/>
      <c r="AO53" s="8941"/>
      <c r="AP53" s="8941"/>
      <c r="AQ53" s="8941"/>
      <c r="AR53" s="8941"/>
      <c r="AS53" s="8941"/>
      <c r="AT53" s="8941"/>
      <c r="AU53" s="8941"/>
      <c r="AV53" s="8941"/>
      <c r="AW53" s="8941"/>
      <c r="AX53" s="8941"/>
      <c r="AY53" s="8941"/>
      <c r="AZ53" s="8941"/>
      <c r="BA53" s="8941"/>
      <c r="BB53" s="8941"/>
      <c r="BC53" s="8941"/>
      <c r="BD53" s="8941"/>
      <c r="BE53" s="8941"/>
      <c r="BF53" s="8941"/>
      <c r="BG53" s="8941"/>
      <c r="BH53" s="8941"/>
      <c r="BI53" s="8941"/>
      <c r="BJ53" s="8941"/>
      <c r="BK53" s="8941"/>
      <c r="BL53" s="8941"/>
      <c r="BM53" s="8941"/>
      <c r="BN53" s="8941"/>
      <c r="BO53" s="8941"/>
      <c r="BP53" s="8941"/>
      <c r="BQ53" s="8941"/>
      <c r="BR53" s="8941"/>
      <c r="BS53" s="8941"/>
      <c r="BT53" s="8941"/>
      <c r="BU53" s="8941"/>
      <c r="BV53" s="8941"/>
      <c r="BW53" s="8941"/>
      <c r="BX53" s="8941"/>
      <c r="BY53" s="8941"/>
      <c r="BZ53" s="8941"/>
      <c r="CA53" s="8941"/>
      <c r="CB53" s="8941"/>
      <c r="CC53" s="8941"/>
      <c r="CD53" s="8941"/>
      <c r="CE53" s="8941"/>
      <c r="CF53" s="8941"/>
      <c r="CG53" s="8941"/>
      <c r="CH53" s="8941"/>
      <c r="CI53" s="8941"/>
      <c r="CJ53" s="8941"/>
      <c r="CK53" s="8941"/>
    </row>
    <row r="54" spans="1:89" s="8942" customFormat="1" ht="21.5" x14ac:dyDescent="0.9">
      <c r="A54" s="8942">
        <v>50</v>
      </c>
      <c r="B54" s="8943" t="s">
        <v>68</v>
      </c>
      <c r="C54" s="8941"/>
      <c r="D54" s="8944">
        <v>24.230056567768909</v>
      </c>
      <c r="E54" s="8945">
        <v>22.29907023319128</v>
      </c>
      <c r="F54" s="8945">
        <v>21.045943359077032</v>
      </c>
      <c r="G54" s="8945">
        <v>20.440179275014319</v>
      </c>
      <c r="H54" s="8945">
        <v>18.537887703880571</v>
      </c>
      <c r="I54" s="8941"/>
      <c r="J54" s="8945">
        <v>17.35245973955217</v>
      </c>
      <c r="K54" s="8945">
        <v>16.252920579134887</v>
      </c>
      <c r="L54" s="8945">
        <v>14.693261576711203</v>
      </c>
      <c r="M54" s="8945">
        <v>14.380095178908208</v>
      </c>
      <c r="N54" s="8947">
        <v>14.135099476533972</v>
      </c>
      <c r="O54" s="8941"/>
      <c r="P54" s="8950"/>
      <c r="Q54" s="8946"/>
      <c r="R54" s="8945">
        <v>32.698122772577968</v>
      </c>
      <c r="S54" s="8945">
        <v>31.398687869072027</v>
      </c>
      <c r="T54" s="8945">
        <v>26.887006284332575</v>
      </c>
      <c r="U54" s="8941"/>
      <c r="V54" s="8946"/>
      <c r="W54" s="8946"/>
      <c r="X54" s="8946"/>
      <c r="Y54" s="8945">
        <v>16.753201941638359</v>
      </c>
      <c r="Z54" s="8947">
        <v>16.751163879406239</v>
      </c>
      <c r="AA54" s="8941"/>
      <c r="AB54" s="8951" t="s">
        <v>6773</v>
      </c>
      <c r="AC54" s="8946" t="s">
        <v>6773</v>
      </c>
      <c r="AD54" s="8946" t="s">
        <v>6773</v>
      </c>
      <c r="AE54" s="8946" t="s">
        <v>6773</v>
      </c>
      <c r="AF54" s="8948" t="s">
        <v>6773</v>
      </c>
      <c r="AG54" s="8941"/>
      <c r="AH54" s="8941"/>
      <c r="AI54" s="8941"/>
      <c r="AJ54" s="8941"/>
      <c r="AK54" s="8941"/>
      <c r="AL54" s="8941"/>
      <c r="AM54" s="8941"/>
      <c r="AN54" s="8941"/>
      <c r="AO54" s="8941"/>
      <c r="AP54" s="8941"/>
      <c r="AQ54" s="8941"/>
      <c r="AR54" s="8941"/>
      <c r="AS54" s="8941"/>
      <c r="AT54" s="8941"/>
      <c r="AU54" s="8941"/>
      <c r="AV54" s="8941"/>
      <c r="AW54" s="8941"/>
      <c r="AX54" s="8941"/>
      <c r="AY54" s="8941"/>
      <c r="AZ54" s="8941"/>
      <c r="BA54" s="8941"/>
      <c r="BB54" s="8941"/>
      <c r="BC54" s="8941"/>
      <c r="BD54" s="8941"/>
      <c r="BE54" s="8941"/>
      <c r="BF54" s="8941"/>
      <c r="BG54" s="8941"/>
      <c r="BH54" s="8941"/>
      <c r="BI54" s="8941"/>
      <c r="BJ54" s="8941"/>
      <c r="BK54" s="8941"/>
      <c r="BL54" s="8941"/>
      <c r="BM54" s="8941"/>
      <c r="BN54" s="8941"/>
      <c r="BO54" s="8941"/>
      <c r="BP54" s="8941"/>
      <c r="BQ54" s="8941"/>
      <c r="BR54" s="8941"/>
      <c r="BS54" s="8941"/>
      <c r="BT54" s="8941"/>
      <c r="BU54" s="8941"/>
      <c r="BV54" s="8941"/>
      <c r="BW54" s="8941"/>
      <c r="BX54" s="8941"/>
      <c r="BY54" s="8941"/>
      <c r="BZ54" s="8941"/>
      <c r="CA54" s="8941"/>
      <c r="CB54" s="8941"/>
      <c r="CC54" s="8941"/>
      <c r="CD54" s="8941"/>
      <c r="CE54" s="8941"/>
      <c r="CF54" s="8941"/>
      <c r="CG54" s="8941"/>
      <c r="CH54" s="8941"/>
      <c r="CI54" s="8941"/>
      <c r="CJ54" s="8941"/>
      <c r="CK54" s="8941"/>
    </row>
    <row r="55" spans="1:89" s="8942" customFormat="1" ht="21.5" x14ac:dyDescent="0.9">
      <c r="A55" s="8942">
        <v>51</v>
      </c>
      <c r="B55" s="8943" t="s">
        <v>69</v>
      </c>
      <c r="C55" s="8941"/>
      <c r="D55" s="8944">
        <v>15.484147931248202</v>
      </c>
      <c r="E55" s="8945">
        <v>14.302871664366613</v>
      </c>
      <c r="F55" s="8946" t="s">
        <v>6773</v>
      </c>
      <c r="G55" s="8946" t="s">
        <v>6773</v>
      </c>
      <c r="H55" s="8946" t="s">
        <v>6773</v>
      </c>
      <c r="I55" s="8941"/>
      <c r="J55" s="8945">
        <v>15.484147931248202</v>
      </c>
      <c r="K55" s="8945">
        <v>14.302871664366613</v>
      </c>
      <c r="L55" s="8945">
        <v>19.185200034243284</v>
      </c>
      <c r="M55" s="8945">
        <v>17.866575126438374</v>
      </c>
      <c r="N55" s="8947">
        <v>16.151632214645399</v>
      </c>
      <c r="O55" s="8941"/>
      <c r="P55" s="8944">
        <v>21.774395783192816</v>
      </c>
      <c r="Q55" s="8945">
        <v>17.494654888513043</v>
      </c>
      <c r="R55" s="8946" t="s">
        <v>6773</v>
      </c>
      <c r="S55" s="8945">
        <v>14.591886110865168</v>
      </c>
      <c r="T55" s="8946" t="s">
        <v>6773</v>
      </c>
      <c r="U55" s="8941"/>
      <c r="V55" s="8945">
        <v>21.774395783192816</v>
      </c>
      <c r="W55" s="8945">
        <v>17.494654888513043</v>
      </c>
      <c r="X55" s="8945">
        <v>24.67066577327201</v>
      </c>
      <c r="Y55" s="8945">
        <v>14.591886110865168</v>
      </c>
      <c r="Z55" s="8947">
        <v>20.083542755420392</v>
      </c>
      <c r="AA55" s="8941"/>
      <c r="AB55" s="8951" t="s">
        <v>6773</v>
      </c>
      <c r="AC55" s="8946" t="s">
        <v>6773</v>
      </c>
      <c r="AD55" s="8946" t="s">
        <v>6773</v>
      </c>
      <c r="AE55" s="8946" t="s">
        <v>6773</v>
      </c>
      <c r="AF55" s="8948" t="s">
        <v>6773</v>
      </c>
      <c r="AG55" s="8941"/>
      <c r="AH55" s="8941"/>
      <c r="AI55" s="8941"/>
      <c r="AJ55" s="8941"/>
      <c r="AK55" s="8941"/>
      <c r="AL55" s="8941"/>
      <c r="AM55" s="8941"/>
      <c r="AN55" s="8941"/>
      <c r="AO55" s="8941"/>
      <c r="AP55" s="8941"/>
      <c r="AQ55" s="8941"/>
      <c r="AR55" s="8941"/>
      <c r="AS55" s="8941"/>
      <c r="AT55" s="8941"/>
      <c r="AU55" s="8941"/>
      <c r="AV55" s="8941"/>
      <c r="AW55" s="8941"/>
      <c r="AX55" s="8941"/>
      <c r="AY55" s="8941"/>
      <c r="AZ55" s="8941"/>
      <c r="BA55" s="8941"/>
      <c r="BB55" s="8941"/>
      <c r="BC55" s="8941"/>
      <c r="BD55" s="8941"/>
      <c r="BE55" s="8941"/>
      <c r="BF55" s="8941"/>
      <c r="BG55" s="8941"/>
      <c r="BH55" s="8941"/>
      <c r="BI55" s="8941"/>
      <c r="BJ55" s="8941"/>
      <c r="BK55" s="8941"/>
      <c r="BL55" s="8941"/>
      <c r="BM55" s="8941"/>
      <c r="BN55" s="8941"/>
      <c r="BO55" s="8941"/>
      <c r="BP55" s="8941"/>
      <c r="BQ55" s="8941"/>
      <c r="BR55" s="8941"/>
      <c r="BS55" s="8941"/>
      <c r="BT55" s="8941"/>
      <c r="BU55" s="8941"/>
      <c r="BV55" s="8941"/>
      <c r="BW55" s="8941"/>
      <c r="BX55" s="8941"/>
      <c r="BY55" s="8941"/>
      <c r="BZ55" s="8941"/>
      <c r="CA55" s="8941"/>
      <c r="CB55" s="8941"/>
      <c r="CC55" s="8941"/>
      <c r="CD55" s="8941"/>
      <c r="CE55" s="8941"/>
      <c r="CF55" s="8941"/>
      <c r="CG55" s="8941"/>
      <c r="CH55" s="8941"/>
      <c r="CI55" s="8941"/>
      <c r="CJ55" s="8941"/>
      <c r="CK55" s="8941"/>
    </row>
    <row r="56" spans="1:89" s="8942" customFormat="1" ht="21.5" x14ac:dyDescent="0.9">
      <c r="A56" s="8942">
        <v>52</v>
      </c>
      <c r="B56" s="8943" t="s">
        <v>70</v>
      </c>
      <c r="C56" s="8941"/>
      <c r="D56" s="8944">
        <v>8.180890593469698</v>
      </c>
      <c r="E56" s="8945">
        <v>9.5908569430311292</v>
      </c>
      <c r="F56" s="8945">
        <v>9.1519373510108686</v>
      </c>
      <c r="G56" s="8945">
        <v>10.16777231686914</v>
      </c>
      <c r="H56" s="8945">
        <v>9.4413600480116635</v>
      </c>
      <c r="I56" s="8941"/>
      <c r="J56" s="8945">
        <v>8.180890593469698</v>
      </c>
      <c r="K56" s="8945">
        <v>9.5908569430311292</v>
      </c>
      <c r="L56" s="8945">
        <v>9.1519373510108686</v>
      </c>
      <c r="M56" s="8945">
        <v>10.142907075729489</v>
      </c>
      <c r="N56" s="8947">
        <v>9.3905325730982732</v>
      </c>
      <c r="O56" s="8941"/>
      <c r="P56" s="8944">
        <v>12.51453590092707</v>
      </c>
      <c r="Q56" s="8945">
        <v>11.912560443582027</v>
      </c>
      <c r="R56" s="8946" t="s">
        <v>6773</v>
      </c>
      <c r="S56" s="8945">
        <v>13.458816630408061</v>
      </c>
      <c r="T56" s="8945">
        <v>10.960565217030032</v>
      </c>
      <c r="U56" s="8941"/>
      <c r="V56" s="8945">
        <v>12.51453590092707</v>
      </c>
      <c r="W56" s="8945">
        <v>11.912560443582027</v>
      </c>
      <c r="X56" s="8946" t="s">
        <v>6773</v>
      </c>
      <c r="Y56" s="8945">
        <v>13.414473153041317</v>
      </c>
      <c r="Z56" s="8947">
        <v>10.89143415405659</v>
      </c>
      <c r="AA56" s="8941"/>
      <c r="AB56" s="8949">
        <v>8.0765103581723974</v>
      </c>
      <c r="AC56" s="8945">
        <v>7.1076051351232463</v>
      </c>
      <c r="AD56" s="8945">
        <v>6.6287676719194843</v>
      </c>
      <c r="AE56" s="8945">
        <v>7.4726515078991458</v>
      </c>
      <c r="AF56" s="8947">
        <v>6.8138290269830826</v>
      </c>
      <c r="AG56" s="8941"/>
      <c r="AH56" s="8941"/>
      <c r="AI56" s="8941"/>
      <c r="AJ56" s="8941"/>
      <c r="AK56" s="8941"/>
      <c r="AL56" s="8941"/>
      <c r="AM56" s="8941"/>
      <c r="AN56" s="8941"/>
      <c r="AO56" s="8941"/>
      <c r="AP56" s="8941"/>
      <c r="AQ56" s="8941"/>
      <c r="AR56" s="8941"/>
      <c r="AS56" s="8941"/>
      <c r="AT56" s="8941"/>
      <c r="AU56" s="8941"/>
      <c r="AV56" s="8941"/>
      <c r="AW56" s="8941"/>
      <c r="AX56" s="8941"/>
      <c r="AY56" s="8941"/>
      <c r="AZ56" s="8941"/>
      <c r="BA56" s="8941"/>
      <c r="BB56" s="8941"/>
      <c r="BC56" s="8941"/>
      <c r="BD56" s="8941"/>
      <c r="BE56" s="8941"/>
      <c r="BF56" s="8941"/>
      <c r="BG56" s="8941"/>
      <c r="BH56" s="8941"/>
      <c r="BI56" s="8941"/>
      <c r="BJ56" s="8941"/>
      <c r="BK56" s="8941"/>
      <c r="BL56" s="8941"/>
      <c r="BM56" s="8941"/>
      <c r="BN56" s="8941"/>
      <c r="BO56" s="8941"/>
      <c r="BP56" s="8941"/>
      <c r="BQ56" s="8941"/>
      <c r="BR56" s="8941"/>
      <c r="BS56" s="8941"/>
      <c r="BT56" s="8941"/>
      <c r="BU56" s="8941"/>
      <c r="BV56" s="8941"/>
      <c r="BW56" s="8941"/>
      <c r="BX56" s="8941"/>
      <c r="BY56" s="8941"/>
      <c r="BZ56" s="8941"/>
      <c r="CA56" s="8941"/>
      <c r="CB56" s="8941"/>
      <c r="CC56" s="8941"/>
      <c r="CD56" s="8941"/>
      <c r="CE56" s="8941"/>
      <c r="CF56" s="8941"/>
      <c r="CG56" s="8941"/>
      <c r="CH56" s="8941"/>
      <c r="CI56" s="8941"/>
      <c r="CJ56" s="8941"/>
      <c r="CK56" s="8941"/>
    </row>
    <row r="57" spans="1:89" s="8942" customFormat="1" ht="21.5" x14ac:dyDescent="0.9">
      <c r="A57" s="8942">
        <v>53</v>
      </c>
      <c r="B57" s="8943" t="s">
        <v>71</v>
      </c>
      <c r="C57" s="8941"/>
      <c r="D57" s="8944">
        <v>15.082075524384841</v>
      </c>
      <c r="E57" s="8945">
        <v>17.040271985162228</v>
      </c>
      <c r="F57" s="8945">
        <v>19.059283410626428</v>
      </c>
      <c r="G57" s="8945">
        <v>20.186927184749024</v>
      </c>
      <c r="H57" s="8945">
        <v>20.883865054239024</v>
      </c>
      <c r="I57" s="8941"/>
      <c r="J57" s="8945">
        <v>11.095353243577216</v>
      </c>
      <c r="K57" s="8945">
        <v>10.470724065021143</v>
      </c>
      <c r="L57" s="8945">
        <v>12.383665759123865</v>
      </c>
      <c r="M57" s="8945">
        <v>12.133178760144085</v>
      </c>
      <c r="N57" s="8947">
        <v>12.257284998941135</v>
      </c>
      <c r="O57" s="8941"/>
      <c r="P57" s="8944">
        <v>24.352640014904484</v>
      </c>
      <c r="Q57" s="8945">
        <v>25.051477667984191</v>
      </c>
      <c r="R57" s="8945">
        <v>27.546973398832144</v>
      </c>
      <c r="S57" s="8945">
        <v>27.014323740266867</v>
      </c>
      <c r="T57" s="8945">
        <v>31.363836353340886</v>
      </c>
      <c r="U57" s="8941"/>
      <c r="V57" s="8945">
        <v>15.314993728360498</v>
      </c>
      <c r="W57" s="8945">
        <v>12.425183250178888</v>
      </c>
      <c r="X57" s="8945">
        <v>14.898503955164774</v>
      </c>
      <c r="Y57" s="8945">
        <v>13.668565626762701</v>
      </c>
      <c r="Z57" s="8947">
        <v>14.646980969086886</v>
      </c>
      <c r="AA57" s="8941"/>
      <c r="AB57" s="8949">
        <v>3.5858326552394715</v>
      </c>
      <c r="AC57" s="8945">
        <v>3.7605320642593898</v>
      </c>
      <c r="AD57" s="8945">
        <v>4.3603240436302064</v>
      </c>
      <c r="AE57" s="8945">
        <v>4.0924905490095869</v>
      </c>
      <c r="AF57" s="8947">
        <v>4.1154087957991248</v>
      </c>
      <c r="AG57" s="8941"/>
      <c r="AH57" s="8941"/>
      <c r="AI57" s="8941"/>
      <c r="AJ57" s="8941"/>
      <c r="AK57" s="8941"/>
      <c r="AL57" s="8941"/>
      <c r="AM57" s="8941"/>
      <c r="AN57" s="8941"/>
      <c r="AO57" s="8941"/>
      <c r="AP57" s="8941"/>
      <c r="AQ57" s="8941"/>
      <c r="AR57" s="8941"/>
      <c r="AS57" s="8941"/>
      <c r="AT57" s="8941"/>
      <c r="AU57" s="8941"/>
      <c r="AV57" s="8941"/>
      <c r="AW57" s="8941"/>
      <c r="AX57" s="8941"/>
      <c r="AY57" s="8941"/>
      <c r="AZ57" s="8941"/>
      <c r="BA57" s="8941"/>
      <c r="BB57" s="8941"/>
      <c r="BC57" s="8941"/>
      <c r="BD57" s="8941"/>
      <c r="BE57" s="8941"/>
      <c r="BF57" s="8941"/>
      <c r="BG57" s="8941"/>
      <c r="BH57" s="8941"/>
      <c r="BI57" s="8941"/>
      <c r="BJ57" s="8941"/>
      <c r="BK57" s="8941"/>
      <c r="BL57" s="8941"/>
      <c r="BM57" s="8941"/>
      <c r="BN57" s="8941"/>
      <c r="BO57" s="8941"/>
      <c r="BP57" s="8941"/>
      <c r="BQ57" s="8941"/>
      <c r="BR57" s="8941"/>
      <c r="BS57" s="8941"/>
      <c r="BT57" s="8941"/>
      <c r="BU57" s="8941"/>
      <c r="BV57" s="8941"/>
      <c r="BW57" s="8941"/>
      <c r="BX57" s="8941"/>
      <c r="BY57" s="8941"/>
      <c r="BZ57" s="8941"/>
      <c r="CA57" s="8941"/>
      <c r="CB57" s="8941"/>
      <c r="CC57" s="8941"/>
      <c r="CD57" s="8941"/>
      <c r="CE57" s="8941"/>
      <c r="CF57" s="8941"/>
      <c r="CG57" s="8941"/>
      <c r="CH57" s="8941"/>
      <c r="CI57" s="8941"/>
      <c r="CJ57" s="8941"/>
      <c r="CK57" s="8941"/>
    </row>
    <row r="58" spans="1:89" s="8942" customFormat="1" ht="21.5" x14ac:dyDescent="0.9">
      <c r="A58" s="8942">
        <v>54</v>
      </c>
      <c r="B58" s="8943" t="s">
        <v>72</v>
      </c>
      <c r="C58" s="8941"/>
      <c r="D58" s="8944">
        <v>15.092558866300623</v>
      </c>
      <c r="E58" s="8945">
        <v>15.788736835517206</v>
      </c>
      <c r="F58" s="8945">
        <v>14.253738799004603</v>
      </c>
      <c r="G58" s="8945">
        <v>12.455586489547086</v>
      </c>
      <c r="H58" s="8945">
        <v>13.960711588188939</v>
      </c>
      <c r="I58" s="8941"/>
      <c r="J58" s="8945">
        <v>12.085235454966853</v>
      </c>
      <c r="K58" s="8945">
        <v>13.022237288853683</v>
      </c>
      <c r="L58" s="8945">
        <v>11.465074442755219</v>
      </c>
      <c r="M58" s="8945">
        <v>10.237608832612088</v>
      </c>
      <c r="N58" s="8947">
        <v>11.930363944754465</v>
      </c>
      <c r="O58" s="8941"/>
      <c r="P58" s="8944">
        <v>23.594755370005416</v>
      </c>
      <c r="Q58" s="8945">
        <v>24.924882245656658</v>
      </c>
      <c r="R58" s="8945">
        <v>22.706989694637286</v>
      </c>
      <c r="S58" s="8945">
        <v>20.059766660235777</v>
      </c>
      <c r="T58" s="8945">
        <v>23.111681066772803</v>
      </c>
      <c r="U58" s="8941"/>
      <c r="V58" s="8945">
        <v>16.326611225067516</v>
      </c>
      <c r="W58" s="8945">
        <v>17.811153333646253</v>
      </c>
      <c r="X58" s="8945">
        <v>15.597078771054354</v>
      </c>
      <c r="Y58" s="8945">
        <v>13.952936157710063</v>
      </c>
      <c r="Z58" s="8947">
        <v>17.260295761327487</v>
      </c>
      <c r="AA58" s="8941"/>
      <c r="AB58" s="8949">
        <v>1.9339290281573409</v>
      </c>
      <c r="AC58" s="8945">
        <v>1.9863249567263579</v>
      </c>
      <c r="AD58" s="8945">
        <v>2.0268096888318117</v>
      </c>
      <c r="AE58" s="8945">
        <v>1.7737257624668064</v>
      </c>
      <c r="AF58" s="8947">
        <v>2.3501210271885875</v>
      </c>
      <c r="AG58" s="8941"/>
      <c r="AH58" s="8941"/>
      <c r="AI58" s="8941"/>
      <c r="AJ58" s="8941"/>
      <c r="AK58" s="8941"/>
      <c r="AL58" s="8941"/>
      <c r="AM58" s="8941"/>
      <c r="AN58" s="8941"/>
      <c r="AO58" s="8941"/>
      <c r="AP58" s="8941"/>
      <c r="AQ58" s="8941"/>
      <c r="AR58" s="8941"/>
      <c r="AS58" s="8941"/>
      <c r="AT58" s="8941"/>
      <c r="AU58" s="8941"/>
      <c r="AV58" s="8941"/>
      <c r="AW58" s="8941"/>
      <c r="AX58" s="8941"/>
      <c r="AY58" s="8941"/>
      <c r="AZ58" s="8941"/>
      <c r="BA58" s="8941"/>
      <c r="BB58" s="8941"/>
      <c r="BC58" s="8941"/>
      <c r="BD58" s="8941"/>
      <c r="BE58" s="8941"/>
      <c r="BF58" s="8941"/>
      <c r="BG58" s="8941"/>
      <c r="BH58" s="8941"/>
      <c r="BI58" s="8941"/>
      <c r="BJ58" s="8941"/>
      <c r="BK58" s="8941"/>
      <c r="BL58" s="8941"/>
      <c r="BM58" s="8941"/>
      <c r="BN58" s="8941"/>
      <c r="BO58" s="8941"/>
      <c r="BP58" s="8941"/>
      <c r="BQ58" s="8941"/>
      <c r="BR58" s="8941"/>
      <c r="BS58" s="8941"/>
      <c r="BT58" s="8941"/>
      <c r="BU58" s="8941"/>
      <c r="BV58" s="8941"/>
      <c r="BW58" s="8941"/>
      <c r="BX58" s="8941"/>
      <c r="BY58" s="8941"/>
      <c r="BZ58" s="8941"/>
      <c r="CA58" s="8941"/>
      <c r="CB58" s="8941"/>
      <c r="CC58" s="8941"/>
      <c r="CD58" s="8941"/>
      <c r="CE58" s="8941"/>
      <c r="CF58" s="8941"/>
      <c r="CG58" s="8941"/>
      <c r="CH58" s="8941"/>
      <c r="CI58" s="8941"/>
      <c r="CJ58" s="8941"/>
      <c r="CK58" s="8941"/>
    </row>
    <row r="59" spans="1:89" s="8942" customFormat="1" ht="21.5" x14ac:dyDescent="0.9">
      <c r="A59" s="8942">
        <v>55</v>
      </c>
      <c r="B59" s="8943" t="s">
        <v>115</v>
      </c>
      <c r="C59" s="8941"/>
      <c r="D59" s="8950" t="s">
        <v>6773</v>
      </c>
      <c r="E59" s="8946" t="s">
        <v>6773</v>
      </c>
      <c r="F59" s="8946" t="s">
        <v>6773</v>
      </c>
      <c r="G59" s="8946" t="s">
        <v>6773</v>
      </c>
      <c r="H59" s="8946" t="s">
        <v>6773</v>
      </c>
      <c r="I59" s="8941"/>
      <c r="J59" s="8945">
        <v>33.57935661208063</v>
      </c>
      <c r="K59" s="8945">
        <v>32.379638017302703</v>
      </c>
      <c r="L59" s="8945">
        <v>25.875223783880898</v>
      </c>
      <c r="M59" s="8945">
        <v>28.418352560745568</v>
      </c>
      <c r="N59" s="8948" t="s">
        <v>6773</v>
      </c>
      <c r="O59" s="8941"/>
      <c r="P59" s="8950"/>
      <c r="Q59" s="8946"/>
      <c r="R59" s="8946"/>
      <c r="S59" s="8946"/>
      <c r="T59" s="8946" t="s">
        <v>6773</v>
      </c>
      <c r="U59" s="8941"/>
      <c r="V59" s="8946" t="s">
        <v>6773</v>
      </c>
      <c r="W59" s="8946" t="s">
        <v>6773</v>
      </c>
      <c r="X59" s="8946" t="s">
        <v>6773</v>
      </c>
      <c r="Y59" s="8946" t="s">
        <v>6773</v>
      </c>
      <c r="Z59" s="8948"/>
      <c r="AA59" s="8941"/>
      <c r="AB59" s="8949">
        <v>5.3809140513978404</v>
      </c>
      <c r="AC59" s="8945">
        <v>5.0327210337976362</v>
      </c>
      <c r="AD59" s="8945">
        <v>6.4987199094493864</v>
      </c>
      <c r="AE59" s="8945">
        <v>6.3348403468586767</v>
      </c>
      <c r="AF59" s="8948"/>
      <c r="AG59" s="8941"/>
      <c r="AH59" s="8941"/>
      <c r="AI59" s="8941"/>
      <c r="AJ59" s="8941"/>
      <c r="AK59" s="8941"/>
      <c r="AL59" s="8941"/>
      <c r="AM59" s="8941"/>
      <c r="AN59" s="8941"/>
      <c r="AO59" s="8941"/>
      <c r="AP59" s="8941"/>
      <c r="AQ59" s="8941"/>
      <c r="AR59" s="8941"/>
      <c r="AS59" s="8941"/>
      <c r="AT59" s="8941"/>
      <c r="AU59" s="8941"/>
      <c r="AV59" s="8941"/>
      <c r="AW59" s="8941"/>
      <c r="AX59" s="8941"/>
      <c r="AY59" s="8941"/>
      <c r="AZ59" s="8941"/>
      <c r="BA59" s="8941"/>
      <c r="BB59" s="8941"/>
      <c r="BC59" s="8941"/>
      <c r="BD59" s="8941"/>
      <c r="BE59" s="8941"/>
      <c r="BF59" s="8941"/>
      <c r="BG59" s="8941"/>
      <c r="BH59" s="8941"/>
      <c r="BI59" s="8941"/>
      <c r="BJ59" s="8941"/>
      <c r="BK59" s="8941"/>
      <c r="BL59" s="8941"/>
      <c r="BM59" s="8941"/>
      <c r="BN59" s="8941"/>
      <c r="BO59" s="8941"/>
      <c r="BP59" s="8941"/>
      <c r="BQ59" s="8941"/>
      <c r="BR59" s="8941"/>
      <c r="BS59" s="8941"/>
      <c r="BT59" s="8941"/>
      <c r="BU59" s="8941"/>
      <c r="BV59" s="8941"/>
      <c r="BW59" s="8941"/>
      <c r="BX59" s="8941"/>
      <c r="BY59" s="8941"/>
      <c r="BZ59" s="8941"/>
      <c r="CA59" s="8941"/>
      <c r="CB59" s="8941"/>
      <c r="CC59" s="8941"/>
      <c r="CD59" s="8941"/>
      <c r="CE59" s="8941"/>
      <c r="CF59" s="8941"/>
      <c r="CG59" s="8941"/>
      <c r="CH59" s="8941"/>
      <c r="CI59" s="8941"/>
      <c r="CJ59" s="8941"/>
      <c r="CK59" s="8941"/>
    </row>
    <row r="60" spans="1:89" s="8942" customFormat="1" ht="21.5" x14ac:dyDescent="0.9">
      <c r="A60" s="8942">
        <v>56</v>
      </c>
      <c r="B60" s="8943" t="s">
        <v>73</v>
      </c>
      <c r="C60" s="8941"/>
      <c r="D60" s="8944">
        <v>16.220032301605464</v>
      </c>
      <c r="E60" s="8945">
        <v>15.16373424369748</v>
      </c>
      <c r="F60" s="8945">
        <v>19.918067525687409</v>
      </c>
      <c r="G60" s="8945">
        <v>14.953326320560739</v>
      </c>
      <c r="H60" s="8945">
        <v>18.542591713770847</v>
      </c>
      <c r="I60" s="8941"/>
      <c r="J60" s="8945">
        <v>15.365614200439836</v>
      </c>
      <c r="K60" s="8945">
        <v>13.773507046150618</v>
      </c>
      <c r="L60" s="8945">
        <v>18.483645404684275</v>
      </c>
      <c r="M60" s="8945">
        <v>14.029566596146639</v>
      </c>
      <c r="N60" s="8947">
        <v>17.032243930987214</v>
      </c>
      <c r="O60" s="8941"/>
      <c r="P60" s="8950"/>
      <c r="Q60" s="8946"/>
      <c r="R60" s="8946"/>
      <c r="S60" s="8946"/>
      <c r="T60" s="8946"/>
      <c r="U60" s="8941"/>
      <c r="V60" s="8946"/>
      <c r="W60" s="8946"/>
      <c r="X60" s="8946"/>
      <c r="Y60" s="8946"/>
      <c r="Z60" s="8948"/>
      <c r="AA60" s="8941"/>
      <c r="AB60" s="8949">
        <v>3.4690741072664948</v>
      </c>
      <c r="AC60" s="8945">
        <v>3.6698046183939641</v>
      </c>
      <c r="AD60" s="8945">
        <v>4.5883834641129377</v>
      </c>
      <c r="AE60" s="8945">
        <v>3.220180235021735</v>
      </c>
      <c r="AF60" s="8947">
        <v>3.1191309409644514</v>
      </c>
      <c r="AG60" s="8941"/>
      <c r="AH60" s="8941"/>
      <c r="AI60" s="8941"/>
      <c r="AJ60" s="8941"/>
      <c r="AK60" s="8941"/>
      <c r="AL60" s="8941"/>
      <c r="AM60" s="8941"/>
      <c r="AN60" s="8941"/>
      <c r="AO60" s="8941"/>
      <c r="AP60" s="8941"/>
      <c r="AQ60" s="8941"/>
      <c r="AR60" s="8941"/>
      <c r="AS60" s="8941"/>
      <c r="AT60" s="8941"/>
      <c r="AU60" s="8941"/>
      <c r="AV60" s="8941"/>
      <c r="AW60" s="8941"/>
      <c r="AX60" s="8941"/>
      <c r="AY60" s="8941"/>
      <c r="AZ60" s="8941"/>
      <c r="BA60" s="8941"/>
      <c r="BB60" s="8941"/>
      <c r="BC60" s="8941"/>
      <c r="BD60" s="8941"/>
      <c r="BE60" s="8941"/>
      <c r="BF60" s="8941"/>
      <c r="BG60" s="8941"/>
      <c r="BH60" s="8941"/>
      <c r="BI60" s="8941"/>
      <c r="BJ60" s="8941"/>
      <c r="BK60" s="8941"/>
      <c r="BL60" s="8941"/>
      <c r="BM60" s="8941"/>
      <c r="BN60" s="8941"/>
      <c r="BO60" s="8941"/>
      <c r="BP60" s="8941"/>
      <c r="BQ60" s="8941"/>
      <c r="BR60" s="8941"/>
      <c r="BS60" s="8941"/>
      <c r="BT60" s="8941"/>
      <c r="BU60" s="8941"/>
      <c r="BV60" s="8941"/>
      <c r="BW60" s="8941"/>
      <c r="BX60" s="8941"/>
      <c r="BY60" s="8941"/>
      <c r="BZ60" s="8941"/>
      <c r="CA60" s="8941"/>
      <c r="CB60" s="8941"/>
      <c r="CC60" s="8941"/>
      <c r="CD60" s="8941"/>
      <c r="CE60" s="8941"/>
      <c r="CF60" s="8941"/>
      <c r="CG60" s="8941"/>
      <c r="CH60" s="8941"/>
      <c r="CI60" s="8941"/>
      <c r="CJ60" s="8941"/>
      <c r="CK60" s="8941"/>
    </row>
    <row r="61" spans="1:89" s="8942" customFormat="1" ht="21.5" x14ac:dyDescent="0.9">
      <c r="A61" s="8942">
        <v>57</v>
      </c>
      <c r="B61" s="8943" t="s">
        <v>74</v>
      </c>
      <c r="C61" s="8941"/>
      <c r="D61" s="8944">
        <v>20.474177293568559</v>
      </c>
      <c r="E61" s="8945">
        <v>21.125334938582697</v>
      </c>
      <c r="F61" s="8945">
        <v>22.759909732336155</v>
      </c>
      <c r="G61" s="8945">
        <v>23.854187700144529</v>
      </c>
      <c r="H61" s="8945">
        <v>18.924523850218925</v>
      </c>
      <c r="I61" s="8941"/>
      <c r="J61" s="8945">
        <v>17.71344263547088</v>
      </c>
      <c r="K61" s="8945">
        <v>18.242775240443478</v>
      </c>
      <c r="L61" s="8945">
        <v>18.68541116985903</v>
      </c>
      <c r="M61" s="8945">
        <v>19.000706899913368</v>
      </c>
      <c r="N61" s="8947">
        <v>14.557725748064652</v>
      </c>
      <c r="O61" s="8941"/>
      <c r="P61" s="8950" t="s">
        <v>6773</v>
      </c>
      <c r="Q61" s="8946"/>
      <c r="R61" s="8946"/>
      <c r="S61" s="8946" t="s">
        <v>6773</v>
      </c>
      <c r="T61" s="8946" t="s">
        <v>6773</v>
      </c>
      <c r="U61" s="8941"/>
      <c r="V61" s="8946" t="s">
        <v>6773</v>
      </c>
      <c r="W61" s="8946"/>
      <c r="X61" s="8946"/>
      <c r="Y61" s="8946"/>
      <c r="Z61" s="8948"/>
      <c r="AA61" s="8941"/>
      <c r="AB61" s="8949">
        <v>4.3555164530611696</v>
      </c>
      <c r="AC61" s="8945">
        <v>4.5646425147137402</v>
      </c>
      <c r="AD61" s="8945">
        <v>5.1935232743552673</v>
      </c>
      <c r="AE61" s="8945">
        <v>4.7589982174961039</v>
      </c>
      <c r="AF61" s="8947">
        <v>3.7025385348593098</v>
      </c>
      <c r="AG61" s="8941"/>
      <c r="AH61" s="8941"/>
      <c r="AI61" s="8941"/>
      <c r="AJ61" s="8941"/>
      <c r="AK61" s="8941"/>
      <c r="AL61" s="8941"/>
      <c r="AM61" s="8941"/>
      <c r="AN61" s="8941"/>
      <c r="AO61" s="8941"/>
      <c r="AP61" s="8941"/>
      <c r="AQ61" s="8941"/>
      <c r="AR61" s="8941"/>
      <c r="AS61" s="8941"/>
      <c r="AT61" s="8941"/>
      <c r="AU61" s="8941"/>
      <c r="AV61" s="8941"/>
      <c r="AW61" s="8941"/>
      <c r="AX61" s="8941"/>
      <c r="AY61" s="8941"/>
      <c r="AZ61" s="8941"/>
      <c r="BA61" s="8941"/>
      <c r="BB61" s="8941"/>
      <c r="BC61" s="8941"/>
      <c r="BD61" s="8941"/>
      <c r="BE61" s="8941"/>
      <c r="BF61" s="8941"/>
      <c r="BG61" s="8941"/>
      <c r="BH61" s="8941"/>
      <c r="BI61" s="8941"/>
      <c r="BJ61" s="8941"/>
      <c r="BK61" s="8941"/>
      <c r="BL61" s="8941"/>
      <c r="BM61" s="8941"/>
      <c r="BN61" s="8941"/>
      <c r="BO61" s="8941"/>
      <c r="BP61" s="8941"/>
      <c r="BQ61" s="8941"/>
      <c r="BR61" s="8941"/>
      <c r="BS61" s="8941"/>
      <c r="BT61" s="8941"/>
      <c r="BU61" s="8941"/>
      <c r="BV61" s="8941"/>
      <c r="BW61" s="8941"/>
      <c r="BX61" s="8941"/>
      <c r="BY61" s="8941"/>
      <c r="BZ61" s="8941"/>
      <c r="CA61" s="8941"/>
      <c r="CB61" s="8941"/>
      <c r="CC61" s="8941"/>
      <c r="CD61" s="8941"/>
      <c r="CE61" s="8941"/>
      <c r="CF61" s="8941"/>
      <c r="CG61" s="8941"/>
      <c r="CH61" s="8941"/>
      <c r="CI61" s="8941"/>
      <c r="CJ61" s="8941"/>
      <c r="CK61" s="8941"/>
    </row>
    <row r="62" spans="1:89" s="8942" customFormat="1" ht="22" thickBot="1" x14ac:dyDescent="0.95">
      <c r="A62" s="8942">
        <v>58</v>
      </c>
      <c r="B62" s="8952" t="s">
        <v>75</v>
      </c>
      <c r="C62" s="8941"/>
      <c r="D62" s="8953">
        <v>26.726418910709178</v>
      </c>
      <c r="E62" s="8954">
        <v>21.369942753404867</v>
      </c>
      <c r="F62" s="8954">
        <v>26.013381661695323</v>
      </c>
      <c r="G62" s="8954">
        <v>29.307137458718614</v>
      </c>
      <c r="H62" s="8954">
        <v>19.125498723811056</v>
      </c>
      <c r="I62" s="8955"/>
      <c r="J62" s="8954">
        <v>26.071097717557684</v>
      </c>
      <c r="K62" s="8954">
        <v>18.201195128349667</v>
      </c>
      <c r="L62" s="8954">
        <v>24.95209876543073</v>
      </c>
      <c r="M62" s="8954">
        <v>28.065427551120116</v>
      </c>
      <c r="N62" s="8956">
        <v>16.95673733725134</v>
      </c>
      <c r="O62" s="8941"/>
      <c r="P62" s="8953">
        <v>33.504360937191656</v>
      </c>
      <c r="Q62" s="8954">
        <v>21.240142593090848</v>
      </c>
      <c r="R62" s="8954">
        <v>29.928775171771179</v>
      </c>
      <c r="S62" s="8954">
        <v>37.430730201581817</v>
      </c>
      <c r="T62" s="8954">
        <v>26.81705588608531</v>
      </c>
      <c r="U62" s="8955"/>
      <c r="V62" s="8954">
        <v>32.480872021706645</v>
      </c>
      <c r="W62" s="8954">
        <v>18.090641811813988</v>
      </c>
      <c r="X62" s="8954">
        <v>28.497616250491113</v>
      </c>
      <c r="Y62" s="8954">
        <v>35.373864190579958</v>
      </c>
      <c r="Z62" s="8956">
        <v>22.661459305242214</v>
      </c>
      <c r="AA62" s="8941"/>
      <c r="AB62" s="8957">
        <v>6.2195598438372315</v>
      </c>
      <c r="AC62" s="8954">
        <v>5.8187498121288534</v>
      </c>
      <c r="AD62" s="8954">
        <v>6.3572094909231103</v>
      </c>
      <c r="AE62" s="8954">
        <v>1.4568962468878672</v>
      </c>
      <c r="AF62" s="8956">
        <v>1.3198240912605734</v>
      </c>
      <c r="AG62" s="8941"/>
      <c r="AH62" s="8941"/>
      <c r="AI62" s="8941"/>
      <c r="AJ62" s="8941"/>
      <c r="AK62" s="8941"/>
      <c r="AL62" s="8941"/>
      <c r="AM62" s="8941"/>
      <c r="AN62" s="8941"/>
      <c r="AO62" s="8941"/>
      <c r="AP62" s="8941"/>
      <c r="AQ62" s="8941"/>
      <c r="AR62" s="8941"/>
      <c r="AS62" s="8941"/>
      <c r="AT62" s="8941"/>
      <c r="AU62" s="8941"/>
      <c r="AV62" s="8941"/>
      <c r="AW62" s="8941"/>
      <c r="AX62" s="8941"/>
      <c r="AY62" s="8941"/>
      <c r="AZ62" s="8941"/>
      <c r="BA62" s="8941"/>
      <c r="BB62" s="8941"/>
      <c r="BC62" s="8941"/>
      <c r="BD62" s="8941"/>
      <c r="BE62" s="8941"/>
      <c r="BF62" s="8941"/>
      <c r="BG62" s="8941"/>
      <c r="BH62" s="8941"/>
      <c r="BI62" s="8941"/>
      <c r="BJ62" s="8941"/>
      <c r="BK62" s="8941"/>
      <c r="BL62" s="8941"/>
      <c r="BM62" s="8941"/>
      <c r="BN62" s="8941"/>
      <c r="BO62" s="8941"/>
      <c r="BP62" s="8941"/>
      <c r="BQ62" s="8941"/>
      <c r="BR62" s="8941"/>
      <c r="BS62" s="8941"/>
      <c r="BT62" s="8941"/>
      <c r="BU62" s="8941"/>
      <c r="BV62" s="8941"/>
      <c r="BW62" s="8941"/>
      <c r="BX62" s="8941"/>
      <c r="BY62" s="8941"/>
      <c r="BZ62" s="8941"/>
      <c r="CA62" s="8941"/>
      <c r="CB62" s="8941"/>
      <c r="CC62" s="8941"/>
      <c r="CD62" s="8941"/>
      <c r="CE62" s="8941"/>
      <c r="CF62" s="8941"/>
      <c r="CG62" s="8941"/>
      <c r="CH62" s="8941"/>
      <c r="CI62" s="8941"/>
      <c r="CJ62" s="8941"/>
      <c r="CK62" s="8941"/>
    </row>
    <row r="63" spans="1:89" s="8942" customFormat="1" ht="21.5" x14ac:dyDescent="0.9">
      <c r="A63" s="8941"/>
      <c r="B63" s="8941"/>
      <c r="C63" s="8941"/>
      <c r="D63" s="8941"/>
      <c r="E63" s="8941"/>
      <c r="F63" s="8941"/>
      <c r="G63" s="8941"/>
      <c r="H63" s="8941"/>
      <c r="I63" s="8941"/>
      <c r="J63" s="8941"/>
      <c r="K63" s="8941"/>
      <c r="L63" s="8941"/>
      <c r="M63" s="8941"/>
      <c r="N63" s="8941"/>
      <c r="O63" s="8941"/>
      <c r="P63" s="8941"/>
      <c r="Q63" s="8941"/>
      <c r="R63" s="8941"/>
      <c r="S63" s="8941"/>
      <c r="T63" s="8941"/>
      <c r="U63" s="8941"/>
      <c r="V63" s="8941"/>
      <c r="W63" s="8941"/>
      <c r="X63" s="8941"/>
      <c r="Y63" s="8941"/>
      <c r="Z63" s="8941"/>
      <c r="AA63" s="8941"/>
      <c r="AB63" s="8941"/>
      <c r="AC63" s="8941"/>
      <c r="AD63" s="8941"/>
      <c r="AE63" s="8941"/>
      <c r="AF63" s="8941"/>
      <c r="AG63" s="8941"/>
      <c r="AH63" s="8941"/>
      <c r="AI63" s="8941"/>
      <c r="AJ63" s="8941"/>
      <c r="AK63" s="8941"/>
      <c r="AL63" s="8941"/>
      <c r="AM63" s="8941"/>
      <c r="AN63" s="8941"/>
      <c r="AO63" s="8941"/>
      <c r="AP63" s="8941"/>
      <c r="AQ63" s="8941"/>
      <c r="AR63" s="8941"/>
      <c r="AS63" s="8941"/>
      <c r="AT63" s="8941"/>
      <c r="AU63" s="8941"/>
      <c r="AV63" s="8941"/>
      <c r="AW63" s="8941"/>
      <c r="AX63" s="8941"/>
      <c r="AY63" s="8941"/>
      <c r="AZ63" s="8941"/>
      <c r="BA63" s="8941"/>
      <c r="BB63" s="8941"/>
      <c r="BC63" s="8941"/>
      <c r="BD63" s="8941"/>
      <c r="BE63" s="8941"/>
      <c r="BF63" s="8941"/>
      <c r="BG63" s="8941"/>
      <c r="BH63" s="8941"/>
      <c r="BI63" s="8941"/>
      <c r="BJ63" s="8941"/>
      <c r="BK63" s="8941"/>
      <c r="BL63" s="8941"/>
      <c r="BM63" s="8941"/>
      <c r="BN63" s="8941"/>
      <c r="BO63" s="8941"/>
      <c r="BP63" s="8941"/>
      <c r="BQ63" s="8941"/>
      <c r="BR63" s="8941"/>
      <c r="BS63" s="8941"/>
      <c r="BT63" s="8941"/>
      <c r="BU63" s="8941"/>
      <c r="BV63" s="8941"/>
      <c r="BW63" s="8941"/>
      <c r="BX63" s="8941"/>
      <c r="BY63" s="8941"/>
      <c r="BZ63" s="8941"/>
      <c r="CA63" s="8941"/>
      <c r="CB63" s="8941"/>
      <c r="CC63" s="8941"/>
      <c r="CD63" s="8941"/>
      <c r="CE63" s="8941"/>
      <c r="CF63" s="8941"/>
      <c r="CG63" s="8941"/>
      <c r="CH63" s="8941"/>
      <c r="CI63" s="8941"/>
      <c r="CJ63" s="8941"/>
      <c r="CK63" s="8941"/>
    </row>
    <row r="64" spans="1:89" s="8942" customFormat="1" ht="22" thickBot="1" x14ac:dyDescent="0.95">
      <c r="A64" s="8941"/>
      <c r="B64" s="8958" t="s">
        <v>89</v>
      </c>
      <c r="C64" s="8955"/>
      <c r="D64" s="8955"/>
      <c r="E64" s="8955"/>
      <c r="F64" s="8955"/>
      <c r="G64" s="8955"/>
      <c r="H64" s="8955"/>
      <c r="I64" s="8941"/>
      <c r="J64" s="8955"/>
      <c r="K64" s="8955"/>
      <c r="L64" s="8955"/>
      <c r="M64" s="8955"/>
      <c r="N64" s="8955"/>
      <c r="O64" s="8941"/>
      <c r="P64" s="8941"/>
      <c r="Q64" s="8941"/>
      <c r="R64" s="8941"/>
      <c r="S64" s="8941"/>
      <c r="T64" s="8941"/>
      <c r="U64" s="8941"/>
      <c r="V64" s="8941"/>
      <c r="W64" s="8941"/>
      <c r="X64" s="8941"/>
      <c r="Y64" s="8941"/>
      <c r="Z64" s="8941"/>
      <c r="AA64" s="8941"/>
      <c r="AB64" s="8941"/>
      <c r="AC64" s="8941"/>
      <c r="AD64" s="8941"/>
      <c r="AE64" s="8941"/>
      <c r="AF64" s="8941"/>
      <c r="AG64" s="8941"/>
      <c r="AH64" s="8941"/>
      <c r="AI64" s="8941"/>
      <c r="AJ64" s="8941"/>
      <c r="AK64" s="8941"/>
      <c r="AL64" s="8941"/>
      <c r="AM64" s="8941"/>
      <c r="AN64" s="8941"/>
      <c r="AO64" s="8941"/>
      <c r="AP64" s="8941"/>
      <c r="AQ64" s="8941"/>
      <c r="AR64" s="8941"/>
      <c r="AS64" s="8941"/>
      <c r="AT64" s="8941"/>
      <c r="AU64" s="8941"/>
      <c r="AV64" s="8941"/>
      <c r="AW64" s="8941"/>
      <c r="AX64" s="8941"/>
      <c r="AY64" s="8941"/>
      <c r="AZ64" s="8941"/>
      <c r="BA64" s="8941"/>
      <c r="BB64" s="8941"/>
      <c r="BC64" s="8941"/>
      <c r="BD64" s="8941"/>
      <c r="BE64" s="8941"/>
      <c r="BF64" s="8941"/>
      <c r="BG64" s="8941"/>
      <c r="BH64" s="8941"/>
      <c r="BI64" s="8941"/>
      <c r="BJ64" s="8941"/>
      <c r="BK64" s="8941"/>
      <c r="BL64" s="8941"/>
      <c r="BM64" s="8941"/>
      <c r="BN64" s="8941"/>
      <c r="BO64" s="8941"/>
      <c r="BP64" s="8941"/>
      <c r="BQ64" s="8941"/>
      <c r="BR64" s="8941"/>
      <c r="BS64" s="8941"/>
      <c r="BT64" s="8941"/>
      <c r="BU64" s="8941"/>
      <c r="BV64" s="8941"/>
      <c r="BW64" s="8941"/>
      <c r="BX64" s="8941"/>
      <c r="BY64" s="8941"/>
      <c r="BZ64" s="8941"/>
      <c r="CA64" s="8941"/>
      <c r="CB64" s="8941"/>
      <c r="CC64" s="8941"/>
      <c r="CD64" s="8941"/>
      <c r="CE64" s="8941"/>
      <c r="CF64" s="8941"/>
      <c r="CG64" s="8941"/>
      <c r="CH64" s="8941"/>
      <c r="CI64" s="8941"/>
      <c r="CJ64" s="8941"/>
      <c r="CK64" s="8941"/>
    </row>
    <row r="65" spans="1:89" s="8942" customFormat="1" ht="21.5" x14ac:dyDescent="0.9">
      <c r="A65" s="8941"/>
      <c r="B65" s="8959" t="s">
        <v>90</v>
      </c>
      <c r="C65" s="8960"/>
      <c r="D65" s="8960">
        <v>49</v>
      </c>
      <c r="E65" s="8960">
        <v>48</v>
      </c>
      <c r="F65" s="8960">
        <v>53</v>
      </c>
      <c r="G65" s="8960">
        <v>53</v>
      </c>
      <c r="H65" s="8961">
        <v>50</v>
      </c>
      <c r="I65" s="8941"/>
      <c r="J65" s="8962">
        <v>50</v>
      </c>
      <c r="K65" s="8960">
        <v>49</v>
      </c>
      <c r="L65" s="8960">
        <v>56</v>
      </c>
      <c r="M65" s="8960">
        <v>58</v>
      </c>
      <c r="N65" s="8961">
        <v>53</v>
      </c>
      <c r="O65" s="8941"/>
      <c r="P65" s="8962">
        <v>42</v>
      </c>
      <c r="Q65" s="8960">
        <v>40</v>
      </c>
      <c r="R65" s="8960">
        <v>41</v>
      </c>
      <c r="S65" s="8960">
        <v>40</v>
      </c>
      <c r="T65" s="8961">
        <v>38</v>
      </c>
      <c r="U65" s="8941"/>
      <c r="V65" s="8962">
        <v>42</v>
      </c>
      <c r="W65" s="8960">
        <v>40</v>
      </c>
      <c r="X65" s="8960">
        <v>41</v>
      </c>
      <c r="Y65" s="8960">
        <v>40</v>
      </c>
      <c r="Z65" s="8961">
        <v>39</v>
      </c>
      <c r="AA65" s="8941"/>
      <c r="AB65" s="8962">
        <v>45</v>
      </c>
      <c r="AC65" s="8960">
        <v>45</v>
      </c>
      <c r="AD65" s="8960">
        <v>47</v>
      </c>
      <c r="AE65" s="8960">
        <v>47</v>
      </c>
      <c r="AF65" s="8960">
        <v>41</v>
      </c>
      <c r="AG65" s="8960"/>
      <c r="AH65" s="8963" t="s">
        <v>90</v>
      </c>
      <c r="AI65" s="8941"/>
      <c r="AJ65" s="8941"/>
      <c r="AK65" s="8941"/>
      <c r="AL65" s="8941"/>
      <c r="AM65" s="8941"/>
      <c r="AN65" s="8941"/>
      <c r="AO65" s="8941"/>
      <c r="AP65" s="8941"/>
      <c r="AQ65" s="8941"/>
      <c r="AR65" s="8941"/>
      <c r="AS65" s="8941"/>
      <c r="AT65" s="8941"/>
      <c r="AU65" s="8941"/>
      <c r="AV65" s="8941"/>
      <c r="AW65" s="8941"/>
      <c r="AX65" s="8941"/>
      <c r="AY65" s="8941"/>
      <c r="AZ65" s="8941"/>
      <c r="BA65" s="8941"/>
      <c r="BB65" s="8941"/>
      <c r="BC65" s="8941"/>
      <c r="BD65" s="8941"/>
      <c r="BE65" s="8941"/>
      <c r="BF65" s="8941"/>
      <c r="BG65" s="8941"/>
      <c r="BH65" s="8941"/>
      <c r="BI65" s="8941"/>
      <c r="BJ65" s="8941"/>
      <c r="BK65" s="8941"/>
      <c r="BL65" s="8941"/>
      <c r="BM65" s="8941"/>
      <c r="BN65" s="8941"/>
      <c r="BO65" s="8941"/>
      <c r="BP65" s="8941"/>
      <c r="BQ65" s="8941"/>
      <c r="BR65" s="8941"/>
      <c r="BS65" s="8941"/>
      <c r="BT65" s="8941"/>
      <c r="BU65" s="8941"/>
      <c r="BV65" s="8941"/>
      <c r="BW65" s="8941"/>
      <c r="BX65" s="8941"/>
      <c r="BY65" s="8941"/>
      <c r="BZ65" s="8941"/>
      <c r="CA65" s="8941"/>
      <c r="CB65" s="8941"/>
      <c r="CC65" s="8941"/>
      <c r="CD65" s="8941"/>
      <c r="CE65" s="8941"/>
      <c r="CF65" s="8941"/>
      <c r="CG65" s="8941"/>
      <c r="CH65" s="8941"/>
      <c r="CI65" s="8941"/>
      <c r="CJ65" s="8941"/>
      <c r="CK65" s="8941"/>
    </row>
    <row r="66" spans="1:89" s="8942" customFormat="1" ht="22" thickBot="1" x14ac:dyDescent="0.95">
      <c r="A66" s="8941"/>
      <c r="B66" s="8964" t="s">
        <v>91</v>
      </c>
      <c r="C66" s="8965"/>
      <c r="D66" s="8965">
        <v>19</v>
      </c>
      <c r="E66" s="8965">
        <v>18</v>
      </c>
      <c r="F66" s="8965">
        <v>28</v>
      </c>
      <c r="G66" s="8965">
        <v>25</v>
      </c>
      <c r="H66" s="8966">
        <v>20</v>
      </c>
      <c r="I66" s="8941"/>
      <c r="J66" s="8967">
        <v>9</v>
      </c>
      <c r="K66" s="8965">
        <v>9</v>
      </c>
      <c r="L66" s="8965">
        <v>13</v>
      </c>
      <c r="M66" s="8965">
        <v>16</v>
      </c>
      <c r="N66" s="8966">
        <v>11</v>
      </c>
      <c r="O66" s="8941"/>
      <c r="P66" s="8967">
        <v>34</v>
      </c>
      <c r="Q66" s="8965">
        <v>29</v>
      </c>
      <c r="R66" s="8965">
        <v>29</v>
      </c>
      <c r="S66" s="8965">
        <v>28</v>
      </c>
      <c r="T66" s="8966">
        <v>30</v>
      </c>
      <c r="U66" s="8941"/>
      <c r="V66" s="8967">
        <v>28</v>
      </c>
      <c r="W66" s="8965">
        <v>17</v>
      </c>
      <c r="X66" s="8965">
        <v>21</v>
      </c>
      <c r="Y66" s="8965">
        <v>20</v>
      </c>
      <c r="Z66" s="8966">
        <v>25</v>
      </c>
      <c r="AA66" s="8941"/>
      <c r="AB66" s="8967">
        <v>19</v>
      </c>
      <c r="AC66" s="8965">
        <v>18</v>
      </c>
      <c r="AD66" s="8965">
        <v>25</v>
      </c>
      <c r="AE66" s="8965">
        <v>18</v>
      </c>
      <c r="AF66" s="8965">
        <v>16</v>
      </c>
      <c r="AG66" s="8965"/>
      <c r="AH66" s="8968" t="s">
        <v>92</v>
      </c>
      <c r="AI66" s="8941"/>
      <c r="AJ66" s="8941"/>
      <c r="AK66" s="8941"/>
      <c r="AL66" s="8941"/>
      <c r="AM66" s="8941"/>
      <c r="AN66" s="8941"/>
      <c r="AO66" s="8941"/>
      <c r="AP66" s="8941"/>
      <c r="AQ66" s="8941"/>
      <c r="AR66" s="8941"/>
      <c r="AS66" s="8941"/>
      <c r="AT66" s="8941"/>
      <c r="AU66" s="8941"/>
      <c r="AV66" s="8941"/>
      <c r="AW66" s="8941"/>
      <c r="AX66" s="8941"/>
      <c r="AY66" s="8941"/>
      <c r="AZ66" s="8941"/>
      <c r="BA66" s="8941"/>
      <c r="BB66" s="8941"/>
      <c r="BC66" s="8941"/>
      <c r="BD66" s="8941"/>
      <c r="BE66" s="8941"/>
      <c r="BF66" s="8941"/>
      <c r="BG66" s="8941"/>
      <c r="BH66" s="8941"/>
      <c r="BI66" s="8941"/>
      <c r="BJ66" s="8941"/>
      <c r="BK66" s="8941"/>
      <c r="BL66" s="8941"/>
      <c r="BM66" s="8941"/>
      <c r="BN66" s="8941"/>
      <c r="BO66" s="8941"/>
      <c r="BP66" s="8941"/>
      <c r="BQ66" s="8941"/>
      <c r="BR66" s="8941"/>
      <c r="BS66" s="8941"/>
      <c r="BT66" s="8941"/>
      <c r="BU66" s="8941"/>
      <c r="BV66" s="8941"/>
      <c r="BW66" s="8941"/>
      <c r="BX66" s="8941"/>
      <c r="BY66" s="8941"/>
      <c r="BZ66" s="8941"/>
      <c r="CA66" s="8941"/>
      <c r="CB66" s="8941"/>
      <c r="CC66" s="8941"/>
      <c r="CD66" s="8941"/>
      <c r="CE66" s="8941"/>
      <c r="CF66" s="8941"/>
      <c r="CG66" s="8941"/>
      <c r="CH66" s="8941"/>
      <c r="CI66" s="8941"/>
      <c r="CJ66" s="8941"/>
      <c r="CK66" s="8941"/>
    </row>
  </sheetData>
  <mergeCells count="7">
    <mergeCell ref="AB3:AF3"/>
    <mergeCell ref="D2:N2"/>
    <mergeCell ref="J3:N3"/>
    <mergeCell ref="D3:H3"/>
    <mergeCell ref="V3:Z3"/>
    <mergeCell ref="P3:T3"/>
    <mergeCell ref="P2:Z2"/>
  </mergeCells>
  <pageMargins left="0.7" right="0.7" top="0.75" bottom="0.75" header="0.3" footer="0.3"/>
  <pageSetup orientation="portrait" r:id="rId1"/>
  <headerFooter>
    <oddFooter>&amp;R&amp;1#&amp;"Calibri"&amp;12&amp;K000000Official Use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K120"/>
  <sheetViews>
    <sheetView zoomScale="88" zoomScaleNormal="80" workbookViewId="0">
      <pane xSplit="3" topLeftCell="Y1" activePane="topRight" state="frozen"/>
      <selection activeCell="A7" sqref="A7"/>
      <selection pane="topRight" activeCell="Y22" sqref="Y22"/>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 customWidth="1"/>
    <col min="22" max="22" width="21.6328125" customWidth="1"/>
    <col min="23" max="23" width="1.6328125" style="1" customWidth="1"/>
    <col min="24" max="24" width="19.453125" style="6" customWidth="1"/>
    <col min="25" max="25" width="20.81640625" style="6" customWidth="1"/>
    <col min="26" max="26" width="18.1796875" style="6" customWidth="1"/>
    <col min="27" max="27" width="8.6328125" style="7" customWidth="1"/>
    <col min="28" max="28" width="1.6328125" style="1" customWidth="1"/>
    <col min="29" max="29" width="19.81640625" customWidth="1"/>
    <col min="30" max="30" width="17.6328125" customWidth="1"/>
    <col min="31" max="31" width="20.453125" customWidth="1"/>
    <col min="32" max="32" width="1.6328125" style="1" customWidth="1"/>
    <col min="33" max="33" width="8.6328125" customWidth="1"/>
    <col min="34" max="34" width="1.6328125" style="1" customWidth="1"/>
    <col min="35" max="36" width="21.6328125" style="6" customWidth="1"/>
    <col min="37" max="37" width="18.1796875" style="6" customWidth="1"/>
    <col min="38" max="38" width="8.6328125" style="7" customWidth="1"/>
    <col min="39" max="39" width="1.6328125" style="1" customWidth="1"/>
    <col min="40" max="40" width="21.6328125" customWidth="1"/>
    <col min="41" max="41" width="18.6328125" customWidth="1"/>
    <col min="42" max="42" width="21.6328125" customWidth="1"/>
    <col min="43" max="43" width="1.6328125" style="1" customWidth="1"/>
    <col min="44" max="45" width="21.6328125" style="6" customWidth="1"/>
    <col min="46" max="46" width="18.1796875" style="6" customWidth="1"/>
    <col min="47" max="47" width="8.6328125" style="7" customWidth="1"/>
    <col min="48" max="48" width="1.6328125" style="1" customWidth="1"/>
    <col min="49" max="49" width="21.6328125" customWidth="1"/>
    <col min="50" max="50" width="18.6328125" customWidth="1"/>
    <col min="51" max="51" width="21.6328125" customWidth="1"/>
    <col min="52" max="52" width="9.453125" customWidth="1"/>
    <col min="53" max="53" width="55" customWidth="1"/>
    <col min="54" max="55" width="21.6328125" style="6" customWidth="1"/>
    <col min="56" max="56" width="18.1796875" style="6" customWidth="1"/>
    <col min="57" max="57" width="8.6328125" style="7" customWidth="1"/>
    <col min="58" max="58" width="1.6328125" style="1" customWidth="1"/>
    <col min="59" max="59" width="21.6328125" customWidth="1"/>
    <col min="60" max="60" width="18.6328125" customWidth="1"/>
    <col min="61" max="61" width="21.6328125" customWidth="1"/>
    <col min="62" max="62" width="9.453125" customWidth="1"/>
    <col min="63" max="63" width="14.81640625" bestFit="1" customWidth="1"/>
  </cols>
  <sheetData>
    <row r="1" spans="1:63" ht="31" x14ac:dyDescent="0.7">
      <c r="F1" s="9118" t="s">
        <v>585</v>
      </c>
      <c r="G1" s="9119"/>
      <c r="H1" s="9119"/>
      <c r="I1" s="9119"/>
      <c r="J1" s="9119"/>
      <c r="K1" s="9119"/>
      <c r="L1" s="9119"/>
      <c r="M1" s="9120"/>
      <c r="O1" s="9121" t="s">
        <v>395</v>
      </c>
      <c r="P1" s="9122"/>
      <c r="Q1" s="9122"/>
      <c r="R1" s="9122"/>
      <c r="S1" s="9122"/>
      <c r="T1" s="9122"/>
      <c r="U1" s="9122"/>
      <c r="V1" s="9123"/>
      <c r="X1" s="9312" t="s">
        <v>396</v>
      </c>
      <c r="Y1" s="9313"/>
      <c r="Z1" s="9313"/>
      <c r="AA1" s="9313"/>
      <c r="AB1" s="9313"/>
      <c r="AC1" s="9313"/>
      <c r="AD1" s="9313"/>
      <c r="AE1" s="9317"/>
      <c r="AI1" s="9309" t="s">
        <v>826</v>
      </c>
      <c r="AJ1" s="9310"/>
      <c r="AK1" s="9310"/>
      <c r="AL1" s="9310"/>
      <c r="AM1" s="9310"/>
      <c r="AN1" s="9310"/>
      <c r="AO1" s="9310"/>
      <c r="AP1" s="9311"/>
      <c r="AR1" s="9409" t="s">
        <v>827</v>
      </c>
      <c r="AS1" s="9410"/>
      <c r="AT1" s="9410"/>
      <c r="AU1" s="9410"/>
      <c r="AV1" s="9410"/>
      <c r="AW1" s="9410"/>
      <c r="AX1" s="9410"/>
      <c r="AY1" s="9410"/>
      <c r="AZ1" s="9410"/>
      <c r="BB1" s="9412" t="s">
        <v>828</v>
      </c>
      <c r="BC1" s="9413"/>
      <c r="BD1" s="9413"/>
      <c r="BE1" s="9413"/>
      <c r="BF1" s="9413"/>
      <c r="BG1" s="9413"/>
      <c r="BH1" s="9413"/>
      <c r="BI1" s="9413"/>
      <c r="BJ1" s="9413"/>
    </row>
    <row r="2" spans="1:63" ht="21" x14ac:dyDescent="0.5">
      <c r="B2" s="1" t="s">
        <v>9</v>
      </c>
      <c r="C2" s="4" t="s">
        <v>45</v>
      </c>
      <c r="H2"/>
      <c r="L2" t="s">
        <v>2941</v>
      </c>
    </row>
    <row r="4" spans="1:63"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G4" s="9180" t="s">
        <v>404</v>
      </c>
      <c r="AI4" s="9130" t="s">
        <v>403</v>
      </c>
      <c r="AJ4" s="9131"/>
      <c r="AK4" s="9131"/>
      <c r="AL4" s="9132"/>
      <c r="AN4" s="9130" t="s">
        <v>402</v>
      </c>
      <c r="AO4" s="9131"/>
      <c r="AP4" s="9132"/>
      <c r="AR4" s="9130" t="s">
        <v>403</v>
      </c>
      <c r="AS4" s="9131"/>
      <c r="AT4" s="9131"/>
      <c r="AU4" s="9132"/>
      <c r="AW4" s="9198" t="s">
        <v>402</v>
      </c>
      <c r="AX4" s="9199"/>
      <c r="AY4" s="9199"/>
      <c r="AZ4" s="9200"/>
      <c r="BA4" s="9180" t="s">
        <v>404</v>
      </c>
      <c r="BB4" s="9130" t="s">
        <v>403</v>
      </c>
      <c r="BC4" s="9131"/>
      <c r="BD4" s="9131"/>
      <c r="BE4" s="9132"/>
      <c r="BG4" s="9198" t="s">
        <v>402</v>
      </c>
      <c r="BH4" s="9199"/>
      <c r="BI4" s="9199"/>
      <c r="BJ4" s="9200"/>
    </row>
    <row r="5" spans="1:63" x14ac:dyDescent="0.35">
      <c r="B5" s="1" t="s">
        <v>406</v>
      </c>
      <c r="C5" s="11">
        <v>2002</v>
      </c>
      <c r="F5" s="8324">
        <v>2011</v>
      </c>
      <c r="G5" s="12"/>
      <c r="H5" s="9138">
        <v>2014</v>
      </c>
      <c r="I5" s="9139"/>
      <c r="J5" s="9140"/>
      <c r="K5" s="12"/>
      <c r="L5" s="9138">
        <v>2015</v>
      </c>
      <c r="M5" s="9140"/>
      <c r="O5" s="9138">
        <v>2015</v>
      </c>
      <c r="P5" s="9139"/>
      <c r="Q5" s="9139"/>
      <c r="R5" s="9140"/>
      <c r="S5" s="12"/>
      <c r="T5" s="9138">
        <v>2016</v>
      </c>
      <c r="U5" s="9139"/>
      <c r="V5" s="9140"/>
      <c r="X5" s="9138">
        <v>2016</v>
      </c>
      <c r="Y5" s="9139"/>
      <c r="Z5" s="9139"/>
      <c r="AA5" s="9140"/>
      <c r="AB5" s="12"/>
      <c r="AC5" s="9138">
        <v>2017</v>
      </c>
      <c r="AD5" s="9139"/>
      <c r="AE5" s="9140"/>
      <c r="AG5" s="9181"/>
      <c r="AI5" s="9138">
        <v>2017</v>
      </c>
      <c r="AJ5" s="9139"/>
      <c r="AK5" s="9139"/>
      <c r="AL5" s="9140"/>
      <c r="AM5" s="12"/>
      <c r="AN5" s="9138">
        <v>2018</v>
      </c>
      <c r="AO5" s="9139"/>
      <c r="AP5" s="9140"/>
      <c r="AR5" s="9138">
        <v>2018</v>
      </c>
      <c r="AS5" s="9139"/>
      <c r="AT5" s="9139"/>
      <c r="AU5" s="9140"/>
      <c r="AV5" s="12"/>
      <c r="AW5" s="9201">
        <v>2019</v>
      </c>
      <c r="AX5" s="9202"/>
      <c r="AY5" s="9202"/>
      <c r="AZ5" s="9203"/>
      <c r="BA5" s="9181"/>
      <c r="BB5" s="9138">
        <v>2019</v>
      </c>
      <c r="BC5" s="9139"/>
      <c r="BD5" s="9139"/>
      <c r="BE5" s="9140"/>
      <c r="BF5" s="12"/>
      <c r="BG5" s="9201">
        <v>2020</v>
      </c>
      <c r="BH5" s="9202"/>
      <c r="BI5" s="9202"/>
      <c r="BJ5" s="9203"/>
    </row>
    <row r="6" spans="1:63" x14ac:dyDescent="0.35">
      <c r="C6"/>
      <c r="F6" s="6"/>
      <c r="L6" s="14"/>
      <c r="T6" s="14"/>
      <c r="U6" s="14"/>
      <c r="AC6" s="14"/>
      <c r="AD6" s="14"/>
      <c r="AG6" s="6"/>
      <c r="AN6" s="14"/>
      <c r="AO6" s="14"/>
      <c r="AW6" s="14"/>
      <c r="AX6" s="14"/>
      <c r="BA6" s="6"/>
      <c r="BG6" s="14"/>
      <c r="BH6" s="14"/>
    </row>
    <row r="7" spans="1:63" ht="12.75" customHeight="1" x14ac:dyDescent="0.35">
      <c r="B7" s="1" t="s">
        <v>101</v>
      </c>
      <c r="C7" s="15" t="s">
        <v>2942</v>
      </c>
      <c r="D7" s="2" t="s">
        <v>417</v>
      </c>
      <c r="F7" s="8322" t="str">
        <f>C7</f>
        <v>Lempira</v>
      </c>
      <c r="H7" s="9173" t="str">
        <f>C7</f>
        <v>Lempira</v>
      </c>
      <c r="I7" s="9173"/>
      <c r="J7" s="9147" t="s">
        <v>419</v>
      </c>
      <c r="L7" s="9149" t="str">
        <f>H7</f>
        <v>Lempira</v>
      </c>
      <c r="M7" s="9151"/>
      <c r="O7" s="9149" t="str">
        <f>L7</f>
        <v>Lempira</v>
      </c>
      <c r="P7" s="9151"/>
      <c r="Q7" s="16"/>
      <c r="R7" s="9147" t="s">
        <v>419</v>
      </c>
      <c r="T7" s="9149" t="s">
        <v>2942</v>
      </c>
      <c r="U7" s="9150"/>
      <c r="V7" s="9151"/>
      <c r="X7" s="9149" t="s">
        <v>2942</v>
      </c>
      <c r="Y7" s="9151"/>
      <c r="Z7" s="16"/>
      <c r="AA7" s="9147" t="s">
        <v>419</v>
      </c>
      <c r="AC7" s="9149" t="s">
        <v>2942</v>
      </c>
      <c r="AD7" s="9150"/>
      <c r="AE7" s="9151"/>
      <c r="AG7" s="18"/>
      <c r="AI7" s="9149" t="s">
        <v>2942</v>
      </c>
      <c r="AJ7" s="9151"/>
      <c r="AK7" s="16"/>
      <c r="AL7" s="9147" t="s">
        <v>419</v>
      </c>
      <c r="AN7" s="9149" t="s">
        <v>2942</v>
      </c>
      <c r="AO7" s="9150"/>
      <c r="AP7" s="9151"/>
      <c r="AR7" s="9404" t="s">
        <v>2942</v>
      </c>
      <c r="AS7" s="9405"/>
      <c r="AT7" s="9406"/>
      <c r="AU7" s="9407" t="s">
        <v>419</v>
      </c>
      <c r="AW7" s="9149" t="s">
        <v>2942</v>
      </c>
      <c r="AX7" s="9150"/>
      <c r="AY7" s="9151"/>
      <c r="AZ7" s="9407" t="s">
        <v>860</v>
      </c>
      <c r="BA7" s="18"/>
      <c r="BB7" s="9404" t="s">
        <v>2942</v>
      </c>
      <c r="BC7" s="9405"/>
      <c r="BD7" s="9406"/>
      <c r="BE7" s="9407" t="s">
        <v>419</v>
      </c>
      <c r="BG7" s="9149" t="s">
        <v>2942</v>
      </c>
      <c r="BH7" s="9150"/>
      <c r="BI7" s="9151"/>
      <c r="BJ7" s="9407" t="s">
        <v>860</v>
      </c>
    </row>
    <row r="8" spans="1:63" x14ac:dyDescent="0.35">
      <c r="B8" s="1" t="s">
        <v>420</v>
      </c>
      <c r="C8" s="19" t="s">
        <v>589</v>
      </c>
      <c r="F8" s="20" t="s">
        <v>2943</v>
      </c>
      <c r="H8" s="20" t="s">
        <v>2944</v>
      </c>
      <c r="I8" s="20" t="s">
        <v>2943</v>
      </c>
      <c r="J8" s="9148"/>
      <c r="L8" s="20" t="s">
        <v>2944</v>
      </c>
      <c r="M8" s="20" t="s">
        <v>2943</v>
      </c>
      <c r="O8" s="20" t="s">
        <v>2944</v>
      </c>
      <c r="P8" s="20" t="s">
        <v>2943</v>
      </c>
      <c r="Q8" s="22" t="s">
        <v>425</v>
      </c>
      <c r="R8" s="9148"/>
      <c r="T8" s="20" t="s">
        <v>2944</v>
      </c>
      <c r="U8" s="22" t="s">
        <v>425</v>
      </c>
      <c r="V8" s="20" t="s">
        <v>2943</v>
      </c>
      <c r="X8" s="20" t="s">
        <v>2944</v>
      </c>
      <c r="Y8" s="20" t="s">
        <v>2943</v>
      </c>
      <c r="Z8" s="22" t="s">
        <v>425</v>
      </c>
      <c r="AA8" s="9148"/>
      <c r="AC8" s="20" t="s">
        <v>2944</v>
      </c>
      <c r="AD8" s="22" t="s">
        <v>425</v>
      </c>
      <c r="AE8" s="20" t="s">
        <v>2943</v>
      </c>
      <c r="AG8" s="24"/>
      <c r="AI8" s="20" t="s">
        <v>2944</v>
      </c>
      <c r="AJ8" s="20" t="s">
        <v>2943</v>
      </c>
      <c r="AK8" s="22" t="s">
        <v>425</v>
      </c>
      <c r="AL8" s="9148"/>
      <c r="AN8" s="20" t="s">
        <v>2944</v>
      </c>
      <c r="AO8" s="22" t="s">
        <v>425</v>
      </c>
      <c r="AP8" s="20" t="s">
        <v>2943</v>
      </c>
      <c r="AR8" s="20" t="s">
        <v>2944</v>
      </c>
      <c r="AS8" s="20" t="s">
        <v>2945</v>
      </c>
      <c r="AT8" s="22" t="s">
        <v>425</v>
      </c>
      <c r="AU8" s="9408"/>
      <c r="AW8" s="20" t="s">
        <v>2944</v>
      </c>
      <c r="AX8" s="22" t="s">
        <v>425</v>
      </c>
      <c r="AY8" s="20" t="s">
        <v>2945</v>
      </c>
      <c r="AZ8" s="9408"/>
      <c r="BA8" s="24"/>
      <c r="BB8" s="20" t="s">
        <v>2944</v>
      </c>
      <c r="BC8" s="20" t="s">
        <v>2945</v>
      </c>
      <c r="BD8" s="22" t="s">
        <v>425</v>
      </c>
      <c r="BE8" s="9408"/>
      <c r="BG8" s="20" t="s">
        <v>2944</v>
      </c>
      <c r="BH8" s="22" t="s">
        <v>425</v>
      </c>
      <c r="BI8" s="20" t="s">
        <v>2945</v>
      </c>
      <c r="BJ8" s="9408"/>
    </row>
    <row r="9" spans="1:63" x14ac:dyDescent="0.35">
      <c r="C9"/>
      <c r="E9"/>
      <c r="F9"/>
      <c r="G9"/>
      <c r="H9"/>
      <c r="I9"/>
      <c r="J9" s="25"/>
      <c r="K9"/>
      <c r="N9"/>
      <c r="O9"/>
      <c r="P9"/>
      <c r="Q9"/>
      <c r="R9" s="25"/>
      <c r="S9"/>
      <c r="W9"/>
      <c r="X9"/>
      <c r="Y9"/>
      <c r="Z9"/>
      <c r="AA9" s="25"/>
      <c r="AB9"/>
      <c r="AF9"/>
      <c r="AH9"/>
      <c r="AI9"/>
      <c r="AJ9"/>
      <c r="AK9"/>
      <c r="AL9" s="25"/>
      <c r="AM9"/>
      <c r="AQ9"/>
      <c r="AR9"/>
      <c r="AS9"/>
      <c r="AT9"/>
      <c r="AU9" s="25"/>
      <c r="AV9"/>
      <c r="BB9"/>
      <c r="BC9"/>
      <c r="BD9"/>
      <c r="BE9" s="25"/>
      <c r="BF9"/>
    </row>
    <row r="10" spans="1:63" ht="69.25" customHeight="1" x14ac:dyDescent="0.35">
      <c r="A10" s="9167" t="s">
        <v>426</v>
      </c>
      <c r="B10" s="27"/>
      <c r="C10" s="28" t="s">
        <v>427</v>
      </c>
      <c r="D10" s="580" t="s">
        <v>428</v>
      </c>
      <c r="E10" s="30"/>
      <c r="F10" s="31" t="s">
        <v>2946</v>
      </c>
      <c r="G10"/>
      <c r="H10" s="9155" t="s">
        <v>2947</v>
      </c>
      <c r="I10" s="9156"/>
      <c r="J10" s="32"/>
      <c r="K10" s="33"/>
      <c r="L10" s="9155" t="s">
        <v>2948</v>
      </c>
      <c r="M10" s="9156"/>
      <c r="N10" s="33"/>
      <c r="O10" s="9155" t="s">
        <v>2948</v>
      </c>
      <c r="P10" s="9156"/>
      <c r="Q10" s="3236" t="s">
        <v>2941</v>
      </c>
      <c r="R10" s="32"/>
      <c r="S10" s="33"/>
      <c r="T10" s="31" t="s">
        <v>2949</v>
      </c>
      <c r="U10" s="581" t="s">
        <v>2950</v>
      </c>
      <c r="V10" s="31" t="s">
        <v>2949</v>
      </c>
      <c r="W10" s="33"/>
      <c r="X10" s="9155" t="s">
        <v>2949</v>
      </c>
      <c r="Y10" s="9156"/>
      <c r="Z10" s="581" t="s">
        <v>2950</v>
      </c>
      <c r="AA10" s="32"/>
      <c r="AB10" s="33"/>
      <c r="AC10" s="31" t="s">
        <v>2951</v>
      </c>
      <c r="AD10" s="581" t="s">
        <v>2952</v>
      </c>
      <c r="AE10" s="31" t="s">
        <v>2951</v>
      </c>
      <c r="AF10" s="33"/>
      <c r="AG10" s="39"/>
      <c r="AH10" s="33"/>
      <c r="AI10" s="9155" t="str">
        <f>AC10</f>
        <v>Informe Tomo 1 IV trimestre 2017</v>
      </c>
      <c r="AJ10" s="9156"/>
      <c r="AK10" s="581" t="str">
        <f>AD10</f>
        <v>http://www.sefin.gob.hn/wp-content/uploads/2017/presupuesto/04-trim/principal.html</v>
      </c>
      <c r="AL10" s="32"/>
      <c r="AM10" s="33"/>
      <c r="AN10" s="31" t="s">
        <v>2953</v>
      </c>
      <c r="AO10" s="581" t="s">
        <v>2954</v>
      </c>
      <c r="AP10" s="727" t="s">
        <v>2955</v>
      </c>
      <c r="AQ10" s="33"/>
      <c r="AR10" s="9155" t="s">
        <v>2956</v>
      </c>
      <c r="AS10" s="9156"/>
      <c r="AT10" s="473" t="s">
        <v>2957</v>
      </c>
      <c r="AU10" s="32"/>
      <c r="AV10" s="33"/>
      <c r="AW10" s="31" t="s">
        <v>2958</v>
      </c>
      <c r="AX10" s="473" t="s">
        <v>2959</v>
      </c>
      <c r="AY10" s="31" t="s">
        <v>2958</v>
      </c>
      <c r="AZ10" s="32"/>
      <c r="BA10" s="39"/>
      <c r="BB10" s="9155" t="s">
        <v>2960</v>
      </c>
      <c r="BC10" s="9156"/>
      <c r="BD10" s="581" t="s">
        <v>2961</v>
      </c>
      <c r="BE10" s="32"/>
      <c r="BF10" s="33"/>
      <c r="BG10" s="31" t="s">
        <v>2962</v>
      </c>
      <c r="BH10" s="581"/>
      <c r="BI10" s="31" t="s">
        <v>2962</v>
      </c>
      <c r="BJ10" s="32"/>
    </row>
    <row r="11" spans="1:63" ht="12.75" customHeight="1" x14ac:dyDescent="0.35">
      <c r="A11" s="9168"/>
      <c r="B11" s="40" t="s">
        <v>451</v>
      </c>
      <c r="C11" s="41"/>
      <c r="D11" s="585"/>
      <c r="E11" s="43"/>
      <c r="F11" s="44"/>
      <c r="G11"/>
      <c r="H11" s="45"/>
      <c r="I11" s="46"/>
      <c r="J11" s="47"/>
      <c r="K11" s="48"/>
      <c r="L11" s="45" t="s">
        <v>2963</v>
      </c>
      <c r="M11" s="738"/>
      <c r="N11" s="43"/>
      <c r="O11" s="45"/>
      <c r="P11" s="46"/>
      <c r="Q11" s="474"/>
      <c r="R11" s="47"/>
      <c r="S11" s="48"/>
      <c r="T11" s="45"/>
      <c r="U11" s="474"/>
      <c r="V11" s="738"/>
      <c r="W11" s="43"/>
      <c r="X11" s="3237" t="s">
        <v>2944</v>
      </c>
      <c r="Y11" s="3238" t="s">
        <v>2964</v>
      </c>
      <c r="Z11" s="3239" t="s">
        <v>2965</v>
      </c>
      <c r="AA11" s="47"/>
      <c r="AB11" s="48"/>
      <c r="AC11" s="45"/>
      <c r="AD11" s="474" t="s">
        <v>2966</v>
      </c>
      <c r="AE11" s="738"/>
      <c r="AF11" s="43"/>
      <c r="AG11" s="18"/>
      <c r="AH11" s="43"/>
      <c r="AI11" s="3237" t="s">
        <v>2944</v>
      </c>
      <c r="AJ11" s="3238" t="s">
        <v>2964</v>
      </c>
      <c r="AK11" s="3239"/>
      <c r="AL11" s="47"/>
      <c r="AM11" s="48"/>
      <c r="AN11" s="45"/>
      <c r="AO11" s="474"/>
      <c r="AP11" s="738"/>
      <c r="AQ11" s="43"/>
      <c r="AR11" s="3237"/>
      <c r="AS11" s="3238"/>
      <c r="AT11" s="3239"/>
      <c r="AU11" s="1347"/>
      <c r="AV11" s="48"/>
      <c r="AW11" s="3237"/>
      <c r="AX11" s="474"/>
      <c r="AY11" s="47"/>
      <c r="AZ11" s="47"/>
      <c r="BA11" s="18"/>
      <c r="BB11" s="3237"/>
      <c r="BC11" s="3238"/>
      <c r="BD11" s="3239"/>
      <c r="BE11" s="1347"/>
      <c r="BF11" s="48"/>
      <c r="BG11" s="3237"/>
      <c r="BH11" s="474"/>
      <c r="BI11" s="47"/>
      <c r="BJ11" s="47"/>
    </row>
    <row r="12" spans="1:63" x14ac:dyDescent="0.35">
      <c r="A12" s="9168"/>
      <c r="B12" s="58"/>
      <c r="C12" s="4192" t="s">
        <v>2967</v>
      </c>
      <c r="D12" s="197">
        <v>1</v>
      </c>
      <c r="F12" s="61"/>
      <c r="G12"/>
      <c r="H12" s="62">
        <v>143688591726</v>
      </c>
      <c r="I12" s="63">
        <v>133885629660.8</v>
      </c>
      <c r="J12" s="64">
        <f>IF(H12=0,0,I12/H12)</f>
        <v>0.93177633695587136</v>
      </c>
      <c r="K12" s="65"/>
      <c r="L12" s="62">
        <v>149724293173</v>
      </c>
      <c r="M12" s="301">
        <v>137962125118.10001</v>
      </c>
      <c r="O12" s="71">
        <f>L12</f>
        <v>149724293173</v>
      </c>
      <c r="P12" s="74">
        <f t="shared" ref="P12:P14" si="0">M12</f>
        <v>137962125118.10001</v>
      </c>
      <c r="Q12" s="53" t="s">
        <v>2968</v>
      </c>
      <c r="R12" s="64"/>
      <c r="S12" s="65"/>
      <c r="T12" s="62">
        <v>164560201257</v>
      </c>
      <c r="U12" s="53"/>
      <c r="V12" s="301">
        <v>159948182990</v>
      </c>
      <c r="X12" s="71">
        <v>164560201257</v>
      </c>
      <c r="Y12" s="74">
        <v>159948182990</v>
      </c>
      <c r="Z12" s="53" t="s">
        <v>2969</v>
      </c>
      <c r="AA12" s="64"/>
      <c r="AB12" s="65"/>
      <c r="AC12" s="62">
        <v>179574461374</v>
      </c>
      <c r="AD12" s="53" t="s">
        <v>2969</v>
      </c>
      <c r="AE12" s="301">
        <v>167363087756</v>
      </c>
      <c r="AG12" s="26" t="s">
        <v>2970</v>
      </c>
      <c r="AI12" s="71">
        <f>AC12</f>
        <v>179574461374</v>
      </c>
      <c r="AJ12" s="74">
        <f>AE12</f>
        <v>167363087756</v>
      </c>
      <c r="AK12" s="53"/>
      <c r="AL12" s="64"/>
      <c r="AM12" s="65"/>
      <c r="AN12" s="3240">
        <f>110704347832+83240507574</f>
        <v>193944855406</v>
      </c>
      <c r="AO12" s="53" t="s">
        <v>2971</v>
      </c>
      <c r="AP12" s="301">
        <f>109068318808+72486986395</f>
        <v>181555305203</v>
      </c>
      <c r="AR12" s="200">
        <v>193944855406</v>
      </c>
      <c r="AS12" s="115">
        <v>181555305205</v>
      </c>
      <c r="AT12" s="57" t="s">
        <v>2972</v>
      </c>
      <c r="AU12" s="3333">
        <f>AS12/AR12</f>
        <v>0.93611818073202313</v>
      </c>
      <c r="AV12" s="65"/>
      <c r="AW12" s="200">
        <v>201793493610</v>
      </c>
      <c r="AX12" s="53" t="s">
        <v>1826</v>
      </c>
      <c r="AY12" s="273">
        <v>189149350406</v>
      </c>
      <c r="AZ12" s="476">
        <f>AY12/AW12</f>
        <v>0.93734117499131586</v>
      </c>
      <c r="BA12" s="6906"/>
      <c r="BB12" s="200">
        <v>201793493610</v>
      </c>
      <c r="BC12" s="115">
        <v>189149350406</v>
      </c>
      <c r="BD12" s="57" t="s">
        <v>2973</v>
      </c>
      <c r="BE12" s="329">
        <f>BC12/BB12</f>
        <v>0.93734117499131586</v>
      </c>
      <c r="BF12" s="65"/>
      <c r="BG12" s="200">
        <v>216647067614</v>
      </c>
      <c r="BH12" s="53"/>
      <c r="BI12" s="273">
        <v>157134084924</v>
      </c>
      <c r="BJ12" s="64">
        <f>BI12/BG12</f>
        <v>0.72529984667951164</v>
      </c>
      <c r="BK12" s="254"/>
    </row>
    <row r="13" spans="1:63" x14ac:dyDescent="0.35">
      <c r="A13" s="9168"/>
      <c r="B13" s="75"/>
      <c r="C13" s="4197" t="s">
        <v>2974</v>
      </c>
      <c r="D13" s="197"/>
      <c r="F13" s="77"/>
      <c r="G13"/>
      <c r="H13" s="3241"/>
      <c r="I13" s="3242">
        <v>12039424685.4</v>
      </c>
      <c r="J13" s="73"/>
      <c r="K13" s="80"/>
      <c r="L13" s="3241">
        <v>12525671567</v>
      </c>
      <c r="M13" s="3243">
        <v>12343109947.700001</v>
      </c>
      <c r="O13" s="71">
        <f t="shared" ref="O13:O14" si="1">L13</f>
        <v>12525671567</v>
      </c>
      <c r="P13" s="84">
        <f t="shared" si="0"/>
        <v>12343109947.700001</v>
      </c>
      <c r="Q13" s="53" t="s">
        <v>2968</v>
      </c>
      <c r="R13" s="73"/>
      <c r="S13" s="80"/>
      <c r="T13" s="78">
        <v>14318216654</v>
      </c>
      <c r="U13" s="53"/>
      <c r="V13" s="759">
        <v>14283979442.6</v>
      </c>
      <c r="X13" s="71">
        <v>14318216654</v>
      </c>
      <c r="Y13" s="84">
        <v>14283979442.6</v>
      </c>
      <c r="Z13" s="53" t="s">
        <v>2975</v>
      </c>
      <c r="AA13" s="73"/>
      <c r="AB13" s="80"/>
      <c r="AC13" s="78">
        <v>16530713119</v>
      </c>
      <c r="AD13" s="53" t="s">
        <v>2976</v>
      </c>
      <c r="AE13" s="759">
        <v>16326230322.1</v>
      </c>
      <c r="AG13" s="26"/>
      <c r="AI13" s="71">
        <f>AC13</f>
        <v>16530713119</v>
      </c>
      <c r="AJ13" s="84">
        <f>AE13</f>
        <v>16326230322.1</v>
      </c>
      <c r="AK13" s="53"/>
      <c r="AL13" s="73"/>
      <c r="AM13" s="80"/>
      <c r="AN13" s="3244"/>
      <c r="AO13" s="53"/>
      <c r="AP13" s="759"/>
      <c r="AR13" s="200"/>
      <c r="AS13" s="115"/>
      <c r="AT13" s="57"/>
      <c r="AU13" s="6907"/>
      <c r="AV13" s="80"/>
      <c r="AW13" s="200"/>
      <c r="AX13" s="53"/>
      <c r="AY13" s="273"/>
      <c r="AZ13" s="476"/>
      <c r="BA13" s="26"/>
      <c r="BB13" s="200"/>
      <c r="BC13" s="115"/>
      <c r="BD13" s="57"/>
      <c r="BE13" s="6907"/>
      <c r="BF13" s="80"/>
      <c r="BG13" s="200"/>
      <c r="BH13" s="53"/>
      <c r="BI13" s="273"/>
      <c r="BJ13" s="64"/>
    </row>
    <row r="14" spans="1:63" x14ac:dyDescent="0.35">
      <c r="A14" s="9168"/>
      <c r="B14" s="58"/>
      <c r="C14" s="4192" t="s">
        <v>2977</v>
      </c>
      <c r="D14" s="197"/>
      <c r="F14" s="61"/>
      <c r="G14"/>
      <c r="H14" s="62"/>
      <c r="I14" s="3245">
        <v>15219369559.6</v>
      </c>
      <c r="J14" s="64"/>
      <c r="K14" s="65"/>
      <c r="L14" s="3246">
        <v>16420019720</v>
      </c>
      <c r="M14" s="3247">
        <v>16519088399</v>
      </c>
      <c r="O14" s="71">
        <f t="shared" si="1"/>
        <v>16420019720</v>
      </c>
      <c r="P14" s="74">
        <f t="shared" si="0"/>
        <v>16519088399</v>
      </c>
      <c r="Q14" s="53" t="s">
        <v>2978</v>
      </c>
      <c r="R14" s="64"/>
      <c r="S14" s="65"/>
      <c r="T14" s="62">
        <v>28271927907</v>
      </c>
      <c r="U14" s="53"/>
      <c r="V14" s="301">
        <v>25180381840.5</v>
      </c>
      <c r="X14" s="71">
        <v>28271927907</v>
      </c>
      <c r="Y14" s="74">
        <v>25180381840.5</v>
      </c>
      <c r="Z14" s="53" t="s">
        <v>2979</v>
      </c>
      <c r="AA14" s="64"/>
      <c r="AB14" s="65"/>
      <c r="AC14" s="62">
        <v>26798090687</v>
      </c>
      <c r="AD14" s="53" t="s">
        <v>2979</v>
      </c>
      <c r="AE14" s="301">
        <v>23639301740</v>
      </c>
      <c r="AG14" s="26"/>
      <c r="AI14" s="71">
        <f>AC14</f>
        <v>26798090687</v>
      </c>
      <c r="AJ14" s="74">
        <f>AE14</f>
        <v>23639301740</v>
      </c>
      <c r="AK14" s="53"/>
      <c r="AL14" s="64"/>
      <c r="AM14" s="65"/>
      <c r="AN14" s="3240">
        <f>4565865000+22056098452</f>
        <v>26621963452</v>
      </c>
      <c r="AO14" s="53" t="s">
        <v>2971</v>
      </c>
      <c r="AP14" s="301">
        <f>4598589059+22044504180</f>
        <v>26643093239</v>
      </c>
      <c r="AR14" s="200">
        <v>26621963452</v>
      </c>
      <c r="AS14" s="115">
        <v>26643093236</v>
      </c>
      <c r="AT14" s="57" t="s">
        <v>2972</v>
      </c>
      <c r="AU14" s="3333">
        <f>AS14/AR14</f>
        <v>1.000793697430999</v>
      </c>
      <c r="AV14" s="65"/>
      <c r="AW14" s="200">
        <v>28660106799</v>
      </c>
      <c r="AX14" s="53" t="s">
        <v>1826</v>
      </c>
      <c r="AY14" s="273">
        <v>28276469675</v>
      </c>
      <c r="AZ14" s="476">
        <f t="shared" ref="AZ14:AZ29" si="2">AY14/AW14</f>
        <v>0.9866142465312312</v>
      </c>
      <c r="BA14" s="3248"/>
      <c r="BB14" s="200">
        <v>5365629948</v>
      </c>
      <c r="BC14" s="115">
        <v>4880368705</v>
      </c>
      <c r="BD14" s="57"/>
      <c r="BE14" s="329">
        <f>BC14/BB14</f>
        <v>0.90956117963728045</v>
      </c>
      <c r="BF14" s="65"/>
      <c r="BG14" s="200">
        <v>6991682814</v>
      </c>
      <c r="BH14" s="53"/>
      <c r="BI14" s="273">
        <v>5303086532</v>
      </c>
      <c r="BJ14" s="64">
        <f t="shared" ref="BJ14" si="3">BI14/BG14</f>
        <v>0.75848499897352462</v>
      </c>
      <c r="BK14" s="254"/>
    </row>
    <row r="15" spans="1:63" x14ac:dyDescent="0.35">
      <c r="A15" s="9168"/>
      <c r="B15" s="58"/>
      <c r="C15" s="4192" t="s">
        <v>2980</v>
      </c>
      <c r="D15" s="197"/>
      <c r="F15" s="61"/>
      <c r="G15"/>
      <c r="H15" s="62"/>
      <c r="I15" s="63">
        <v>4344060810.5</v>
      </c>
      <c r="J15" s="73">
        <f t="shared" ref="J15:J18" si="4">IF(H15=0,0,I15/H15)</f>
        <v>0</v>
      </c>
      <c r="K15" s="65"/>
      <c r="L15" s="62">
        <v>6492512230</v>
      </c>
      <c r="M15" s="301">
        <v>5198340843.8000002</v>
      </c>
      <c r="O15" s="71">
        <v>5274305405</v>
      </c>
      <c r="P15" s="74">
        <v>4679327494.8000002</v>
      </c>
      <c r="Q15" s="53" t="s">
        <v>2978</v>
      </c>
      <c r="R15" s="73"/>
      <c r="S15" s="65"/>
      <c r="T15" s="62">
        <v>5816142183</v>
      </c>
      <c r="U15" s="3249"/>
      <c r="V15" s="301">
        <v>5105452246.3000002</v>
      </c>
      <c r="X15" s="71">
        <v>5816142183</v>
      </c>
      <c r="Y15" s="74">
        <v>5105452246.3000002</v>
      </c>
      <c r="Z15" s="53" t="s">
        <v>2980</v>
      </c>
      <c r="AA15" s="73"/>
      <c r="AB15" s="65"/>
      <c r="AC15" s="62">
        <v>4696059911</v>
      </c>
      <c r="AD15" s="53" t="s">
        <v>2981</v>
      </c>
      <c r="AE15" s="301">
        <v>4133439601.5</v>
      </c>
      <c r="AG15" s="26"/>
      <c r="AI15" s="71">
        <f>AC15</f>
        <v>4696059911</v>
      </c>
      <c r="AJ15" s="74">
        <f>AE15</f>
        <v>4133439601.5</v>
      </c>
      <c r="AK15" s="53"/>
      <c r="AL15" s="73"/>
      <c r="AM15" s="65"/>
      <c r="AN15" s="3240"/>
      <c r="AO15" s="53"/>
      <c r="AP15" s="301"/>
      <c r="AR15" s="200"/>
      <c r="AS15" s="115"/>
      <c r="AT15" s="57"/>
      <c r="AU15" s="6907"/>
      <c r="AV15" s="65"/>
      <c r="AW15" s="200"/>
      <c r="AX15" s="53"/>
      <c r="AY15" s="273"/>
      <c r="AZ15" s="476"/>
      <c r="BA15" s="26"/>
      <c r="BB15" s="200">
        <f>126788832+4771859070</f>
        <v>4898647902</v>
      </c>
      <c r="BC15" s="115">
        <f>66411507+4507504722</f>
        <v>4573916229</v>
      </c>
      <c r="BD15" s="57"/>
      <c r="BE15" s="6907"/>
      <c r="BF15" s="65"/>
      <c r="BG15" s="200"/>
      <c r="BH15" s="53"/>
      <c r="BI15" s="273"/>
      <c r="BJ15" s="64"/>
    </row>
    <row r="16" spans="1:63" x14ac:dyDescent="0.35">
      <c r="A16" s="9168"/>
      <c r="B16" s="75"/>
      <c r="C16" s="4197" t="s">
        <v>465</v>
      </c>
      <c r="D16" s="197"/>
      <c r="F16" s="77"/>
      <c r="G16"/>
      <c r="H16" s="78"/>
      <c r="I16" s="79"/>
      <c r="J16" s="73"/>
      <c r="K16" s="80"/>
      <c r="L16" s="78"/>
      <c r="M16" s="759"/>
      <c r="O16" s="71"/>
      <c r="P16" s="84"/>
      <c r="Q16" s="3249"/>
      <c r="R16" s="73"/>
      <c r="S16" s="80"/>
      <c r="T16" s="78"/>
      <c r="U16" s="3249"/>
      <c r="V16" s="759"/>
      <c r="X16" s="71"/>
      <c r="Y16" s="84"/>
      <c r="Z16" s="3249"/>
      <c r="AA16" s="73"/>
      <c r="AB16" s="80"/>
      <c r="AC16" s="78"/>
      <c r="AD16" s="3249"/>
      <c r="AE16" s="759"/>
      <c r="AG16" s="26"/>
      <c r="AI16" s="71"/>
      <c r="AJ16" s="84"/>
      <c r="AK16" s="3249"/>
      <c r="AL16" s="73"/>
      <c r="AM16" s="80"/>
      <c r="AN16" s="3244"/>
      <c r="AO16" s="3249"/>
      <c r="AP16" s="759"/>
      <c r="AR16" s="200"/>
      <c r="AS16" s="115"/>
      <c r="AT16" s="254"/>
      <c r="AU16" s="6907"/>
      <c r="AV16" s="80"/>
      <c r="AW16" s="200"/>
      <c r="AX16" s="3249"/>
      <c r="AY16" s="273"/>
      <c r="AZ16" s="476"/>
      <c r="BA16" s="26"/>
      <c r="BB16" s="200"/>
      <c r="BC16" s="115"/>
      <c r="BD16" s="254"/>
      <c r="BE16" s="6907"/>
      <c r="BF16" s="80"/>
      <c r="BG16" s="200"/>
      <c r="BH16" s="3249"/>
      <c r="BI16" s="273"/>
      <c r="BJ16" s="64"/>
    </row>
    <row r="17" spans="1:63" x14ac:dyDescent="0.35">
      <c r="A17" s="9168"/>
      <c r="B17" s="75"/>
      <c r="C17" s="4197" t="s">
        <v>2982</v>
      </c>
      <c r="D17" s="197"/>
      <c r="F17" s="77"/>
      <c r="G17"/>
      <c r="H17" s="78"/>
      <c r="I17" s="3242">
        <v>34680245225.699997</v>
      </c>
      <c r="J17" s="73"/>
      <c r="K17" s="80"/>
      <c r="L17" s="3241">
        <v>34143933350</v>
      </c>
      <c r="M17" s="3243">
        <v>31807256776.799999</v>
      </c>
      <c r="O17" s="71">
        <f t="shared" ref="O17:P17" si="5">L17</f>
        <v>34143933350</v>
      </c>
      <c r="P17" s="84">
        <f t="shared" si="5"/>
        <v>31807256776.799999</v>
      </c>
      <c r="Q17" s="53" t="s">
        <v>2978</v>
      </c>
      <c r="R17" s="73"/>
      <c r="S17" s="80"/>
      <c r="T17" s="78">
        <v>57347697064</v>
      </c>
      <c r="U17" s="53"/>
      <c r="V17" s="759">
        <v>28405651606</v>
      </c>
      <c r="X17" s="71">
        <v>57347697064</v>
      </c>
      <c r="Y17" s="84">
        <v>28405651606</v>
      </c>
      <c r="Z17" s="53" t="s">
        <v>2983</v>
      </c>
      <c r="AA17" s="73"/>
      <c r="AB17" s="80"/>
      <c r="AC17" s="78">
        <v>34783789479</v>
      </c>
      <c r="AD17" s="53" t="s">
        <v>2983</v>
      </c>
      <c r="AE17" s="759">
        <v>45411428031</v>
      </c>
      <c r="AG17" s="26"/>
      <c r="AI17" s="71">
        <f>AC17</f>
        <v>34783789479</v>
      </c>
      <c r="AJ17" s="84">
        <f>AE17</f>
        <v>45411428031</v>
      </c>
      <c r="AK17" s="53"/>
      <c r="AL17" s="73"/>
      <c r="AM17" s="80"/>
      <c r="AN17" s="3244">
        <f>29049736277+8668089028</f>
        <v>37717825305</v>
      </c>
      <c r="AO17" s="53" t="s">
        <v>2971</v>
      </c>
      <c r="AP17" s="759">
        <f>29796513186+3986490053</f>
        <v>33783003239</v>
      </c>
      <c r="AR17" s="200">
        <v>37717825305</v>
      </c>
      <c r="AS17" s="115">
        <v>33783003238</v>
      </c>
      <c r="AT17" s="57" t="s">
        <v>2972</v>
      </c>
      <c r="AU17" s="3333">
        <f>AS17/AR17</f>
        <v>0.89567738767594363</v>
      </c>
      <c r="AV17" s="80"/>
      <c r="AW17" s="200">
        <v>41682837493</v>
      </c>
      <c r="AX17" s="53" t="s">
        <v>1826</v>
      </c>
      <c r="AY17" s="273">
        <v>45148089023</v>
      </c>
      <c r="AZ17" s="476">
        <f t="shared" si="2"/>
        <v>1.0831337725168526</v>
      </c>
      <c r="BA17" s="3248"/>
      <c r="BB17" s="200">
        <v>64977314344</v>
      </c>
      <c r="BC17" s="115">
        <v>68544189993</v>
      </c>
      <c r="BD17" s="57"/>
      <c r="BE17" s="329">
        <f>BC17/BB17</f>
        <v>1.0548941686034667</v>
      </c>
      <c r="BF17" s="80"/>
      <c r="BG17" s="200">
        <v>108379927093</v>
      </c>
      <c r="BH17" s="53"/>
      <c r="BI17" s="273">
        <v>123814311170</v>
      </c>
      <c r="BJ17" s="64">
        <f t="shared" ref="BJ17:BJ18" si="6">BI17/BG17</f>
        <v>1.1424099876331886</v>
      </c>
      <c r="BK17" s="254"/>
    </row>
    <row r="18" spans="1:63" x14ac:dyDescent="0.35">
      <c r="A18" s="9168"/>
      <c r="B18" s="85"/>
      <c r="C18" s="6538" t="s">
        <v>2984</v>
      </c>
      <c r="D18" s="209"/>
      <c r="F18" s="88"/>
      <c r="G18"/>
      <c r="H18" s="89">
        <f>SUM(H12:H15)</f>
        <v>143688591726</v>
      </c>
      <c r="I18" s="90">
        <f>I12+I14+I17</f>
        <v>183785244446.09998</v>
      </c>
      <c r="J18" s="91">
        <f t="shared" si="4"/>
        <v>1.2790524441673168</v>
      </c>
      <c r="K18" s="80"/>
      <c r="L18" s="89">
        <f>L12+L14+L17</f>
        <v>200288246243</v>
      </c>
      <c r="M18" s="309">
        <f>M12+M14+M17</f>
        <v>186288470293.89999</v>
      </c>
      <c r="O18" s="768">
        <f t="shared" ref="O18:P18" si="7">O12+O14+O17</f>
        <v>200288246243</v>
      </c>
      <c r="P18" s="99">
        <f t="shared" si="7"/>
        <v>186288470293.89999</v>
      </c>
      <c r="Q18" s="95"/>
      <c r="R18" s="91"/>
      <c r="S18" s="80"/>
      <c r="T18" s="1776">
        <f t="shared" ref="T18" si="8">T12+T14+T17</f>
        <v>250179826228</v>
      </c>
      <c r="U18" s="95"/>
      <c r="V18" s="1778">
        <f t="shared" ref="V18" si="9">V12+V14+V17</f>
        <v>213534216436.5</v>
      </c>
      <c r="X18" s="768">
        <f t="shared" ref="X18:Y18" si="10">X12+X14+X17</f>
        <v>250179826228</v>
      </c>
      <c r="Y18" s="99">
        <f t="shared" si="10"/>
        <v>213534216436.5</v>
      </c>
      <c r="Z18" s="95"/>
      <c r="AA18" s="91"/>
      <c r="AB18" s="80"/>
      <c r="AC18" s="1776">
        <f>AC12+AC14+AC17</f>
        <v>241156341540</v>
      </c>
      <c r="AD18" s="95"/>
      <c r="AE18" s="1778">
        <f t="shared" ref="AE18" si="11">AE12+AE14+AE17</f>
        <v>236413817527</v>
      </c>
      <c r="AG18" s="24"/>
      <c r="AI18" s="768">
        <f t="shared" ref="AI18:AJ18" si="12">AI12+AI14+AI17</f>
        <v>241156341540</v>
      </c>
      <c r="AJ18" s="99">
        <f t="shared" si="12"/>
        <v>236413817527</v>
      </c>
      <c r="AK18" s="95"/>
      <c r="AL18" s="91"/>
      <c r="AM18" s="80"/>
      <c r="AN18" s="1776">
        <f>AN12+AN14+AN17</f>
        <v>258284644163</v>
      </c>
      <c r="AO18" s="95" t="s">
        <v>2985</v>
      </c>
      <c r="AP18" s="1778">
        <f>AP12+AP14+AP17</f>
        <v>241981401681</v>
      </c>
      <c r="AR18" s="1783">
        <f>AR12+AR14+AR17</f>
        <v>258284644163</v>
      </c>
      <c r="AS18" s="4879">
        <f>AS12+AS14+AS17</f>
        <v>241981401679</v>
      </c>
      <c r="AT18" s="98"/>
      <c r="AU18" s="3334">
        <f>AS18/AR18</f>
        <v>0.93687877753308768</v>
      </c>
      <c r="AV18" s="80"/>
      <c r="AW18" s="1783">
        <f>AW12+AW14+AW17</f>
        <v>272136437902</v>
      </c>
      <c r="AX18" s="4605"/>
      <c r="AY18" s="1784">
        <f>AY12+AY14+AY17</f>
        <v>262573909104</v>
      </c>
      <c r="AZ18" s="476">
        <f t="shared" si="2"/>
        <v>0.96486127006099931</v>
      </c>
      <c r="BA18" s="24"/>
      <c r="BB18" s="1783">
        <f>BB12+BB14+BB17</f>
        <v>272136437902</v>
      </c>
      <c r="BC18" s="4879">
        <f>BC12+BC14+BC17</f>
        <v>262573909104</v>
      </c>
      <c r="BD18" s="98"/>
      <c r="BE18" s="344">
        <f>BC18/BB18</f>
        <v>0.96486127006099931</v>
      </c>
      <c r="BF18" s="80"/>
      <c r="BG18" s="1783">
        <f>BG12+BG14+BG17</f>
        <v>332018677521</v>
      </c>
      <c r="BH18" s="4605"/>
      <c r="BI18" s="1784">
        <f>BI12+BI14+BI17</f>
        <v>286251482626</v>
      </c>
      <c r="BJ18" s="64">
        <f t="shared" si="6"/>
        <v>0.86215475816987663</v>
      </c>
    </row>
    <row r="19" spans="1:63" x14ac:dyDescent="0.35">
      <c r="A19" s="9168"/>
      <c r="B19" s="100" t="s">
        <v>468</v>
      </c>
      <c r="C19" s="49"/>
      <c r="D19" s="585"/>
      <c r="E19" s="43"/>
      <c r="F19" s="101"/>
      <c r="G19"/>
      <c r="H19" s="102"/>
      <c r="I19" s="103"/>
      <c r="J19" s="104"/>
      <c r="K19" s="43"/>
      <c r="L19" s="102"/>
      <c r="M19" s="105"/>
      <c r="N19" s="43"/>
      <c r="O19" s="102"/>
      <c r="P19" s="106"/>
      <c r="Q19" s="106"/>
      <c r="R19" s="104"/>
      <c r="S19" s="43"/>
      <c r="T19" s="102"/>
      <c r="U19" s="103"/>
      <c r="V19" s="105"/>
      <c r="W19" s="43"/>
      <c r="X19" s="3250" t="s">
        <v>2944</v>
      </c>
      <c r="Y19" s="3251" t="s">
        <v>2943</v>
      </c>
      <c r="Z19" s="3252" t="s">
        <v>2986</v>
      </c>
      <c r="AA19" s="104"/>
      <c r="AB19" s="43"/>
      <c r="AC19" s="102"/>
      <c r="AD19" s="103" t="s">
        <v>2987</v>
      </c>
      <c r="AE19" s="105"/>
      <c r="AF19" s="43"/>
      <c r="AG19" s="18"/>
      <c r="AH19" s="43"/>
      <c r="AI19" s="3250" t="s">
        <v>2944</v>
      </c>
      <c r="AJ19" s="3251" t="s">
        <v>2943</v>
      </c>
      <c r="AK19" s="3253"/>
      <c r="AL19" s="104"/>
      <c r="AM19" s="43"/>
      <c r="AN19" s="102"/>
      <c r="AO19" s="103"/>
      <c r="AP19" s="105"/>
      <c r="AQ19" s="43"/>
      <c r="AR19" s="3250"/>
      <c r="AS19" s="3251"/>
      <c r="AT19" s="3253"/>
      <c r="AU19" s="6908"/>
      <c r="AV19" s="43"/>
      <c r="AW19" s="102"/>
      <c r="AX19" s="103"/>
      <c r="AY19" s="105"/>
      <c r="AZ19" s="3332"/>
      <c r="BA19" s="18"/>
      <c r="BB19" s="8535" t="s">
        <v>2944</v>
      </c>
      <c r="BC19" s="6847" t="s">
        <v>2988</v>
      </c>
      <c r="BD19" s="3253"/>
      <c r="BE19" s="6908"/>
      <c r="BF19" s="43"/>
      <c r="BG19" s="102" t="s">
        <v>2944</v>
      </c>
      <c r="BH19" s="103"/>
      <c r="BI19" s="105" t="s">
        <v>2988</v>
      </c>
      <c r="BJ19" s="319"/>
    </row>
    <row r="20" spans="1:63" x14ac:dyDescent="0.35">
      <c r="A20" s="9168"/>
      <c r="B20" s="6082"/>
      <c r="C20" s="110" t="s">
        <v>2989</v>
      </c>
      <c r="D20" s="197"/>
      <c r="F20" s="111"/>
      <c r="G20"/>
      <c r="H20" s="112">
        <f>134384866947.4-H22</f>
        <v>118966995591.39999</v>
      </c>
      <c r="I20" s="113">
        <f>124084929308.7-I22</f>
        <v>109659331707.7</v>
      </c>
      <c r="J20" s="64">
        <f t="shared" ref="J20:J24" si="13">IF(H20=0,0,I20/H20)</f>
        <v>0.92176263813816239</v>
      </c>
      <c r="L20" s="112">
        <f>138369287480.8-L22</f>
        <v>120524152748.89999</v>
      </c>
      <c r="M20" s="3254">
        <f>126024697489.4-M22</f>
        <v>109570452859.7</v>
      </c>
      <c r="O20" s="200">
        <f>L20</f>
        <v>120524152748.89999</v>
      </c>
      <c r="P20" s="115">
        <f t="shared" ref="P20:P23" si="14">M20</f>
        <v>109570452859.7</v>
      </c>
      <c r="Q20" s="53" t="s">
        <v>2990</v>
      </c>
      <c r="R20" s="64"/>
      <c r="T20" s="200">
        <f>153422942211-T22</f>
        <v>134326355993</v>
      </c>
      <c r="U20" s="53" t="s">
        <v>2991</v>
      </c>
      <c r="V20" s="273">
        <f>138387847969.2-V22</f>
        <v>120729568301.90001</v>
      </c>
      <c r="X20" s="200">
        <f>153422942211-X22</f>
        <v>134326355993</v>
      </c>
      <c r="Y20" s="115">
        <f>138387847969.2-Y22</f>
        <v>120729568301.90001</v>
      </c>
      <c r="Z20" s="53" t="s">
        <v>2992</v>
      </c>
      <c r="AA20" s="64"/>
      <c r="AC20" s="200">
        <f>161158150773-AC22</f>
        <v>139652997388</v>
      </c>
      <c r="AD20" s="53" t="s">
        <v>2992</v>
      </c>
      <c r="AE20" s="273">
        <f>146158183288-AE22</f>
        <v>126078487721</v>
      </c>
      <c r="AG20" s="26"/>
      <c r="AI20" s="200">
        <f>AC20</f>
        <v>139652997388</v>
      </c>
      <c r="AJ20" s="243">
        <f>AE20</f>
        <v>126078487721</v>
      </c>
      <c r="AK20" s="53"/>
      <c r="AL20" s="64"/>
      <c r="AN20" s="3255">
        <f>176119260597-AN22</f>
        <v>152395790278</v>
      </c>
      <c r="AO20" s="53" t="s">
        <v>2993</v>
      </c>
      <c r="AP20" s="3256">
        <f>163115549571-AP22</f>
        <v>140356110772</v>
      </c>
      <c r="AR20" s="200">
        <f>174974917262-AR22</f>
        <v>151537202847</v>
      </c>
      <c r="AS20" s="115">
        <f>162752914819-AS22</f>
        <v>139768108460</v>
      </c>
      <c r="AT20" s="57" t="s">
        <v>2994</v>
      </c>
      <c r="AU20" s="3333">
        <f>AS20/AR20</f>
        <v>0.92233528027514999</v>
      </c>
      <c r="AW20" s="200">
        <f>188354005848-AW22</f>
        <v>156817769123</v>
      </c>
      <c r="AX20" s="53" t="s">
        <v>889</v>
      </c>
      <c r="AY20" s="273">
        <f>174740236397-AY22</f>
        <v>147363977076</v>
      </c>
      <c r="AZ20" s="476">
        <f t="shared" si="2"/>
        <v>0.93971479061416241</v>
      </c>
      <c r="BA20" s="26"/>
      <c r="BB20" s="200">
        <f>181890672770-BB22</f>
        <v>156001913879</v>
      </c>
      <c r="BC20" s="115">
        <f>160137983877-BC22</f>
        <v>135639258946</v>
      </c>
      <c r="BD20" s="57" t="s">
        <v>2973</v>
      </c>
      <c r="BE20" s="329">
        <f>BC20/BB20</f>
        <v>0.86947176206572752</v>
      </c>
      <c r="BG20" s="200">
        <f>200960393936-BG22</f>
        <v>172872805622</v>
      </c>
      <c r="BH20" s="53"/>
      <c r="BI20" s="273">
        <f>163765396258-BI22</f>
        <v>139794107717</v>
      </c>
      <c r="BJ20" s="64">
        <f t="shared" ref="BJ20:BJ27" si="15">BI20/BG20</f>
        <v>0.80865297010722914</v>
      </c>
    </row>
    <row r="21" spans="1:63" x14ac:dyDescent="0.35">
      <c r="A21" s="9168"/>
      <c r="B21" s="6082"/>
      <c r="C21" s="1893" t="s">
        <v>2995</v>
      </c>
      <c r="D21" s="197"/>
      <c r="F21" s="122"/>
      <c r="G21"/>
      <c r="H21" s="114">
        <v>32064522704.599998</v>
      </c>
      <c r="I21" s="123">
        <v>25107068450.200001</v>
      </c>
      <c r="J21" s="64">
        <f t="shared" si="13"/>
        <v>0.78301706473235988</v>
      </c>
      <c r="L21" s="114">
        <v>28072020481.5</v>
      </c>
      <c r="M21" s="3257">
        <v>23775728081.099998</v>
      </c>
      <c r="O21" s="200">
        <f t="shared" ref="O21:O23" si="16">L21</f>
        <v>28072020481.5</v>
      </c>
      <c r="P21" s="115">
        <f t="shared" si="14"/>
        <v>23775728081.099998</v>
      </c>
      <c r="Q21" s="53" t="s">
        <v>2996</v>
      </c>
      <c r="R21" s="64"/>
      <c r="T21" s="200">
        <v>58073983167</v>
      </c>
      <c r="U21" s="53" t="s">
        <v>2997</v>
      </c>
      <c r="V21" s="273">
        <v>52169352675.300003</v>
      </c>
      <c r="X21" s="200">
        <v>58073983167</v>
      </c>
      <c r="Y21" s="115">
        <v>52169352675.300003</v>
      </c>
      <c r="Z21" s="53" t="s">
        <v>2998</v>
      </c>
      <c r="AA21" s="64"/>
      <c r="AC21" s="200">
        <v>27274402723</v>
      </c>
      <c r="AD21" s="53" t="s">
        <v>2998</v>
      </c>
      <c r="AE21" s="273">
        <v>22881651765</v>
      </c>
      <c r="AG21" s="26"/>
      <c r="AI21" s="200">
        <f>AC21</f>
        <v>27274402723</v>
      </c>
      <c r="AJ21" s="199">
        <f>AE21</f>
        <v>22881651765</v>
      </c>
      <c r="AK21" s="53"/>
      <c r="AL21" s="64"/>
      <c r="AN21" s="200">
        <v>24840316149</v>
      </c>
      <c r="AO21" s="53" t="s">
        <v>2993</v>
      </c>
      <c r="AP21" s="273">
        <v>19794383006</v>
      </c>
      <c r="AR21" s="200">
        <v>37029873911</v>
      </c>
      <c r="AS21" s="115">
        <v>30469061915</v>
      </c>
      <c r="AT21" s="57" t="s">
        <v>2994</v>
      </c>
      <c r="AU21" s="3333">
        <f t="shared" ref="AU21:AU29" si="17">AS21/AR21</f>
        <v>0.82282380945264133</v>
      </c>
      <c r="AW21" s="200">
        <v>21706926934</v>
      </c>
      <c r="AX21" s="53" t="s">
        <v>889</v>
      </c>
      <c r="AY21" s="273">
        <v>17919857587</v>
      </c>
      <c r="AZ21" s="476">
        <f t="shared" si="2"/>
        <v>0.8255363664089993</v>
      </c>
      <c r="BA21" s="26"/>
      <c r="BB21" s="200">
        <v>32072574333</v>
      </c>
      <c r="BC21" s="115">
        <v>25903344638</v>
      </c>
      <c r="BD21" s="57"/>
      <c r="BE21" s="329">
        <f t="shared" ref="BE21:BE27" si="18">BC21/BB21</f>
        <v>0.80764781676248609</v>
      </c>
      <c r="BG21" s="200">
        <v>33444603545</v>
      </c>
      <c r="BH21" s="53"/>
      <c r="BI21" s="273">
        <v>19995795357</v>
      </c>
      <c r="BJ21" s="64">
        <f t="shared" si="15"/>
        <v>0.59787808009431143</v>
      </c>
    </row>
    <row r="22" spans="1:63" x14ac:dyDescent="0.35">
      <c r="A22" s="9168"/>
      <c r="B22" s="6082"/>
      <c r="C22" s="1893" t="s">
        <v>2999</v>
      </c>
      <c r="D22" s="197"/>
      <c r="F22" s="122"/>
      <c r="G22"/>
      <c r="H22" s="114">
        <v>15417871356</v>
      </c>
      <c r="I22" s="123">
        <v>14425597601</v>
      </c>
      <c r="J22" s="64">
        <f>IF(H22=0,0,I22/H22)</f>
        <v>0.9356413260891655</v>
      </c>
      <c r="L22" s="114">
        <v>17845134731.900002</v>
      </c>
      <c r="M22" s="3257">
        <v>16454244629.700001</v>
      </c>
      <c r="O22" s="198">
        <f t="shared" si="16"/>
        <v>17845134731.900002</v>
      </c>
      <c r="P22" s="123">
        <f t="shared" si="14"/>
        <v>16454244629.700001</v>
      </c>
      <c r="Q22" s="53" t="s">
        <v>3000</v>
      </c>
      <c r="R22" s="64"/>
      <c r="T22" s="200">
        <v>19096586218</v>
      </c>
      <c r="U22" s="53" t="s">
        <v>3001</v>
      </c>
      <c r="V22" s="273">
        <v>17658279667.299999</v>
      </c>
      <c r="X22" s="198">
        <v>19096586218</v>
      </c>
      <c r="Y22" s="123">
        <v>17658279667.299999</v>
      </c>
      <c r="Z22" s="53" t="s">
        <v>3002</v>
      </c>
      <c r="AA22" s="64"/>
      <c r="AC22" s="200">
        <v>21505153385</v>
      </c>
      <c r="AD22" s="53" t="s">
        <v>3002</v>
      </c>
      <c r="AE22" s="273">
        <v>20079695567</v>
      </c>
      <c r="AG22" s="26"/>
      <c r="AI22" s="198">
        <f>AC22</f>
        <v>21505153385</v>
      </c>
      <c r="AJ22" s="123">
        <f>AE22</f>
        <v>20079695567</v>
      </c>
      <c r="AK22" s="53"/>
      <c r="AL22" s="64"/>
      <c r="AN22" s="3255">
        <v>23723470319</v>
      </c>
      <c r="AO22" s="53" t="s">
        <v>2993</v>
      </c>
      <c r="AP22" s="3258">
        <v>22759438799</v>
      </c>
      <c r="AR22" s="200">
        <v>23437714415</v>
      </c>
      <c r="AS22" s="115">
        <v>22984806359</v>
      </c>
      <c r="AT22" s="57" t="s">
        <v>2994</v>
      </c>
      <c r="AU22" s="3333">
        <f t="shared" si="17"/>
        <v>0.98067609972625391</v>
      </c>
      <c r="AW22" s="200">
        <v>31536236725</v>
      </c>
      <c r="AX22" s="53" t="s">
        <v>889</v>
      </c>
      <c r="AY22" s="273">
        <v>27376259321</v>
      </c>
      <c r="AZ22" s="476">
        <f t="shared" si="2"/>
        <v>0.86808897205219715</v>
      </c>
      <c r="BA22" s="26" t="s">
        <v>3003</v>
      </c>
      <c r="BB22" s="200">
        <v>25888758891</v>
      </c>
      <c r="BC22" s="115">
        <v>24498724931</v>
      </c>
      <c r="BD22" s="57"/>
      <c r="BE22" s="329">
        <f t="shared" si="18"/>
        <v>0.94630743150521468</v>
      </c>
      <c r="BG22" s="200">
        <v>28087588314</v>
      </c>
      <c r="BH22" s="53"/>
      <c r="BI22" s="273">
        <v>23971288541</v>
      </c>
      <c r="BJ22" s="64">
        <f t="shared" si="15"/>
        <v>0.85344773189557654</v>
      </c>
    </row>
    <row r="23" spans="1:63" x14ac:dyDescent="0.35">
      <c r="A23" s="9168"/>
      <c r="B23" s="6082"/>
      <c r="C23" s="1893" t="s">
        <v>3004</v>
      </c>
      <c r="D23" s="197"/>
      <c r="F23" s="122"/>
      <c r="H23" s="114"/>
      <c r="I23" s="3259">
        <v>32446553898.599998</v>
      </c>
      <c r="J23" s="64"/>
      <c r="L23" s="3260">
        <v>33677953137.599998</v>
      </c>
      <c r="M23" s="3261">
        <v>31677500805.200001</v>
      </c>
      <c r="O23" s="198">
        <f t="shared" si="16"/>
        <v>33677953137.599998</v>
      </c>
      <c r="P23" s="123">
        <f t="shared" si="14"/>
        <v>31677500805.200001</v>
      </c>
      <c r="Q23" s="57" t="s">
        <v>3005</v>
      </c>
      <c r="R23" s="64"/>
      <c r="T23" s="198">
        <v>38682900850</v>
      </c>
      <c r="U23" s="57" t="s">
        <v>3006</v>
      </c>
      <c r="V23" s="482">
        <v>36727282094.300003</v>
      </c>
      <c r="X23" s="198">
        <v>38682900850</v>
      </c>
      <c r="Y23" s="123">
        <v>36727282094.300003</v>
      </c>
      <c r="Z23" s="57" t="s">
        <v>3007</v>
      </c>
      <c r="AA23" s="64"/>
      <c r="AC23" s="198">
        <v>52723788044</v>
      </c>
      <c r="AD23" s="57" t="s">
        <v>3007</v>
      </c>
      <c r="AE23" s="482">
        <v>46768940947</v>
      </c>
      <c r="AG23" s="26"/>
      <c r="AI23" s="198">
        <f>AC23</f>
        <v>52723788044</v>
      </c>
      <c r="AJ23" s="123">
        <f>AE23</f>
        <v>46768940947</v>
      </c>
      <c r="AK23" s="57" t="s">
        <v>3008</v>
      </c>
      <c r="AL23" s="64"/>
      <c r="AN23" s="3262">
        <v>57187422487</v>
      </c>
      <c r="AO23" s="53" t="s">
        <v>2993</v>
      </c>
      <c r="AP23" s="3263">
        <v>52721504299</v>
      </c>
      <c r="AR23" s="200">
        <v>46279852990</v>
      </c>
      <c r="AS23" s="115">
        <v>44057134383</v>
      </c>
      <c r="AT23" s="57" t="s">
        <v>3009</v>
      </c>
      <c r="AU23" s="3333">
        <f t="shared" si="17"/>
        <v>0.95197221980198865</v>
      </c>
      <c r="AW23" s="200">
        <v>62036261836</v>
      </c>
      <c r="AX23" s="53" t="s">
        <v>889</v>
      </c>
      <c r="AY23" s="273">
        <v>56417361725</v>
      </c>
      <c r="AZ23" s="476">
        <f t="shared" si="2"/>
        <v>0.90942555297973615</v>
      </c>
      <c r="BA23" s="26" t="s">
        <v>3010</v>
      </c>
      <c r="BB23" s="200">
        <v>58173190799</v>
      </c>
      <c r="BC23" s="115">
        <v>53464672697</v>
      </c>
      <c r="BD23" s="57"/>
      <c r="BE23" s="329">
        <f t="shared" si="18"/>
        <v>0.91906034313522755</v>
      </c>
      <c r="BG23" s="200">
        <v>96779560175</v>
      </c>
      <c r="BH23" s="53"/>
      <c r="BI23" s="273">
        <v>83530825890</v>
      </c>
      <c r="BJ23" s="64">
        <f t="shared" si="15"/>
        <v>0.8631040039751865</v>
      </c>
    </row>
    <row r="24" spans="1:63" x14ac:dyDescent="0.35">
      <c r="A24" s="9411"/>
      <c r="B24" s="6082"/>
      <c r="C24" s="110" t="s">
        <v>479</v>
      </c>
      <c r="D24" s="5053"/>
      <c r="F24" s="122"/>
      <c r="H24" s="198">
        <f>SUM(H20:H22)</f>
        <v>166449389652</v>
      </c>
      <c r="I24" s="199">
        <f>SUM(I20:I23)</f>
        <v>181638551657.5</v>
      </c>
      <c r="J24" s="64">
        <f t="shared" si="13"/>
        <v>1.0912539363301743</v>
      </c>
      <c r="L24" s="198">
        <f>SUM(L20:L23)</f>
        <v>200119261099.89999</v>
      </c>
      <c r="M24" s="482">
        <f>SUM(M20:M23)</f>
        <v>181477926375.70001</v>
      </c>
      <c r="O24" s="198">
        <f>SUM(O20:O23)</f>
        <v>200119261099.89999</v>
      </c>
      <c r="P24" s="199">
        <f>SUM(P20:P23)</f>
        <v>181477926375.70001</v>
      </c>
      <c r="Q24"/>
      <c r="R24" s="64"/>
      <c r="T24" s="198">
        <f>SUM(T20:T23)</f>
        <v>250179826228</v>
      </c>
      <c r="U24" s="106"/>
      <c r="V24" s="482">
        <f>SUM(V20:V23)</f>
        <v>227284482738.79999</v>
      </c>
      <c r="X24" s="198">
        <f>SUM(X20:X23)</f>
        <v>250179826228</v>
      </c>
      <c r="Y24" s="199">
        <f>SUM(Y20:Y23)</f>
        <v>227284482738.79999</v>
      </c>
      <c r="Z24"/>
      <c r="AA24" s="64"/>
      <c r="AC24" s="3013">
        <f>SUM(AC20:AC23)</f>
        <v>241156341540</v>
      </c>
      <c r="AD24" s="106"/>
      <c r="AE24" s="482">
        <f>SUM(AE20:AE23)</f>
        <v>215808776000</v>
      </c>
      <c r="AG24" s="26"/>
      <c r="AI24" s="198">
        <f>SUM(AI20:AI23)</f>
        <v>241156341540</v>
      </c>
      <c r="AJ24" s="199">
        <f>SUM(AJ20:AJ23)</f>
        <v>215808776000</v>
      </c>
      <c r="AK24"/>
      <c r="AL24" s="64"/>
      <c r="AN24" s="198">
        <f>SUM(AN20:AN23)</f>
        <v>258146999233</v>
      </c>
      <c r="AO24" s="106"/>
      <c r="AP24" s="482">
        <f>SUM(AP20:AP23)</f>
        <v>235631436876</v>
      </c>
      <c r="AR24" s="3026">
        <f>SUM(AR20:AR23)</f>
        <v>258284644163</v>
      </c>
      <c r="AS24" s="6909">
        <f>SUM(AS20:AS23)</f>
        <v>237279111117</v>
      </c>
      <c r="AT24"/>
      <c r="AU24" s="3333">
        <f t="shared" si="17"/>
        <v>0.91867293112189941</v>
      </c>
      <c r="AW24" s="3026">
        <f>SUM(AW20:AW23)</f>
        <v>272097194618</v>
      </c>
      <c r="AX24" s="5249"/>
      <c r="AY24" s="5325">
        <f>SUM(AY20:AY23)</f>
        <v>249077455709</v>
      </c>
      <c r="AZ24" s="476">
        <f t="shared" si="2"/>
        <v>0.91539883775237874</v>
      </c>
      <c r="BA24" s="26"/>
      <c r="BB24" s="3026">
        <f>SUM(BB20:BB23)</f>
        <v>272136437902</v>
      </c>
      <c r="BC24" s="6909">
        <f>SUM(BC20:BC23)</f>
        <v>239506001212</v>
      </c>
      <c r="BD24"/>
      <c r="BE24" s="329">
        <f t="shared" si="18"/>
        <v>0.88009530461425878</v>
      </c>
      <c r="BG24" s="3026">
        <f>SUM(BG20:BG23)</f>
        <v>331184557656</v>
      </c>
      <c r="BH24" s="5249"/>
      <c r="BI24" s="5325">
        <f>SUM(BI20:BI23)</f>
        <v>267292017505</v>
      </c>
      <c r="BJ24" s="64">
        <f t="shared" si="15"/>
        <v>0.80707874605263175</v>
      </c>
    </row>
    <row r="25" spans="1:63" x14ac:dyDescent="0.35">
      <c r="A25" s="9168"/>
      <c r="B25" s="6082"/>
      <c r="C25" s="5495" t="s">
        <v>3011</v>
      </c>
      <c r="D25" s="197"/>
      <c r="F25" s="122"/>
      <c r="H25" s="198"/>
      <c r="I25" s="199"/>
      <c r="J25" s="64"/>
      <c r="L25" s="198"/>
      <c r="M25" s="482"/>
      <c r="O25" s="198"/>
      <c r="P25" s="199"/>
      <c r="Q25"/>
      <c r="R25" s="64"/>
      <c r="T25" s="198"/>
      <c r="U25" s="106"/>
      <c r="V25" s="482"/>
      <c r="X25" s="198"/>
      <c r="Y25" s="199"/>
      <c r="Z25"/>
      <c r="AA25" s="64"/>
      <c r="AC25" s="3013"/>
      <c r="AD25" s="106"/>
      <c r="AE25" s="482"/>
      <c r="AG25" s="26"/>
      <c r="AI25" s="198"/>
      <c r="AJ25" s="199"/>
      <c r="AK25"/>
      <c r="AL25" s="64"/>
      <c r="AN25" s="198"/>
      <c r="AO25" s="106"/>
      <c r="AP25" s="482"/>
      <c r="AR25" s="6910">
        <v>103102491089</v>
      </c>
      <c r="AS25" s="6911">
        <v>89194255047</v>
      </c>
      <c r="AT25" s="3969" t="s">
        <v>3012</v>
      </c>
      <c r="AU25" s="3333">
        <f t="shared" si="17"/>
        <v>0.86510281279242662</v>
      </c>
      <c r="AV25" s="5494"/>
      <c r="AW25" s="6910">
        <v>107422342019</v>
      </c>
      <c r="AX25" s="3969" t="s">
        <v>3013</v>
      </c>
      <c r="AY25" s="6912">
        <v>94359582048</v>
      </c>
      <c r="AZ25" s="476">
        <f t="shared" si="2"/>
        <v>0.87839810857326528</v>
      </c>
      <c r="BA25" s="26"/>
      <c r="BB25" s="6910">
        <f>48877326937+42611470225+15955888739</f>
        <v>107444685901</v>
      </c>
      <c r="BC25" s="6911">
        <f>43038506791+33361247973+10759012529</f>
        <v>87158767293</v>
      </c>
      <c r="BD25" s="3969" t="s">
        <v>3014</v>
      </c>
      <c r="BE25" s="329">
        <f t="shared" si="18"/>
        <v>0.81119663166318401</v>
      </c>
      <c r="BF25" s="5494"/>
      <c r="BG25" s="6910">
        <f>58293318800+49741185293+17786812947</f>
        <v>125821317040</v>
      </c>
      <c r="BH25" s="3969"/>
      <c r="BI25" s="6912">
        <f>46896396953+34826071268+9646466484</f>
        <v>91368934705</v>
      </c>
      <c r="BJ25" s="64">
        <f t="shared" si="15"/>
        <v>0.72618008501653819</v>
      </c>
    </row>
    <row r="26" spans="1:63" x14ac:dyDescent="0.35">
      <c r="A26" s="9168"/>
      <c r="B26" s="6082"/>
      <c r="C26" s="5495" t="s">
        <v>3015</v>
      </c>
      <c r="D26" s="197"/>
      <c r="F26" s="122"/>
      <c r="H26" s="198"/>
      <c r="I26" s="199"/>
      <c r="J26" s="64"/>
      <c r="L26" s="198"/>
      <c r="M26" s="482"/>
      <c r="O26" s="198"/>
      <c r="P26" s="199"/>
      <c r="Q26"/>
      <c r="R26" s="64"/>
      <c r="T26" s="198"/>
      <c r="U26" s="106"/>
      <c r="V26" s="482"/>
      <c r="X26" s="198"/>
      <c r="Y26" s="199"/>
      <c r="Z26"/>
      <c r="AA26" s="64"/>
      <c r="AC26" s="3013"/>
      <c r="AD26" s="106"/>
      <c r="AE26" s="482"/>
      <c r="AG26" s="26"/>
      <c r="AI26" s="198"/>
      <c r="AJ26" s="199"/>
      <c r="AK26"/>
      <c r="AL26" s="64"/>
      <c r="AN26" s="198"/>
      <c r="AO26" s="106"/>
      <c r="AP26" s="482"/>
      <c r="AR26" s="6910">
        <v>5773534937</v>
      </c>
      <c r="AS26" s="6911">
        <v>5368962231</v>
      </c>
      <c r="AT26" s="3969" t="s">
        <v>3016</v>
      </c>
      <c r="AU26" s="3333">
        <f t="shared" si="17"/>
        <v>0.92992634314771794</v>
      </c>
      <c r="AV26" s="5494"/>
      <c r="AW26" s="6910">
        <f>AW25*AR26/AR25</f>
        <v>6015438018.1336803</v>
      </c>
      <c r="AX26" s="6913" t="s">
        <v>3017</v>
      </c>
      <c r="AY26" s="6912">
        <f>AY25*AS26/AS25</f>
        <v>5679884112.28619</v>
      </c>
      <c r="AZ26" s="476">
        <f t="shared" si="2"/>
        <v>0.9442178765975221</v>
      </c>
      <c r="BA26" s="26" t="s">
        <v>3018</v>
      </c>
      <c r="BB26" s="6910">
        <v>6695286983</v>
      </c>
      <c r="BC26" s="6911">
        <v>5305533333</v>
      </c>
      <c r="BD26" s="3969" t="s">
        <v>3019</v>
      </c>
      <c r="BE26" s="329">
        <f t="shared" si="18"/>
        <v>0.79242806865057125</v>
      </c>
      <c r="BF26" s="5494"/>
      <c r="BG26" s="6910">
        <v>7711521871</v>
      </c>
      <c r="BH26" s="6913"/>
      <c r="BI26" s="6912">
        <v>3602130828</v>
      </c>
      <c r="BJ26" s="64">
        <f t="shared" si="15"/>
        <v>0.46711023949062469</v>
      </c>
    </row>
    <row r="27" spans="1:63" x14ac:dyDescent="0.35">
      <c r="A27" s="9168"/>
      <c r="B27" s="6082"/>
      <c r="C27" s="5495" t="s">
        <v>3020</v>
      </c>
      <c r="D27" s="197"/>
      <c r="F27" s="122"/>
      <c r="H27" s="198"/>
      <c r="I27" s="199"/>
      <c r="J27" s="64"/>
      <c r="L27" s="198"/>
      <c r="M27" s="482"/>
      <c r="O27" s="198"/>
      <c r="P27" s="199"/>
      <c r="Q27"/>
      <c r="R27" s="64"/>
      <c r="T27" s="198"/>
      <c r="U27" s="106"/>
      <c r="V27" s="482"/>
      <c r="X27" s="198"/>
      <c r="Y27" s="199"/>
      <c r="Z27"/>
      <c r="AA27" s="64"/>
      <c r="AC27" s="3013"/>
      <c r="AD27" s="106"/>
      <c r="AE27" s="482"/>
      <c r="AG27" s="26"/>
      <c r="AI27" s="198"/>
      <c r="AJ27" s="199"/>
      <c r="AK27"/>
      <c r="AL27" s="64"/>
      <c r="AN27" s="198"/>
      <c r="AO27" s="106"/>
      <c r="AP27" s="482"/>
      <c r="AR27" s="6910">
        <f>18367767808</f>
        <v>18367767808</v>
      </c>
      <c r="AS27" s="6911">
        <f>5368962231+16172901521</f>
        <v>21541863752</v>
      </c>
      <c r="AT27" s="6914" t="s">
        <v>3021</v>
      </c>
      <c r="AU27" s="3333">
        <f t="shared" si="17"/>
        <v>1.1728079305650596</v>
      </c>
      <c r="AV27" s="5494"/>
      <c r="AW27" s="6910">
        <f>31705049881</f>
        <v>31705049881</v>
      </c>
      <c r="AX27" s="3969" t="s">
        <v>3022</v>
      </c>
      <c r="AY27" s="6912">
        <v>27284931973</v>
      </c>
      <c r="AZ27" s="476">
        <f t="shared" si="2"/>
        <v>0.860586312761209</v>
      </c>
      <c r="BA27" s="26"/>
      <c r="BB27" s="6910">
        <v>35545786605</v>
      </c>
      <c r="BC27" s="6911">
        <v>30845443226</v>
      </c>
      <c r="BD27" s="6914" t="s">
        <v>3023</v>
      </c>
      <c r="BE27" s="329">
        <f t="shared" si="18"/>
        <v>0.8677665110852032</v>
      </c>
      <c r="BF27" s="5494"/>
      <c r="BG27" s="6910">
        <v>46533985568</v>
      </c>
      <c r="BH27" s="3969"/>
      <c r="BI27" s="6912">
        <v>34590581924</v>
      </c>
      <c r="BJ27" s="64">
        <f t="shared" si="15"/>
        <v>0.74334019538156404</v>
      </c>
    </row>
    <row r="28" spans="1:63" x14ac:dyDescent="0.35">
      <c r="A28" s="9168"/>
      <c r="B28" s="139" t="s">
        <v>480</v>
      </c>
      <c r="C28" s="49"/>
      <c r="D28" s="184"/>
      <c r="E28" s="141"/>
      <c r="F28" s="142"/>
      <c r="G28" s="143"/>
      <c r="H28" s="144"/>
      <c r="I28" s="145"/>
      <c r="J28" s="146"/>
      <c r="K28" s="141"/>
      <c r="L28" s="147"/>
      <c r="M28" s="3036"/>
      <c r="N28" s="141"/>
      <c r="O28" s="144"/>
      <c r="P28" s="145"/>
      <c r="Q28" s="145"/>
      <c r="R28" s="146"/>
      <c r="S28" s="141"/>
      <c r="T28" s="151"/>
      <c r="U28" s="145"/>
      <c r="V28" s="148"/>
      <c r="W28" s="141"/>
      <c r="X28" s="144"/>
      <c r="Y28" s="145"/>
      <c r="Z28" s="145"/>
      <c r="AA28" s="146"/>
      <c r="AB28" s="141"/>
      <c r="AC28" s="151"/>
      <c r="AD28" s="145"/>
      <c r="AE28" s="148"/>
      <c r="AF28" s="141"/>
      <c r="AG28" s="18"/>
      <c r="AH28" s="141"/>
      <c r="AI28" s="144"/>
      <c r="AJ28" s="145"/>
      <c r="AK28" s="145"/>
      <c r="AL28" s="146"/>
      <c r="AM28" s="141"/>
      <c r="AN28" s="151"/>
      <c r="AO28" s="145"/>
      <c r="AP28" s="148"/>
      <c r="AQ28" s="141"/>
      <c r="AR28" s="144"/>
      <c r="AS28" s="145"/>
      <c r="AT28" s="145"/>
      <c r="AU28" s="6915"/>
      <c r="AV28" s="141"/>
      <c r="AW28" s="151"/>
      <c r="AX28" s="145"/>
      <c r="AY28" s="148"/>
      <c r="AZ28" s="148"/>
      <c r="BA28" s="18"/>
      <c r="BB28" s="144"/>
      <c r="BC28" s="145"/>
      <c r="BD28" s="145"/>
      <c r="BE28" s="8536"/>
      <c r="BF28" s="141"/>
      <c r="BG28" s="151"/>
      <c r="BH28" s="145"/>
      <c r="BI28" s="148"/>
      <c r="BJ28" s="148"/>
    </row>
    <row r="29" spans="1:63" x14ac:dyDescent="0.35">
      <c r="A29" s="9168"/>
      <c r="B29" s="6082"/>
      <c r="C29" s="6904" t="s">
        <v>3024</v>
      </c>
      <c r="D29" s="197"/>
      <c r="F29" s="155"/>
      <c r="H29" s="117">
        <v>52255718289.099998</v>
      </c>
      <c r="I29" s="115">
        <v>49720493478.099998</v>
      </c>
      <c r="J29" s="64">
        <f t="shared" ref="J29:J32" si="19">IF(H29=0,0,I29/H29)</f>
        <v>0.95148426059375746</v>
      </c>
      <c r="L29" s="156">
        <v>52519854911</v>
      </c>
      <c r="M29" s="3265">
        <v>50063933775.699997</v>
      </c>
      <c r="O29" s="117">
        <f>L29</f>
        <v>52519854911</v>
      </c>
      <c r="P29" s="115">
        <f>O29</f>
        <v>52519854911</v>
      </c>
      <c r="Q29" s="53" t="s">
        <v>3025</v>
      </c>
      <c r="R29" s="64"/>
      <c r="T29" s="156">
        <v>55845763495</v>
      </c>
      <c r="U29" s="53" t="s">
        <v>3026</v>
      </c>
      <c r="V29" s="3265">
        <v>52283404520.300003</v>
      </c>
      <c r="X29" s="117">
        <v>55845763495</v>
      </c>
      <c r="Y29" s="115">
        <v>52283404520.300003</v>
      </c>
      <c r="Z29" s="53" t="s">
        <v>3026</v>
      </c>
      <c r="AA29" s="64"/>
      <c r="AC29" s="156">
        <v>59962136797</v>
      </c>
      <c r="AD29" s="53" t="s">
        <v>3027</v>
      </c>
      <c r="AE29" s="3265">
        <v>56473276614</v>
      </c>
      <c r="AG29" s="26"/>
      <c r="AI29" s="117">
        <f>AC29</f>
        <v>59962136797</v>
      </c>
      <c r="AJ29" s="115">
        <f>AE29</f>
        <v>56473276614</v>
      </c>
      <c r="AK29" s="53"/>
      <c r="AL29" s="64"/>
      <c r="AN29" s="156">
        <v>65389044157</v>
      </c>
      <c r="AO29" s="53" t="s">
        <v>2993</v>
      </c>
      <c r="AP29" s="3265">
        <v>60860312749</v>
      </c>
      <c r="AR29" s="117">
        <v>64389318508</v>
      </c>
      <c r="AS29" s="115">
        <v>60893728277</v>
      </c>
      <c r="AT29" s="57" t="s">
        <v>2994</v>
      </c>
      <c r="AU29" s="3333">
        <f t="shared" si="17"/>
        <v>0.94571164422922582</v>
      </c>
      <c r="AW29" s="156">
        <v>67992845779</v>
      </c>
      <c r="AX29" s="53" t="s">
        <v>3028</v>
      </c>
      <c r="AY29" s="3265">
        <v>65286518846</v>
      </c>
      <c r="AZ29" s="476">
        <f t="shared" si="2"/>
        <v>0.96019688686370785</v>
      </c>
      <c r="BA29" s="26"/>
      <c r="BB29" s="117">
        <v>67684435321</v>
      </c>
      <c r="BC29" s="115">
        <v>62124184515</v>
      </c>
      <c r="BD29" s="57"/>
      <c r="BE29" s="329">
        <f t="shared" ref="BE29" si="20">BC29/BB29</f>
        <v>0.91785037757011678</v>
      </c>
      <c r="BG29" s="156">
        <v>73136099363</v>
      </c>
      <c r="BH29" s="53"/>
      <c r="BI29" s="3265">
        <v>62812714902</v>
      </c>
      <c r="BJ29" s="64">
        <f t="shared" ref="BJ29" si="21">BI29/BG29</f>
        <v>0.85884693672598755</v>
      </c>
    </row>
    <row r="30" spans="1:63" x14ac:dyDescent="0.35">
      <c r="A30" s="9168"/>
      <c r="B30" s="6905" t="s">
        <v>3029</v>
      </c>
      <c r="C30" s="5495" t="s">
        <v>3030</v>
      </c>
      <c r="D30" s="197"/>
      <c r="F30" s="155"/>
      <c r="H30" s="117"/>
      <c r="I30" s="115"/>
      <c r="J30" s="64">
        <f t="shared" si="19"/>
        <v>0</v>
      </c>
      <c r="L30" s="156"/>
      <c r="M30" s="3265"/>
      <c r="O30" s="117"/>
      <c r="P30" s="115"/>
      <c r="Q30" s="127"/>
      <c r="R30" s="64"/>
      <c r="T30" s="156"/>
      <c r="V30" s="3265"/>
      <c r="X30" s="117"/>
      <c r="Y30" s="115"/>
      <c r="Z30" s="127"/>
      <c r="AA30" s="64"/>
      <c r="AC30" s="156"/>
      <c r="AE30" s="3265"/>
      <c r="AG30" s="26"/>
      <c r="AI30" s="117"/>
      <c r="AJ30" s="115"/>
      <c r="AK30" s="127"/>
      <c r="AL30" s="64"/>
      <c r="AN30" s="156"/>
      <c r="AP30" s="3265"/>
      <c r="AR30" s="6916"/>
      <c r="AS30" s="3550"/>
      <c r="AT30" s="6917"/>
      <c r="AU30" s="3333"/>
      <c r="AV30" s="176"/>
      <c r="AW30" s="6918"/>
      <c r="AX30" s="6919"/>
      <c r="AY30" s="6197"/>
      <c r="AZ30" s="476"/>
      <c r="BA30" s="26"/>
      <c r="BB30" s="6916"/>
      <c r="BC30" s="3550"/>
      <c r="BD30" s="6917"/>
      <c r="BE30" s="329"/>
      <c r="BF30" s="176"/>
      <c r="BG30" s="6918"/>
      <c r="BH30" s="6919"/>
      <c r="BI30" s="6197"/>
      <c r="BJ30" s="64"/>
    </row>
    <row r="31" spans="1:63" x14ac:dyDescent="0.35">
      <c r="A31" s="9168"/>
      <c r="B31" s="6082"/>
      <c r="C31" s="5495" t="s">
        <v>3031</v>
      </c>
      <c r="D31" s="197"/>
      <c r="F31" s="155"/>
      <c r="H31" s="117"/>
      <c r="I31" s="115"/>
      <c r="J31" s="64">
        <f t="shared" si="19"/>
        <v>0</v>
      </c>
      <c r="L31" s="156"/>
      <c r="M31" s="3265"/>
      <c r="O31" s="117"/>
      <c r="P31" s="115"/>
      <c r="Q31" s="127"/>
      <c r="R31" s="64"/>
      <c r="T31" s="156"/>
      <c r="U31" s="127"/>
      <c r="V31" s="3265"/>
      <c r="X31" s="117"/>
      <c r="Y31" s="115"/>
      <c r="Z31" s="127"/>
      <c r="AA31" s="64"/>
      <c r="AC31" s="156"/>
      <c r="AD31" s="127"/>
      <c r="AE31" s="3265"/>
      <c r="AG31" s="26"/>
      <c r="AI31" s="117"/>
      <c r="AJ31" s="115"/>
      <c r="AK31" s="127"/>
      <c r="AL31" s="64"/>
      <c r="AN31" s="156"/>
      <c r="AO31" s="127"/>
      <c r="AP31" s="3265"/>
      <c r="AR31" s="6916"/>
      <c r="AS31" s="3550"/>
      <c r="AT31" s="6917"/>
      <c r="AU31" s="3333"/>
      <c r="AV31" s="176"/>
      <c r="AW31" s="6918"/>
      <c r="AX31" s="6919"/>
      <c r="AY31" s="6197"/>
      <c r="AZ31" s="476"/>
      <c r="BA31" s="26" t="s">
        <v>3032</v>
      </c>
      <c r="BB31" s="5832"/>
      <c r="BC31" s="6161"/>
      <c r="BD31" s="6917"/>
      <c r="BE31" s="329"/>
      <c r="BF31" s="176"/>
      <c r="BG31" s="6918"/>
      <c r="BH31" s="6919"/>
      <c r="BI31" s="6197"/>
      <c r="BJ31" s="64"/>
    </row>
    <row r="32" spans="1:63" x14ac:dyDescent="0.35">
      <c r="A32" s="9168"/>
      <c r="B32" s="6082"/>
      <c r="C32" s="161" t="s">
        <v>497</v>
      </c>
      <c r="D32" s="610"/>
      <c r="F32" s="163"/>
      <c r="H32" s="164"/>
      <c r="I32" s="165"/>
      <c r="J32" s="64">
        <f t="shared" si="19"/>
        <v>0</v>
      </c>
      <c r="L32" s="166"/>
      <c r="M32" s="276"/>
      <c r="O32" s="164"/>
      <c r="P32" s="165"/>
      <c r="Q32" s="106"/>
      <c r="R32" s="64"/>
      <c r="T32" s="156"/>
      <c r="U32" s="106"/>
      <c r="V32" s="276"/>
      <c r="X32" s="164"/>
      <c r="Y32" s="165"/>
      <c r="Z32" s="106"/>
      <c r="AA32" s="64"/>
      <c r="AC32" s="156"/>
      <c r="AD32" s="106"/>
      <c r="AE32" s="276"/>
      <c r="AG32" s="26"/>
      <c r="AI32" s="164"/>
      <c r="AJ32" s="165"/>
      <c r="AK32" s="106"/>
      <c r="AL32" s="64"/>
      <c r="AN32" s="156"/>
      <c r="AO32" s="106"/>
      <c r="AP32" s="276"/>
      <c r="AR32" s="164"/>
      <c r="AS32" s="165"/>
      <c r="AT32" s="106"/>
      <c r="AU32" s="3333"/>
      <c r="AW32" s="156"/>
      <c r="AX32" s="6042"/>
      <c r="AY32" s="276"/>
      <c r="AZ32" s="3333"/>
      <c r="BA32" s="26"/>
      <c r="BB32" s="164">
        <v>10896242177</v>
      </c>
      <c r="BC32" s="165">
        <v>9475479274</v>
      </c>
      <c r="BD32" s="106"/>
      <c r="BE32" s="329"/>
      <c r="BG32" s="156"/>
      <c r="BH32" s="6042"/>
      <c r="BI32" s="276"/>
      <c r="BJ32" s="329"/>
    </row>
    <row r="33" spans="1:62" x14ac:dyDescent="0.35">
      <c r="A33" s="9168"/>
      <c r="B33" s="128"/>
      <c r="C33" s="129" t="s">
        <v>499</v>
      </c>
      <c r="D33" s="209"/>
      <c r="F33" s="169">
        <f>IF(F29=0,0,F31/F29)</f>
        <v>0</v>
      </c>
      <c r="G33" s="170"/>
      <c r="H33" s="171">
        <f t="shared" ref="H33:I33" si="22">IF(H29=0,0,H31/H29)</f>
        <v>0</v>
      </c>
      <c r="I33" s="172">
        <f t="shared" si="22"/>
        <v>0</v>
      </c>
      <c r="J33" s="173"/>
      <c r="K33" s="170"/>
      <c r="L33" s="174">
        <f>IF(L29=0,0,L31/L29)</f>
        <v>0</v>
      </c>
      <c r="M33" s="3049">
        <f t="shared" ref="M33" si="23">IF(M29=0,0,M31/M29)</f>
        <v>0</v>
      </c>
      <c r="N33" s="176"/>
      <c r="O33" s="171"/>
      <c r="P33" s="177"/>
      <c r="Q33" s="177"/>
      <c r="R33" s="173"/>
      <c r="S33" s="170"/>
      <c r="T33" s="174"/>
      <c r="U33" s="177"/>
      <c r="V33" s="175"/>
      <c r="W33" s="176"/>
      <c r="X33" s="171"/>
      <c r="Y33" s="177"/>
      <c r="Z33" s="177"/>
      <c r="AA33" s="173"/>
      <c r="AB33" s="170"/>
      <c r="AC33" s="174"/>
      <c r="AD33" s="177"/>
      <c r="AE33" s="175"/>
      <c r="AF33" s="176"/>
      <c r="AG33" s="24"/>
      <c r="AH33" s="176"/>
      <c r="AI33" s="171"/>
      <c r="AJ33" s="177"/>
      <c r="AK33" s="177"/>
      <c r="AL33" s="173"/>
      <c r="AM33" s="170"/>
      <c r="AN33" s="174"/>
      <c r="AO33" s="177"/>
      <c r="AP33" s="175"/>
      <c r="AQ33" s="176"/>
      <c r="AR33" s="492">
        <f>IF(AR30=0,0,AR31/AR30)</f>
        <v>0</v>
      </c>
      <c r="AS33" s="497">
        <f>IF(AS30=0,0,AS31/AS30)</f>
        <v>0</v>
      </c>
      <c r="AT33" s="497"/>
      <c r="AU33" s="830"/>
      <c r="AV33" s="170"/>
      <c r="AW33" s="495">
        <f>IF(AW30=0,0,AW31/AW30)</f>
        <v>0</v>
      </c>
      <c r="AX33" s="497"/>
      <c r="AY33" s="496">
        <f>IF(AY30=0,0,AY31/AY30)</f>
        <v>0</v>
      </c>
      <c r="AZ33" s="496"/>
      <c r="BA33" s="24"/>
      <c r="BB33" s="171">
        <f>IF(BB30=0,0,BB31/BB30)</f>
        <v>0</v>
      </c>
      <c r="BC33" s="177">
        <f>IF(BC30=0,0,BC31/BC30)</f>
        <v>0</v>
      </c>
      <c r="BD33" s="177"/>
      <c r="BE33" s="179"/>
      <c r="BF33" s="170"/>
      <c r="BG33" s="174">
        <f>IF(BG30=0,0,BG31/BG30)</f>
        <v>0</v>
      </c>
      <c r="BH33" s="177"/>
      <c r="BI33" s="175">
        <f>IF(BI30=0,0,BI31/BI30)</f>
        <v>0</v>
      </c>
      <c r="BJ33" s="175"/>
    </row>
    <row r="34" spans="1:62" x14ac:dyDescent="0.35">
      <c r="A34" s="9168"/>
      <c r="B34" s="139" t="s">
        <v>501</v>
      </c>
      <c r="C34" s="49"/>
      <c r="D34" s="184"/>
      <c r="F34" s="185"/>
      <c r="H34" s="186"/>
      <c r="I34" s="187"/>
      <c r="J34" s="188">
        <f>IF(H34=0,0,I34/H34)</f>
        <v>0</v>
      </c>
      <c r="L34" s="186"/>
      <c r="M34" s="148">
        <f>L34*J34</f>
        <v>0</v>
      </c>
      <c r="O34" s="189"/>
      <c r="P34" s="190"/>
      <c r="Q34" s="190"/>
      <c r="R34" s="191"/>
      <c r="S34" s="170"/>
      <c r="T34" s="192"/>
      <c r="U34" s="190"/>
      <c r="V34" s="616"/>
      <c r="X34" s="189"/>
      <c r="Y34" s="190"/>
      <c r="Z34" s="190"/>
      <c r="AA34" s="191"/>
      <c r="AB34" s="170"/>
      <c r="AC34" s="192"/>
      <c r="AD34" s="190"/>
      <c r="AE34" s="616"/>
      <c r="AG34" s="18"/>
      <c r="AI34" s="189"/>
      <c r="AJ34" s="190"/>
      <c r="AK34" s="190"/>
      <c r="AL34" s="191"/>
      <c r="AM34" s="170"/>
      <c r="AN34" s="192"/>
      <c r="AO34" s="190"/>
      <c r="AP34" s="616"/>
      <c r="AR34" s="838"/>
      <c r="AS34" s="839"/>
      <c r="AT34" s="839"/>
      <c r="AU34" s="3477"/>
      <c r="AV34" s="170"/>
      <c r="AW34" s="3364"/>
      <c r="AX34" s="839"/>
      <c r="AY34" s="18"/>
      <c r="AZ34" s="18"/>
      <c r="BA34" s="18"/>
      <c r="BB34" s="189"/>
      <c r="BC34" s="190"/>
      <c r="BD34" s="190"/>
      <c r="BE34" s="194"/>
      <c r="BF34" s="170"/>
      <c r="BG34" s="192"/>
      <c r="BH34" s="190"/>
      <c r="BI34" s="18"/>
      <c r="BJ34" s="18"/>
    </row>
    <row r="35" spans="1:62" x14ac:dyDescent="0.35">
      <c r="A35" s="9168"/>
      <c r="B35" s="6082"/>
      <c r="C35" s="121" t="s">
        <v>11</v>
      </c>
      <c r="D35" s="197"/>
      <c r="F35" s="3266"/>
      <c r="G35" s="170"/>
      <c r="H35" s="114"/>
      <c r="I35" s="123"/>
      <c r="J35" s="64">
        <f t="shared" ref="J35" si="24">IF(H35=0,0,I35/H35)</f>
        <v>0</v>
      </c>
      <c r="K35" s="170"/>
      <c r="L35" s="114"/>
      <c r="M35" s="157">
        <f t="shared" ref="M35:M36" si="25">L35*J35</f>
        <v>0</v>
      </c>
      <c r="O35" s="248"/>
      <c r="P35" s="233"/>
      <c r="Q35" s="202"/>
      <c r="R35" s="203"/>
      <c r="S35" s="170"/>
      <c r="T35" s="248"/>
      <c r="U35" s="202"/>
      <c r="V35" s="1034"/>
      <c r="X35" s="248"/>
      <c r="Y35" s="233"/>
      <c r="Z35" s="202"/>
      <c r="AA35" s="203"/>
      <c r="AB35" s="170"/>
      <c r="AC35" s="248"/>
      <c r="AD35" s="202"/>
      <c r="AE35" s="1034"/>
      <c r="AG35" s="26"/>
      <c r="AI35" s="248"/>
      <c r="AJ35" s="233"/>
      <c r="AK35" s="202"/>
      <c r="AL35" s="203"/>
      <c r="AM35" s="170"/>
      <c r="AN35" s="248"/>
      <c r="AO35" s="202"/>
      <c r="AP35" s="1034"/>
      <c r="AR35" s="248"/>
      <c r="AS35" s="233"/>
      <c r="AT35" s="834"/>
      <c r="AU35" s="832"/>
      <c r="AV35" s="170"/>
      <c r="AW35" s="248"/>
      <c r="AX35" s="834"/>
      <c r="AY35" s="26"/>
      <c r="AZ35" s="26"/>
      <c r="BA35" s="26"/>
      <c r="BB35" s="248"/>
      <c r="BC35" s="233"/>
      <c r="BD35" s="202"/>
      <c r="BE35" s="205"/>
      <c r="BF35" s="170"/>
      <c r="BG35" s="248"/>
      <c r="BH35" s="202"/>
      <c r="BI35" s="26"/>
      <c r="BJ35" s="26"/>
    </row>
    <row r="36" spans="1:62" x14ac:dyDescent="0.35">
      <c r="A36" s="9169"/>
      <c r="B36" s="844"/>
      <c r="C36" s="208" t="s">
        <v>502</v>
      </c>
      <c r="D36" s="209"/>
      <c r="F36" s="210"/>
      <c r="H36" s="217"/>
      <c r="I36" s="845"/>
      <c r="J36" s="133">
        <f>IF(H36=0,0,I36/H36)</f>
        <v>0</v>
      </c>
      <c r="L36" s="217"/>
      <c r="M36" s="213">
        <f t="shared" si="25"/>
        <v>0</v>
      </c>
      <c r="O36" s="214"/>
      <c r="P36" s="215"/>
      <c r="Q36" s="216"/>
      <c r="R36" s="133"/>
      <c r="T36" s="211"/>
      <c r="U36" s="216"/>
      <c r="V36" s="485"/>
      <c r="X36" s="214"/>
      <c r="Y36" s="215"/>
      <c r="Z36" s="216"/>
      <c r="AA36" s="133"/>
      <c r="AC36" s="211"/>
      <c r="AD36" s="216"/>
      <c r="AE36" s="485"/>
      <c r="AG36" s="24"/>
      <c r="AI36" s="214"/>
      <c r="AJ36" s="215"/>
      <c r="AK36" s="216"/>
      <c r="AL36" s="133"/>
      <c r="AN36" s="211"/>
      <c r="AO36" s="216"/>
      <c r="AP36" s="485"/>
      <c r="AR36" s="214"/>
      <c r="AS36" s="215"/>
      <c r="AT36" s="216"/>
      <c r="AU36" s="3334"/>
      <c r="AW36" s="211"/>
      <c r="AX36" s="216"/>
      <c r="AY36" s="24"/>
      <c r="AZ36" s="24"/>
      <c r="BA36" s="24"/>
      <c r="BB36" s="214"/>
      <c r="BC36" s="215"/>
      <c r="BD36" s="216"/>
      <c r="BE36" s="344"/>
      <c r="BG36" s="211"/>
      <c r="BH36" s="216"/>
      <c r="BI36" s="24"/>
      <c r="BJ36" s="24"/>
    </row>
    <row r="37" spans="1:62" x14ac:dyDescent="0.35">
      <c r="A37" s="220"/>
      <c r="B37" s="220"/>
      <c r="F37" s="106"/>
      <c r="H37" s="106"/>
      <c r="I37" s="106"/>
      <c r="J37" s="221"/>
      <c r="L37" s="106"/>
      <c r="M37" s="66"/>
      <c r="O37" s="106"/>
      <c r="P37" s="106"/>
      <c r="Q37" s="106"/>
      <c r="R37" s="221"/>
      <c r="T37" s="106"/>
      <c r="U37" s="106"/>
      <c r="X37" s="106"/>
      <c r="Y37" s="106"/>
      <c r="Z37" s="106"/>
      <c r="AA37" s="221"/>
      <c r="AC37" s="106"/>
      <c r="AD37" s="106"/>
      <c r="AI37" s="106"/>
      <c r="AJ37" s="106"/>
      <c r="AK37" s="106"/>
      <c r="AL37" s="221"/>
      <c r="AN37" s="106"/>
      <c r="AO37" s="106"/>
      <c r="AR37" s="106"/>
      <c r="AS37" s="106"/>
      <c r="AT37" s="106"/>
      <c r="AU37" s="221"/>
      <c r="AW37" s="106"/>
      <c r="AX37" s="106"/>
      <c r="BB37" s="106"/>
      <c r="BC37" s="106"/>
      <c r="BD37" s="106"/>
      <c r="BE37" s="221"/>
      <c r="BG37" s="106"/>
      <c r="BH37" s="106"/>
    </row>
    <row r="38" spans="1:62" ht="27.75" customHeight="1" x14ac:dyDescent="0.35">
      <c r="A38" s="9167" t="s">
        <v>503</v>
      </c>
      <c r="B38" s="27"/>
      <c r="C38" s="28" t="s">
        <v>427</v>
      </c>
      <c r="D38" s="585" t="s">
        <v>428</v>
      </c>
      <c r="E38" s="30"/>
      <c r="F38" s="222"/>
      <c r="G38" s="223"/>
      <c r="H38" s="222"/>
      <c r="I38" s="222"/>
      <c r="J38" s="224"/>
      <c r="K38" s="223"/>
      <c r="L38" s="222"/>
      <c r="M38" s="222"/>
      <c r="N38" s="30"/>
      <c r="O38" s="9155" t="s">
        <v>2948</v>
      </c>
      <c r="P38" s="9156"/>
      <c r="Q38" s="3236" t="s">
        <v>2941</v>
      </c>
      <c r="R38" s="224"/>
      <c r="S38" s="223"/>
      <c r="T38" s="36"/>
      <c r="U38" s="3267"/>
      <c r="V38" s="34"/>
      <c r="W38" s="30"/>
      <c r="X38" s="9155"/>
      <c r="Y38" s="9156"/>
      <c r="Z38" s="3236"/>
      <c r="AA38" s="224"/>
      <c r="AB38" s="223"/>
      <c r="AC38" s="31" t="s">
        <v>2951</v>
      </c>
      <c r="AD38" s="581" t="s">
        <v>2952</v>
      </c>
      <c r="AE38" s="31" t="s">
        <v>2951</v>
      </c>
      <c r="AF38" s="30"/>
      <c r="AG38" s="39"/>
      <c r="AH38" s="30"/>
      <c r="AI38" s="9155"/>
      <c r="AJ38" s="9156"/>
      <c r="AK38" s="3236"/>
      <c r="AL38" s="224"/>
      <c r="AM38" s="223"/>
      <c r="AN38" s="31"/>
      <c r="AO38" s="581"/>
      <c r="AP38" s="31"/>
      <c r="AQ38" s="30"/>
      <c r="AR38" s="9155"/>
      <c r="AS38" s="9156"/>
      <c r="AT38" s="1542"/>
      <c r="AU38" s="3477"/>
      <c r="AV38" s="223"/>
      <c r="AW38" s="36"/>
      <c r="AX38" s="473"/>
      <c r="AY38" s="8314"/>
      <c r="AZ38" s="39"/>
      <c r="BA38" s="39"/>
      <c r="BB38" s="9155"/>
      <c r="BC38" s="9156"/>
      <c r="BD38" s="8537"/>
      <c r="BE38" s="194"/>
      <c r="BF38" s="223"/>
      <c r="BG38" s="36"/>
      <c r="BH38" s="581"/>
      <c r="BI38" s="8314"/>
      <c r="BJ38" s="39"/>
    </row>
    <row r="39" spans="1:62" x14ac:dyDescent="0.35">
      <c r="A39" s="9168"/>
      <c r="B39" s="141" t="s">
        <v>514</v>
      </c>
      <c r="C39"/>
      <c r="D39" s="184"/>
      <c r="E39" s="143"/>
      <c r="F39" s="227"/>
      <c r="G39" s="143"/>
      <c r="H39" s="102"/>
      <c r="I39" s="103"/>
      <c r="J39" s="228"/>
      <c r="K39" s="143"/>
      <c r="L39" s="102"/>
      <c r="M39" s="105"/>
      <c r="N39" s="143"/>
      <c r="O39" s="102"/>
      <c r="P39" s="103"/>
      <c r="Q39" s="106"/>
      <c r="R39" s="228"/>
      <c r="S39" s="143"/>
      <c r="T39" s="102"/>
      <c r="U39" s="106"/>
      <c r="V39" s="229"/>
      <c r="W39" s="143"/>
      <c r="X39" s="3250" t="s">
        <v>2944</v>
      </c>
      <c r="Y39" s="3268" t="s">
        <v>3033</v>
      </c>
      <c r="Z39" s="3252" t="s">
        <v>3034</v>
      </c>
      <c r="AA39" s="228"/>
      <c r="AB39" s="143"/>
      <c r="AC39" s="3269" t="s">
        <v>2944</v>
      </c>
      <c r="AD39" s="3251" t="s">
        <v>3035</v>
      </c>
      <c r="AE39" s="3270" t="s">
        <v>2943</v>
      </c>
      <c r="AF39" s="143"/>
      <c r="AG39" s="18"/>
      <c r="AH39" s="143"/>
      <c r="AI39" s="3250" t="s">
        <v>2944</v>
      </c>
      <c r="AJ39" s="3268" t="s">
        <v>3033</v>
      </c>
      <c r="AK39" s="3252"/>
      <c r="AL39" s="228"/>
      <c r="AM39" s="143"/>
      <c r="AN39" s="3269" t="s">
        <v>2944</v>
      </c>
      <c r="AO39" s="3251" t="s">
        <v>3035</v>
      </c>
      <c r="AP39" s="3270" t="s">
        <v>2943</v>
      </c>
      <c r="AQ39" s="143"/>
      <c r="AR39" s="3250"/>
      <c r="AS39" s="3268"/>
      <c r="AT39" s="3252"/>
      <c r="AU39" s="832"/>
      <c r="AV39" s="143"/>
      <c r="AW39" s="3269"/>
      <c r="AX39" s="3251"/>
      <c r="AY39" s="3251"/>
      <c r="AZ39" s="18"/>
      <c r="BA39" s="18"/>
      <c r="BB39" s="8535" t="s">
        <v>3036</v>
      </c>
      <c r="BC39" s="8535" t="s">
        <v>3036</v>
      </c>
      <c r="BD39" s="3252"/>
      <c r="BE39" s="205"/>
      <c r="BF39" s="143"/>
      <c r="BG39" s="8538" t="s">
        <v>3036</v>
      </c>
      <c r="BH39" s="6847"/>
      <c r="BI39" s="6847" t="s">
        <v>3036</v>
      </c>
      <c r="BJ39" s="18"/>
    </row>
    <row r="40" spans="1:62" x14ac:dyDescent="0.35">
      <c r="A40" s="9168"/>
      <c r="B40" s="240"/>
      <c r="C40" s="240" t="s">
        <v>3037</v>
      </c>
      <c r="D40" s="197"/>
      <c r="F40" s="111">
        <v>22210816110.799999</v>
      </c>
      <c r="H40" s="112">
        <v>23838818771.400002</v>
      </c>
      <c r="I40" s="113">
        <v>23510650039.799999</v>
      </c>
      <c r="J40" s="64">
        <f t="shared" ref="J40:J43" si="26">IF(H40=0,0,I40/H40)</f>
        <v>0.98623385098284677</v>
      </c>
      <c r="L40" s="112">
        <v>23963865837.400002</v>
      </c>
      <c r="M40" s="3254">
        <v>23693182618.5</v>
      </c>
      <c r="O40" s="112">
        <f>L40</f>
        <v>23963865837.400002</v>
      </c>
      <c r="P40" s="3271">
        <f>M40</f>
        <v>23693182618.5</v>
      </c>
      <c r="Q40" s="57" t="s">
        <v>3038</v>
      </c>
      <c r="R40" s="64"/>
      <c r="T40" s="112">
        <v>25725692670</v>
      </c>
      <c r="U40" s="57" t="s">
        <v>3039</v>
      </c>
      <c r="V40" s="157">
        <v>25349676166</v>
      </c>
      <c r="X40" s="112">
        <v>25725692670</v>
      </c>
      <c r="Y40" s="115">
        <v>25349676166</v>
      </c>
      <c r="Z40" s="57" t="s">
        <v>3039</v>
      </c>
      <c r="AA40" s="64"/>
      <c r="AC40" s="112">
        <v>26551250653</v>
      </c>
      <c r="AD40" s="57" t="s">
        <v>3040</v>
      </c>
      <c r="AE40" s="233">
        <v>26541628735</v>
      </c>
      <c r="AG40" s="26"/>
      <c r="AI40" s="112">
        <f>AC40</f>
        <v>26551250653</v>
      </c>
      <c r="AJ40" s="115">
        <f>AE40</f>
        <v>26541628735</v>
      </c>
      <c r="AK40" s="57"/>
      <c r="AL40" s="64"/>
      <c r="AN40" s="112">
        <v>28528970488</v>
      </c>
      <c r="AO40" s="53" t="s">
        <v>3041</v>
      </c>
      <c r="AP40" s="233">
        <v>27944663411</v>
      </c>
      <c r="AR40" s="112">
        <v>28343589440</v>
      </c>
      <c r="AS40" s="115">
        <v>28054130934</v>
      </c>
      <c r="AT40" s="57" t="s">
        <v>3042</v>
      </c>
      <c r="AU40" s="3333">
        <f t="shared" ref="AU40" si="27">AS40/AR40</f>
        <v>0.98978751415332389</v>
      </c>
      <c r="AW40" s="112">
        <v>30204505228</v>
      </c>
      <c r="AX40" s="53" t="s">
        <v>3043</v>
      </c>
      <c r="AY40" s="1033">
        <v>29869059617</v>
      </c>
      <c r="AZ40" s="26"/>
      <c r="BA40" s="26"/>
      <c r="BB40" s="112">
        <v>30055388930</v>
      </c>
      <c r="BC40" s="115">
        <v>26969213737</v>
      </c>
      <c r="BD40" s="57"/>
      <c r="BE40" s="329">
        <f t="shared" ref="BE40" si="28">BC40/BB40</f>
        <v>0.89731707680816231</v>
      </c>
      <c r="BG40" s="112">
        <v>30589241441</v>
      </c>
      <c r="BH40" s="53"/>
      <c r="BI40" s="1033">
        <v>26602697752</v>
      </c>
      <c r="BJ40" s="26"/>
    </row>
    <row r="41" spans="1:62" x14ac:dyDescent="0.35">
      <c r="A41" s="9168"/>
      <c r="B41" s="240"/>
      <c r="C41" s="240" t="s">
        <v>3044</v>
      </c>
      <c r="D41" s="197"/>
      <c r="F41" s="155"/>
      <c r="H41" s="117"/>
      <c r="I41" s="115"/>
      <c r="J41" s="64">
        <f t="shared" si="26"/>
        <v>0</v>
      </c>
      <c r="L41" s="117"/>
      <c r="M41" s="3265"/>
      <c r="O41" s="112"/>
      <c r="P41" s="3271"/>
      <c r="Q41" s="57" t="s">
        <v>1115</v>
      </c>
      <c r="R41" s="64"/>
      <c r="T41" s="112"/>
      <c r="U41" s="57" t="s">
        <v>1115</v>
      </c>
      <c r="V41" s="157"/>
      <c r="X41" s="112"/>
      <c r="Y41" s="3271"/>
      <c r="Z41" s="57" t="s">
        <v>1115</v>
      </c>
      <c r="AA41" s="64"/>
      <c r="AC41" s="112"/>
      <c r="AD41" s="57"/>
      <c r="AE41" s="233"/>
      <c r="AG41" s="26"/>
      <c r="AI41" s="112"/>
      <c r="AJ41" s="3271"/>
      <c r="AK41" s="57"/>
      <c r="AL41" s="64"/>
      <c r="AN41" s="112"/>
      <c r="AO41" s="57"/>
      <c r="AP41" s="233"/>
      <c r="AR41" s="112"/>
      <c r="AS41" s="3271"/>
      <c r="AT41" s="57"/>
      <c r="AU41" s="3333"/>
      <c r="AW41" s="112"/>
      <c r="AX41" s="57"/>
      <c r="AY41" s="1033"/>
      <c r="AZ41" s="26"/>
      <c r="BA41" s="26"/>
      <c r="BB41" s="112"/>
      <c r="BC41" s="3271"/>
      <c r="BD41" s="57"/>
      <c r="BE41" s="329"/>
      <c r="BG41" s="112"/>
      <c r="BH41" s="57"/>
      <c r="BI41" s="1033"/>
      <c r="BJ41" s="26"/>
    </row>
    <row r="42" spans="1:62" x14ac:dyDescent="0.35">
      <c r="A42" s="9168"/>
      <c r="B42" s="241"/>
      <c r="C42" s="241" t="s">
        <v>534</v>
      </c>
      <c r="D42" s="197"/>
      <c r="F42" s="163"/>
      <c r="H42" s="242"/>
      <c r="I42" s="243"/>
      <c r="J42" s="64">
        <f t="shared" si="26"/>
        <v>0</v>
      </c>
      <c r="L42" s="242"/>
      <c r="M42" s="3272"/>
      <c r="O42" s="117"/>
      <c r="P42" s="115"/>
      <c r="Q42" s="106"/>
      <c r="R42" s="64"/>
      <c r="T42" s="117"/>
      <c r="U42" s="106"/>
      <c r="V42" s="157"/>
      <c r="X42" s="117"/>
      <c r="Y42" s="115"/>
      <c r="Z42" s="106"/>
      <c r="AA42" s="64"/>
      <c r="AC42" s="117"/>
      <c r="AD42" s="106"/>
      <c r="AE42" s="201"/>
      <c r="AG42" s="26"/>
      <c r="AI42" s="117"/>
      <c r="AJ42" s="115"/>
      <c r="AK42" s="106"/>
      <c r="AL42" s="64"/>
      <c r="AN42" s="117"/>
      <c r="AO42" s="106"/>
      <c r="AP42" s="201"/>
      <c r="AR42" s="117"/>
      <c r="AS42" s="115"/>
      <c r="AT42" s="106"/>
      <c r="AU42" s="3333"/>
      <c r="AW42" s="117"/>
      <c r="AX42" s="106"/>
      <c r="AY42" s="204"/>
      <c r="AZ42" s="26"/>
      <c r="BA42" s="26"/>
      <c r="BB42" s="117"/>
      <c r="BC42" s="115"/>
      <c r="BD42" s="106"/>
      <c r="BE42" s="329"/>
      <c r="BG42" s="117"/>
      <c r="BH42" s="106"/>
      <c r="BI42" s="204"/>
      <c r="BJ42" s="26"/>
    </row>
    <row r="43" spans="1:62" x14ac:dyDescent="0.35">
      <c r="A43" s="9168"/>
      <c r="B43" s="241"/>
      <c r="C43" s="241" t="s">
        <v>536</v>
      </c>
      <c r="D43" s="197"/>
      <c r="F43" s="163"/>
      <c r="H43" s="242"/>
      <c r="I43" s="243"/>
      <c r="J43" s="64">
        <f t="shared" si="26"/>
        <v>0</v>
      </c>
      <c r="L43" s="242"/>
      <c r="M43" s="3272"/>
      <c r="O43" s="242"/>
      <c r="P43" s="115"/>
      <c r="Q43" s="106"/>
      <c r="R43" s="64"/>
      <c r="T43" s="242"/>
      <c r="U43" s="106"/>
      <c r="V43" s="157"/>
      <c r="X43" s="242"/>
      <c r="Y43" s="115"/>
      <c r="Z43" s="106"/>
      <c r="AA43" s="64"/>
      <c r="AC43" s="242"/>
      <c r="AD43" s="106"/>
      <c r="AE43" s="244"/>
      <c r="AG43" s="26"/>
      <c r="AI43" s="242"/>
      <c r="AJ43" s="115"/>
      <c r="AK43" s="106"/>
      <c r="AL43" s="64"/>
      <c r="AN43" s="242"/>
      <c r="AO43" s="106"/>
      <c r="AP43" s="244"/>
      <c r="AR43" s="242"/>
      <c r="AS43" s="115"/>
      <c r="AT43" s="106"/>
      <c r="AU43" s="3333"/>
      <c r="AW43" s="242"/>
      <c r="AX43" s="106"/>
      <c r="AY43" s="165"/>
      <c r="AZ43" s="26"/>
      <c r="BA43" s="26"/>
      <c r="BB43" s="242"/>
      <c r="BC43" s="115"/>
      <c r="BD43" s="106"/>
      <c r="BE43" s="329"/>
      <c r="BG43" s="242"/>
      <c r="BH43" s="106"/>
      <c r="BI43" s="165"/>
      <c r="BJ43" s="26"/>
    </row>
    <row r="44" spans="1:62" x14ac:dyDescent="0.35">
      <c r="A44" s="9168"/>
      <c r="B44" s="141" t="s">
        <v>531</v>
      </c>
      <c r="C44"/>
      <c r="D44" s="197"/>
      <c r="E44" s="143"/>
      <c r="F44" s="168"/>
      <c r="G44" s="143"/>
      <c r="H44" s="245"/>
      <c r="I44" s="106"/>
      <c r="J44" s="246"/>
      <c r="K44" s="143"/>
      <c r="L44" s="245"/>
      <c r="M44" s="66"/>
      <c r="N44" s="143"/>
      <c r="O44" s="245"/>
      <c r="P44" s="106"/>
      <c r="Q44" s="106"/>
      <c r="R44" s="64"/>
      <c r="S44" s="143"/>
      <c r="T44" s="245"/>
      <c r="U44" s="106"/>
      <c r="V44" s="247"/>
      <c r="W44" s="143"/>
      <c r="X44" s="245"/>
      <c r="Y44" s="106"/>
      <c r="Z44" s="106"/>
      <c r="AA44" s="64"/>
      <c r="AB44" s="143"/>
      <c r="AC44" s="245"/>
      <c r="AD44" s="106"/>
      <c r="AE44" s="106"/>
      <c r="AF44" s="143"/>
      <c r="AG44" s="18"/>
      <c r="AH44" s="143"/>
      <c r="AI44" s="245"/>
      <c r="AJ44" s="106"/>
      <c r="AK44" s="106"/>
      <c r="AL44" s="64"/>
      <c r="AM44" s="143"/>
      <c r="AN44" s="245"/>
      <c r="AO44" s="106"/>
      <c r="AP44" s="106"/>
      <c r="AQ44" s="143"/>
      <c r="AR44" s="245"/>
      <c r="AS44" s="106"/>
      <c r="AT44" s="106"/>
      <c r="AU44" s="3333"/>
      <c r="AV44" s="143"/>
      <c r="AW44" s="245"/>
      <c r="AX44" s="106"/>
      <c r="AY44" s="106"/>
      <c r="AZ44" s="26"/>
      <c r="BA44" s="26"/>
      <c r="BB44" s="245"/>
      <c r="BC44" s="106"/>
      <c r="BD44" s="106"/>
      <c r="BE44" s="329"/>
      <c r="BF44" s="143"/>
      <c r="BG44" s="245"/>
      <c r="BH44" s="106"/>
      <c r="BI44" s="106"/>
      <c r="BJ44" s="26"/>
    </row>
    <row r="45" spans="1:62" x14ac:dyDescent="0.35">
      <c r="A45" s="9168"/>
      <c r="B45" s="240"/>
      <c r="C45" s="240" t="s">
        <v>532</v>
      </c>
      <c r="D45" s="197"/>
      <c r="F45" s="111"/>
      <c r="H45" s="112"/>
      <c r="I45" s="113"/>
      <c r="J45" s="64">
        <f t="shared" ref="J45:J47" si="29">IF(H45=0,0,I45/H45)</f>
        <v>0</v>
      </c>
      <c r="L45" s="112"/>
      <c r="M45" s="3254"/>
      <c r="O45" s="200"/>
      <c r="P45" s="3273"/>
      <c r="Q45" s="57"/>
      <c r="R45" s="64"/>
      <c r="T45" s="117"/>
      <c r="U45" s="57"/>
      <c r="V45" s="157"/>
      <c r="X45" s="200"/>
      <c r="Y45" s="3273"/>
      <c r="Z45" s="57"/>
      <c r="AA45" s="64"/>
      <c r="AC45" s="117"/>
      <c r="AD45" s="57"/>
      <c r="AE45" s="201"/>
      <c r="AG45" s="26"/>
      <c r="AI45" s="200"/>
      <c r="AJ45" s="3273"/>
      <c r="AK45" s="57"/>
      <c r="AL45" s="64"/>
      <c r="AN45" s="117"/>
      <c r="AO45" s="57"/>
      <c r="AP45" s="201"/>
      <c r="AR45" s="200"/>
      <c r="AS45" s="3273"/>
      <c r="AT45" s="57"/>
      <c r="AU45" s="3333"/>
      <c r="AW45" s="117"/>
      <c r="AX45" s="57"/>
      <c r="AY45" s="204"/>
      <c r="AZ45" s="26"/>
      <c r="BA45" s="26"/>
      <c r="BB45" s="200"/>
      <c r="BC45" s="3273"/>
      <c r="BD45" s="57"/>
      <c r="BE45" s="329"/>
      <c r="BG45" s="117"/>
      <c r="BH45" s="57"/>
      <c r="BI45" s="204"/>
      <c r="BJ45" s="26"/>
    </row>
    <row r="46" spans="1:62" x14ac:dyDescent="0.35">
      <c r="A46" s="9168"/>
      <c r="B46" s="240"/>
      <c r="C46" s="240" t="s">
        <v>533</v>
      </c>
      <c r="D46" s="197"/>
      <c r="F46" s="155"/>
      <c r="H46" s="117"/>
      <c r="I46" s="115"/>
      <c r="J46" s="64">
        <f t="shared" si="29"/>
        <v>0</v>
      </c>
      <c r="L46" s="117"/>
      <c r="M46" s="3265"/>
      <c r="O46" s="164"/>
      <c r="P46" s="3273"/>
      <c r="Q46" s="57"/>
      <c r="R46" s="64"/>
      <c r="T46" s="242"/>
      <c r="U46" s="57"/>
      <c r="V46" s="157"/>
      <c r="X46" s="164"/>
      <c r="Y46" s="3273"/>
      <c r="Z46" s="57"/>
      <c r="AA46" s="64"/>
      <c r="AC46" s="242"/>
      <c r="AD46" s="57"/>
      <c r="AE46" s="244"/>
      <c r="AG46" s="26"/>
      <c r="AI46" s="164"/>
      <c r="AJ46" s="3273"/>
      <c r="AK46" s="57"/>
      <c r="AL46" s="64"/>
      <c r="AN46" s="242"/>
      <c r="AO46" s="57"/>
      <c r="AP46" s="244"/>
      <c r="AR46" s="164"/>
      <c r="AS46" s="3273"/>
      <c r="AT46" s="57"/>
      <c r="AU46" s="3333"/>
      <c r="AW46" s="242"/>
      <c r="AX46" s="57"/>
      <c r="AY46" s="165"/>
      <c r="AZ46" s="26"/>
      <c r="BA46" s="26"/>
      <c r="BB46" s="164"/>
      <c r="BC46" s="3273"/>
      <c r="BD46" s="57"/>
      <c r="BE46" s="329"/>
      <c r="BG46" s="242"/>
      <c r="BH46" s="57"/>
      <c r="BI46" s="165"/>
      <c r="BJ46" s="26"/>
    </row>
    <row r="47" spans="1:62" x14ac:dyDescent="0.35">
      <c r="A47" s="9168"/>
      <c r="B47" s="250"/>
      <c r="C47" s="250" t="s">
        <v>534</v>
      </c>
      <c r="D47" s="209"/>
      <c r="F47" s="130"/>
      <c r="H47" s="242"/>
      <c r="I47" s="243"/>
      <c r="J47" s="64">
        <f t="shared" si="29"/>
        <v>0</v>
      </c>
      <c r="L47" s="131"/>
      <c r="M47" s="3272"/>
      <c r="O47" s="164"/>
      <c r="P47" s="215"/>
      <c r="Q47" s="216"/>
      <c r="R47" s="64"/>
      <c r="T47" s="131"/>
      <c r="U47" s="216"/>
      <c r="V47" s="213"/>
      <c r="X47" s="164"/>
      <c r="Y47" s="215"/>
      <c r="Z47" s="216"/>
      <c r="AA47" s="64"/>
      <c r="AC47" s="131"/>
      <c r="AD47" s="216"/>
      <c r="AE47" s="215"/>
      <c r="AG47" s="24"/>
      <c r="AI47" s="164"/>
      <c r="AJ47" s="215"/>
      <c r="AK47" s="216"/>
      <c r="AL47" s="64"/>
      <c r="AN47" s="131"/>
      <c r="AO47" s="216"/>
      <c r="AP47" s="215"/>
      <c r="AR47" s="164"/>
      <c r="AS47" s="215"/>
      <c r="AT47" s="216"/>
      <c r="AU47" s="3333"/>
      <c r="AW47" s="131"/>
      <c r="AX47" s="216"/>
      <c r="AY47" s="135"/>
      <c r="AZ47" s="24"/>
      <c r="BA47" s="24"/>
      <c r="BB47" s="164"/>
      <c r="BC47" s="215"/>
      <c r="BD47" s="216"/>
      <c r="BE47" s="329"/>
      <c r="BG47" s="131"/>
      <c r="BH47" s="216"/>
      <c r="BI47" s="135"/>
      <c r="BJ47" s="24"/>
    </row>
    <row r="48" spans="1:62" x14ac:dyDescent="0.35">
      <c r="A48" s="9168"/>
      <c r="B48" s="141" t="s">
        <v>3045</v>
      </c>
      <c r="C48" s="141"/>
      <c r="D48" s="197"/>
      <c r="E48" s="143"/>
      <c r="F48" s="227"/>
      <c r="G48" s="143"/>
      <c r="H48" s="102"/>
      <c r="I48" s="103"/>
      <c r="J48" s="252"/>
      <c r="K48" s="143"/>
      <c r="L48" s="102"/>
      <c r="M48" s="105"/>
      <c r="N48" s="143"/>
      <c r="O48" s="102"/>
      <c r="P48" s="103"/>
      <c r="Q48" s="106"/>
      <c r="R48" s="252"/>
      <c r="S48" s="143"/>
      <c r="T48" s="245"/>
      <c r="U48" s="57" t="s">
        <v>3046</v>
      </c>
      <c r="V48" s="247"/>
      <c r="W48" s="143"/>
      <c r="X48" s="102"/>
      <c r="Y48" s="103"/>
      <c r="Z48" s="106" t="s">
        <v>3046</v>
      </c>
      <c r="AA48" s="252"/>
      <c r="AB48" s="143"/>
      <c r="AC48" s="3269" t="s">
        <v>2944</v>
      </c>
      <c r="AD48" s="3251" t="s">
        <v>3047</v>
      </c>
      <c r="AE48" s="3251" t="s">
        <v>2943</v>
      </c>
      <c r="AF48" s="143"/>
      <c r="AG48" s="26"/>
      <c r="AH48" s="143"/>
      <c r="AI48" s="102"/>
      <c r="AJ48" s="103"/>
      <c r="AK48" s="106" t="s">
        <v>3046</v>
      </c>
      <c r="AL48" s="252"/>
      <c r="AM48" s="143"/>
      <c r="AN48" s="3269" t="s">
        <v>2944</v>
      </c>
      <c r="AO48" s="3251" t="s">
        <v>3047</v>
      </c>
      <c r="AP48" s="3251" t="s">
        <v>2943</v>
      </c>
      <c r="AQ48" s="143"/>
      <c r="AR48" s="102"/>
      <c r="AS48" s="103"/>
      <c r="AT48" s="106"/>
      <c r="AU48" s="6920"/>
      <c r="AV48" s="143"/>
      <c r="AW48" s="3269"/>
      <c r="AX48" s="3251"/>
      <c r="AY48" s="3251"/>
      <c r="AZ48" s="26"/>
      <c r="BA48" s="26"/>
      <c r="BB48" s="102"/>
      <c r="BC48" s="103"/>
      <c r="BD48" s="106"/>
      <c r="BE48" s="8539"/>
      <c r="BF48" s="143"/>
      <c r="BG48" s="3269"/>
      <c r="BH48" s="3251"/>
      <c r="BI48" s="3251"/>
      <c r="BJ48" s="26"/>
    </row>
    <row r="49" spans="1:62" ht="24.75" customHeight="1" x14ac:dyDescent="0.35">
      <c r="A49" s="9168"/>
      <c r="B49" s="240"/>
      <c r="C49" s="240" t="s">
        <v>3048</v>
      </c>
      <c r="D49" s="197"/>
      <c r="F49" s="111"/>
      <c r="H49" s="112">
        <f>5120492211+536088191+349250481</f>
        <v>6005830883</v>
      </c>
      <c r="I49" s="113">
        <f>4119200749+514645199+311541352</f>
        <v>4945387300</v>
      </c>
      <c r="J49" s="64">
        <f t="shared" ref="J49:J59" si="30">IF(H49=0,0,I49/H49)</f>
        <v>0.82343099503489636</v>
      </c>
      <c r="L49" s="112">
        <v>5532134847</v>
      </c>
      <c r="M49" s="3254">
        <v>4828703876.8000002</v>
      </c>
      <c r="O49" s="112">
        <f>L49</f>
        <v>5532134847</v>
      </c>
      <c r="P49" s="3273">
        <f t="shared" ref="P49:P52" si="31">M49</f>
        <v>4828703876.8000002</v>
      </c>
      <c r="Q49" s="57" t="s">
        <v>3046</v>
      </c>
      <c r="R49" s="64"/>
      <c r="T49" s="112">
        <f>5572351856+625803444+438937823</f>
        <v>6637093123</v>
      </c>
      <c r="U49" s="57" t="s">
        <v>3049</v>
      </c>
      <c r="V49" s="157">
        <f>4008497815.4+598207756.9+217882649.4</f>
        <v>4824588221.6999998</v>
      </c>
      <c r="X49" s="112">
        <f>5572351856+625803444+438937823</f>
        <v>6637093123</v>
      </c>
      <c r="Y49" s="233">
        <f>4008497815.4+598207756.9+217882649.4</f>
        <v>4824588221.6999998</v>
      </c>
      <c r="Z49" s="57" t="s">
        <v>3049</v>
      </c>
      <c r="AA49" s="64"/>
      <c r="AC49" s="112">
        <f>6195626695+661416276+452193504</f>
        <v>7309236475</v>
      </c>
      <c r="AD49" s="57" t="s">
        <v>3050</v>
      </c>
      <c r="AE49" s="233">
        <f>3598066676+647987012+308547418</f>
        <v>4554601106</v>
      </c>
      <c r="AG49" s="257"/>
      <c r="AI49" s="112">
        <f>AC49</f>
        <v>7309236475</v>
      </c>
      <c r="AJ49" s="233">
        <f>AE49</f>
        <v>4554601106</v>
      </c>
      <c r="AK49" s="57"/>
      <c r="AL49" s="64"/>
      <c r="AN49" s="112">
        <f>6490321453+625291250+457125703</f>
        <v>7572738406</v>
      </c>
      <c r="AO49" s="53" t="s">
        <v>3051</v>
      </c>
      <c r="AP49" s="233">
        <f>4817448343+601401204+430181843</f>
        <v>5849031390</v>
      </c>
      <c r="AR49" s="112">
        <f>6490321453+625291250+457125703</f>
        <v>7572738406</v>
      </c>
      <c r="AS49" s="233">
        <f>4817448343+601401204+430181843</f>
        <v>5849031390</v>
      </c>
      <c r="AT49" s="57" t="s">
        <v>890</v>
      </c>
      <c r="AU49" s="3333">
        <f t="shared" ref="AU49:AU52" si="32">AS49/AR49</f>
        <v>0.77237996038074153</v>
      </c>
      <c r="AW49" s="112">
        <f>4916695586+645626401+645626401</f>
        <v>6207948388</v>
      </c>
      <c r="AX49" s="53" t="s">
        <v>1170</v>
      </c>
      <c r="AY49" s="233">
        <f>3905212998+606018428+555728510</f>
        <v>5066959936</v>
      </c>
      <c r="AZ49" s="257"/>
      <c r="BA49" s="257"/>
      <c r="BB49" s="112">
        <f>4916695586+645626401+626294497</f>
        <v>6188616484</v>
      </c>
      <c r="BC49" s="233">
        <f>3905212998+606018428+405980228</f>
        <v>4917211654</v>
      </c>
      <c r="BD49" s="57"/>
      <c r="BE49" s="329">
        <f t="shared" ref="BE49:BE52" si="33">BC49/BB49</f>
        <v>0.79455750194133379</v>
      </c>
      <c r="BG49" s="112">
        <f>5690868881+747814124+571962109</f>
        <v>7010645114</v>
      </c>
      <c r="BH49" s="53"/>
      <c r="BI49" s="233">
        <f>2411263526+590426578+339358063</f>
        <v>3341048167</v>
      </c>
      <c r="BJ49" s="257"/>
    </row>
    <row r="50" spans="1:62" x14ac:dyDescent="0.35">
      <c r="A50" s="9168"/>
      <c r="B50" s="240"/>
      <c r="C50" s="240" t="s">
        <v>3052</v>
      </c>
      <c r="D50" s="197"/>
      <c r="F50" s="155"/>
      <c r="H50" s="117">
        <v>1027877271</v>
      </c>
      <c r="I50" s="115">
        <v>877853093</v>
      </c>
      <c r="J50" s="64">
        <f t="shared" si="30"/>
        <v>0.8540446586059397</v>
      </c>
      <c r="L50" s="117">
        <v>933154034</v>
      </c>
      <c r="M50" s="3265">
        <v>931115076</v>
      </c>
      <c r="O50" s="117">
        <f t="shared" ref="O50:O52" si="34">L50</f>
        <v>933154034</v>
      </c>
      <c r="P50" s="3273">
        <f t="shared" si="31"/>
        <v>931115076</v>
      </c>
      <c r="Q50" s="57"/>
      <c r="R50" s="64"/>
      <c r="T50" s="112">
        <v>904827533</v>
      </c>
      <c r="U50" s="57" t="s">
        <v>3053</v>
      </c>
      <c r="V50" s="157">
        <v>818862999.39999998</v>
      </c>
      <c r="X50" s="117">
        <v>904827533</v>
      </c>
      <c r="Y50" s="233">
        <v>818862999.39999998</v>
      </c>
      <c r="Z50" s="57" t="s">
        <v>3053</v>
      </c>
      <c r="AA50" s="64"/>
      <c r="AC50" s="112">
        <v>906842968</v>
      </c>
      <c r="AD50" s="57" t="s">
        <v>3054</v>
      </c>
      <c r="AE50" s="233">
        <v>905092716</v>
      </c>
      <c r="AG50" s="26"/>
      <c r="AI50" s="112">
        <f t="shared" ref="AI50:AI52" si="35">AC50</f>
        <v>906842968</v>
      </c>
      <c r="AJ50" s="233">
        <f t="shared" ref="AJ50:AJ52" si="36">AE50</f>
        <v>905092716</v>
      </c>
      <c r="AK50" s="57"/>
      <c r="AL50" s="64"/>
      <c r="AN50" s="112">
        <v>950573950</v>
      </c>
      <c r="AO50" s="53" t="s">
        <v>3041</v>
      </c>
      <c r="AP50" s="233">
        <v>899312487</v>
      </c>
      <c r="AR50" s="112">
        <v>950573950</v>
      </c>
      <c r="AS50" s="233">
        <v>899312487</v>
      </c>
      <c r="AT50" s="57" t="s">
        <v>3055</v>
      </c>
      <c r="AU50" s="3333">
        <f t="shared" si="32"/>
        <v>0.94607314559798317</v>
      </c>
      <c r="AW50" s="112">
        <v>1010001720</v>
      </c>
      <c r="AX50" s="53" t="s">
        <v>1170</v>
      </c>
      <c r="AY50" s="233">
        <v>907571631</v>
      </c>
      <c r="AZ50" s="26"/>
      <c r="BA50" s="26"/>
      <c r="BB50" s="112">
        <v>1010001720</v>
      </c>
      <c r="BC50" s="233">
        <v>907571631</v>
      </c>
      <c r="BD50" s="57"/>
      <c r="BE50" s="329">
        <f t="shared" si="33"/>
        <v>0.89858424300505146</v>
      </c>
      <c r="BG50" s="112">
        <v>1052240469</v>
      </c>
      <c r="BH50" s="53"/>
      <c r="BI50" s="233">
        <v>821156390</v>
      </c>
      <c r="BJ50" s="26"/>
    </row>
    <row r="51" spans="1:62" x14ac:dyDescent="0.35">
      <c r="A51" s="9168"/>
      <c r="B51" s="240"/>
      <c r="C51" s="240" t="s">
        <v>3056</v>
      </c>
      <c r="D51" s="197"/>
      <c r="F51" s="155"/>
      <c r="H51" s="117">
        <v>67900000</v>
      </c>
      <c r="I51" s="115">
        <v>48401044</v>
      </c>
      <c r="J51" s="64">
        <f t="shared" si="30"/>
        <v>0.71282833578792337</v>
      </c>
      <c r="L51" s="117">
        <v>60690436</v>
      </c>
      <c r="M51" s="3265">
        <v>49888225</v>
      </c>
      <c r="O51" s="117">
        <f t="shared" si="34"/>
        <v>60690436</v>
      </c>
      <c r="P51" s="3273">
        <f t="shared" si="31"/>
        <v>49888225</v>
      </c>
      <c r="Q51" s="57"/>
      <c r="R51" s="64"/>
      <c r="T51" s="112">
        <v>149603024</v>
      </c>
      <c r="U51" s="57" t="s">
        <v>3057</v>
      </c>
      <c r="V51" s="157">
        <v>132317038.8</v>
      </c>
      <c r="X51" s="117">
        <v>149603024</v>
      </c>
      <c r="Y51" s="233">
        <v>132317038.8</v>
      </c>
      <c r="Z51" s="57" t="s">
        <v>3057</v>
      </c>
      <c r="AA51" s="64"/>
      <c r="AC51" s="112">
        <v>149603024</v>
      </c>
      <c r="AD51" s="57" t="s">
        <v>3058</v>
      </c>
      <c r="AE51" s="233">
        <v>129493859</v>
      </c>
      <c r="AG51" s="26"/>
      <c r="AI51" s="112">
        <f t="shared" si="35"/>
        <v>149603024</v>
      </c>
      <c r="AJ51" s="233">
        <f t="shared" si="36"/>
        <v>129493859</v>
      </c>
      <c r="AK51" s="57"/>
      <c r="AL51" s="64"/>
      <c r="AN51" s="112">
        <v>149603024</v>
      </c>
      <c r="AO51" s="53" t="s">
        <v>3041</v>
      </c>
      <c r="AP51" s="233">
        <v>134999423</v>
      </c>
      <c r="AR51" s="112">
        <v>149603024</v>
      </c>
      <c r="AS51" s="233">
        <v>134999423</v>
      </c>
      <c r="AT51" s="57" t="s">
        <v>890</v>
      </c>
      <c r="AU51" s="3333">
        <f t="shared" si="32"/>
        <v>0.902384319450655</v>
      </c>
      <c r="AW51" s="112">
        <v>193159989</v>
      </c>
      <c r="AX51" s="53" t="s">
        <v>1170</v>
      </c>
      <c r="AY51" s="233">
        <v>179299097</v>
      </c>
      <c r="AZ51" s="26"/>
      <c r="BA51" s="26"/>
      <c r="BB51" s="112">
        <v>193159989</v>
      </c>
      <c r="BC51" s="233">
        <v>143960481</v>
      </c>
      <c r="BD51" s="57"/>
      <c r="BE51" s="329">
        <f t="shared" si="33"/>
        <v>0.74529141229139328</v>
      </c>
      <c r="BG51" s="112">
        <v>157893889</v>
      </c>
      <c r="BH51" s="53"/>
      <c r="BI51" s="233">
        <v>102089639</v>
      </c>
      <c r="BJ51" s="26"/>
    </row>
    <row r="52" spans="1:62" x14ac:dyDescent="0.35">
      <c r="A52" s="9168"/>
      <c r="B52" s="240"/>
      <c r="C52" s="240" t="s">
        <v>3059</v>
      </c>
      <c r="D52" s="197"/>
      <c r="F52" s="155"/>
      <c r="H52" s="117">
        <v>18223756</v>
      </c>
      <c r="I52" s="115">
        <v>15727306.4</v>
      </c>
      <c r="J52" s="64">
        <f t="shared" si="30"/>
        <v>0.863011247516703</v>
      </c>
      <c r="L52" s="117">
        <v>23942912</v>
      </c>
      <c r="M52" s="3265">
        <v>22773190.199999999</v>
      </c>
      <c r="O52" s="117">
        <f t="shared" si="34"/>
        <v>23942912</v>
      </c>
      <c r="P52" s="3273">
        <f t="shared" si="31"/>
        <v>22773190.199999999</v>
      </c>
      <c r="Q52" s="57"/>
      <c r="R52" s="64"/>
      <c r="T52" s="112">
        <v>25406901</v>
      </c>
      <c r="U52" s="57" t="s">
        <v>3057</v>
      </c>
      <c r="V52" s="157">
        <v>20355933.5</v>
      </c>
      <c r="X52" s="117">
        <v>25406901</v>
      </c>
      <c r="Y52" s="233">
        <v>20355933.5</v>
      </c>
      <c r="Z52" s="57" t="s">
        <v>3057</v>
      </c>
      <c r="AA52" s="64"/>
      <c r="AC52" s="112">
        <v>19689666</v>
      </c>
      <c r="AD52" s="57" t="s">
        <v>3060</v>
      </c>
      <c r="AE52" s="233">
        <v>13911567</v>
      </c>
      <c r="AG52" s="26"/>
      <c r="AI52" s="112">
        <f t="shared" si="35"/>
        <v>19689666</v>
      </c>
      <c r="AJ52" s="233">
        <f t="shared" si="36"/>
        <v>13911567</v>
      </c>
      <c r="AK52" s="57"/>
      <c r="AL52" s="64"/>
      <c r="AN52" s="112">
        <v>31395807</v>
      </c>
      <c r="AO52" s="53" t="s">
        <v>3051</v>
      </c>
      <c r="AP52" s="233">
        <v>13954535</v>
      </c>
      <c r="AR52" s="112">
        <v>31395807</v>
      </c>
      <c r="AS52" s="233">
        <v>13954535</v>
      </c>
      <c r="AT52" s="57" t="s">
        <v>890</v>
      </c>
      <c r="AU52" s="3333">
        <f t="shared" si="32"/>
        <v>0.44447129516371409</v>
      </c>
      <c r="AW52" s="112">
        <v>21404522</v>
      </c>
      <c r="AX52" s="53" t="s">
        <v>1170</v>
      </c>
      <c r="AY52" s="233">
        <v>12851611</v>
      </c>
      <c r="AZ52" s="26"/>
      <c r="BA52" s="26"/>
      <c r="BB52" s="112">
        <v>21404522</v>
      </c>
      <c r="BC52" s="233">
        <v>12851611</v>
      </c>
      <c r="BD52" s="57"/>
      <c r="BE52" s="329">
        <f t="shared" si="33"/>
        <v>0.60041569720641275</v>
      </c>
      <c r="BG52" s="112">
        <v>90909214</v>
      </c>
      <c r="BH52" s="53"/>
      <c r="BI52" s="233">
        <v>10250369</v>
      </c>
      <c r="BJ52" s="26"/>
    </row>
    <row r="53" spans="1:62" x14ac:dyDescent="0.35">
      <c r="A53" s="9168"/>
      <c r="B53" s="240"/>
      <c r="C53" s="240"/>
      <c r="D53" s="197"/>
      <c r="F53" s="155"/>
      <c r="H53" s="117"/>
      <c r="I53" s="115"/>
      <c r="J53" s="64">
        <f t="shared" si="30"/>
        <v>0</v>
      </c>
      <c r="L53" s="117"/>
      <c r="M53" s="3265"/>
      <c r="O53" s="117"/>
      <c r="P53" s="3273"/>
      <c r="Q53" s="57"/>
      <c r="R53" s="64"/>
      <c r="T53" s="112"/>
      <c r="U53" s="57"/>
      <c r="V53" s="157"/>
      <c r="X53" s="117"/>
      <c r="Y53" s="3273"/>
      <c r="Z53" s="57"/>
      <c r="AA53" s="64"/>
      <c r="AC53" s="112"/>
      <c r="AD53" s="57"/>
      <c r="AE53" s="233"/>
      <c r="AG53" s="26"/>
      <c r="AI53" s="117"/>
      <c r="AJ53" s="3273"/>
      <c r="AK53" s="57"/>
      <c r="AL53" s="64"/>
      <c r="AN53" s="112"/>
      <c r="AO53" s="57"/>
      <c r="AP53" s="233"/>
      <c r="AR53" s="117"/>
      <c r="AS53" s="3273"/>
      <c r="AT53" s="57"/>
      <c r="AU53" s="3333"/>
      <c r="AW53" s="262"/>
      <c r="AX53" s="3969"/>
      <c r="AY53" s="263"/>
      <c r="AZ53" s="26"/>
      <c r="BA53" s="26"/>
      <c r="BB53" s="117"/>
      <c r="BC53" s="3273"/>
      <c r="BD53" s="57"/>
      <c r="BE53" s="329"/>
      <c r="BG53" s="262"/>
      <c r="BH53" s="3969"/>
      <c r="BI53" s="263"/>
      <c r="BJ53" s="26"/>
    </row>
    <row r="54" spans="1:62" x14ac:dyDescent="0.35">
      <c r="A54" s="9168"/>
      <c r="B54" s="240"/>
      <c r="C54" s="240"/>
      <c r="D54" s="197"/>
      <c r="F54" s="155"/>
      <c r="H54" s="117"/>
      <c r="I54" s="115"/>
      <c r="J54" s="64">
        <f t="shared" si="30"/>
        <v>0</v>
      </c>
      <c r="L54" s="117"/>
      <c r="M54" s="3265"/>
      <c r="O54" s="117"/>
      <c r="P54" s="3273"/>
      <c r="Q54" s="57"/>
      <c r="R54" s="64"/>
      <c r="T54" s="112"/>
      <c r="U54" s="57"/>
      <c r="V54" s="157"/>
      <c r="X54" s="117"/>
      <c r="Y54" s="3273"/>
      <c r="Z54" s="57"/>
      <c r="AA54" s="64"/>
      <c r="AC54" s="112"/>
      <c r="AD54" s="57"/>
      <c r="AE54" s="233"/>
      <c r="AG54" s="26"/>
      <c r="AI54" s="117"/>
      <c r="AJ54" s="3273"/>
      <c r="AK54" s="57"/>
      <c r="AL54" s="64"/>
      <c r="AN54" s="112"/>
      <c r="AO54" s="57"/>
      <c r="AP54" s="233"/>
      <c r="AR54" s="117"/>
      <c r="AS54" s="3273"/>
      <c r="AT54" s="57"/>
      <c r="AU54" s="3333"/>
      <c r="AW54" s="112"/>
      <c r="AX54" s="57"/>
      <c r="AY54" s="233"/>
      <c r="AZ54" s="26"/>
      <c r="BA54" s="26"/>
      <c r="BB54" s="117"/>
      <c r="BC54" s="3273"/>
      <c r="BD54" s="57"/>
      <c r="BE54" s="329"/>
      <c r="BG54" s="112"/>
      <c r="BH54" s="57"/>
      <c r="BI54" s="233"/>
      <c r="BJ54" s="26"/>
    </row>
    <row r="55" spans="1:62" x14ac:dyDescent="0.35">
      <c r="A55" s="9168"/>
      <c r="B55" s="240"/>
      <c r="C55" s="240"/>
      <c r="D55" s="197"/>
      <c r="F55" s="155"/>
      <c r="H55" s="117"/>
      <c r="I55" s="115"/>
      <c r="J55" s="64">
        <f t="shared" si="30"/>
        <v>0</v>
      </c>
      <c r="L55" s="117"/>
      <c r="M55" s="3265"/>
      <c r="O55" s="117"/>
      <c r="P55" s="3273"/>
      <c r="Q55" s="57"/>
      <c r="R55" s="64"/>
      <c r="T55" s="117"/>
      <c r="U55" s="57"/>
      <c r="V55" s="157"/>
      <c r="X55" s="117"/>
      <c r="Y55" s="3273"/>
      <c r="Z55" s="57"/>
      <c r="AA55" s="64"/>
      <c r="AC55" s="117"/>
      <c r="AD55" s="57"/>
      <c r="AE55" s="201"/>
      <c r="AG55" s="26"/>
      <c r="AI55" s="117"/>
      <c r="AJ55" s="3273"/>
      <c r="AK55" s="57"/>
      <c r="AL55" s="64"/>
      <c r="AN55" s="117"/>
      <c r="AO55" s="57"/>
      <c r="AP55" s="201"/>
      <c r="AR55" s="117"/>
      <c r="AS55" s="3273"/>
      <c r="AT55" s="57"/>
      <c r="AU55" s="3333"/>
      <c r="AW55" s="117"/>
      <c r="AX55" s="57"/>
      <c r="AY55" s="201"/>
      <c r="AZ55" s="26"/>
      <c r="BA55" s="26"/>
      <c r="BB55" s="117"/>
      <c r="BC55" s="3273"/>
      <c r="BD55" s="57"/>
      <c r="BE55" s="329"/>
      <c r="BG55" s="117"/>
      <c r="BH55" s="57"/>
      <c r="BI55" s="201"/>
      <c r="BJ55" s="26"/>
    </row>
    <row r="56" spans="1:62" x14ac:dyDescent="0.35">
      <c r="A56" s="9168"/>
      <c r="B56" s="241"/>
      <c r="C56" s="240"/>
      <c r="D56" s="197"/>
      <c r="F56" s="163"/>
      <c r="H56" s="242"/>
      <c r="I56" s="243"/>
      <c r="J56" s="64">
        <f t="shared" si="30"/>
        <v>0</v>
      </c>
      <c r="L56" s="242"/>
      <c r="M56" s="3272"/>
      <c r="O56" s="117"/>
      <c r="P56" s="3273"/>
      <c r="Q56" s="57"/>
      <c r="R56" s="64"/>
      <c r="T56" s="117"/>
      <c r="U56" s="57"/>
      <c r="V56" s="157"/>
      <c r="X56" s="117"/>
      <c r="Y56" s="3273"/>
      <c r="Z56" s="57"/>
      <c r="AA56" s="64"/>
      <c r="AC56" s="117"/>
      <c r="AD56" s="57"/>
      <c r="AE56" s="201"/>
      <c r="AG56" s="26"/>
      <c r="AI56" s="117"/>
      <c r="AJ56" s="3273"/>
      <c r="AK56" s="57"/>
      <c r="AL56" s="64"/>
      <c r="AN56" s="117"/>
      <c r="AO56" s="57"/>
      <c r="AP56" s="201"/>
      <c r="AR56" s="117"/>
      <c r="AS56" s="3273"/>
      <c r="AT56" s="57"/>
      <c r="AU56" s="3333"/>
      <c r="AW56" s="117"/>
      <c r="AX56" s="57"/>
      <c r="AY56" s="201"/>
      <c r="AZ56" s="26"/>
      <c r="BA56" s="26"/>
      <c r="BB56" s="117"/>
      <c r="BC56" s="3273"/>
      <c r="BD56" s="57"/>
      <c r="BE56" s="329"/>
      <c r="BG56" s="117"/>
      <c r="BH56" s="57"/>
      <c r="BI56" s="201"/>
      <c r="BJ56" s="26"/>
    </row>
    <row r="57" spans="1:62" x14ac:dyDescent="0.35">
      <c r="A57" s="9168"/>
      <c r="B57" s="241"/>
      <c r="C57" s="240"/>
      <c r="D57" s="197"/>
      <c r="F57" s="163"/>
      <c r="H57" s="242"/>
      <c r="I57" s="243"/>
      <c r="J57" s="64">
        <f t="shared" si="30"/>
        <v>0</v>
      </c>
      <c r="L57" s="242"/>
      <c r="M57" s="3272"/>
      <c r="O57" s="117"/>
      <c r="P57" s="3273"/>
      <c r="Q57" s="57"/>
      <c r="R57" s="64"/>
      <c r="T57" s="117"/>
      <c r="U57" s="57"/>
      <c r="V57" s="157"/>
      <c r="X57" s="117"/>
      <c r="Y57" s="3273"/>
      <c r="Z57" s="57"/>
      <c r="AA57" s="64"/>
      <c r="AC57" s="117"/>
      <c r="AD57" s="57"/>
      <c r="AE57" s="201"/>
      <c r="AG57" s="26"/>
      <c r="AI57" s="117"/>
      <c r="AJ57" s="3273"/>
      <c r="AK57" s="57"/>
      <c r="AL57" s="64"/>
      <c r="AN57" s="117"/>
      <c r="AO57" s="57"/>
      <c r="AP57" s="201"/>
      <c r="AR57" s="117"/>
      <c r="AS57" s="3273"/>
      <c r="AT57" s="57"/>
      <c r="AU57" s="3333"/>
      <c r="AW57" s="117"/>
      <c r="AX57" s="57"/>
      <c r="AY57" s="201"/>
      <c r="AZ57" s="26"/>
      <c r="BA57" s="26"/>
      <c r="BB57" s="117"/>
      <c r="BC57" s="3273"/>
      <c r="BD57" s="57"/>
      <c r="BE57" s="329"/>
      <c r="BG57" s="117"/>
      <c r="BH57" s="57"/>
      <c r="BI57" s="201"/>
      <c r="BJ57" s="26"/>
    </row>
    <row r="58" spans="1:62" x14ac:dyDescent="0.35">
      <c r="A58" s="9168"/>
      <c r="B58" s="241"/>
      <c r="C58" s="240"/>
      <c r="D58" s="197"/>
      <c r="F58" s="163"/>
      <c r="H58" s="242"/>
      <c r="I58" s="243"/>
      <c r="J58" s="64">
        <f t="shared" si="30"/>
        <v>0</v>
      </c>
      <c r="L58" s="242"/>
      <c r="M58" s="3272"/>
      <c r="O58" s="117"/>
      <c r="P58" s="3273"/>
      <c r="Q58" s="57"/>
      <c r="R58" s="64"/>
      <c r="T58" s="117"/>
      <c r="U58" s="57"/>
      <c r="V58" s="157"/>
      <c r="X58" s="117"/>
      <c r="Y58" s="3273"/>
      <c r="Z58" s="57"/>
      <c r="AA58" s="64"/>
      <c r="AC58" s="117"/>
      <c r="AD58" s="57"/>
      <c r="AE58" s="201"/>
      <c r="AG58" s="26"/>
      <c r="AI58" s="117"/>
      <c r="AJ58" s="3273"/>
      <c r="AK58" s="57"/>
      <c r="AL58" s="64"/>
      <c r="AN58" s="117"/>
      <c r="AO58" s="57"/>
      <c r="AP58" s="201"/>
      <c r="AR58" s="117"/>
      <c r="AS58" s="3273"/>
      <c r="AT58" s="57"/>
      <c r="AU58" s="3333"/>
      <c r="AW58" s="117"/>
      <c r="AX58" s="57"/>
      <c r="AY58" s="201"/>
      <c r="AZ58" s="26"/>
      <c r="BA58" s="26"/>
      <c r="BB58" s="117"/>
      <c r="BC58" s="3273"/>
      <c r="BD58" s="57"/>
      <c r="BE58" s="329"/>
      <c r="BG58" s="117"/>
      <c r="BH58" s="57"/>
      <c r="BI58" s="201"/>
      <c r="BJ58" s="26"/>
    </row>
    <row r="59" spans="1:62" x14ac:dyDescent="0.35">
      <c r="A59" s="9168"/>
      <c r="B59" s="241"/>
      <c r="C59" s="240"/>
      <c r="D59" s="209"/>
      <c r="F59" s="130"/>
      <c r="H59" s="131"/>
      <c r="I59" s="132"/>
      <c r="J59" s="133">
        <f t="shared" si="30"/>
        <v>0</v>
      </c>
      <c r="L59" s="131"/>
      <c r="M59" s="3264"/>
      <c r="O59" s="131"/>
      <c r="P59" s="132"/>
      <c r="Q59" s="216"/>
      <c r="R59" s="133"/>
      <c r="T59" s="242"/>
      <c r="U59" s="216"/>
      <c r="V59" s="157"/>
      <c r="X59" s="131"/>
      <c r="Y59" s="132"/>
      <c r="Z59" s="216"/>
      <c r="AA59" s="133"/>
      <c r="AC59" s="242"/>
      <c r="AD59" s="216"/>
      <c r="AE59" s="244"/>
      <c r="AG59" s="26"/>
      <c r="AI59" s="131"/>
      <c r="AJ59" s="132"/>
      <c r="AK59" s="216"/>
      <c r="AL59" s="133"/>
      <c r="AN59" s="242"/>
      <c r="AO59" s="216"/>
      <c r="AP59" s="244"/>
      <c r="AR59" s="131"/>
      <c r="AS59" s="132"/>
      <c r="AT59" s="216"/>
      <c r="AU59" s="3334"/>
      <c r="AW59" s="242"/>
      <c r="AX59" s="216"/>
      <c r="AY59" s="244"/>
      <c r="AZ59" s="26"/>
      <c r="BA59" s="26"/>
      <c r="BB59" s="131"/>
      <c r="BC59" s="132"/>
      <c r="BD59" s="216"/>
      <c r="BE59" s="344"/>
      <c r="BG59" s="242"/>
      <c r="BH59" s="216"/>
      <c r="BI59" s="244"/>
      <c r="BJ59" s="26"/>
    </row>
    <row r="60" spans="1:62" x14ac:dyDescent="0.35">
      <c r="A60" s="9168"/>
      <c r="B60" s="271" t="s">
        <v>540</v>
      </c>
      <c r="C60" s="271"/>
      <c r="D60" s="184"/>
      <c r="E60" s="141"/>
      <c r="F60" s="227"/>
      <c r="G60" s="141"/>
      <c r="H60" s="245"/>
      <c r="I60" s="106"/>
      <c r="J60" s="267"/>
      <c r="K60" s="141"/>
      <c r="L60" s="245"/>
      <c r="M60" s="66"/>
      <c r="N60" s="141"/>
      <c r="O60" s="245"/>
      <c r="P60" s="106"/>
      <c r="Q60" s="106"/>
      <c r="R60" s="267"/>
      <c r="S60" s="141"/>
      <c r="T60" s="102"/>
      <c r="U60" s="106"/>
      <c r="V60" s="268"/>
      <c r="W60" s="141"/>
      <c r="X60" s="245"/>
      <c r="Y60" s="106"/>
      <c r="Z60" s="106"/>
      <c r="AA60" s="267"/>
      <c r="AB60" s="141"/>
      <c r="AC60" s="102"/>
      <c r="AD60" s="106"/>
      <c r="AE60" s="103"/>
      <c r="AF60" s="141"/>
      <c r="AG60" s="18"/>
      <c r="AH60" s="141"/>
      <c r="AI60" s="245"/>
      <c r="AJ60" s="106"/>
      <c r="AK60" s="106"/>
      <c r="AL60" s="267"/>
      <c r="AM60" s="141"/>
      <c r="AN60" s="102"/>
      <c r="AO60" s="106"/>
      <c r="AP60" s="103"/>
      <c r="AQ60" s="141"/>
      <c r="AR60" s="245"/>
      <c r="AS60" s="106"/>
      <c r="AT60" s="106"/>
      <c r="AU60" s="6921"/>
      <c r="AV60" s="141"/>
      <c r="AW60" s="102"/>
      <c r="AX60" s="106"/>
      <c r="AY60" s="103"/>
      <c r="AZ60" s="18"/>
      <c r="BA60" s="18"/>
      <c r="BB60" s="245"/>
      <c r="BC60" s="106"/>
      <c r="BD60" s="106"/>
      <c r="BE60" s="8540"/>
      <c r="BF60" s="141"/>
      <c r="BG60" s="102"/>
      <c r="BH60" s="106"/>
      <c r="BI60" s="103"/>
      <c r="BJ60" s="18"/>
    </row>
    <row r="61" spans="1:62" x14ac:dyDescent="0.35">
      <c r="A61" s="9168"/>
      <c r="B61" s="240"/>
      <c r="C61" s="240" t="s">
        <v>532</v>
      </c>
      <c r="D61" s="197"/>
      <c r="F61" s="111"/>
      <c r="H61" s="112"/>
      <c r="I61" s="113"/>
      <c r="J61" s="64">
        <f t="shared" ref="J61:J63" si="37">IF(H61=0,0,I61/H61)</f>
        <v>0</v>
      </c>
      <c r="L61" s="112"/>
      <c r="M61" s="3254"/>
      <c r="O61" s="112"/>
      <c r="P61" s="233"/>
      <c r="Q61" s="106"/>
      <c r="R61" s="64"/>
      <c r="T61" s="112"/>
      <c r="U61" s="106"/>
      <c r="V61" s="157"/>
      <c r="X61" s="112"/>
      <c r="Y61" s="233"/>
      <c r="Z61" s="106"/>
      <c r="AA61" s="64"/>
      <c r="AC61" s="112"/>
      <c r="AD61" s="106"/>
      <c r="AE61" s="233"/>
      <c r="AG61" s="26"/>
      <c r="AI61" s="112"/>
      <c r="AJ61" s="233"/>
      <c r="AK61" s="106"/>
      <c r="AL61" s="64"/>
      <c r="AN61" s="112"/>
      <c r="AO61" s="106"/>
      <c r="AP61" s="233"/>
      <c r="AR61" s="112"/>
      <c r="AS61" s="233"/>
      <c r="AT61" s="106"/>
      <c r="AU61" s="3333"/>
      <c r="AW61" s="112"/>
      <c r="AX61" s="106"/>
      <c r="AY61" s="233"/>
      <c r="AZ61" s="26"/>
      <c r="BA61" s="26"/>
      <c r="BB61" s="112"/>
      <c r="BC61" s="233"/>
      <c r="BD61" s="106"/>
      <c r="BE61" s="329"/>
      <c r="BG61" s="112"/>
      <c r="BH61" s="106"/>
      <c r="BI61" s="233"/>
      <c r="BJ61" s="26"/>
    </row>
    <row r="62" spans="1:62" x14ac:dyDescent="0.35">
      <c r="A62" s="9168"/>
      <c r="B62" s="240"/>
      <c r="C62" s="240"/>
      <c r="D62" s="197"/>
      <c r="F62" s="163"/>
      <c r="H62" s="242"/>
      <c r="I62" s="243"/>
      <c r="J62" s="64">
        <f t="shared" si="37"/>
        <v>0</v>
      </c>
      <c r="L62" s="242"/>
      <c r="M62" s="3272"/>
      <c r="O62" s="242"/>
      <c r="P62" s="201"/>
      <c r="Q62" s="106"/>
      <c r="R62" s="64"/>
      <c r="T62" s="242"/>
      <c r="U62" s="106"/>
      <c r="V62" s="157"/>
      <c r="X62" s="242"/>
      <c r="Y62" s="201"/>
      <c r="Z62" s="106"/>
      <c r="AA62" s="64"/>
      <c r="AC62" s="242"/>
      <c r="AD62" s="106"/>
      <c r="AE62" s="244"/>
      <c r="AG62" s="26"/>
      <c r="AI62" s="242"/>
      <c r="AJ62" s="201"/>
      <c r="AK62" s="106"/>
      <c r="AL62" s="64"/>
      <c r="AN62" s="242"/>
      <c r="AO62" s="106"/>
      <c r="AP62" s="244"/>
      <c r="AR62" s="117"/>
      <c r="AS62" s="201"/>
      <c r="AT62" s="106"/>
      <c r="AU62" s="3333"/>
      <c r="AW62" s="117"/>
      <c r="AX62" s="106"/>
      <c r="AY62" s="201"/>
      <c r="AZ62" s="26"/>
      <c r="BA62" s="26"/>
      <c r="BB62" s="117"/>
      <c r="BC62" s="201"/>
      <c r="BD62" s="106"/>
      <c r="BE62" s="329"/>
      <c r="BG62" s="117"/>
      <c r="BH62" s="106"/>
      <c r="BI62" s="201"/>
      <c r="BJ62" s="26"/>
    </row>
    <row r="63" spans="1:62" x14ac:dyDescent="0.35">
      <c r="A63" s="9168"/>
      <c r="B63" s="250"/>
      <c r="C63" s="250"/>
      <c r="D63" s="209"/>
      <c r="F63" s="130"/>
      <c r="H63" s="242"/>
      <c r="I63" s="243"/>
      <c r="J63" s="64">
        <f t="shared" si="37"/>
        <v>0</v>
      </c>
      <c r="L63" s="242"/>
      <c r="M63" s="3272"/>
      <c r="O63" s="242"/>
      <c r="P63" s="201"/>
      <c r="Q63" s="216"/>
      <c r="R63" s="64"/>
      <c r="T63" s="242"/>
      <c r="U63" s="216"/>
      <c r="V63" s="157"/>
      <c r="X63" s="242"/>
      <c r="Y63" s="201"/>
      <c r="Z63" s="216"/>
      <c r="AA63" s="64"/>
      <c r="AC63" s="242"/>
      <c r="AD63" s="216"/>
      <c r="AE63" s="244"/>
      <c r="AG63" s="24"/>
      <c r="AI63" s="242"/>
      <c r="AJ63" s="201"/>
      <c r="AK63" s="216"/>
      <c r="AL63" s="64"/>
      <c r="AN63" s="242"/>
      <c r="AO63" s="216"/>
      <c r="AP63" s="244"/>
      <c r="AR63" s="242"/>
      <c r="AS63" s="201"/>
      <c r="AT63" s="216"/>
      <c r="AU63" s="3333"/>
      <c r="AW63" s="242"/>
      <c r="AX63" s="216"/>
      <c r="AY63" s="244"/>
      <c r="AZ63" s="24"/>
      <c r="BA63" s="24"/>
      <c r="BB63" s="242"/>
      <c r="BC63" s="201"/>
      <c r="BD63" s="216"/>
      <c r="BE63" s="329"/>
      <c r="BG63" s="242"/>
      <c r="BH63" s="216"/>
      <c r="BI63" s="244"/>
      <c r="BJ63" s="24"/>
    </row>
    <row r="64" spans="1:62" x14ac:dyDescent="0.35">
      <c r="A64" s="9168"/>
      <c r="B64" s="271" t="s">
        <v>552</v>
      </c>
      <c r="C64" s="271"/>
      <c r="D64" s="184"/>
      <c r="E64" s="143"/>
      <c r="F64" s="227"/>
      <c r="G64" s="143"/>
      <c r="H64" s="102"/>
      <c r="I64" s="103"/>
      <c r="J64" s="228"/>
      <c r="K64" s="143"/>
      <c r="L64" s="102"/>
      <c r="M64" s="105"/>
      <c r="N64" s="143"/>
      <c r="O64" s="3274"/>
      <c r="P64" s="3275"/>
      <c r="Q64" s="3276"/>
      <c r="R64" s="3277"/>
      <c r="S64" s="3278"/>
      <c r="T64" s="3279"/>
      <c r="U64" s="3280"/>
      <c r="V64" s="3281"/>
      <c r="W64" s="143"/>
      <c r="X64" s="3274"/>
      <c r="Y64" s="3275"/>
      <c r="Z64" s="3276"/>
      <c r="AA64" s="3277"/>
      <c r="AB64" s="3278"/>
      <c r="AC64" s="3279"/>
      <c r="AD64" s="3280"/>
      <c r="AE64" s="3282"/>
      <c r="AF64" s="143"/>
      <c r="AG64" s="18"/>
      <c r="AH64" s="143"/>
      <c r="AI64" s="3274"/>
      <c r="AJ64" s="3275"/>
      <c r="AK64" s="3276"/>
      <c r="AL64" s="3277"/>
      <c r="AM64" s="3278"/>
      <c r="AN64" s="3279"/>
      <c r="AO64" s="3280"/>
      <c r="AP64" s="3282"/>
      <c r="AQ64" s="143"/>
      <c r="AR64" s="3274"/>
      <c r="AS64" s="3275"/>
      <c r="AT64" s="3276"/>
      <c r="AU64" s="6922"/>
      <c r="AV64" s="3278"/>
      <c r="AW64" s="3279"/>
      <c r="AX64" s="4665"/>
      <c r="AY64" s="3282"/>
      <c r="AZ64" s="18"/>
      <c r="BA64" s="18"/>
      <c r="BB64" s="3274"/>
      <c r="BC64" s="3275"/>
      <c r="BD64" s="3276"/>
      <c r="BE64" s="6922"/>
      <c r="BF64" s="3278"/>
      <c r="BG64" s="3279"/>
      <c r="BH64" s="3280"/>
      <c r="BI64" s="3282"/>
      <c r="BJ64" s="18"/>
    </row>
    <row r="65" spans="1:62" x14ac:dyDescent="0.35">
      <c r="A65" s="9168"/>
      <c r="B65" s="272"/>
      <c r="C65" s="272" t="s">
        <v>3061</v>
      </c>
      <c r="D65" s="197"/>
      <c r="F65" s="155"/>
      <c r="H65" s="117"/>
      <c r="I65" s="115"/>
      <c r="J65" s="64">
        <f t="shared" ref="J65" si="38">IF(H65=0,0,I65/H65)</f>
        <v>0</v>
      </c>
      <c r="L65" s="117"/>
      <c r="M65" s="3265"/>
      <c r="O65" s="117"/>
      <c r="P65" s="201"/>
      <c r="Q65" s="106"/>
      <c r="R65" s="64"/>
      <c r="T65" s="200"/>
      <c r="U65" s="57"/>
      <c r="V65" s="3173"/>
      <c r="X65" s="117"/>
      <c r="Y65" s="201"/>
      <c r="Z65" s="106"/>
      <c r="AA65" s="64"/>
      <c r="AC65" s="200"/>
      <c r="AD65" s="57"/>
      <c r="AE65" s="204"/>
      <c r="AG65" s="26"/>
      <c r="AI65" s="117"/>
      <c r="AJ65" s="201"/>
      <c r="AK65" s="106"/>
      <c r="AL65" s="64"/>
      <c r="AN65" s="200"/>
      <c r="AO65" s="57"/>
      <c r="AP65" s="204"/>
      <c r="AR65" s="117"/>
      <c r="AS65" s="201"/>
      <c r="AT65" s="106"/>
      <c r="AU65" s="3333"/>
      <c r="AW65" s="200"/>
      <c r="AX65" s="57"/>
      <c r="AY65" s="204"/>
      <c r="AZ65" s="26"/>
      <c r="BA65" s="26"/>
      <c r="BB65" s="117"/>
      <c r="BC65" s="201"/>
      <c r="BD65" s="106"/>
      <c r="BE65" s="329"/>
      <c r="BG65" s="200"/>
      <c r="BH65" s="57"/>
      <c r="BI65" s="204"/>
      <c r="BJ65" s="26"/>
    </row>
    <row r="66" spans="1:62" x14ac:dyDescent="0.35">
      <c r="A66" s="9168"/>
      <c r="B66" s="274"/>
      <c r="C66" s="274"/>
      <c r="D66" s="197"/>
      <c r="F66" s="163"/>
      <c r="H66" s="242"/>
      <c r="I66" s="243"/>
      <c r="J66" s="64"/>
      <c r="L66" s="242"/>
      <c r="M66" s="3272"/>
      <c r="O66" s="242"/>
      <c r="P66" s="201"/>
      <c r="Q66" s="106"/>
      <c r="R66" s="64"/>
      <c r="T66" s="164"/>
      <c r="U66" s="57"/>
      <c r="V66" s="157"/>
      <c r="X66" s="242"/>
      <c r="Y66" s="201"/>
      <c r="Z66" s="106"/>
      <c r="AA66" s="64"/>
      <c r="AC66" s="164"/>
      <c r="AD66" s="57"/>
      <c r="AE66" s="165"/>
      <c r="AG66" s="26"/>
      <c r="AI66" s="242"/>
      <c r="AJ66" s="201"/>
      <c r="AK66" s="106"/>
      <c r="AL66" s="64"/>
      <c r="AN66" s="164"/>
      <c r="AO66" s="57"/>
      <c r="AP66" s="165"/>
      <c r="AR66" s="242"/>
      <c r="AS66" s="201"/>
      <c r="AT66" s="106"/>
      <c r="AU66" s="3333"/>
      <c r="AW66" s="164"/>
      <c r="AX66" s="57"/>
      <c r="AY66" s="165"/>
      <c r="AZ66" s="26"/>
      <c r="BA66" s="26"/>
      <c r="BB66" s="242"/>
      <c r="BC66" s="201"/>
      <c r="BD66" s="106"/>
      <c r="BE66" s="329"/>
      <c r="BG66" s="164"/>
      <c r="BH66" s="57"/>
      <c r="BI66" s="165"/>
      <c r="BJ66" s="26"/>
    </row>
    <row r="67" spans="1:62" x14ac:dyDescent="0.35">
      <c r="A67" s="9168"/>
      <c r="B67" s="277"/>
      <c r="C67" s="277" t="s">
        <v>555</v>
      </c>
      <c r="D67" s="209"/>
      <c r="F67" s="665"/>
      <c r="G67" s="666"/>
      <c r="H67" s="283"/>
      <c r="I67" s="667"/>
      <c r="J67" s="133"/>
      <c r="L67" s="283"/>
      <c r="M67" s="3283"/>
      <c r="O67" s="283"/>
      <c r="P67" s="201"/>
      <c r="Q67" s="284"/>
      <c r="R67" s="133"/>
      <c r="T67" s="3284"/>
      <c r="U67" s="284"/>
      <c r="V67" s="3285"/>
      <c r="X67" s="283"/>
      <c r="Y67" s="201"/>
      <c r="Z67" s="284"/>
      <c r="AA67" s="133"/>
      <c r="AC67" s="3284"/>
      <c r="AD67" s="284"/>
      <c r="AE67" s="669"/>
      <c r="AG67" s="24"/>
      <c r="AI67" s="283"/>
      <c r="AJ67" s="201"/>
      <c r="AK67" s="284"/>
      <c r="AL67" s="133"/>
      <c r="AN67" s="3284"/>
      <c r="AO67" s="284"/>
      <c r="AP67" s="669"/>
      <c r="AR67" s="283"/>
      <c r="AS67" s="201"/>
      <c r="AT67" s="3329"/>
      <c r="AU67" s="3334"/>
      <c r="AW67" s="3284"/>
      <c r="AX67" s="3329"/>
      <c r="AY67" s="669"/>
      <c r="AZ67" s="24"/>
      <c r="BA67" s="24"/>
      <c r="BB67" s="283"/>
      <c r="BC67" s="201"/>
      <c r="BD67" s="284"/>
      <c r="BE67" s="344"/>
      <c r="BG67" s="3284"/>
      <c r="BH67" s="284"/>
      <c r="BI67" s="669"/>
      <c r="BJ67" s="24"/>
    </row>
    <row r="68" spans="1:62" ht="15.25" customHeight="1" x14ac:dyDescent="0.35">
      <c r="A68" s="9168"/>
      <c r="B68" s="287" t="s">
        <v>556</v>
      </c>
      <c r="C68" s="288"/>
      <c r="D68" s="184"/>
      <c r="E68" s="143"/>
      <c r="F68" s="289"/>
      <c r="G68" s="290"/>
      <c r="H68" s="291"/>
      <c r="I68" s="292"/>
      <c r="J68" s="293"/>
      <c r="L68" s="291"/>
      <c r="M68" s="294"/>
      <c r="N68" s="143"/>
      <c r="O68" s="291"/>
      <c r="P68" s="292"/>
      <c r="Q68" s="106"/>
      <c r="R68" s="293"/>
      <c r="T68" s="1990"/>
      <c r="U68" s="106"/>
      <c r="V68" s="268"/>
      <c r="W68" s="143"/>
      <c r="X68" s="291"/>
      <c r="Y68" s="292"/>
      <c r="Z68" s="106"/>
      <c r="AA68" s="293"/>
      <c r="AC68" s="3269" t="s">
        <v>2944</v>
      </c>
      <c r="AD68" s="3251" t="s">
        <v>3062</v>
      </c>
      <c r="AE68" s="3251" t="s">
        <v>2943</v>
      </c>
      <c r="AF68" s="143"/>
      <c r="AG68" s="18"/>
      <c r="AH68" s="143"/>
      <c r="AI68" s="291"/>
      <c r="AJ68" s="292"/>
      <c r="AK68" s="106"/>
      <c r="AL68" s="293"/>
      <c r="AN68" s="3269" t="s">
        <v>2944</v>
      </c>
      <c r="AO68" s="3251" t="s">
        <v>3062</v>
      </c>
      <c r="AP68" s="3251" t="s">
        <v>2943</v>
      </c>
      <c r="AQ68" s="143"/>
      <c r="AR68" s="3269"/>
      <c r="AS68" s="3251"/>
      <c r="AT68" s="3251"/>
      <c r="AU68" s="6923"/>
      <c r="AW68" s="3269"/>
      <c r="AX68" s="3251"/>
      <c r="AY68" s="3251"/>
      <c r="AZ68" s="18"/>
      <c r="BA68" s="18" t="s">
        <v>3063</v>
      </c>
      <c r="BB68" s="3269"/>
      <c r="BC68" s="3251"/>
      <c r="BD68" s="3251"/>
      <c r="BE68" s="6923"/>
      <c r="BG68" s="3269"/>
      <c r="BH68" s="3251"/>
      <c r="BI68" s="3251"/>
      <c r="BJ68" s="18"/>
    </row>
    <row r="69" spans="1:62" x14ac:dyDescent="0.35">
      <c r="A69" s="9168"/>
      <c r="B69" s="302"/>
      <c r="C69" s="59" t="s">
        <v>3064</v>
      </c>
      <c r="D69" s="197"/>
      <c r="F69" s="521"/>
      <c r="G69" s="272"/>
      <c r="H69" s="304">
        <v>1552728221</v>
      </c>
      <c r="I69" s="522">
        <v>1225406455.9000001</v>
      </c>
      <c r="J69" s="297">
        <f t="shared" ref="J69:J72" si="39">IF(H69=0,0,I69/H69)</f>
        <v>0.78919571327866023</v>
      </c>
      <c r="L69" s="304">
        <v>1487362253</v>
      </c>
      <c r="M69" s="3286">
        <v>1220336820.5999999</v>
      </c>
      <c r="O69" s="62">
        <f>L69</f>
        <v>1487362253</v>
      </c>
      <c r="P69" s="3287">
        <f>M69</f>
        <v>1220336820.5999999</v>
      </c>
      <c r="Q69" s="332"/>
      <c r="R69" s="297"/>
      <c r="T69" s="62">
        <v>1436144813</v>
      </c>
      <c r="U69" s="57" t="s">
        <v>3065</v>
      </c>
      <c r="V69" s="3173">
        <v>1403873500.2</v>
      </c>
      <c r="X69" s="62">
        <v>1436144813</v>
      </c>
      <c r="Y69" s="3287">
        <v>1403873500.2</v>
      </c>
      <c r="Z69" s="332" t="s">
        <v>3065</v>
      </c>
      <c r="AA69" s="297"/>
      <c r="AC69" s="62">
        <f>91600000+331104+50565401</f>
        <v>142496505</v>
      </c>
      <c r="AD69" s="57" t="s">
        <v>3066</v>
      </c>
      <c r="AE69" s="74">
        <f>91600000+304286+18950639</f>
        <v>110854925</v>
      </c>
      <c r="AG69" s="26"/>
      <c r="AI69" s="62">
        <f>AC69</f>
        <v>142496505</v>
      </c>
      <c r="AJ69" s="3288">
        <f>AE69</f>
        <v>110854925</v>
      </c>
      <c r="AK69" s="332"/>
      <c r="AL69" s="297"/>
      <c r="AN69" s="62"/>
      <c r="AO69" s="57"/>
      <c r="AP69" s="74"/>
      <c r="AR69" s="62">
        <f>147114591+43034967</f>
        <v>190149558</v>
      </c>
      <c r="AS69" s="3288">
        <f>147114481+24062811</f>
        <v>171177292</v>
      </c>
      <c r="AT69" s="332" t="s">
        <v>3067</v>
      </c>
      <c r="AU69" s="6924"/>
      <c r="AW69" s="62">
        <v>51641035</v>
      </c>
      <c r="AX69" s="57" t="s">
        <v>3068</v>
      </c>
      <c r="AY69" s="74">
        <f>33553034</f>
        <v>33553034</v>
      </c>
      <c r="AZ69" s="26"/>
      <c r="BA69" s="26"/>
      <c r="BB69" s="62">
        <v>51641035</v>
      </c>
      <c r="BC69" s="3288">
        <v>33553034</v>
      </c>
      <c r="BD69" s="6217" t="s">
        <v>3069</v>
      </c>
      <c r="BE69" s="8541"/>
      <c r="BG69" s="62">
        <f>732170724+59440718+28080020</f>
        <v>819691462</v>
      </c>
      <c r="BH69" s="57" t="s">
        <v>3070</v>
      </c>
      <c r="BI69" s="74">
        <f>59257333+12712799</f>
        <v>71970132</v>
      </c>
      <c r="BJ69" s="26"/>
    </row>
    <row r="70" spans="1:62" x14ac:dyDescent="0.35">
      <c r="A70" s="9168"/>
      <c r="B70" s="302"/>
      <c r="C70" s="59" t="s">
        <v>3037</v>
      </c>
      <c r="D70" s="197"/>
      <c r="F70" s="61"/>
      <c r="G70" s="272"/>
      <c r="H70" s="62"/>
      <c r="I70" s="63"/>
      <c r="J70" s="297">
        <f t="shared" si="39"/>
        <v>0</v>
      </c>
      <c r="L70" s="62"/>
      <c r="M70" s="301"/>
      <c r="O70" s="62"/>
      <c r="P70" s="3287"/>
      <c r="Q70" s="106"/>
      <c r="R70" s="297"/>
      <c r="T70" s="62"/>
      <c r="U70" s="57"/>
      <c r="V70" s="3173"/>
      <c r="X70" s="62"/>
      <c r="Y70" s="3287"/>
      <c r="Z70" s="106"/>
      <c r="AA70" s="297"/>
      <c r="AC70" s="62">
        <v>1142210456</v>
      </c>
      <c r="AD70" s="57" t="s">
        <v>3071</v>
      </c>
      <c r="AE70" s="74">
        <v>1132588538</v>
      </c>
      <c r="AG70" s="26"/>
      <c r="AI70" s="62">
        <f>AC70</f>
        <v>1142210456</v>
      </c>
      <c r="AJ70" s="3288">
        <f>AE70</f>
        <v>1132588538</v>
      </c>
      <c r="AK70" s="106"/>
      <c r="AL70" s="297"/>
      <c r="AN70" s="62"/>
      <c r="AO70" s="57"/>
      <c r="AP70" s="74"/>
      <c r="AR70" s="62">
        <v>17665452</v>
      </c>
      <c r="AS70" s="3288">
        <v>9526066</v>
      </c>
      <c r="AT70" s="332" t="s">
        <v>3067</v>
      </c>
      <c r="AU70" s="6924"/>
      <c r="AW70" s="62">
        <v>1425104392</v>
      </c>
      <c r="AX70" s="57" t="s">
        <v>3068</v>
      </c>
      <c r="AY70" s="74">
        <v>1410325411</v>
      </c>
      <c r="AZ70" s="26"/>
      <c r="BA70" s="26"/>
      <c r="BB70" s="62">
        <v>1425104392</v>
      </c>
      <c r="BC70" s="3288">
        <v>1410325411</v>
      </c>
      <c r="BD70" s="6217" t="s">
        <v>2728</v>
      </c>
      <c r="BE70" s="8541"/>
      <c r="BG70" s="62">
        <v>2371048956</v>
      </c>
      <c r="BH70" s="57" t="s">
        <v>3072</v>
      </c>
      <c r="BI70" s="74" t="s">
        <v>3073</v>
      </c>
      <c r="BJ70" s="26"/>
    </row>
    <row r="71" spans="1:62" x14ac:dyDescent="0.35">
      <c r="A71" s="9168"/>
      <c r="B71" s="305"/>
      <c r="C71" s="59" t="s">
        <v>3052</v>
      </c>
      <c r="D71" s="197"/>
      <c r="F71" s="61"/>
      <c r="G71" s="272"/>
      <c r="H71" s="62"/>
      <c r="I71" s="63"/>
      <c r="J71" s="297">
        <f t="shared" si="39"/>
        <v>0</v>
      </c>
      <c r="L71" s="62"/>
      <c r="M71" s="301"/>
      <c r="O71" s="62"/>
      <c r="P71" s="3287"/>
      <c r="Q71" s="106"/>
      <c r="R71" s="297"/>
      <c r="T71" s="62"/>
      <c r="U71" s="57"/>
      <c r="V71" s="3173"/>
      <c r="X71" s="62"/>
      <c r="Y71" s="3287"/>
      <c r="Z71" s="106"/>
      <c r="AA71" s="297"/>
      <c r="AC71" s="62"/>
      <c r="AD71" s="57"/>
      <c r="AE71" s="74"/>
      <c r="AG71" s="26"/>
      <c r="AI71" s="62"/>
      <c r="AJ71" s="3287"/>
      <c r="AK71" s="106"/>
      <c r="AL71" s="297"/>
      <c r="AN71" s="62"/>
      <c r="AO71" s="57"/>
      <c r="AP71" s="74"/>
      <c r="AR71" s="62"/>
      <c r="AS71" s="3287"/>
      <c r="AT71" s="106"/>
      <c r="AU71" s="6924"/>
      <c r="AW71" s="62">
        <v>12965227</v>
      </c>
      <c r="AX71" s="57" t="s">
        <v>3068</v>
      </c>
      <c r="AY71" s="74">
        <v>0</v>
      </c>
      <c r="AZ71" s="26"/>
      <c r="BA71" s="26"/>
      <c r="BB71" s="62">
        <v>12965227</v>
      </c>
      <c r="BC71" s="3288">
        <v>0</v>
      </c>
      <c r="BD71" s="6217" t="s">
        <v>3069</v>
      </c>
      <c r="BE71" s="8541"/>
      <c r="BG71" s="62">
        <v>0</v>
      </c>
      <c r="BH71" s="57" t="s">
        <v>3070</v>
      </c>
      <c r="BI71" s="74">
        <v>0</v>
      </c>
      <c r="BJ71" s="26"/>
    </row>
    <row r="72" spans="1:62" x14ac:dyDescent="0.35">
      <c r="A72" s="9169"/>
      <c r="B72" s="306"/>
      <c r="C72" s="86"/>
      <c r="D72" s="209"/>
      <c r="F72" s="88"/>
      <c r="G72" s="274"/>
      <c r="H72" s="89"/>
      <c r="I72" s="90"/>
      <c r="J72" s="307">
        <f t="shared" si="39"/>
        <v>0</v>
      </c>
      <c r="L72" s="89"/>
      <c r="M72" s="309"/>
      <c r="O72" s="89"/>
      <c r="P72" s="308"/>
      <c r="Q72" s="216"/>
      <c r="R72" s="307"/>
      <c r="T72" s="89"/>
      <c r="U72" s="216"/>
      <c r="V72" s="213"/>
      <c r="X72" s="89"/>
      <c r="Y72" s="308"/>
      <c r="Z72" s="216"/>
      <c r="AA72" s="307"/>
      <c r="AC72" s="89"/>
      <c r="AD72" s="216"/>
      <c r="AE72" s="99"/>
      <c r="AG72" s="24"/>
      <c r="AI72" s="89"/>
      <c r="AJ72" s="308"/>
      <c r="AK72" s="216"/>
      <c r="AL72" s="307"/>
      <c r="AN72" s="89"/>
      <c r="AO72" s="216"/>
      <c r="AP72" s="99"/>
      <c r="AR72" s="89"/>
      <c r="AS72" s="308"/>
      <c r="AT72" s="216"/>
      <c r="AU72" s="6925"/>
      <c r="AW72" s="89"/>
      <c r="AX72" s="216"/>
      <c r="AY72" s="99"/>
      <c r="AZ72" s="24"/>
      <c r="BA72" s="24"/>
      <c r="BB72" s="89"/>
      <c r="BC72" s="308"/>
      <c r="BD72" s="216"/>
      <c r="BE72" s="8542"/>
      <c r="BG72" s="89"/>
      <c r="BH72" s="216"/>
      <c r="BI72" s="99"/>
      <c r="BJ72" s="24"/>
    </row>
    <row r="73" spans="1:62" x14ac:dyDescent="0.35">
      <c r="A73" s="310"/>
      <c r="B73" s="310"/>
      <c r="F73" s="106"/>
      <c r="H73" s="106"/>
      <c r="I73" s="106"/>
      <c r="J73" s="311"/>
      <c r="L73" s="106"/>
      <c r="M73" s="312"/>
      <c r="O73" s="106"/>
      <c r="P73" s="106"/>
      <c r="Q73" s="106"/>
      <c r="R73" s="311"/>
      <c r="T73" s="106"/>
      <c r="U73" s="106"/>
      <c r="V73" s="312"/>
      <c r="X73" s="106"/>
      <c r="Y73" s="106"/>
      <c r="Z73" s="106"/>
      <c r="AA73" s="311"/>
      <c r="AC73" s="106"/>
      <c r="AD73" s="106"/>
      <c r="AE73" s="312"/>
      <c r="AI73" s="106"/>
      <c r="AJ73" s="106"/>
      <c r="AK73" s="106"/>
      <c r="AL73" s="311"/>
      <c r="AN73" s="106"/>
      <c r="AO73" s="106"/>
      <c r="AP73" s="312"/>
      <c r="AR73" s="106"/>
      <c r="AS73" s="106"/>
      <c r="AT73" s="106"/>
      <c r="AU73" s="558"/>
      <c r="AW73" s="106"/>
      <c r="AX73" s="106"/>
      <c r="AY73" s="312"/>
      <c r="AZ73" s="312"/>
      <c r="BB73" s="106"/>
      <c r="BC73" s="106"/>
      <c r="BD73" s="106"/>
      <c r="BE73" s="311"/>
      <c r="BG73" s="106"/>
      <c r="BH73" s="106"/>
      <c r="BI73" s="312"/>
      <c r="BJ73" s="312"/>
    </row>
    <row r="74" spans="1:62" x14ac:dyDescent="0.35">
      <c r="A74" s="9159" t="s">
        <v>559</v>
      </c>
      <c r="B74" s="939" t="s">
        <v>560</v>
      </c>
      <c r="C74" s="940"/>
      <c r="D74" s="184"/>
      <c r="F74" s="316"/>
      <c r="G74" s="290"/>
      <c r="H74" s="317"/>
      <c r="I74" s="1687"/>
      <c r="J74" s="293"/>
      <c r="L74" s="317"/>
      <c r="M74" s="323"/>
      <c r="O74" s="317"/>
      <c r="P74" s="1687"/>
      <c r="Q74" s="103"/>
      <c r="R74" s="293"/>
      <c r="T74" s="317"/>
      <c r="U74" s="103"/>
      <c r="V74" s="323"/>
      <c r="X74" s="317"/>
      <c r="Y74" s="1687"/>
      <c r="Z74" s="103"/>
      <c r="AA74" s="293"/>
      <c r="AC74" s="317"/>
      <c r="AD74" s="103"/>
      <c r="AE74" s="1687"/>
      <c r="AG74" s="1"/>
      <c r="AI74" s="317"/>
      <c r="AJ74" s="1687"/>
      <c r="AK74" s="103"/>
      <c r="AL74" s="293"/>
      <c r="AN74" s="317"/>
      <c r="AO74" s="103"/>
      <c r="AP74" s="1687"/>
      <c r="AR74" s="317"/>
      <c r="AS74" s="1687"/>
      <c r="AT74" s="103"/>
      <c r="AU74" s="293"/>
      <c r="AW74" s="317"/>
      <c r="AX74" s="103"/>
      <c r="AY74" s="318"/>
      <c r="AZ74" s="1"/>
      <c r="BA74" s="1"/>
      <c r="BB74" s="317"/>
      <c r="BC74" s="1687"/>
      <c r="BD74" s="103"/>
      <c r="BE74" s="293"/>
      <c r="BG74" s="317"/>
      <c r="BH74" s="103"/>
      <c r="BI74" s="318"/>
      <c r="BJ74" s="1"/>
    </row>
    <row r="75" spans="1:62" x14ac:dyDescent="0.35">
      <c r="A75" s="9160"/>
      <c r="B75" s="944"/>
      <c r="C75" s="945"/>
      <c r="D75" s="197"/>
      <c r="F75" s="327"/>
      <c r="G75" s="272"/>
      <c r="H75" s="325"/>
      <c r="I75" s="946">
        <v>12822719310.9</v>
      </c>
      <c r="J75" s="297">
        <f t="shared" ref="J75:J83" si="40">IF(H75=0,0,I75/H75)</f>
        <v>0</v>
      </c>
      <c r="L75" s="325">
        <v>13381966152.5</v>
      </c>
      <c r="M75" s="333">
        <v>13115936533.4</v>
      </c>
      <c r="O75" s="330">
        <f>L75</f>
        <v>13381966152.5</v>
      </c>
      <c r="P75" s="947">
        <f>O75</f>
        <v>13381966152.5</v>
      </c>
      <c r="Q75" s="332"/>
      <c r="R75" s="297"/>
      <c r="T75" s="330">
        <v>13761854834</v>
      </c>
      <c r="U75" s="57" t="s">
        <v>3074</v>
      </c>
      <c r="V75" s="333">
        <v>13688575120.9</v>
      </c>
      <c r="X75" s="330">
        <v>13761854834</v>
      </c>
      <c r="Y75" s="947">
        <v>13688575120.9</v>
      </c>
      <c r="Z75" s="332" t="s">
        <v>3074</v>
      </c>
      <c r="AA75" s="297"/>
      <c r="AC75" s="330">
        <v>13906853022</v>
      </c>
      <c r="AD75" s="57" t="s">
        <v>3075</v>
      </c>
      <c r="AE75" s="3289">
        <v>13906853020.799999</v>
      </c>
      <c r="AG75" s="1"/>
      <c r="AI75" s="330"/>
      <c r="AJ75" s="947"/>
      <c r="AK75" s="332"/>
      <c r="AL75" s="297"/>
      <c r="AN75" s="330"/>
      <c r="AO75" s="57"/>
      <c r="AP75" s="3289"/>
      <c r="AR75" s="330"/>
      <c r="AS75" s="947"/>
      <c r="AT75" s="332"/>
      <c r="AU75" s="523"/>
      <c r="AW75" s="330"/>
      <c r="AX75" s="57"/>
      <c r="AY75" s="337"/>
      <c r="AZ75" s="1"/>
      <c r="BA75" s="1"/>
      <c r="BB75" s="330"/>
      <c r="BC75" s="8543"/>
      <c r="BD75" s="332"/>
      <c r="BE75" s="297"/>
      <c r="BG75" s="330"/>
      <c r="BH75" s="57"/>
      <c r="BI75" s="337"/>
      <c r="BJ75" s="1"/>
    </row>
    <row r="76" spans="1:62" x14ac:dyDescent="0.35">
      <c r="A76" s="9160"/>
      <c r="B76" s="944"/>
      <c r="C76" s="945"/>
      <c r="D76" s="197"/>
      <c r="F76" s="336"/>
      <c r="G76" s="272"/>
      <c r="H76" s="330"/>
      <c r="I76" s="948"/>
      <c r="J76" s="297">
        <f t="shared" si="40"/>
        <v>0</v>
      </c>
      <c r="L76" s="330"/>
      <c r="M76" s="333">
        <f t="shared" ref="M76:M83" si="41">L76*J76</f>
        <v>0</v>
      </c>
      <c r="O76" s="330"/>
      <c r="P76" s="338"/>
      <c r="Q76" s="106"/>
      <c r="R76" s="297"/>
      <c r="T76" s="330"/>
      <c r="U76" s="106"/>
      <c r="V76" s="333"/>
      <c r="X76" s="330"/>
      <c r="Y76" s="338"/>
      <c r="Z76" s="106"/>
      <c r="AA76" s="297"/>
      <c r="AC76" s="330"/>
      <c r="AD76" s="106"/>
      <c r="AE76" s="3289"/>
      <c r="AG76" s="1"/>
      <c r="AI76" s="330"/>
      <c r="AJ76" s="338"/>
      <c r="AK76" s="106"/>
      <c r="AL76" s="297"/>
      <c r="AN76" s="330"/>
      <c r="AO76" s="106"/>
      <c r="AP76" s="3289"/>
      <c r="AR76" s="330"/>
      <c r="AS76" s="338"/>
      <c r="AT76" s="106"/>
      <c r="AU76" s="523"/>
      <c r="AW76" s="330"/>
      <c r="AX76" s="106"/>
      <c r="AY76" s="337"/>
      <c r="AZ76" s="1"/>
      <c r="BA76" s="1"/>
      <c r="BB76" s="330"/>
      <c r="BC76" s="338"/>
      <c r="BD76" s="106"/>
      <c r="BE76" s="297"/>
      <c r="BG76" s="330"/>
      <c r="BH76" s="106"/>
      <c r="BI76" s="337"/>
      <c r="BJ76" s="1"/>
    </row>
    <row r="77" spans="1:62" x14ac:dyDescent="0.35">
      <c r="A77" s="9160"/>
      <c r="B77" s="944"/>
      <c r="C77" s="945"/>
      <c r="D77" s="197"/>
      <c r="F77" s="336"/>
      <c r="G77" s="272"/>
      <c r="H77" s="330"/>
      <c r="I77" s="948"/>
      <c r="J77" s="297">
        <f t="shared" si="40"/>
        <v>0</v>
      </c>
      <c r="L77" s="330"/>
      <c r="M77" s="333">
        <f t="shared" si="41"/>
        <v>0</v>
      </c>
      <c r="O77" s="330"/>
      <c r="P77" s="331"/>
      <c r="Q77" s="106"/>
      <c r="R77" s="297"/>
      <c r="T77" s="330"/>
      <c r="U77" s="57"/>
      <c r="V77" s="3290"/>
      <c r="X77" s="330"/>
      <c r="Y77" s="331"/>
      <c r="Z77" s="106"/>
      <c r="AA77" s="297"/>
      <c r="AC77" s="330"/>
      <c r="AD77" s="57"/>
      <c r="AE77" s="3289"/>
      <c r="AG77" s="1"/>
      <c r="AI77" s="330"/>
      <c r="AJ77" s="331"/>
      <c r="AK77" s="106"/>
      <c r="AL77" s="297"/>
      <c r="AN77" s="330"/>
      <c r="AO77" s="57"/>
      <c r="AP77" s="3289"/>
      <c r="AR77" s="330"/>
      <c r="AS77" s="331"/>
      <c r="AT77" s="106"/>
      <c r="AU77" s="523"/>
      <c r="AW77" s="330"/>
      <c r="AX77" s="57"/>
      <c r="AY77" s="337"/>
      <c r="AZ77" s="1"/>
      <c r="BA77" s="1"/>
      <c r="BB77" s="330"/>
      <c r="BC77" s="331"/>
      <c r="BD77" s="106"/>
      <c r="BE77" s="297"/>
      <c r="BG77" s="330"/>
      <c r="BH77" s="57"/>
      <c r="BI77" s="337"/>
      <c r="BJ77" s="1"/>
    </row>
    <row r="78" spans="1:62" x14ac:dyDescent="0.35">
      <c r="A78" s="9160"/>
      <c r="B78" s="944"/>
      <c r="C78" s="945"/>
      <c r="D78" s="197"/>
      <c r="F78" s="336"/>
      <c r="G78" s="272"/>
      <c r="H78" s="330"/>
      <c r="I78" s="948"/>
      <c r="J78" s="297">
        <f t="shared" si="40"/>
        <v>0</v>
      </c>
      <c r="L78" s="330"/>
      <c r="M78" s="333">
        <f t="shared" si="41"/>
        <v>0</v>
      </c>
      <c r="O78" s="330"/>
      <c r="P78" s="331"/>
      <c r="Q78" s="106"/>
      <c r="R78" s="297"/>
      <c r="T78" s="330"/>
      <c r="U78" s="106"/>
      <c r="V78" s="333"/>
      <c r="X78" s="330"/>
      <c r="Y78" s="331"/>
      <c r="Z78" s="106"/>
      <c r="AA78" s="297"/>
      <c r="AC78" s="330"/>
      <c r="AD78" s="106"/>
      <c r="AE78" s="3289"/>
      <c r="AG78" s="1"/>
      <c r="AI78" s="330"/>
      <c r="AJ78" s="331"/>
      <c r="AK78" s="106"/>
      <c r="AL78" s="297"/>
      <c r="AN78" s="330"/>
      <c r="AO78" s="106"/>
      <c r="AP78" s="3289"/>
      <c r="AR78" s="330"/>
      <c r="AS78" s="331"/>
      <c r="AT78" s="106"/>
      <c r="AU78" s="523"/>
      <c r="AW78" s="330"/>
      <c r="AX78" s="106"/>
      <c r="AY78" s="337"/>
      <c r="AZ78" s="1"/>
      <c r="BA78" s="1"/>
      <c r="BB78" s="330"/>
      <c r="BC78" s="331"/>
      <c r="BD78" s="106"/>
      <c r="BE78" s="297"/>
      <c r="BG78" s="330"/>
      <c r="BH78" s="106"/>
      <c r="BI78" s="337"/>
      <c r="BJ78" s="1"/>
    </row>
    <row r="79" spans="1:62" x14ac:dyDescent="0.35">
      <c r="A79" s="9160"/>
      <c r="B79" s="944"/>
      <c r="C79" s="945"/>
      <c r="D79" s="197"/>
      <c r="F79" s="336"/>
      <c r="G79" s="272"/>
      <c r="H79" s="330"/>
      <c r="I79" s="948"/>
      <c r="J79" s="297">
        <f t="shared" si="40"/>
        <v>0</v>
      </c>
      <c r="L79" s="330"/>
      <c r="M79" s="333">
        <f t="shared" si="41"/>
        <v>0</v>
      </c>
      <c r="O79" s="330"/>
      <c r="P79" s="331"/>
      <c r="Q79" s="106"/>
      <c r="R79" s="297"/>
      <c r="T79" s="330"/>
      <c r="U79" s="106"/>
      <c r="V79" s="333"/>
      <c r="X79" s="330"/>
      <c r="Y79" s="331"/>
      <c r="Z79" s="106"/>
      <c r="AA79" s="297"/>
      <c r="AC79" s="330"/>
      <c r="AD79" s="106"/>
      <c r="AE79" s="3289"/>
      <c r="AG79" s="1"/>
      <c r="AI79" s="330"/>
      <c r="AJ79" s="331"/>
      <c r="AK79" s="106"/>
      <c r="AL79" s="297"/>
      <c r="AN79" s="330"/>
      <c r="AO79" s="106"/>
      <c r="AP79" s="3289"/>
      <c r="AR79" s="330"/>
      <c r="AS79" s="331"/>
      <c r="AT79" s="106"/>
      <c r="AU79" s="523"/>
      <c r="AW79" s="330"/>
      <c r="AX79" s="106"/>
      <c r="AY79" s="337"/>
      <c r="AZ79" s="1"/>
      <c r="BA79" s="1"/>
      <c r="BB79" s="330"/>
      <c r="BC79" s="331"/>
      <c r="BD79" s="106"/>
      <c r="BE79" s="297"/>
      <c r="BG79" s="330"/>
      <c r="BH79" s="106"/>
      <c r="BI79" s="337"/>
      <c r="BJ79" s="1"/>
    </row>
    <row r="80" spans="1:62" x14ac:dyDescent="0.35">
      <c r="A80" s="9160"/>
      <c r="B80" s="944"/>
      <c r="C80" s="945"/>
      <c r="D80" s="197"/>
      <c r="F80" s="336"/>
      <c r="G80" s="272"/>
      <c r="H80" s="330"/>
      <c r="I80" s="948"/>
      <c r="J80" s="297">
        <f t="shared" si="40"/>
        <v>0</v>
      </c>
      <c r="L80" s="330"/>
      <c r="M80" s="333">
        <f t="shared" si="41"/>
        <v>0</v>
      </c>
      <c r="O80" s="330"/>
      <c r="P80" s="331"/>
      <c r="Q80" s="106"/>
      <c r="R80" s="297"/>
      <c r="T80" s="330"/>
      <c r="U80" s="106"/>
      <c r="V80" s="333"/>
      <c r="X80" s="330"/>
      <c r="Y80" s="331"/>
      <c r="Z80" s="106"/>
      <c r="AA80" s="297"/>
      <c r="AC80" s="330"/>
      <c r="AD80" s="106"/>
      <c r="AE80" s="3289"/>
      <c r="AG80" s="1"/>
      <c r="AI80" s="330"/>
      <c r="AJ80" s="331"/>
      <c r="AK80" s="106"/>
      <c r="AL80" s="297"/>
      <c r="AN80" s="330"/>
      <c r="AO80" s="106"/>
      <c r="AP80" s="3289"/>
      <c r="AR80" s="330"/>
      <c r="AS80" s="331"/>
      <c r="AT80" s="106"/>
      <c r="AU80" s="523"/>
      <c r="AW80" s="330"/>
      <c r="AX80" s="106"/>
      <c r="AY80" s="337"/>
      <c r="AZ80" s="1"/>
      <c r="BA80" s="1"/>
      <c r="BB80" s="330"/>
      <c r="BC80" s="331"/>
      <c r="BD80" s="106"/>
      <c r="BE80" s="297"/>
      <c r="BG80" s="330"/>
      <c r="BH80" s="106"/>
      <c r="BI80" s="337"/>
      <c r="BJ80" s="1"/>
    </row>
    <row r="81" spans="1:62" x14ac:dyDescent="0.35">
      <c r="A81" s="9160"/>
      <c r="B81" s="944"/>
      <c r="C81" s="945"/>
      <c r="D81" s="197"/>
      <c r="F81" s="336"/>
      <c r="G81" s="272"/>
      <c r="H81" s="330"/>
      <c r="I81" s="948"/>
      <c r="J81" s="297">
        <f t="shared" si="40"/>
        <v>0</v>
      </c>
      <c r="L81" s="330"/>
      <c r="M81" s="333">
        <f t="shared" si="41"/>
        <v>0</v>
      </c>
      <c r="O81" s="330"/>
      <c r="P81" s="331"/>
      <c r="Q81" s="106"/>
      <c r="R81" s="297"/>
      <c r="T81" s="330"/>
      <c r="U81" s="106"/>
      <c r="V81" s="333"/>
      <c r="X81" s="330"/>
      <c r="Y81" s="331"/>
      <c r="Z81" s="106"/>
      <c r="AA81" s="297"/>
      <c r="AC81" s="330"/>
      <c r="AD81" s="106"/>
      <c r="AE81" s="3289"/>
      <c r="AG81" s="1"/>
      <c r="AI81" s="330"/>
      <c r="AJ81" s="331"/>
      <c r="AK81" s="106"/>
      <c r="AL81" s="297"/>
      <c r="AN81" s="330"/>
      <c r="AO81" s="106"/>
      <c r="AP81" s="3289"/>
      <c r="AR81" s="330"/>
      <c r="AS81" s="331"/>
      <c r="AT81" s="106"/>
      <c r="AU81" s="523"/>
      <c r="AW81" s="330"/>
      <c r="AX81" s="106"/>
      <c r="AY81" s="337"/>
      <c r="AZ81" s="1"/>
      <c r="BA81" s="1"/>
      <c r="BB81" s="330"/>
      <c r="BC81" s="331"/>
      <c r="BD81" s="106"/>
      <c r="BE81" s="297"/>
      <c r="BG81" s="330"/>
      <c r="BH81" s="106"/>
      <c r="BI81" s="337"/>
      <c r="BJ81" s="1"/>
    </row>
    <row r="82" spans="1:62" x14ac:dyDescent="0.35">
      <c r="A82" s="9160"/>
      <c r="B82" s="944"/>
      <c r="C82" s="945"/>
      <c r="D82" s="197"/>
      <c r="F82" s="336"/>
      <c r="G82" s="272"/>
      <c r="H82" s="330"/>
      <c r="I82" s="948"/>
      <c r="J82" s="297">
        <f t="shared" si="40"/>
        <v>0</v>
      </c>
      <c r="L82" s="330"/>
      <c r="M82" s="333">
        <f t="shared" si="41"/>
        <v>0</v>
      </c>
      <c r="O82" s="330"/>
      <c r="P82" s="331"/>
      <c r="Q82" s="106"/>
      <c r="R82" s="297"/>
      <c r="T82" s="330"/>
      <c r="U82" s="106"/>
      <c r="V82" s="333"/>
      <c r="X82" s="330"/>
      <c r="Y82" s="331"/>
      <c r="Z82" s="106"/>
      <c r="AA82" s="297"/>
      <c r="AC82" s="330"/>
      <c r="AD82" s="106"/>
      <c r="AE82" s="3289"/>
      <c r="AG82" s="1"/>
      <c r="AI82" s="330"/>
      <c r="AJ82" s="331"/>
      <c r="AK82" s="106"/>
      <c r="AL82" s="297"/>
      <c r="AN82" s="330"/>
      <c r="AO82" s="106"/>
      <c r="AP82" s="3289"/>
      <c r="AR82" s="330"/>
      <c r="AS82" s="331"/>
      <c r="AT82" s="106"/>
      <c r="AU82" s="523"/>
      <c r="AW82" s="330"/>
      <c r="AX82" s="106"/>
      <c r="AY82" s="337"/>
      <c r="AZ82" s="1"/>
      <c r="BA82" s="1"/>
      <c r="BB82" s="330"/>
      <c r="BC82" s="331"/>
      <c r="BD82" s="106"/>
      <c r="BE82" s="297"/>
      <c r="BG82" s="330"/>
      <c r="BH82" s="106"/>
      <c r="BI82" s="337"/>
      <c r="BJ82" s="1"/>
    </row>
    <row r="83" spans="1:62" x14ac:dyDescent="0.35">
      <c r="A83" s="9161"/>
      <c r="B83" s="949"/>
      <c r="C83" s="950" t="s">
        <v>10</v>
      </c>
      <c r="D83" s="209"/>
      <c r="F83" s="343"/>
      <c r="G83" s="274"/>
      <c r="H83" s="341"/>
      <c r="I83" s="951"/>
      <c r="J83" s="307">
        <f t="shared" si="40"/>
        <v>0</v>
      </c>
      <c r="L83" s="341"/>
      <c r="M83" s="347">
        <f t="shared" si="41"/>
        <v>0</v>
      </c>
      <c r="O83" s="341"/>
      <c r="P83" s="952"/>
      <c r="Q83" s="216"/>
      <c r="R83" s="307"/>
      <c r="T83" s="341"/>
      <c r="U83" s="216"/>
      <c r="V83" s="347"/>
      <c r="X83" s="341"/>
      <c r="Y83" s="952"/>
      <c r="Z83" s="216"/>
      <c r="AA83" s="307"/>
      <c r="AC83" s="341"/>
      <c r="AD83" s="216"/>
      <c r="AE83" s="3291"/>
      <c r="AG83" s="1"/>
      <c r="AI83" s="341"/>
      <c r="AJ83" s="952"/>
      <c r="AK83" s="216"/>
      <c r="AL83" s="307"/>
      <c r="AN83" s="341"/>
      <c r="AO83" s="216"/>
      <c r="AP83" s="3291"/>
      <c r="AR83" s="341"/>
      <c r="AS83" s="952"/>
      <c r="AT83" s="216"/>
      <c r="AU83" s="527"/>
      <c r="AW83" s="341"/>
      <c r="AX83" s="216"/>
      <c r="AY83" s="342"/>
      <c r="AZ83" s="1"/>
      <c r="BA83" s="1"/>
      <c r="BB83" s="341"/>
      <c r="BC83" s="952"/>
      <c r="BD83" s="216"/>
      <c r="BE83" s="307"/>
      <c r="BG83" s="341"/>
      <c r="BH83" s="216"/>
      <c r="BI83" s="342"/>
      <c r="BJ83" s="1"/>
    </row>
    <row r="84" spans="1:62" x14ac:dyDescent="0.35">
      <c r="A84" s="310"/>
      <c r="B84" s="310"/>
      <c r="F84" s="106"/>
      <c r="H84" s="106"/>
      <c r="I84" s="106"/>
      <c r="J84" s="311"/>
      <c r="L84" s="106"/>
      <c r="M84" s="312"/>
      <c r="O84" s="106"/>
      <c r="P84" s="106"/>
      <c r="Q84" s="106"/>
      <c r="R84" s="311"/>
      <c r="T84" s="106"/>
      <c r="U84" s="106"/>
      <c r="V84" s="312"/>
      <c r="X84" s="106"/>
      <c r="Y84" s="106"/>
      <c r="Z84" s="106"/>
      <c r="AA84" s="311"/>
      <c r="AC84" s="106"/>
      <c r="AD84" s="106"/>
      <c r="AE84" s="312"/>
      <c r="AI84" s="106"/>
      <c r="AJ84" s="106"/>
      <c r="AK84" s="106"/>
      <c r="AL84" s="311"/>
      <c r="AN84" s="106"/>
      <c r="AO84" s="106"/>
      <c r="AP84" s="312"/>
      <c r="AR84" s="106"/>
      <c r="AS84" s="106"/>
      <c r="AT84" s="106"/>
      <c r="AU84" s="558"/>
      <c r="AW84" s="106"/>
      <c r="AX84" s="106"/>
      <c r="AY84" s="312"/>
      <c r="BB84" s="106"/>
      <c r="BC84" s="106"/>
      <c r="BD84" s="106"/>
      <c r="BE84" s="311"/>
      <c r="BG84" s="106"/>
      <c r="BH84" s="106"/>
      <c r="BI84" s="312"/>
    </row>
    <row r="85" spans="1:62" x14ac:dyDescent="0.35">
      <c r="A85" s="9167" t="s">
        <v>566</v>
      </c>
      <c r="B85" s="139" t="s">
        <v>567</v>
      </c>
      <c r="C85" s="348"/>
      <c r="D85" s="49"/>
      <c r="E85" s="141"/>
      <c r="F85" s="227"/>
      <c r="G85" s="141"/>
      <c r="H85" s="102"/>
      <c r="I85" s="103"/>
      <c r="J85" s="228"/>
      <c r="K85" s="141"/>
      <c r="L85" s="102"/>
      <c r="M85" s="268"/>
      <c r="N85" s="141"/>
      <c r="O85" s="102"/>
      <c r="P85" s="103"/>
      <c r="Q85" s="103"/>
      <c r="R85" s="228"/>
      <c r="S85" s="141"/>
      <c r="T85" s="102"/>
      <c r="U85" s="103"/>
      <c r="V85" s="268"/>
      <c r="W85" s="141"/>
      <c r="X85" s="102"/>
      <c r="Y85" s="103"/>
      <c r="Z85" s="103"/>
      <c r="AA85" s="228"/>
      <c r="AB85" s="141"/>
      <c r="AC85" s="102"/>
      <c r="AD85" s="103"/>
      <c r="AE85" s="268"/>
      <c r="AF85" s="141"/>
      <c r="AH85" s="141"/>
      <c r="AI85" s="102"/>
      <c r="AJ85" s="103"/>
      <c r="AK85" s="103"/>
      <c r="AL85" s="228"/>
      <c r="AM85" s="141"/>
      <c r="AN85" s="102"/>
      <c r="AO85" s="103"/>
      <c r="AP85" s="268"/>
      <c r="AQ85" s="141"/>
      <c r="AR85" s="102"/>
      <c r="AS85" s="103"/>
      <c r="AT85" s="103"/>
      <c r="AU85" s="5505"/>
      <c r="AV85" s="141"/>
      <c r="AW85" s="102"/>
      <c r="AX85" s="103"/>
      <c r="AY85" s="268"/>
      <c r="BB85" s="102"/>
      <c r="BC85" s="103"/>
      <c r="BD85" s="103"/>
      <c r="BE85" s="5505"/>
      <c r="BF85" s="141"/>
      <c r="BG85" s="102"/>
      <c r="BH85" s="103"/>
      <c r="BI85" s="268"/>
    </row>
    <row r="86" spans="1:62" x14ac:dyDescent="0.35">
      <c r="A86" s="9168"/>
      <c r="B86" s="6082"/>
      <c r="C86"/>
      <c r="D86" s="110" t="s">
        <v>568</v>
      </c>
      <c r="F86" s="349">
        <f>SUM(F40:F43)-SUM(F45:F47)</f>
        <v>22210816110.799999</v>
      </c>
      <c r="G86" s="350"/>
      <c r="H86" s="351">
        <f>SUM(H40:H43)-SUM(H45:H47)</f>
        <v>23838818771.400002</v>
      </c>
      <c r="I86" s="352">
        <f>SUM(I40:I43)-SUM(I45:I47)</f>
        <v>23510650039.799999</v>
      </c>
      <c r="J86" s="246"/>
      <c r="K86" s="350"/>
      <c r="L86" s="351">
        <f>SUM(L40:L43)-SUM(L45:L47)</f>
        <v>23963865837.400002</v>
      </c>
      <c r="M86" s="353">
        <f>SUM(M40:M43)-SUM(M45:M47)</f>
        <v>23693182618.5</v>
      </c>
      <c r="O86" s="351">
        <f>SUM(O40:O43)-SUM(O45:O47)</f>
        <v>23963865837.400002</v>
      </c>
      <c r="P86" s="352">
        <f>SUM(P40:P43)-SUM(P45:P47)</f>
        <v>23693182618.5</v>
      </c>
      <c r="Q86" s="352"/>
      <c r="R86" s="246"/>
      <c r="S86" s="350"/>
      <c r="T86" s="351">
        <f>SUM(T40:T43)-SUM(T45:T47)</f>
        <v>25725692670</v>
      </c>
      <c r="U86" s="352"/>
      <c r="V86" s="353">
        <f>SUM(V40:V43)-SUM(V45:V47)</f>
        <v>25349676166</v>
      </c>
      <c r="X86" s="351">
        <f>SUM(X40:X43)-SUM(X45:X47)</f>
        <v>25725692670</v>
      </c>
      <c r="Y86" s="352">
        <f>SUM(Y40:Y43)-SUM(Y45:Y47)</f>
        <v>25349676166</v>
      </c>
      <c r="Z86" s="352"/>
      <c r="AA86" s="246"/>
      <c r="AB86" s="350"/>
      <c r="AC86" s="351">
        <f>SUM(AC40:AC43)-SUM(AC45:AC47)</f>
        <v>26551250653</v>
      </c>
      <c r="AD86" s="352"/>
      <c r="AE86" s="353">
        <f>SUM(AE40:AE43)-SUM(AE45:AE47)</f>
        <v>26541628735</v>
      </c>
      <c r="AI86" s="351">
        <f>SUM(AI40:AI43)-SUM(AI45:AI47)</f>
        <v>26551250653</v>
      </c>
      <c r="AJ86" s="352">
        <f>SUM(AJ40:AJ43)-SUM(AJ45:AJ47)</f>
        <v>26541628735</v>
      </c>
      <c r="AK86" s="352"/>
      <c r="AL86" s="246"/>
      <c r="AM86" s="350"/>
      <c r="AN86" s="351">
        <f>SUM(AN40:AN43)-SUM(AN45:AN47)</f>
        <v>28528970488</v>
      </c>
      <c r="AO86" s="352"/>
      <c r="AP86" s="353">
        <f>SUM(AP40:AP43)-SUM(AP45:AP47)</f>
        <v>27944663411</v>
      </c>
      <c r="AR86" s="351">
        <f>SUM(AR40:AR43)-SUM(AR45:AR47)</f>
        <v>28343589440</v>
      </c>
      <c r="AS86" s="352">
        <f>SUM(AS40:AS43)-SUM(AS45:AS47)</f>
        <v>28054130934</v>
      </c>
      <c r="AT86" s="352"/>
      <c r="AU86" s="6926"/>
      <c r="AV86" s="350"/>
      <c r="AW86" s="351">
        <f>SUM(AW40:AW43)-SUM(AW45:AW47)</f>
        <v>30204505228</v>
      </c>
      <c r="AX86" s="352"/>
      <c r="AY86" s="353">
        <f>SUM(AY40:AY43)-SUM(AY45:AY47)</f>
        <v>29869059617</v>
      </c>
      <c r="BB86" s="351">
        <f>SUM(BB40:BB43)-SUM(BB45:BB47)</f>
        <v>30055388930</v>
      </c>
      <c r="BC86" s="352">
        <f>SUM(BC40:BC43)-SUM(BC45:BC47)</f>
        <v>26969213737</v>
      </c>
      <c r="BD86" s="352"/>
      <c r="BE86" s="6926"/>
      <c r="BF86" s="350"/>
      <c r="BG86" s="351">
        <f>SUM(BG40:BG43)-SUM(BG45:BG47)</f>
        <v>30589241441</v>
      </c>
      <c r="BH86" s="352"/>
      <c r="BI86" s="353">
        <f>SUM(BI40:BI43)-SUM(BI45:BI47)</f>
        <v>26602697752</v>
      </c>
    </row>
    <row r="87" spans="1:62" x14ac:dyDescent="0.35">
      <c r="A87" s="9168"/>
      <c r="B87" s="6082"/>
      <c r="C87"/>
      <c r="D87" s="110" t="str">
        <f>B48</f>
        <v>Decentralizado</v>
      </c>
      <c r="F87" s="349">
        <f>SUM(F49:F59)</f>
        <v>0</v>
      </c>
      <c r="G87" s="350"/>
      <c r="H87" s="351">
        <f>SUM(H49:H59)</f>
        <v>7119831910</v>
      </c>
      <c r="I87" s="352">
        <f>SUM(I49:I59)</f>
        <v>5887368743.3999996</v>
      </c>
      <c r="J87" s="246"/>
      <c r="K87" s="350"/>
      <c r="L87" s="351">
        <f>SUM(L49:L59)</f>
        <v>6549922229</v>
      </c>
      <c r="M87" s="353">
        <f>SUM(M49:M59)</f>
        <v>5832480368</v>
      </c>
      <c r="O87" s="351">
        <f>SUM(O49:O59)</f>
        <v>6549922229</v>
      </c>
      <c r="P87" s="352">
        <f>SUM(P49:P59)</f>
        <v>5832480368</v>
      </c>
      <c r="Q87" s="352"/>
      <c r="R87" s="246"/>
      <c r="S87" s="350"/>
      <c r="T87" s="351">
        <f>SUM(T49:T59)</f>
        <v>7716930581</v>
      </c>
      <c r="U87" s="352"/>
      <c r="V87" s="353">
        <f>SUM(V49:V59)</f>
        <v>5796124193.3999996</v>
      </c>
      <c r="X87" s="351">
        <f>SUM(X49:X59)</f>
        <v>7716930581</v>
      </c>
      <c r="Y87" s="352">
        <f>SUM(Y49:Y59)</f>
        <v>5796124193.3999996</v>
      </c>
      <c r="Z87" s="352"/>
      <c r="AA87" s="246"/>
      <c r="AB87" s="350"/>
      <c r="AC87" s="351">
        <f>SUM(AC49:AC59)</f>
        <v>8385372133</v>
      </c>
      <c r="AD87" s="352"/>
      <c r="AE87" s="353">
        <f>SUM(AE49:AE59)</f>
        <v>5603099248</v>
      </c>
      <c r="AI87" s="351">
        <f>SUM(AI49:AI59)</f>
        <v>8385372133</v>
      </c>
      <c r="AJ87" s="352">
        <f>SUM(AJ49:AJ59)</f>
        <v>5603099248</v>
      </c>
      <c r="AK87" s="352"/>
      <c r="AL87" s="246"/>
      <c r="AM87" s="350"/>
      <c r="AN87" s="351">
        <f>SUM(AN49:AN59)</f>
        <v>8704311187</v>
      </c>
      <c r="AO87" s="352"/>
      <c r="AP87" s="353">
        <f>SUM(AP49:AP59)</f>
        <v>6897297835</v>
      </c>
      <c r="AR87" s="351">
        <f>SUM(AR49:AR59)</f>
        <v>8704311187</v>
      </c>
      <c r="AS87" s="352">
        <f>SUM(AS49:AS59)</f>
        <v>6897297835</v>
      </c>
      <c r="AT87" s="352"/>
      <c r="AU87" s="6926"/>
      <c r="AV87" s="350"/>
      <c r="AW87" s="351">
        <f>SUM(AW49:AW59)</f>
        <v>7432514619</v>
      </c>
      <c r="AX87" s="352"/>
      <c r="AY87" s="353">
        <f>SUM(AY49:AY59)</f>
        <v>6166682275</v>
      </c>
      <c r="BB87" s="351">
        <f>SUM(BB49:BB59)</f>
        <v>7413182715</v>
      </c>
      <c r="BC87" s="352">
        <f>SUM(BC49:BC59)</f>
        <v>5981595377</v>
      </c>
      <c r="BD87" s="352"/>
      <c r="BE87" s="6926"/>
      <c r="BF87" s="350"/>
      <c r="BG87" s="351">
        <f>SUM(BG49:BG59)</f>
        <v>8311688686</v>
      </c>
      <c r="BH87" s="352"/>
      <c r="BI87" s="353">
        <f>SUM(BI49:BI59)</f>
        <v>4274544565</v>
      </c>
    </row>
    <row r="88" spans="1:62" x14ac:dyDescent="0.35">
      <c r="A88" s="9168"/>
      <c r="B88" s="6082"/>
      <c r="C88"/>
      <c r="D88" s="110" t="s">
        <v>570</v>
      </c>
      <c r="F88" s="349">
        <f>SUM(F61:F63)*F33</f>
        <v>0</v>
      </c>
      <c r="G88" s="350"/>
      <c r="H88" s="351">
        <f>SUM(H61:H63)*H33</f>
        <v>0</v>
      </c>
      <c r="I88" s="352">
        <f>SUM(I61:I63)*I33</f>
        <v>0</v>
      </c>
      <c r="J88" s="246"/>
      <c r="K88" s="350"/>
      <c r="L88" s="351">
        <f>SUM(L61:L63)*L33</f>
        <v>0</v>
      </c>
      <c r="M88" s="353">
        <f>SUM(M61:M63)*M33</f>
        <v>0</v>
      </c>
      <c r="O88" s="351">
        <f>SUM(O61:O63)*O33</f>
        <v>0</v>
      </c>
      <c r="P88" s="352">
        <f>SUM(P61:P63)*P33</f>
        <v>0</v>
      </c>
      <c r="Q88" s="352"/>
      <c r="R88" s="246"/>
      <c r="S88" s="350"/>
      <c r="T88" s="351">
        <f>SUM(T61:T63)*T33</f>
        <v>0</v>
      </c>
      <c r="U88" s="352"/>
      <c r="V88" s="353">
        <f>SUM(V61:V63)*V33</f>
        <v>0</v>
      </c>
      <c r="X88" s="351">
        <f>SUM(X61:X63)*X33</f>
        <v>0</v>
      </c>
      <c r="Y88" s="352">
        <f>SUM(Y61:Y63)*Y33</f>
        <v>0</v>
      </c>
      <c r="Z88" s="352"/>
      <c r="AA88" s="246"/>
      <c r="AB88" s="350"/>
      <c r="AC88" s="351">
        <f>SUM(AC61:AC63)*AC33</f>
        <v>0</v>
      </c>
      <c r="AD88" s="352"/>
      <c r="AE88" s="353">
        <f>SUM(AE61:AE63)*AE33</f>
        <v>0</v>
      </c>
      <c r="AI88" s="351">
        <f>SUM(AI61:AI63)*AI33</f>
        <v>0</v>
      </c>
      <c r="AJ88" s="352">
        <f>SUM(AJ61:AJ63)*AJ33</f>
        <v>0</v>
      </c>
      <c r="AK88" s="352"/>
      <c r="AL88" s="246"/>
      <c r="AM88" s="350"/>
      <c r="AN88" s="351">
        <f>SUM(AN61:AN63)*AN33</f>
        <v>0</v>
      </c>
      <c r="AO88" s="352"/>
      <c r="AP88" s="353">
        <f>SUM(AP61:AP63)*AP33</f>
        <v>0</v>
      </c>
      <c r="AR88" s="351">
        <f>SUM(AR61:AR63)*AR33</f>
        <v>0</v>
      </c>
      <c r="AS88" s="352">
        <f>SUM(AS61:AS63)*AS33</f>
        <v>0</v>
      </c>
      <c r="AT88" s="352"/>
      <c r="AU88" s="6926"/>
      <c r="AV88" s="350"/>
      <c r="AW88" s="351">
        <f>SUM(AW61:AW63)*AW33</f>
        <v>0</v>
      </c>
      <c r="AX88" s="352"/>
      <c r="AY88" s="353">
        <f>SUM(AY61:AY63)*AY33</f>
        <v>0</v>
      </c>
      <c r="BB88" s="351">
        <f>SUM(BB61:BB63)*BB33</f>
        <v>0</v>
      </c>
      <c r="BC88" s="352">
        <f>SUM(BC61:BC63)*BC33</f>
        <v>0</v>
      </c>
      <c r="BD88" s="352"/>
      <c r="BE88" s="6926"/>
      <c r="BF88" s="350"/>
      <c r="BG88" s="351">
        <f>SUM(BG61:BG63)*BG33</f>
        <v>0</v>
      </c>
      <c r="BH88" s="352"/>
      <c r="BI88" s="353">
        <f>SUM(BI61:BI63)*BI33</f>
        <v>0</v>
      </c>
    </row>
    <row r="89" spans="1:62" x14ac:dyDescent="0.35">
      <c r="A89" s="9168"/>
      <c r="B89" s="6082"/>
      <c r="C89"/>
      <c r="D89" s="110" t="s">
        <v>552</v>
      </c>
      <c r="F89" s="349">
        <f>SUM(F65:F67)</f>
        <v>0</v>
      </c>
      <c r="G89" s="350"/>
      <c r="H89" s="351">
        <f>SUM(H65:H67)</f>
        <v>0</v>
      </c>
      <c r="I89" s="352">
        <f>SUM(I65:I67)</f>
        <v>0</v>
      </c>
      <c r="J89" s="246"/>
      <c r="K89" s="350"/>
      <c r="L89" s="351">
        <f>SUM(L65:L67)</f>
        <v>0</v>
      </c>
      <c r="M89" s="353">
        <f>SUM(M65:M67)</f>
        <v>0</v>
      </c>
      <c r="O89" s="351">
        <f>SUM(O65:O67)</f>
        <v>0</v>
      </c>
      <c r="P89" s="352">
        <f>SUM(P65:P67)</f>
        <v>0</v>
      </c>
      <c r="Q89" s="352"/>
      <c r="R89" s="246"/>
      <c r="S89" s="350"/>
      <c r="T89" s="351">
        <f>SUM(T65:T67)</f>
        <v>0</v>
      </c>
      <c r="U89" s="352"/>
      <c r="V89" s="353">
        <f>SUM(V65:V67)</f>
        <v>0</v>
      </c>
      <c r="X89" s="351">
        <f>SUM(X65:X67)</f>
        <v>0</v>
      </c>
      <c r="Y89" s="352">
        <f>SUM(Y65:Y67)</f>
        <v>0</v>
      </c>
      <c r="Z89" s="352"/>
      <c r="AA89" s="246"/>
      <c r="AB89" s="350"/>
      <c r="AC89" s="351">
        <f>SUM(AC65:AC67)</f>
        <v>0</v>
      </c>
      <c r="AD89" s="352"/>
      <c r="AE89" s="353">
        <f>SUM(AE65:AE67)</f>
        <v>0</v>
      </c>
      <c r="AI89" s="351">
        <f>SUM(AI65:AI67)</f>
        <v>0</v>
      </c>
      <c r="AJ89" s="352">
        <f>SUM(AJ65:AJ67)</f>
        <v>0</v>
      </c>
      <c r="AK89" s="352"/>
      <c r="AL89" s="246"/>
      <c r="AM89" s="350"/>
      <c r="AN89" s="351">
        <f>SUM(AN65:AN67)</f>
        <v>0</v>
      </c>
      <c r="AO89" s="352"/>
      <c r="AP89" s="353">
        <f>SUM(AP65:AP67)</f>
        <v>0</v>
      </c>
      <c r="AR89" s="351">
        <f>SUM(AR65:AR67)</f>
        <v>0</v>
      </c>
      <c r="AS89" s="352">
        <f>SUM(AS65:AS67)</f>
        <v>0</v>
      </c>
      <c r="AT89" s="352"/>
      <c r="AU89" s="6926"/>
      <c r="AV89" s="350"/>
      <c r="AW89" s="351">
        <f>SUM(AW65:AW67)</f>
        <v>0</v>
      </c>
      <c r="AX89" s="352"/>
      <c r="AY89" s="353">
        <f>SUM(AY65:AY67)</f>
        <v>0</v>
      </c>
      <c r="BB89" s="351">
        <f>SUM(BB65:BB67)</f>
        <v>0</v>
      </c>
      <c r="BC89" s="352">
        <f>SUM(BC65:BC67)</f>
        <v>0</v>
      </c>
      <c r="BD89" s="352"/>
      <c r="BE89" s="6926"/>
      <c r="BF89" s="350"/>
      <c r="BG89" s="351">
        <f>SUM(BG65:BG67)</f>
        <v>0</v>
      </c>
      <c r="BH89" s="352"/>
      <c r="BI89" s="353">
        <f>SUM(BI65:BI67)</f>
        <v>0</v>
      </c>
    </row>
    <row r="90" spans="1:62" x14ac:dyDescent="0.35">
      <c r="A90" s="9168"/>
      <c r="B90" s="6082"/>
      <c r="C90"/>
      <c r="D90" s="356" t="s">
        <v>571</v>
      </c>
      <c r="E90" s="143"/>
      <c r="F90" s="357">
        <f t="shared" ref="F90" si="42">SUM(F86:F89)</f>
        <v>22210816110.799999</v>
      </c>
      <c r="G90" s="358"/>
      <c r="H90" s="359">
        <f t="shared" ref="H90:I90" si="43">SUM(H86:H89)</f>
        <v>30958650681.400002</v>
      </c>
      <c r="I90" s="360">
        <f t="shared" si="43"/>
        <v>29398018783.199997</v>
      </c>
      <c r="J90" s="361"/>
      <c r="K90" s="358"/>
      <c r="L90" s="359">
        <f t="shared" ref="L90:M90" si="44">SUM(L86:L89)</f>
        <v>30513788066.400002</v>
      </c>
      <c r="M90" s="362">
        <f t="shared" si="44"/>
        <v>29525662986.5</v>
      </c>
      <c r="N90" s="143"/>
      <c r="O90" s="359">
        <f t="shared" ref="O90:P90" si="45">SUM(O86:O89)</f>
        <v>30513788066.400002</v>
      </c>
      <c r="P90" s="360">
        <f t="shared" si="45"/>
        <v>29525662986.5</v>
      </c>
      <c r="Q90" s="360"/>
      <c r="R90" s="361"/>
      <c r="S90" s="358"/>
      <c r="T90" s="359">
        <f t="shared" ref="T90" si="46">SUM(T86:T89)</f>
        <v>33442623251</v>
      </c>
      <c r="U90" s="360"/>
      <c r="V90" s="362">
        <f t="shared" ref="V90" si="47">SUM(V86:V89)</f>
        <v>31145800359.400002</v>
      </c>
      <c r="W90" s="143"/>
      <c r="X90" s="359">
        <f t="shared" ref="X90:Y90" si="48">SUM(X86:X89)</f>
        <v>33442623251</v>
      </c>
      <c r="Y90" s="360">
        <f t="shared" si="48"/>
        <v>31145800359.400002</v>
      </c>
      <c r="Z90" s="360"/>
      <c r="AA90" s="361"/>
      <c r="AB90" s="358"/>
      <c r="AC90" s="359">
        <f t="shared" ref="AC90:AE90" si="49">SUM(AC86:AC89)</f>
        <v>34936622786</v>
      </c>
      <c r="AD90" s="360"/>
      <c r="AE90" s="362">
        <f t="shared" si="49"/>
        <v>32144727983</v>
      </c>
      <c r="AF90" s="143"/>
      <c r="AH90" s="143"/>
      <c r="AI90" s="359">
        <f t="shared" ref="AI90:AJ90" si="50">SUM(AI86:AI89)</f>
        <v>34936622786</v>
      </c>
      <c r="AJ90" s="360">
        <f t="shared" si="50"/>
        <v>32144727983</v>
      </c>
      <c r="AK90" s="360"/>
      <c r="AL90" s="361"/>
      <c r="AM90" s="358"/>
      <c r="AN90" s="359">
        <f t="shared" ref="AN90" si="51">SUM(AN86:AN89)</f>
        <v>37233281675</v>
      </c>
      <c r="AO90" s="360"/>
      <c r="AP90" s="362">
        <f t="shared" ref="AP90" si="52">SUM(AP86:AP89)</f>
        <v>34841961246</v>
      </c>
      <c r="AQ90" s="143"/>
      <c r="AR90" s="359">
        <f>SUM(AR86:AR89)</f>
        <v>37047900627</v>
      </c>
      <c r="AS90" s="360">
        <f t="shared" ref="AS90" si="53">SUM(AS86:AS89)</f>
        <v>34951428769</v>
      </c>
      <c r="AT90" s="360"/>
      <c r="AU90" s="6927"/>
      <c r="AV90" s="358"/>
      <c r="AW90" s="359">
        <f>SUM(AW86:AW89)</f>
        <v>37637019847</v>
      </c>
      <c r="AX90" s="360"/>
      <c r="AY90" s="362">
        <f t="shared" ref="AY90" si="54">SUM(AY86:AY89)</f>
        <v>36035741892</v>
      </c>
      <c r="BB90" s="359">
        <f>SUM(BB86:BB89)</f>
        <v>37468571645</v>
      </c>
      <c r="BC90" s="360">
        <f>SUM(BC86:BC89)</f>
        <v>32950809114</v>
      </c>
      <c r="BD90" s="360"/>
      <c r="BE90" s="6927"/>
      <c r="BF90" s="358"/>
      <c r="BG90" s="359">
        <f>SUM(BG86:BG89)</f>
        <v>38900930127</v>
      </c>
      <c r="BH90" s="360"/>
      <c r="BI90" s="362">
        <f>SUM(BI86:BI89)</f>
        <v>30877242317</v>
      </c>
    </row>
    <row r="91" spans="1:62" ht="15.5" x14ac:dyDescent="0.35">
      <c r="A91" s="9168"/>
      <c r="B91" s="6082"/>
      <c r="C91"/>
      <c r="D91" s="356" t="s">
        <v>572</v>
      </c>
      <c r="F91" s="366" t="e">
        <f>F90/(F20+F21)</f>
        <v>#DIV/0!</v>
      </c>
      <c r="G91" s="367"/>
      <c r="H91" s="368">
        <f>H90/(H20+H21)</f>
        <v>0.20498139084270814</v>
      </c>
      <c r="I91" s="369">
        <f>I90/(I20+I21)</f>
        <v>0.21814056581429497</v>
      </c>
      <c r="J91" s="370"/>
      <c r="K91" s="367"/>
      <c r="L91" s="368">
        <f>L90/(L20+L21)</f>
        <v>0.20534706515683979</v>
      </c>
      <c r="M91" s="370">
        <f>M90/(M20+M21)</f>
        <v>0.2214211369098612</v>
      </c>
      <c r="O91" s="368">
        <f>O90/(O20+O21)</f>
        <v>0.20534706515683979</v>
      </c>
      <c r="P91" s="369">
        <f>P90/(P20+P21)</f>
        <v>0.2214211369098612</v>
      </c>
      <c r="Q91" s="369"/>
      <c r="R91" s="370"/>
      <c r="S91" s="367"/>
      <c r="T91" s="368">
        <f>T90/(T20+T21)</f>
        <v>0.17381790176154074</v>
      </c>
      <c r="U91" s="369"/>
      <c r="V91" s="370">
        <f>V90/(V20+V21)</f>
        <v>0.18013877809860457</v>
      </c>
      <c r="X91" s="368">
        <f>X90/(X20+X21)</f>
        <v>0.17381790176154074</v>
      </c>
      <c r="Y91" s="369">
        <f>Y90/(Y20+Y21)</f>
        <v>0.18013877809860457</v>
      </c>
      <c r="Z91" s="369"/>
      <c r="AA91" s="370"/>
      <c r="AB91" s="367"/>
      <c r="AC91" s="368">
        <f>AC90/(AC20+AC21)</f>
        <v>0.20929231967171688</v>
      </c>
      <c r="AD91" s="369"/>
      <c r="AE91" s="370">
        <f>AE90/(AE20+AE21)</f>
        <v>0.21579415871868943</v>
      </c>
      <c r="AI91" s="368">
        <f>AI90/(AI20+AI21)</f>
        <v>0.20929231967171688</v>
      </c>
      <c r="AJ91" s="369">
        <f>AJ90/(AJ20+AJ21)</f>
        <v>0.21579415871868943</v>
      </c>
      <c r="AK91" s="369"/>
      <c r="AL91" s="370"/>
      <c r="AM91" s="367"/>
      <c r="AN91" s="368">
        <f>AN90/(AN20+AN21)</f>
        <v>0.21007729421282251</v>
      </c>
      <c r="AO91" s="369"/>
      <c r="AP91" s="370">
        <f>AP90/(AP20+AP21)</f>
        <v>0.2175576261057165</v>
      </c>
      <c r="AR91" s="561">
        <f>AR90/(AR20+AR21)</f>
        <v>0.19647067379925448</v>
      </c>
      <c r="AS91" s="561">
        <f>AS90/(AS20+AS21)</f>
        <v>0.20531020747119252</v>
      </c>
      <c r="AT91" s="562"/>
      <c r="AU91" s="559"/>
      <c r="AV91" s="560"/>
      <c r="AW91" s="561">
        <f>AW90/(AW20+AW21)</f>
        <v>0.21082248382589666</v>
      </c>
      <c r="AX91" s="562"/>
      <c r="AY91" s="563">
        <f>AY90/(AY20+AY21)</f>
        <v>0.21802338967675747</v>
      </c>
      <c r="BB91" s="368">
        <f>BB90/(BB20+BB21)</f>
        <v>0.19922197848952772</v>
      </c>
      <c r="BC91" s="368">
        <f>BC90/(BC20+BC21)</f>
        <v>0.20397596908153098</v>
      </c>
      <c r="BD91" s="8544"/>
      <c r="BE91" s="366"/>
      <c r="BF91" s="367"/>
      <c r="BG91" s="368">
        <f>BG90/(BG20+BG21)</f>
        <v>0.18854894642222036</v>
      </c>
      <c r="BH91" s="369"/>
      <c r="BI91" s="370">
        <f>BI90/(BI20+BI21)</f>
        <v>0.1932365044536043</v>
      </c>
    </row>
    <row r="92" spans="1:62" ht="15.5" x14ac:dyDescent="0.35">
      <c r="A92" s="9168"/>
      <c r="B92" s="6082"/>
      <c r="C92"/>
      <c r="D92" s="356"/>
      <c r="F92" s="366"/>
      <c r="G92" s="367"/>
      <c r="H92" s="368"/>
      <c r="I92" s="369"/>
      <c r="J92" s="370"/>
      <c r="K92" s="367"/>
      <c r="L92" s="368"/>
      <c r="M92" s="370"/>
      <c r="O92" s="368"/>
      <c r="P92" s="369"/>
      <c r="Q92" s="369"/>
      <c r="R92" s="370"/>
      <c r="S92" s="367"/>
      <c r="T92" s="368"/>
      <c r="U92" s="369"/>
      <c r="V92" s="370"/>
      <c r="X92" s="368"/>
      <c r="Y92" s="369"/>
      <c r="Z92" s="369"/>
      <c r="AA92" s="370"/>
      <c r="AB92" s="367"/>
      <c r="AC92" s="368"/>
      <c r="AD92" s="369"/>
      <c r="AE92" s="370"/>
      <c r="AI92" s="368"/>
      <c r="AJ92" s="369"/>
      <c r="AK92" s="369"/>
      <c r="AL92" s="370"/>
      <c r="AM92" s="367"/>
      <c r="AN92" s="368"/>
      <c r="AO92" s="369"/>
      <c r="AP92" s="370"/>
      <c r="AR92" s="561">
        <f>AR90/(AR20+AR21-AR25+AR26+AR27)</f>
        <v>0.33801013032314292</v>
      </c>
      <c r="AS92" s="562">
        <f>AS90/(AS20+AS21-AS25+AS26+AS27)</f>
        <v>0.32376301501501187</v>
      </c>
      <c r="AT92" s="562"/>
      <c r="AU92" s="559"/>
      <c r="AV92" s="560"/>
      <c r="AW92" s="561">
        <f>AW90/(AW20+AW21-AW25+AW26+AW27)</f>
        <v>0.34585588077862078</v>
      </c>
      <c r="AX92" s="562"/>
      <c r="AY92" s="563">
        <f>AY90/(AY20+AY21-AY25+AY26+AY27)</f>
        <v>0.34686750341328959</v>
      </c>
      <c r="AZ92" t="s">
        <v>3076</v>
      </c>
      <c r="BB92" s="368">
        <f>BB90/(BB20+BB21-BB25+BB26+BB27)</f>
        <v>0.30494265928240966</v>
      </c>
      <c r="BC92" s="369">
        <f>BC90/(BC20+BC21-BC25+BC26+BC27)</f>
        <v>0.29810345052753218</v>
      </c>
      <c r="BD92" s="8545"/>
      <c r="BE92" s="366"/>
      <c r="BF92" s="367"/>
      <c r="BG92" s="368">
        <f>BG90/(BG20+BG21-BG25+BG26+BG27)</f>
        <v>0.28870764672750748</v>
      </c>
      <c r="BH92" s="369"/>
      <c r="BI92" s="370">
        <f>BI90/(BI20+BI21-BI25+BI26+BI27)</f>
        <v>0.28961801142534627</v>
      </c>
      <c r="BJ92" s="972" t="s">
        <v>3076</v>
      </c>
    </row>
    <row r="93" spans="1:62" x14ac:dyDescent="0.35">
      <c r="A93" s="9168"/>
      <c r="B93" s="371"/>
      <c r="C93" s="372"/>
      <c r="D93" s="296" t="s">
        <v>573</v>
      </c>
      <c r="E93" s="374"/>
      <c r="F93" s="1054" t="s">
        <v>1115</v>
      </c>
      <c r="G93" s="1055"/>
      <c r="H93" s="1056" t="s">
        <v>1115</v>
      </c>
      <c r="I93" s="953" t="s">
        <v>1115</v>
      </c>
      <c r="J93" s="1057"/>
      <c r="K93" s="1055"/>
      <c r="L93" s="1203" t="s">
        <v>1115</v>
      </c>
      <c r="M93" s="1058" t="s">
        <v>1115</v>
      </c>
      <c r="O93" s="381" t="s">
        <v>1115</v>
      </c>
      <c r="P93" s="382" t="s">
        <v>1115</v>
      </c>
      <c r="Q93" s="383"/>
      <c r="R93" s="384"/>
      <c r="S93" s="385"/>
      <c r="T93" s="386" t="s">
        <v>1115</v>
      </c>
      <c r="U93" s="383"/>
      <c r="V93" s="1058" t="s">
        <v>1115</v>
      </c>
      <c r="X93" s="381" t="s">
        <v>1115</v>
      </c>
      <c r="Y93" s="382" t="s">
        <v>1115</v>
      </c>
      <c r="Z93" s="383"/>
      <c r="AA93" s="384"/>
      <c r="AB93" s="385"/>
      <c r="AC93" s="386" t="s">
        <v>1115</v>
      </c>
      <c r="AD93" s="383"/>
      <c r="AE93" s="1058" t="s">
        <v>1115</v>
      </c>
      <c r="AI93" s="381" t="s">
        <v>1115</v>
      </c>
      <c r="AJ93" s="382" t="s">
        <v>1115</v>
      </c>
      <c r="AK93" s="383"/>
      <c r="AL93" s="384"/>
      <c r="AM93" s="385"/>
      <c r="AN93" s="386" t="s">
        <v>1115</v>
      </c>
      <c r="AO93" s="383"/>
      <c r="AP93" s="1058" t="s">
        <v>1115</v>
      </c>
      <c r="AR93" s="381" t="s">
        <v>1115</v>
      </c>
      <c r="AS93" s="382" t="s">
        <v>1115</v>
      </c>
      <c r="AT93" s="956"/>
      <c r="AU93" s="6928"/>
      <c r="AV93" s="954"/>
      <c r="AW93" s="381" t="s">
        <v>1115</v>
      </c>
      <c r="AX93" s="956"/>
      <c r="AY93" s="1058" t="s">
        <v>1115</v>
      </c>
      <c r="BB93" s="381" t="s">
        <v>1115</v>
      </c>
      <c r="BC93" s="382" t="s">
        <v>1115</v>
      </c>
      <c r="BD93" s="383"/>
      <c r="BE93" s="8546"/>
      <c r="BF93" s="385"/>
      <c r="BG93" s="381" t="s">
        <v>1115</v>
      </c>
      <c r="BH93" s="383"/>
      <c r="BI93" s="1058" t="s">
        <v>1115</v>
      </c>
    </row>
    <row r="94" spans="1:62" x14ac:dyDescent="0.35">
      <c r="A94" s="9168"/>
      <c r="B94" s="58"/>
      <c r="C94" s="390"/>
      <c r="D94" s="296" t="s">
        <v>575</v>
      </c>
      <c r="E94" s="392"/>
      <c r="F94" s="393"/>
      <c r="G94" s="392"/>
      <c r="H94" s="394"/>
      <c r="I94" s="395"/>
      <c r="J94" s="229"/>
      <c r="K94" s="392"/>
      <c r="L94" s="396"/>
      <c r="M94" s="977"/>
      <c r="O94" s="1056"/>
      <c r="P94" s="953"/>
      <c r="Q94" s="1820"/>
      <c r="R94" s="1057"/>
      <c r="S94" s="1055"/>
      <c r="T94" s="1203"/>
      <c r="U94" s="1820"/>
      <c r="V94" s="977"/>
      <c r="X94" s="1056"/>
      <c r="Y94" s="953"/>
      <c r="Z94" s="1820"/>
      <c r="AA94" s="1057"/>
      <c r="AB94" s="1055"/>
      <c r="AC94" s="1203"/>
      <c r="AD94" s="1820"/>
      <c r="AE94" s="977"/>
      <c r="AI94" s="1056"/>
      <c r="AJ94" s="953"/>
      <c r="AK94" s="1820"/>
      <c r="AL94" s="1057"/>
      <c r="AM94" s="1055"/>
      <c r="AN94" s="1203"/>
      <c r="AO94" s="1820"/>
      <c r="AP94" s="977"/>
      <c r="AR94" s="1056"/>
      <c r="AS94" s="953"/>
      <c r="AT94" s="3622"/>
      <c r="AU94" s="6929"/>
      <c r="AV94" s="958"/>
      <c r="AW94" s="1056"/>
      <c r="AX94" s="3622"/>
      <c r="AY94" s="6930"/>
      <c r="BB94" s="1056"/>
      <c r="BC94" s="953"/>
      <c r="BD94" s="1820"/>
      <c r="BE94" s="4871"/>
      <c r="BF94" s="1055"/>
      <c r="BG94" s="1056"/>
      <c r="BH94" s="1820"/>
      <c r="BI94" s="6930"/>
    </row>
    <row r="95" spans="1:62" x14ac:dyDescent="0.35">
      <c r="A95" s="9168"/>
      <c r="B95" s="58"/>
      <c r="C95" s="390"/>
      <c r="D95" s="296" t="s">
        <v>576</v>
      </c>
      <c r="E95" s="392"/>
      <c r="F95" s="393"/>
      <c r="G95" s="392"/>
      <c r="H95" s="394"/>
      <c r="I95" s="395"/>
      <c r="J95" s="229"/>
      <c r="K95" s="392"/>
      <c r="L95" s="396"/>
      <c r="M95" s="977"/>
      <c r="O95" s="1056"/>
      <c r="P95" s="953"/>
      <c r="Q95" s="1820"/>
      <c r="R95" s="1057"/>
      <c r="S95" s="1055"/>
      <c r="T95" s="1203"/>
      <c r="U95" s="1820"/>
      <c r="V95" s="977"/>
      <c r="X95" s="1056"/>
      <c r="Y95" s="953"/>
      <c r="Z95" s="1820"/>
      <c r="AA95" s="1057"/>
      <c r="AB95" s="1055"/>
      <c r="AC95" s="1203"/>
      <c r="AD95" s="1820"/>
      <c r="AE95" s="977"/>
      <c r="AI95" s="1056"/>
      <c r="AJ95" s="953"/>
      <c r="AK95" s="1820"/>
      <c r="AL95" s="1057"/>
      <c r="AM95" s="1055"/>
      <c r="AN95" s="1203"/>
      <c r="AO95" s="1820"/>
      <c r="AP95" s="977"/>
      <c r="AR95" s="1056"/>
      <c r="AS95" s="953"/>
      <c r="AT95" s="3622"/>
      <c r="AU95" s="6929"/>
      <c r="AV95" s="958"/>
      <c r="AW95" s="1056"/>
      <c r="AX95" s="3622"/>
      <c r="AY95" s="6930"/>
      <c r="BB95" s="1056"/>
      <c r="BC95" s="953"/>
      <c r="BD95" s="1820"/>
      <c r="BE95" s="4871"/>
      <c r="BF95" s="1055"/>
      <c r="BG95" s="1056"/>
      <c r="BH95" s="1820"/>
      <c r="BI95" s="6930"/>
    </row>
    <row r="96" spans="1:62" x14ac:dyDescent="0.35">
      <c r="A96" s="9168"/>
      <c r="B96" s="58"/>
      <c r="C96" s="390"/>
      <c r="D96" s="296"/>
      <c r="E96" s="392"/>
      <c r="F96" s="393"/>
      <c r="G96" s="392"/>
      <c r="H96" s="394"/>
      <c r="I96" s="395"/>
      <c r="J96" s="229"/>
      <c r="K96" s="392"/>
      <c r="L96" s="396"/>
      <c r="M96" s="977"/>
      <c r="O96" s="1056"/>
      <c r="P96" s="953"/>
      <c r="Q96" s="1820"/>
      <c r="R96" s="1057"/>
      <c r="S96" s="1055"/>
      <c r="T96" s="1203"/>
      <c r="U96" s="1820"/>
      <c r="V96" s="977"/>
      <c r="X96" s="1056"/>
      <c r="Y96" s="953"/>
      <c r="Z96" s="1820"/>
      <c r="AA96" s="1057"/>
      <c r="AB96" s="1055"/>
      <c r="AC96" s="1203"/>
      <c r="AD96" s="1820"/>
      <c r="AE96" s="977"/>
      <c r="AI96" s="1056"/>
      <c r="AJ96" s="953"/>
      <c r="AK96" s="1820"/>
      <c r="AL96" s="1057"/>
      <c r="AM96" s="1055"/>
      <c r="AN96" s="1203"/>
      <c r="AO96" s="1820"/>
      <c r="AP96" s="977"/>
      <c r="AR96" s="1056"/>
      <c r="AS96" s="953"/>
      <c r="AT96" s="3622"/>
      <c r="AU96" s="6929"/>
      <c r="AV96" s="958"/>
      <c r="AW96" s="1056"/>
      <c r="AX96" s="3622"/>
      <c r="AY96" s="6930"/>
      <c r="BB96" s="1056"/>
      <c r="BC96" s="953"/>
      <c r="BD96" s="1820"/>
      <c r="BE96" s="4871"/>
      <c r="BF96" s="1055"/>
      <c r="BG96" s="1056"/>
      <c r="BH96" s="1820"/>
      <c r="BI96" s="6930"/>
    </row>
    <row r="97" spans="1:62" x14ac:dyDescent="0.35">
      <c r="A97" s="9168"/>
      <c r="B97" s="58"/>
      <c r="C97" s="390"/>
      <c r="D97" s="296" t="s">
        <v>577</v>
      </c>
      <c r="E97" s="392"/>
      <c r="F97" s="393"/>
      <c r="G97" s="392"/>
      <c r="H97" s="397">
        <f>H90/(H12-H13+H14-H15)</f>
        <v>0.21545656693772253</v>
      </c>
      <c r="I97" s="398">
        <f>I90/(I12-I13+I14-I15)</f>
        <v>0.221501533234647</v>
      </c>
      <c r="J97" s="229"/>
      <c r="K97" s="392"/>
      <c r="L97" s="402">
        <f>L90/(L12-L13+L14-L15)</f>
        <v>0.20739883699712994</v>
      </c>
      <c r="M97" s="684">
        <f>M90/(M12-M13+M14-M15)</f>
        <v>0.21561058964052349</v>
      </c>
      <c r="O97" s="1056">
        <f>O90/(O12-O13+O14-O15)</f>
        <v>0.20569567335991823</v>
      </c>
      <c r="P97" s="953">
        <f>P90/(P12-P13+P14-P15)</f>
        <v>0.21479649266247047</v>
      </c>
      <c r="Q97" s="1820"/>
      <c r="R97" s="1057"/>
      <c r="S97" s="1055"/>
      <c r="T97" s="1203">
        <f>T90/(T12-T13+T14-T15)</f>
        <v>0.19364826301854979</v>
      </c>
      <c r="U97" s="1820"/>
      <c r="V97" s="684">
        <f>V90/(V12-V13+V14-V15)</f>
        <v>0.18792061819697367</v>
      </c>
      <c r="X97" s="1056">
        <f>X90/(X12-X13+X14-X15)</f>
        <v>0.19364826301854979</v>
      </c>
      <c r="Y97" s="953">
        <f>Y90/(Y12-Y13+Y14-Y15)</f>
        <v>0.18792061819697367</v>
      </c>
      <c r="Z97" s="1820"/>
      <c r="AA97" s="1057"/>
      <c r="AB97" s="1055"/>
      <c r="AC97" s="1203">
        <f>AC90/(AC12-AC13+AC14-AC15)</f>
        <v>0.18869791668407609</v>
      </c>
      <c r="AD97" s="1820"/>
      <c r="AE97" s="684">
        <f>AE90/(AE12-AE13+AE14-AE15)</f>
        <v>0.18848490315855257</v>
      </c>
      <c r="AI97" s="1056">
        <f>AI90/(AI12-AI13+AI14-AI15)</f>
        <v>0.18869791668407609</v>
      </c>
      <c r="AJ97" s="953">
        <f>AJ90/(AJ12-AJ13+AJ14-AJ15)</f>
        <v>0.18848490315855257</v>
      </c>
      <c r="AK97" s="1820"/>
      <c r="AL97" s="1057"/>
      <c r="AM97" s="1055"/>
      <c r="AN97" s="1203">
        <f>AN90/(AN12-AN13+AN14-AN15)</f>
        <v>0.16880726606013496</v>
      </c>
      <c r="AO97" s="1820"/>
      <c r="AP97" s="684">
        <f>AP90/(AP12-AP13+AP14-AP15)</f>
        <v>0.16734980435359251</v>
      </c>
      <c r="AR97" s="1056">
        <f>AR90/(AR12-AR13+AR14-AR15)</f>
        <v>0.1679667903758964</v>
      </c>
      <c r="AS97" s="953">
        <f>AS90/(AS12-AS13+AS14-AS15)</f>
        <v>0.16787558900893593</v>
      </c>
      <c r="AT97" s="3622"/>
      <c r="AU97" s="6929"/>
      <c r="AV97" s="958"/>
      <c r="AW97" s="1056">
        <f>AW90/(AW12-AW13+AW14-AW15)</f>
        <v>0.16331712665891657</v>
      </c>
      <c r="AX97" s="3622"/>
      <c r="AY97" s="698">
        <f>AY90/(AY12-AY13+AY14-AY15)</f>
        <v>0.16573809807213888</v>
      </c>
      <c r="BB97" s="1056">
        <f>BB90/(BB12-BB13+BB14-BB15)</f>
        <v>0.18524910278924533</v>
      </c>
      <c r="BC97" s="953">
        <f>BC90/(BC12-BC13+BC14-BC15)</f>
        <v>0.17392346189851449</v>
      </c>
      <c r="BD97" s="1820"/>
      <c r="BE97" s="4871"/>
      <c r="BF97" s="1055"/>
      <c r="BG97" s="1056">
        <f>BG90/(BG12-BG13+BG14-BG15)</f>
        <v>0.17394539207785489</v>
      </c>
      <c r="BH97" s="1820"/>
      <c r="BI97" s="698">
        <f>BI90/(BI12-BI13+BI14-BI15)</f>
        <v>0.19008729369166491</v>
      </c>
    </row>
    <row r="98" spans="1:62" x14ac:dyDescent="0.35">
      <c r="A98" s="9168"/>
      <c r="B98" s="58"/>
      <c r="C98" s="390"/>
      <c r="D98" s="59" t="s">
        <v>578</v>
      </c>
      <c r="E98" s="392"/>
      <c r="F98" s="393"/>
      <c r="G98" s="392"/>
      <c r="H98" s="3292"/>
      <c r="I98" s="3293">
        <f>I90-I69</f>
        <v>28172612327.299995</v>
      </c>
      <c r="J98" s="229"/>
      <c r="K98" s="392"/>
      <c r="L98" s="71">
        <f>L90-L69</f>
        <v>29026425813.400002</v>
      </c>
      <c r="M98" s="3294">
        <f>M90-M69</f>
        <v>28305326165.900002</v>
      </c>
      <c r="O98" s="983">
        <f>O90-O69</f>
        <v>29026425813.400002</v>
      </c>
      <c r="P98" s="979">
        <f>P90-P69</f>
        <v>28305326165.900002</v>
      </c>
      <c r="Q98" s="985"/>
      <c r="R98" s="246"/>
      <c r="S98" s="982"/>
      <c r="T98" s="986">
        <f>T90-T69</f>
        <v>32006478438</v>
      </c>
      <c r="U98" s="985"/>
      <c r="V98" s="3294">
        <f>V90-V69</f>
        <v>29741926859.200001</v>
      </c>
      <c r="X98" s="983">
        <f>X90-SUM(X69:X72)</f>
        <v>32006478438</v>
      </c>
      <c r="Y98" s="979">
        <f>Y90-SUM(Y69:Y72)</f>
        <v>29741926859.200001</v>
      </c>
      <c r="Z98" s="985"/>
      <c r="AA98" s="246"/>
      <c r="AB98" s="982"/>
      <c r="AC98" s="986">
        <f>AC90-SUM(AC69:AC72)</f>
        <v>33651915825</v>
      </c>
      <c r="AD98" s="985"/>
      <c r="AE98" s="3294">
        <f>AE90-SUM(AE69:AE72)</f>
        <v>30901284520</v>
      </c>
      <c r="AI98" s="983">
        <f>AI90-SUM(AI69:AI72)</f>
        <v>33651915825</v>
      </c>
      <c r="AJ98" s="979">
        <f>AJ90-SUM(AJ69:AJ72)</f>
        <v>30901284520</v>
      </c>
      <c r="AK98" s="985"/>
      <c r="AL98" s="246"/>
      <c r="AM98" s="982"/>
      <c r="AN98" s="986">
        <f>AN90-SUM(AN69:AN72)</f>
        <v>37233281675</v>
      </c>
      <c r="AO98" s="985"/>
      <c r="AP98" s="3294">
        <f>AP90-SUM(AP69:AP72)</f>
        <v>34841961246</v>
      </c>
      <c r="AR98" s="983">
        <f t="shared" ref="AR98:AS98" si="55">AR90-SUM(AR69:AR72)</f>
        <v>36840085617</v>
      </c>
      <c r="AS98" s="979">
        <f t="shared" si="55"/>
        <v>34770725411</v>
      </c>
      <c r="AT98" s="985"/>
      <c r="AU98" s="6926"/>
      <c r="AV98" s="982"/>
      <c r="AW98" s="983">
        <f>AW90-SUM(AW69:AW72)</f>
        <v>36147309193</v>
      </c>
      <c r="AX98" s="985"/>
      <c r="AY98" s="6931">
        <f>AY90-SUM(AY69:AY72)</f>
        <v>34591863447</v>
      </c>
      <c r="BB98" s="983">
        <f>BB90-SUM(BB69:BB72)</f>
        <v>35978860991</v>
      </c>
      <c r="BC98" s="979">
        <f>BC90-SUM(BC69:BC72)</f>
        <v>31506930669</v>
      </c>
      <c r="BD98" s="985"/>
      <c r="BE98" s="6926"/>
      <c r="BF98" s="982"/>
      <c r="BG98" s="983">
        <f>BG90-SUM(BG69:BG72)</f>
        <v>35710189709</v>
      </c>
      <c r="BH98" s="985"/>
      <c r="BI98" s="6931">
        <f>BI90-SUM(BI69:BI72)</f>
        <v>30805272185</v>
      </c>
    </row>
    <row r="99" spans="1:62" x14ac:dyDescent="0.35">
      <c r="A99" s="9168"/>
      <c r="B99" s="58"/>
      <c r="C99" s="390"/>
      <c r="D99" s="296" t="s">
        <v>579</v>
      </c>
      <c r="E99" s="392"/>
      <c r="F99" s="393"/>
      <c r="G99" s="392"/>
      <c r="H99" s="3292"/>
      <c r="I99" s="398">
        <f>I98/(I12-I13+I14-I15)</f>
        <v>0.21226861822703436</v>
      </c>
      <c r="J99" s="229"/>
      <c r="K99" s="392"/>
      <c r="L99" s="402">
        <f>L98/(L12-L13+L14-L15)</f>
        <v>0.19728940054189981</v>
      </c>
      <c r="M99" s="684">
        <f>M98/(M12-M13+M14-M15)</f>
        <v>0.20669910333215802</v>
      </c>
      <c r="O99" s="1056">
        <f>O98/(O12-O13+O14-O15)</f>
        <v>0.19566925581073666</v>
      </c>
      <c r="P99" s="953">
        <f>P98/(P12-P13+P14-P15)</f>
        <v>0.20591865411735125</v>
      </c>
      <c r="Q99" s="1820"/>
      <c r="R99" s="1057"/>
      <c r="S99" s="1055"/>
      <c r="T99" s="1203">
        <f>T98/(T12-T13+T14-T15)</f>
        <v>0.18533232002588296</v>
      </c>
      <c r="U99" s="1820"/>
      <c r="V99" s="684">
        <f>V98/(V12-V13+V14-V15)</f>
        <v>0.17945023782518427</v>
      </c>
      <c r="X99" s="1056">
        <f>X98/(X12-X13+X14-X15)</f>
        <v>0.18533232002588296</v>
      </c>
      <c r="Y99" s="953">
        <f>Y98/(Y12-Y13+Y14-Y15)</f>
        <v>0.17945023782518427</v>
      </c>
      <c r="Z99" s="1820"/>
      <c r="AA99" s="1057"/>
      <c r="AB99" s="1055"/>
      <c r="AC99" s="1203">
        <f>AC98/(AC12-AC13+AC14-AC15)</f>
        <v>0.18175902254496157</v>
      </c>
      <c r="AD99" s="1820"/>
      <c r="AE99" s="684">
        <f>AE98/(AE12-AE13+AE14-AE15)</f>
        <v>0.18119380644027769</v>
      </c>
      <c r="AI99" s="1056">
        <f>AI98/(AI12-AI13+AI14-AI15)</f>
        <v>0.18175902254496157</v>
      </c>
      <c r="AJ99" s="953">
        <f>AJ98/(AJ12-AJ13+AJ14-AJ15)</f>
        <v>0.18119380644027769</v>
      </c>
      <c r="AK99" s="1820"/>
      <c r="AL99" s="1057"/>
      <c r="AM99" s="1055"/>
      <c r="AN99" s="1203">
        <f>AN98/(AN12-AN13+AN14-AN15)</f>
        <v>0.16880726606013496</v>
      </c>
      <c r="AO99" s="1820"/>
      <c r="AP99" s="684">
        <f>AP98/(AP12-AP13+AP14-AP15)</f>
        <v>0.16734980435359251</v>
      </c>
      <c r="AR99" s="1056">
        <f>AR98/(AR12-AR13+AR14-AR15)</f>
        <v>0.16702460418907114</v>
      </c>
      <c r="AS99" s="953">
        <f>AS98/(AS12-AS13+AS14-AS15)</f>
        <v>0.16700765073778151</v>
      </c>
      <c r="AT99" s="3622"/>
      <c r="AU99" s="6929"/>
      <c r="AV99" s="958"/>
      <c r="AW99" s="1056">
        <f>AW98/(AW12-AW13+AW14-AW15)</f>
        <v>0.15685287246043098</v>
      </c>
      <c r="AX99" s="3622"/>
      <c r="AY99" s="698">
        <f>AY98/(AY12-AY13+AY14-AY15)</f>
        <v>0.15909731159856322</v>
      </c>
      <c r="BB99" s="1056">
        <f>BB98/(BB12-BB13+BB14-BB15)</f>
        <v>0.17788379501387125</v>
      </c>
      <c r="BC99" s="953">
        <f>BC98/(BC12-BC13+BC14-BC15)</f>
        <v>0.16630227308805984</v>
      </c>
      <c r="BD99" s="1820"/>
      <c r="BE99" s="4871"/>
      <c r="BF99" s="1055"/>
      <c r="BG99" s="1056">
        <f>BG98/(BG12-BG13+BG14-BG15)</f>
        <v>0.15967800589413872</v>
      </c>
      <c r="BH99" s="1820"/>
      <c r="BI99" s="698">
        <f>BI98/(BI12-BI13+BI14-BI15)</f>
        <v>0.18964422926647886</v>
      </c>
    </row>
    <row r="100" spans="1:62" x14ac:dyDescent="0.35">
      <c r="A100" s="9168"/>
      <c r="B100" s="58"/>
      <c r="C100" s="390"/>
      <c r="D100" s="296"/>
      <c r="E100" s="392"/>
      <c r="F100" s="393"/>
      <c r="G100" s="392"/>
      <c r="H100" s="394"/>
      <c r="I100" s="395"/>
      <c r="J100" s="229"/>
      <c r="K100" s="392"/>
      <c r="L100" s="396"/>
      <c r="M100" s="977"/>
      <c r="O100" s="1056"/>
      <c r="P100" s="953"/>
      <c r="Q100" s="1820"/>
      <c r="R100" s="1057"/>
      <c r="S100" s="1055"/>
      <c r="T100" s="1203"/>
      <c r="U100" s="1820"/>
      <c r="V100" s="977"/>
      <c r="X100" s="1056"/>
      <c r="Y100" s="953"/>
      <c r="Z100" s="1820"/>
      <c r="AA100" s="1057"/>
      <c r="AB100" s="1055"/>
      <c r="AC100" s="1203"/>
      <c r="AD100" s="1820"/>
      <c r="AE100" s="977"/>
      <c r="AI100" s="1056"/>
      <c r="AJ100" s="953"/>
      <c r="AK100" s="1820"/>
      <c r="AL100" s="1057"/>
      <c r="AM100" s="1055"/>
      <c r="AN100" s="1203"/>
      <c r="AO100" s="1820"/>
      <c r="AP100" s="977"/>
      <c r="AR100" s="1056"/>
      <c r="AS100" s="953"/>
      <c r="AT100" s="3622"/>
      <c r="AU100" s="6929"/>
      <c r="AV100" s="958"/>
      <c r="AW100" s="1056"/>
      <c r="AX100" s="3622"/>
      <c r="AY100" s="6930"/>
      <c r="BB100" s="1056"/>
      <c r="BC100" s="953"/>
      <c r="BD100" s="1820"/>
      <c r="BE100" s="4871"/>
      <c r="BF100" s="1055"/>
      <c r="BG100" s="1056"/>
      <c r="BH100" s="1820"/>
      <c r="BI100" s="6930"/>
    </row>
    <row r="101" spans="1:62" x14ac:dyDescent="0.35">
      <c r="A101" s="9168"/>
      <c r="B101" s="58"/>
      <c r="C101" s="390"/>
      <c r="D101" s="980" t="s">
        <v>580</v>
      </c>
      <c r="E101" s="424"/>
      <c r="F101" s="981"/>
      <c r="G101" s="982"/>
      <c r="H101" s="983"/>
      <c r="I101" s="979">
        <f t="shared" ref="I101" si="56">I75/I90</f>
        <v>0.43617630852823874</v>
      </c>
      <c r="J101" s="246"/>
      <c r="K101" s="982"/>
      <c r="L101" s="697">
        <f>L75/L90</f>
        <v>0.43855473215518065</v>
      </c>
      <c r="M101" s="984">
        <f>M75/M90</f>
        <v>0.44422157563056214</v>
      </c>
      <c r="O101" s="3295">
        <f t="shared" ref="O101:P101" si="57">O75/O90</f>
        <v>0.43855473215518065</v>
      </c>
      <c r="P101" s="3296">
        <f t="shared" si="57"/>
        <v>0.4532316906353171</v>
      </c>
      <c r="Q101" s="1820"/>
      <c r="R101" s="1057"/>
      <c r="S101" s="1060"/>
      <c r="T101" s="3297">
        <f>T75/T90</f>
        <v>0.41150643987201252</v>
      </c>
      <c r="U101" s="3298"/>
      <c r="V101" s="698">
        <f>V75/V90</f>
        <v>0.43949986717129585</v>
      </c>
      <c r="X101" s="3295">
        <f>X75/X90</f>
        <v>0.41150643987201252</v>
      </c>
      <c r="Y101" s="3296">
        <f>Y75/Y90</f>
        <v>0.43949986717129585</v>
      </c>
      <c r="Z101" s="1820"/>
      <c r="AA101" s="1057"/>
      <c r="AB101" s="1060"/>
      <c r="AC101" s="3297">
        <f>AC75/AC90</f>
        <v>0.39805945489307087</v>
      </c>
      <c r="AD101" s="3298"/>
      <c r="AE101" s="698">
        <f>AE75/AE90</f>
        <v>0.43263246863232913</v>
      </c>
      <c r="AI101" s="3295">
        <f>AI75/AI90</f>
        <v>0</v>
      </c>
      <c r="AJ101" s="3296">
        <f>AJ75/AJ90</f>
        <v>0</v>
      </c>
      <c r="AK101" s="1820"/>
      <c r="AL101" s="1057"/>
      <c r="AM101" s="1060"/>
      <c r="AN101" s="3297">
        <f>AN75/AN90</f>
        <v>0</v>
      </c>
      <c r="AO101" s="3298"/>
      <c r="AP101" s="698">
        <f>AP75/AP90</f>
        <v>0</v>
      </c>
      <c r="AR101" s="3295" t="s">
        <v>1115</v>
      </c>
      <c r="AS101" s="3296" t="s">
        <v>1115</v>
      </c>
      <c r="AT101" s="3622"/>
      <c r="AU101" s="6929"/>
      <c r="AV101" s="6144"/>
      <c r="AW101" s="3295" t="s">
        <v>1115</v>
      </c>
      <c r="AX101" s="6145"/>
      <c r="AY101" s="698" t="s">
        <v>1115</v>
      </c>
      <c r="BB101" s="3295" t="s">
        <v>1115</v>
      </c>
      <c r="BC101" s="3296" t="s">
        <v>1115</v>
      </c>
      <c r="BD101" s="1820"/>
      <c r="BE101" s="4871"/>
      <c r="BF101" s="1060"/>
      <c r="BG101" s="3295" t="s">
        <v>1115</v>
      </c>
      <c r="BH101" s="3298"/>
      <c r="BI101" s="698" t="s">
        <v>1115</v>
      </c>
    </row>
    <row r="102" spans="1:62" x14ac:dyDescent="0.35">
      <c r="A102" s="9169"/>
      <c r="B102" s="85"/>
      <c r="C102" s="432"/>
      <c r="D102" s="86" t="s">
        <v>581</v>
      </c>
      <c r="E102" s="274"/>
      <c r="F102" s="702"/>
      <c r="G102" s="460"/>
      <c r="H102" s="704"/>
      <c r="I102" s="705" t="s">
        <v>1115</v>
      </c>
      <c r="J102" s="706"/>
      <c r="K102" s="460"/>
      <c r="L102" s="707" t="s">
        <v>1115</v>
      </c>
      <c r="M102" s="708" t="s">
        <v>1115</v>
      </c>
      <c r="O102" s="1996" t="s">
        <v>1115</v>
      </c>
      <c r="P102" s="1997" t="s">
        <v>1115</v>
      </c>
      <c r="Q102" s="1534"/>
      <c r="R102" s="706"/>
      <c r="S102" s="703"/>
      <c r="T102" s="1998" t="s">
        <v>1115</v>
      </c>
      <c r="U102" s="1534"/>
      <c r="V102" s="708" t="s">
        <v>1115</v>
      </c>
      <c r="X102" s="1996" t="s">
        <v>1115</v>
      </c>
      <c r="Y102" s="1997" t="s">
        <v>1115</v>
      </c>
      <c r="Z102" s="1534"/>
      <c r="AA102" s="706"/>
      <c r="AB102" s="703"/>
      <c r="AC102" s="1998" t="s">
        <v>1115</v>
      </c>
      <c r="AD102" s="1534"/>
      <c r="AE102" s="708" t="s">
        <v>1115</v>
      </c>
      <c r="AI102" s="1996" t="s">
        <v>1115</v>
      </c>
      <c r="AJ102" s="1997" t="s">
        <v>1115</v>
      </c>
      <c r="AK102" s="1534"/>
      <c r="AL102" s="706"/>
      <c r="AM102" s="703"/>
      <c r="AN102" s="1998" t="s">
        <v>1115</v>
      </c>
      <c r="AO102" s="1534"/>
      <c r="AP102" s="708" t="s">
        <v>1115</v>
      </c>
      <c r="AR102" s="704" t="s">
        <v>1115</v>
      </c>
      <c r="AS102" s="705" t="s">
        <v>1115</v>
      </c>
      <c r="AT102" s="3347"/>
      <c r="AU102" s="3436"/>
      <c r="AV102" s="6146"/>
      <c r="AW102" s="704" t="s">
        <v>1115</v>
      </c>
      <c r="AX102" s="989"/>
      <c r="AY102" s="708" t="s">
        <v>1115</v>
      </c>
      <c r="BB102" s="704" t="s">
        <v>1115</v>
      </c>
      <c r="BC102" s="705" t="s">
        <v>1115</v>
      </c>
      <c r="BD102" s="1534"/>
      <c r="BE102" s="8547"/>
      <c r="BF102" s="703"/>
      <c r="BG102" s="704" t="s">
        <v>1115</v>
      </c>
      <c r="BH102" s="1826"/>
      <c r="BI102" s="708" t="s">
        <v>1115</v>
      </c>
    </row>
    <row r="103" spans="1:62" s="462" customFormat="1" ht="12" x14ac:dyDescent="0.3">
      <c r="C103" s="456"/>
      <c r="D103" s="2"/>
      <c r="E103" s="456"/>
      <c r="F103" s="456"/>
      <c r="G103" s="456"/>
      <c r="H103" s="459"/>
      <c r="I103" s="459"/>
      <c r="J103" s="7"/>
      <c r="K103" s="456"/>
      <c r="N103" s="456"/>
      <c r="O103" s="459"/>
      <c r="P103" s="459"/>
      <c r="Q103" s="459"/>
      <c r="R103" s="7"/>
      <c r="S103" s="456"/>
      <c r="W103" s="456"/>
      <c r="X103" s="459"/>
      <c r="Y103" s="459"/>
      <c r="Z103" s="459"/>
      <c r="AA103" s="7"/>
      <c r="AB103" s="456"/>
      <c r="AF103" s="456"/>
      <c r="AH103" s="456"/>
      <c r="AI103" s="459"/>
      <c r="AJ103" s="459"/>
      <c r="AK103" s="459"/>
      <c r="AL103" s="7"/>
      <c r="AM103" s="456"/>
      <c r="AQ103" s="456"/>
      <c r="AR103" s="459"/>
      <c r="AS103" s="459"/>
      <c r="AT103" s="459"/>
      <c r="AU103" s="7"/>
      <c r="AV103" s="456"/>
      <c r="BB103" s="459"/>
      <c r="BC103" s="459"/>
      <c r="BD103" s="459"/>
      <c r="BE103" s="7"/>
      <c r="BF103" s="456"/>
    </row>
    <row r="104" spans="1:62" s="462" customFormat="1" ht="12" x14ac:dyDescent="0.3">
      <c r="A104" s="455" t="s">
        <v>582</v>
      </c>
      <c r="B104" s="455"/>
      <c r="C104" s="456"/>
      <c r="D104" s="2"/>
      <c r="E104" s="456"/>
      <c r="F104" s="456"/>
      <c r="G104" s="456"/>
      <c r="H104" s="459"/>
      <c r="I104" s="459"/>
      <c r="J104" s="7"/>
      <c r="K104" s="456"/>
      <c r="N104" s="456"/>
      <c r="O104" s="459"/>
      <c r="P104" s="459"/>
      <c r="Q104" s="459"/>
      <c r="R104" s="7"/>
      <c r="S104" s="456"/>
      <c r="W104" s="456"/>
      <c r="X104" s="459"/>
      <c r="Y104" s="459"/>
      <c r="Z104" s="459"/>
      <c r="AA104" s="7"/>
      <c r="AB104" s="456"/>
      <c r="AF104" s="456"/>
      <c r="AH104" s="456"/>
      <c r="AI104" s="459"/>
      <c r="AJ104" s="459"/>
      <c r="AK104" s="459"/>
      <c r="AL104" s="7"/>
      <c r="AM104" s="456"/>
      <c r="AQ104" s="456"/>
      <c r="AR104" s="459"/>
      <c r="AS104" s="459"/>
      <c r="AT104" s="459"/>
      <c r="AU104" s="7"/>
      <c r="AV104" s="456"/>
      <c r="BB104" s="459"/>
      <c r="BC104" s="459"/>
      <c r="BD104" s="459"/>
      <c r="BE104" s="7"/>
      <c r="BF104" s="456"/>
    </row>
    <row r="105" spans="1:62" s="462" customFormat="1" ht="12" customHeight="1" x14ac:dyDescent="0.3">
      <c r="A105" s="463">
        <v>1</v>
      </c>
      <c r="B105" s="464" t="str">
        <f>AG12</f>
        <v>Administracion Centralizada y Decentralizada</v>
      </c>
      <c r="D105" s="709"/>
      <c r="E105" s="466"/>
      <c r="F105" s="466"/>
      <c r="G105" s="466"/>
      <c r="H105" s="466"/>
      <c r="I105" s="466"/>
      <c r="J105" s="467"/>
      <c r="K105" s="466"/>
      <c r="L105" s="466"/>
      <c r="M105" s="466"/>
      <c r="N105" s="456"/>
      <c r="O105" s="466"/>
      <c r="P105" s="466"/>
      <c r="Q105" s="466"/>
      <c r="R105" s="467"/>
      <c r="S105" s="466"/>
      <c r="T105" s="466"/>
      <c r="U105" s="466"/>
      <c r="V105" s="466"/>
      <c r="W105" s="456"/>
      <c r="X105" s="466"/>
      <c r="Y105" s="466"/>
      <c r="Z105" s="466"/>
      <c r="AA105" s="467"/>
      <c r="AB105" s="466"/>
      <c r="AC105" s="466"/>
      <c r="AD105" s="466"/>
      <c r="AE105" s="466"/>
      <c r="AF105" s="456"/>
      <c r="AG105" s="577"/>
      <c r="AH105" s="456"/>
      <c r="AI105" s="466"/>
      <c r="AJ105" s="466"/>
      <c r="AK105" s="466"/>
      <c r="AL105" s="467"/>
      <c r="AM105" s="466"/>
      <c r="AN105" s="466"/>
      <c r="AO105" s="466"/>
      <c r="AP105" s="466"/>
      <c r="AQ105" s="456"/>
      <c r="AR105" s="466"/>
      <c r="AS105" s="466"/>
      <c r="AT105" s="466"/>
      <c r="AU105" s="467"/>
      <c r="AV105" s="466"/>
      <c r="AW105" s="466"/>
      <c r="AX105" s="466"/>
      <c r="AY105" s="466"/>
      <c r="AZ105" s="466"/>
      <c r="BA105" s="577"/>
      <c r="BB105" s="466"/>
      <c r="BC105" s="466"/>
      <c r="BD105" s="466"/>
      <c r="BE105" s="467"/>
      <c r="BF105" s="466"/>
      <c r="BG105" s="466"/>
      <c r="BH105" s="466"/>
      <c r="BI105" s="466"/>
      <c r="BJ105" s="466"/>
    </row>
    <row r="106" spans="1:62" s="462" customFormat="1" ht="12" x14ac:dyDescent="0.3">
      <c r="A106" s="468">
        <v>2</v>
      </c>
      <c r="B106" s="469"/>
      <c r="D106" s="2"/>
      <c r="E106" s="456"/>
      <c r="F106" s="456"/>
      <c r="G106" s="456"/>
      <c r="H106" s="459"/>
      <c r="I106" s="459"/>
      <c r="J106" s="7"/>
      <c r="K106" s="456"/>
      <c r="N106" s="456"/>
      <c r="O106" s="459"/>
      <c r="P106" s="459"/>
      <c r="Q106" s="459"/>
      <c r="R106" s="7"/>
      <c r="S106" s="456"/>
      <c r="W106" s="456"/>
      <c r="X106" s="459"/>
      <c r="Y106" s="459"/>
      <c r="Z106" s="459"/>
      <c r="AA106" s="7"/>
      <c r="AB106" s="456"/>
      <c r="AF106" s="456"/>
      <c r="AG106" s="577"/>
      <c r="AH106" s="456"/>
      <c r="AI106" s="459"/>
      <c r="AJ106" s="459"/>
      <c r="AK106" s="459"/>
      <c r="AL106" s="7"/>
      <c r="AM106" s="456"/>
      <c r="AQ106" s="456"/>
      <c r="AR106" s="459"/>
      <c r="AS106" s="459"/>
      <c r="AT106" s="459"/>
      <c r="AU106" s="7"/>
      <c r="AV106" s="456"/>
      <c r="BA106" s="577"/>
      <c r="BB106" s="459"/>
      <c r="BC106" s="459"/>
      <c r="BD106" s="459"/>
      <c r="BE106" s="7"/>
      <c r="BF106" s="456"/>
    </row>
    <row r="107" spans="1:62" s="462" customFormat="1" ht="12" x14ac:dyDescent="0.3">
      <c r="A107" s="463">
        <v>3</v>
      </c>
      <c r="B107" s="469"/>
      <c r="D107" s="2"/>
      <c r="E107" s="456"/>
      <c r="F107" s="456"/>
      <c r="G107" s="456"/>
      <c r="H107" s="459"/>
      <c r="I107" s="459"/>
      <c r="J107" s="7"/>
      <c r="K107" s="456"/>
      <c r="N107" s="456"/>
      <c r="O107" s="459"/>
      <c r="P107" s="459"/>
      <c r="Q107" s="459"/>
      <c r="R107" s="7"/>
      <c r="S107" s="456"/>
      <c r="W107" s="456"/>
      <c r="X107" s="459"/>
      <c r="Y107" s="459"/>
      <c r="Z107" s="459"/>
      <c r="AA107" s="7"/>
      <c r="AB107" s="456"/>
      <c r="AF107" s="456"/>
      <c r="AG107" s="577"/>
      <c r="AH107" s="456"/>
      <c r="AI107" s="459"/>
      <c r="AJ107" s="459"/>
      <c r="AK107" s="459"/>
      <c r="AL107" s="7"/>
      <c r="AM107" s="456"/>
      <c r="AQ107" s="456"/>
      <c r="AR107" s="459"/>
      <c r="AS107" s="459"/>
      <c r="AT107" s="459"/>
      <c r="AU107" s="7"/>
      <c r="AV107" s="456"/>
      <c r="BA107" s="577"/>
      <c r="BB107" s="459"/>
      <c r="BC107" s="459"/>
      <c r="BD107" s="459"/>
      <c r="BE107" s="7"/>
      <c r="BF107" s="456"/>
    </row>
    <row r="108" spans="1:62" s="462" customFormat="1" ht="12" x14ac:dyDescent="0.3">
      <c r="A108" s="468">
        <v>4</v>
      </c>
      <c r="B108" s="469"/>
      <c r="D108" s="2"/>
      <c r="E108" s="456"/>
      <c r="F108" s="456"/>
      <c r="G108" s="456"/>
      <c r="H108" s="459"/>
      <c r="I108" s="459"/>
      <c r="J108" s="7"/>
      <c r="K108" s="456"/>
      <c r="N108" s="456"/>
      <c r="O108" s="459"/>
      <c r="P108" s="459"/>
      <c r="Q108" s="459"/>
      <c r="R108" s="7"/>
      <c r="S108" s="456"/>
      <c r="W108" s="456"/>
      <c r="X108" s="459"/>
      <c r="Y108" s="459"/>
      <c r="Z108" s="459"/>
      <c r="AA108" s="7"/>
      <c r="AB108" s="456"/>
      <c r="AF108" s="456"/>
      <c r="AG108" s="577"/>
      <c r="AH108" s="456"/>
      <c r="AI108" s="459"/>
      <c r="AJ108" s="459"/>
      <c r="AK108" s="459"/>
      <c r="AL108" s="7"/>
      <c r="AM108" s="456"/>
      <c r="AQ108" s="456"/>
      <c r="AR108" s="459"/>
      <c r="AS108" s="459"/>
      <c r="AT108" s="459"/>
      <c r="AU108" s="7"/>
      <c r="AV108" s="456"/>
      <c r="BA108" s="577"/>
      <c r="BB108" s="459"/>
      <c r="BC108" s="459"/>
      <c r="BD108" s="459"/>
      <c r="BE108" s="7"/>
      <c r="BF108" s="456"/>
    </row>
    <row r="109" spans="1:62" s="462" customFormat="1" ht="12" x14ac:dyDescent="0.3">
      <c r="A109" s="463">
        <v>5</v>
      </c>
      <c r="B109" s="469"/>
      <c r="D109" s="2"/>
      <c r="E109" s="456"/>
      <c r="F109" s="456"/>
      <c r="G109" s="456"/>
      <c r="H109" s="459"/>
      <c r="I109" s="459"/>
      <c r="J109" s="7"/>
      <c r="K109" s="456"/>
      <c r="N109" s="456"/>
      <c r="O109" s="459"/>
      <c r="P109" s="459"/>
      <c r="Q109" s="459"/>
      <c r="R109" s="7"/>
      <c r="S109" s="456"/>
      <c r="W109" s="456"/>
      <c r="X109" s="459"/>
      <c r="Y109" s="459"/>
      <c r="Z109" s="459"/>
      <c r="AA109" s="7"/>
      <c r="AB109" s="456"/>
      <c r="AF109" s="456"/>
      <c r="AG109" s="577"/>
      <c r="AH109" s="456"/>
      <c r="AI109" s="459"/>
      <c r="AJ109" s="459"/>
      <c r="AK109" s="459"/>
      <c r="AL109" s="7"/>
      <c r="AM109" s="456"/>
      <c r="AQ109" s="456"/>
      <c r="AR109" s="459"/>
      <c r="AS109" s="459"/>
      <c r="AT109" s="459"/>
      <c r="AU109" s="7"/>
      <c r="AV109" s="456"/>
      <c r="BA109" s="577"/>
      <c r="BB109" s="459"/>
      <c r="BC109" s="459"/>
      <c r="BD109" s="459"/>
      <c r="BE109" s="7"/>
      <c r="BF109" s="456"/>
    </row>
    <row r="110" spans="1:62" s="462" customFormat="1" ht="12" x14ac:dyDescent="0.3">
      <c r="A110" s="468">
        <v>6</v>
      </c>
      <c r="B110" s="469"/>
      <c r="D110" s="2"/>
      <c r="E110" s="456"/>
      <c r="F110" s="456"/>
      <c r="G110" s="456"/>
      <c r="H110" s="459"/>
      <c r="I110" s="459"/>
      <c r="J110" s="7"/>
      <c r="K110" s="456"/>
      <c r="N110" s="456"/>
      <c r="O110" s="459"/>
      <c r="P110" s="459"/>
      <c r="Q110" s="459"/>
      <c r="R110" s="7"/>
      <c r="S110" s="456"/>
      <c r="W110" s="456"/>
      <c r="X110" s="459"/>
      <c r="Y110" s="459"/>
      <c r="Z110" s="459"/>
      <c r="AA110" s="7"/>
      <c r="AB110" s="456"/>
      <c r="AF110" s="456"/>
      <c r="AG110" s="577"/>
      <c r="AH110" s="456"/>
      <c r="AI110" s="459"/>
      <c r="AJ110" s="459"/>
      <c r="AK110" s="459"/>
      <c r="AL110" s="7"/>
      <c r="AM110" s="456"/>
      <c r="AQ110" s="456"/>
      <c r="AR110" s="459"/>
      <c r="AS110" s="459"/>
      <c r="AT110" s="459"/>
      <c r="AU110" s="7"/>
      <c r="AV110" s="456"/>
      <c r="BA110" s="577"/>
      <c r="BB110" s="459"/>
      <c r="BC110" s="459"/>
      <c r="BD110" s="459"/>
      <c r="BE110" s="7"/>
      <c r="BF110" s="456"/>
    </row>
    <row r="111" spans="1:62" s="462" customFormat="1" ht="12" x14ac:dyDescent="0.3">
      <c r="A111" s="468"/>
      <c r="B111" s="469"/>
      <c r="D111" s="2"/>
      <c r="E111" s="456"/>
      <c r="F111" s="456"/>
      <c r="G111" s="456"/>
      <c r="H111" s="459"/>
      <c r="I111" s="459"/>
      <c r="J111" s="7"/>
      <c r="K111" s="456"/>
      <c r="N111" s="456"/>
      <c r="O111" s="459"/>
      <c r="P111" s="459"/>
      <c r="Q111" s="459"/>
      <c r="R111" s="7"/>
      <c r="S111" s="456"/>
      <c r="W111" s="456"/>
      <c r="X111" s="459"/>
      <c r="Y111" s="459"/>
      <c r="Z111" s="459"/>
      <c r="AA111" s="7"/>
      <c r="AB111" s="456"/>
      <c r="AF111" s="456"/>
      <c r="AG111" s="577"/>
      <c r="AH111" s="456"/>
      <c r="AI111" s="459"/>
      <c r="AJ111" s="459"/>
      <c r="AK111" s="459"/>
      <c r="AL111" s="7"/>
      <c r="AM111" s="456"/>
      <c r="AQ111" s="456"/>
      <c r="AR111" s="459"/>
      <c r="AS111" s="459"/>
      <c r="AT111" s="459"/>
      <c r="AU111" s="7"/>
      <c r="AV111" s="456"/>
      <c r="BA111" s="577"/>
      <c r="BB111" s="459"/>
      <c r="BC111" s="459"/>
      <c r="BD111" s="459"/>
      <c r="BE111" s="7"/>
      <c r="BF111" s="456"/>
    </row>
    <row r="112" spans="1:62" s="462" customFormat="1" ht="12" x14ac:dyDescent="0.3">
      <c r="A112" s="468"/>
      <c r="B112" s="469"/>
      <c r="D112" s="2"/>
      <c r="E112" s="456"/>
      <c r="F112" s="456"/>
      <c r="G112" s="456"/>
      <c r="H112" s="459"/>
      <c r="I112" s="459"/>
      <c r="J112" s="7"/>
      <c r="K112" s="456"/>
      <c r="N112" s="456"/>
      <c r="O112" s="459"/>
      <c r="P112" s="459"/>
      <c r="Q112" s="459"/>
      <c r="R112" s="7"/>
      <c r="S112" s="456"/>
      <c r="W112" s="456"/>
      <c r="X112" s="459"/>
      <c r="Y112" s="459"/>
      <c r="Z112" s="459"/>
      <c r="AA112" s="7"/>
      <c r="AB112" s="456"/>
      <c r="AF112" s="456"/>
      <c r="AG112" s="577"/>
      <c r="AH112" s="456"/>
      <c r="AI112" s="459"/>
      <c r="AJ112" s="459"/>
      <c r="AK112" s="459"/>
      <c r="AL112" s="7"/>
      <c r="AM112" s="456"/>
      <c r="AQ112" s="456"/>
      <c r="AR112" s="459"/>
      <c r="AS112" s="459"/>
      <c r="AT112" s="459"/>
      <c r="AU112" s="7"/>
      <c r="AV112" s="456"/>
      <c r="BA112" s="577"/>
      <c r="BB112" s="459"/>
      <c r="BC112" s="459"/>
      <c r="BD112" s="459"/>
      <c r="BE112" s="7"/>
      <c r="BF112" s="456"/>
    </row>
    <row r="113" spans="1:62" s="462" customFormat="1" ht="12" x14ac:dyDescent="0.3">
      <c r="A113" s="468"/>
      <c r="B113" s="469"/>
      <c r="D113" s="2"/>
      <c r="E113" s="456"/>
      <c r="F113" s="456"/>
      <c r="G113" s="456"/>
      <c r="H113" s="459"/>
      <c r="I113" s="459"/>
      <c r="J113" s="7"/>
      <c r="K113" s="456"/>
      <c r="N113" s="456"/>
      <c r="O113" s="459"/>
      <c r="P113" s="459"/>
      <c r="Q113" s="459"/>
      <c r="R113" s="7"/>
      <c r="S113" s="456"/>
      <c r="W113" s="456"/>
      <c r="X113" s="459"/>
      <c r="Y113" s="459"/>
      <c r="Z113" s="459"/>
      <c r="AA113" s="7"/>
      <c r="AB113" s="456"/>
      <c r="AF113" s="456"/>
      <c r="AG113" s="577"/>
      <c r="AH113" s="456"/>
      <c r="AI113" s="459"/>
      <c r="AJ113" s="459"/>
      <c r="AK113" s="459"/>
      <c r="AL113" s="7"/>
      <c r="AM113" s="456"/>
      <c r="AQ113" s="456"/>
      <c r="AR113" s="459"/>
      <c r="AS113" s="459"/>
      <c r="AT113" s="459"/>
      <c r="AU113" s="7"/>
      <c r="AV113" s="456"/>
      <c r="BA113" s="577"/>
      <c r="BB113" s="459"/>
      <c r="BC113" s="459"/>
      <c r="BD113" s="459"/>
      <c r="BE113" s="7"/>
      <c r="BF113" s="456"/>
    </row>
    <row r="114" spans="1:62" s="462" customFormat="1" ht="12" x14ac:dyDescent="0.3">
      <c r="A114" s="468"/>
      <c r="B114" s="469"/>
      <c r="D114" s="2"/>
      <c r="E114" s="456"/>
      <c r="F114" s="456"/>
      <c r="G114" s="456"/>
      <c r="H114" s="459"/>
      <c r="I114" s="459"/>
      <c r="J114" s="7"/>
      <c r="K114" s="456"/>
      <c r="N114" s="456"/>
      <c r="O114" s="459"/>
      <c r="P114" s="459"/>
      <c r="Q114" s="459"/>
      <c r="R114" s="7"/>
      <c r="S114" s="456"/>
      <c r="W114" s="456"/>
      <c r="X114" s="459"/>
      <c r="Y114" s="459"/>
      <c r="Z114" s="459"/>
      <c r="AA114" s="7"/>
      <c r="AB114" s="456"/>
      <c r="AF114" s="456"/>
      <c r="AG114" s="577"/>
      <c r="AH114" s="456"/>
      <c r="AI114" s="459"/>
      <c r="AJ114" s="459"/>
      <c r="AK114" s="459"/>
      <c r="AL114" s="7"/>
      <c r="AM114" s="456"/>
      <c r="AQ114" s="456"/>
      <c r="AR114" s="459"/>
      <c r="AS114" s="459"/>
      <c r="AT114" s="459"/>
      <c r="AU114" s="7"/>
      <c r="AV114" s="456"/>
      <c r="BA114" s="577"/>
      <c r="BB114" s="459"/>
      <c r="BC114" s="459"/>
      <c r="BD114" s="459"/>
      <c r="BE114" s="7"/>
      <c r="BF114" s="456"/>
    </row>
    <row r="115" spans="1:62" s="462" customFormat="1" ht="12" x14ac:dyDescent="0.3">
      <c r="A115" s="468"/>
      <c r="B115" s="469"/>
      <c r="D115" s="2"/>
      <c r="E115" s="456"/>
      <c r="F115" s="456"/>
      <c r="G115" s="456"/>
      <c r="H115" s="459"/>
      <c r="I115" s="459"/>
      <c r="J115" s="7"/>
      <c r="K115" s="456"/>
      <c r="N115" s="456"/>
      <c r="O115" s="459"/>
      <c r="P115" s="459"/>
      <c r="Q115" s="459"/>
      <c r="R115" s="7"/>
      <c r="S115" s="456"/>
      <c r="W115" s="456"/>
      <c r="X115" s="459"/>
      <c r="Y115" s="459"/>
      <c r="Z115" s="459"/>
      <c r="AA115" s="7"/>
      <c r="AB115" s="456"/>
      <c r="AF115" s="456"/>
      <c r="AG115" s="577"/>
      <c r="AH115" s="456"/>
      <c r="AI115" s="459"/>
      <c r="AJ115" s="459"/>
      <c r="AK115" s="459"/>
      <c r="AL115" s="7"/>
      <c r="AM115" s="456"/>
      <c r="AQ115" s="456"/>
      <c r="AR115" s="459"/>
      <c r="AS115" s="459"/>
      <c r="AT115" s="459"/>
      <c r="AU115" s="7"/>
      <c r="AV115" s="456"/>
      <c r="BA115" s="577"/>
      <c r="BB115" s="459"/>
      <c r="BC115" s="459"/>
      <c r="BD115" s="459"/>
      <c r="BE115" s="7"/>
      <c r="BF115" s="456"/>
    </row>
    <row r="116" spans="1:62" s="462" customFormat="1" ht="12" x14ac:dyDescent="0.3">
      <c r="A116" s="468"/>
      <c r="B116" s="469"/>
      <c r="D116" s="2"/>
      <c r="E116" s="456"/>
      <c r="F116" s="456"/>
      <c r="G116" s="456"/>
      <c r="H116" s="459"/>
      <c r="I116" s="459"/>
      <c r="J116" s="7"/>
      <c r="K116" s="456"/>
      <c r="N116" s="456"/>
      <c r="O116" s="459"/>
      <c r="P116" s="459"/>
      <c r="Q116" s="459"/>
      <c r="R116" s="7"/>
      <c r="S116" s="456"/>
      <c r="W116" s="456"/>
      <c r="X116" s="459"/>
      <c r="Y116" s="459"/>
      <c r="Z116" s="459"/>
      <c r="AA116" s="7"/>
      <c r="AB116" s="456"/>
      <c r="AF116" s="456"/>
      <c r="AG116" s="577"/>
      <c r="AH116" s="456"/>
      <c r="AI116" s="459"/>
      <c r="AJ116" s="459"/>
      <c r="AK116" s="459"/>
      <c r="AL116" s="7"/>
      <c r="AM116" s="456"/>
      <c r="AQ116" s="456"/>
      <c r="AR116" s="459"/>
      <c r="AS116" s="459"/>
      <c r="AT116" s="459"/>
      <c r="AU116" s="7"/>
      <c r="AV116" s="456"/>
      <c r="BA116" s="577"/>
      <c r="BB116" s="459"/>
      <c r="BC116" s="459"/>
      <c r="BD116" s="459"/>
      <c r="BE116" s="7"/>
      <c r="BF116" s="456"/>
    </row>
    <row r="117" spans="1:62" s="462" customFormat="1" ht="12" x14ac:dyDescent="0.3">
      <c r="A117" s="468"/>
      <c r="B117" s="469"/>
      <c r="D117" s="2"/>
      <c r="E117" s="456"/>
      <c r="F117" s="456"/>
      <c r="G117" s="456"/>
      <c r="H117" s="459"/>
      <c r="I117" s="459"/>
      <c r="J117" s="7"/>
      <c r="K117" s="456"/>
      <c r="N117" s="456"/>
      <c r="O117" s="459"/>
      <c r="P117" s="459"/>
      <c r="Q117" s="459"/>
      <c r="R117" s="7"/>
      <c r="S117" s="456"/>
      <c r="W117" s="456"/>
      <c r="X117" s="459"/>
      <c r="Y117" s="459"/>
      <c r="Z117" s="459"/>
      <c r="AA117" s="7"/>
      <c r="AB117" s="456"/>
      <c r="AF117" s="456"/>
      <c r="AG117" s="577"/>
      <c r="AH117" s="456"/>
      <c r="AI117" s="459"/>
      <c r="AJ117" s="459"/>
      <c r="AK117" s="459"/>
      <c r="AL117" s="7"/>
      <c r="AM117" s="456"/>
      <c r="AQ117" s="456"/>
      <c r="AR117" s="459"/>
      <c r="AS117" s="459"/>
      <c r="AT117" s="459"/>
      <c r="AU117" s="7"/>
      <c r="AV117" s="456"/>
      <c r="BA117" s="577"/>
      <c r="BB117" s="459"/>
      <c r="BC117" s="459"/>
      <c r="BD117" s="459"/>
      <c r="BE117" s="7"/>
      <c r="BF117" s="456"/>
    </row>
    <row r="118" spans="1:62" s="462" customFormat="1" ht="12" x14ac:dyDescent="0.3">
      <c r="A118" s="468"/>
      <c r="B118" s="469"/>
      <c r="D118" s="2"/>
      <c r="E118" s="456"/>
      <c r="F118" s="456"/>
      <c r="G118" s="456"/>
      <c r="H118" s="459"/>
      <c r="I118" s="459"/>
      <c r="J118" s="7"/>
      <c r="K118" s="456"/>
      <c r="N118" s="456"/>
      <c r="O118" s="459"/>
      <c r="P118" s="459"/>
      <c r="Q118" s="459"/>
      <c r="R118" s="7"/>
      <c r="S118" s="456"/>
      <c r="W118" s="456"/>
      <c r="X118" s="459"/>
      <c r="Y118" s="459"/>
      <c r="Z118" s="459"/>
      <c r="AA118" s="7"/>
      <c r="AB118" s="456"/>
      <c r="AF118" s="456"/>
      <c r="AG118" s="577"/>
      <c r="AH118" s="456"/>
      <c r="AI118" s="459"/>
      <c r="AJ118" s="459"/>
      <c r="AK118" s="459"/>
      <c r="AL118" s="7"/>
      <c r="AM118" s="456"/>
      <c r="AQ118" s="456"/>
      <c r="AR118" s="459"/>
      <c r="AS118" s="459"/>
      <c r="AT118" s="459"/>
      <c r="AU118" s="7"/>
      <c r="AV118" s="456"/>
      <c r="BA118" s="577"/>
      <c r="BB118" s="459"/>
      <c r="BC118" s="459"/>
      <c r="BD118" s="459"/>
      <c r="BE118" s="7"/>
      <c r="BF118" s="456"/>
    </row>
    <row r="119" spans="1:62" s="462" customFormat="1" ht="12" x14ac:dyDescent="0.3">
      <c r="A119" s="455" t="s">
        <v>583</v>
      </c>
      <c r="B119" s="455"/>
      <c r="C119" s="456"/>
      <c r="D119" s="2"/>
      <c r="E119" s="456"/>
      <c r="F119" s="456"/>
      <c r="G119" s="456"/>
      <c r="H119" s="459"/>
      <c r="I119" s="459"/>
      <c r="J119" s="7"/>
      <c r="K119" s="456"/>
      <c r="N119" s="456"/>
      <c r="O119" s="459"/>
      <c r="P119" s="459"/>
      <c r="Q119" s="459"/>
      <c r="R119" s="7"/>
      <c r="S119" s="456"/>
      <c r="W119" s="456"/>
      <c r="X119" s="459"/>
      <c r="Y119" s="459"/>
      <c r="Z119" s="459"/>
      <c r="AA119" s="7"/>
      <c r="AB119" s="456"/>
      <c r="AF119" s="456"/>
      <c r="AG119" s="577"/>
      <c r="AH119" s="456"/>
      <c r="AI119" s="459"/>
      <c r="AJ119" s="459"/>
      <c r="AK119" s="459"/>
      <c r="AL119" s="7"/>
      <c r="AM119" s="456"/>
      <c r="AQ119" s="456"/>
      <c r="AR119" s="459"/>
      <c r="AS119" s="459"/>
      <c r="AT119" s="459"/>
      <c r="AU119" s="7"/>
      <c r="AV119" s="456"/>
      <c r="BA119" s="577"/>
      <c r="BB119" s="459"/>
      <c r="BC119" s="459"/>
      <c r="BD119" s="459"/>
      <c r="BE119" s="7"/>
      <c r="BF119" s="456"/>
    </row>
    <row r="120" spans="1:62" s="462" customFormat="1" ht="93" customHeight="1" x14ac:dyDescent="0.3">
      <c r="A120" s="9170" t="s">
        <v>3077</v>
      </c>
      <c r="B120" s="9171"/>
      <c r="C120" s="9171"/>
      <c r="D120" s="9171"/>
      <c r="E120" s="9171"/>
      <c r="F120" s="9171"/>
      <c r="G120" s="9171"/>
      <c r="H120" s="9171"/>
      <c r="I120" s="9171"/>
      <c r="J120" s="9171"/>
      <c r="K120" s="9171"/>
      <c r="L120" s="9171"/>
      <c r="M120" s="9172"/>
      <c r="N120" s="456"/>
      <c r="O120" s="3299"/>
      <c r="P120" s="3299"/>
      <c r="Q120" s="3299"/>
      <c r="R120" s="3299"/>
      <c r="S120" s="2978"/>
      <c r="T120" s="2978"/>
      <c r="U120" s="2978"/>
      <c r="V120" s="2978"/>
      <c r="W120" s="456"/>
      <c r="X120" s="3299"/>
      <c r="Y120" s="3299"/>
      <c r="Z120" s="3299"/>
      <c r="AA120" s="3299"/>
      <c r="AB120" s="2978"/>
      <c r="AC120" s="2978"/>
      <c r="AD120" s="2978"/>
      <c r="AE120" s="2978"/>
      <c r="AF120" s="456"/>
      <c r="AG120" s="577"/>
      <c r="AH120" s="456"/>
      <c r="AI120" s="3299"/>
      <c r="AJ120" s="3299"/>
      <c r="AK120" s="3299"/>
      <c r="AL120" s="3299"/>
      <c r="AM120" s="2978"/>
      <c r="AN120" s="2978"/>
      <c r="AO120" s="2978"/>
      <c r="AP120" s="2978"/>
      <c r="AQ120" s="456"/>
      <c r="AR120" s="3299"/>
      <c r="AS120" s="3299"/>
      <c r="AT120" s="3299"/>
      <c r="AU120" s="3299"/>
      <c r="AV120" s="2978"/>
      <c r="AW120" s="2978"/>
      <c r="AX120" s="2978"/>
      <c r="AY120" s="2978"/>
      <c r="AZ120" s="2978"/>
      <c r="BA120" s="577"/>
      <c r="BB120" s="3299"/>
      <c r="BC120" s="3299"/>
      <c r="BD120" s="3299"/>
      <c r="BE120" s="3299"/>
      <c r="BF120" s="2978"/>
      <c r="BG120" s="2978"/>
      <c r="BH120" s="2978"/>
      <c r="BI120" s="2978"/>
      <c r="BJ120" s="2978"/>
    </row>
  </sheetData>
  <mergeCells count="69">
    <mergeCell ref="BB38:BC38"/>
    <mergeCell ref="BB7:BD7"/>
    <mergeCell ref="BE7:BE8"/>
    <mergeCell ref="BG7:BI7"/>
    <mergeCell ref="BJ7:BJ8"/>
    <mergeCell ref="BB10:BC10"/>
    <mergeCell ref="BB1:BJ1"/>
    <mergeCell ref="BB4:BE4"/>
    <mergeCell ref="BG4:BJ4"/>
    <mergeCell ref="BB5:BE5"/>
    <mergeCell ref="BG5:BJ5"/>
    <mergeCell ref="A120:M120"/>
    <mergeCell ref="A38:A72"/>
    <mergeCell ref="O38:P38"/>
    <mergeCell ref="AC7:AE7"/>
    <mergeCell ref="AI7:AJ7"/>
    <mergeCell ref="X38:Y38"/>
    <mergeCell ref="AI38:AJ38"/>
    <mergeCell ref="A74:A83"/>
    <mergeCell ref="A85:A102"/>
    <mergeCell ref="O7:P7"/>
    <mergeCell ref="R7:R8"/>
    <mergeCell ref="AL7:AL8"/>
    <mergeCell ref="AN7:AP7"/>
    <mergeCell ref="A10:A36"/>
    <mergeCell ref="H10:I10"/>
    <mergeCell ref="L10:M10"/>
    <mergeCell ref="O10:P10"/>
    <mergeCell ref="X10:Y10"/>
    <mergeCell ref="AI10:AJ10"/>
    <mergeCell ref="T7:V7"/>
    <mergeCell ref="X7:Y7"/>
    <mergeCell ref="AA7:AA8"/>
    <mergeCell ref="H7:I7"/>
    <mergeCell ref="J7:J8"/>
    <mergeCell ref="L7:M7"/>
    <mergeCell ref="AC5:AE5"/>
    <mergeCell ref="AI5:AL5"/>
    <mergeCell ref="AN5:AP5"/>
    <mergeCell ref="AN4:AP4"/>
    <mergeCell ref="AG4:AG5"/>
    <mergeCell ref="AI4:AL4"/>
    <mergeCell ref="H5:J5"/>
    <mergeCell ref="L5:M5"/>
    <mergeCell ref="O5:R5"/>
    <mergeCell ref="T5:V5"/>
    <mergeCell ref="X5:AA5"/>
    <mergeCell ref="F1:M1"/>
    <mergeCell ref="O1:V1"/>
    <mergeCell ref="X1:AE1"/>
    <mergeCell ref="AI1:AP1"/>
    <mergeCell ref="H4:J4"/>
    <mergeCell ref="L4:M4"/>
    <mergeCell ref="O4:R4"/>
    <mergeCell ref="T4:V4"/>
    <mergeCell ref="X4:AA4"/>
    <mergeCell ref="AC4:AE4"/>
    <mergeCell ref="AR1:AZ1"/>
    <mergeCell ref="AR4:AU4"/>
    <mergeCell ref="AW4:AZ4"/>
    <mergeCell ref="BA4:BA5"/>
    <mergeCell ref="AR5:AU5"/>
    <mergeCell ref="AW5:AZ5"/>
    <mergeCell ref="AR38:AS38"/>
    <mergeCell ref="AR7:AT7"/>
    <mergeCell ref="AU7:AU8"/>
    <mergeCell ref="AW7:AY7"/>
    <mergeCell ref="AZ7:AZ8"/>
    <mergeCell ref="AR10:AS10"/>
  </mergeCells>
  <hyperlinks>
    <hyperlink ref="Q10" r:id="rId1" xr:uid="{00000000-0004-0000-1300-000000000000}"/>
    <hyperlink ref="Q38" r:id="rId2" xr:uid="{00000000-0004-0000-1300-000001000000}"/>
    <hyperlink ref="Z10" r:id="rId3" xr:uid="{00000000-0004-0000-1300-000002000000}"/>
    <hyperlink ref="U10" r:id="rId4" xr:uid="{00000000-0004-0000-1300-000003000000}"/>
    <hyperlink ref="AD10" r:id="rId5" xr:uid="{00000000-0004-0000-1300-000004000000}"/>
    <hyperlink ref="AD38" r:id="rId6" xr:uid="{00000000-0004-0000-1300-000005000000}"/>
    <hyperlink ref="AO10" r:id="rId7" xr:uid="{00000000-0004-0000-1300-000006000000}"/>
    <hyperlink ref="AP10" r:id="rId8" xr:uid="{00000000-0004-0000-1300-000007000000}"/>
    <hyperlink ref="AT10" r:id="rId9" xr:uid="{6A74C2FF-9F17-4FA8-AB7A-CE33BC76AC2B}"/>
    <hyperlink ref="AX10" r:id="rId10" xr:uid="{8C5273BF-D8E3-4ED5-BE31-5B1F639D5937}"/>
    <hyperlink ref="BD10" r:id="rId11" xr:uid="{7046D2F5-6997-47D0-9697-274C63A19E71}"/>
  </hyperlinks>
  <pageMargins left="0.23622047244094491" right="0.23622047244094491" top="0.35433070866141736" bottom="0.35433070866141736" header="0.31496062992125984" footer="0.31496062992125984"/>
  <pageSetup paperSize="9" scale="41" orientation="portrait" horizontalDpi="4294967293" r:id="rId12"/>
  <headerFooter>
    <oddFooter>&amp;R&amp;1#&amp;"Calibri"&amp;12&amp;K000000Official Use</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Z130"/>
  <sheetViews>
    <sheetView zoomScale="80" zoomScaleNormal="80" workbookViewId="0">
      <pane xSplit="3" topLeftCell="AS1" activePane="topRight" state="frozen"/>
      <selection activeCell="A63" sqref="A63"/>
      <selection pane="topRight" activeCell="AX101" sqref="AX101"/>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13.1796875" style="7" customWidth="1"/>
    <col min="11" max="11" width="1.6328125" style="1" customWidth="1"/>
    <col min="12" max="13" width="21.6328125" customWidth="1"/>
    <col min="14" max="14" width="1.6328125" style="1" customWidth="1"/>
    <col min="15" max="17" width="21.6328125" style="6" customWidth="1"/>
    <col min="18" max="18" width="18.453125" style="7" customWidth="1"/>
    <col min="19" max="19" width="1.6328125" style="1" customWidth="1"/>
    <col min="20" max="20" width="21.6328125" customWidth="1"/>
    <col min="21" max="21" width="27.81640625" customWidth="1"/>
    <col min="22" max="22" width="21.6328125" customWidth="1"/>
    <col min="23" max="23" width="1.6328125" style="1" customWidth="1"/>
    <col min="24" max="24" width="26.81640625" style="6" customWidth="1"/>
    <col min="25" max="25" width="21.6328125" style="6" customWidth="1"/>
    <col min="26" max="26" width="33.36328125" style="6" customWidth="1"/>
    <col min="27" max="27" width="12.453125" style="7" customWidth="1"/>
    <col min="28" max="28" width="1.6328125" style="1" customWidth="1"/>
    <col min="29" max="29" width="21.6328125" customWidth="1"/>
    <col min="30" max="30" width="23.1796875" customWidth="1"/>
    <col min="31" max="31" width="21.6328125" customWidth="1"/>
    <col min="32" max="32" width="1.6328125" style="1" customWidth="1"/>
    <col min="33" max="33" width="21.6328125" customWidth="1"/>
    <col min="34" max="34" width="23" customWidth="1"/>
    <col min="35" max="35" width="21.6328125" customWidth="1"/>
    <col min="36" max="36" width="1.6328125" style="1" customWidth="1"/>
    <col min="37" max="37" width="1.81640625" customWidth="1"/>
    <col min="38" max="40" width="23.1796875" customWidth="1"/>
    <col min="41" max="43" width="21.1796875" customWidth="1"/>
    <col min="44" max="44" width="10.453125" customWidth="1"/>
    <col min="45" max="45" width="23.1796875" customWidth="1"/>
    <col min="46" max="46" width="16.6328125" customWidth="1"/>
    <col min="47" max="47" width="23.1796875" customWidth="1"/>
    <col min="48" max="48" width="21.1796875" customWidth="1"/>
    <col min="49" max="49" width="18.453125" customWidth="1"/>
    <col min="50" max="50" width="21.1796875" customWidth="1"/>
    <col min="51" max="51" width="44.36328125" bestFit="1" customWidth="1"/>
    <col min="52" max="52" width="55" customWidth="1"/>
  </cols>
  <sheetData>
    <row r="1" spans="1:52" ht="31" x14ac:dyDescent="0.7">
      <c r="F1" s="9118" t="s">
        <v>585</v>
      </c>
      <c r="G1" s="9119"/>
      <c r="H1" s="9119"/>
      <c r="I1" s="9119"/>
      <c r="J1" s="9119"/>
      <c r="K1" s="9119"/>
      <c r="L1" s="9119"/>
      <c r="M1" s="9120"/>
      <c r="O1" s="9121" t="s">
        <v>395</v>
      </c>
      <c r="P1" s="9122"/>
      <c r="Q1" s="9122"/>
      <c r="R1" s="9122"/>
      <c r="S1" s="9122"/>
      <c r="T1" s="9122"/>
      <c r="U1" s="9122"/>
      <c r="V1" s="9123"/>
      <c r="X1" s="9416" t="s">
        <v>396</v>
      </c>
      <c r="Y1" s="9417"/>
      <c r="Z1" s="9417"/>
      <c r="AA1" s="9417"/>
      <c r="AB1" s="9417"/>
      <c r="AC1" s="9417"/>
      <c r="AD1" s="9417"/>
      <c r="AE1" s="9418"/>
      <c r="AF1" s="9188" t="s">
        <v>397</v>
      </c>
      <c r="AG1" s="9188"/>
      <c r="AH1" s="9188"/>
      <c r="AI1" s="9189"/>
      <c r="AJ1"/>
      <c r="AL1" s="9187" t="s">
        <v>398</v>
      </c>
      <c r="AM1" s="9188"/>
      <c r="AN1" s="9188"/>
      <c r="AO1" s="9188"/>
      <c r="AP1" s="9188"/>
      <c r="AQ1" s="9189"/>
      <c r="AS1" s="9414" t="s">
        <v>399</v>
      </c>
      <c r="AT1" s="9415"/>
      <c r="AU1" s="9415"/>
      <c r="AV1" s="9415"/>
      <c r="AW1" s="9415"/>
      <c r="AX1" s="9415"/>
      <c r="AY1" s="9415"/>
    </row>
    <row r="2" spans="1:52" ht="21" x14ac:dyDescent="0.5">
      <c r="B2" s="1" t="s">
        <v>9</v>
      </c>
      <c r="C2" s="4" t="s">
        <v>111</v>
      </c>
      <c r="H2"/>
      <c r="AD2" s="3328"/>
    </row>
    <row r="4" spans="1:52"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G4" s="9130" t="s">
        <v>402</v>
      </c>
      <c r="AH4" s="9131"/>
      <c r="AI4" s="9132"/>
      <c r="AK4" s="9180" t="s">
        <v>404</v>
      </c>
      <c r="AL4" s="9130" t="s">
        <v>402</v>
      </c>
      <c r="AM4" s="9131"/>
      <c r="AN4" s="9132"/>
      <c r="AO4" s="9130" t="s">
        <v>402</v>
      </c>
      <c r="AP4" s="9131"/>
      <c r="AQ4" s="9132"/>
      <c r="AS4" s="9130" t="s">
        <v>402</v>
      </c>
      <c r="AT4" s="9131"/>
      <c r="AU4" s="9132"/>
      <c r="AV4" s="9130" t="s">
        <v>402</v>
      </c>
      <c r="AW4" s="9131"/>
      <c r="AX4" s="9132"/>
      <c r="AZ4" s="9180" t="s">
        <v>404</v>
      </c>
    </row>
    <row r="5" spans="1:52" x14ac:dyDescent="0.35">
      <c r="B5" s="1" t="s">
        <v>406</v>
      </c>
      <c r="C5" s="11">
        <v>2005</v>
      </c>
      <c r="F5" s="4579">
        <v>2011</v>
      </c>
      <c r="G5" s="12"/>
      <c r="H5" s="9138" t="s">
        <v>2771</v>
      </c>
      <c r="I5" s="9139"/>
      <c r="J5" s="9140"/>
      <c r="K5" s="12"/>
      <c r="L5" s="9138" t="s">
        <v>738</v>
      </c>
      <c r="M5" s="9140"/>
      <c r="O5" s="9138" t="str">
        <f>L5</f>
        <v>2014-2015</v>
      </c>
      <c r="P5" s="9139"/>
      <c r="Q5" s="9139"/>
      <c r="R5" s="9140"/>
      <c r="S5" s="12"/>
      <c r="T5" s="9138" t="s">
        <v>739</v>
      </c>
      <c r="U5" s="9139"/>
      <c r="V5" s="9140"/>
      <c r="X5" s="9138" t="str">
        <f>T5</f>
        <v>2015-2016</v>
      </c>
      <c r="Y5" s="9139"/>
      <c r="Z5" s="9139"/>
      <c r="AA5" s="9140"/>
      <c r="AB5" s="12"/>
      <c r="AC5" s="9138" t="s">
        <v>740</v>
      </c>
      <c r="AD5" s="9139"/>
      <c r="AE5" s="9140"/>
      <c r="AF5" s="12"/>
      <c r="AG5" s="9138" t="s">
        <v>2111</v>
      </c>
      <c r="AH5" s="9139"/>
      <c r="AI5" s="9140"/>
      <c r="AK5" s="9181"/>
      <c r="AL5" s="9138" t="s">
        <v>2111</v>
      </c>
      <c r="AM5" s="9139"/>
      <c r="AN5" s="9140"/>
      <c r="AO5" s="9138" t="s">
        <v>743</v>
      </c>
      <c r="AP5" s="9139"/>
      <c r="AQ5" s="9140"/>
      <c r="AS5" s="9138" t="s">
        <v>743</v>
      </c>
      <c r="AT5" s="9139"/>
      <c r="AU5" s="9140"/>
      <c r="AV5" s="9138" t="s">
        <v>3078</v>
      </c>
      <c r="AW5" s="9139"/>
      <c r="AX5" s="9140"/>
      <c r="AZ5" s="9181"/>
    </row>
    <row r="6" spans="1:52" x14ac:dyDescent="0.35">
      <c r="C6"/>
      <c r="F6" s="6"/>
      <c r="L6" s="14"/>
      <c r="T6" s="14"/>
      <c r="U6" s="14"/>
      <c r="AC6" s="14"/>
      <c r="AD6" s="14"/>
      <c r="AG6" s="14"/>
      <c r="AH6" s="14"/>
      <c r="AK6" s="6"/>
      <c r="AL6" s="14"/>
      <c r="AM6" s="14"/>
      <c r="AO6" s="14"/>
      <c r="AP6" s="14"/>
      <c r="AS6" s="14"/>
      <c r="AT6" s="14"/>
      <c r="AV6" s="14"/>
      <c r="AW6" s="14"/>
      <c r="AZ6" s="6"/>
    </row>
    <row r="7" spans="1:52" ht="12.75" customHeight="1" x14ac:dyDescent="0.35">
      <c r="B7" s="1" t="s">
        <v>101</v>
      </c>
      <c r="C7" s="15" t="s">
        <v>3079</v>
      </c>
      <c r="D7" s="2" t="s">
        <v>417</v>
      </c>
      <c r="F7" s="4580" t="s">
        <v>3080</v>
      </c>
      <c r="H7" s="9173" t="s">
        <v>3081</v>
      </c>
      <c r="I7" s="9173"/>
      <c r="J7" s="9147" t="s">
        <v>419</v>
      </c>
      <c r="L7" s="9149" t="s">
        <v>3081</v>
      </c>
      <c r="M7" s="9151"/>
      <c r="O7" s="9173" t="str">
        <f>L7</f>
        <v>billion KSh</v>
      </c>
      <c r="P7" s="9173"/>
      <c r="Q7" s="16"/>
      <c r="R7" s="9147" t="s">
        <v>419</v>
      </c>
      <c r="T7" s="9149" t="str">
        <f>O7</f>
        <v>billion KSh</v>
      </c>
      <c r="U7" s="9150"/>
      <c r="V7" s="9151"/>
      <c r="X7" s="9173" t="str">
        <f>T7</f>
        <v>billion KSh</v>
      </c>
      <c r="Y7" s="9173"/>
      <c r="Z7" s="16"/>
      <c r="AA7" s="9147" t="s">
        <v>419</v>
      </c>
      <c r="AC7" s="9149" t="str">
        <f>X7</f>
        <v>billion KSh</v>
      </c>
      <c r="AD7" s="9150"/>
      <c r="AE7" s="9151"/>
      <c r="AG7" s="9149" t="s">
        <v>3082</v>
      </c>
      <c r="AH7" s="9150"/>
      <c r="AI7" s="9150"/>
      <c r="AK7" s="18"/>
      <c r="AL7" s="9149" t="s">
        <v>3082</v>
      </c>
      <c r="AM7" s="9150"/>
      <c r="AN7" s="9150"/>
      <c r="AO7" s="9149" t="s">
        <v>3082</v>
      </c>
      <c r="AP7" s="9150"/>
      <c r="AQ7" s="9150"/>
      <c r="AS7" s="9149" t="s">
        <v>3082</v>
      </c>
      <c r="AT7" s="9150"/>
      <c r="AU7" s="9150"/>
      <c r="AV7" s="9149" t="s">
        <v>3082</v>
      </c>
      <c r="AW7" s="9150"/>
      <c r="AX7" s="9150"/>
      <c r="AZ7" s="18"/>
    </row>
    <row r="8" spans="1:52" x14ac:dyDescent="0.35">
      <c r="B8" s="1" t="s">
        <v>420</v>
      </c>
      <c r="C8" s="19" t="s">
        <v>747</v>
      </c>
      <c r="F8" s="20" t="s">
        <v>96</v>
      </c>
      <c r="H8" s="20" t="s">
        <v>423</v>
      </c>
      <c r="I8" s="20" t="s">
        <v>96</v>
      </c>
      <c r="J8" s="9148"/>
      <c r="L8" s="21" t="s">
        <v>423</v>
      </c>
      <c r="M8" s="20" t="s">
        <v>96</v>
      </c>
      <c r="O8" s="20" t="s">
        <v>424</v>
      </c>
      <c r="P8" s="20" t="s">
        <v>96</v>
      </c>
      <c r="Q8" s="22" t="s">
        <v>425</v>
      </c>
      <c r="R8" s="9148"/>
      <c r="T8" s="21" t="s">
        <v>424</v>
      </c>
      <c r="U8" s="22" t="s">
        <v>425</v>
      </c>
      <c r="V8" s="20" t="s">
        <v>3083</v>
      </c>
      <c r="X8" s="20" t="s">
        <v>424</v>
      </c>
      <c r="Y8" s="20" t="s">
        <v>96</v>
      </c>
      <c r="Z8" s="22" t="s">
        <v>425</v>
      </c>
      <c r="AA8" s="9148"/>
      <c r="AC8" s="21" t="s">
        <v>424</v>
      </c>
      <c r="AD8" s="22" t="s">
        <v>425</v>
      </c>
      <c r="AE8" s="20" t="s">
        <v>96</v>
      </c>
      <c r="AG8" s="21" t="s">
        <v>424</v>
      </c>
      <c r="AH8" s="22" t="s">
        <v>425</v>
      </c>
      <c r="AI8" s="23" t="s">
        <v>96</v>
      </c>
      <c r="AK8" s="24"/>
      <c r="AL8" s="21" t="s">
        <v>424</v>
      </c>
      <c r="AM8" s="22" t="s">
        <v>425</v>
      </c>
      <c r="AN8" s="23" t="s">
        <v>96</v>
      </c>
      <c r="AO8" s="21" t="s">
        <v>424</v>
      </c>
      <c r="AP8" s="22" t="s">
        <v>425</v>
      </c>
      <c r="AQ8" s="23" t="s">
        <v>96</v>
      </c>
      <c r="AS8" s="21" t="s">
        <v>424</v>
      </c>
      <c r="AT8" s="22" t="s">
        <v>425</v>
      </c>
      <c r="AU8" s="23" t="s">
        <v>96</v>
      </c>
      <c r="AV8" s="21" t="s">
        <v>424</v>
      </c>
      <c r="AW8" s="22" t="s">
        <v>425</v>
      </c>
      <c r="AX8" s="23" t="s">
        <v>96</v>
      </c>
      <c r="AZ8" s="24"/>
    </row>
    <row r="9" spans="1:52" x14ac:dyDescent="0.35">
      <c r="C9"/>
      <c r="E9"/>
      <c r="F9"/>
      <c r="G9"/>
      <c r="H9"/>
      <c r="I9"/>
      <c r="J9" s="25"/>
      <c r="K9"/>
      <c r="N9"/>
      <c r="O9"/>
      <c r="P9"/>
      <c r="Q9"/>
      <c r="R9" s="25"/>
      <c r="S9"/>
      <c r="W9"/>
      <c r="X9"/>
      <c r="Y9"/>
      <c r="Z9"/>
      <c r="AA9" s="25"/>
      <c r="AB9"/>
      <c r="AF9"/>
      <c r="AJ9"/>
    </row>
    <row r="10" spans="1:52" ht="94.75" customHeight="1" x14ac:dyDescent="0.35">
      <c r="A10" s="9167" t="s">
        <v>426</v>
      </c>
      <c r="B10" s="27"/>
      <c r="C10" s="28" t="s">
        <v>427</v>
      </c>
      <c r="D10" s="580" t="s">
        <v>428</v>
      </c>
      <c r="E10" s="30"/>
      <c r="F10" s="4581"/>
      <c r="G10"/>
      <c r="H10" s="31"/>
      <c r="I10" s="31" t="s">
        <v>3084</v>
      </c>
      <c r="J10" s="32"/>
      <c r="K10" s="33"/>
      <c r="L10" s="31" t="s">
        <v>3085</v>
      </c>
      <c r="M10" s="31" t="s">
        <v>3086</v>
      </c>
      <c r="N10" s="33"/>
      <c r="O10" s="31" t="s">
        <v>3085</v>
      </c>
      <c r="P10" s="8314" t="s">
        <v>3087</v>
      </c>
      <c r="Q10" s="581" t="s">
        <v>3088</v>
      </c>
      <c r="R10" s="32"/>
      <c r="S10" s="33"/>
      <c r="T10" s="8314" t="s">
        <v>3089</v>
      </c>
      <c r="U10" s="581" t="s">
        <v>3090</v>
      </c>
      <c r="V10" s="8314" t="s">
        <v>3089</v>
      </c>
      <c r="W10" s="33"/>
      <c r="X10" s="31" t="s">
        <v>3085</v>
      </c>
      <c r="Y10" s="8314" t="s">
        <v>3091</v>
      </c>
      <c r="Z10" s="581" t="s">
        <v>3090</v>
      </c>
      <c r="AA10" s="32"/>
      <c r="AB10" s="33"/>
      <c r="AC10" s="8314" t="s">
        <v>3092</v>
      </c>
      <c r="AD10" s="4582" t="s">
        <v>3093</v>
      </c>
      <c r="AE10" s="8314" t="s">
        <v>3092</v>
      </c>
      <c r="AF10" s="33"/>
      <c r="AG10" s="582" t="s">
        <v>3094</v>
      </c>
      <c r="AH10" s="4583" t="s">
        <v>3095</v>
      </c>
      <c r="AI10" s="34" t="s">
        <v>3096</v>
      </c>
      <c r="AJ10" s="33"/>
      <c r="AK10" s="39"/>
      <c r="AL10" s="582" t="s">
        <v>3094</v>
      </c>
      <c r="AM10" s="4583"/>
      <c r="AN10" s="4583" t="s">
        <v>3097</v>
      </c>
      <c r="AO10" s="582" t="s">
        <v>3094</v>
      </c>
      <c r="AP10" s="4583" t="s">
        <v>3095</v>
      </c>
      <c r="AQ10" s="34" t="s">
        <v>3096</v>
      </c>
      <c r="AS10" s="582" t="s">
        <v>3094</v>
      </c>
      <c r="AT10" s="4583"/>
      <c r="AU10" s="4583" t="s">
        <v>3097</v>
      </c>
      <c r="AV10" s="582" t="s">
        <v>3094</v>
      </c>
      <c r="AW10" s="4583" t="s">
        <v>3095</v>
      </c>
      <c r="AX10" s="34" t="s">
        <v>3098</v>
      </c>
      <c r="AZ10" s="39"/>
    </row>
    <row r="11" spans="1:52" ht="12.75" customHeight="1" x14ac:dyDescent="0.35">
      <c r="A11" s="9168"/>
      <c r="B11" s="40" t="s">
        <v>451</v>
      </c>
      <c r="C11" s="41"/>
      <c r="D11" s="585"/>
      <c r="E11" s="43"/>
      <c r="F11" s="44"/>
      <c r="G11"/>
      <c r="H11" s="45"/>
      <c r="I11" s="46"/>
      <c r="J11" s="47"/>
      <c r="K11" s="48"/>
      <c r="L11" s="736"/>
      <c r="M11" s="4019"/>
      <c r="N11" s="50"/>
      <c r="O11" s="736"/>
      <c r="P11" s="46"/>
      <c r="Q11" s="474"/>
      <c r="R11" s="47"/>
      <c r="S11" s="48"/>
      <c r="T11" s="45"/>
      <c r="U11" s="4584" t="s">
        <v>3099</v>
      </c>
      <c r="V11" s="4585"/>
      <c r="W11" s="50"/>
      <c r="X11" s="736"/>
      <c r="Y11" s="46"/>
      <c r="Z11" s="474"/>
      <c r="AA11" s="47"/>
      <c r="AB11" s="48"/>
      <c r="AC11" s="4586"/>
      <c r="AD11" s="4584"/>
      <c r="AE11" s="4585"/>
      <c r="AF11" s="48"/>
      <c r="AG11" s="3928"/>
      <c r="AH11" s="4127"/>
      <c r="AI11" s="49"/>
      <c r="AJ11" s="43"/>
      <c r="AK11" s="18"/>
      <c r="AL11" s="3928"/>
      <c r="AM11" s="6932"/>
      <c r="AN11" s="49"/>
      <c r="AO11" s="3928"/>
      <c r="AP11" s="6932"/>
      <c r="AQ11" s="49"/>
      <c r="AS11" s="3928"/>
      <c r="AT11" s="6932"/>
      <c r="AU11" s="49"/>
      <c r="AV11" s="3928"/>
      <c r="AW11" s="6932"/>
      <c r="AX11" s="49"/>
      <c r="AY11" s="116" t="s">
        <v>3100</v>
      </c>
      <c r="AZ11" s="18"/>
    </row>
    <row r="12" spans="1:52" x14ac:dyDescent="0.35">
      <c r="A12" s="9168"/>
      <c r="B12" s="58"/>
      <c r="C12" s="59" t="s">
        <v>456</v>
      </c>
      <c r="D12" s="197">
        <v>1</v>
      </c>
      <c r="F12" s="61"/>
      <c r="G12"/>
      <c r="H12" s="298"/>
      <c r="I12" s="1988">
        <v>974.4</v>
      </c>
      <c r="J12" s="64">
        <f>IF(H12=0,0,I12/H12)</f>
        <v>0</v>
      </c>
      <c r="K12" s="65"/>
      <c r="L12" s="298">
        <v>1128.8</v>
      </c>
      <c r="M12" s="4587">
        <v>1106.4000000000001</v>
      </c>
      <c r="N12" s="67"/>
      <c r="O12" s="298">
        <f>L12</f>
        <v>1128.8</v>
      </c>
      <c r="P12" s="69">
        <f>1031.819</f>
        <v>1031.819</v>
      </c>
      <c r="Q12" s="53" t="s">
        <v>3101</v>
      </c>
      <c r="R12" s="64"/>
      <c r="S12" s="65"/>
      <c r="T12" s="298">
        <f>1184.368</f>
        <v>1184.3679999999999</v>
      </c>
      <c r="U12" s="53" t="s">
        <v>3101</v>
      </c>
      <c r="V12" s="4587">
        <f>1158.211</f>
        <v>1158.211</v>
      </c>
      <c r="W12" s="67"/>
      <c r="X12" s="298">
        <f>T12</f>
        <v>1184.3679999999999</v>
      </c>
      <c r="Y12" s="4588">
        <v>1152.972</v>
      </c>
      <c r="Z12" s="4589"/>
      <c r="AA12" s="64"/>
      <c r="AB12" s="65"/>
      <c r="AC12" s="4590">
        <v>1311.3230000000001</v>
      </c>
      <c r="AD12" s="53"/>
      <c r="AE12" s="4591">
        <v>1305.7940000000001</v>
      </c>
      <c r="AF12" s="65"/>
      <c r="AG12" s="71">
        <v>1659.6110000000001</v>
      </c>
      <c r="AH12" s="116" t="s">
        <v>3102</v>
      </c>
      <c r="AI12" s="127">
        <v>1487.2270000000001</v>
      </c>
      <c r="AK12" s="26"/>
      <c r="AL12" s="71">
        <v>1659.6110000000001</v>
      </c>
      <c r="AM12" s="116" t="s">
        <v>3103</v>
      </c>
      <c r="AN12" s="6933">
        <v>1522.4190000000001</v>
      </c>
      <c r="AO12" s="71">
        <v>1794.3</v>
      </c>
      <c r="AP12" s="116" t="s">
        <v>3104</v>
      </c>
      <c r="AQ12" s="6933">
        <v>1671.0709999999999</v>
      </c>
      <c r="AS12" s="71">
        <v>1794.3</v>
      </c>
      <c r="AT12" s="116" t="s">
        <v>3104</v>
      </c>
      <c r="AU12" s="6933">
        <v>1671.0709999999999</v>
      </c>
      <c r="AV12" s="71">
        <v>1864</v>
      </c>
      <c r="AW12" s="116" t="s">
        <v>3105</v>
      </c>
      <c r="AX12" s="6933">
        <v>1733.6310000000001</v>
      </c>
      <c r="AY12" s="116"/>
      <c r="AZ12" s="26" t="s">
        <v>451</v>
      </c>
    </row>
    <row r="13" spans="1:52" x14ac:dyDescent="0.35">
      <c r="A13" s="9168"/>
      <c r="B13" s="58"/>
      <c r="C13" s="587" t="s">
        <v>3106</v>
      </c>
      <c r="D13" s="197"/>
      <c r="F13" s="61"/>
      <c r="G13"/>
      <c r="H13" s="298"/>
      <c r="I13" s="1988"/>
      <c r="J13" s="64"/>
      <c r="K13" s="65"/>
      <c r="L13" s="298"/>
      <c r="M13" s="4587"/>
      <c r="N13" s="67"/>
      <c r="O13" s="298">
        <f>L13</f>
        <v>0</v>
      </c>
      <c r="P13" s="4592">
        <f>75.953</f>
        <v>75.953000000000003</v>
      </c>
      <c r="Q13" s="53" t="s">
        <v>3107</v>
      </c>
      <c r="R13" s="64"/>
      <c r="S13" s="65"/>
      <c r="T13" s="4593">
        <f>115.544</f>
        <v>115.544</v>
      </c>
      <c r="U13" s="53" t="s">
        <v>3107</v>
      </c>
      <c r="V13" s="4594">
        <f>79.671</f>
        <v>79.671000000000006</v>
      </c>
      <c r="W13" s="67"/>
      <c r="X13" s="298">
        <f>T13</f>
        <v>115.544</v>
      </c>
      <c r="Y13" s="4595">
        <v>79.7</v>
      </c>
      <c r="Z13" s="4589"/>
      <c r="AA13" s="64"/>
      <c r="AB13" s="65"/>
      <c r="AC13" s="4596">
        <v>144.03200000000001</v>
      </c>
      <c r="AD13" s="53"/>
      <c r="AE13" s="5359">
        <v>94.784000000000006</v>
      </c>
      <c r="AF13" s="65"/>
      <c r="AG13" s="71"/>
      <c r="AH13" s="116"/>
      <c r="AI13" s="66"/>
      <c r="AK13" s="26"/>
      <c r="AL13" s="71"/>
      <c r="AM13" s="116"/>
      <c r="AN13" s="301"/>
      <c r="AO13" s="71"/>
      <c r="AP13" s="116"/>
      <c r="AQ13" s="301"/>
      <c r="AS13" s="71"/>
      <c r="AT13" s="116"/>
      <c r="AU13" s="301"/>
      <c r="AV13" s="71"/>
      <c r="AW13" s="116"/>
      <c r="AX13" s="301"/>
      <c r="AY13" s="116" t="s">
        <v>3100</v>
      </c>
      <c r="AZ13" s="26"/>
    </row>
    <row r="14" spans="1:52" x14ac:dyDescent="0.35">
      <c r="A14" s="9168"/>
      <c r="B14" s="58"/>
      <c r="C14" s="587" t="s">
        <v>462</v>
      </c>
      <c r="D14" s="197">
        <v>2</v>
      </c>
      <c r="F14" s="61"/>
      <c r="G14"/>
      <c r="H14" s="298"/>
      <c r="I14" s="1988">
        <v>118.6</v>
      </c>
      <c r="J14" s="73">
        <f>IF(H14=0,0,I14/H14)</f>
        <v>0</v>
      </c>
      <c r="K14" s="65"/>
      <c r="L14" s="298">
        <v>360.6</v>
      </c>
      <c r="M14" s="4587">
        <v>240.9</v>
      </c>
      <c r="N14" s="67"/>
      <c r="O14" s="298">
        <f>L14</f>
        <v>360.6</v>
      </c>
      <c r="P14" s="69">
        <v>28.117000000000001</v>
      </c>
      <c r="Q14" s="3249" t="s">
        <v>3108</v>
      </c>
      <c r="R14" s="73"/>
      <c r="S14" s="65"/>
      <c r="T14" s="298">
        <v>65.972999999999999</v>
      </c>
      <c r="U14" s="3249" t="s">
        <v>3108</v>
      </c>
      <c r="V14" s="4587">
        <v>29.597999999999999</v>
      </c>
      <c r="W14" s="67"/>
      <c r="X14" s="298">
        <f>T14</f>
        <v>65.972999999999999</v>
      </c>
      <c r="Y14" s="4588">
        <v>29.6</v>
      </c>
      <c r="Z14" s="4597"/>
      <c r="AA14" s="73"/>
      <c r="AB14" s="65"/>
      <c r="AC14" s="4590">
        <v>58.783999999999999</v>
      </c>
      <c r="AD14" s="3249"/>
      <c r="AE14" s="4591">
        <v>26.312000000000001</v>
      </c>
      <c r="AF14" s="65"/>
      <c r="AG14" s="62">
        <v>42.953000000000003</v>
      </c>
      <c r="AH14" s="116" t="s">
        <v>3102</v>
      </c>
      <c r="AI14" s="66">
        <v>27.6</v>
      </c>
      <c r="AK14" s="26"/>
      <c r="AL14" s="62">
        <v>42.953000000000003</v>
      </c>
      <c r="AM14" s="116" t="s">
        <v>3104</v>
      </c>
      <c r="AN14" s="301">
        <v>26.484000000000002</v>
      </c>
      <c r="AO14" s="62">
        <v>34.741</v>
      </c>
      <c r="AP14" s="116" t="s">
        <v>3104</v>
      </c>
      <c r="AQ14" s="301">
        <v>19.702000000000002</v>
      </c>
      <c r="AS14" s="62">
        <v>34.741</v>
      </c>
      <c r="AT14" s="116" t="s">
        <v>3104</v>
      </c>
      <c r="AU14" s="301">
        <v>19.702000000000002</v>
      </c>
      <c r="AV14" s="62">
        <v>35</v>
      </c>
      <c r="AW14" s="116" t="s">
        <v>3105</v>
      </c>
      <c r="AX14" s="301">
        <v>19.82</v>
      </c>
      <c r="AY14" s="116"/>
      <c r="AZ14" s="26" t="s">
        <v>3109</v>
      </c>
    </row>
    <row r="15" spans="1:52" x14ac:dyDescent="0.35">
      <c r="A15" s="9168"/>
      <c r="B15" s="75"/>
      <c r="C15" s="1096" t="s">
        <v>465</v>
      </c>
      <c r="D15" s="197"/>
      <c r="F15" s="77"/>
      <c r="G15"/>
      <c r="H15" s="588"/>
      <c r="I15" s="3643"/>
      <c r="J15" s="73"/>
      <c r="K15" s="80"/>
      <c r="L15" s="588"/>
      <c r="M15" s="4598"/>
      <c r="N15" s="67"/>
      <c r="O15" s="588">
        <f>L15</f>
        <v>0</v>
      </c>
      <c r="P15" s="82"/>
      <c r="Q15" s="120"/>
      <c r="R15" s="73"/>
      <c r="S15" s="80"/>
      <c r="T15" s="588"/>
      <c r="U15" s="120"/>
      <c r="V15" s="4598"/>
      <c r="W15" s="67"/>
      <c r="X15" s="588">
        <f>T15</f>
        <v>0</v>
      </c>
      <c r="Y15" s="82"/>
      <c r="Z15" s="120"/>
      <c r="AA15" s="73"/>
      <c r="AB15" s="80"/>
      <c r="AC15" s="4599"/>
      <c r="AD15" s="120"/>
      <c r="AE15" s="4600"/>
      <c r="AF15" s="80"/>
      <c r="AG15" s="3244">
        <v>524.904</v>
      </c>
      <c r="AH15" s="116" t="s">
        <v>3110</v>
      </c>
      <c r="AI15" s="66">
        <v>473.17399999999998</v>
      </c>
      <c r="AK15" s="26" t="s">
        <v>3111</v>
      </c>
      <c r="AL15" s="3244"/>
      <c r="AM15" s="116"/>
      <c r="AN15" s="301"/>
      <c r="AO15" s="3244"/>
      <c r="AP15" s="116"/>
      <c r="AQ15" s="301"/>
      <c r="AS15" s="3244"/>
      <c r="AT15" s="116"/>
      <c r="AU15" s="301"/>
      <c r="AV15" s="3244"/>
      <c r="AW15" s="116"/>
      <c r="AX15" s="301"/>
      <c r="AY15" s="3358"/>
      <c r="AZ15" s="26"/>
    </row>
    <row r="16" spans="1:52" x14ac:dyDescent="0.35">
      <c r="A16" s="9168"/>
      <c r="B16" s="85"/>
      <c r="C16" s="86" t="s">
        <v>466</v>
      </c>
      <c r="D16" s="209"/>
      <c r="F16" s="88"/>
      <c r="G16"/>
      <c r="H16" s="590"/>
      <c r="I16" s="1989">
        <f>SUM(I12:I14)</f>
        <v>1093</v>
      </c>
      <c r="J16" s="91">
        <f>IF(H16=0,0,I16/H16)</f>
        <v>0</v>
      </c>
      <c r="K16" s="80"/>
      <c r="L16" s="590">
        <f>SUM(L12:L14)</f>
        <v>1489.4</v>
      </c>
      <c r="M16" s="4601">
        <f>SUM(M12:M14)</f>
        <v>1347.3000000000002</v>
      </c>
      <c r="N16" s="67"/>
      <c r="O16" s="590">
        <f>L16</f>
        <v>1489.4</v>
      </c>
      <c r="P16" s="4602">
        <f>SUM(P12:P15)</f>
        <v>1135.8889999999999</v>
      </c>
      <c r="Q16" s="95" t="s">
        <v>3112</v>
      </c>
      <c r="R16" s="91"/>
      <c r="S16" s="80"/>
      <c r="T16" s="4603">
        <f>SUM(T12:T15)</f>
        <v>1365.885</v>
      </c>
      <c r="U16" s="95" t="s">
        <v>3112</v>
      </c>
      <c r="V16" s="4604">
        <f>SUM(V12:V15)</f>
        <v>1267.48</v>
      </c>
      <c r="W16" s="67"/>
      <c r="X16" s="590">
        <f>T16</f>
        <v>1365.885</v>
      </c>
      <c r="Y16" s="4602">
        <f>SUM(Y12:Y15)</f>
        <v>1262.2719999999999</v>
      </c>
      <c r="Z16" s="4605"/>
      <c r="AA16" s="91"/>
      <c r="AB16" s="80"/>
      <c r="AC16" s="4606">
        <f>SUM(AC12:AC15)</f>
        <v>1514.1390000000001</v>
      </c>
      <c r="AD16" s="95"/>
      <c r="AE16" s="4604">
        <f>SUM(AE12:AE15)</f>
        <v>1426.89</v>
      </c>
      <c r="AF16" s="80"/>
      <c r="AG16" s="89">
        <v>2227</v>
      </c>
      <c r="AH16" s="116"/>
      <c r="AI16" s="92">
        <v>1988</v>
      </c>
      <c r="AK16" s="24"/>
      <c r="AL16" s="89">
        <f>SUM(AL12:AL15)</f>
        <v>1702.5640000000001</v>
      </c>
      <c r="AM16" s="3358" t="s">
        <v>3113</v>
      </c>
      <c r="AN16" s="309">
        <f>SUM(AN12:AN15)</f>
        <v>1548.903</v>
      </c>
      <c r="AO16" s="89">
        <f>SUM(AO12:AO15)</f>
        <v>1829.0409999999999</v>
      </c>
      <c r="AP16" s="3358"/>
      <c r="AQ16" s="309">
        <f>SUM(AQ12:AQ15)</f>
        <v>1690.7729999999999</v>
      </c>
      <c r="AS16" s="89">
        <f>SUM(AS12:AS15)</f>
        <v>1829.0409999999999</v>
      </c>
      <c r="AT16" s="3358" t="s">
        <v>3113</v>
      </c>
      <c r="AU16" s="309">
        <f>SUM(AU12:AU15)</f>
        <v>1690.7729999999999</v>
      </c>
      <c r="AV16" s="89">
        <f>SUM(AV12:AV15)</f>
        <v>1899</v>
      </c>
      <c r="AW16" s="3358"/>
      <c r="AX16" s="309">
        <f>SUM(AX12:AX15)</f>
        <v>1753.451</v>
      </c>
      <c r="AY16" s="109"/>
      <c r="AZ16" s="24"/>
    </row>
    <row r="17" spans="1:52" x14ac:dyDescent="0.35">
      <c r="A17" s="9168"/>
      <c r="B17" s="100" t="s">
        <v>468</v>
      </c>
      <c r="C17" s="49"/>
      <c r="D17" s="585"/>
      <c r="E17" s="43"/>
      <c r="F17" s="101"/>
      <c r="G17"/>
      <c r="H17" s="102"/>
      <c r="I17" s="103"/>
      <c r="J17" s="104"/>
      <c r="K17" s="43"/>
      <c r="L17" s="3943"/>
      <c r="M17" s="3942"/>
      <c r="N17" s="43"/>
      <c r="O17" s="3943"/>
      <c r="P17" s="106"/>
      <c r="Q17" s="106"/>
      <c r="R17" s="73"/>
      <c r="S17" s="43"/>
      <c r="T17" s="102"/>
      <c r="U17" s="4607" t="s">
        <v>3114</v>
      </c>
      <c r="V17" s="1377"/>
      <c r="W17" s="43"/>
      <c r="X17" s="3943"/>
      <c r="Y17" s="106"/>
      <c r="Z17" s="106"/>
      <c r="AA17" s="73"/>
      <c r="AB17" s="43"/>
      <c r="AC17" s="3008"/>
      <c r="AD17" s="4607"/>
      <c r="AE17" s="1377"/>
      <c r="AF17" s="43"/>
      <c r="AG17" s="107"/>
      <c r="AH17" s="53"/>
      <c r="AI17" s="105"/>
      <c r="AJ17" s="43"/>
      <c r="AK17" s="18"/>
      <c r="AL17" s="107"/>
      <c r="AM17" s="109"/>
      <c r="AN17" s="105"/>
      <c r="AO17" s="107"/>
      <c r="AP17" s="109"/>
      <c r="AQ17" s="105"/>
      <c r="AS17" s="107"/>
      <c r="AT17" s="109"/>
      <c r="AU17" s="105"/>
      <c r="AV17" s="107"/>
      <c r="AW17" s="109"/>
      <c r="AX17" s="105"/>
      <c r="AY17" s="116" t="s">
        <v>3100</v>
      </c>
      <c r="AZ17" s="18"/>
    </row>
    <row r="18" spans="1:52" x14ac:dyDescent="0.35">
      <c r="A18" s="9168"/>
      <c r="B18" s="6082"/>
      <c r="C18" s="110" t="s">
        <v>470</v>
      </c>
      <c r="D18" s="197">
        <v>3</v>
      </c>
      <c r="F18" s="4608"/>
      <c r="G18"/>
      <c r="H18" s="593"/>
      <c r="I18" s="636">
        <f>I23-I19-I21</f>
        <v>846.5</v>
      </c>
      <c r="J18" s="64">
        <f>IF(H18=0,0,I18/H18)</f>
        <v>0</v>
      </c>
      <c r="L18" s="595">
        <f>L23-L19-L21</f>
        <v>1009.4999999999998</v>
      </c>
      <c r="M18" s="596">
        <f>M23-M19-M21</f>
        <v>957.6</v>
      </c>
      <c r="O18" s="595">
        <f t="shared" ref="O18:O23" si="0">L18</f>
        <v>1009.4999999999998</v>
      </c>
      <c r="P18" s="594">
        <f>P23-SUM(P19:P22)</f>
        <v>958.00999999999988</v>
      </c>
      <c r="Q18" s="57" t="s">
        <v>3115</v>
      </c>
      <c r="R18" s="64"/>
      <c r="T18" s="1154">
        <f>T23-SUM(T19:T22)</f>
        <v>1145.509</v>
      </c>
      <c r="U18" s="57" t="s">
        <v>3115</v>
      </c>
      <c r="V18" s="608">
        <f>V23-SUM(V19:V22)</f>
        <v>1087.653</v>
      </c>
      <c r="X18" s="595">
        <f t="shared" ref="X18:X23" si="1">T18</f>
        <v>1145.509</v>
      </c>
      <c r="Y18" s="4609">
        <f>Y23-SUM(Y19:Y22)</f>
        <v>1087.653</v>
      </c>
      <c r="Z18" s="2900"/>
      <c r="AA18" s="64"/>
      <c r="AC18" s="4610">
        <f>AC23-SUM(AC19:AC22)</f>
        <v>1284.8830000000003</v>
      </c>
      <c r="AD18" s="57"/>
      <c r="AE18" s="4611">
        <f>AE23-SUM(AE19:AE22)</f>
        <v>1316.4940000000001</v>
      </c>
      <c r="AG18" s="117">
        <v>1410.0809999999999</v>
      </c>
      <c r="AH18" s="116" t="s">
        <v>3116</v>
      </c>
      <c r="AI18" s="66">
        <v>1281.9000000000001</v>
      </c>
      <c r="AK18" s="26"/>
      <c r="AL18" s="5832">
        <f>1410.081+292.2-AL21</f>
        <v>1397.2280000000001</v>
      </c>
      <c r="AM18" s="6934" t="s">
        <v>3104</v>
      </c>
      <c r="AN18" s="6935">
        <f>1349.704+327.274-AN21</f>
        <v>1353.0880000000002</v>
      </c>
      <c r="AO18" s="5832">
        <f>1574.129+364.958+4.7-AO21</f>
        <v>1575.2380000000001</v>
      </c>
      <c r="AP18" s="6934" t="s">
        <v>3104</v>
      </c>
      <c r="AQ18" s="6935">
        <f>1496.223+360.74+6.962-AQ21</f>
        <v>1488.202</v>
      </c>
      <c r="AS18" s="5832">
        <f>1574.129+364.958+4.7-AS21</f>
        <v>1575.2380000000001</v>
      </c>
      <c r="AT18" s="6934" t="s">
        <v>3104</v>
      </c>
      <c r="AU18" s="6935">
        <f>1496.223+360.74+6.962-AU21</f>
        <v>1488.202</v>
      </c>
      <c r="AV18" s="5832">
        <f>1728.403+362.383+34.257+14.298-AV21</f>
        <v>1705.3409999999999</v>
      </c>
      <c r="AW18" s="116" t="s">
        <v>3117</v>
      </c>
      <c r="AX18" s="6935">
        <f>1603.128+325.278+27.99+14.103-AX21</f>
        <v>1533.297</v>
      </c>
      <c r="AY18" s="116" t="s">
        <v>3100</v>
      </c>
      <c r="AZ18" s="26" t="s">
        <v>3118</v>
      </c>
    </row>
    <row r="19" spans="1:52" x14ac:dyDescent="0.35">
      <c r="A19" s="9168"/>
      <c r="B19" s="6082"/>
      <c r="C19" s="121" t="s">
        <v>630</v>
      </c>
      <c r="D19" s="197">
        <v>4</v>
      </c>
      <c r="F19" s="4612"/>
      <c r="G19"/>
      <c r="H19" s="598"/>
      <c r="I19" s="599">
        <v>319.3</v>
      </c>
      <c r="J19" s="64">
        <f>IF(H19=0,0,I19/H19)</f>
        <v>0</v>
      </c>
      <c r="L19" s="595">
        <v>686.1</v>
      </c>
      <c r="M19" s="596">
        <v>509.4</v>
      </c>
      <c r="O19" s="595">
        <f t="shared" si="0"/>
        <v>686.1</v>
      </c>
      <c r="P19" s="594">
        <f>510.136-P20</f>
        <v>268.96300000000002</v>
      </c>
      <c r="Q19" s="57" t="s">
        <v>3119</v>
      </c>
      <c r="R19" s="64"/>
      <c r="T19" s="1154">
        <f>671.583-T20</f>
        <v>318.54999999999995</v>
      </c>
      <c r="U19" s="57" t="s">
        <v>3119</v>
      </c>
      <c r="V19" s="608">
        <f>478.964-V20</f>
        <v>303.44299999999998</v>
      </c>
      <c r="X19" s="595">
        <f t="shared" si="1"/>
        <v>318.54999999999995</v>
      </c>
      <c r="Y19" s="4609">
        <f>478.964-Y20</f>
        <v>303.44299999999998</v>
      </c>
      <c r="Z19" s="2900"/>
      <c r="AA19" s="64"/>
      <c r="AC19" s="4610">
        <f>797.857-AC20</f>
        <v>432.62099999999998</v>
      </c>
      <c r="AD19" s="57"/>
      <c r="AE19" s="4611">
        <f>639.771-AC20</f>
        <v>274.53499999999997</v>
      </c>
      <c r="AG19" s="117">
        <v>584.76199999999994</v>
      </c>
      <c r="AH19" s="116" t="s">
        <v>3116</v>
      </c>
      <c r="AI19" s="66">
        <v>485.673</v>
      </c>
      <c r="AK19" s="26" t="s">
        <v>502</v>
      </c>
      <c r="AL19" s="117">
        <v>584.76199999999994</v>
      </c>
      <c r="AM19" s="116" t="s">
        <v>3104</v>
      </c>
      <c r="AN19" s="3265">
        <v>469.673</v>
      </c>
      <c r="AO19" s="117">
        <v>598.09400000000005</v>
      </c>
      <c r="AP19" s="116" t="s">
        <v>3104</v>
      </c>
      <c r="AQ19" s="3265">
        <v>542.00699999999995</v>
      </c>
      <c r="AS19" s="117">
        <v>598.09400000000005</v>
      </c>
      <c r="AT19" s="116" t="s">
        <v>3104</v>
      </c>
      <c r="AU19" s="3265">
        <v>542.00699999999995</v>
      </c>
      <c r="AV19" s="117">
        <v>678</v>
      </c>
      <c r="AW19" s="116" t="s">
        <v>3120</v>
      </c>
      <c r="AX19" s="3265">
        <f>594.944</f>
        <v>594.94399999999996</v>
      </c>
      <c r="AY19" s="116"/>
      <c r="AZ19" s="26" t="s">
        <v>502</v>
      </c>
    </row>
    <row r="20" spans="1:52" x14ac:dyDescent="0.35">
      <c r="A20" s="9168"/>
      <c r="B20" s="6082"/>
      <c r="C20" s="121" t="s">
        <v>632</v>
      </c>
      <c r="D20" s="197"/>
      <c r="F20" s="4612"/>
      <c r="G20"/>
      <c r="H20" s="598"/>
      <c r="I20" s="599"/>
      <c r="J20" s="64"/>
      <c r="L20" s="595"/>
      <c r="M20" s="596"/>
      <c r="O20" s="595">
        <f t="shared" si="0"/>
        <v>0</v>
      </c>
      <c r="P20" s="594">
        <v>241.173</v>
      </c>
      <c r="Q20" s="57" t="s">
        <v>3121</v>
      </c>
      <c r="R20" s="64"/>
      <c r="T20" s="1154">
        <v>353.03300000000002</v>
      </c>
      <c r="U20" s="57" t="s">
        <v>3121</v>
      </c>
      <c r="V20" s="608">
        <v>175.52099999999999</v>
      </c>
      <c r="X20" s="595">
        <f t="shared" si="1"/>
        <v>353.03300000000002</v>
      </c>
      <c r="Y20" s="4609">
        <v>175.52099999999999</v>
      </c>
      <c r="Z20" s="2900"/>
      <c r="AA20" s="64"/>
      <c r="AC20" s="4610">
        <v>365.23599999999999</v>
      </c>
      <c r="AD20" s="57"/>
      <c r="AE20" s="4611">
        <v>247.714</v>
      </c>
      <c r="AG20" s="117"/>
      <c r="AH20" s="116"/>
      <c r="AI20" s="66"/>
      <c r="AK20" s="26"/>
      <c r="AL20" s="117"/>
      <c r="AM20" s="116"/>
      <c r="AN20" s="3265"/>
      <c r="AO20" s="117"/>
      <c r="AP20" s="116"/>
      <c r="AQ20" s="3265"/>
      <c r="AS20" s="117"/>
      <c r="AT20" s="116"/>
      <c r="AU20" s="3265"/>
      <c r="AV20" s="117"/>
      <c r="AW20" s="116"/>
      <c r="AX20" s="3265"/>
      <c r="AY20" s="116" t="s">
        <v>3100</v>
      </c>
      <c r="AZ20" s="26"/>
    </row>
    <row r="21" spans="1:52" x14ac:dyDescent="0.35">
      <c r="A21" s="9168"/>
      <c r="B21" s="6082"/>
      <c r="C21" s="121" t="s">
        <v>634</v>
      </c>
      <c r="D21" s="197"/>
      <c r="F21" s="4612"/>
      <c r="H21" s="598"/>
      <c r="I21" s="599">
        <v>134.80000000000001</v>
      </c>
      <c r="J21" s="64">
        <f>IF(H21=0,0,I21/H21)</f>
        <v>0</v>
      </c>
      <c r="L21" s="595">
        <v>165.2</v>
      </c>
      <c r="M21" s="596">
        <v>171.9</v>
      </c>
      <c r="O21" s="595">
        <f t="shared" si="0"/>
        <v>165.2</v>
      </c>
      <c r="P21" s="594">
        <f>139.615+32.261</f>
        <v>171.876</v>
      </c>
      <c r="Q21" s="57" t="s">
        <v>3122</v>
      </c>
      <c r="R21" s="64"/>
      <c r="T21" s="1154">
        <f>174.12+41.387</f>
        <v>215.50700000000001</v>
      </c>
      <c r="U21" s="57" t="s">
        <v>3122</v>
      </c>
      <c r="V21" s="608">
        <f>172.857+42.471</f>
        <v>215.328</v>
      </c>
      <c r="X21" s="595">
        <f t="shared" si="1"/>
        <v>215.50700000000001</v>
      </c>
      <c r="Y21" s="4609">
        <f>172.857+42.471</f>
        <v>215.328</v>
      </c>
      <c r="Z21" s="2900"/>
      <c r="AA21" s="64"/>
      <c r="AC21" s="4610">
        <f>181.789+62.387</f>
        <v>244.17599999999999</v>
      </c>
      <c r="AD21" s="57"/>
      <c r="AE21" s="4611">
        <f>212.865+58.368</f>
        <v>271.233</v>
      </c>
      <c r="AG21" s="114">
        <v>150.28200000000001</v>
      </c>
      <c r="AH21" s="116" t="s">
        <v>3116</v>
      </c>
      <c r="AI21" s="66">
        <v>141.53200000000001</v>
      </c>
      <c r="AK21" s="26" t="s">
        <v>3123</v>
      </c>
      <c r="AL21" s="114">
        <f>215.234+89.819</f>
        <v>305.053</v>
      </c>
      <c r="AM21" s="116" t="s">
        <v>3104</v>
      </c>
      <c r="AN21" s="3265">
        <f>239.47+84.42</f>
        <v>323.89</v>
      </c>
      <c r="AO21" s="114">
        <f>264.831+103.718</f>
        <v>368.54900000000004</v>
      </c>
      <c r="AP21" s="116" t="s">
        <v>3104</v>
      </c>
      <c r="AQ21" s="3265">
        <f>272.351+103.372</f>
        <v>375.72300000000001</v>
      </c>
      <c r="AS21" s="114">
        <f>264.831+103.718</f>
        <v>368.54900000000004</v>
      </c>
      <c r="AT21" s="116" t="s">
        <v>3104</v>
      </c>
      <c r="AU21" s="3265">
        <f>272.351+103.372</f>
        <v>375.72300000000001</v>
      </c>
      <c r="AV21" s="114">
        <f>302+132</f>
        <v>434</v>
      </c>
      <c r="AW21" s="116" t="s">
        <v>3124</v>
      </c>
      <c r="AX21" s="3265">
        <f>315.362+121.84</f>
        <v>437.202</v>
      </c>
      <c r="AY21" s="116"/>
      <c r="AZ21" s="26"/>
    </row>
    <row r="22" spans="1:52" x14ac:dyDescent="0.35">
      <c r="A22" s="9168"/>
      <c r="B22" s="6082"/>
      <c r="C22" s="121" t="s">
        <v>478</v>
      </c>
      <c r="D22" s="197"/>
      <c r="F22" s="4612"/>
      <c r="H22" s="598"/>
      <c r="I22" s="599"/>
      <c r="J22" s="64"/>
      <c r="L22" s="1172"/>
      <c r="M22" s="4613"/>
      <c r="O22" s="1172">
        <f t="shared" si="0"/>
        <v>0</v>
      </c>
      <c r="P22" s="599"/>
      <c r="Q22" s="57"/>
      <c r="R22" s="64"/>
      <c r="T22" s="1163"/>
      <c r="U22" s="57"/>
      <c r="V22" s="1304"/>
      <c r="X22" s="1172">
        <f t="shared" si="1"/>
        <v>0</v>
      </c>
      <c r="Y22" s="599"/>
      <c r="Z22" s="57"/>
      <c r="AA22" s="64"/>
      <c r="AC22" s="1163"/>
      <c r="AD22" s="57"/>
      <c r="AE22" s="4614"/>
      <c r="AG22" s="114"/>
      <c r="AH22" s="116"/>
      <c r="AI22" s="66"/>
      <c r="AL22" s="114"/>
      <c r="AM22" s="116"/>
      <c r="AN22" s="3265"/>
      <c r="AO22" s="114"/>
      <c r="AP22" s="116"/>
      <c r="AQ22" s="3265"/>
      <c r="AS22" s="114"/>
      <c r="AT22" s="116"/>
      <c r="AU22" s="3265"/>
      <c r="AV22" s="114"/>
      <c r="AW22" s="116"/>
      <c r="AX22" s="3265"/>
      <c r="AY22" s="3358" t="s">
        <v>3100</v>
      </c>
      <c r="AZ22" s="26"/>
    </row>
    <row r="23" spans="1:52" x14ac:dyDescent="0.35">
      <c r="A23" s="9168"/>
      <c r="B23" s="128"/>
      <c r="C23" s="129" t="s">
        <v>479</v>
      </c>
      <c r="D23" s="209"/>
      <c r="F23" s="88"/>
      <c r="H23" s="602">
        <f>SUM(H18:H21)</f>
        <v>0</v>
      </c>
      <c r="I23" s="603">
        <v>1300.5999999999999</v>
      </c>
      <c r="J23" s="133">
        <f>IF(H23=0,0,I23/H23)</f>
        <v>0</v>
      </c>
      <c r="L23" s="602">
        <v>1860.8</v>
      </c>
      <c r="M23" s="1314">
        <v>1638.9</v>
      </c>
      <c r="O23" s="602">
        <f t="shared" si="0"/>
        <v>1860.8</v>
      </c>
      <c r="P23" s="4615">
        <v>1640.0219999999999</v>
      </c>
      <c r="Q23" s="98" t="s">
        <v>3125</v>
      </c>
      <c r="R23" s="133"/>
      <c r="T23" s="4616">
        <v>2032.5989999999999</v>
      </c>
      <c r="U23" s="98" t="s">
        <v>3125</v>
      </c>
      <c r="V23" s="4617">
        <v>1781.9449999999999</v>
      </c>
      <c r="X23" s="602">
        <f t="shared" si="1"/>
        <v>2032.5989999999999</v>
      </c>
      <c r="Y23" s="4615">
        <v>1781.9449999999999</v>
      </c>
      <c r="Z23" s="4618"/>
      <c r="AA23" s="133"/>
      <c r="AC23" s="4616">
        <v>2326.9160000000002</v>
      </c>
      <c r="AD23" s="98"/>
      <c r="AE23" s="4617">
        <v>2109.9760000000001</v>
      </c>
      <c r="AG23" s="131">
        <v>2329.9</v>
      </c>
      <c r="AH23" s="116" t="s">
        <v>3116</v>
      </c>
      <c r="AI23" s="66">
        <v>2111.5</v>
      </c>
      <c r="AK23" s="24"/>
      <c r="AL23" s="131">
        <v>2329.9</v>
      </c>
      <c r="AM23" s="3358" t="s">
        <v>3104</v>
      </c>
      <c r="AN23" s="3264">
        <v>2146.6509999999998</v>
      </c>
      <c r="AO23" s="131">
        <v>2541.8820000000001</v>
      </c>
      <c r="AP23" s="3358" t="s">
        <v>3104</v>
      </c>
      <c r="AQ23" s="3264">
        <v>2405.9319999999998</v>
      </c>
      <c r="AS23" s="131">
        <v>2541.8820000000001</v>
      </c>
      <c r="AT23" s="3358" t="s">
        <v>3104</v>
      </c>
      <c r="AU23" s="3264">
        <v>2405.9319999999998</v>
      </c>
      <c r="AV23" s="131">
        <f>SUM(AV18:AV22)</f>
        <v>2817.3409999999999</v>
      </c>
      <c r="AW23" s="3358"/>
      <c r="AX23" s="3264">
        <f>SUM(AX18:AX22)</f>
        <v>2565.4430000000002</v>
      </c>
      <c r="AY23" s="53"/>
      <c r="AZ23" s="24"/>
    </row>
    <row r="24" spans="1:52" x14ac:dyDescent="0.35">
      <c r="A24" s="9168"/>
      <c r="B24" s="139" t="s">
        <v>480</v>
      </c>
      <c r="C24" s="49"/>
      <c r="D24" s="184"/>
      <c r="E24" s="141"/>
      <c r="F24" s="142"/>
      <c r="G24" s="143"/>
      <c r="H24" s="144"/>
      <c r="I24" s="145"/>
      <c r="J24" s="146"/>
      <c r="K24" s="141"/>
      <c r="L24" s="4619"/>
      <c r="M24" s="4620"/>
      <c r="N24" s="141"/>
      <c r="O24" s="4619"/>
      <c r="P24" s="145"/>
      <c r="Q24" s="1914" t="s">
        <v>3126</v>
      </c>
      <c r="R24" s="146"/>
      <c r="S24" s="141"/>
      <c r="T24" s="151"/>
      <c r="U24" s="1914" t="s">
        <v>3126</v>
      </c>
      <c r="V24" s="1325"/>
      <c r="W24" s="141"/>
      <c r="X24" s="4619"/>
      <c r="Y24" s="145"/>
      <c r="Z24" s="1914"/>
      <c r="AA24" s="146"/>
      <c r="AB24" s="141"/>
      <c r="AC24" s="151"/>
      <c r="AD24" s="1914"/>
      <c r="AE24" s="1325"/>
      <c r="AF24" s="141"/>
      <c r="AG24" s="4055"/>
      <c r="AH24" s="53"/>
      <c r="AI24" s="148"/>
      <c r="AJ24" s="141"/>
      <c r="AK24" s="18"/>
      <c r="AL24" s="6936"/>
      <c r="AM24" s="53"/>
      <c r="AN24" s="157"/>
      <c r="AO24" s="6936"/>
      <c r="AP24" s="53"/>
      <c r="AQ24" s="157"/>
      <c r="AS24" s="6936"/>
      <c r="AT24" s="53"/>
      <c r="AU24" s="157"/>
      <c r="AV24" s="6936"/>
      <c r="AW24" s="53"/>
      <c r="AX24" s="157"/>
      <c r="AY24" s="116" t="s">
        <v>3100</v>
      </c>
      <c r="AZ24" s="18"/>
    </row>
    <row r="25" spans="1:52" x14ac:dyDescent="0.35">
      <c r="A25" s="9168"/>
      <c r="B25" s="6082"/>
      <c r="C25" s="110" t="s">
        <v>483</v>
      </c>
      <c r="D25" s="197"/>
      <c r="F25" s="61"/>
      <c r="H25" s="595"/>
      <c r="I25" s="594">
        <v>281.2</v>
      </c>
      <c r="J25" s="64">
        <f>IF(H25=0,0,I25/H25)</f>
        <v>0</v>
      </c>
      <c r="L25" s="607">
        <v>298</v>
      </c>
      <c r="M25" s="1328">
        <v>293.10000000000002</v>
      </c>
      <c r="O25" s="607">
        <f>L25</f>
        <v>298</v>
      </c>
      <c r="P25" s="594">
        <v>298</v>
      </c>
      <c r="Q25" s="4621" t="s">
        <v>3127</v>
      </c>
      <c r="R25" s="64">
        <f>IF(O25=0,0,P25/O25)</f>
        <v>1</v>
      </c>
      <c r="T25" s="156">
        <v>333.5</v>
      </c>
      <c r="U25" s="4621" t="s">
        <v>3127</v>
      </c>
      <c r="V25" s="596">
        <v>307.39999999999998</v>
      </c>
      <c r="X25" s="4622">
        <f>T25</f>
        <v>333.5</v>
      </c>
      <c r="Y25" s="4609">
        <v>307.39999999999998</v>
      </c>
      <c r="Z25" s="4623"/>
      <c r="AA25" s="64">
        <f>IF(X25=0,0,Y25/X25)</f>
        <v>0.92173913043478251</v>
      </c>
      <c r="AC25" s="4622">
        <v>341.2</v>
      </c>
      <c r="AD25" s="4621"/>
      <c r="AE25" s="4624">
        <v>336.6</v>
      </c>
      <c r="AG25" s="4625">
        <v>392.82299999999998</v>
      </c>
      <c r="AH25" s="116" t="s">
        <v>3116</v>
      </c>
      <c r="AI25" s="4626">
        <v>383.95100000000002</v>
      </c>
      <c r="AK25" s="3248"/>
      <c r="AL25" s="156">
        <v>392.82299999999998</v>
      </c>
      <c r="AM25" s="116" t="s">
        <v>3104</v>
      </c>
      <c r="AN25" s="482">
        <v>388.93799999999999</v>
      </c>
      <c r="AO25" s="156">
        <v>427.95299999999997</v>
      </c>
      <c r="AP25" s="116" t="s">
        <v>3104</v>
      </c>
      <c r="AQ25" s="482">
        <v>417.52600000000001</v>
      </c>
      <c r="AS25" s="156">
        <v>427.95299999999997</v>
      </c>
      <c r="AT25" s="116" t="s">
        <v>3104</v>
      </c>
      <c r="AU25" s="482">
        <v>417.52600000000001</v>
      </c>
      <c r="AV25" s="156">
        <v>457.15499999999997</v>
      </c>
      <c r="AW25" s="116" t="s">
        <v>3124</v>
      </c>
      <c r="AX25" s="482">
        <f>449.927</f>
        <v>449.92700000000002</v>
      </c>
      <c r="AY25" s="53"/>
      <c r="AZ25" s="26"/>
    </row>
    <row r="26" spans="1:52" x14ac:dyDescent="0.35">
      <c r="A26" s="9168"/>
      <c r="B26" s="6082"/>
      <c r="C26" s="110" t="s">
        <v>489</v>
      </c>
      <c r="D26" s="197"/>
      <c r="F26" s="61"/>
      <c r="H26" s="595"/>
      <c r="I26" s="594"/>
      <c r="J26" s="64">
        <f>IF(H26=0,0,I26/H26)</f>
        <v>0</v>
      </c>
      <c r="L26" s="607"/>
      <c r="M26" s="1328"/>
      <c r="O26" s="607"/>
      <c r="P26" s="594"/>
      <c r="Q26" s="127"/>
      <c r="R26" s="64">
        <f>IF(O26=0,0,P26/O26)</f>
        <v>0</v>
      </c>
      <c r="T26" s="156"/>
      <c r="U26" s="127"/>
      <c r="V26" s="596"/>
      <c r="X26" s="607"/>
      <c r="Y26" s="594"/>
      <c r="Z26" s="127"/>
      <c r="AA26" s="64">
        <f>IF(X26=0,0,Y26/X26)</f>
        <v>0</v>
      </c>
      <c r="AC26" s="607"/>
      <c r="AD26" s="127"/>
      <c r="AE26" s="596"/>
      <c r="AG26" s="4625"/>
      <c r="AH26" s="4627"/>
      <c r="AI26" s="4626"/>
      <c r="AK26" s="26"/>
      <c r="AL26" s="156"/>
      <c r="AM26" s="53"/>
      <c r="AN26" s="482"/>
      <c r="AO26" s="156"/>
      <c r="AP26" s="53"/>
      <c r="AQ26" s="482"/>
      <c r="AS26" s="156"/>
      <c r="AT26" s="53"/>
      <c r="AU26" s="482"/>
      <c r="AV26" s="156"/>
      <c r="AW26" s="53"/>
      <c r="AX26" s="482"/>
      <c r="AY26" s="116" t="s">
        <v>3100</v>
      </c>
      <c r="AZ26" s="26"/>
    </row>
    <row r="27" spans="1:52" x14ac:dyDescent="0.35">
      <c r="A27" s="9168"/>
      <c r="B27" s="6082"/>
      <c r="C27" s="110" t="s">
        <v>490</v>
      </c>
      <c r="D27" s="197"/>
      <c r="F27" s="61"/>
      <c r="H27" s="595"/>
      <c r="I27" s="594">
        <v>30.2</v>
      </c>
      <c r="J27" s="64">
        <f>IF(H27=0,0,I27/H27)</f>
        <v>0</v>
      </c>
      <c r="L27" s="607">
        <v>39.4</v>
      </c>
      <c r="M27" s="1328">
        <v>37.5</v>
      </c>
      <c r="O27" s="607">
        <f>L27</f>
        <v>39.4</v>
      </c>
      <c r="P27" s="594">
        <v>37.5</v>
      </c>
      <c r="Q27" s="116" t="s">
        <v>3128</v>
      </c>
      <c r="R27" s="64">
        <f>IF(O27=0,0,P27/O27)</f>
        <v>0.95177664974619292</v>
      </c>
      <c r="T27" s="156">
        <v>56.1</v>
      </c>
      <c r="U27" s="116" t="s">
        <v>3128</v>
      </c>
      <c r="V27" s="596">
        <v>53.4</v>
      </c>
      <c r="X27" s="607">
        <f>T27</f>
        <v>56.1</v>
      </c>
      <c r="Y27" s="594">
        <v>53.4</v>
      </c>
      <c r="Z27" s="4628"/>
      <c r="AA27" s="64">
        <f>IF(X27=0,0,Y27/X27)</f>
        <v>0.95187165775401061</v>
      </c>
      <c r="AC27" s="4622">
        <v>65.099999999999994</v>
      </c>
      <c r="AD27" s="116"/>
      <c r="AE27" s="4624">
        <v>64</v>
      </c>
      <c r="AG27" s="4629">
        <v>76.173000000000002</v>
      </c>
      <c r="AH27" s="116" t="s">
        <v>3116</v>
      </c>
      <c r="AI27" s="4630">
        <v>65.099000000000004</v>
      </c>
      <c r="AK27" s="26"/>
      <c r="AL27" s="159">
        <v>76.173000000000002</v>
      </c>
      <c r="AM27" s="116" t="s">
        <v>3104</v>
      </c>
      <c r="AN27" s="276">
        <v>65.099000000000004</v>
      </c>
      <c r="AO27" s="159">
        <v>84.605000000000004</v>
      </c>
      <c r="AP27" s="116" t="s">
        <v>3104</v>
      </c>
      <c r="AQ27" s="276">
        <v>70.804000000000002</v>
      </c>
      <c r="AS27" s="159">
        <v>84.605000000000004</v>
      </c>
      <c r="AT27" s="116" t="s">
        <v>3104</v>
      </c>
      <c r="AU27" s="276">
        <v>70.804000000000002</v>
      </c>
      <c r="AV27" s="159">
        <v>90.989000000000004</v>
      </c>
      <c r="AW27" s="116" t="s">
        <v>3124</v>
      </c>
      <c r="AX27" s="276">
        <v>89.605000000000004</v>
      </c>
      <c r="AZ27" s="26"/>
    </row>
    <row r="28" spans="1:52" x14ac:dyDescent="0.35">
      <c r="A28" s="9168"/>
      <c r="B28" s="6082"/>
      <c r="C28" s="161" t="s">
        <v>497</v>
      </c>
      <c r="D28" s="610"/>
      <c r="F28" s="77"/>
      <c r="H28" s="612"/>
      <c r="I28" s="613"/>
      <c r="J28" s="64">
        <f>IF(H28=0,0,I28/H28)</f>
        <v>0</v>
      </c>
      <c r="L28" s="4631"/>
      <c r="M28" s="4632"/>
      <c r="O28" s="4631"/>
      <c r="P28" s="613"/>
      <c r="Q28" s="106"/>
      <c r="R28" s="64">
        <f>IF(O28=0,0,P28/O28)</f>
        <v>0</v>
      </c>
      <c r="T28" s="156"/>
      <c r="U28" s="106"/>
      <c r="V28" s="614"/>
      <c r="X28" s="4631"/>
      <c r="Y28" s="613"/>
      <c r="Z28" s="106"/>
      <c r="AA28" s="64">
        <f>IF(X28=0,0,Y28/X28)</f>
        <v>0</v>
      </c>
      <c r="AC28" s="607"/>
      <c r="AD28" s="106"/>
      <c r="AE28" s="614"/>
      <c r="AG28" s="4625"/>
      <c r="AH28" s="4633"/>
      <c r="AI28" s="4630"/>
      <c r="AK28" s="26"/>
      <c r="AL28" s="156"/>
      <c r="AM28" s="106"/>
      <c r="AN28" s="276"/>
      <c r="AO28" s="156"/>
      <c r="AP28" s="106"/>
      <c r="AQ28" s="276"/>
      <c r="AS28" s="156"/>
      <c r="AT28" s="106"/>
      <c r="AU28" s="276"/>
      <c r="AV28" s="156"/>
      <c r="AW28" s="106"/>
      <c r="AX28" s="276"/>
      <c r="AZ28" s="26"/>
    </row>
    <row r="29" spans="1:52" x14ac:dyDescent="0.35">
      <c r="A29" s="9168"/>
      <c r="B29" s="128"/>
      <c r="C29" s="129" t="s">
        <v>499</v>
      </c>
      <c r="D29" s="209"/>
      <c r="F29" s="169" t="e">
        <f>F27/F25</f>
        <v>#DIV/0!</v>
      </c>
      <c r="G29" s="170"/>
      <c r="H29" s="1135">
        <f>I29</f>
        <v>0.10739687055476529</v>
      </c>
      <c r="I29" s="172">
        <f>I27/I25</f>
        <v>0.10739687055476529</v>
      </c>
      <c r="J29" s="173"/>
      <c r="K29" s="170"/>
      <c r="L29" s="174">
        <f>L27/L25</f>
        <v>0.13221476510067115</v>
      </c>
      <c r="M29" s="175">
        <f>M27/M25</f>
        <v>0.12794268167860798</v>
      </c>
      <c r="N29" s="176"/>
      <c r="O29" s="174">
        <f>O27/O25</f>
        <v>0.13221476510067115</v>
      </c>
      <c r="P29" s="177">
        <f>P27/P25</f>
        <v>0.12583892617449666</v>
      </c>
      <c r="Q29" s="177"/>
      <c r="R29" s="173"/>
      <c r="S29" s="170"/>
      <c r="T29" s="174">
        <f>T27/T25</f>
        <v>0.16821589205397303</v>
      </c>
      <c r="U29" s="177"/>
      <c r="V29" s="175">
        <f>V27/V25</f>
        <v>0.17371502927781393</v>
      </c>
      <c r="W29" s="176"/>
      <c r="X29" s="174">
        <f>X27/X25</f>
        <v>0.16821589205397303</v>
      </c>
      <c r="Y29" s="177">
        <f>Y27/Y25</f>
        <v>0.17371502927781393</v>
      </c>
      <c r="Z29" s="177"/>
      <c r="AA29" s="173"/>
      <c r="AB29" s="170"/>
      <c r="AC29" s="174">
        <f>AC27/AC25</f>
        <v>0.19079718640093785</v>
      </c>
      <c r="AD29" s="177"/>
      <c r="AE29" s="175">
        <f>AE27/AE25</f>
        <v>0.19013666072489602</v>
      </c>
      <c r="AF29" s="170"/>
      <c r="AG29" s="495">
        <f>AG27/AG25</f>
        <v>0.19391176178584249</v>
      </c>
      <c r="AH29" s="497"/>
      <c r="AI29" s="496">
        <f>AI27/AI25</f>
        <v>0.16955028115566831</v>
      </c>
      <c r="AJ29" s="176"/>
      <c r="AK29" s="24"/>
      <c r="AL29" s="495">
        <f>AL27/AL25</f>
        <v>0.19391176178584249</v>
      </c>
      <c r="AM29" s="497"/>
      <c r="AN29" s="496">
        <f>AN27/AN25</f>
        <v>0.16737629133692261</v>
      </c>
      <c r="AO29" s="495">
        <f>AO27/AO25</f>
        <v>0.1976969433559293</v>
      </c>
      <c r="AP29" s="497"/>
      <c r="AQ29" s="496">
        <f>AQ27/AQ25</f>
        <v>0.16957985849982996</v>
      </c>
      <c r="AS29" s="495">
        <f>AS27/AS25</f>
        <v>0.1976969433559293</v>
      </c>
      <c r="AT29" s="497"/>
      <c r="AU29" s="496">
        <f>AU27/AU25</f>
        <v>0.16957985849982996</v>
      </c>
      <c r="AV29" s="495">
        <f>AV27/AV25</f>
        <v>0.19903315068193503</v>
      </c>
      <c r="AW29" s="497"/>
      <c r="AX29" s="496">
        <f>AX27/AX25</f>
        <v>0.19915452951256538</v>
      </c>
      <c r="AZ29" s="24"/>
    </row>
    <row r="30" spans="1:52" x14ac:dyDescent="0.35">
      <c r="A30" s="9168"/>
      <c r="B30" s="139" t="s">
        <v>552</v>
      </c>
      <c r="C30" s="49"/>
      <c r="D30" s="184"/>
      <c r="F30" s="4634"/>
      <c r="H30" s="4635">
        <f>193.418726021</f>
        <v>193.418726021</v>
      </c>
      <c r="I30" s="4636">
        <f>193.418726021</f>
        <v>193.418726021</v>
      </c>
      <c r="J30" s="188">
        <f>IF(H30=0,0,I30/H30)</f>
        <v>1</v>
      </c>
      <c r="L30" s="4635">
        <v>229.3</v>
      </c>
      <c r="M30" s="4637">
        <v>229.3</v>
      </c>
      <c r="O30" s="189"/>
      <c r="P30" s="190"/>
      <c r="Q30" s="4607" t="s">
        <v>3114</v>
      </c>
      <c r="R30" s="191"/>
      <c r="S30" s="170"/>
      <c r="T30" s="192"/>
      <c r="U30" s="4607" t="s">
        <v>3114</v>
      </c>
      <c r="V30" s="616"/>
      <c r="X30" s="189"/>
      <c r="Y30" s="190"/>
      <c r="Z30" s="4607"/>
      <c r="AA30" s="191"/>
      <c r="AB30" s="170"/>
      <c r="AC30" s="192"/>
      <c r="AD30" s="4607"/>
      <c r="AE30" s="616"/>
      <c r="AF30" s="170"/>
      <c r="AG30" s="3364"/>
      <c r="AH30" s="839"/>
      <c r="AI30" s="3482"/>
      <c r="AK30" s="195"/>
      <c r="AL30" s="3364"/>
      <c r="AM30" s="839"/>
      <c r="AN30" s="3482"/>
      <c r="AO30" s="3364"/>
      <c r="AP30" s="839"/>
      <c r="AQ30" s="3482"/>
      <c r="AS30" s="3364"/>
      <c r="AT30" s="839"/>
      <c r="AU30" s="3482"/>
      <c r="AV30" s="3364"/>
      <c r="AW30" s="839"/>
      <c r="AX30" s="3482"/>
      <c r="AZ30" s="3315"/>
    </row>
    <row r="31" spans="1:52" x14ac:dyDescent="0.35">
      <c r="A31" s="9168"/>
      <c r="B31" s="6082"/>
      <c r="C31" s="121" t="s">
        <v>11</v>
      </c>
      <c r="D31" s="197"/>
      <c r="F31" s="3266"/>
      <c r="G31" s="170"/>
      <c r="H31" s="114"/>
      <c r="I31" s="123"/>
      <c r="J31" s="64">
        <f>IF(H31=0,0,I31/H31)</f>
        <v>0</v>
      </c>
      <c r="K31" s="170"/>
      <c r="L31" s="114"/>
      <c r="M31" s="157">
        <f>L31*J31</f>
        <v>0</v>
      </c>
      <c r="O31" s="1163">
        <v>229.26365000000001</v>
      </c>
      <c r="P31" s="4638">
        <v>229.33600000000001</v>
      </c>
      <c r="Q31" s="4639" t="s">
        <v>3129</v>
      </c>
      <c r="R31" s="203"/>
      <c r="S31" s="170"/>
      <c r="T31" s="198">
        <v>264.21899999999999</v>
      </c>
      <c r="U31" s="4639" t="s">
        <v>3129</v>
      </c>
      <c r="V31" s="4614">
        <v>264.03899999999999</v>
      </c>
      <c r="X31" s="4640">
        <v>264.21899999999999</v>
      </c>
      <c r="Y31" s="4641">
        <v>264.03899999999999</v>
      </c>
      <c r="Z31" s="4642"/>
      <c r="AA31" s="203"/>
      <c r="AB31" s="170"/>
      <c r="AC31" s="3013">
        <v>284.72199999999998</v>
      </c>
      <c r="AD31" s="4639"/>
      <c r="AE31" s="4614">
        <v>284.70800000000003</v>
      </c>
      <c r="AF31" s="170"/>
      <c r="AG31" s="117"/>
      <c r="AH31" s="116"/>
      <c r="AI31" s="3031"/>
      <c r="AK31" s="206"/>
      <c r="AL31" s="117"/>
      <c r="AM31" s="116"/>
      <c r="AN31" s="117"/>
      <c r="AO31" s="117"/>
      <c r="AP31" s="116"/>
      <c r="AQ31" s="273"/>
      <c r="AS31" s="117"/>
      <c r="AT31" s="116"/>
      <c r="AU31" s="117"/>
      <c r="AV31" s="117"/>
      <c r="AW31" s="116"/>
      <c r="AX31" s="273"/>
      <c r="AZ31" s="1788"/>
    </row>
    <row r="32" spans="1:52" x14ac:dyDescent="0.35">
      <c r="A32" s="9169"/>
      <c r="B32" s="844"/>
      <c r="C32" s="208" t="s">
        <v>502</v>
      </c>
      <c r="D32" s="209"/>
      <c r="F32" s="210"/>
      <c r="H32" s="217"/>
      <c r="I32" s="845"/>
      <c r="J32" s="133">
        <f>IF(H32=0,0,I32/H32)</f>
        <v>0</v>
      </c>
      <c r="L32" s="217"/>
      <c r="M32" s="213">
        <f>L32*J32</f>
        <v>0</v>
      </c>
      <c r="O32" s="211"/>
      <c r="P32" s="1155"/>
      <c r="Q32" s="216"/>
      <c r="R32" s="133">
        <f>IF(O32=0,0,P32/O32)</f>
        <v>0</v>
      </c>
      <c r="T32" s="211"/>
      <c r="U32" s="216"/>
      <c r="V32" s="4643"/>
      <c r="X32" s="211"/>
      <c r="Y32" s="1155"/>
      <c r="Z32" s="216"/>
      <c r="AA32" s="133">
        <f>IF(X32=0,0,Y32/X32)</f>
        <v>0</v>
      </c>
      <c r="AC32" s="211"/>
      <c r="AD32" s="216"/>
      <c r="AE32" s="4643"/>
      <c r="AG32" s="217">
        <v>292.2</v>
      </c>
      <c r="AH32" s="216"/>
      <c r="AI32" s="66">
        <v>306.2</v>
      </c>
      <c r="AK32" s="206"/>
      <c r="AL32" s="217">
        <v>292.2</v>
      </c>
      <c r="AM32" s="216"/>
      <c r="AN32" s="482">
        <v>327.274</v>
      </c>
      <c r="AO32" s="217">
        <v>364.95800000000003</v>
      </c>
      <c r="AP32" s="800"/>
      <c r="AQ32" s="658">
        <v>360.74</v>
      </c>
      <c r="AS32" s="217">
        <v>292.2</v>
      </c>
      <c r="AT32" s="216"/>
      <c r="AU32" s="658">
        <v>360.74</v>
      </c>
      <c r="AV32" s="217">
        <v>364.95800000000003</v>
      </c>
      <c r="AW32" s="800"/>
      <c r="AX32" s="658">
        <f>360.74*4/3</f>
        <v>480.98666666666668</v>
      </c>
      <c r="AZ32" s="1789"/>
    </row>
    <row r="33" spans="1:52" x14ac:dyDescent="0.35">
      <c r="A33" s="220"/>
      <c r="B33" s="220"/>
      <c r="F33" s="106"/>
      <c r="H33" s="106"/>
      <c r="I33" s="106"/>
      <c r="J33" s="221"/>
      <c r="L33" s="106"/>
      <c r="O33" s="106"/>
      <c r="P33" s="106"/>
      <c r="Q33" s="106"/>
      <c r="R33" s="221"/>
      <c r="T33" s="106"/>
      <c r="U33" s="106"/>
      <c r="X33" s="106"/>
      <c r="Y33" s="106"/>
      <c r="Z33" s="106"/>
      <c r="AA33" s="221"/>
      <c r="AC33" s="106"/>
      <c r="AD33" s="106"/>
      <c r="AG33" s="106"/>
      <c r="AH33" s="106"/>
      <c r="AL33" s="106"/>
      <c r="AM33" s="106"/>
      <c r="AO33" s="106"/>
      <c r="AP33" s="106"/>
      <c r="AS33" s="106"/>
      <c r="AT33" s="106"/>
      <c r="AV33" s="106"/>
      <c r="AW33" s="106"/>
    </row>
    <row r="34" spans="1:52" ht="151.5" customHeight="1" x14ac:dyDescent="0.35">
      <c r="A34" s="9167" t="s">
        <v>503</v>
      </c>
      <c r="B34" s="27"/>
      <c r="C34" s="28" t="s">
        <v>427</v>
      </c>
      <c r="D34" s="585" t="s">
        <v>428</v>
      </c>
      <c r="E34" s="30"/>
      <c r="F34" s="4644"/>
      <c r="G34" s="223"/>
      <c r="H34" s="31" t="s">
        <v>3130</v>
      </c>
      <c r="I34" s="31" t="s">
        <v>3130</v>
      </c>
      <c r="J34" s="224"/>
      <c r="K34" s="223"/>
      <c r="L34" s="31" t="s">
        <v>3131</v>
      </c>
      <c r="M34" s="34" t="s">
        <v>593</v>
      </c>
      <c r="N34" s="30"/>
      <c r="O34" s="9155" t="s">
        <v>3132</v>
      </c>
      <c r="P34" s="9156"/>
      <c r="Q34" s="225" t="s">
        <v>3133</v>
      </c>
      <c r="R34" s="224"/>
      <c r="S34" s="223"/>
      <c r="T34" s="8314" t="s">
        <v>3089</v>
      </c>
      <c r="U34" s="581" t="s">
        <v>3090</v>
      </c>
      <c r="V34" s="8314" t="s">
        <v>3089</v>
      </c>
      <c r="W34" s="30"/>
      <c r="X34" s="9155" t="s">
        <v>3089</v>
      </c>
      <c r="Y34" s="9156"/>
      <c r="Z34" s="225" t="s">
        <v>3133</v>
      </c>
      <c r="AA34" s="224"/>
      <c r="AB34" s="223"/>
      <c r="AC34" s="8314" t="s">
        <v>3092</v>
      </c>
      <c r="AD34" s="581" t="s">
        <v>3093</v>
      </c>
      <c r="AE34" s="8314" t="s">
        <v>3092</v>
      </c>
      <c r="AF34" s="223"/>
      <c r="AG34" s="8339"/>
      <c r="AH34" s="4645"/>
      <c r="AI34" s="226"/>
      <c r="AJ34" s="30"/>
      <c r="AK34" s="39"/>
      <c r="AL34" s="8337"/>
      <c r="AM34" s="4645"/>
      <c r="AN34" s="6937"/>
      <c r="AO34" s="8337"/>
      <c r="AP34" s="4645"/>
      <c r="AQ34" s="6937"/>
      <c r="AS34" s="8337"/>
      <c r="AT34" s="4645"/>
      <c r="AU34" s="6937"/>
      <c r="AV34" s="8337"/>
      <c r="AW34" s="4645"/>
      <c r="AX34" s="6937"/>
      <c r="AZ34" s="39"/>
    </row>
    <row r="35" spans="1:52" ht="13.75" customHeight="1" x14ac:dyDescent="0.35">
      <c r="A35" s="9168"/>
      <c r="B35" s="5238"/>
      <c r="C35" s="30"/>
      <c r="D35" s="585"/>
      <c r="E35" s="30"/>
      <c r="F35" s="4580" t="s">
        <v>3080</v>
      </c>
      <c r="H35" s="9173" t="s">
        <v>3080</v>
      </c>
      <c r="I35" s="9173"/>
      <c r="J35" s="47"/>
      <c r="K35" s="223"/>
      <c r="L35" s="9173" t="s">
        <v>3080</v>
      </c>
      <c r="M35" s="9173"/>
      <c r="N35" s="30"/>
      <c r="O35" s="9173" t="str">
        <f>O7</f>
        <v>billion KSh</v>
      </c>
      <c r="P35" s="9173"/>
      <c r="Q35" s="106"/>
      <c r="R35" s="228"/>
      <c r="S35" s="143"/>
      <c r="T35" s="9346" t="str">
        <f>T7</f>
        <v>billion KSh</v>
      </c>
      <c r="U35" s="9419"/>
      <c r="V35" s="9347"/>
      <c r="W35" s="30"/>
      <c r="X35" s="9173" t="str">
        <f>X7</f>
        <v>billion KSh</v>
      </c>
      <c r="Y35" s="9173"/>
      <c r="Z35" s="106"/>
      <c r="AA35" s="228"/>
      <c r="AB35" s="143"/>
      <c r="AC35" s="9346" t="str">
        <f>AC7</f>
        <v>billion KSh</v>
      </c>
      <c r="AD35" s="9419"/>
      <c r="AE35" s="9347"/>
      <c r="AF35" s="143"/>
      <c r="AG35" s="230"/>
      <c r="AH35" s="53" t="s">
        <v>3134</v>
      </c>
      <c r="AI35" s="49"/>
      <c r="AJ35" s="143"/>
      <c r="AK35" s="18"/>
      <c r="AL35" s="230"/>
      <c r="AM35" s="53" t="s">
        <v>3134</v>
      </c>
      <c r="AN35" s="49"/>
      <c r="AO35" s="230"/>
      <c r="AP35" s="53" t="s">
        <v>3134</v>
      </c>
      <c r="AQ35" s="49"/>
      <c r="AS35" s="230"/>
      <c r="AT35" s="53" t="s">
        <v>3134</v>
      </c>
      <c r="AU35" s="49"/>
      <c r="AV35" s="230"/>
      <c r="AW35" s="53" t="s">
        <v>3134</v>
      </c>
      <c r="AX35" s="49"/>
      <c r="AZ35" s="18"/>
    </row>
    <row r="36" spans="1:52" x14ac:dyDescent="0.35">
      <c r="A36" s="9168"/>
      <c r="B36" s="141" t="s">
        <v>514</v>
      </c>
      <c r="C36"/>
      <c r="D36" s="184"/>
      <c r="E36" s="143"/>
      <c r="F36" s="227"/>
      <c r="G36" s="143"/>
      <c r="H36" s="102"/>
      <c r="I36" s="103"/>
      <c r="J36" s="228"/>
      <c r="K36" s="143"/>
      <c r="L36" s="102"/>
      <c r="M36" s="229"/>
      <c r="N36" s="143"/>
      <c r="O36" s="1805"/>
      <c r="P36" s="4646"/>
      <c r="Q36" s="1161"/>
      <c r="R36" s="64"/>
      <c r="T36" s="4647"/>
      <c r="U36" s="4607" t="s">
        <v>3135</v>
      </c>
      <c r="V36" s="1325"/>
      <c r="W36" s="143"/>
      <c r="X36" s="1805"/>
      <c r="Y36" s="4646"/>
      <c r="Z36" s="1161"/>
      <c r="AA36" s="64"/>
      <c r="AC36" s="4647"/>
      <c r="AD36" s="4607"/>
      <c r="AE36" s="1325"/>
      <c r="AF36" s="235"/>
      <c r="AG36" s="112"/>
      <c r="AH36" s="57"/>
      <c r="AI36" s="66"/>
      <c r="AK36" s="26"/>
      <c r="AL36" s="112"/>
      <c r="AM36" s="57"/>
      <c r="AN36" s="66"/>
      <c r="AO36" s="112"/>
      <c r="AP36" s="57"/>
      <c r="AQ36" s="66"/>
      <c r="AS36" s="112"/>
      <c r="AT36" s="57"/>
      <c r="AU36" s="66"/>
      <c r="AV36" s="112"/>
      <c r="AW36" s="57"/>
      <c r="AX36" s="66"/>
      <c r="AZ36" s="18"/>
    </row>
    <row r="37" spans="1:52" x14ac:dyDescent="0.35">
      <c r="A37" s="9168"/>
      <c r="B37" s="141"/>
      <c r="C37" s="240" t="s">
        <v>3136</v>
      </c>
      <c r="D37" s="197"/>
      <c r="E37" s="143"/>
      <c r="F37" s="168"/>
      <c r="G37" s="143"/>
      <c r="H37" s="245"/>
      <c r="I37" s="106"/>
      <c r="J37" s="246"/>
      <c r="K37" s="143"/>
      <c r="L37" s="245"/>
      <c r="M37" s="229"/>
      <c r="N37" s="143"/>
      <c r="O37" s="1805"/>
      <c r="P37" s="4646"/>
      <c r="Q37" s="1161"/>
      <c r="R37" s="64"/>
      <c r="T37" s="5083"/>
      <c r="U37" s="2900"/>
      <c r="V37" s="1352"/>
      <c r="W37" s="143"/>
      <c r="X37" s="1805"/>
      <c r="Y37" s="4646"/>
      <c r="Z37" s="1161"/>
      <c r="AA37" s="64"/>
      <c r="AC37" s="5083"/>
      <c r="AD37" s="2900"/>
      <c r="AE37" s="1352"/>
      <c r="AF37" s="235"/>
      <c r="AG37" s="112"/>
      <c r="AH37" s="57"/>
      <c r="AI37" s="66"/>
      <c r="AK37" s="26"/>
      <c r="AL37" s="593">
        <v>218.23500000000001</v>
      </c>
      <c r="AM37" s="116" t="s">
        <v>3137</v>
      </c>
      <c r="AN37" s="619">
        <v>217.62899999999999</v>
      </c>
      <c r="AO37" s="598">
        <v>241.11199999999999</v>
      </c>
      <c r="AP37" s="116" t="s">
        <v>3137</v>
      </c>
      <c r="AQ37" s="619">
        <v>241.46600000000001</v>
      </c>
      <c r="AS37" s="598">
        <v>241.11199999999999</v>
      </c>
      <c r="AT37" s="116" t="s">
        <v>3137</v>
      </c>
      <c r="AU37" s="619">
        <v>241.46600000000001</v>
      </c>
      <c r="AV37" s="598">
        <v>255.959</v>
      </c>
      <c r="AW37" s="116" t="s">
        <v>3138</v>
      </c>
      <c r="AX37" s="619">
        <v>255.84299999999999</v>
      </c>
      <c r="AY37" s="116" t="s">
        <v>3139</v>
      </c>
      <c r="AZ37" s="229"/>
    </row>
    <row r="38" spans="1:52" x14ac:dyDescent="0.35">
      <c r="A38" s="9168"/>
      <c r="B38" s="141"/>
      <c r="C38" s="639" t="s">
        <v>3140</v>
      </c>
      <c r="D38" s="197"/>
      <c r="E38" s="143"/>
      <c r="F38" s="168"/>
      <c r="G38" s="143"/>
      <c r="H38" s="245"/>
      <c r="I38" s="106"/>
      <c r="J38" s="246"/>
      <c r="K38" s="143"/>
      <c r="L38" s="245"/>
      <c r="M38" s="229"/>
      <c r="N38" s="143"/>
      <c r="O38" s="1805"/>
      <c r="P38" s="4646"/>
      <c r="Q38" s="1161"/>
      <c r="R38" s="64"/>
      <c r="T38" s="5083"/>
      <c r="U38" s="2900"/>
      <c r="V38" s="1352"/>
      <c r="W38" s="143"/>
      <c r="X38" s="1805"/>
      <c r="Y38" s="4646"/>
      <c r="Z38" s="1161"/>
      <c r="AA38" s="64"/>
      <c r="AC38" s="5083"/>
      <c r="AD38" s="2900"/>
      <c r="AE38" s="1352"/>
      <c r="AF38" s="235"/>
      <c r="AG38" s="112"/>
      <c r="AH38" s="57"/>
      <c r="AI38" s="66"/>
      <c r="AK38" s="26"/>
      <c r="AL38" s="593">
        <f>143/1000</f>
        <v>0.14299999999999999</v>
      </c>
      <c r="AM38" s="116" t="s">
        <v>3137</v>
      </c>
      <c r="AN38" s="619">
        <f>7/1000</f>
        <v>7.0000000000000001E-3</v>
      </c>
      <c r="AO38" s="598">
        <f>40/1000</f>
        <v>0.04</v>
      </c>
      <c r="AP38" s="116" t="s">
        <v>3137</v>
      </c>
      <c r="AQ38" s="619">
        <f>7/1000</f>
        <v>7.0000000000000001E-3</v>
      </c>
      <c r="AS38" s="598">
        <f>40/1000</f>
        <v>0.04</v>
      </c>
      <c r="AT38" s="116" t="s">
        <v>3137</v>
      </c>
      <c r="AU38" s="619">
        <f>7/1000</f>
        <v>7.0000000000000001E-3</v>
      </c>
      <c r="AV38" s="598">
        <v>0.4</v>
      </c>
      <c r="AW38" s="116" t="s">
        <v>3141</v>
      </c>
      <c r="AX38" s="619">
        <v>7.8E-2</v>
      </c>
      <c r="AY38" s="116" t="s">
        <v>3139</v>
      </c>
      <c r="AZ38" s="229"/>
    </row>
    <row r="39" spans="1:52" x14ac:dyDescent="0.35">
      <c r="A39" s="9168"/>
      <c r="B39" s="240"/>
      <c r="C39" s="240" t="s">
        <v>3142</v>
      </c>
      <c r="D39" s="197"/>
      <c r="F39" s="4608"/>
      <c r="H39" s="112">
        <v>166419036232</v>
      </c>
      <c r="I39" s="113">
        <v>165619000000</v>
      </c>
      <c r="J39" s="64">
        <f>IF(H39=0,0,I39/H39)</f>
        <v>0.99519263991599682</v>
      </c>
      <c r="L39" s="112">
        <f>165478978668+135000000</f>
        <v>165613978668</v>
      </c>
      <c r="M39" s="157">
        <f>L39*J39</f>
        <v>164817812637.59851</v>
      </c>
      <c r="O39" s="593">
        <v>165.35897800000001</v>
      </c>
      <c r="P39" s="4648">
        <v>169.63597799999999</v>
      </c>
      <c r="Q39" s="1161" t="s">
        <v>3143</v>
      </c>
      <c r="R39" s="64">
        <f>IF(O39=0,0,P39/O39)</f>
        <v>1.0258649397313038</v>
      </c>
      <c r="T39" s="593">
        <v>186.51900000000001</v>
      </c>
      <c r="U39" s="1161" t="s">
        <v>3144</v>
      </c>
      <c r="V39" s="4649">
        <v>180.97399999999999</v>
      </c>
      <c r="X39" s="4650">
        <v>186.51900000000001</v>
      </c>
      <c r="Y39" s="4651">
        <v>180.97399999999999</v>
      </c>
      <c r="Z39" s="1161"/>
      <c r="AA39" s="64">
        <f>IF(X39=0,0,Y39/X39)</f>
        <v>0.97027112519367986</v>
      </c>
      <c r="AC39" s="4650">
        <v>191.02</v>
      </c>
      <c r="AD39" s="1161"/>
      <c r="AE39" s="4652">
        <v>190.92500000000001</v>
      </c>
      <c r="AF39" s="235"/>
      <c r="AG39" s="593">
        <v>218.23500000000001</v>
      </c>
      <c r="AH39" s="116" t="s">
        <v>3145</v>
      </c>
      <c r="AI39" s="619">
        <v>217.62899999999999</v>
      </c>
      <c r="AK39" s="26"/>
      <c r="AL39" s="593">
        <f>83.774</f>
        <v>83.774000000000001</v>
      </c>
      <c r="AM39" s="116" t="s">
        <v>3137</v>
      </c>
      <c r="AN39" s="619">
        <f>80.698</f>
        <v>80.697999999999993</v>
      </c>
      <c r="AO39" s="1172">
        <v>88.394999999999996</v>
      </c>
      <c r="AP39" s="116" t="s">
        <v>3137</v>
      </c>
      <c r="AQ39" s="619">
        <v>83.451999999999998</v>
      </c>
      <c r="AS39" s="1172">
        <v>88.394999999999996</v>
      </c>
      <c r="AT39" s="116" t="s">
        <v>3137</v>
      </c>
      <c r="AU39" s="619">
        <v>83.451999999999998</v>
      </c>
      <c r="AV39" s="1172">
        <v>89.736999999999995</v>
      </c>
      <c r="AW39" s="116" t="s">
        <v>3146</v>
      </c>
      <c r="AX39" s="619">
        <v>82.03</v>
      </c>
      <c r="AY39" s="116" t="s">
        <v>3139</v>
      </c>
      <c r="AZ39" s="229"/>
    </row>
    <row r="40" spans="1:52" x14ac:dyDescent="0.35">
      <c r="A40" s="9168"/>
      <c r="B40" s="240"/>
      <c r="C40" s="639" t="s">
        <v>3140</v>
      </c>
      <c r="D40" s="197"/>
      <c r="F40" s="4608"/>
      <c r="H40" s="112"/>
      <c r="I40" s="113"/>
      <c r="J40" s="64"/>
      <c r="L40" s="112"/>
      <c r="M40" s="157"/>
      <c r="O40" s="593">
        <v>0</v>
      </c>
      <c r="P40" s="4648">
        <v>0</v>
      </c>
      <c r="Q40" s="1161" t="s">
        <v>3147</v>
      </c>
      <c r="R40" s="64"/>
      <c r="T40" s="593">
        <v>6.7000000000000004E-2</v>
      </c>
      <c r="U40" s="1161" t="s">
        <v>3144</v>
      </c>
      <c r="V40" s="4649">
        <v>0.1</v>
      </c>
      <c r="X40" s="4650">
        <v>6.7000000000000004E-2</v>
      </c>
      <c r="Y40" s="4651">
        <v>0.1</v>
      </c>
      <c r="Z40" s="1161"/>
      <c r="AA40" s="64"/>
      <c r="AC40" s="4650">
        <v>0.1</v>
      </c>
      <c r="AD40" s="1161"/>
      <c r="AE40" s="4652">
        <v>6.0000000000000001E-3</v>
      </c>
      <c r="AF40" s="235"/>
      <c r="AG40" s="595">
        <v>0.14299999999999999</v>
      </c>
      <c r="AH40" s="116" t="s">
        <v>3145</v>
      </c>
      <c r="AI40" s="619">
        <v>7.0000000000000001E-3</v>
      </c>
      <c r="AK40" s="26"/>
      <c r="AL40" s="595">
        <v>9.9139999999999997</v>
      </c>
      <c r="AM40" s="116" t="s">
        <v>3137</v>
      </c>
      <c r="AN40" s="619">
        <v>7.08</v>
      </c>
      <c r="AO40" s="1172">
        <v>10.443</v>
      </c>
      <c r="AP40" s="116" t="s">
        <v>3137</v>
      </c>
      <c r="AQ40" s="619">
        <v>9.4450000000000003</v>
      </c>
      <c r="AS40" s="1172">
        <v>10.443</v>
      </c>
      <c r="AT40" s="116" t="s">
        <v>3137</v>
      </c>
      <c r="AU40" s="619">
        <v>9.4450000000000003</v>
      </c>
      <c r="AV40" s="1172">
        <v>4.5810000000000004</v>
      </c>
      <c r="AW40" s="116" t="s">
        <v>3148</v>
      </c>
      <c r="AX40" s="619">
        <v>3.2730000000000001</v>
      </c>
      <c r="AY40" s="116" t="s">
        <v>3139</v>
      </c>
      <c r="AZ40" s="229"/>
    </row>
    <row r="41" spans="1:52" x14ac:dyDescent="0.35">
      <c r="A41" s="9168"/>
      <c r="B41" s="240"/>
      <c r="C41" s="639" t="s">
        <v>3149</v>
      </c>
      <c r="D41" s="197"/>
      <c r="F41" s="4608"/>
      <c r="H41" s="112"/>
      <c r="I41" s="113"/>
      <c r="J41" s="64"/>
      <c r="L41" s="112"/>
      <c r="M41" s="157"/>
      <c r="O41" s="1372">
        <v>0.22</v>
      </c>
      <c r="P41" s="4648"/>
      <c r="Q41" s="1161"/>
      <c r="R41" s="64"/>
      <c r="T41" s="1372">
        <v>0.22</v>
      </c>
      <c r="U41" s="1161"/>
      <c r="V41" s="4649"/>
      <c r="X41" s="4650">
        <v>0.22</v>
      </c>
      <c r="Y41" s="4653"/>
      <c r="Z41" s="1161"/>
      <c r="AA41" s="64"/>
      <c r="AC41" s="4650">
        <v>0.22</v>
      </c>
      <c r="AD41" s="2900"/>
      <c r="AE41" s="4652"/>
      <c r="AF41" s="235"/>
      <c r="AG41" s="595"/>
      <c r="AH41" s="70"/>
      <c r="AI41" s="619"/>
      <c r="AK41" s="26"/>
      <c r="AL41" s="595"/>
      <c r="AM41" s="116"/>
      <c r="AN41" s="619"/>
      <c r="AO41" s="595"/>
      <c r="AP41" s="116"/>
      <c r="AQ41" s="619"/>
      <c r="AS41" s="595"/>
      <c r="AT41" s="116"/>
      <c r="AU41" s="619"/>
      <c r="AV41" s="595"/>
      <c r="AW41" s="116"/>
      <c r="AX41" s="619"/>
      <c r="AY41" s="116"/>
      <c r="AZ41" s="229"/>
    </row>
    <row r="42" spans="1:52" x14ac:dyDescent="0.35">
      <c r="A42" s="9168"/>
      <c r="B42" s="240"/>
      <c r="C42" s="240" t="s">
        <v>3150</v>
      </c>
      <c r="D42" s="197"/>
      <c r="F42" s="61"/>
      <c r="H42" s="117">
        <f>80793278444+16024960483</f>
        <v>96818238927</v>
      </c>
      <c r="I42" s="115">
        <f>79815000000+6571399275</f>
        <v>86386399275</v>
      </c>
      <c r="J42" s="64">
        <f>IF(H42=0,0,I42/H42)</f>
        <v>0.89225336292405089</v>
      </c>
      <c r="L42" s="117">
        <f>54118034457+22381055000</f>
        <v>76499089457</v>
      </c>
      <c r="M42" s="157">
        <f>L42*J42</f>
        <v>68256569828.636055</v>
      </c>
      <c r="O42" s="595">
        <v>50.106999999999999</v>
      </c>
      <c r="P42" s="594">
        <v>49.0959</v>
      </c>
      <c r="Q42" s="1161" t="s">
        <v>3151</v>
      </c>
      <c r="R42" s="64">
        <f>IF(O42=0,0,P42/O42)</f>
        <v>0.97982118266908813</v>
      </c>
      <c r="T42" s="595">
        <v>58.720999999999997</v>
      </c>
      <c r="U42" s="1161" t="s">
        <v>3144</v>
      </c>
      <c r="V42" s="596">
        <v>53.447000000000003</v>
      </c>
      <c r="X42" s="4654">
        <v>58.720999999999997</v>
      </c>
      <c r="Y42" s="4609">
        <v>53.447000000000003</v>
      </c>
      <c r="Z42" s="1161"/>
      <c r="AA42" s="64">
        <f>IF(X42=0,0,Y42/X42)</f>
        <v>0.9101854532450061</v>
      </c>
      <c r="AC42" s="4650">
        <v>124.25700000000001</v>
      </c>
      <c r="AD42" s="1161"/>
      <c r="AE42" s="4652">
        <v>111.57</v>
      </c>
      <c r="AF42" s="235"/>
      <c r="AG42" s="1172">
        <f>83.774+2.568+96.501</f>
        <v>182.84300000000002</v>
      </c>
      <c r="AH42" s="116" t="s">
        <v>3145</v>
      </c>
      <c r="AI42" s="2872">
        <f>80.698+2.443+65.099</f>
        <v>148.24</v>
      </c>
      <c r="AK42" s="26" t="s">
        <v>3152</v>
      </c>
      <c r="AL42" s="1172">
        <f>2.568</f>
        <v>2.5680000000000001</v>
      </c>
      <c r="AM42" s="116" t="s">
        <v>3137</v>
      </c>
      <c r="AN42" s="2872">
        <v>2.4430000000000001</v>
      </c>
      <c r="AO42" s="2763">
        <v>8.9600000000000009</v>
      </c>
      <c r="AP42" s="6934" t="s">
        <v>3137</v>
      </c>
      <c r="AQ42" s="2872">
        <v>7.7329999999999997</v>
      </c>
      <c r="AS42" s="2763">
        <v>8.9600000000000009</v>
      </c>
      <c r="AT42" s="116" t="s">
        <v>3137</v>
      </c>
      <c r="AU42" s="2872">
        <v>7.7329999999999997</v>
      </c>
      <c r="AV42" s="2763">
        <v>16.806000000000001</v>
      </c>
      <c r="AW42" s="116" t="s">
        <v>3148</v>
      </c>
      <c r="AX42" s="2872">
        <v>11.954000000000001</v>
      </c>
      <c r="AY42" s="116" t="s">
        <v>3139</v>
      </c>
      <c r="AZ42" s="4655"/>
    </row>
    <row r="43" spans="1:52" x14ac:dyDescent="0.35">
      <c r="A43" s="9168"/>
      <c r="B43" s="241"/>
      <c r="C43" s="639" t="s">
        <v>3140</v>
      </c>
      <c r="D43" s="197"/>
      <c r="F43" s="77"/>
      <c r="H43" s="242"/>
      <c r="I43" s="243"/>
      <c r="J43" s="64"/>
      <c r="L43" s="242"/>
      <c r="M43" s="157"/>
      <c r="O43" s="1172">
        <v>7.8469259999999998</v>
      </c>
      <c r="P43" s="594">
        <v>6.2223139999999999</v>
      </c>
      <c r="Q43" s="1161" t="s">
        <v>3147</v>
      </c>
      <c r="R43" s="64">
        <f>IF(O43=0,0,P43/O43)</f>
        <v>0.79296198281976915</v>
      </c>
      <c r="T43" s="1172">
        <v>8.4060000000000006</v>
      </c>
      <c r="U43" s="1161" t="s">
        <v>3144</v>
      </c>
      <c r="V43" s="596">
        <v>3.4870000000000001</v>
      </c>
      <c r="X43" s="4656">
        <v>8.4060000000000006</v>
      </c>
      <c r="Y43" s="4609">
        <v>3.4870000000000001</v>
      </c>
      <c r="Z43" s="1161"/>
      <c r="AA43" s="64">
        <f>IF(X43=0,0,Y43/X43)</f>
        <v>0.41482274565786342</v>
      </c>
      <c r="AC43" s="4650">
        <v>29.158999999999999</v>
      </c>
      <c r="AD43" s="1161"/>
      <c r="AE43" s="4652">
        <v>23.003</v>
      </c>
      <c r="AF43" s="235"/>
      <c r="AG43" s="1172">
        <f>9.914+10.825+4.324</f>
        <v>25.062999999999995</v>
      </c>
      <c r="AH43" s="116" t="s">
        <v>3145</v>
      </c>
      <c r="AI43" s="2872">
        <f>7.08+8.353+3.893</f>
        <v>19.326000000000001</v>
      </c>
      <c r="AK43" s="26" t="s">
        <v>3152</v>
      </c>
      <c r="AL43" s="1172">
        <v>10.824999999999999</v>
      </c>
      <c r="AM43" s="116" t="s">
        <v>3137</v>
      </c>
      <c r="AN43" s="2872">
        <v>8.3529999999999998</v>
      </c>
      <c r="AO43" s="2763">
        <v>11.612</v>
      </c>
      <c r="AP43" s="6934" t="s">
        <v>3137</v>
      </c>
      <c r="AQ43" s="2872">
        <v>9.2390000000000008</v>
      </c>
      <c r="AS43" s="2763">
        <v>11.612</v>
      </c>
      <c r="AT43" s="116" t="s">
        <v>3137</v>
      </c>
      <c r="AU43" s="2872">
        <v>9.2390000000000008</v>
      </c>
      <c r="AV43" s="2763">
        <v>6.9429999999999996</v>
      </c>
      <c r="AW43" s="116" t="s">
        <v>3148</v>
      </c>
      <c r="AX43" s="2872">
        <v>5.3239999999999998</v>
      </c>
      <c r="AY43" s="116" t="s">
        <v>3139</v>
      </c>
      <c r="AZ43" s="229"/>
    </row>
    <row r="44" spans="1:52" x14ac:dyDescent="0.35">
      <c r="A44" s="9168"/>
      <c r="B44" s="241"/>
      <c r="C44" s="639" t="s">
        <v>3149</v>
      </c>
      <c r="D44" s="197"/>
      <c r="F44" s="77"/>
      <c r="H44" s="242"/>
      <c r="I44" s="243"/>
      <c r="J44" s="64"/>
      <c r="L44" s="242"/>
      <c r="M44" s="157"/>
      <c r="O44" s="4657">
        <v>4.1336000000000004</v>
      </c>
      <c r="P44" s="594"/>
      <c r="Q44" s="1161"/>
      <c r="R44" s="64"/>
      <c r="T44" s="4657">
        <v>2.1086</v>
      </c>
      <c r="U44" s="1161"/>
      <c r="V44" s="596"/>
      <c r="X44" s="4650">
        <v>2.1086</v>
      </c>
      <c r="Y44" s="4609"/>
      <c r="Z44" s="1161"/>
      <c r="AA44" s="64"/>
      <c r="AC44" s="4650">
        <v>18.115200000000002</v>
      </c>
      <c r="AD44" s="2900"/>
      <c r="AE44" s="4658"/>
      <c r="AF44" s="235"/>
      <c r="AG44" s="242"/>
      <c r="AH44" s="57"/>
      <c r="AI44" s="1780"/>
      <c r="AK44" s="26"/>
      <c r="AL44" s="242"/>
      <c r="AM44" s="116"/>
      <c r="AN44" s="1780"/>
      <c r="AO44" s="242"/>
      <c r="AP44" s="116"/>
      <c r="AQ44" s="1780"/>
      <c r="AS44" s="242"/>
      <c r="AT44" s="116"/>
      <c r="AU44" s="1780"/>
      <c r="AV44" s="242"/>
      <c r="AW44" s="116"/>
      <c r="AX44" s="1344"/>
      <c r="AY44" s="116"/>
    </row>
    <row r="45" spans="1:52" x14ac:dyDescent="0.35">
      <c r="A45" s="9168"/>
      <c r="B45" s="241"/>
      <c r="C45" s="241" t="s">
        <v>3153</v>
      </c>
      <c r="D45" s="197"/>
      <c r="F45" s="77"/>
      <c r="H45" s="242"/>
      <c r="I45" s="243"/>
      <c r="J45" s="64">
        <f>IF(H45=0,0,I45/H45)</f>
        <v>0</v>
      </c>
      <c r="L45" s="242">
        <f>53782691952+12698391244</f>
        <v>66481083196</v>
      </c>
      <c r="M45" s="157">
        <f>L45*J42</f>
        <v>59317970052.464607</v>
      </c>
      <c r="O45" s="1172">
        <v>37.1</v>
      </c>
      <c r="P45" s="594">
        <v>40.122999999999998</v>
      </c>
      <c r="Q45" s="1161" t="s">
        <v>3151</v>
      </c>
      <c r="R45" s="64">
        <f>IF(O45=0,0,P45/O45)</f>
        <v>1.0814824797843665</v>
      </c>
      <c r="T45" s="595">
        <v>60.377000000000002</v>
      </c>
      <c r="U45" s="1161" t="s">
        <v>3144</v>
      </c>
      <c r="V45" s="596">
        <v>42.960999999999999</v>
      </c>
      <c r="X45" s="4656">
        <v>60.377000000000002</v>
      </c>
      <c r="Y45" s="4609">
        <v>42.960999999999999</v>
      </c>
      <c r="Z45" s="1161"/>
      <c r="AA45" s="64">
        <f>IF(X45=0,0,Y45/X45)</f>
        <v>0.71154578730311202</v>
      </c>
      <c r="AC45" s="4650"/>
      <c r="AD45" s="1161"/>
      <c r="AE45" s="596"/>
      <c r="AF45" s="143"/>
      <c r="AG45" s="245"/>
      <c r="AH45" s="106"/>
      <c r="AI45" s="66"/>
      <c r="AJ45" s="143"/>
      <c r="AK45" s="26"/>
      <c r="AL45" s="1172">
        <v>96.501000000000005</v>
      </c>
      <c r="AM45" s="116" t="s">
        <v>3137</v>
      </c>
      <c r="AN45" s="2872">
        <f>65.099</f>
        <v>65.099000000000004</v>
      </c>
      <c r="AO45" s="1172">
        <f>100.471+(75/1000)</f>
        <v>100.54600000000001</v>
      </c>
      <c r="AP45" s="116" t="s">
        <v>3137</v>
      </c>
      <c r="AQ45" s="66">
        <f>87.416+(59/1000)</f>
        <v>87.474999999999994</v>
      </c>
      <c r="AS45" s="1172">
        <f>100.471+(75/1000)</f>
        <v>100.54600000000001</v>
      </c>
      <c r="AT45" s="116" t="s">
        <v>3137</v>
      </c>
      <c r="AU45" s="66">
        <f>87.416+(59/1000)</f>
        <v>87.474999999999994</v>
      </c>
      <c r="AV45" s="1172">
        <v>116.93300000000001</v>
      </c>
      <c r="AW45" s="116" t="s">
        <v>3148</v>
      </c>
      <c r="AX45" s="619">
        <v>87.198999999999998</v>
      </c>
      <c r="AY45" s="116" t="s">
        <v>3139</v>
      </c>
      <c r="AZ45" s="26"/>
    </row>
    <row r="46" spans="1:52" x14ac:dyDescent="0.35">
      <c r="A46" s="9168"/>
      <c r="B46" s="241"/>
      <c r="C46" s="639" t="s">
        <v>3140</v>
      </c>
      <c r="D46" s="197"/>
      <c r="F46" s="77"/>
      <c r="H46" s="242"/>
      <c r="I46" s="243"/>
      <c r="J46" s="64">
        <f>IF(H46=0,0,I46/H46)</f>
        <v>0</v>
      </c>
      <c r="L46" s="242"/>
      <c r="M46" s="157">
        <f>L46*J46</f>
        <v>0</v>
      </c>
      <c r="O46" s="1172">
        <v>10.175499</v>
      </c>
      <c r="P46" s="594">
        <v>9.7610499999999991</v>
      </c>
      <c r="Q46" s="1161" t="s">
        <v>3147</v>
      </c>
      <c r="R46" s="64">
        <f>IF(O46=0,0,P46/O46)</f>
        <v>0.95926990902362619</v>
      </c>
      <c r="T46" s="1172">
        <v>13.106999999999999</v>
      </c>
      <c r="U46" s="1161" t="s">
        <v>3144</v>
      </c>
      <c r="V46" s="596">
        <v>10.601000000000001</v>
      </c>
      <c r="X46" s="4656">
        <v>13.106999999999999</v>
      </c>
      <c r="Y46" s="4609">
        <v>10.601000000000001</v>
      </c>
      <c r="Z46" s="1161"/>
      <c r="AA46" s="64">
        <f>IF(X46=0,0,Y46/X46)</f>
        <v>0.80880445563439396</v>
      </c>
      <c r="AC46" s="1172"/>
      <c r="AD46" s="1161"/>
      <c r="AE46" s="596"/>
      <c r="AG46" s="112"/>
      <c r="AH46" s="106"/>
      <c r="AI46" s="66"/>
      <c r="AK46" s="26"/>
      <c r="AL46" s="1172">
        <v>4.3239999999999998</v>
      </c>
      <c r="AM46" s="116" t="s">
        <v>3137</v>
      </c>
      <c r="AN46" s="2872">
        <v>3.8929999999999998</v>
      </c>
      <c r="AO46" s="1172">
        <v>11.391999999999999</v>
      </c>
      <c r="AP46" s="116" t="s">
        <v>3137</v>
      </c>
      <c r="AQ46" s="66">
        <v>10.186</v>
      </c>
      <c r="AS46" s="1172">
        <v>11.391999999999999</v>
      </c>
      <c r="AT46" s="116" t="s">
        <v>3137</v>
      </c>
      <c r="AU46" s="66">
        <v>10.186</v>
      </c>
      <c r="AV46" s="1172">
        <v>6.6219999999999999</v>
      </c>
      <c r="AW46" s="116" t="s">
        <v>3148</v>
      </c>
      <c r="AX46" s="619">
        <v>6.39</v>
      </c>
      <c r="AY46" s="116" t="s">
        <v>3139</v>
      </c>
      <c r="AZ46" s="26"/>
    </row>
    <row r="47" spans="1:52" x14ac:dyDescent="0.35">
      <c r="A47" s="9168"/>
      <c r="B47" s="1654"/>
      <c r="C47" s="639" t="s">
        <v>3149</v>
      </c>
      <c r="D47" s="197"/>
      <c r="F47" s="4612"/>
      <c r="H47" s="198"/>
      <c r="I47" s="199"/>
      <c r="J47" s="64"/>
      <c r="L47" s="198"/>
      <c r="M47" s="157"/>
      <c r="O47" s="4657">
        <v>16.681999999999999</v>
      </c>
      <c r="P47" s="594"/>
      <c r="Q47" s="1161"/>
      <c r="R47" s="64"/>
      <c r="T47" s="4657">
        <v>16.682600000000001</v>
      </c>
      <c r="U47" s="1161"/>
      <c r="V47" s="596"/>
      <c r="X47" s="4654">
        <v>16.682600000000001</v>
      </c>
      <c r="Y47" s="4609"/>
      <c r="Z47" s="1161"/>
      <c r="AA47" s="64"/>
      <c r="AC47" s="4657"/>
      <c r="AD47" s="1161"/>
      <c r="AE47" s="596"/>
      <c r="AG47" s="112"/>
      <c r="AH47" s="106"/>
      <c r="AI47" s="66"/>
      <c r="AK47" s="26"/>
      <c r="AL47" s="112"/>
      <c r="AM47" s="106"/>
      <c r="AN47" s="66"/>
      <c r="AO47" s="112"/>
      <c r="AP47" s="106"/>
      <c r="AQ47" s="66"/>
      <c r="AS47" s="112"/>
      <c r="AT47" s="106"/>
      <c r="AU47" s="66"/>
      <c r="AV47" s="112"/>
      <c r="AW47" s="106"/>
      <c r="AX47" s="66"/>
      <c r="AZ47" s="26"/>
    </row>
    <row r="48" spans="1:52" x14ac:dyDescent="0.35">
      <c r="A48" s="9168"/>
      <c r="B48" s="141" t="s">
        <v>531</v>
      </c>
      <c r="C48"/>
      <c r="D48" s="197"/>
      <c r="E48" s="143"/>
      <c r="F48" s="168"/>
      <c r="G48" s="143"/>
      <c r="H48" s="245"/>
      <c r="I48" s="106"/>
      <c r="J48" s="246"/>
      <c r="K48" s="143"/>
      <c r="L48" s="245"/>
      <c r="M48" s="247"/>
      <c r="N48" s="143"/>
      <c r="O48" s="4659">
        <f>O39/O23</f>
        <v>8.8864455073086851E-2</v>
      </c>
      <c r="P48" s="3082">
        <f>50.566</f>
        <v>50.566000000000003</v>
      </c>
      <c r="Q48" s="106">
        <f>75.953</f>
        <v>75.953000000000003</v>
      </c>
      <c r="R48" s="64"/>
      <c r="T48" s="4660"/>
      <c r="U48" s="645"/>
      <c r="V48" s="1773"/>
      <c r="W48" s="143"/>
      <c r="X48" s="4661"/>
      <c r="Y48" s="3082"/>
      <c r="Z48" s="106"/>
      <c r="AA48" s="64"/>
      <c r="AC48" s="4660"/>
      <c r="AD48" s="645"/>
      <c r="AE48" s="1773"/>
      <c r="AG48" s="112"/>
      <c r="AH48" s="106"/>
      <c r="AI48" s="66"/>
      <c r="AK48" s="26"/>
      <c r="AL48" s="112"/>
      <c r="AM48" s="106"/>
      <c r="AN48" s="66"/>
      <c r="AO48" s="112"/>
      <c r="AP48" s="106"/>
      <c r="AQ48" s="66"/>
      <c r="AS48" s="112"/>
      <c r="AT48" s="106"/>
      <c r="AU48" s="66"/>
      <c r="AV48" s="112"/>
      <c r="AW48" s="106"/>
      <c r="AX48" s="66"/>
      <c r="AZ48" s="18"/>
    </row>
    <row r="49" spans="1:52" x14ac:dyDescent="0.35">
      <c r="A49" s="9168"/>
      <c r="B49" s="240"/>
      <c r="C49" s="241" t="s">
        <v>3154</v>
      </c>
      <c r="D49" s="197"/>
      <c r="F49" s="4608"/>
      <c r="H49" s="112"/>
      <c r="I49" s="113"/>
      <c r="J49" s="64">
        <f>IF(H49=0,0,I49/H49)</f>
        <v>0</v>
      </c>
      <c r="L49" s="112"/>
      <c r="M49" s="157">
        <f>L49*J49</f>
        <v>0</v>
      </c>
      <c r="O49" s="242"/>
      <c r="P49" s="115">
        <f>O48*P48</f>
        <v>4.4935200352257096</v>
      </c>
      <c r="Q49" s="3800">
        <f>O41/Q48*100</f>
        <v>0.28965281160717815</v>
      </c>
      <c r="R49" s="64">
        <f>IF(O49=0,0,P49/O49)</f>
        <v>0</v>
      </c>
      <c r="T49" s="1172"/>
      <c r="U49" s="4662"/>
      <c r="V49" s="3265"/>
      <c r="X49" s="242"/>
      <c r="Y49" s="115"/>
      <c r="Z49" s="106"/>
      <c r="AA49" s="64">
        <f>IF(X49=0,0,Y49/X49)</f>
        <v>0</v>
      </c>
      <c r="AC49" s="1172"/>
      <c r="AD49" s="645"/>
      <c r="AE49" s="3265"/>
      <c r="AG49" s="112"/>
      <c r="AH49" s="106"/>
      <c r="AI49" s="66"/>
      <c r="AK49" s="26"/>
      <c r="AL49" s="112"/>
      <c r="AM49" s="106"/>
      <c r="AN49" s="66"/>
      <c r="AO49" s="112"/>
      <c r="AP49" s="106"/>
      <c r="AQ49" s="66"/>
      <c r="AS49" s="112"/>
      <c r="AT49" s="106"/>
      <c r="AU49" s="66"/>
      <c r="AV49" s="112"/>
      <c r="AW49" s="106"/>
      <c r="AX49" s="66"/>
      <c r="AZ49" s="26"/>
    </row>
    <row r="50" spans="1:52" x14ac:dyDescent="0.35">
      <c r="A50" s="9168"/>
      <c r="B50" s="240"/>
      <c r="C50" s="240" t="s">
        <v>533</v>
      </c>
      <c r="D50" s="197"/>
      <c r="F50" s="61"/>
      <c r="H50" s="117"/>
      <c r="I50" s="115"/>
      <c r="J50" s="64">
        <f>IF(H50=0,0,I50/H50)</f>
        <v>0</v>
      </c>
      <c r="L50" s="117"/>
      <c r="M50" s="157">
        <f>L50*J50</f>
        <v>0</v>
      </c>
      <c r="O50" s="164"/>
      <c r="P50" s="3273"/>
      <c r="Q50" s="57"/>
      <c r="R50" s="64">
        <f>IF(O50=0,0,P50/O50)</f>
        <v>0</v>
      </c>
      <c r="T50" s="1172"/>
      <c r="U50" s="1161"/>
      <c r="V50" s="4663"/>
      <c r="X50" s="164"/>
      <c r="Y50" s="3273"/>
      <c r="Z50" s="57"/>
      <c r="AA50" s="64">
        <f>IF(X50=0,0,Y50/X50)</f>
        <v>0</v>
      </c>
      <c r="AC50" s="1172"/>
      <c r="AD50" s="1161"/>
      <c r="AE50" s="4663"/>
      <c r="AG50" s="117"/>
      <c r="AH50" s="106"/>
      <c r="AI50" s="66"/>
      <c r="AK50" s="26"/>
      <c r="AL50" s="117"/>
      <c r="AM50" s="106"/>
      <c r="AN50" s="66"/>
      <c r="AO50" s="117"/>
      <c r="AP50" s="106"/>
      <c r="AQ50" s="66"/>
      <c r="AS50" s="117"/>
      <c r="AT50" s="106"/>
      <c r="AU50" s="66"/>
      <c r="AV50" s="117"/>
      <c r="AW50" s="106"/>
      <c r="AX50" s="66"/>
      <c r="AZ50" s="26"/>
    </row>
    <row r="51" spans="1:52" x14ac:dyDescent="0.35">
      <c r="A51" s="9168"/>
      <c r="B51" s="250"/>
      <c r="C51" s="250" t="s">
        <v>534</v>
      </c>
      <c r="D51" s="209"/>
      <c r="F51" s="88"/>
      <c r="H51" s="242"/>
      <c r="I51" s="243"/>
      <c r="J51" s="64">
        <f>IF(H51=0,0,I51/H51)</f>
        <v>0</v>
      </c>
      <c r="L51" s="131"/>
      <c r="M51" s="213">
        <f>L51*J51</f>
        <v>0</v>
      </c>
      <c r="O51" s="164"/>
      <c r="P51" s="215"/>
      <c r="Q51" s="216"/>
      <c r="R51" s="64">
        <f>IF(O51=0,0,P51/O51)</f>
        <v>0</v>
      </c>
      <c r="T51" s="602"/>
      <c r="U51" s="1200"/>
      <c r="V51" s="658"/>
      <c r="X51" s="214"/>
      <c r="Y51" s="215"/>
      <c r="Z51" s="216"/>
      <c r="AA51" s="64">
        <f>IF(X51=0,0,Y51/X51)</f>
        <v>0</v>
      </c>
      <c r="AC51" s="602"/>
      <c r="AD51" s="1200"/>
      <c r="AE51" s="658"/>
      <c r="AG51" s="131"/>
      <c r="AH51" s="216"/>
      <c r="AI51" s="92"/>
      <c r="AK51" s="24"/>
      <c r="AL51" s="131"/>
      <c r="AM51" s="216"/>
      <c r="AN51" s="92"/>
      <c r="AO51" s="131"/>
      <c r="AP51" s="216"/>
      <c r="AQ51" s="92"/>
      <c r="AS51" s="131"/>
      <c r="AT51" s="216"/>
      <c r="AU51" s="92"/>
      <c r="AV51" s="131"/>
      <c r="AW51" s="216"/>
      <c r="AX51" s="92"/>
      <c r="AZ51" s="24"/>
    </row>
    <row r="52" spans="1:52" ht="29" customHeight="1" x14ac:dyDescent="0.35">
      <c r="A52" s="9168"/>
      <c r="B52" s="141" t="s">
        <v>535</v>
      </c>
      <c r="C52" s="141"/>
      <c r="D52" s="197">
        <v>5</v>
      </c>
      <c r="E52" s="143"/>
      <c r="F52" s="227"/>
      <c r="G52" s="143"/>
      <c r="H52" s="102"/>
      <c r="I52" s="103"/>
      <c r="J52" s="252"/>
      <c r="K52" s="143"/>
      <c r="L52" s="245"/>
      <c r="M52" s="247"/>
      <c r="N52" s="143"/>
      <c r="O52" s="4664" t="s">
        <v>3155</v>
      </c>
      <c r="P52" s="4665" t="s">
        <v>3156</v>
      </c>
      <c r="Q52" s="106"/>
      <c r="R52" s="252"/>
      <c r="S52" s="143"/>
      <c r="T52" s="4666" t="s">
        <v>3155</v>
      </c>
      <c r="U52" s="3276" t="s">
        <v>3156</v>
      </c>
      <c r="V52" s="4667"/>
      <c r="W52" s="143"/>
      <c r="X52" s="4668" t="s">
        <v>3155</v>
      </c>
      <c r="Y52" s="4665" t="s">
        <v>3156</v>
      </c>
      <c r="Z52" s="254"/>
      <c r="AA52" s="252"/>
      <c r="AB52" s="143"/>
      <c r="AC52" s="4666"/>
      <c r="AD52" s="4669" t="s">
        <v>3157</v>
      </c>
      <c r="AE52" s="4667"/>
      <c r="AF52" s="143"/>
      <c r="AG52" s="245"/>
      <c r="AH52" s="53"/>
      <c r="AI52" s="237"/>
      <c r="AJ52" s="143"/>
      <c r="AK52" s="26"/>
      <c r="AL52" s="102"/>
      <c r="AM52" s="6938" t="s">
        <v>3158</v>
      </c>
      <c r="AN52" s="3377"/>
      <c r="AO52" s="102"/>
      <c r="AP52" s="53"/>
      <c r="AQ52" s="3377"/>
      <c r="AS52" s="102"/>
      <c r="AT52" s="6938" t="s">
        <v>3158</v>
      </c>
      <c r="AU52" s="3377"/>
      <c r="AV52" s="102"/>
      <c r="AW52" s="53"/>
      <c r="AX52" s="3377"/>
      <c r="AZ52" s="26" t="s">
        <v>3159</v>
      </c>
    </row>
    <row r="53" spans="1:52" ht="16.25" customHeight="1" x14ac:dyDescent="0.35">
      <c r="A53" s="9168"/>
      <c r="B53" s="240"/>
      <c r="C53" s="240" t="s">
        <v>3160</v>
      </c>
      <c r="D53" s="197">
        <v>6</v>
      </c>
      <c r="F53" s="4608"/>
      <c r="H53" s="112"/>
      <c r="I53" s="113"/>
      <c r="J53" s="1171">
        <f>(I39+I42)/(H39+H42)</f>
        <v>0.95733174233316409</v>
      </c>
      <c r="L53" s="112">
        <f>92440000+15200000</f>
        <v>107640000</v>
      </c>
      <c r="M53" s="157">
        <f>L53*J$53</f>
        <v>103047188.74474178</v>
      </c>
      <c r="O53" s="4650">
        <f>0.09244+(18541809/10^9)</f>
        <v>0.11098180899999999</v>
      </c>
      <c r="P53" s="4670">
        <f>0.09244+(22197323/10^9)</f>
        <v>0.114637323</v>
      </c>
      <c r="Q53" s="57" t="s">
        <v>3161</v>
      </c>
      <c r="R53" s="64">
        <f t="shared" ref="R53:R64" si="2">IF(O53=0,0,P53/O53)</f>
        <v>1.0329379565258303</v>
      </c>
      <c r="T53" s="593">
        <v>9.2443999999999998E-2</v>
      </c>
      <c r="U53" s="57" t="s">
        <v>3161</v>
      </c>
      <c r="V53" s="1352">
        <f t="shared" ref="V53:V62" si="3">T53</f>
        <v>9.2443999999999998E-2</v>
      </c>
      <c r="X53" s="4610">
        <v>9.2943999999999999E-2</v>
      </c>
      <c r="Y53" s="4609">
        <f>V53</f>
        <v>9.2443999999999998E-2</v>
      </c>
      <c r="Z53" s="57"/>
      <c r="AA53" s="64">
        <f>IF(X53=0,0,Y53/X53)</f>
        <v>0.99462041659493883</v>
      </c>
      <c r="AC53" s="4650">
        <v>8.9485997999999997E-2</v>
      </c>
      <c r="AD53" s="2900"/>
      <c r="AE53" s="4624">
        <v>8.9004600610173859E-2</v>
      </c>
      <c r="AG53" s="4624">
        <v>8.9004600610173859E-2</v>
      </c>
      <c r="AH53" s="106"/>
      <c r="AI53" s="4624">
        <v>8.9004600610173859E-2</v>
      </c>
      <c r="AK53" s="257"/>
      <c r="AL53" s="6939">
        <f>AH53</f>
        <v>0</v>
      </c>
      <c r="AM53" s="259" t="s">
        <v>3162</v>
      </c>
      <c r="AN53" s="6940">
        <f>AL53</f>
        <v>0</v>
      </c>
      <c r="AO53" s="1373">
        <f>AL53</f>
        <v>0</v>
      </c>
      <c r="AP53" s="106" t="s">
        <v>3158</v>
      </c>
      <c r="AQ53" s="6940">
        <f>AO53</f>
        <v>0</v>
      </c>
      <c r="AS53" s="1373">
        <f>AL53</f>
        <v>0</v>
      </c>
      <c r="AT53" s="259" t="s">
        <v>3162</v>
      </c>
      <c r="AU53" s="6940">
        <f>AS53</f>
        <v>0</v>
      </c>
      <c r="AV53" s="1373">
        <f>AS53</f>
        <v>0</v>
      </c>
      <c r="AW53" s="106" t="s">
        <v>3158</v>
      </c>
      <c r="AX53" s="6940">
        <f>AV53</f>
        <v>0</v>
      </c>
      <c r="AZ53" s="257" t="s">
        <v>3163</v>
      </c>
    </row>
    <row r="54" spans="1:52" ht="16.25" customHeight="1" x14ac:dyDescent="0.35">
      <c r="A54" s="9168"/>
      <c r="B54" s="240"/>
      <c r="C54" s="639" t="s">
        <v>1116</v>
      </c>
      <c r="D54" s="197"/>
      <c r="F54" s="4608"/>
      <c r="H54" s="112"/>
      <c r="I54" s="113"/>
      <c r="J54" s="1171"/>
      <c r="L54" s="112"/>
      <c r="M54" s="157"/>
      <c r="O54" s="4650">
        <f>0.0152+(64720000/10^9)</f>
        <v>7.9920000000000005E-2</v>
      </c>
      <c r="P54" s="4670">
        <f>O54+(41620000/10^9)</f>
        <v>0.12154000000000001</v>
      </c>
      <c r="Q54" s="57" t="s">
        <v>3164</v>
      </c>
      <c r="R54" s="64">
        <f t="shared" si="2"/>
        <v>1.5207707707707707</v>
      </c>
      <c r="T54" s="593">
        <v>2.7179999999999999E-2</v>
      </c>
      <c r="U54" s="57" t="s">
        <v>3164</v>
      </c>
      <c r="V54" s="1352">
        <f t="shared" si="3"/>
        <v>2.7179999999999999E-2</v>
      </c>
      <c r="X54" s="4610">
        <v>2.7179999999999999E-2</v>
      </c>
      <c r="Y54" s="4609">
        <f t="shared" ref="Y54:Y64" si="4">V54</f>
        <v>2.7179999999999999E-2</v>
      </c>
      <c r="Z54" s="57"/>
      <c r="AA54" s="64">
        <f t="shared" ref="AA54:AA63" si="5">IF(X54=0,0,Y54/X54)</f>
        <v>1</v>
      </c>
      <c r="AC54" s="4650">
        <v>5.2999999999999999E-2</v>
      </c>
      <c r="AD54" s="2900"/>
      <c r="AE54" s="4624">
        <v>5.2999999999999999E-2</v>
      </c>
      <c r="AG54" s="4624">
        <v>5.2999999999999999E-2</v>
      </c>
      <c r="AH54" s="57"/>
      <c r="AI54" s="4624">
        <v>5.2999999999999999E-2</v>
      </c>
      <c r="AK54" s="257"/>
      <c r="AL54" s="6939">
        <f>AH54</f>
        <v>0</v>
      </c>
      <c r="AM54" s="259" t="s">
        <v>3162</v>
      </c>
      <c r="AN54" s="6940">
        <f>AL54</f>
        <v>0</v>
      </c>
      <c r="AO54" s="1373">
        <f>AL54</f>
        <v>0</v>
      </c>
      <c r="AP54" t="s">
        <v>3163</v>
      </c>
      <c r="AQ54" s="6940">
        <f t="shared" ref="AQ54:AQ59" si="6">AO54</f>
        <v>0</v>
      </c>
      <c r="AS54" s="1373">
        <f>AL54</f>
        <v>0</v>
      </c>
      <c r="AT54" s="259" t="s">
        <v>3162</v>
      </c>
      <c r="AU54" s="6940">
        <f>AS54</f>
        <v>0</v>
      </c>
      <c r="AV54" s="1373">
        <f>AS54</f>
        <v>0</v>
      </c>
      <c r="AW54" t="s">
        <v>3163</v>
      </c>
      <c r="AX54" s="6940">
        <f t="shared" ref="AX54:AX59" si="7">AV54</f>
        <v>0</v>
      </c>
      <c r="AZ54" s="257"/>
    </row>
    <row r="55" spans="1:52" x14ac:dyDescent="0.35">
      <c r="A55" s="9168"/>
      <c r="B55" s="240"/>
      <c r="C55" s="240" t="s">
        <v>3165</v>
      </c>
      <c r="D55" s="197">
        <v>7</v>
      </c>
      <c r="F55" s="61"/>
      <c r="H55" s="117"/>
      <c r="I55" s="115"/>
      <c r="J55" s="64">
        <f>IF(H55=0,0,I55/H55)</f>
        <v>0</v>
      </c>
      <c r="L55" s="117">
        <f>126000000+41400000</f>
        <v>167400000</v>
      </c>
      <c r="M55" s="157">
        <f>L55*J$53</f>
        <v>160257333.66657168</v>
      </c>
      <c r="O55" s="4654">
        <f>0.126</f>
        <v>0.126</v>
      </c>
      <c r="P55" s="4670">
        <f>113780000/10^9</f>
        <v>0.11378000000000001</v>
      </c>
      <c r="Q55" s="57" t="s">
        <v>3166</v>
      </c>
      <c r="R55" s="64">
        <f t="shared" si="2"/>
        <v>0.90301587301587305</v>
      </c>
      <c r="T55" s="595">
        <v>0.156</v>
      </c>
      <c r="U55" s="57" t="s">
        <v>3166</v>
      </c>
      <c r="V55" s="1352">
        <f t="shared" si="3"/>
        <v>0.156</v>
      </c>
      <c r="X55" s="4610">
        <v>0.15</v>
      </c>
      <c r="Y55" s="4609">
        <f t="shared" si="4"/>
        <v>0.156</v>
      </c>
      <c r="Z55" s="57"/>
      <c r="AA55" s="64">
        <f t="shared" si="5"/>
        <v>1.04</v>
      </c>
      <c r="AC55" s="4654">
        <v>0.15</v>
      </c>
      <c r="AD55" s="2900"/>
      <c r="AE55" s="4624">
        <v>0.156</v>
      </c>
      <c r="AG55" s="4624">
        <v>0.156</v>
      </c>
      <c r="AH55" s="106"/>
      <c r="AI55" s="4624">
        <v>0.156</v>
      </c>
      <c r="AK55" s="26"/>
      <c r="AL55" s="6939">
        <f>AH55</f>
        <v>0</v>
      </c>
      <c r="AM55" s="259" t="s">
        <v>3162</v>
      </c>
      <c r="AN55" s="6940">
        <f>AL55</f>
        <v>0</v>
      </c>
      <c r="AO55" s="1154">
        <v>0.94099999999999995</v>
      </c>
      <c r="AP55" s="106" t="s">
        <v>3167</v>
      </c>
      <c r="AQ55" s="6940">
        <f t="shared" si="6"/>
        <v>0.94099999999999995</v>
      </c>
      <c r="AS55" s="1154">
        <v>0.94099999999999995</v>
      </c>
      <c r="AT55" s="259" t="s">
        <v>3162</v>
      </c>
      <c r="AU55" s="6940">
        <f t="shared" ref="AU55:AU59" si="8">AS55</f>
        <v>0.94099999999999995</v>
      </c>
      <c r="AV55" s="1154">
        <v>1.08</v>
      </c>
      <c r="AW55" s="106" t="s">
        <v>3167</v>
      </c>
      <c r="AX55" s="6940">
        <f t="shared" si="7"/>
        <v>1.08</v>
      </c>
      <c r="AZ55" s="26" t="s">
        <v>3168</v>
      </c>
    </row>
    <row r="56" spans="1:52" x14ac:dyDescent="0.35">
      <c r="A56" s="9168"/>
      <c r="B56" s="240"/>
      <c r="C56" s="639" t="s">
        <v>1116</v>
      </c>
      <c r="D56" s="197"/>
      <c r="F56" s="61"/>
      <c r="H56" s="117"/>
      <c r="I56" s="115"/>
      <c r="J56" s="64"/>
      <c r="L56" s="117"/>
      <c r="M56" s="157"/>
      <c r="O56" s="4654">
        <v>0</v>
      </c>
      <c r="P56" s="4670">
        <v>0.11378000000000001</v>
      </c>
      <c r="Q56" s="57" t="s">
        <v>3169</v>
      </c>
      <c r="R56" s="64">
        <f t="shared" si="2"/>
        <v>0</v>
      </c>
      <c r="T56" s="595">
        <v>0.16353899999999999</v>
      </c>
      <c r="U56" s="57" t="s">
        <v>3169</v>
      </c>
      <c r="V56" s="1352">
        <f t="shared" si="3"/>
        <v>0.16353899999999999</v>
      </c>
      <c r="X56" s="4610">
        <v>0.16353899999999999</v>
      </c>
      <c r="Y56" s="4609">
        <f t="shared" si="4"/>
        <v>0.16353899999999999</v>
      </c>
      <c r="Z56" s="57"/>
      <c r="AA56" s="64">
        <f t="shared" si="5"/>
        <v>1</v>
      </c>
      <c r="AC56" s="4654">
        <v>0.5</v>
      </c>
      <c r="AD56" s="2900"/>
      <c r="AE56" s="4624">
        <v>0.5</v>
      </c>
      <c r="AG56" s="4624">
        <v>0.5</v>
      </c>
      <c r="AH56" s="106"/>
      <c r="AI56" s="4624">
        <v>0.5</v>
      </c>
      <c r="AK56" s="26"/>
      <c r="AL56" s="6939">
        <f>AH56</f>
        <v>0</v>
      </c>
      <c r="AM56" s="259" t="s">
        <v>3162</v>
      </c>
      <c r="AN56" s="6940">
        <f>AL56</f>
        <v>0</v>
      </c>
      <c r="AO56" s="1154"/>
      <c r="AP56" t="s">
        <v>3168</v>
      </c>
      <c r="AQ56" s="6940">
        <f t="shared" si="6"/>
        <v>0</v>
      </c>
      <c r="AS56" s="1154"/>
      <c r="AT56" s="259" t="s">
        <v>3162</v>
      </c>
      <c r="AU56" s="6940">
        <f t="shared" si="8"/>
        <v>0</v>
      </c>
      <c r="AV56" s="1154"/>
      <c r="AW56" t="s">
        <v>3168</v>
      </c>
      <c r="AX56" s="6940">
        <f t="shared" si="7"/>
        <v>0</v>
      </c>
      <c r="AZ56" s="26"/>
    </row>
    <row r="57" spans="1:52" x14ac:dyDescent="0.35">
      <c r="A57" s="9168"/>
      <c r="B57" s="240"/>
      <c r="C57" s="240" t="s">
        <v>3170</v>
      </c>
      <c r="D57" s="197">
        <v>8</v>
      </c>
      <c r="F57" s="61"/>
      <c r="H57" s="117"/>
      <c r="I57" s="115"/>
      <c r="J57" s="64">
        <f>IF(H57=0,0,I57/H57)</f>
        <v>0</v>
      </c>
      <c r="L57" s="117">
        <f>4028791789+62266410+2808317346+1295403076+90000000+135000000+21594600</f>
        <v>8441373221</v>
      </c>
      <c r="M57" s="157">
        <f>L57*J$53</f>
        <v>8081194533.3444433</v>
      </c>
      <c r="O57" s="4654">
        <f>(4013791789+67266410+2508317346+1295403076)/10^9</f>
        <v>7.8847786209999997</v>
      </c>
      <c r="P57" s="4670">
        <f>(3779791789+67266410+2508317346+1295403076)/10^9</f>
        <v>7.6507786209999997</v>
      </c>
      <c r="Q57" s="57" t="s">
        <v>3171</v>
      </c>
      <c r="R57" s="64">
        <f t="shared" si="2"/>
        <v>0.97032256563592367</v>
      </c>
      <c r="T57" s="595">
        <f>(5520238331+71296490+3744991182+1717163076)/10^9</f>
        <v>11.053689079</v>
      </c>
      <c r="U57" s="57" t="s">
        <v>3171</v>
      </c>
      <c r="V57" s="1352">
        <f t="shared" si="3"/>
        <v>11.053689079</v>
      </c>
      <c r="X57" s="4610">
        <f>(5520238331+71296490+3744991182+1717163076)/10^9</f>
        <v>11.053689079</v>
      </c>
      <c r="Y57" s="4609">
        <f t="shared" si="4"/>
        <v>11.053689079</v>
      </c>
      <c r="Z57" s="57"/>
      <c r="AA57" s="64">
        <f t="shared" si="5"/>
        <v>1</v>
      </c>
      <c r="AC57" s="4671">
        <v>11.388231606</v>
      </c>
      <c r="AD57" s="2900"/>
      <c r="AE57" s="4624">
        <v>11.388231606</v>
      </c>
      <c r="AG57" s="4624">
        <v>11.388231606</v>
      </c>
      <c r="AH57" s="106"/>
      <c r="AI57" s="4624">
        <v>11.388231606</v>
      </c>
      <c r="AK57" s="26"/>
      <c r="AL57" s="597">
        <f>6.145132+0.077777+3.869564+2.01671+0.0308638</f>
        <v>12.1400468</v>
      </c>
      <c r="AM57" t="s">
        <v>3172</v>
      </c>
      <c r="AN57" s="6941">
        <f>AL57</f>
        <v>12.1400468</v>
      </c>
      <c r="AO57" s="1154">
        <f>6.169382+0.077616+1.537506+0.803813+0.073854</f>
        <v>8.6621710000000007</v>
      </c>
      <c r="AP57" t="s">
        <v>3172</v>
      </c>
      <c r="AQ57" s="6940">
        <f t="shared" si="6"/>
        <v>8.6621710000000007</v>
      </c>
      <c r="AS57" s="1154">
        <f>6.169382+0.077616+1.537506+0.803813+0.073854</f>
        <v>8.6621710000000007</v>
      </c>
      <c r="AT57" t="s">
        <v>3172</v>
      </c>
      <c r="AU57" s="6940">
        <f t="shared" si="8"/>
        <v>8.6621710000000007</v>
      </c>
      <c r="AV57" s="1154">
        <f>6.169382+0.077616+1.537506+0.803813+0.073854</f>
        <v>8.6621710000000007</v>
      </c>
      <c r="AW57" t="s">
        <v>3172</v>
      </c>
      <c r="AX57" s="6940">
        <f t="shared" si="7"/>
        <v>8.6621710000000007</v>
      </c>
      <c r="AZ57" s="26" t="s">
        <v>3173</v>
      </c>
    </row>
    <row r="58" spans="1:52" x14ac:dyDescent="0.35">
      <c r="A58" s="9168"/>
      <c r="B58" s="240"/>
      <c r="C58" s="639" t="s">
        <v>1116</v>
      </c>
      <c r="D58" s="197"/>
      <c r="F58" s="61"/>
      <c r="H58" s="117"/>
      <c r="I58" s="115"/>
      <c r="J58" s="64"/>
      <c r="L58" s="117"/>
      <c r="M58" s="157"/>
      <c r="O58" s="4654">
        <f>200000000/10^9</f>
        <v>0.2</v>
      </c>
      <c r="P58" s="4670">
        <f>(90000000+90000000+221594600)/10^9</f>
        <v>0.40159460000000002</v>
      </c>
      <c r="Q58" s="57" t="s">
        <v>3174</v>
      </c>
      <c r="R58" s="64">
        <f t="shared" si="2"/>
        <v>2.0079729999999998</v>
      </c>
      <c r="T58" s="595">
        <f>(83160000+36960)/10^9</f>
        <v>8.319696E-2</v>
      </c>
      <c r="U58" s="57" t="s">
        <v>3174</v>
      </c>
      <c r="V58" s="1352">
        <f t="shared" si="3"/>
        <v>8.319696E-2</v>
      </c>
      <c r="X58" s="4610">
        <f>(83160000+36960)/10^9</f>
        <v>8.319696E-2</v>
      </c>
      <c r="Y58" s="4609">
        <f t="shared" si="4"/>
        <v>8.319696E-2</v>
      </c>
      <c r="Z58" s="57"/>
      <c r="AA58" s="64">
        <f t="shared" si="5"/>
        <v>1</v>
      </c>
      <c r="AC58" s="595">
        <v>0</v>
      </c>
      <c r="AD58" s="57"/>
      <c r="AE58" s="4624">
        <v>0</v>
      </c>
      <c r="AG58" s="4624">
        <v>0</v>
      </c>
      <c r="AH58" s="106"/>
      <c r="AI58" s="4624">
        <v>0</v>
      </c>
      <c r="AK58" s="26"/>
      <c r="AL58" s="597"/>
      <c r="AN58" s="6941"/>
      <c r="AO58" s="1154"/>
      <c r="AQ58" s="6940">
        <f t="shared" si="6"/>
        <v>0</v>
      </c>
      <c r="AS58" s="1154">
        <f>AL58</f>
        <v>0</v>
      </c>
      <c r="AU58" s="6940">
        <f t="shared" si="8"/>
        <v>0</v>
      </c>
      <c r="AV58" s="1154"/>
      <c r="AX58" s="6940">
        <f t="shared" si="7"/>
        <v>0</v>
      </c>
      <c r="AZ58" s="26"/>
    </row>
    <row r="59" spans="1:52" x14ac:dyDescent="0.35">
      <c r="A59" s="9168"/>
      <c r="B59" s="240"/>
      <c r="C59" s="240" t="s">
        <v>3175</v>
      </c>
      <c r="D59" s="197">
        <v>9</v>
      </c>
      <c r="F59" s="61"/>
      <c r="H59" s="117"/>
      <c r="I59" s="115"/>
      <c r="J59" s="64">
        <f>IF(H59=0,0,I59/H59)</f>
        <v>0</v>
      </c>
      <c r="L59" s="117">
        <f>810132760+100000000</f>
        <v>910132760</v>
      </c>
      <c r="M59" s="157">
        <f>L59*J$53</f>
        <v>871298980.88529146</v>
      </c>
      <c r="O59" s="4654">
        <f>810132760/10^9</f>
        <v>0.81013276000000001</v>
      </c>
      <c r="P59" s="4670">
        <v>0.94513276000000002</v>
      </c>
      <c r="Q59" s="57" t="s">
        <v>3171</v>
      </c>
      <c r="R59" s="64">
        <f t="shared" si="2"/>
        <v>1.166639354270774</v>
      </c>
      <c r="T59" s="595">
        <v>1.282921703</v>
      </c>
      <c r="U59" s="57" t="s">
        <v>3171</v>
      </c>
      <c r="V59" s="1352">
        <f t="shared" si="3"/>
        <v>1.282921703</v>
      </c>
      <c r="X59" s="4610">
        <v>1.282921703</v>
      </c>
      <c r="Y59" s="4609">
        <f t="shared" si="4"/>
        <v>1.282921703</v>
      </c>
      <c r="Z59" s="57"/>
      <c r="AA59" s="64">
        <f t="shared" si="5"/>
        <v>1</v>
      </c>
      <c r="AC59" s="4654">
        <v>1.2308503399999999</v>
      </c>
      <c r="AD59" s="2900"/>
      <c r="AE59" s="4624">
        <v>1.2308503399999999</v>
      </c>
      <c r="AG59" s="4624">
        <v>1.2308503399999999</v>
      </c>
      <c r="AH59" s="57"/>
      <c r="AI59" s="4624">
        <v>1.2308503399999999</v>
      </c>
      <c r="AK59" s="26"/>
      <c r="AL59" s="597">
        <v>1.4971509999999999</v>
      </c>
      <c r="AM59" t="s">
        <v>3176</v>
      </c>
      <c r="AN59" s="6941">
        <f>AL59</f>
        <v>1.4971509999999999</v>
      </c>
      <c r="AO59" s="1154">
        <v>1.2478769999999999</v>
      </c>
      <c r="AP59" t="s">
        <v>3176</v>
      </c>
      <c r="AQ59" s="6940">
        <f t="shared" si="6"/>
        <v>1.2478769999999999</v>
      </c>
      <c r="AS59" s="1154">
        <v>1.2478769999999999</v>
      </c>
      <c r="AT59" t="s">
        <v>3176</v>
      </c>
      <c r="AU59" s="6940">
        <f t="shared" si="8"/>
        <v>1.2478769999999999</v>
      </c>
      <c r="AV59" s="1154">
        <v>1.2478769999999999</v>
      </c>
      <c r="AW59" t="s">
        <v>3176</v>
      </c>
      <c r="AX59" s="6940">
        <f t="shared" si="7"/>
        <v>1.2478769999999999</v>
      </c>
      <c r="AZ59" s="26" t="s">
        <v>3176</v>
      </c>
    </row>
    <row r="60" spans="1:52" x14ac:dyDescent="0.35">
      <c r="A60" s="9168"/>
      <c r="B60" s="240"/>
      <c r="C60" s="639" t="s">
        <v>1116</v>
      </c>
      <c r="D60" s="197"/>
      <c r="F60" s="61"/>
      <c r="H60" s="117"/>
      <c r="I60" s="115"/>
      <c r="J60" s="64"/>
      <c r="L60" s="117"/>
      <c r="M60" s="157"/>
      <c r="O60" s="4654">
        <v>0</v>
      </c>
      <c r="P60" s="4670">
        <f>0.055</f>
        <v>5.5E-2</v>
      </c>
      <c r="Q60" s="57" t="s">
        <v>3177</v>
      </c>
      <c r="R60" s="64">
        <f t="shared" si="2"/>
        <v>0</v>
      </c>
      <c r="T60" s="595">
        <v>0</v>
      </c>
      <c r="U60" s="57" t="s">
        <v>3177</v>
      </c>
      <c r="V60" s="1352">
        <f t="shared" si="3"/>
        <v>0</v>
      </c>
      <c r="X60" s="4610">
        <v>0</v>
      </c>
      <c r="Y60" s="4609">
        <f t="shared" si="4"/>
        <v>0</v>
      </c>
      <c r="Z60" s="57"/>
      <c r="AA60" s="64">
        <f t="shared" si="5"/>
        <v>0</v>
      </c>
      <c r="AC60" s="4654">
        <v>0</v>
      </c>
      <c r="AD60" s="57"/>
      <c r="AE60" s="4624">
        <v>0</v>
      </c>
      <c r="AG60" s="4624">
        <v>0</v>
      </c>
      <c r="AI60" s="4624">
        <v>0</v>
      </c>
      <c r="AK60" s="26"/>
      <c r="AL60" s="597"/>
      <c r="AN60" s="6941"/>
      <c r="AO60" s="1154"/>
      <c r="AQ60" s="6941"/>
      <c r="AS60" s="597"/>
      <c r="AU60" s="6941"/>
      <c r="AV60" s="1154"/>
      <c r="AX60" s="6941"/>
      <c r="AZ60" s="26"/>
    </row>
    <row r="61" spans="1:52" x14ac:dyDescent="0.35">
      <c r="A61" s="9168"/>
      <c r="B61" s="240"/>
      <c r="C61" s="240" t="s">
        <v>3178</v>
      </c>
      <c r="D61" s="197">
        <v>10</v>
      </c>
      <c r="F61" s="61"/>
      <c r="H61" s="117"/>
      <c r="I61" s="115"/>
      <c r="J61" s="64">
        <f>IF(H61=0,0,I61/H61)</f>
        <v>0</v>
      </c>
      <c r="L61" s="117">
        <f>18150000</f>
        <v>18150000</v>
      </c>
      <c r="M61" s="157">
        <f>L61*J$53</f>
        <v>17375571.123346929</v>
      </c>
      <c r="O61" s="4654">
        <v>0</v>
      </c>
      <c r="P61" s="4670">
        <f t="shared" ref="P61" si="9">O61</f>
        <v>0</v>
      </c>
      <c r="Q61" s="57"/>
      <c r="R61" s="64">
        <f t="shared" si="2"/>
        <v>0</v>
      </c>
      <c r="T61" s="595"/>
      <c r="U61" s="57"/>
      <c r="V61" s="1352">
        <f t="shared" si="3"/>
        <v>0</v>
      </c>
      <c r="X61" s="4610"/>
      <c r="Y61" s="4609">
        <f t="shared" si="4"/>
        <v>0</v>
      </c>
      <c r="Z61" s="57"/>
      <c r="AA61" s="64">
        <f t="shared" si="5"/>
        <v>0</v>
      </c>
      <c r="AC61" s="4654">
        <v>0</v>
      </c>
      <c r="AD61" s="57"/>
      <c r="AE61" s="4624">
        <v>0</v>
      </c>
      <c r="AG61" s="4624">
        <v>0</v>
      </c>
      <c r="AI61" s="4624">
        <v>0</v>
      </c>
      <c r="AK61" s="26"/>
      <c r="AL61" s="597"/>
      <c r="AN61" s="6941"/>
      <c r="AO61" s="1154"/>
      <c r="AQ61" s="6941"/>
      <c r="AS61" s="597"/>
      <c r="AU61" s="6941"/>
      <c r="AV61" s="1154"/>
      <c r="AX61" s="6941"/>
      <c r="AZ61" s="26" t="s">
        <v>3179</v>
      </c>
    </row>
    <row r="62" spans="1:52" x14ac:dyDescent="0.35">
      <c r="A62" s="9168"/>
      <c r="B62" s="240"/>
      <c r="C62" s="639" t="s">
        <v>1116</v>
      </c>
      <c r="D62" s="197"/>
      <c r="F62" s="61"/>
      <c r="H62" s="117"/>
      <c r="I62" s="115"/>
      <c r="J62" s="64">
        <f>IF(H62=0,0,I62/H62)</f>
        <v>0</v>
      </c>
      <c r="L62" s="117"/>
      <c r="M62" s="157"/>
      <c r="O62" s="4654">
        <f>18150000/10^9</f>
        <v>1.8149999999999999E-2</v>
      </c>
      <c r="P62" s="4670">
        <v>1.8149999999999999E-2</v>
      </c>
      <c r="Q62" s="57" t="s">
        <v>3180</v>
      </c>
      <c r="R62" s="64">
        <f t="shared" si="2"/>
        <v>1</v>
      </c>
      <c r="T62" s="595">
        <v>4.5999999999999999E-2</v>
      </c>
      <c r="U62" s="57" t="s">
        <v>3180</v>
      </c>
      <c r="V62" s="1352">
        <f t="shared" si="3"/>
        <v>4.5999999999999999E-2</v>
      </c>
      <c r="X62" s="4610">
        <v>4.5999999999999999E-2</v>
      </c>
      <c r="Y62" s="4609">
        <f t="shared" si="4"/>
        <v>4.5999999999999999E-2</v>
      </c>
      <c r="Z62" s="57"/>
      <c r="AA62" s="64">
        <f t="shared" si="5"/>
        <v>1</v>
      </c>
      <c r="AC62" s="4654">
        <v>0</v>
      </c>
      <c r="AD62" s="57"/>
      <c r="AE62" s="4624">
        <v>0</v>
      </c>
      <c r="AG62" s="4624">
        <v>0</v>
      </c>
      <c r="AI62" s="4624">
        <v>0</v>
      </c>
      <c r="AK62" s="26"/>
      <c r="AL62" s="597"/>
      <c r="AN62" s="6941"/>
      <c r="AO62" s="1154"/>
      <c r="AQ62" s="6941"/>
      <c r="AS62" s="597"/>
      <c r="AU62" s="6941"/>
      <c r="AV62" s="1154"/>
      <c r="AX62" s="6941"/>
      <c r="AZ62" s="26"/>
    </row>
    <row r="63" spans="1:52" x14ac:dyDescent="0.35">
      <c r="A63" s="9168"/>
      <c r="B63" s="241"/>
      <c r="C63" s="241" t="s">
        <v>3181</v>
      </c>
      <c r="D63" s="197"/>
      <c r="F63" s="88"/>
      <c r="H63" s="131"/>
      <c r="I63" s="132"/>
      <c r="J63" s="133">
        <f>IF(H63=0,0,I63/H63)</f>
        <v>0</v>
      </c>
      <c r="L63" s="242"/>
      <c r="M63" s="157"/>
      <c r="O63" s="4654">
        <f>46684990/10^9</f>
        <v>4.6684990000000003E-2</v>
      </c>
      <c r="P63" s="4672">
        <f>43684990/10^9</f>
        <v>4.368499E-2</v>
      </c>
      <c r="Q63" s="106"/>
      <c r="R63" s="64">
        <f t="shared" si="2"/>
        <v>0.93573951713387959</v>
      </c>
      <c r="T63" s="1172"/>
      <c r="U63" s="645"/>
      <c r="V63" s="1352"/>
      <c r="X63" s="4654">
        <f>44401375/10^9</f>
        <v>4.4401375E-2</v>
      </c>
      <c r="Y63" s="4609">
        <f t="shared" si="4"/>
        <v>0</v>
      </c>
      <c r="Z63" s="106"/>
      <c r="AA63" s="64">
        <f t="shared" si="5"/>
        <v>0</v>
      </c>
      <c r="AC63" s="4656">
        <v>4.8953719E-2</v>
      </c>
      <c r="AD63" s="645"/>
      <c r="AE63" s="4624">
        <v>0</v>
      </c>
      <c r="AG63" s="4624">
        <v>0</v>
      </c>
      <c r="AH63" s="106"/>
      <c r="AI63" s="4624">
        <v>0</v>
      </c>
      <c r="AK63" s="26"/>
      <c r="AL63" s="597"/>
      <c r="AM63" s="106"/>
      <c r="AN63" s="6941"/>
      <c r="AO63" s="1154"/>
      <c r="AP63" s="106"/>
      <c r="AQ63" s="6941"/>
      <c r="AS63" s="597"/>
      <c r="AT63" s="106"/>
      <c r="AU63" s="6941"/>
      <c r="AV63" s="1154"/>
      <c r="AW63" s="106"/>
      <c r="AX63" s="6941"/>
      <c r="AZ63" s="26"/>
    </row>
    <row r="64" spans="1:52" x14ac:dyDescent="0.35">
      <c r="A64" s="9168"/>
      <c r="B64" s="240"/>
      <c r="C64" s="1654"/>
      <c r="D64" s="197"/>
      <c r="F64" s="4612"/>
      <c r="H64" s="198"/>
      <c r="I64" s="199"/>
      <c r="J64" s="64"/>
      <c r="L64" s="198"/>
      <c r="M64" s="157"/>
      <c r="O64" s="3013">
        <v>0</v>
      </c>
      <c r="P64" s="4673">
        <v>0</v>
      </c>
      <c r="Q64" s="106"/>
      <c r="R64" s="64">
        <f t="shared" si="2"/>
        <v>0</v>
      </c>
      <c r="T64" s="1163"/>
      <c r="U64" s="1200"/>
      <c r="V64" s="1352"/>
      <c r="X64" s="3013">
        <v>0</v>
      </c>
      <c r="Y64" s="4674">
        <f t="shared" si="4"/>
        <v>0</v>
      </c>
      <c r="Z64" s="106"/>
      <c r="AA64" s="64"/>
      <c r="AC64" s="4640">
        <v>0</v>
      </c>
      <c r="AD64" s="1200"/>
      <c r="AE64" s="4617">
        <v>0</v>
      </c>
      <c r="AG64" s="4617">
        <v>0</v>
      </c>
      <c r="AH64" s="216"/>
      <c r="AI64" s="4617">
        <v>0</v>
      </c>
      <c r="AK64" s="26"/>
      <c r="AL64" s="6942"/>
      <c r="AM64" s="216"/>
      <c r="AN64" s="6943"/>
      <c r="AO64" s="4616"/>
      <c r="AP64" s="216"/>
      <c r="AQ64" s="6943"/>
      <c r="AS64" s="6942"/>
      <c r="AT64" s="216"/>
      <c r="AU64" s="6943"/>
      <c r="AV64" s="4616"/>
      <c r="AW64" s="216"/>
      <c r="AX64" s="6943"/>
      <c r="AZ64" s="26"/>
    </row>
    <row r="65" spans="1:52" x14ac:dyDescent="0.35">
      <c r="A65" s="9168"/>
      <c r="B65" s="271" t="s">
        <v>540</v>
      </c>
      <c r="C65" s="271"/>
      <c r="D65" s="184">
        <v>11</v>
      </c>
      <c r="E65" s="141"/>
      <c r="F65" s="227"/>
      <c r="G65" s="141"/>
      <c r="H65" s="245"/>
      <c r="I65" s="106"/>
      <c r="J65" s="267"/>
      <c r="K65" s="141"/>
      <c r="L65" s="102"/>
      <c r="M65" s="268"/>
      <c r="N65" s="141"/>
      <c r="O65" s="102"/>
      <c r="P65" s="103"/>
      <c r="Q65" s="103"/>
      <c r="R65" s="252"/>
      <c r="S65" s="141"/>
      <c r="T65" s="102"/>
      <c r="U65" s="103"/>
      <c r="V65" s="268"/>
      <c r="W65" s="141"/>
      <c r="X65" s="102"/>
      <c r="Y65" s="103"/>
      <c r="Z65" s="103"/>
      <c r="AA65" s="252"/>
      <c r="AB65" s="141"/>
      <c r="AC65" s="102"/>
      <c r="AD65" s="103"/>
      <c r="AE65" s="268"/>
      <c r="AF65" s="141"/>
      <c r="AG65" s="102"/>
      <c r="AH65" s="231"/>
      <c r="AI65" s="3377"/>
      <c r="AJ65" s="141"/>
      <c r="AK65" s="18"/>
      <c r="AL65" s="102"/>
      <c r="AM65" s="231"/>
      <c r="AN65" s="3377"/>
      <c r="AO65" s="102"/>
      <c r="AP65" s="231"/>
      <c r="AQ65" s="3377"/>
      <c r="AS65" s="102"/>
      <c r="AT65" s="231"/>
      <c r="AU65" s="3377"/>
      <c r="AV65" s="102"/>
      <c r="AW65" s="231"/>
      <c r="AX65" s="3377"/>
      <c r="AZ65" s="18" t="s">
        <v>3159</v>
      </c>
    </row>
    <row r="66" spans="1:52" x14ac:dyDescent="0.35">
      <c r="A66" s="9168"/>
      <c r="B66" s="240"/>
      <c r="C66" s="240" t="s">
        <v>3182</v>
      </c>
      <c r="D66" s="197"/>
      <c r="F66" s="4608"/>
      <c r="H66" s="112"/>
      <c r="I66" s="1351">
        <f>L66*I39/L39</f>
        <v>106382156227.3354</v>
      </c>
      <c r="J66" s="64">
        <f t="shared" ref="J66:J73" si="10">IF(H66=0,0,I66/H66)</f>
        <v>0</v>
      </c>
      <c r="L66" s="112">
        <v>106378930872</v>
      </c>
      <c r="M66" s="157">
        <f>L66*J$53</f>
        <v>101839927239.23097</v>
      </c>
      <c r="O66" s="4650">
        <v>164.63</v>
      </c>
      <c r="P66" s="4675">
        <v>167.227</v>
      </c>
      <c r="Q66" s="106" t="s">
        <v>3183</v>
      </c>
      <c r="R66" s="64">
        <f t="shared" ref="R66:R73" si="11">IF(O66=0,0,P66/O66)</f>
        <v>1.0157747676608153</v>
      </c>
      <c r="T66" s="4676">
        <v>179.80862999999999</v>
      </c>
      <c r="U66" s="57" t="s">
        <v>3184</v>
      </c>
      <c r="V66" s="623">
        <f>T66*R66</f>
        <v>182.64506936165949</v>
      </c>
      <c r="X66" s="4650">
        <v>178.93977000699999</v>
      </c>
      <c r="Y66" s="4675">
        <f>V66</f>
        <v>182.64506936165949</v>
      </c>
      <c r="Z66" s="106"/>
      <c r="AA66" s="64">
        <f t="shared" ref="AA66:AA73" si="12">IF(X66=0,0,Y66/X66)</f>
        <v>1.0207069638823978</v>
      </c>
      <c r="AC66" s="4656">
        <v>192.67784896500001</v>
      </c>
      <c r="AD66" s="57"/>
      <c r="AE66" s="4652">
        <v>196.66762222445635</v>
      </c>
      <c r="AG66" s="2755">
        <f>3.793+0.212+200.21</f>
        <v>204.215</v>
      </c>
      <c r="AH66" s="254" t="s">
        <v>3185</v>
      </c>
      <c r="AI66" s="2755">
        <f>3.793+0.212+200.21</f>
        <v>204.215</v>
      </c>
      <c r="AK66" s="26" t="s">
        <v>3186</v>
      </c>
      <c r="AL66" s="2755">
        <f>3.793+0.212+200.21</f>
        <v>204.215</v>
      </c>
      <c r="AM66" s="3307" t="s">
        <v>3185</v>
      </c>
      <c r="AN66" s="5010">
        <f>3.793+0.212+200.21</f>
        <v>204.215</v>
      </c>
      <c r="AO66" s="2755">
        <f>2.21+0.198+225.15+3.9+0.18</f>
        <v>231.63800000000001</v>
      </c>
      <c r="AP66" s="254" t="s">
        <v>3185</v>
      </c>
      <c r="AQ66" s="5010">
        <f>AO66</f>
        <v>231.63800000000001</v>
      </c>
      <c r="AS66" s="2755">
        <f>2.21+0.198+225.15+3.9+0.18</f>
        <v>231.63800000000001</v>
      </c>
      <c r="AT66" s="3307" t="s">
        <v>3185</v>
      </c>
      <c r="AU66" s="5010">
        <f>AS66</f>
        <v>231.63800000000001</v>
      </c>
      <c r="AV66" s="2755">
        <f>259.9+3.9+0.2</f>
        <v>263.99999999999994</v>
      </c>
      <c r="AW66" s="254" t="s">
        <v>3187</v>
      </c>
      <c r="AX66" s="5010">
        <f>AV66</f>
        <v>263.99999999999994</v>
      </c>
      <c r="AZ66" s="26"/>
    </row>
    <row r="67" spans="1:52" x14ac:dyDescent="0.35">
      <c r="A67" s="9168"/>
      <c r="B67" s="240"/>
      <c r="C67" s="240" t="s">
        <v>3188</v>
      </c>
      <c r="D67" s="197"/>
      <c r="F67" s="61"/>
      <c r="H67" s="117"/>
      <c r="I67" s="115"/>
      <c r="J67" s="64">
        <f t="shared" si="10"/>
        <v>0</v>
      </c>
      <c r="L67" s="117"/>
      <c r="M67" s="157"/>
      <c r="O67" s="4654">
        <v>3.4603861519999999</v>
      </c>
      <c r="P67" s="4677">
        <v>3.4401943720000001</v>
      </c>
      <c r="Q67" s="106"/>
      <c r="R67" s="64">
        <f t="shared" si="11"/>
        <v>0.99416487666027398</v>
      </c>
      <c r="T67" s="4654">
        <v>3.315530909</v>
      </c>
      <c r="U67" s="106"/>
      <c r="V67" s="623">
        <f t="shared" ref="V67:V68" si="13">T67*R67</f>
        <v>3.2961843772093111</v>
      </c>
      <c r="X67" s="4654">
        <v>3.4117578900000001</v>
      </c>
      <c r="Y67" s="4675">
        <f t="shared" ref="Y67:Y68" si="14">V67</f>
        <v>3.2961843772093111</v>
      </c>
      <c r="Z67" s="106"/>
      <c r="AA67" s="64">
        <f t="shared" si="12"/>
        <v>0.96612493719749593</v>
      </c>
      <c r="AC67" s="4656">
        <v>3.4117578900000001</v>
      </c>
      <c r="AD67" s="106"/>
      <c r="AE67" s="4652">
        <v>3.2961843772093111</v>
      </c>
      <c r="AG67" s="2747">
        <v>0.25700000000000001</v>
      </c>
      <c r="AH67" s="254" t="s">
        <v>3185</v>
      </c>
      <c r="AI67" s="2747">
        <v>0.25700000000000001</v>
      </c>
      <c r="AK67" s="26"/>
      <c r="AL67" s="2747">
        <v>0.25700000000000001</v>
      </c>
      <c r="AM67" s="3307" t="s">
        <v>3185</v>
      </c>
      <c r="AN67" s="5018">
        <v>0.25700000000000001</v>
      </c>
      <c r="AO67" s="2747"/>
      <c r="AP67" s="254" t="s">
        <v>3185</v>
      </c>
      <c r="AQ67" s="5010"/>
      <c r="AS67" s="2747"/>
      <c r="AT67" s="3307" t="s">
        <v>3185</v>
      </c>
      <c r="AU67" s="5018"/>
      <c r="AV67" s="2747"/>
      <c r="AW67" s="254" t="s">
        <v>3187</v>
      </c>
      <c r="AX67" s="5010"/>
      <c r="AZ67" s="26"/>
    </row>
    <row r="68" spans="1:52" x14ac:dyDescent="0.35">
      <c r="A68" s="9168"/>
      <c r="B68" s="240"/>
      <c r="C68" s="240" t="s">
        <v>3189</v>
      </c>
      <c r="D68" s="197"/>
      <c r="F68" s="77"/>
      <c r="H68" s="242"/>
      <c r="I68" s="243"/>
      <c r="J68" s="64">
        <f t="shared" si="10"/>
        <v>0</v>
      </c>
      <c r="L68" s="242"/>
      <c r="M68" s="157"/>
      <c r="O68" s="4656">
        <v>0.26766515099999999</v>
      </c>
      <c r="P68" s="4675">
        <v>0.98676515099999995</v>
      </c>
      <c r="Q68" s="106"/>
      <c r="R68" s="64">
        <f t="shared" si="11"/>
        <v>3.6865656485853102</v>
      </c>
      <c r="T68" s="4656">
        <v>0.394997655</v>
      </c>
      <c r="U68" s="106"/>
      <c r="V68" s="623">
        <f t="shared" si="13"/>
        <v>1.4561847861947517</v>
      </c>
      <c r="X68" s="4656">
        <v>0.41584758500000002</v>
      </c>
      <c r="Y68" s="4675">
        <f t="shared" si="14"/>
        <v>1.4561847861947517</v>
      </c>
      <c r="Z68" s="106"/>
      <c r="AA68" s="64">
        <f t="shared" si="12"/>
        <v>3.5017271681276005</v>
      </c>
      <c r="AC68" s="242"/>
      <c r="AD68" s="106"/>
      <c r="AE68" s="1034"/>
      <c r="AG68" s="242"/>
      <c r="AH68" s="106"/>
      <c r="AI68" s="3021"/>
      <c r="AK68" s="26"/>
      <c r="AL68" s="242"/>
      <c r="AM68" s="106"/>
      <c r="AN68" s="5018"/>
      <c r="AO68" s="242"/>
      <c r="AP68" s="106"/>
      <c r="AQ68" s="5010"/>
      <c r="AS68" s="242"/>
      <c r="AT68" s="106"/>
      <c r="AU68" s="5018"/>
      <c r="AV68" s="242"/>
      <c r="AW68" s="106"/>
      <c r="AX68" s="5010"/>
      <c r="AZ68" s="26"/>
    </row>
    <row r="69" spans="1:52" x14ac:dyDescent="0.35">
      <c r="A69" s="9168"/>
      <c r="B69" s="240"/>
      <c r="C69" s="240" t="s">
        <v>536</v>
      </c>
      <c r="D69" s="197"/>
      <c r="F69" s="77"/>
      <c r="H69" s="242"/>
      <c r="I69" s="243"/>
      <c r="J69" s="64">
        <f t="shared" si="10"/>
        <v>0</v>
      </c>
      <c r="L69" s="242"/>
      <c r="M69" s="157"/>
      <c r="O69" s="242"/>
      <c r="P69" s="201"/>
      <c r="Q69" s="106"/>
      <c r="R69" s="64">
        <f t="shared" si="11"/>
        <v>0</v>
      </c>
      <c r="T69" s="242"/>
      <c r="U69" s="106"/>
      <c r="V69" s="273"/>
      <c r="X69" s="242"/>
      <c r="Y69" s="201"/>
      <c r="Z69" s="106"/>
      <c r="AA69" s="64">
        <f t="shared" si="12"/>
        <v>0</v>
      </c>
      <c r="AC69" s="242"/>
      <c r="AD69" s="106"/>
      <c r="AE69" s="273"/>
      <c r="AG69" s="242"/>
      <c r="AH69" s="106"/>
      <c r="AI69" s="3021"/>
      <c r="AK69" s="26"/>
      <c r="AL69" s="242"/>
      <c r="AM69" s="106"/>
      <c r="AN69" s="5018"/>
      <c r="AO69" s="242"/>
      <c r="AP69" s="106"/>
      <c r="AQ69" s="5010"/>
      <c r="AS69" s="242"/>
      <c r="AT69" s="106"/>
      <c r="AU69" s="5018"/>
      <c r="AV69" s="242"/>
      <c r="AW69" s="106"/>
      <c r="AX69" s="5010"/>
      <c r="AZ69" s="26"/>
    </row>
    <row r="70" spans="1:52" x14ac:dyDescent="0.35">
      <c r="A70" s="9168"/>
      <c r="B70" s="240"/>
      <c r="C70" s="240" t="s">
        <v>537</v>
      </c>
      <c r="D70" s="197"/>
      <c r="F70" s="77"/>
      <c r="H70" s="242"/>
      <c r="I70" s="243"/>
      <c r="J70" s="64">
        <f t="shared" si="10"/>
        <v>0</v>
      </c>
      <c r="L70" s="242"/>
      <c r="M70" s="157"/>
      <c r="O70" s="242"/>
      <c r="P70" s="233"/>
      <c r="Q70" s="106"/>
      <c r="R70" s="64">
        <f t="shared" si="11"/>
        <v>0</v>
      </c>
      <c r="T70" s="242"/>
      <c r="U70" s="106"/>
      <c r="V70" s="1034"/>
      <c r="X70" s="242"/>
      <c r="Y70" s="233"/>
      <c r="Z70" s="106"/>
      <c r="AA70" s="64">
        <f t="shared" si="12"/>
        <v>0</v>
      </c>
      <c r="AC70" s="242"/>
      <c r="AD70" s="106"/>
      <c r="AE70" s="1034"/>
      <c r="AG70" s="242"/>
      <c r="AH70" s="106"/>
      <c r="AI70" s="66"/>
      <c r="AK70" s="26"/>
      <c r="AL70" s="242"/>
      <c r="AM70" s="106"/>
      <c r="AN70" s="5018"/>
      <c r="AO70" s="242"/>
      <c r="AP70" s="106"/>
      <c r="AQ70" s="5010"/>
      <c r="AS70" s="242"/>
      <c r="AT70" s="106"/>
      <c r="AU70" s="5018"/>
      <c r="AV70" s="242"/>
      <c r="AW70" s="106"/>
      <c r="AX70" s="5010"/>
      <c r="AZ70" s="26"/>
    </row>
    <row r="71" spans="1:52" x14ac:dyDescent="0.35">
      <c r="A71" s="9168"/>
      <c r="B71" s="240"/>
      <c r="C71" s="240" t="s">
        <v>538</v>
      </c>
      <c r="D71" s="197"/>
      <c r="F71" s="77"/>
      <c r="H71" s="242"/>
      <c r="I71" s="243"/>
      <c r="J71" s="64">
        <f t="shared" si="10"/>
        <v>0</v>
      </c>
      <c r="L71" s="242"/>
      <c r="M71" s="157"/>
      <c r="O71" s="242"/>
      <c r="P71" s="201"/>
      <c r="Q71" s="106"/>
      <c r="R71" s="64">
        <f t="shared" si="11"/>
        <v>0</v>
      </c>
      <c r="T71" s="242"/>
      <c r="U71" s="106"/>
      <c r="V71" s="273"/>
      <c r="X71" s="242"/>
      <c r="Y71" s="201"/>
      <c r="Z71" s="106"/>
      <c r="AA71" s="64">
        <f t="shared" si="12"/>
        <v>0</v>
      </c>
      <c r="AC71" s="242"/>
      <c r="AD71" s="106"/>
      <c r="AE71" s="273"/>
      <c r="AG71" s="242"/>
      <c r="AH71" s="106"/>
      <c r="AI71" s="1780"/>
      <c r="AK71" s="26"/>
      <c r="AL71" s="242"/>
      <c r="AM71" s="106"/>
      <c r="AN71" s="5018"/>
      <c r="AO71" s="242"/>
      <c r="AP71" s="106"/>
      <c r="AQ71" s="5010"/>
      <c r="AS71" s="242"/>
      <c r="AT71" s="106"/>
      <c r="AU71" s="5018"/>
      <c r="AV71" s="242"/>
      <c r="AW71" s="106"/>
      <c r="AX71" s="5010"/>
      <c r="AZ71" s="26"/>
    </row>
    <row r="72" spans="1:52" x14ac:dyDescent="0.35">
      <c r="A72" s="9168"/>
      <c r="B72" s="240"/>
      <c r="C72" s="240" t="s">
        <v>539</v>
      </c>
      <c r="D72" s="197"/>
      <c r="F72" s="77"/>
      <c r="H72" s="242"/>
      <c r="I72" s="243"/>
      <c r="J72" s="64">
        <f t="shared" si="10"/>
        <v>0</v>
      </c>
      <c r="L72" s="242"/>
      <c r="M72" s="157"/>
      <c r="O72" s="242"/>
      <c r="P72" s="201"/>
      <c r="Q72" s="106"/>
      <c r="R72" s="64">
        <f t="shared" si="11"/>
        <v>0</v>
      </c>
      <c r="T72" s="242"/>
      <c r="U72" s="106"/>
      <c r="V72" s="273"/>
      <c r="X72" s="242"/>
      <c r="Y72" s="201"/>
      <c r="Z72" s="106"/>
      <c r="AA72" s="64">
        <f t="shared" si="12"/>
        <v>0</v>
      </c>
      <c r="AC72" s="242"/>
      <c r="AD72" s="106"/>
      <c r="AE72" s="273"/>
      <c r="AG72" s="242"/>
      <c r="AH72" s="106"/>
      <c r="AI72" s="66"/>
      <c r="AK72" s="26"/>
      <c r="AL72" s="242"/>
      <c r="AM72" s="106"/>
      <c r="AN72" s="5018"/>
      <c r="AO72" s="242"/>
      <c r="AP72" s="106"/>
      <c r="AQ72" s="5010"/>
      <c r="AS72" s="242"/>
      <c r="AT72" s="106"/>
      <c r="AU72" s="5018"/>
      <c r="AV72" s="242"/>
      <c r="AW72" s="106"/>
      <c r="AX72" s="5010"/>
      <c r="AZ72" s="26"/>
    </row>
    <row r="73" spans="1:52" x14ac:dyDescent="0.35">
      <c r="A73" s="9168"/>
      <c r="B73" s="250"/>
      <c r="C73" s="250" t="s">
        <v>704</v>
      </c>
      <c r="D73" s="209"/>
      <c r="F73" s="88"/>
      <c r="H73" s="242"/>
      <c r="I73" s="243"/>
      <c r="J73" s="64">
        <f t="shared" si="10"/>
        <v>0</v>
      </c>
      <c r="L73" s="242"/>
      <c r="M73" s="157"/>
      <c r="O73" s="242"/>
      <c r="P73" s="201"/>
      <c r="Q73" s="216"/>
      <c r="R73" s="64">
        <f t="shared" si="11"/>
        <v>0</v>
      </c>
      <c r="T73" s="242"/>
      <c r="U73" s="216"/>
      <c r="V73" s="273"/>
      <c r="X73" s="242"/>
      <c r="Y73" s="201"/>
      <c r="Z73" s="216"/>
      <c r="AA73" s="64">
        <f t="shared" si="12"/>
        <v>0</v>
      </c>
      <c r="AC73" s="242"/>
      <c r="AD73" s="216"/>
      <c r="AE73" s="273"/>
      <c r="AG73" s="242"/>
      <c r="AH73" s="216"/>
      <c r="AI73" s="92"/>
      <c r="AK73" s="24"/>
      <c r="AL73" s="242"/>
      <c r="AM73" s="216"/>
      <c r="AN73" s="5018"/>
      <c r="AO73" s="242"/>
      <c r="AP73" s="216"/>
      <c r="AQ73" s="5010"/>
      <c r="AS73" s="242"/>
      <c r="AT73" s="216"/>
      <c r="AU73" s="5018"/>
      <c r="AV73" s="242"/>
      <c r="AW73" s="216"/>
      <c r="AX73" s="5010"/>
      <c r="AZ73" s="24"/>
    </row>
    <row r="74" spans="1:52" x14ac:dyDescent="0.35">
      <c r="A74" s="9168"/>
      <c r="B74" s="271" t="s">
        <v>552</v>
      </c>
      <c r="C74" s="271"/>
      <c r="D74" s="184"/>
      <c r="E74" s="143"/>
      <c r="F74" s="227"/>
      <c r="G74" s="143"/>
      <c r="H74" s="102"/>
      <c r="I74" s="103"/>
      <c r="J74" s="228"/>
      <c r="K74" s="143"/>
      <c r="L74" s="102"/>
      <c r="M74" s="268"/>
      <c r="N74" s="143"/>
      <c r="O74" s="3274"/>
      <c r="P74" s="3275"/>
      <c r="Q74" s="3276"/>
      <c r="R74" s="3277"/>
      <c r="S74" s="3278"/>
      <c r="T74" s="3279"/>
      <c r="U74" s="3280"/>
      <c r="V74" s="4678"/>
      <c r="W74" s="143"/>
      <c r="X74" s="3274"/>
      <c r="Y74" s="3275"/>
      <c r="Z74" s="3276"/>
      <c r="AA74" s="3277"/>
      <c r="AB74" s="3278"/>
      <c r="AC74" s="3279"/>
      <c r="AD74" s="3280"/>
      <c r="AE74" s="4678"/>
      <c r="AF74" s="143"/>
      <c r="AG74" s="102"/>
      <c r="AH74" s="106"/>
      <c r="AI74" s="105"/>
      <c r="AJ74" s="143"/>
      <c r="AK74" s="18"/>
      <c r="AL74" s="102"/>
      <c r="AM74" s="106"/>
      <c r="AN74" s="105"/>
      <c r="AO74" s="102"/>
      <c r="AP74" s="106"/>
      <c r="AQ74" s="105"/>
      <c r="AS74" s="102"/>
      <c r="AT74" s="106"/>
      <c r="AU74" s="105"/>
      <c r="AV74" s="102"/>
      <c r="AW74" s="106"/>
      <c r="AX74" s="105"/>
      <c r="AZ74" s="18"/>
    </row>
    <row r="75" spans="1:52" x14ac:dyDescent="0.35">
      <c r="A75" s="9168"/>
      <c r="B75" s="272"/>
      <c r="C75" s="272" t="s">
        <v>980</v>
      </c>
      <c r="D75" s="197"/>
      <c r="F75" s="61"/>
      <c r="H75" s="117"/>
      <c r="I75" s="115"/>
      <c r="J75" s="64">
        <f>IF(H75=0,0,I75/H75)</f>
        <v>0</v>
      </c>
      <c r="L75" s="117"/>
      <c r="M75" s="157">
        <f>M30*M78</f>
        <v>0</v>
      </c>
      <c r="O75" s="242"/>
      <c r="P75" s="201"/>
      <c r="Q75" s="106"/>
      <c r="R75" s="64"/>
      <c r="T75" s="164"/>
      <c r="U75" s="57"/>
      <c r="V75" s="273"/>
      <c r="X75" s="242"/>
      <c r="Y75" s="201"/>
      <c r="Z75" s="106"/>
      <c r="AA75" s="64"/>
      <c r="AC75" s="164"/>
      <c r="AD75" s="57"/>
      <c r="AE75" s="273"/>
      <c r="AG75" s="117"/>
      <c r="AH75" s="106"/>
      <c r="AI75" s="66"/>
      <c r="AK75" s="26"/>
      <c r="AL75" s="117"/>
      <c r="AM75" s="106"/>
      <c r="AN75" s="5018"/>
      <c r="AO75" s="117"/>
      <c r="AP75" s="106"/>
      <c r="AQ75" s="5018"/>
      <c r="AS75" s="117"/>
      <c r="AT75" s="106"/>
      <c r="AU75" s="5018"/>
      <c r="AV75" s="117"/>
      <c r="AW75" s="106"/>
      <c r="AX75" s="5018"/>
      <c r="AZ75" s="26"/>
    </row>
    <row r="76" spans="1:52" x14ac:dyDescent="0.35">
      <c r="A76" s="9168"/>
      <c r="B76" s="274"/>
      <c r="C76" s="274"/>
      <c r="D76" s="197"/>
      <c r="F76" s="77"/>
      <c r="H76" s="242"/>
      <c r="I76" s="243"/>
      <c r="J76" s="64"/>
      <c r="L76" s="242"/>
      <c r="M76" s="157"/>
      <c r="O76" s="242"/>
      <c r="P76" s="201"/>
      <c r="Q76" s="106"/>
      <c r="R76" s="64"/>
      <c r="T76" s="164"/>
      <c r="U76" s="57"/>
      <c r="V76" s="273"/>
      <c r="X76" s="242"/>
      <c r="Y76" s="201"/>
      <c r="Z76" s="106"/>
      <c r="AA76" s="64"/>
      <c r="AC76" s="164"/>
      <c r="AD76" s="57"/>
      <c r="AE76" s="273"/>
      <c r="AG76" s="117"/>
      <c r="AH76" s="106"/>
      <c r="AI76" s="66"/>
      <c r="AK76" s="26"/>
      <c r="AL76" s="117"/>
      <c r="AM76" s="106"/>
      <c r="AN76" s="5018"/>
      <c r="AO76" s="117"/>
      <c r="AP76" s="106"/>
      <c r="AQ76" s="5018"/>
      <c r="AS76" s="117"/>
      <c r="AT76" s="106"/>
      <c r="AU76" s="5018"/>
      <c r="AV76" s="117"/>
      <c r="AW76" s="106"/>
      <c r="AX76" s="5018"/>
      <c r="AZ76" s="26"/>
    </row>
    <row r="77" spans="1:52" x14ac:dyDescent="0.35">
      <c r="A77" s="9168"/>
      <c r="B77" s="274"/>
      <c r="C77" s="274"/>
      <c r="D77" s="197"/>
      <c r="F77" s="77"/>
      <c r="H77" s="242"/>
      <c r="I77" s="243"/>
      <c r="J77" s="64"/>
      <c r="L77" s="242"/>
      <c r="M77" s="157"/>
      <c r="O77" s="242"/>
      <c r="P77" s="201"/>
      <c r="Q77" s="106"/>
      <c r="R77" s="64"/>
      <c r="T77" s="164"/>
      <c r="U77" s="57"/>
      <c r="V77" s="273"/>
      <c r="X77" s="242"/>
      <c r="Y77" s="201"/>
      <c r="Z77" s="106"/>
      <c r="AA77" s="64"/>
      <c r="AC77" s="164"/>
      <c r="AD77" s="57"/>
      <c r="AE77" s="273"/>
      <c r="AG77" s="117"/>
      <c r="AH77" s="106"/>
      <c r="AI77" s="66"/>
      <c r="AK77" s="26"/>
      <c r="AL77" s="117"/>
      <c r="AM77" s="106"/>
      <c r="AN77" s="5018"/>
      <c r="AO77" s="117"/>
      <c r="AP77" s="106"/>
      <c r="AQ77" s="5018"/>
      <c r="AS77" s="117"/>
      <c r="AT77" s="106"/>
      <c r="AU77" s="5018"/>
      <c r="AV77" s="117"/>
      <c r="AW77" s="106"/>
      <c r="AX77" s="5018"/>
      <c r="AZ77" s="26" t="s">
        <v>3190</v>
      </c>
    </row>
    <row r="78" spans="1:52" x14ac:dyDescent="0.35">
      <c r="A78" s="9168"/>
      <c r="B78" s="277"/>
      <c r="C78" s="277" t="s">
        <v>555</v>
      </c>
      <c r="D78" s="209"/>
      <c r="F78" s="4679"/>
      <c r="G78" s="666"/>
      <c r="H78" s="283"/>
      <c r="I78" s="667"/>
      <c r="J78" s="133"/>
      <c r="L78" s="283"/>
      <c r="M78" s="668"/>
      <c r="O78" s="283"/>
      <c r="P78" s="201"/>
      <c r="Q78" s="284"/>
      <c r="R78" s="133"/>
      <c r="T78" s="4680"/>
      <c r="U78" s="4094"/>
      <c r="V78" s="276"/>
      <c r="X78" s="283"/>
      <c r="Y78" s="201"/>
      <c r="Z78" s="284"/>
      <c r="AA78" s="133"/>
      <c r="AC78" s="4680"/>
      <c r="AD78" s="4094"/>
      <c r="AE78" s="276"/>
      <c r="AG78" s="283"/>
      <c r="AH78" s="3329"/>
      <c r="AI78" s="3395"/>
      <c r="AK78" s="24"/>
      <c r="AL78" s="283"/>
      <c r="AM78" s="3329"/>
      <c r="AN78" s="5018"/>
      <c r="AO78" s="283"/>
      <c r="AP78" s="3329"/>
      <c r="AQ78" s="5018"/>
      <c r="AS78" s="283"/>
      <c r="AT78" s="3329"/>
      <c r="AU78" s="5018"/>
      <c r="AV78" s="283"/>
      <c r="AW78" s="3329"/>
      <c r="AX78" s="5018"/>
      <c r="AZ78" s="24"/>
    </row>
    <row r="79" spans="1:52" ht="15.25" customHeight="1" x14ac:dyDescent="0.35">
      <c r="A79" s="9168"/>
      <c r="B79" s="287" t="s">
        <v>556</v>
      </c>
      <c r="C79" s="288"/>
      <c r="D79" s="184"/>
      <c r="E79" s="143"/>
      <c r="F79" s="289"/>
      <c r="G79" s="290"/>
      <c r="H79" s="291"/>
      <c r="I79" s="292"/>
      <c r="J79" s="293"/>
      <c r="L79" s="291"/>
      <c r="M79" s="268"/>
      <c r="N79" s="143"/>
      <c r="O79" s="291"/>
      <c r="P79" s="292"/>
      <c r="Q79" s="106"/>
      <c r="R79" s="293"/>
      <c r="T79" s="1990"/>
      <c r="U79" s="103"/>
      <c r="V79" s="105"/>
      <c r="W79" s="143"/>
      <c r="X79" s="291"/>
      <c r="Y79" s="292"/>
      <c r="Z79" s="106"/>
      <c r="AA79" s="293"/>
      <c r="AC79" s="1990"/>
      <c r="AD79" s="103"/>
      <c r="AE79" s="4681"/>
      <c r="AG79" s="291"/>
      <c r="AH79" s="106"/>
      <c r="AI79" s="294"/>
      <c r="AJ79" s="143"/>
      <c r="AK79" s="18"/>
      <c r="AL79" s="1388"/>
      <c r="AM79" s="106"/>
      <c r="AN79" s="5068"/>
      <c r="AO79" s="1388"/>
      <c r="AP79" s="106"/>
      <c r="AQ79" s="5068"/>
      <c r="AS79" s="1388"/>
      <c r="AT79" s="106"/>
      <c r="AU79" s="5068"/>
      <c r="AV79" s="1388"/>
      <c r="AW79" s="106"/>
      <c r="AX79" s="5068"/>
      <c r="AZ79" s="18"/>
    </row>
    <row r="80" spans="1:52" x14ac:dyDescent="0.35">
      <c r="A80" s="9168"/>
      <c r="B80" s="302"/>
      <c r="C80" s="59" t="s">
        <v>3182</v>
      </c>
      <c r="D80" s="197"/>
      <c r="F80" s="521"/>
      <c r="G80" s="272"/>
      <c r="H80" s="304"/>
      <c r="I80" s="522"/>
      <c r="J80" s="297">
        <f>IF(H80=0,0,I80/H80)</f>
        <v>0</v>
      </c>
      <c r="L80" s="62">
        <f>120000000</f>
        <v>120000000</v>
      </c>
      <c r="M80" s="157">
        <f>L80*J$53</f>
        <v>114879809.07997969</v>
      </c>
      <c r="O80" s="298">
        <f>L80/1000000000</f>
        <v>0.12</v>
      </c>
      <c r="P80" s="3287"/>
      <c r="Q80" s="332"/>
      <c r="R80" s="297">
        <f>IF(O80=0,0,P80/O80)</f>
        <v>0</v>
      </c>
      <c r="T80" s="62">
        <f>T41</f>
        <v>0.22</v>
      </c>
      <c r="U80" s="57"/>
      <c r="V80" s="237"/>
      <c r="X80" s="71">
        <f t="shared" ref="X80:Y80" si="15">X41</f>
        <v>0.22</v>
      </c>
      <c r="Y80" s="63">
        <f t="shared" si="15"/>
        <v>0</v>
      </c>
      <c r="Z80" s="332"/>
      <c r="AA80" s="297">
        <f>IF(X80=0,0,Y80/X80)</f>
        <v>0</v>
      </c>
      <c r="AC80" s="4590">
        <f>AC41</f>
        <v>0.22</v>
      </c>
      <c r="AD80" s="57"/>
      <c r="AE80" s="4682"/>
      <c r="AG80" s="62"/>
      <c r="AH80" s="57"/>
      <c r="AI80" s="301"/>
      <c r="AK80" s="26"/>
      <c r="AL80" s="62"/>
      <c r="AM80" s="57"/>
      <c r="AN80" s="301"/>
      <c r="AO80" s="62"/>
      <c r="AP80" s="57"/>
      <c r="AQ80" s="301"/>
      <c r="AS80" s="62"/>
      <c r="AT80" s="57"/>
      <c r="AU80" s="301"/>
      <c r="AV80" s="62"/>
      <c r="AW80" s="57"/>
      <c r="AX80" s="301"/>
      <c r="AZ80" s="26"/>
    </row>
    <row r="81" spans="1:52" x14ac:dyDescent="0.35">
      <c r="A81" s="9168"/>
      <c r="B81" s="302"/>
      <c r="C81" s="59" t="s">
        <v>3191</v>
      </c>
      <c r="D81" s="197"/>
      <c r="F81" s="61"/>
      <c r="G81" s="272"/>
      <c r="H81" s="62"/>
      <c r="I81" s="63"/>
      <c r="J81" s="297">
        <f>IF(H81=0,0,I81/H81)</f>
        <v>0</v>
      </c>
      <c r="L81" s="62">
        <f>4133600000+1883000000</f>
        <v>6016600000</v>
      </c>
      <c r="M81" s="157">
        <f>L81*J$53</f>
        <v>5759882160.9217148</v>
      </c>
      <c r="O81" s="298">
        <f t="shared" ref="O81:O82" si="16">L81/1000000000</f>
        <v>6.0166000000000004</v>
      </c>
      <c r="P81" s="3287"/>
      <c r="Q81" s="106"/>
      <c r="R81" s="297">
        <f>IF(O81=0,0,P81/O81)</f>
        <v>0</v>
      </c>
      <c r="T81" s="298">
        <f>T44</f>
        <v>2.1086</v>
      </c>
      <c r="U81" s="57"/>
      <c r="V81" s="237"/>
      <c r="X81" s="68">
        <f t="shared" ref="X81:Y81" si="17">X44</f>
        <v>2.1086</v>
      </c>
      <c r="Y81" s="1988">
        <f t="shared" si="17"/>
        <v>0</v>
      </c>
      <c r="Z81" s="106"/>
      <c r="AA81" s="297">
        <f>IF(X81=0,0,Y81/X81)</f>
        <v>0</v>
      </c>
      <c r="AC81" s="4590">
        <f>AC44</f>
        <v>18.115200000000002</v>
      </c>
      <c r="AD81" s="57"/>
      <c r="AE81" s="4682"/>
      <c r="AG81" s="304"/>
      <c r="AH81" s="57"/>
      <c r="AI81" s="301"/>
      <c r="AK81" s="26"/>
      <c r="AL81" s="304"/>
      <c r="AM81" s="57"/>
      <c r="AN81" s="301"/>
      <c r="AO81" s="304"/>
      <c r="AP81" s="57"/>
      <c r="AQ81" s="301"/>
      <c r="AS81" s="304"/>
      <c r="AT81" s="57"/>
      <c r="AU81" s="301"/>
      <c r="AV81" s="304"/>
      <c r="AW81" s="57"/>
      <c r="AX81" s="301"/>
      <c r="AZ81" s="26"/>
    </row>
    <row r="82" spans="1:52" x14ac:dyDescent="0.35">
      <c r="A82" s="9168"/>
      <c r="B82" s="305"/>
      <c r="C82" s="59" t="s">
        <v>3154</v>
      </c>
      <c r="D82" s="197"/>
      <c r="F82" s="61"/>
      <c r="G82" s="272"/>
      <c r="H82" s="62"/>
      <c r="I82" s="63"/>
      <c r="J82" s="297">
        <f>IF(H82=0,0,I82/H82)</f>
        <v>0</v>
      </c>
      <c r="L82" s="62">
        <f>16682600000+2729307016</f>
        <v>19411907016</v>
      </c>
      <c r="M82" s="157">
        <f>L82*J$53</f>
        <v>18583634765.636654</v>
      </c>
      <c r="O82" s="298">
        <f t="shared" si="16"/>
        <v>19.411907016000001</v>
      </c>
      <c r="P82" s="3287"/>
      <c r="Q82" s="106"/>
      <c r="R82" s="297">
        <f>IF(O82=0,0,P82/O82)</f>
        <v>0</v>
      </c>
      <c r="T82" s="298">
        <f>T47</f>
        <v>16.682600000000001</v>
      </c>
      <c r="U82" s="57"/>
      <c r="V82" s="237"/>
      <c r="X82" s="68">
        <f t="shared" ref="X82:Y82" si="18">X47</f>
        <v>16.682600000000001</v>
      </c>
      <c r="Y82" s="1988">
        <f t="shared" si="18"/>
        <v>0</v>
      </c>
      <c r="Z82" s="106"/>
      <c r="AA82" s="297">
        <f>IF(X82=0,0,Y82/X82)</f>
        <v>0</v>
      </c>
      <c r="AC82" s="4590">
        <f>AC47</f>
        <v>0</v>
      </c>
      <c r="AD82" s="57"/>
      <c r="AE82" s="4682"/>
      <c r="AG82" s="62">
        <f>AG41</f>
        <v>0</v>
      </c>
      <c r="AH82" s="57"/>
      <c r="AI82" s="301"/>
      <c r="AK82" s="26"/>
      <c r="AL82" s="62">
        <f>AL41</f>
        <v>0</v>
      </c>
      <c r="AM82" s="57"/>
      <c r="AN82" s="301"/>
      <c r="AO82" s="62">
        <f>AO41</f>
        <v>0</v>
      </c>
      <c r="AP82" s="57"/>
      <c r="AQ82" s="301"/>
      <c r="AS82" s="62">
        <f>AS41</f>
        <v>0</v>
      </c>
      <c r="AT82" s="57"/>
      <c r="AU82" s="301"/>
      <c r="AV82" s="62">
        <f>AV41</f>
        <v>0</v>
      </c>
      <c r="AW82" s="57"/>
      <c r="AX82" s="301"/>
      <c r="AZ82" s="26"/>
    </row>
    <row r="83" spans="1:52" x14ac:dyDescent="0.35">
      <c r="A83" s="9169"/>
      <c r="B83" s="306"/>
      <c r="C83" s="86" t="s">
        <v>536</v>
      </c>
      <c r="D83" s="209"/>
      <c r="F83" s="88"/>
      <c r="G83" s="274"/>
      <c r="H83" s="89"/>
      <c r="I83" s="90"/>
      <c r="J83" s="307">
        <f>IF(H83=0,0,I83/H83)</f>
        <v>0</v>
      </c>
      <c r="L83" s="89"/>
      <c r="M83" s="213"/>
      <c r="O83" s="89"/>
      <c r="P83" s="308"/>
      <c r="Q83" s="216"/>
      <c r="R83" s="307">
        <f>IF(O83=0,0,P83/O83)</f>
        <v>0</v>
      </c>
      <c r="T83" s="89"/>
      <c r="U83" s="216"/>
      <c r="V83" s="92"/>
      <c r="X83" s="768"/>
      <c r="Y83" s="90"/>
      <c r="Z83" s="216"/>
      <c r="AA83" s="307">
        <f>IF(X83=0,0,Y83/X83)</f>
        <v>0</v>
      </c>
      <c r="AC83" s="89"/>
      <c r="AD83" s="216"/>
      <c r="AE83" s="1002"/>
      <c r="AG83" s="89"/>
      <c r="AH83" s="216"/>
      <c r="AI83" s="309"/>
      <c r="AK83" s="24"/>
      <c r="AL83" s="89"/>
      <c r="AM83" s="216"/>
      <c r="AN83" s="309"/>
      <c r="AO83" s="89"/>
      <c r="AP83" s="216"/>
      <c r="AQ83" s="309"/>
      <c r="AS83" s="89"/>
      <c r="AT83" s="216"/>
      <c r="AU83" s="309"/>
      <c r="AV83" s="89"/>
      <c r="AW83" s="216"/>
      <c r="AX83" s="309"/>
      <c r="AZ83" s="24"/>
    </row>
    <row r="84" spans="1:52" x14ac:dyDescent="0.35">
      <c r="A84" s="310"/>
      <c r="B84" s="310"/>
      <c r="F84" s="106"/>
      <c r="H84" s="106"/>
      <c r="I84" s="106"/>
      <c r="J84" s="311"/>
      <c r="L84" s="106"/>
      <c r="M84" s="312"/>
      <c r="O84" s="106"/>
      <c r="P84" s="106"/>
      <c r="Q84" s="106"/>
      <c r="R84" s="311"/>
      <c r="T84" s="106"/>
      <c r="U84" s="106"/>
      <c r="V84" s="312"/>
      <c r="X84" s="106"/>
      <c r="Y84" s="106"/>
      <c r="Z84" s="106"/>
      <c r="AA84" s="311"/>
      <c r="AC84" s="106"/>
      <c r="AD84" s="106"/>
      <c r="AE84" s="312"/>
      <c r="AG84" s="106"/>
      <c r="AH84" s="106"/>
      <c r="AI84" s="312"/>
      <c r="AL84" s="106"/>
      <c r="AM84" s="106"/>
      <c r="AN84" s="312"/>
      <c r="AO84" s="106"/>
      <c r="AP84" s="106"/>
      <c r="AQ84" s="312"/>
      <c r="AS84" s="106"/>
      <c r="AT84" s="106"/>
      <c r="AU84" s="312"/>
      <c r="AV84" s="106"/>
      <c r="AW84" s="106"/>
      <c r="AX84" s="312"/>
    </row>
    <row r="85" spans="1:52" x14ac:dyDescent="0.35">
      <c r="A85" s="9159" t="s">
        <v>559</v>
      </c>
      <c r="B85" s="939" t="s">
        <v>560</v>
      </c>
      <c r="C85" s="940"/>
      <c r="D85" s="184"/>
      <c r="F85" s="316"/>
      <c r="G85" s="290"/>
      <c r="H85" s="317"/>
      <c r="I85" s="1687"/>
      <c r="J85" s="293"/>
      <c r="L85" s="317"/>
      <c r="M85" s="268"/>
      <c r="O85" s="317"/>
      <c r="P85" s="1687"/>
      <c r="Q85" s="481" t="s">
        <v>1115</v>
      </c>
      <c r="R85" s="293"/>
      <c r="T85" s="317"/>
      <c r="U85" s="481" t="s">
        <v>1115</v>
      </c>
      <c r="V85" s="323"/>
      <c r="X85" s="317"/>
      <c r="Y85" s="1687"/>
      <c r="Z85" s="481" t="s">
        <v>1115</v>
      </c>
      <c r="AA85" s="293"/>
      <c r="AC85" s="317"/>
      <c r="AD85" s="481" t="s">
        <v>1115</v>
      </c>
      <c r="AE85" s="323"/>
      <c r="AG85" s="317"/>
      <c r="AH85" s="109"/>
      <c r="AI85" s="323"/>
      <c r="AK85" s="18"/>
      <c r="AL85" s="1388"/>
      <c r="AM85" s="109"/>
      <c r="AN85" s="268"/>
      <c r="AO85" s="1388"/>
      <c r="AP85" s="109"/>
      <c r="AQ85" s="268"/>
      <c r="AS85" s="1388"/>
      <c r="AT85" s="109"/>
      <c r="AU85" s="268"/>
      <c r="AV85" s="1388"/>
      <c r="AW85" s="109"/>
      <c r="AX85" s="268"/>
      <c r="AZ85" s="18"/>
    </row>
    <row r="86" spans="1:52" x14ac:dyDescent="0.35">
      <c r="A86" s="9160"/>
      <c r="B86" s="944"/>
      <c r="C86" s="945" t="s">
        <v>3192</v>
      </c>
      <c r="D86" s="197"/>
      <c r="F86" s="327"/>
      <c r="G86" s="272"/>
      <c r="H86" s="325"/>
      <c r="I86" s="946"/>
      <c r="J86" s="297">
        <f t="shared" ref="J86:J94" si="19">IF(H86=0,0,I86/H86)</f>
        <v>0</v>
      </c>
      <c r="L86" s="325"/>
      <c r="M86" s="157">
        <f t="shared" ref="M86:M94" si="20">L86*J86</f>
        <v>0</v>
      </c>
      <c r="O86" s="330"/>
      <c r="P86" s="947"/>
      <c r="Q86" s="332"/>
      <c r="R86" s="297">
        <f t="shared" ref="R86:R94" si="21">IF(O86=0,0,P86/O86)</f>
        <v>0</v>
      </c>
      <c r="T86" s="330"/>
      <c r="U86" s="57"/>
      <c r="V86" s="337"/>
      <c r="X86" s="330"/>
      <c r="Y86" s="947"/>
      <c r="Z86" s="332"/>
      <c r="AA86" s="297">
        <f t="shared" ref="AA86:AA94" si="22">IF(X86=0,0,Y86/X86)</f>
        <v>0</v>
      </c>
      <c r="AC86" s="330"/>
      <c r="AD86" s="57"/>
      <c r="AE86" s="337"/>
      <c r="AG86" s="330">
        <f>(66+201.699)*0.7977</f>
        <v>213.5434923</v>
      </c>
      <c r="AH86" s="254" t="s">
        <v>3193</v>
      </c>
      <c r="AI86" s="333"/>
      <c r="AK86" s="26" t="s">
        <v>3194</v>
      </c>
      <c r="AL86" s="330">
        <f>(66+201.699)*0.7977</f>
        <v>213.5434923</v>
      </c>
      <c r="AM86" s="254" t="s">
        <v>3193</v>
      </c>
      <c r="AN86" s="333"/>
      <c r="AO86" s="330">
        <f>(66+201.699)*0.7977</f>
        <v>213.5434923</v>
      </c>
      <c r="AP86" s="254" t="s">
        <v>3193</v>
      </c>
      <c r="AQ86" s="333"/>
      <c r="AS86" s="330">
        <f>(66+201.699)*0.7977</f>
        <v>213.5434923</v>
      </c>
      <c r="AT86" s="254" t="s">
        <v>3193</v>
      </c>
      <c r="AU86" s="333"/>
      <c r="AV86" s="330">
        <f>(66+201.699)*0.7977</f>
        <v>213.5434923</v>
      </c>
      <c r="AW86" s="254" t="s">
        <v>3195</v>
      </c>
      <c r="AX86" s="330">
        <f>(66+201.699)*0.7977</f>
        <v>213.5434923</v>
      </c>
      <c r="AZ86" s="26" t="s">
        <v>3196</v>
      </c>
    </row>
    <row r="87" spans="1:52" x14ac:dyDescent="0.35">
      <c r="A87" s="9160"/>
      <c r="B87" s="944"/>
      <c r="C87" s="945" t="s">
        <v>1116</v>
      </c>
      <c r="D87" s="197"/>
      <c r="F87" s="336"/>
      <c r="G87" s="272"/>
      <c r="H87" s="330"/>
      <c r="I87" s="948"/>
      <c r="J87" s="297">
        <f t="shared" si="19"/>
        <v>0</v>
      </c>
      <c r="L87" s="330"/>
      <c r="M87" s="157">
        <f t="shared" si="20"/>
        <v>0</v>
      </c>
      <c r="O87" s="330"/>
      <c r="P87" s="338"/>
      <c r="Q87" s="106"/>
      <c r="R87" s="297">
        <f t="shared" si="21"/>
        <v>0</v>
      </c>
      <c r="T87" s="330"/>
      <c r="U87" s="106"/>
      <c r="V87" s="337"/>
      <c r="X87" s="330"/>
      <c r="Y87" s="338"/>
      <c r="Z87" s="106"/>
      <c r="AA87" s="297">
        <f t="shared" si="22"/>
        <v>0</v>
      </c>
      <c r="AC87" s="330"/>
      <c r="AD87" s="106"/>
      <c r="AE87" s="337"/>
      <c r="AG87" s="330">
        <f>(60.001+201.581)*0.7977</f>
        <v>208.66396139999998</v>
      </c>
      <c r="AH87" s="254" t="s">
        <v>3193</v>
      </c>
      <c r="AI87" s="333"/>
      <c r="AK87" s="26" t="s">
        <v>3197</v>
      </c>
      <c r="AL87" s="330">
        <f>(60.001+201.581)*0.7977</f>
        <v>208.66396139999998</v>
      </c>
      <c r="AM87" s="254" t="s">
        <v>3193</v>
      </c>
      <c r="AN87" s="333"/>
      <c r="AO87" s="330">
        <f>(60.001+201.581)*0.7977</f>
        <v>208.66396139999998</v>
      </c>
      <c r="AP87" s="254" t="s">
        <v>3193</v>
      </c>
      <c r="AQ87" s="333"/>
      <c r="AS87" s="330">
        <f>(60.001+201.581)*0.7977</f>
        <v>208.66396139999998</v>
      </c>
      <c r="AT87" s="254" t="s">
        <v>3193</v>
      </c>
      <c r="AU87" s="333"/>
      <c r="AV87" s="330">
        <f>(60.001+201.581)*0.7977</f>
        <v>208.66396139999998</v>
      </c>
      <c r="AW87" s="254" t="s">
        <v>3195</v>
      </c>
      <c r="AX87" s="330">
        <f>(60.001+201.581)*0.7977</f>
        <v>208.66396139999998</v>
      </c>
      <c r="AZ87" s="26"/>
    </row>
    <row r="88" spans="1:52" x14ac:dyDescent="0.35">
      <c r="A88" s="9160"/>
      <c r="B88" s="944"/>
      <c r="C88" s="945"/>
      <c r="D88" s="197"/>
      <c r="F88" s="336"/>
      <c r="G88" s="272"/>
      <c r="H88" s="330"/>
      <c r="I88" s="948"/>
      <c r="J88" s="297">
        <f t="shared" si="19"/>
        <v>0</v>
      </c>
      <c r="L88" s="330"/>
      <c r="M88" s="157">
        <f t="shared" si="20"/>
        <v>0</v>
      </c>
      <c r="O88" s="330"/>
      <c r="P88" s="331"/>
      <c r="Q88" s="106"/>
      <c r="R88" s="297">
        <f t="shared" si="21"/>
        <v>0</v>
      </c>
      <c r="T88" s="330"/>
      <c r="U88" s="57"/>
      <c r="V88" s="337"/>
      <c r="X88" s="330"/>
      <c r="Y88" s="331"/>
      <c r="Z88" s="106"/>
      <c r="AA88" s="297">
        <f t="shared" si="22"/>
        <v>0</v>
      </c>
      <c r="AC88" s="330"/>
      <c r="AD88" s="57"/>
      <c r="AE88" s="337"/>
      <c r="AG88" s="330">
        <f>(5.685+0.118)*0.7977</f>
        <v>4.6290531000000001</v>
      </c>
      <c r="AH88" s="254" t="s">
        <v>3193</v>
      </c>
      <c r="AI88" s="333"/>
      <c r="AK88" s="26" t="s">
        <v>3197</v>
      </c>
      <c r="AL88" s="330">
        <f>(5.685+0.118)*0.7977</f>
        <v>4.6290531000000001</v>
      </c>
      <c r="AM88" s="254" t="s">
        <v>3193</v>
      </c>
      <c r="AN88" s="333"/>
      <c r="AO88" s="330">
        <f>(5.685+0.118)*0.7977</f>
        <v>4.6290531000000001</v>
      </c>
      <c r="AP88" s="254" t="s">
        <v>3193</v>
      </c>
      <c r="AQ88" s="333"/>
      <c r="AS88" s="330">
        <f>(5.685+0.118)*0.7977</f>
        <v>4.6290531000000001</v>
      </c>
      <c r="AT88" s="254" t="s">
        <v>3193</v>
      </c>
      <c r="AU88" s="333"/>
      <c r="AV88" s="330">
        <f>(5.685+0.118)*0.7977</f>
        <v>4.6290531000000001</v>
      </c>
      <c r="AW88" s="254" t="s">
        <v>3195</v>
      </c>
      <c r="AX88" s="330">
        <f>(5.685+0.118)*0.7977</f>
        <v>4.6290531000000001</v>
      </c>
      <c r="AZ88" s="26"/>
    </row>
    <row r="89" spans="1:52" x14ac:dyDescent="0.35">
      <c r="A89" s="9160"/>
      <c r="B89" s="944"/>
      <c r="C89" s="945"/>
      <c r="D89" s="197"/>
      <c r="F89" s="336"/>
      <c r="G89" s="272"/>
      <c r="H89" s="330"/>
      <c r="I89" s="948"/>
      <c r="J89" s="297">
        <f t="shared" si="19"/>
        <v>0</v>
      </c>
      <c r="L89" s="330"/>
      <c r="M89" s="157">
        <f t="shared" si="20"/>
        <v>0</v>
      </c>
      <c r="O89" s="330"/>
      <c r="P89" s="331"/>
      <c r="Q89" s="106"/>
      <c r="R89" s="297">
        <f t="shared" si="21"/>
        <v>0</v>
      </c>
      <c r="T89" s="330"/>
      <c r="U89" s="106"/>
      <c r="V89" s="337"/>
      <c r="X89" s="330"/>
      <c r="Y89" s="331"/>
      <c r="Z89" s="106"/>
      <c r="AA89" s="297">
        <f t="shared" si="22"/>
        <v>0</v>
      </c>
      <c r="AC89" s="330"/>
      <c r="AD89" s="106"/>
      <c r="AE89" s="337"/>
      <c r="AG89" s="330"/>
      <c r="AH89" s="106"/>
      <c r="AI89" s="333"/>
      <c r="AK89" s="26"/>
      <c r="AL89" s="330"/>
      <c r="AM89" s="106"/>
      <c r="AN89" s="333"/>
      <c r="AO89" s="330"/>
      <c r="AP89" s="106"/>
      <c r="AQ89" s="333"/>
      <c r="AS89" s="330"/>
      <c r="AT89" s="106"/>
      <c r="AU89" s="333"/>
      <c r="AV89" s="330"/>
      <c r="AW89" s="106"/>
      <c r="AX89" s="333"/>
      <c r="AZ89" s="26"/>
    </row>
    <row r="90" spans="1:52" x14ac:dyDescent="0.35">
      <c r="A90" s="9160"/>
      <c r="B90" s="944"/>
      <c r="C90" s="945"/>
      <c r="D90" s="197"/>
      <c r="F90" s="336"/>
      <c r="G90" s="272"/>
      <c r="H90" s="330"/>
      <c r="I90" s="948"/>
      <c r="J90" s="297">
        <f t="shared" si="19"/>
        <v>0</v>
      </c>
      <c r="L90" s="330"/>
      <c r="M90" s="157">
        <f t="shared" si="20"/>
        <v>0</v>
      </c>
      <c r="O90" s="330"/>
      <c r="P90" s="331"/>
      <c r="Q90" s="106"/>
      <c r="R90" s="297">
        <f t="shared" si="21"/>
        <v>0</v>
      </c>
      <c r="T90" s="330"/>
      <c r="U90" s="106"/>
      <c r="V90" s="337"/>
      <c r="X90" s="330"/>
      <c r="Y90" s="331"/>
      <c r="Z90" s="106"/>
      <c r="AA90" s="297">
        <f t="shared" si="22"/>
        <v>0</v>
      </c>
      <c r="AC90" s="330"/>
      <c r="AD90" s="106"/>
      <c r="AE90" s="337"/>
      <c r="AG90" s="330"/>
      <c r="AH90" s="106"/>
      <c r="AI90" s="333"/>
      <c r="AK90" s="26"/>
      <c r="AL90" s="330"/>
      <c r="AM90" s="106"/>
      <c r="AN90" s="333"/>
      <c r="AO90" s="330"/>
      <c r="AP90" s="106"/>
      <c r="AQ90" s="333"/>
      <c r="AS90" s="330"/>
      <c r="AT90" s="106"/>
      <c r="AU90" s="333"/>
      <c r="AV90" s="330"/>
      <c r="AW90" s="106"/>
      <c r="AX90" s="333"/>
      <c r="AZ90" s="26"/>
    </row>
    <row r="91" spans="1:52" x14ac:dyDescent="0.35">
      <c r="A91" s="9160"/>
      <c r="B91" s="944"/>
      <c r="C91" s="945"/>
      <c r="D91" s="197"/>
      <c r="F91" s="336"/>
      <c r="G91" s="272"/>
      <c r="H91" s="330"/>
      <c r="I91" s="948"/>
      <c r="J91" s="297">
        <f t="shared" si="19"/>
        <v>0</v>
      </c>
      <c r="L91" s="330"/>
      <c r="M91" s="157">
        <f t="shared" si="20"/>
        <v>0</v>
      </c>
      <c r="O91" s="330"/>
      <c r="P91" s="331"/>
      <c r="Q91" s="106"/>
      <c r="R91" s="297">
        <f t="shared" si="21"/>
        <v>0</v>
      </c>
      <c r="T91" s="330"/>
      <c r="U91" s="106"/>
      <c r="V91" s="337"/>
      <c r="X91" s="330"/>
      <c r="Y91" s="331"/>
      <c r="Z91" s="106"/>
      <c r="AA91" s="297">
        <f t="shared" si="22"/>
        <v>0</v>
      </c>
      <c r="AC91" s="330"/>
      <c r="AD91" s="106"/>
      <c r="AE91" s="337"/>
      <c r="AG91" s="330"/>
      <c r="AH91" s="106"/>
      <c r="AI91" s="333"/>
      <c r="AK91" s="26"/>
      <c r="AL91" s="330"/>
      <c r="AM91" s="106"/>
      <c r="AN91" s="333"/>
      <c r="AO91" s="330"/>
      <c r="AP91" s="106"/>
      <c r="AQ91" s="333"/>
      <c r="AS91" s="330"/>
      <c r="AT91" s="106"/>
      <c r="AU91" s="333"/>
      <c r="AV91" s="330"/>
      <c r="AW91" s="106"/>
      <c r="AX91" s="333"/>
      <c r="AZ91" s="26"/>
    </row>
    <row r="92" spans="1:52" x14ac:dyDescent="0.35">
      <c r="A92" s="9160"/>
      <c r="B92" s="944"/>
      <c r="C92" s="945"/>
      <c r="D92" s="197"/>
      <c r="F92" s="336"/>
      <c r="G92" s="272"/>
      <c r="H92" s="330"/>
      <c r="I92" s="948"/>
      <c r="J92" s="297">
        <f t="shared" si="19"/>
        <v>0</v>
      </c>
      <c r="L92" s="330"/>
      <c r="M92" s="157">
        <f t="shared" si="20"/>
        <v>0</v>
      </c>
      <c r="O92" s="330"/>
      <c r="P92" s="331"/>
      <c r="Q92" s="106"/>
      <c r="R92" s="297">
        <f t="shared" si="21"/>
        <v>0</v>
      </c>
      <c r="T92" s="330"/>
      <c r="U92" s="106"/>
      <c r="V92" s="337"/>
      <c r="X92" s="330"/>
      <c r="Y92" s="331"/>
      <c r="Z92" s="106"/>
      <c r="AA92" s="297">
        <f t="shared" si="22"/>
        <v>0</v>
      </c>
      <c r="AC92" s="330"/>
      <c r="AD92" s="106"/>
      <c r="AE92" s="337"/>
      <c r="AG92" s="330"/>
      <c r="AH92" s="106"/>
      <c r="AI92" s="333"/>
      <c r="AK92" s="26"/>
      <c r="AL92" s="330"/>
      <c r="AM92" s="106"/>
      <c r="AN92" s="333"/>
      <c r="AO92" s="330"/>
      <c r="AP92" s="106"/>
      <c r="AQ92" s="333"/>
      <c r="AS92" s="330"/>
      <c r="AT92" s="106"/>
      <c r="AU92" s="333"/>
      <c r="AV92" s="330"/>
      <c r="AW92" s="106"/>
      <c r="AX92" s="333"/>
      <c r="AZ92" s="26"/>
    </row>
    <row r="93" spans="1:52" x14ac:dyDescent="0.35">
      <c r="A93" s="9160"/>
      <c r="B93" s="944"/>
      <c r="C93" s="945"/>
      <c r="D93" s="197"/>
      <c r="F93" s="336"/>
      <c r="G93" s="272"/>
      <c r="H93" s="330"/>
      <c r="I93" s="948"/>
      <c r="J93" s="297">
        <f t="shared" si="19"/>
        <v>0</v>
      </c>
      <c r="L93" s="330"/>
      <c r="M93" s="157">
        <f t="shared" si="20"/>
        <v>0</v>
      </c>
      <c r="O93" s="330"/>
      <c r="P93" s="331"/>
      <c r="Q93" s="106"/>
      <c r="R93" s="297">
        <f t="shared" si="21"/>
        <v>0</v>
      </c>
      <c r="T93" s="330"/>
      <c r="U93" s="106"/>
      <c r="V93" s="337"/>
      <c r="X93" s="330"/>
      <c r="Y93" s="331"/>
      <c r="Z93" s="106"/>
      <c r="AA93" s="297">
        <f t="shared" si="22"/>
        <v>0</v>
      </c>
      <c r="AC93" s="330"/>
      <c r="AD93" s="106"/>
      <c r="AE93" s="337"/>
      <c r="AG93" s="330"/>
      <c r="AH93" s="106"/>
      <c r="AI93" s="333"/>
      <c r="AK93" s="26"/>
      <c r="AL93" s="330"/>
      <c r="AM93" s="106"/>
      <c r="AN93" s="333"/>
      <c r="AO93" s="330"/>
      <c r="AP93" s="106"/>
      <c r="AQ93" s="333"/>
      <c r="AS93" s="330"/>
      <c r="AT93" s="106"/>
      <c r="AU93" s="333"/>
      <c r="AV93" s="330"/>
      <c r="AW93" s="106"/>
      <c r="AX93" s="333"/>
      <c r="AZ93" s="26"/>
    </row>
    <row r="94" spans="1:52" x14ac:dyDescent="0.35">
      <c r="A94" s="9161"/>
      <c r="B94" s="949"/>
      <c r="C94" s="950" t="s">
        <v>10</v>
      </c>
      <c r="D94" s="209"/>
      <c r="F94" s="343"/>
      <c r="G94" s="274"/>
      <c r="H94" s="341"/>
      <c r="I94" s="951"/>
      <c r="J94" s="307">
        <f t="shared" si="19"/>
        <v>0</v>
      </c>
      <c r="L94" s="341"/>
      <c r="M94" s="213">
        <f t="shared" si="20"/>
        <v>0</v>
      </c>
      <c r="O94" s="341"/>
      <c r="P94" s="952"/>
      <c r="Q94" s="216"/>
      <c r="R94" s="307">
        <f t="shared" si="21"/>
        <v>0</v>
      </c>
      <c r="T94" s="341"/>
      <c r="U94" s="216"/>
      <c r="V94" s="347"/>
      <c r="X94" s="341"/>
      <c r="Y94" s="952"/>
      <c r="Z94" s="216"/>
      <c r="AA94" s="307">
        <f t="shared" si="22"/>
        <v>0</v>
      </c>
      <c r="AC94" s="341"/>
      <c r="AD94" s="216"/>
      <c r="AE94" s="347"/>
      <c r="AG94" s="341"/>
      <c r="AH94" s="216"/>
      <c r="AI94" s="347"/>
      <c r="AK94" s="24"/>
      <c r="AL94" s="341"/>
      <c r="AM94" s="216"/>
      <c r="AN94" s="347"/>
      <c r="AO94" s="341"/>
      <c r="AP94" s="216"/>
      <c r="AQ94" s="347"/>
      <c r="AS94" s="341"/>
      <c r="AT94" s="216"/>
      <c r="AU94" s="347"/>
      <c r="AV94" s="341"/>
      <c r="AW94" s="216"/>
      <c r="AX94" s="347"/>
      <c r="AZ94" s="24"/>
    </row>
    <row r="95" spans="1:52" x14ac:dyDescent="0.35">
      <c r="A95" s="310"/>
      <c r="B95" s="310"/>
      <c r="F95" s="106"/>
      <c r="H95" s="106"/>
      <c r="I95" s="106"/>
      <c r="J95" s="311"/>
      <c r="L95" s="106"/>
      <c r="M95" s="312"/>
      <c r="O95" s="106"/>
      <c r="P95" s="106"/>
      <c r="Q95" s="106"/>
      <c r="R95" s="311"/>
      <c r="T95" s="106"/>
      <c r="U95" s="106"/>
      <c r="V95" s="312"/>
      <c r="X95" s="106"/>
      <c r="Y95" s="106"/>
      <c r="Z95" s="106"/>
      <c r="AA95" s="311"/>
      <c r="AC95" s="106"/>
      <c r="AD95" s="106"/>
      <c r="AE95" s="312"/>
      <c r="AG95" s="106"/>
      <c r="AH95" s="106"/>
      <c r="AI95" s="312"/>
      <c r="AL95" s="106"/>
      <c r="AM95" s="106"/>
      <c r="AN95" s="312"/>
      <c r="AO95" s="106"/>
      <c r="AP95" s="106"/>
      <c r="AQ95" s="312"/>
      <c r="AS95" s="106"/>
      <c r="AT95" s="106"/>
      <c r="AU95" s="312"/>
      <c r="AV95" s="106"/>
      <c r="AW95" s="106"/>
      <c r="AX95" s="312"/>
    </row>
    <row r="96" spans="1:52" x14ac:dyDescent="0.35">
      <c r="A96" s="9167" t="s">
        <v>566</v>
      </c>
      <c r="B96" s="139" t="s">
        <v>567</v>
      </c>
      <c r="C96" s="348"/>
      <c r="D96" s="49"/>
      <c r="E96" s="141"/>
      <c r="F96" s="227"/>
      <c r="G96" s="141"/>
      <c r="H96" s="102"/>
      <c r="I96" s="103"/>
      <c r="J96" s="228"/>
      <c r="K96" s="141"/>
      <c r="L96" s="102"/>
      <c r="M96" s="268"/>
      <c r="N96" s="141"/>
      <c r="O96" s="102"/>
      <c r="P96" s="103"/>
      <c r="Q96" s="103"/>
      <c r="R96" s="228"/>
      <c r="S96" s="141"/>
      <c r="T96" s="102"/>
      <c r="U96" s="103"/>
      <c r="V96" s="268"/>
      <c r="W96" s="141"/>
      <c r="X96" s="102"/>
      <c r="Y96" s="103"/>
      <c r="Z96" s="103"/>
      <c r="AA96" s="228"/>
      <c r="AB96" s="141"/>
      <c r="AC96" s="102"/>
      <c r="AD96" s="103"/>
      <c r="AE96" s="268"/>
      <c r="AF96" s="141"/>
      <c r="AG96" s="102"/>
      <c r="AH96" s="103"/>
      <c r="AI96" s="268"/>
      <c r="AJ96" s="141"/>
      <c r="AL96" s="102"/>
      <c r="AM96" s="103"/>
      <c r="AN96" s="268"/>
      <c r="AO96" s="102"/>
      <c r="AP96" s="103"/>
      <c r="AQ96" s="268"/>
      <c r="AS96" s="102"/>
      <c r="AT96" s="103"/>
      <c r="AU96" s="268"/>
      <c r="AV96" s="102"/>
      <c r="AW96" s="103"/>
      <c r="AX96" s="268"/>
    </row>
    <row r="97" spans="1:50" x14ac:dyDescent="0.35">
      <c r="A97" s="9168"/>
      <c r="B97" s="6082"/>
      <c r="C97"/>
      <c r="D97" s="110" t="s">
        <v>568</v>
      </c>
      <c r="F97" s="349">
        <f>SUM(F39:F45)-SUM(F49:F51)</f>
        <v>0</v>
      </c>
      <c r="G97" s="350"/>
      <c r="H97" s="351">
        <f>SUM(H39:H45)-SUM(H49:H51)</f>
        <v>263237275159</v>
      </c>
      <c r="I97" s="352">
        <f>SUM(I39:I45)-SUM(I49:I51)</f>
        <v>252005399275</v>
      </c>
      <c r="J97" s="246"/>
      <c r="K97" s="350"/>
      <c r="L97" s="351">
        <f>SUM(L39:L47)-SUM(L49:L51)</f>
        <v>308594151321</v>
      </c>
      <c r="M97" s="353">
        <f>SUM(M39:M47)-SUM(M49:M51)</f>
        <v>292392352518.69916</v>
      </c>
      <c r="O97" s="354">
        <f>SUM(O39:O47)-SUM(O49:O51)</f>
        <v>291.62400300000002</v>
      </c>
      <c r="P97" s="355">
        <f>SUM(P39:P47)-SUM(P49:P51)</f>
        <v>270.34472196477435</v>
      </c>
      <c r="Q97" s="352"/>
      <c r="R97" s="246"/>
      <c r="S97" s="350"/>
      <c r="T97" s="354">
        <f>SUM(T39:T47)-SUM(T49:T51)</f>
        <v>346.20820000000003</v>
      </c>
      <c r="U97" s="355"/>
      <c r="V97" s="1201">
        <f>SUM(V39:V47)-SUM(V49:V51)</f>
        <v>291.57</v>
      </c>
      <c r="X97" s="354">
        <f>SUM(X39:X47)-SUM(X49:X51)</f>
        <v>346.20820000000003</v>
      </c>
      <c r="Y97" s="355">
        <f>SUM(Y39:Y47)-SUM(Y49:Y51)</f>
        <v>291.57</v>
      </c>
      <c r="Z97" s="352"/>
      <c r="AA97" s="246"/>
      <c r="AB97" s="350"/>
      <c r="AC97" s="354">
        <f>SUM(AC39:AC47)-SUM(AC49:AC51)</f>
        <v>362.87119999999999</v>
      </c>
      <c r="AD97" s="355"/>
      <c r="AE97" s="1201">
        <f>SUM(AE39:AE47)-SUM(AE49:AE51)</f>
        <v>325.50399999999996</v>
      </c>
      <c r="AF97" s="350"/>
      <c r="AG97" s="351">
        <f>SUM(AG36:AG44)-SUM(AG46:AG51)</f>
        <v>426.28399999999999</v>
      </c>
      <c r="AH97" s="352"/>
      <c r="AI97" s="1201">
        <f>SUM(AI39:AI47)-SUM(AI49:AI51)</f>
        <v>385.202</v>
      </c>
      <c r="AL97" s="351">
        <f>SUM(AL36:AL46)-SUM(AL49:AL51)</f>
        <v>426.28400000000005</v>
      </c>
      <c r="AM97" s="352"/>
      <c r="AN97" s="1201">
        <f>SUM(AN36:AN46)-SUM(AN49:AN51)</f>
        <v>385.20199999999994</v>
      </c>
      <c r="AO97" s="351">
        <f>SUM(AO36:AO46)-SUM(AO49:AO51)</f>
        <v>472.49999999999994</v>
      </c>
      <c r="AP97" s="352"/>
      <c r="AQ97" s="1201">
        <f>SUM(AQ36:AQ46)-SUM(AQ49:AQ51)</f>
        <v>449.00299999999999</v>
      </c>
      <c r="AS97" s="351">
        <f>SUM(AS36:AS46)-SUM(AS49:AS51)</f>
        <v>472.49999999999994</v>
      </c>
      <c r="AT97" s="352"/>
      <c r="AU97" s="1201">
        <f>SUM(AU36:AU46)-SUM(AU49:AU51)</f>
        <v>449.00299999999999</v>
      </c>
      <c r="AV97" s="351">
        <f>SUM(AV36:AV46)-SUM(AV49:AV51)</f>
        <v>497.98099999999999</v>
      </c>
      <c r="AW97" s="352"/>
      <c r="AX97" s="1201">
        <f>SUM(AX36:AX46)-SUM(AX49:AX51)</f>
        <v>452.09100000000007</v>
      </c>
    </row>
    <row r="98" spans="1:50" x14ac:dyDescent="0.35">
      <c r="A98" s="9168"/>
      <c r="B98" s="6082"/>
      <c r="C98"/>
      <c r="D98" s="110" t="s">
        <v>569</v>
      </c>
      <c r="F98" s="349">
        <f>SUM(F53:F63)</f>
        <v>0</v>
      </c>
      <c r="G98" s="350"/>
      <c r="H98" s="351">
        <f>SUM(H53:H63)</f>
        <v>0</v>
      </c>
      <c r="I98" s="352">
        <f>SUM(I53:I63)</f>
        <v>0</v>
      </c>
      <c r="J98" s="246"/>
      <c r="K98" s="350"/>
      <c r="L98" s="351">
        <f>SUM(L53:L63)</f>
        <v>9644695981</v>
      </c>
      <c r="M98" s="353">
        <f>SUM(M53:M63)</f>
        <v>9233173607.7643948</v>
      </c>
      <c r="O98" s="354">
        <f>SUM(O53:O63)</f>
        <v>9.2766481799999987</v>
      </c>
      <c r="P98" s="355">
        <f>SUM(P53:P63)</f>
        <v>9.5780782939999973</v>
      </c>
      <c r="Q98" s="352"/>
      <c r="R98" s="246"/>
      <c r="S98" s="350"/>
      <c r="T98" s="354">
        <f>SUM(T53:T63)</f>
        <v>12.904970742</v>
      </c>
      <c r="U98" s="355"/>
      <c r="V98" s="1201">
        <f>SUM(V53:V63)</f>
        <v>12.904970742</v>
      </c>
      <c r="X98" s="354">
        <f>SUM(X53:X64)</f>
        <v>12.943872116999998</v>
      </c>
      <c r="Y98" s="355">
        <f>SUM(Y53:Y64)</f>
        <v>12.904970742</v>
      </c>
      <c r="Z98" s="352"/>
      <c r="AA98" s="246"/>
      <c r="AB98" s="350"/>
      <c r="AC98" s="354">
        <f>SUM(AC53:AC64)</f>
        <v>13.460521663</v>
      </c>
      <c r="AD98" s="355"/>
      <c r="AE98" s="1201">
        <f>SUM(AE53:AE64)</f>
        <v>13.417086546610173</v>
      </c>
      <c r="AF98" s="350"/>
      <c r="AG98" s="351">
        <f>SUM(AG53:AG64)</f>
        <v>13.417086546610173</v>
      </c>
      <c r="AH98" s="352"/>
      <c r="AI98" s="1201">
        <f>SUM(AI53:AI64)</f>
        <v>13.417086546610173</v>
      </c>
      <c r="AL98" s="351">
        <f>SUM(AL53:AL64)</f>
        <v>13.637197800000001</v>
      </c>
      <c r="AM98" s="352"/>
      <c r="AN98" s="1201">
        <f>SUM(AN53:AN64)</f>
        <v>13.637197800000001</v>
      </c>
      <c r="AO98" s="351">
        <f>SUM(AO53:AO64)</f>
        <v>10.851048000000002</v>
      </c>
      <c r="AP98" s="352"/>
      <c r="AQ98" s="1201">
        <f>SUM(AQ53:AQ64)</f>
        <v>10.851048000000002</v>
      </c>
      <c r="AS98" s="351">
        <f>SUM(AS53:AS64)</f>
        <v>10.851048000000002</v>
      </c>
      <c r="AT98" s="352"/>
      <c r="AU98" s="1201">
        <f>SUM(AU53:AU64)</f>
        <v>10.851048000000002</v>
      </c>
      <c r="AV98" s="351">
        <f>SUM(AV53:AV64)</f>
        <v>10.990048000000002</v>
      </c>
      <c r="AW98" s="352"/>
      <c r="AX98" s="1201">
        <f>SUM(AX53:AX64)</f>
        <v>10.990048000000002</v>
      </c>
    </row>
    <row r="99" spans="1:50" x14ac:dyDescent="0.35">
      <c r="A99" s="9168"/>
      <c r="B99" s="6082"/>
      <c r="C99"/>
      <c r="D99" s="110" t="s">
        <v>570</v>
      </c>
      <c r="F99" s="349" t="e">
        <f>SUM(F66:F73)*F29</f>
        <v>#DIV/0!</v>
      </c>
      <c r="G99" s="350"/>
      <c r="H99" s="351">
        <f>SUM(H66:H73)*H29</f>
        <v>0</v>
      </c>
      <c r="I99" s="352">
        <f>SUM(I66:I73)*I29</f>
        <v>11425110661.68396</v>
      </c>
      <c r="J99" s="246"/>
      <c r="K99" s="350"/>
      <c r="L99" s="351">
        <f>SUM(L66:L73)*L29</f>
        <v>14064865356.902014</v>
      </c>
      <c r="M99" s="353">
        <f>SUM(M66:M73)*M29</f>
        <v>13029673392.941526</v>
      </c>
      <c r="O99" s="354">
        <f>SUM(O66:O73)*O29</f>
        <v>22.259420205832885</v>
      </c>
      <c r="P99" s="355">
        <f>SUM(P66:P73)*P29</f>
        <v>21.600749939974833</v>
      </c>
      <c r="Q99" s="352"/>
      <c r="R99" s="246"/>
      <c r="S99" s="350"/>
      <c r="T99" s="354">
        <f>SUM(T66:T73)*T29</f>
        <v>30.870838966837781</v>
      </c>
      <c r="U99" s="355"/>
      <c r="V99" s="1201">
        <f>SUM(V66:V73)*V29</f>
        <v>32.553751519968749</v>
      </c>
      <c r="X99" s="354">
        <f>SUM(X66:X73)*X29</f>
        <v>30.744377105068065</v>
      </c>
      <c r="Y99" s="355">
        <f>SUM(Y66:Y73)*Y29</f>
        <v>32.553751519968749</v>
      </c>
      <c r="Z99" s="352"/>
      <c r="AA99" s="246"/>
      <c r="AB99" s="350"/>
      <c r="AC99" s="354">
        <f>SUM(AC66:AC73)*AC29</f>
        <v>37.413345270400058</v>
      </c>
      <c r="AD99" s="355"/>
      <c r="AE99" s="1201">
        <f>SUM(AE66:AE73)*AE29</f>
        <v>38.020450453079626</v>
      </c>
      <c r="AF99" s="350"/>
      <c r="AG99" s="351">
        <f>SUM(AG66:AG73)*AG29</f>
        <v>39.649525755874784</v>
      </c>
      <c r="AH99" s="352"/>
      <c r="AI99" s="1201">
        <f>SUM(AI66:AI73)*AI29</f>
        <v>34.668285088461815</v>
      </c>
      <c r="AL99" s="351">
        <f>SUM(AL66:AL73)*AL29</f>
        <v>39.649525755874784</v>
      </c>
      <c r="AM99" s="352"/>
      <c r="AN99" s="1201">
        <f>SUM(AN66:AN73)*AN29</f>
        <v>34.223765042243244</v>
      </c>
      <c r="AO99" s="351">
        <f>SUM(AO66:AO73)*AO29</f>
        <v>45.79412456508075</v>
      </c>
      <c r="AP99" s="352"/>
      <c r="AQ99" s="1201">
        <f>SUM(AQ66:AQ73)*AQ29</f>
        <v>39.281139263183611</v>
      </c>
      <c r="AS99" s="351">
        <f>SUM(AS66:AS73)*AS29</f>
        <v>45.79412456508075</v>
      </c>
      <c r="AT99" s="352"/>
      <c r="AU99" s="1201">
        <f>SUM(AU66:AU73)*AU29</f>
        <v>39.281139263183611</v>
      </c>
      <c r="AV99" s="351">
        <f>SUM(AV66:AV73)*AV29</f>
        <v>52.544751780030836</v>
      </c>
      <c r="AW99" s="352"/>
      <c r="AX99" s="1201">
        <f>SUM(AX66:AX73)*AX29</f>
        <v>52.576795791317245</v>
      </c>
    </row>
    <row r="100" spans="1:50" x14ac:dyDescent="0.35">
      <c r="A100" s="9168"/>
      <c r="B100" s="6082"/>
      <c r="C100"/>
      <c r="D100" s="110" t="s">
        <v>552</v>
      </c>
      <c r="F100" s="349">
        <f>F75</f>
        <v>0</v>
      </c>
      <c r="G100" s="350"/>
      <c r="H100" s="351">
        <f>H75</f>
        <v>0</v>
      </c>
      <c r="I100" s="352">
        <f>I75</f>
        <v>0</v>
      </c>
      <c r="J100" s="246"/>
      <c r="K100" s="350"/>
      <c r="L100" s="351">
        <f>L75+L77</f>
        <v>0</v>
      </c>
      <c r="M100" s="353">
        <f>M75+M77</f>
        <v>0</v>
      </c>
      <c r="O100" s="354">
        <f>O75+O77</f>
        <v>0</v>
      </c>
      <c r="P100" s="355">
        <f>P75+P77</f>
        <v>0</v>
      </c>
      <c r="Q100" s="352"/>
      <c r="R100" s="246"/>
      <c r="S100" s="350"/>
      <c r="T100" s="363">
        <f>T75+T77</f>
        <v>0</v>
      </c>
      <c r="U100" s="355"/>
      <c r="V100" s="1201">
        <f>V75+V77</f>
        <v>0</v>
      </c>
      <c r="X100" s="354">
        <f>X75+X77</f>
        <v>0</v>
      </c>
      <c r="Y100" s="355">
        <f>Y75+Y77</f>
        <v>0</v>
      </c>
      <c r="Z100" s="352"/>
      <c r="AA100" s="246"/>
      <c r="AB100" s="350"/>
      <c r="AC100" s="354">
        <f>AC75+AC77</f>
        <v>0</v>
      </c>
      <c r="AD100" s="355"/>
      <c r="AE100" s="1201">
        <f>AE75+AE77</f>
        <v>0</v>
      </c>
      <c r="AF100" s="350"/>
      <c r="AG100" s="351">
        <f>SUM(AG75:AG78)</f>
        <v>0</v>
      </c>
      <c r="AH100" s="352"/>
      <c r="AI100" s="1201">
        <f>AI75+AI77</f>
        <v>0</v>
      </c>
      <c r="AL100" s="351">
        <f>SUM(AL75:AL78)</f>
        <v>0</v>
      </c>
      <c r="AM100" s="352"/>
      <c r="AN100" s="1201">
        <f>SUM(AN75:AN78)</f>
        <v>0</v>
      </c>
      <c r="AO100" s="351">
        <f>SUM(AO75:AO78)</f>
        <v>0</v>
      </c>
      <c r="AP100" s="352"/>
      <c r="AQ100" s="1201">
        <f>SUM(AQ75:AQ78)</f>
        <v>0</v>
      </c>
      <c r="AS100" s="351">
        <f>SUM(AS75:AS78)</f>
        <v>0</v>
      </c>
      <c r="AT100" s="352"/>
      <c r="AU100" s="1201">
        <f>SUM(AU75:AU78)</f>
        <v>0</v>
      </c>
      <c r="AV100" s="351">
        <f>SUM(AV75:AV78)</f>
        <v>0</v>
      </c>
      <c r="AW100" s="352"/>
      <c r="AX100" s="1201">
        <f>SUM(AX75:AX78)</f>
        <v>0</v>
      </c>
    </row>
    <row r="101" spans="1:50" x14ac:dyDescent="0.35">
      <c r="A101" s="9168"/>
      <c r="B101" s="6082"/>
      <c r="C101"/>
      <c r="D101" s="356" t="s">
        <v>571</v>
      </c>
      <c r="E101" s="143"/>
      <c r="F101" s="357" t="e">
        <f>SUM(F97:F100)</f>
        <v>#DIV/0!</v>
      </c>
      <c r="G101" s="358"/>
      <c r="H101" s="359">
        <f>SUM(H97:H100)</f>
        <v>263237275159</v>
      </c>
      <c r="I101" s="360">
        <f>SUM(I97:I100)</f>
        <v>263430509936.68396</v>
      </c>
      <c r="J101" s="361"/>
      <c r="K101" s="358"/>
      <c r="L101" s="359">
        <f>SUM(L97:L100)</f>
        <v>332303712658.90204</v>
      </c>
      <c r="M101" s="362">
        <f>SUM(M97:M100)</f>
        <v>314655199519.40509</v>
      </c>
      <c r="N101" s="143"/>
      <c r="O101" s="363">
        <f>SUM(O97:O100)</f>
        <v>323.16007138583291</v>
      </c>
      <c r="P101" s="364">
        <f>SUM(P97:P100)</f>
        <v>301.52355019874921</v>
      </c>
      <c r="Q101" s="360"/>
      <c r="R101" s="361"/>
      <c r="S101" s="358"/>
      <c r="T101" s="363">
        <f>SUM(T97:T100)</f>
        <v>389.98400970883779</v>
      </c>
      <c r="U101" s="364"/>
      <c r="V101" s="1202">
        <f>SUM(V97:V100)</f>
        <v>337.02872226196871</v>
      </c>
      <c r="W101" s="143"/>
      <c r="X101" s="363">
        <f>SUM(X97:X100)</f>
        <v>389.8964492220681</v>
      </c>
      <c r="Y101" s="364">
        <f>SUM(Y97:Y100)</f>
        <v>337.02872226196871</v>
      </c>
      <c r="Z101" s="360"/>
      <c r="AA101" s="361"/>
      <c r="AB101" s="358"/>
      <c r="AC101" s="363">
        <f>SUM(AC97:AC100)</f>
        <v>413.74506693340004</v>
      </c>
      <c r="AD101" s="364"/>
      <c r="AE101" s="1202">
        <f>SUM(AE97:AE100)</f>
        <v>376.94153699968973</v>
      </c>
      <c r="AF101" s="358"/>
      <c r="AG101" s="359">
        <f>SUM(AG97:AG100)</f>
        <v>479.35061230248493</v>
      </c>
      <c r="AH101" s="360"/>
      <c r="AI101" s="1202">
        <f>SUM(AI97:AI100)</f>
        <v>433.28737163507196</v>
      </c>
      <c r="AJ101" s="143"/>
      <c r="AL101" s="359">
        <f>SUM(AL97:AL100)</f>
        <v>479.57072355587485</v>
      </c>
      <c r="AM101" s="360"/>
      <c r="AN101" s="1202">
        <f>SUM(AN97:AN100)</f>
        <v>433.06296284224322</v>
      </c>
      <c r="AO101" s="359">
        <f>SUM(AO97:AO100)</f>
        <v>529.14517256508066</v>
      </c>
      <c r="AP101" s="360"/>
      <c r="AQ101" s="1202">
        <f>SUM(AQ97:AQ100)</f>
        <v>499.13518726318358</v>
      </c>
      <c r="AS101" s="359">
        <f>SUM(AS97:AS100)</f>
        <v>529.14517256508066</v>
      </c>
      <c r="AT101" s="360"/>
      <c r="AU101" s="1202">
        <f>SUM(AU97:AU100)</f>
        <v>499.13518726318358</v>
      </c>
      <c r="AV101" s="359">
        <f>SUM(AV97:AV100)</f>
        <v>561.51579978003087</v>
      </c>
      <c r="AW101" s="360"/>
      <c r="AX101" s="1202">
        <f>SUM(AX97:AX100)</f>
        <v>515.6578437913173</v>
      </c>
    </row>
    <row r="102" spans="1:50" ht="15.5" x14ac:dyDescent="0.35">
      <c r="A102" s="9168"/>
      <c r="B102" s="6082"/>
      <c r="C102"/>
      <c r="D102" s="356" t="s">
        <v>572</v>
      </c>
      <c r="F102" s="366" t="e">
        <f>F101/(F18+F19)</f>
        <v>#DIV/0!</v>
      </c>
      <c r="G102" s="367"/>
      <c r="H102" s="368" t="e">
        <f>H101/(H18+H19)</f>
        <v>#DIV/0!</v>
      </c>
      <c r="I102" s="369">
        <f>I101/(I18+I19)/1000000000</f>
        <v>0.22596543998686222</v>
      </c>
      <c r="J102" s="370"/>
      <c r="K102" s="367"/>
      <c r="L102" s="368">
        <f>L101/(L18+L19)/1000000000</f>
        <v>0.19598001454287689</v>
      </c>
      <c r="M102" s="370">
        <f>M101/(M18+M19)/1000000000</f>
        <v>0.21448888856128498</v>
      </c>
      <c r="O102" s="368">
        <f>O101/(O18+O19+O20)</f>
        <v>0.1905874447899463</v>
      </c>
      <c r="P102" s="369">
        <f>P101/(P18+P19+P20)</f>
        <v>0.20537708797268747</v>
      </c>
      <c r="Q102" s="369"/>
      <c r="R102" s="370"/>
      <c r="S102" s="367"/>
      <c r="T102" s="368">
        <f>T101/(T18+T19+T20)</f>
        <v>0.21461984847703791</v>
      </c>
      <c r="U102" s="369"/>
      <c r="V102" s="370">
        <f>V101/(V18+V19+V20)</f>
        <v>0.21513153646485944</v>
      </c>
      <c r="X102" s="4683">
        <f>X101/(X18+X19+X20)</f>
        <v>0.21457166132593622</v>
      </c>
      <c r="Y102" s="4684">
        <f>Y101/(Y18+Y19+Y20)</f>
        <v>0.21513153646485944</v>
      </c>
      <c r="Z102" s="369"/>
      <c r="AA102" s="370"/>
      <c r="AB102" s="367"/>
      <c r="AC102" s="368">
        <f>AC101/(AC18+AC19+AC20)</f>
        <v>0.19865420884671153</v>
      </c>
      <c r="AD102" s="369"/>
      <c r="AE102" s="370">
        <f>AE101/(AE18+AE19+AE20)</f>
        <v>0.20499957688469228</v>
      </c>
      <c r="AF102" s="560"/>
      <c r="AG102" s="561">
        <f>AG101/(AG18+AG19+AG20)</f>
        <v>0.24029490656782762</v>
      </c>
      <c r="AH102" s="562"/>
      <c r="AI102" s="370">
        <f>AI101/(AI18+AI19+AI20)</f>
        <v>0.24513124585806184</v>
      </c>
      <c r="AL102" s="561">
        <f>AL101/(AL18+AL19+AL20)</f>
        <v>0.241964249847817</v>
      </c>
      <c r="AM102" s="562"/>
      <c r="AN102" s="563">
        <f>AN101/(AN18+AN19+AN20)</f>
        <v>0.23758625669643096</v>
      </c>
      <c r="AO102" s="561">
        <f>AO101/(AO18+AO19+AO20)</f>
        <v>0.24347185453721779</v>
      </c>
      <c r="AP102" s="562"/>
      <c r="AQ102" s="563">
        <f>AQ101/(AQ18+AQ19+AQ20)</f>
        <v>0.24585409052131266</v>
      </c>
      <c r="AS102" s="561">
        <f>AS101/(AS18+AS19+AS20)</f>
        <v>0.24347185453721779</v>
      </c>
      <c r="AT102" s="562"/>
      <c r="AU102" s="370">
        <f>AU101/(AU18+AU19+AU20)</f>
        <v>0.24585409052131266</v>
      </c>
      <c r="AV102" s="561">
        <f>AV101/(AV18+AV19+AV20)</f>
        <v>0.23560027699772332</v>
      </c>
      <c r="AW102" s="562"/>
      <c r="AX102" s="370">
        <f>AX101/(AX18+AX19+AX20)</f>
        <v>0.24229297518059154</v>
      </c>
    </row>
    <row r="103" spans="1:50" x14ac:dyDescent="0.35">
      <c r="A103" s="9168"/>
      <c r="B103" s="371"/>
      <c r="C103" s="372"/>
      <c r="D103" s="296" t="s">
        <v>573</v>
      </c>
      <c r="E103" s="374"/>
      <c r="F103" s="3336"/>
      <c r="G103" s="4685"/>
      <c r="H103" s="4686"/>
      <c r="I103" s="4687">
        <f>I39+I41+I42+I44+I45+I47-I49+I53+I55+I57+I59+I61+I75</f>
        <v>252005399275</v>
      </c>
      <c r="J103" s="4688"/>
      <c r="K103" s="4685"/>
      <c r="L103" s="4689">
        <f>L39+L41+L42+L44+L45+L47-L49+L53+L55+L57+L59+L61+L75</f>
        <v>318238847302</v>
      </c>
      <c r="M103" s="4688">
        <f>M39+M41+M42+M44+M45+M47-M49+M53+M55+M57+M59+M61+M75</f>
        <v>301625526126.46356</v>
      </c>
      <c r="O103" s="4690">
        <f>O39+O41+O42+O44+O45+O47-O49+O53+O55+O57+O59+O61+O75</f>
        <v>282.53347119</v>
      </c>
      <c r="P103" s="4691">
        <f>P39+P41+P42+P44+P45+P47-P49+P53+P55+P57+P59+P61+P75</f>
        <v>263.18568666877422</v>
      </c>
      <c r="Q103" s="383"/>
      <c r="R103" s="384"/>
      <c r="S103" s="385"/>
      <c r="T103" s="4692">
        <f>T39+T41+T42+T44+T45+T47-T49+T53+T55+T57+T59+T61+T75</f>
        <v>337.21325478199998</v>
      </c>
      <c r="U103" s="4693"/>
      <c r="V103" s="4694">
        <f>V39+V41+V42+V44+V45+V47-V49+V53+V55+V57+V59+V61+V75</f>
        <v>289.96705478199999</v>
      </c>
      <c r="X103" s="4690">
        <f>X39+X41+X42+X44+X45+X47-X49+X53+X55+X57+X59+X61+X75</f>
        <v>337.20775478199994</v>
      </c>
      <c r="Y103" s="4691">
        <f>Y39+Y41+Y42+Y44+Y45+Y47-Y49+Y53+Y55+Y57+Y59+Y61+Y75</f>
        <v>289.96705478199999</v>
      </c>
      <c r="Z103" s="383"/>
      <c r="AA103" s="384"/>
      <c r="AB103" s="385"/>
      <c r="AC103" s="4692">
        <f>AC39+AC41+AC42+AC44+AC45+AC47-AC49+AC53+AC55+AC57+AC59+AC61+AC75</f>
        <v>346.47076794399999</v>
      </c>
      <c r="AD103" s="4693"/>
      <c r="AE103" s="5881">
        <f>AE39+AE41+AE42+AE44+AE45+AE47-AE49+AE53+AE55+AE57+AE59+AE61+AE75</f>
        <v>315.35908654661017</v>
      </c>
      <c r="AF103" s="954"/>
      <c r="AG103" s="386">
        <f>AG39+AG41+AG42+AG44+AG45+AG47-AG49+AG53+AG55+AG57+AG59+AG61+AG75</f>
        <v>413.9420865466102</v>
      </c>
      <c r="AH103" s="956"/>
      <c r="AI103" s="5881">
        <f>AI39+AI41+AI42+AI44+AI45+AI47-AI49+AI53+AI55+AI57+AI59+AI61+AI75</f>
        <v>378.7330865466102</v>
      </c>
      <c r="AL103" s="386">
        <f>AL37+AL39+AL41+AL42+AL44+AL45+AL47-AL49+AL53+AL55+AL57+AL59+AL61+AL75</f>
        <v>414.71519779999994</v>
      </c>
      <c r="AM103" s="956"/>
      <c r="AN103" s="6944">
        <f>AN37+AN39+AN41+AN42+AN44+AN45+AN47-AN49+AN53+AN55+AN57+AN59+AN61+AN75</f>
        <v>379.50619779999994</v>
      </c>
      <c r="AO103" s="386">
        <f>AO37+AO39+AO41+AO42+AO44+AO45+AO47-AO49+AO53+AO55+AO57+AO59+AO61+AO75</f>
        <v>449.86404799999997</v>
      </c>
      <c r="AP103" s="956"/>
      <c r="AQ103" s="6944">
        <f>AQ37+AQ39+AQ41+AQ42+AQ44+AQ45+AQ47-AQ49+AQ53+AQ55+AQ57+AQ59+AQ61+AQ75</f>
        <v>430.97704799999997</v>
      </c>
      <c r="AS103" s="386">
        <f>AS37+AS39+AS41+AS42+AS44+AS45+AS47-AS49+AS53+AS55+AS57+AS59+AS61+AS75</f>
        <v>449.86404799999997</v>
      </c>
      <c r="AT103" s="956"/>
      <c r="AU103" s="6944">
        <f>AU37+AU39+AU41+AU42+AU44+AU45+AU47-AU49+AU53+AU55+AU57+AU59+AU61+AU75</f>
        <v>430.97704799999997</v>
      </c>
      <c r="AV103" s="386">
        <f>AV37+AV39+AV41+AV42+AV44+AV45+AV47-AV49+AV53+AV55+AV57+AV59+AV61+AV75</f>
        <v>490.425048</v>
      </c>
      <c r="AW103" s="956"/>
      <c r="AX103" s="6944">
        <f>AX37+AX39+AX41+AX42+AX44+AX45+AX47-AX49+AX53+AX55+AX57+AX59+AX61+AX75</f>
        <v>448.01604800000001</v>
      </c>
    </row>
    <row r="104" spans="1:50" x14ac:dyDescent="0.35">
      <c r="A104" s="9168"/>
      <c r="B104" s="58"/>
      <c r="C104" s="390"/>
      <c r="D104" s="296" t="s">
        <v>575</v>
      </c>
      <c r="E104" s="392"/>
      <c r="F104" s="4696"/>
      <c r="G104" s="4697"/>
      <c r="H104" s="4698"/>
      <c r="I104" s="4699">
        <f>(I101-I103)/(1000000000*(I19+I20))</f>
        <v>3.5781743381409208E-2</v>
      </c>
      <c r="J104" s="4700"/>
      <c r="K104" s="4697"/>
      <c r="L104" s="4701">
        <f>(L101-L103)/(1000000000*(L19+L20))</f>
        <v>2.0499730880195362E-2</v>
      </c>
      <c r="M104" s="4700">
        <f>(M101-M103)/(1000000000*(M19+M20))</f>
        <v>2.5578471521282939E-2</v>
      </c>
      <c r="O104" s="1056">
        <f>(O101-O103)/(O19+O20)</f>
        <v>5.9213817513238461E-2</v>
      </c>
      <c r="P104" s="953">
        <f>(P101-P103)/(P19+P20)</f>
        <v>7.5152240833767814E-2</v>
      </c>
      <c r="Q104" s="1820"/>
      <c r="R104" s="1057"/>
      <c r="S104" s="1055"/>
      <c r="T104" s="1203">
        <f>(T101-T103)/(T19+T20)</f>
        <v>7.8576668746585032E-2</v>
      </c>
      <c r="U104" s="1820"/>
      <c r="V104" s="4695">
        <f>(V101-V103)/(V19+V20)</f>
        <v>9.8257212400031574E-2</v>
      </c>
      <c r="X104" s="1056">
        <f>(X101-X103)/(X19+X20)</f>
        <v>7.8454479103950162E-2</v>
      </c>
      <c r="Y104" s="953">
        <f>(Y101-Y103)/(Y19+Y20)</f>
        <v>9.8257212400031574E-2</v>
      </c>
      <c r="Z104" s="1820"/>
      <c r="AA104" s="1057"/>
      <c r="AB104" s="1055"/>
      <c r="AC104" s="1203">
        <f>(AC101-AC103)/(AC19+AC20)</f>
        <v>8.4318742568405186E-2</v>
      </c>
      <c r="AD104" s="1820"/>
      <c r="AE104" s="5882">
        <f>(AE101-AE103)/(AE19+AE20)</f>
        <v>0.11791779487003241</v>
      </c>
      <c r="AF104" s="973"/>
      <c r="AG104" s="402">
        <f>(AG101-AG103)/((AG19+AG20))</f>
        <v>0.1118549525377414</v>
      </c>
      <c r="AH104" s="975"/>
      <c r="AI104" s="4695">
        <f>(AI101-AI103)/(AI19+AI20)</f>
        <v>0.11232719358181692</v>
      </c>
      <c r="AL104" s="5155">
        <f>(AL101-AL103)/((AL19+AL20))</f>
        <v>0.11090926865267393</v>
      </c>
      <c r="AM104" s="1661"/>
      <c r="AN104" s="6945">
        <f>(AN101-AN103)/((AN19+AN20))</f>
        <v>0.11402989961578222</v>
      </c>
      <c r="AO104" s="5155">
        <f>(AO101-AO103)/((AO19+AO20))</f>
        <v>0.13255629477152533</v>
      </c>
      <c r="AP104" s="1661"/>
      <c r="AQ104" s="6945">
        <f>(AQ101-AQ103)/((AQ19+AQ20))</f>
        <v>0.12575140037524168</v>
      </c>
      <c r="AS104" s="5155">
        <f>(AS101-AS103)/((AS19+AS20))</f>
        <v>0.13255629477152533</v>
      </c>
      <c r="AT104" s="1661"/>
      <c r="AU104" s="6945">
        <f>(AU101-AU103)/((AU19+AU20))</f>
        <v>0.12575140037524168</v>
      </c>
      <c r="AV104" s="5155">
        <f>(AV101-AV103)/((AV19+AV20))</f>
        <v>0.10485361619473579</v>
      </c>
      <c r="AW104" s="1661"/>
      <c r="AX104" s="6945">
        <f>(AX101-AX103)/((AX19+AX20))</f>
        <v>0.1136943910541451</v>
      </c>
    </row>
    <row r="105" spans="1:50" x14ac:dyDescent="0.35">
      <c r="A105" s="9168"/>
      <c r="B105" s="58"/>
      <c r="C105" s="390"/>
      <c r="D105" s="296" t="s">
        <v>576</v>
      </c>
      <c r="E105" s="392"/>
      <c r="F105" s="4696"/>
      <c r="G105" s="4697"/>
      <c r="H105" s="4698"/>
      <c r="I105" s="4699">
        <f>I101/(1000000000*I18)</f>
        <v>0.31119965733807908</v>
      </c>
      <c r="J105" s="4700"/>
      <c r="K105" s="4697"/>
      <c r="L105" s="4701">
        <f>L101/(1000000000*L18)</f>
        <v>0.32917653557097781</v>
      </c>
      <c r="M105" s="4700">
        <f>M101/(1000000000*M18)</f>
        <v>0.32858730108542722</v>
      </c>
      <c r="O105" s="1056">
        <f>O101/O18</f>
        <v>0.32011894144213271</v>
      </c>
      <c r="P105" s="953">
        <f>P101/P18</f>
        <v>0.31473946012959075</v>
      </c>
      <c r="Q105" s="1820"/>
      <c r="R105" s="1057"/>
      <c r="S105" s="1055"/>
      <c r="T105" s="1203">
        <f>T101/T18</f>
        <v>0.34044604600124295</v>
      </c>
      <c r="U105" s="1820"/>
      <c r="V105" s="4695">
        <f>V101/V18</f>
        <v>0.30986787354236023</v>
      </c>
      <c r="X105" s="1056">
        <f>X101/X18</f>
        <v>0.34036960794028515</v>
      </c>
      <c r="Y105" s="953">
        <f>Y101/Y18</f>
        <v>0.30986787354236023</v>
      </c>
      <c r="Z105" s="1820"/>
      <c r="AA105" s="1057"/>
      <c r="AB105" s="1055"/>
      <c r="AC105" s="1203">
        <f>AC101/AC18</f>
        <v>0.32200991602612844</v>
      </c>
      <c r="AD105" s="1820"/>
      <c r="AE105" s="5882">
        <f>AE101/AE18</f>
        <v>0.28632225972901487</v>
      </c>
      <c r="AF105" s="973"/>
      <c r="AG105" s="402">
        <f>AG103/(AG18)</f>
        <v>0.29355908387291951</v>
      </c>
      <c r="AH105" s="975"/>
      <c r="AI105" s="4695">
        <f>AI101/AI18</f>
        <v>0.33800403435140958</v>
      </c>
      <c r="AL105" s="5155">
        <f>AL103/(AL18)</f>
        <v>0.29681283069048137</v>
      </c>
      <c r="AM105" s="1661"/>
      <c r="AN105" s="6945">
        <f>AN103/(AN18)</f>
        <v>0.28047414344078131</v>
      </c>
      <c r="AO105" s="5155">
        <f>AO103/(AO18)</f>
        <v>0.28558481194587737</v>
      </c>
      <c r="AP105" s="1661"/>
      <c r="AQ105" s="6945">
        <f>AQ103/(AQ18)</f>
        <v>0.289595799494961</v>
      </c>
      <c r="AS105" s="5155">
        <f>AS103/(AS18)</f>
        <v>0.28558481194587737</v>
      </c>
      <c r="AT105" s="1661"/>
      <c r="AU105" s="6945">
        <f>AU103/(AU18)</f>
        <v>0.289595799494961</v>
      </c>
      <c r="AV105" s="5155">
        <f>AV103/(AV18)</f>
        <v>0.28758180797858024</v>
      </c>
      <c r="AW105" s="1661"/>
      <c r="AX105" s="6945">
        <f>AX103/(AX18)</f>
        <v>0.29219130279391403</v>
      </c>
    </row>
    <row r="106" spans="1:50" x14ac:dyDescent="0.35">
      <c r="A106" s="9168"/>
      <c r="B106" s="58"/>
      <c r="C106" s="390"/>
      <c r="D106" s="296"/>
      <c r="E106" s="392"/>
      <c r="F106" s="3342"/>
      <c r="G106" s="4702"/>
      <c r="H106" s="4703"/>
      <c r="I106" s="4704"/>
      <c r="J106" s="4705"/>
      <c r="K106" s="4702"/>
      <c r="L106" s="4706"/>
      <c r="M106" s="4705"/>
      <c r="O106" s="1056"/>
      <c r="P106" s="953"/>
      <c r="Q106" s="1820"/>
      <c r="R106" s="1057"/>
      <c r="S106" s="1055"/>
      <c r="T106" s="1203"/>
      <c r="U106" s="1820"/>
      <c r="V106" s="4695"/>
      <c r="X106" s="1056"/>
      <c r="Y106" s="953"/>
      <c r="Z106" s="1820"/>
      <c r="AA106" s="1057"/>
      <c r="AB106" s="1055"/>
      <c r="AC106" s="1203"/>
      <c r="AD106" s="1820"/>
      <c r="AE106" s="4695"/>
      <c r="AF106" s="3338"/>
      <c r="AG106" s="410"/>
      <c r="AH106" s="3341"/>
      <c r="AI106" s="4695"/>
      <c r="AL106" s="6946"/>
      <c r="AM106" s="1561"/>
      <c r="AN106" s="6945"/>
      <c r="AO106" s="6946"/>
      <c r="AP106" s="1561"/>
      <c r="AQ106" s="6945"/>
      <c r="AS106" s="6946"/>
      <c r="AT106" s="1561"/>
      <c r="AU106" s="6945"/>
      <c r="AV106" s="6946"/>
      <c r="AW106" s="1561"/>
      <c r="AX106" s="6945"/>
    </row>
    <row r="107" spans="1:50" x14ac:dyDescent="0.35">
      <c r="A107" s="9168"/>
      <c r="B107" s="58"/>
      <c r="C107" s="390"/>
      <c r="D107" s="296" t="s">
        <v>577</v>
      </c>
      <c r="E107" s="392"/>
      <c r="F107" s="3337"/>
      <c r="G107" s="4707"/>
      <c r="H107" s="4708"/>
      <c r="I107" s="4709"/>
      <c r="J107" s="4710"/>
      <c r="K107" s="4711"/>
      <c r="L107" s="4712">
        <f>L101/(1000000000*(L12+L13))</f>
        <v>0.29438670504863751</v>
      </c>
      <c r="M107" s="4713">
        <f>M101/(1000000000*(M12+M13))</f>
        <v>0.28439551655766909</v>
      </c>
      <c r="O107" s="1056">
        <f>O101/(O12+O13)</f>
        <v>0.28628638499808018</v>
      </c>
      <c r="P107" s="953"/>
      <c r="Q107" s="1820"/>
      <c r="R107" s="1057"/>
      <c r="S107" s="1055"/>
      <c r="T107" s="1203">
        <f>T101/(T12+T13)</f>
        <v>0.30000800801041744</v>
      </c>
      <c r="U107" s="1820"/>
      <c r="V107" s="4695"/>
      <c r="X107" s="1056">
        <f>X101/(X12+X13)</f>
        <v>0.29994064923015412</v>
      </c>
      <c r="Y107" s="953"/>
      <c r="Z107" s="1820"/>
      <c r="AA107" s="1057"/>
      <c r="AB107" s="1055"/>
      <c r="AC107" s="1203">
        <f>AC101/(AC12+AC13)</f>
        <v>0.2842915075245559</v>
      </c>
      <c r="AD107" s="1820"/>
      <c r="AE107" s="4695">
        <f>AE101/(AE12+AE13)</f>
        <v>0.26913284158375306</v>
      </c>
      <c r="AF107" s="973"/>
      <c r="AG107" s="402">
        <f>AG101/AG12</f>
        <v>0.28883311348411461</v>
      </c>
      <c r="AH107" s="975"/>
      <c r="AI107" s="4695">
        <f>AI101/(AI12+AI13)</f>
        <v>0.29133909728311275</v>
      </c>
      <c r="AL107" s="5155">
        <f>AL101/AL12</f>
        <v>0.28896574170445655</v>
      </c>
      <c r="AM107" s="1661"/>
      <c r="AN107" s="6945">
        <f>AN101/AN12</f>
        <v>0.28445714539968509</v>
      </c>
      <c r="AO107" s="5155">
        <f>AO101/AO12</f>
        <v>0.29490340108403312</v>
      </c>
      <c r="AP107" s="1661"/>
      <c r="AQ107" s="6945">
        <f>AQ101/AQ12</f>
        <v>0.29869178943514885</v>
      </c>
      <c r="AS107" s="5155">
        <f>AS101/AS12</f>
        <v>0.29490340108403312</v>
      </c>
      <c r="AT107" s="1661"/>
      <c r="AU107" s="6945">
        <f>AU101/AU12</f>
        <v>0.29869178943514885</v>
      </c>
      <c r="AV107" s="5155">
        <f>AV101/AV12</f>
        <v>0.30124238185623975</v>
      </c>
      <c r="AW107" s="1661"/>
      <c r="AX107" s="6945">
        <f>AX101/AX12</f>
        <v>0.29744382962194221</v>
      </c>
    </row>
    <row r="108" spans="1:50" x14ac:dyDescent="0.35">
      <c r="A108" s="9168"/>
      <c r="B108" s="58"/>
      <c r="C108" s="390"/>
      <c r="D108" s="59" t="s">
        <v>578</v>
      </c>
      <c r="E108" s="392"/>
      <c r="F108" s="3343"/>
      <c r="G108" s="4714"/>
      <c r="H108" s="4715"/>
      <c r="I108" s="4716"/>
      <c r="J108" s="4717"/>
      <c r="K108" s="4714"/>
      <c r="L108" s="4718">
        <f>L101-SUM(L80:L83)</f>
        <v>306755205642.90204</v>
      </c>
      <c r="M108" s="4717">
        <f>M101-SUM(M80:M83)</f>
        <v>290196802783.76672</v>
      </c>
      <c r="O108" s="4719">
        <f>O101-SUM(O80:O83)</f>
        <v>297.61156436983288</v>
      </c>
      <c r="P108" s="4720"/>
      <c r="Q108" s="985"/>
      <c r="R108" s="246"/>
      <c r="S108" s="982"/>
      <c r="T108" s="4721">
        <f>T101-SUM(T80:T83)</f>
        <v>370.97280970883776</v>
      </c>
      <c r="U108" s="4722"/>
      <c r="V108" s="4695"/>
      <c r="X108" s="4719">
        <f>X101-SUM(X80:X83)</f>
        <v>370.88524922206807</v>
      </c>
      <c r="Y108" s="4720"/>
      <c r="Z108" s="985"/>
      <c r="AA108" s="246"/>
      <c r="AB108" s="982"/>
      <c r="AC108" s="4721">
        <f>AC101-SUM(AC80:AC83)</f>
        <v>395.40986693340005</v>
      </c>
      <c r="AD108" s="4722"/>
      <c r="AE108" s="4695">
        <f>AE101-SUM(AE80:AE83)</f>
        <v>376.94153699968973</v>
      </c>
      <c r="AF108" s="4723"/>
      <c r="AG108" s="420">
        <f>AG101-SUM(AG80:AG83)</f>
        <v>479.35061230248493</v>
      </c>
      <c r="AH108" s="4724"/>
      <c r="AI108" s="4695">
        <f>AI101-SUM(AI80:AI83)</f>
        <v>433.28737163507196</v>
      </c>
      <c r="AL108" s="6947"/>
      <c r="AM108" s="6206"/>
      <c r="AN108" s="6945"/>
      <c r="AO108" s="6947"/>
      <c r="AP108" s="6206"/>
      <c r="AQ108" s="6945"/>
      <c r="AS108" s="6947"/>
      <c r="AT108" s="6206"/>
      <c r="AU108" s="6945"/>
      <c r="AV108" s="6947"/>
      <c r="AW108" s="6206"/>
      <c r="AX108" s="6945"/>
    </row>
    <row r="109" spans="1:50" x14ac:dyDescent="0.35">
      <c r="A109" s="9168"/>
      <c r="B109" s="58"/>
      <c r="C109" s="390"/>
      <c r="D109" s="296" t="s">
        <v>579</v>
      </c>
      <c r="E109" s="392"/>
      <c r="F109" s="3337"/>
      <c r="G109" s="4707"/>
      <c r="H109" s="4708"/>
      <c r="I109" s="4709"/>
      <c r="J109" s="4710"/>
      <c r="K109" s="4711"/>
      <c r="L109" s="4712">
        <f>L108/(1000000000*(L12+L13))</f>
        <v>0.271753371405831</v>
      </c>
      <c r="M109" s="4713">
        <f>M108/(1000000000*(M12+M13))</f>
        <v>0.2622892288356532</v>
      </c>
      <c r="O109" s="1056">
        <f>O108/(O12+O13)</f>
        <v>0.26365305135527367</v>
      </c>
      <c r="P109" s="953"/>
      <c r="Q109" s="1820"/>
      <c r="R109" s="1057"/>
      <c r="S109" s="1055"/>
      <c r="T109" s="1203">
        <f>T108/(T12+T13)</f>
        <v>0.28538301801109439</v>
      </c>
      <c r="U109" s="1820"/>
      <c r="V109" s="4695"/>
      <c r="X109" s="1056">
        <f>X108/(X12+X13)</f>
        <v>0.28531565923083108</v>
      </c>
      <c r="Y109" s="953"/>
      <c r="Z109" s="1820"/>
      <c r="AA109" s="1057"/>
      <c r="AB109" s="1055"/>
      <c r="AC109" s="1203">
        <f>AC108/(AC12+AC13)</f>
        <v>0.2716930693428064</v>
      </c>
      <c r="AD109" s="1820"/>
      <c r="AE109" s="4695">
        <f>AE108/(AE12+AE13)</f>
        <v>0.26913284158375306</v>
      </c>
      <c r="AF109" s="973"/>
      <c r="AG109" s="402">
        <f>AG108/AG12</f>
        <v>0.28883311348411461</v>
      </c>
      <c r="AH109" s="975"/>
      <c r="AI109" s="4695">
        <f>AI108/(AI12+AI13)</f>
        <v>0.29133909728311275</v>
      </c>
      <c r="AL109" s="5155"/>
      <c r="AM109" s="1661"/>
      <c r="AN109" s="6945"/>
      <c r="AO109" s="5155"/>
      <c r="AP109" s="1661"/>
      <c r="AQ109" s="6945"/>
      <c r="AS109" s="5155"/>
      <c r="AT109" s="1661"/>
      <c r="AU109" s="6945"/>
      <c r="AV109" s="5155"/>
      <c r="AW109" s="1661"/>
      <c r="AX109" s="6945"/>
    </row>
    <row r="110" spans="1:50" x14ac:dyDescent="0.35">
      <c r="A110" s="9168"/>
      <c r="B110" s="58"/>
      <c r="C110" s="390"/>
      <c r="D110" s="296"/>
      <c r="E110" s="392"/>
      <c r="F110" s="3337"/>
      <c r="G110" s="4707"/>
      <c r="H110" s="4708"/>
      <c r="I110" s="4709"/>
      <c r="J110" s="4710"/>
      <c r="K110" s="4711"/>
      <c r="L110" s="4725"/>
      <c r="M110" s="4710"/>
      <c r="O110" s="1056"/>
      <c r="P110" s="953"/>
      <c r="Q110" s="1820"/>
      <c r="R110" s="1057"/>
      <c r="S110" s="1055"/>
      <c r="T110" s="1203"/>
      <c r="U110" s="1820"/>
      <c r="V110" s="4695"/>
      <c r="X110" s="1056"/>
      <c r="Y110" s="953"/>
      <c r="Z110" s="1820"/>
      <c r="AA110" s="1057"/>
      <c r="AB110" s="1055"/>
      <c r="AC110" s="1203"/>
      <c r="AD110" s="1820"/>
      <c r="AE110" s="4695"/>
      <c r="AF110" s="973"/>
      <c r="AG110" s="402"/>
      <c r="AH110" s="975"/>
      <c r="AI110" s="4695"/>
      <c r="AL110" s="5155"/>
      <c r="AM110" s="1661"/>
      <c r="AN110" s="6945"/>
      <c r="AO110" s="5155"/>
      <c r="AP110" s="1661"/>
      <c r="AQ110" s="6945"/>
      <c r="AS110" s="5155"/>
      <c r="AT110" s="1661"/>
      <c r="AU110" s="6945"/>
      <c r="AV110" s="5155"/>
      <c r="AW110" s="1661"/>
      <c r="AX110" s="6945"/>
    </row>
    <row r="111" spans="1:50" x14ac:dyDescent="0.35">
      <c r="A111" s="9168"/>
      <c r="B111" s="58"/>
      <c r="C111" s="390"/>
      <c r="D111" s="980" t="s">
        <v>580</v>
      </c>
      <c r="E111" s="424"/>
      <c r="F111" s="3344"/>
      <c r="G111" s="4726"/>
      <c r="H111" s="4727"/>
      <c r="I111" s="4728"/>
      <c r="J111" s="4729"/>
      <c r="K111" s="4730"/>
      <c r="L111" s="4731"/>
      <c r="M111" s="4732"/>
      <c r="O111" s="3295"/>
      <c r="P111" s="3296"/>
      <c r="Q111" s="1820"/>
      <c r="R111" s="1057"/>
      <c r="S111" s="1060"/>
      <c r="T111" s="3297"/>
      <c r="U111" s="3298"/>
      <c r="V111" s="4695"/>
      <c r="X111" s="3295"/>
      <c r="Y111" s="3296"/>
      <c r="Z111" s="1820"/>
      <c r="AA111" s="1057"/>
      <c r="AB111" s="1060"/>
      <c r="AC111" s="3297"/>
      <c r="AD111" s="3298"/>
      <c r="AE111" s="4695"/>
      <c r="AF111" s="973"/>
      <c r="AG111" s="402">
        <f>SUM(AG86)/AG101</f>
        <v>0.44548496824543016</v>
      </c>
      <c r="AH111" s="975"/>
      <c r="AI111" s="4695"/>
      <c r="AL111" s="5155">
        <f>SUM(AL86)/AL101</f>
        <v>0.44528050152152382</v>
      </c>
      <c r="AM111" s="1661"/>
      <c r="AN111" s="6945"/>
      <c r="AO111" s="5155">
        <f>SUM(AO86)/AO101</f>
        <v>0.40356314934298271</v>
      </c>
      <c r="AP111" s="1661"/>
      <c r="AQ111" s="6945"/>
      <c r="AS111" s="5155">
        <f>SUM(AS86)/AS101</f>
        <v>0.40356314934298271</v>
      </c>
      <c r="AT111" s="1661"/>
      <c r="AU111" s="6945"/>
      <c r="AV111" s="5155">
        <f>SUM(AV86)/AV101</f>
        <v>0.38029827902198632</v>
      </c>
      <c r="AW111" s="1661"/>
      <c r="AX111" s="6945"/>
    </row>
    <row r="112" spans="1:50" x14ac:dyDescent="0.35">
      <c r="A112" s="9169"/>
      <c r="B112" s="85"/>
      <c r="C112" s="432"/>
      <c r="D112" s="86" t="s">
        <v>581</v>
      </c>
      <c r="E112" s="274"/>
      <c r="F112" s="3345"/>
      <c r="G112" s="4733"/>
      <c r="H112" s="4734"/>
      <c r="I112" s="4735"/>
      <c r="J112" s="4736"/>
      <c r="K112" s="4737"/>
      <c r="L112" s="4738"/>
      <c r="M112" s="4739"/>
      <c r="O112" s="1996"/>
      <c r="P112" s="1997"/>
      <c r="Q112" s="1534"/>
      <c r="R112" s="706"/>
      <c r="S112" s="703"/>
      <c r="T112" s="1998"/>
      <c r="U112" s="1534"/>
      <c r="V112" s="1999"/>
      <c r="X112" s="1996"/>
      <c r="Y112" s="1997"/>
      <c r="Z112" s="1534"/>
      <c r="AA112" s="706"/>
      <c r="AB112" s="703"/>
      <c r="AC112" s="1998"/>
      <c r="AD112" s="1534"/>
      <c r="AE112" s="1999"/>
      <c r="AF112" s="4740"/>
      <c r="AG112" s="446">
        <f>AG87/AG103</f>
        <v>0.50408974632373904</v>
      </c>
      <c r="AH112" s="4741"/>
      <c r="AI112" s="1999"/>
      <c r="AL112" s="446">
        <f>AL87/AL103</f>
        <v>0.50315002321335234</v>
      </c>
      <c r="AM112" s="4741"/>
      <c r="AN112" s="1999"/>
      <c r="AO112" s="446">
        <f>AO87/AO103</f>
        <v>0.46383782462207335</v>
      </c>
      <c r="AP112" s="4741"/>
      <c r="AQ112" s="1999"/>
      <c r="AS112" s="446">
        <f>AS87/AS103</f>
        <v>0.46383782462207335</v>
      </c>
      <c r="AT112" s="4741"/>
      <c r="AU112" s="1999"/>
      <c r="AV112" s="446">
        <f>AV87/AV103</f>
        <v>0.42547574242170433</v>
      </c>
      <c r="AW112" s="4741"/>
      <c r="AX112" s="1999"/>
    </row>
    <row r="113" spans="1:52" s="462" customFormat="1" ht="12" x14ac:dyDescent="0.3">
      <c r="C113" s="456"/>
      <c r="D113" s="2"/>
      <c r="E113" s="456"/>
      <c r="F113" s="456"/>
      <c r="G113" s="456"/>
      <c r="H113" s="459"/>
      <c r="I113" s="459"/>
      <c r="J113" s="7"/>
      <c r="K113" s="456"/>
      <c r="N113" s="456"/>
      <c r="O113" s="459"/>
      <c r="P113" s="459"/>
      <c r="Q113" s="459"/>
      <c r="R113" s="7"/>
      <c r="S113" s="456"/>
      <c r="W113" s="456"/>
      <c r="X113" s="459"/>
      <c r="Y113" s="459"/>
      <c r="Z113" s="459"/>
      <c r="AA113" s="7"/>
      <c r="AB113" s="456"/>
      <c r="AF113" s="456"/>
      <c r="AJ113" s="456"/>
    </row>
    <row r="114" spans="1:52" s="462" customFormat="1" ht="12" x14ac:dyDescent="0.3">
      <c r="A114" s="455" t="s">
        <v>582</v>
      </c>
      <c r="B114" s="455"/>
      <c r="C114" s="456"/>
      <c r="D114" s="2"/>
      <c r="E114" s="456"/>
      <c r="F114" s="456"/>
      <c r="G114" s="456"/>
      <c r="H114" s="459"/>
      <c r="I114" s="459"/>
      <c r="J114" s="7"/>
      <c r="K114" s="456"/>
      <c r="N114" s="456"/>
      <c r="O114" s="459"/>
      <c r="P114" s="459"/>
      <c r="Q114" s="459"/>
      <c r="R114" s="7"/>
      <c r="S114" s="456"/>
      <c r="W114" s="456"/>
      <c r="X114" s="459"/>
      <c r="Y114" s="459"/>
      <c r="Z114" s="459"/>
      <c r="AA114" s="7"/>
      <c r="AB114" s="456"/>
      <c r="AF114" s="456"/>
      <c r="AJ114" s="456"/>
    </row>
    <row r="115" spans="1:52" s="462" customFormat="1" ht="12" customHeight="1" x14ac:dyDescent="0.3">
      <c r="A115" s="463">
        <v>1</v>
      </c>
      <c r="B115" s="464" t="str">
        <f>AZ12</f>
        <v>Revenue</v>
      </c>
      <c r="D115" s="709"/>
      <c r="E115" s="466"/>
      <c r="F115" s="466"/>
      <c r="G115" s="466"/>
      <c r="H115" s="466"/>
      <c r="I115" s="466"/>
      <c r="J115" s="467"/>
      <c r="K115" s="466"/>
      <c r="L115" s="466"/>
      <c r="M115" s="466"/>
      <c r="N115" s="456"/>
      <c r="O115" s="466"/>
      <c r="P115" s="466"/>
      <c r="Q115" s="466"/>
      <c r="R115" s="467"/>
      <c r="S115" s="466"/>
      <c r="T115" s="466"/>
      <c r="U115" s="466"/>
      <c r="V115" s="466"/>
      <c r="W115" s="456"/>
      <c r="X115" s="466"/>
      <c r="Y115" s="466"/>
      <c r="Z115" s="466"/>
      <c r="AA115" s="467"/>
      <c r="AB115" s="466"/>
      <c r="AC115" s="466"/>
      <c r="AD115" s="466"/>
      <c r="AE115" s="466"/>
      <c r="AF115" s="466"/>
      <c r="AG115" s="466"/>
      <c r="AH115" s="466"/>
      <c r="AI115" s="466"/>
      <c r="AJ115" s="456"/>
      <c r="AK115" s="4742"/>
      <c r="AL115" s="4742"/>
      <c r="AM115" s="577"/>
      <c r="AS115" s="4742"/>
      <c r="AT115" s="577"/>
      <c r="AZ115" s="577"/>
    </row>
    <row r="116" spans="1:52" s="462" customFormat="1" ht="12" x14ac:dyDescent="0.3">
      <c r="A116" s="468">
        <v>2</v>
      </c>
      <c r="B116" s="464" t="str">
        <f>AZ14</f>
        <v>Foreign funding of development budget</v>
      </c>
      <c r="D116" s="2"/>
      <c r="E116" s="456"/>
      <c r="F116" s="456"/>
      <c r="G116" s="456"/>
      <c r="H116" s="459"/>
      <c r="I116" s="459"/>
      <c r="J116" s="7"/>
      <c r="K116" s="456"/>
      <c r="N116" s="456"/>
      <c r="O116" s="459"/>
      <c r="P116" s="459"/>
      <c r="Q116" s="459"/>
      <c r="R116" s="7"/>
      <c r="S116" s="456"/>
      <c r="W116" s="456"/>
      <c r="X116" s="459"/>
      <c r="Y116" s="459"/>
      <c r="Z116" s="459"/>
      <c r="AA116" s="7"/>
      <c r="AB116" s="456"/>
      <c r="AF116" s="456"/>
      <c r="AJ116" s="456"/>
      <c r="AK116" s="4742"/>
      <c r="AL116" s="4742"/>
      <c r="AM116" s="577"/>
      <c r="AS116" s="4742"/>
      <c r="AT116" s="577"/>
      <c r="AZ116" s="577"/>
    </row>
    <row r="117" spans="1:52" s="462" customFormat="1" ht="12" x14ac:dyDescent="0.3">
      <c r="A117" s="463">
        <v>3</v>
      </c>
      <c r="B117" s="464" t="str">
        <f>AZ18</f>
        <v>Recurrent minus interest</v>
      </c>
      <c r="D117" s="2"/>
      <c r="E117" s="456"/>
      <c r="F117" s="456"/>
      <c r="G117" s="456"/>
      <c r="H117" s="459"/>
      <c r="I117" s="459"/>
      <c r="J117" s="7"/>
      <c r="K117" s="456"/>
      <c r="N117" s="456"/>
      <c r="O117" s="459"/>
      <c r="P117" s="459"/>
      <c r="Q117" s="459"/>
      <c r="R117" s="7"/>
      <c r="S117" s="456"/>
      <c r="W117" s="456"/>
      <c r="X117" s="459"/>
      <c r="Y117" s="459"/>
      <c r="Z117" s="459"/>
      <c r="AA117" s="7"/>
      <c r="AB117" s="456"/>
      <c r="AF117" s="456"/>
      <c r="AJ117" s="456"/>
      <c r="AK117" s="4742"/>
      <c r="AL117" s="4742"/>
      <c r="AM117" s="577"/>
      <c r="AS117" s="4742"/>
      <c r="AT117" s="577"/>
      <c r="AZ117" s="577"/>
    </row>
    <row r="118" spans="1:52" s="462" customFormat="1" ht="12" x14ac:dyDescent="0.3">
      <c r="A118" s="468">
        <v>4</v>
      </c>
      <c r="B118" s="464" t="str">
        <f>AZ19</f>
        <v>Development</v>
      </c>
      <c r="D118" s="2"/>
      <c r="E118" s="456"/>
      <c r="F118" s="456"/>
      <c r="G118" s="456"/>
      <c r="H118" s="459"/>
      <c r="I118" s="459"/>
      <c r="J118" s="7"/>
      <c r="K118" s="456"/>
      <c r="N118" s="456"/>
      <c r="O118" s="459"/>
      <c r="P118" s="459"/>
      <c r="Q118" s="459"/>
      <c r="R118" s="7"/>
      <c r="S118" s="456"/>
      <c r="W118" s="456"/>
      <c r="X118" s="459"/>
      <c r="Y118" s="459"/>
      <c r="Z118" s="459"/>
      <c r="AA118" s="7"/>
      <c r="AB118" s="456"/>
      <c r="AF118" s="456"/>
      <c r="AJ118" s="456"/>
      <c r="AK118" s="4742"/>
      <c r="AL118" s="4742"/>
      <c r="AM118" s="577"/>
      <c r="AS118" s="4742"/>
      <c r="AT118" s="577"/>
      <c r="AZ118" s="577"/>
    </row>
    <row r="119" spans="1:52" s="462" customFormat="1" ht="12" x14ac:dyDescent="0.3">
      <c r="A119" s="463">
        <v>5</v>
      </c>
      <c r="B119" s="462" t="str">
        <f>AZ52</f>
        <v>Not completed for 2013-14</v>
      </c>
      <c r="D119" s="2"/>
      <c r="E119" s="456"/>
      <c r="F119" s="456"/>
      <c r="G119" s="456"/>
      <c r="H119" s="459"/>
      <c r="I119" s="459"/>
      <c r="J119" s="7"/>
      <c r="K119" s="456"/>
      <c r="N119" s="456"/>
      <c r="O119" s="459"/>
      <c r="P119" s="459"/>
      <c r="Q119" s="459"/>
      <c r="R119" s="7"/>
      <c r="S119" s="456"/>
      <c r="W119" s="456"/>
      <c r="X119" s="459"/>
      <c r="Y119" s="459"/>
      <c r="Z119" s="459"/>
      <c r="AA119" s="7"/>
      <c r="AB119" s="456"/>
      <c r="AJ119" s="456"/>
      <c r="AK119" s="4743"/>
      <c r="AL119" s="4743"/>
      <c r="AM119" s="577"/>
      <c r="AS119" s="4743"/>
      <c r="AT119" s="577"/>
      <c r="AZ119" s="577"/>
    </row>
    <row r="120" spans="1:52" s="462" customFormat="1" ht="12" x14ac:dyDescent="0.3">
      <c r="A120" s="468">
        <v>6</v>
      </c>
      <c r="B120" s="462" t="str">
        <f>AZ53</f>
        <v>Agricultural college</v>
      </c>
      <c r="D120" s="2"/>
      <c r="E120" s="456"/>
      <c r="F120" s="456"/>
      <c r="G120" s="456"/>
      <c r="H120" s="459"/>
      <c r="I120" s="459"/>
      <c r="J120" s="7"/>
      <c r="K120" s="456"/>
      <c r="N120" s="456"/>
      <c r="O120" s="459"/>
      <c r="P120" s="459"/>
      <c r="Q120" s="459"/>
      <c r="R120" s="7"/>
      <c r="S120" s="456"/>
      <c r="W120" s="456"/>
      <c r="X120" s="459"/>
      <c r="Y120" s="459"/>
      <c r="Z120" s="459"/>
      <c r="AA120" s="7"/>
      <c r="AB120" s="456"/>
      <c r="AJ120" s="456"/>
      <c r="AK120" s="4743"/>
      <c r="AL120" s="4743"/>
      <c r="AM120" s="577"/>
      <c r="AS120" s="4743"/>
      <c r="AT120" s="577"/>
      <c r="AZ120" s="577"/>
    </row>
    <row r="121" spans="1:52" s="462" customFormat="1" ht="12" x14ac:dyDescent="0.3">
      <c r="A121" s="463">
        <v>7</v>
      </c>
      <c r="B121" s="462" t="str">
        <f>AZ55</f>
        <v>Kenya Utalii College</v>
      </c>
      <c r="D121" s="2"/>
      <c r="E121" s="456"/>
      <c r="F121" s="456"/>
      <c r="G121" s="456"/>
      <c r="H121" s="459"/>
      <c r="I121" s="459"/>
      <c r="J121" s="7"/>
      <c r="K121" s="456"/>
      <c r="N121" s="456"/>
      <c r="O121" s="459"/>
      <c r="P121" s="459"/>
      <c r="Q121" s="459"/>
      <c r="R121" s="7"/>
      <c r="S121" s="456"/>
      <c r="W121" s="456"/>
      <c r="X121" s="459"/>
      <c r="Y121" s="459"/>
      <c r="Z121" s="459"/>
      <c r="AA121" s="7"/>
      <c r="AB121" s="456"/>
      <c r="AJ121" s="456"/>
      <c r="AK121" s="4743"/>
      <c r="AL121" s="4743"/>
      <c r="AM121" s="577"/>
      <c r="AS121" s="4743"/>
      <c r="AT121" s="577"/>
      <c r="AZ121" s="577"/>
    </row>
    <row r="122" spans="1:52" s="462" customFormat="1" ht="12" x14ac:dyDescent="0.3">
      <c r="A122" s="463">
        <v>8</v>
      </c>
      <c r="B122" s="462" t="str">
        <f>AZ57</f>
        <v>Police college, Emali College, Embakasi,</v>
      </c>
      <c r="D122" s="2"/>
      <c r="E122" s="456"/>
      <c r="F122" s="456"/>
      <c r="G122" s="456"/>
      <c r="H122" s="459"/>
      <c r="I122" s="459"/>
      <c r="J122" s="7"/>
      <c r="K122" s="456"/>
      <c r="N122" s="456"/>
      <c r="O122" s="459"/>
      <c r="P122" s="459"/>
      <c r="Q122" s="459"/>
      <c r="R122" s="7"/>
      <c r="S122" s="456"/>
      <c r="W122" s="456"/>
      <c r="X122" s="459"/>
      <c r="Y122" s="459"/>
      <c r="Z122" s="459"/>
      <c r="AA122" s="7"/>
      <c r="AB122" s="456"/>
      <c r="AJ122" s="456"/>
      <c r="AK122" s="4743"/>
      <c r="AL122" s="4743"/>
      <c r="AM122" s="577"/>
      <c r="AS122" s="4743"/>
      <c r="AT122" s="577"/>
      <c r="AZ122" s="577"/>
    </row>
    <row r="123" spans="1:52" s="462" customFormat="1" ht="12" x14ac:dyDescent="0.3">
      <c r="A123" s="468">
        <v>9</v>
      </c>
      <c r="B123" s="462" t="str">
        <f>AZ59</f>
        <v>Prisons Staff Training College</v>
      </c>
      <c r="D123" s="2"/>
      <c r="E123" s="456"/>
      <c r="F123" s="456"/>
      <c r="G123" s="456"/>
      <c r="H123" s="459"/>
      <c r="I123" s="459"/>
      <c r="J123" s="7"/>
      <c r="K123" s="456"/>
      <c r="N123" s="456"/>
      <c r="O123" s="459"/>
      <c r="P123" s="459"/>
      <c r="Q123" s="459"/>
      <c r="R123" s="7"/>
      <c r="S123" s="456"/>
      <c r="W123" s="456"/>
      <c r="X123" s="459"/>
      <c r="Y123" s="459"/>
      <c r="Z123" s="459"/>
      <c r="AA123" s="7"/>
      <c r="AB123" s="456"/>
      <c r="AJ123" s="456"/>
      <c r="AK123" s="4743"/>
      <c r="AL123" s="4743"/>
      <c r="AM123" s="577"/>
      <c r="AS123" s="4743"/>
      <c r="AT123" s="577"/>
      <c r="AZ123" s="577"/>
    </row>
    <row r="124" spans="1:52" s="462" customFormat="1" ht="12" x14ac:dyDescent="0.3">
      <c r="A124" s="463">
        <v>10</v>
      </c>
      <c r="B124" s="462" t="str">
        <f>AZ61</f>
        <v>Forestry college</v>
      </c>
      <c r="D124" s="2"/>
      <c r="E124" s="456"/>
      <c r="F124" s="456"/>
      <c r="G124" s="456"/>
      <c r="H124" s="459"/>
      <c r="I124" s="459"/>
      <c r="J124" s="7"/>
      <c r="K124" s="456"/>
      <c r="N124" s="456"/>
      <c r="O124" s="459"/>
      <c r="P124" s="459"/>
      <c r="Q124" s="459"/>
      <c r="R124" s="7"/>
      <c r="S124" s="456"/>
      <c r="W124" s="456"/>
      <c r="X124" s="459"/>
      <c r="Y124" s="459"/>
      <c r="Z124" s="459"/>
      <c r="AA124" s="7"/>
      <c r="AB124" s="456"/>
      <c r="AJ124" s="456"/>
      <c r="AK124" s="4743"/>
      <c r="AL124" s="4743"/>
      <c r="AM124" s="577"/>
      <c r="AS124" s="4743"/>
      <c r="AT124" s="577"/>
      <c r="AZ124" s="577"/>
    </row>
    <row r="125" spans="1:52" s="462" customFormat="1" ht="12" x14ac:dyDescent="0.3">
      <c r="A125" s="468">
        <v>11</v>
      </c>
      <c r="B125" s="469" t="str">
        <f>AZ65</f>
        <v>Not completed for 2013-14</v>
      </c>
      <c r="D125" s="2"/>
      <c r="E125" s="456"/>
      <c r="F125" s="456"/>
      <c r="G125" s="456"/>
      <c r="H125" s="459"/>
      <c r="I125" s="459"/>
      <c r="J125" s="7"/>
      <c r="K125" s="456"/>
      <c r="N125" s="456"/>
      <c r="O125" s="459"/>
      <c r="P125" s="459"/>
      <c r="Q125" s="459"/>
      <c r="R125" s="7"/>
      <c r="S125" s="456"/>
      <c r="W125" s="456"/>
      <c r="X125" s="459"/>
      <c r="Y125" s="459"/>
      <c r="Z125" s="459"/>
      <c r="AA125" s="7"/>
      <c r="AB125" s="456"/>
      <c r="AJ125" s="456"/>
      <c r="AK125" s="4743"/>
      <c r="AL125" s="4743"/>
      <c r="AM125" s="577"/>
      <c r="AS125" s="4743"/>
      <c r="AT125" s="577"/>
      <c r="AZ125" s="577"/>
    </row>
    <row r="126" spans="1:52" s="462" customFormat="1" ht="12" x14ac:dyDescent="0.3">
      <c r="A126" s="468"/>
      <c r="B126" s="469"/>
      <c r="D126" s="2"/>
      <c r="E126" s="456"/>
      <c r="F126" s="456"/>
      <c r="G126" s="456"/>
      <c r="H126" s="459"/>
      <c r="I126" s="459"/>
      <c r="J126" s="7"/>
      <c r="K126" s="456"/>
      <c r="N126" s="456"/>
      <c r="O126" s="459"/>
      <c r="P126" s="459"/>
      <c r="Q126" s="459"/>
      <c r="R126" s="7"/>
      <c r="S126" s="456"/>
      <c r="W126" s="456"/>
      <c r="X126" s="459"/>
      <c r="Y126" s="459"/>
      <c r="Z126" s="459"/>
      <c r="AA126" s="7"/>
      <c r="AB126" s="456"/>
      <c r="AF126" s="456"/>
      <c r="AJ126" s="456"/>
      <c r="AK126" s="4743"/>
      <c r="AL126" s="4743"/>
      <c r="AM126" s="577"/>
      <c r="AS126" s="4743"/>
      <c r="AT126" s="577"/>
      <c r="AZ126" s="577"/>
    </row>
    <row r="127" spans="1:52" s="462" customFormat="1" ht="12" x14ac:dyDescent="0.3">
      <c r="A127" s="468"/>
      <c r="B127" s="469"/>
      <c r="D127" s="2"/>
      <c r="E127" s="456"/>
      <c r="F127" s="456"/>
      <c r="G127" s="456"/>
      <c r="H127" s="459"/>
      <c r="I127" s="459"/>
      <c r="J127" s="7"/>
      <c r="K127" s="456"/>
      <c r="N127" s="456"/>
      <c r="O127" s="459"/>
      <c r="P127" s="459"/>
      <c r="Q127" s="459"/>
      <c r="R127" s="7"/>
      <c r="S127" s="456"/>
      <c r="W127" s="456"/>
      <c r="X127" s="459"/>
      <c r="Y127" s="459"/>
      <c r="Z127" s="459"/>
      <c r="AA127" s="7"/>
      <c r="AB127" s="456"/>
      <c r="AF127" s="456"/>
      <c r="AJ127" s="456"/>
      <c r="AK127" s="4743"/>
      <c r="AL127" s="4743"/>
      <c r="AM127" s="577"/>
      <c r="AS127" s="4743"/>
      <c r="AT127" s="577"/>
      <c r="AZ127" s="577"/>
    </row>
    <row r="128" spans="1:52" s="462" customFormat="1" ht="12" x14ac:dyDescent="0.3">
      <c r="A128" s="468"/>
      <c r="B128" s="469"/>
      <c r="D128" s="2"/>
      <c r="E128" s="456"/>
      <c r="F128" s="456"/>
      <c r="G128" s="456"/>
      <c r="H128" s="459"/>
      <c r="I128" s="459"/>
      <c r="J128" s="7"/>
      <c r="K128" s="456"/>
      <c r="N128" s="456"/>
      <c r="O128" s="459"/>
      <c r="P128" s="459"/>
      <c r="Q128" s="459"/>
      <c r="R128" s="7"/>
      <c r="S128" s="456"/>
      <c r="W128" s="456"/>
      <c r="X128" s="459"/>
      <c r="Y128" s="459"/>
      <c r="Z128" s="459"/>
      <c r="AA128" s="7"/>
      <c r="AB128" s="456"/>
      <c r="AF128" s="456"/>
      <c r="AJ128" s="456"/>
      <c r="AK128" s="4743"/>
      <c r="AL128" s="4743"/>
      <c r="AM128" s="577"/>
      <c r="AS128" s="4743"/>
      <c r="AT128" s="577"/>
      <c r="AZ128" s="577"/>
    </row>
    <row r="129" spans="1:52" s="462" customFormat="1" x14ac:dyDescent="0.35">
      <c r="A129" s="455" t="s">
        <v>583</v>
      </c>
      <c r="B129" s="455"/>
      <c r="C129" s="456"/>
      <c r="D129" s="2"/>
      <c r="E129" s="456"/>
      <c r="F129" s="456"/>
      <c r="G129" s="456"/>
      <c r="H129" s="459"/>
      <c r="I129" s="459"/>
      <c r="J129" s="7"/>
      <c r="K129" s="456"/>
      <c r="N129" s="456"/>
      <c r="O129" s="459"/>
      <c r="P129" s="459"/>
      <c r="Q129" s="459"/>
      <c r="R129" s="7"/>
      <c r="S129" s="456"/>
      <c r="W129" s="456"/>
      <c r="X129" s="459"/>
      <c r="Y129" s="459"/>
      <c r="Z129" s="459"/>
      <c r="AA129" s="7"/>
      <c r="AB129" s="456"/>
      <c r="AF129" s="1"/>
      <c r="AG129"/>
      <c r="AH129"/>
      <c r="AI129"/>
      <c r="AJ129" s="456"/>
      <c r="AK129" s="4743"/>
      <c r="AL129" s="4743"/>
      <c r="AM129" s="577"/>
      <c r="AS129" s="4743"/>
      <c r="AT129" s="577"/>
      <c r="AZ129" s="577"/>
    </row>
    <row r="130" spans="1:52" s="462" customFormat="1" ht="93" customHeight="1" x14ac:dyDescent="0.35">
      <c r="A130" s="9170" t="s">
        <v>3198</v>
      </c>
      <c r="B130" s="9171"/>
      <c r="C130" s="9171"/>
      <c r="D130" s="9171"/>
      <c r="E130" s="9171"/>
      <c r="F130" s="9171"/>
      <c r="G130" s="9171"/>
      <c r="H130" s="9171"/>
      <c r="I130" s="9171"/>
      <c r="J130" s="9171"/>
      <c r="K130" s="9171"/>
      <c r="L130" s="9171"/>
      <c r="M130" s="9172"/>
      <c r="N130" s="456"/>
      <c r="O130" s="3299"/>
      <c r="P130" s="3299"/>
      <c r="Q130" s="3299"/>
      <c r="R130" s="3299"/>
      <c r="S130" s="2978"/>
      <c r="T130" s="2978"/>
      <c r="U130" s="2978"/>
      <c r="V130" s="2978"/>
      <c r="W130" s="456"/>
      <c r="X130" s="3299"/>
      <c r="Y130" s="3299"/>
      <c r="Z130" s="3299"/>
      <c r="AA130" s="3299"/>
      <c r="AB130" s="2978"/>
      <c r="AC130" s="2978"/>
      <c r="AD130" s="2978"/>
      <c r="AE130" s="2978"/>
      <c r="AF130" s="1"/>
      <c r="AG130"/>
      <c r="AH130"/>
      <c r="AI130"/>
      <c r="AJ130" s="456"/>
      <c r="AK130" s="4743"/>
      <c r="AL130" s="4743"/>
      <c r="AM130" s="577"/>
      <c r="AS130" s="4743"/>
      <c r="AT130" s="577"/>
      <c r="AZ130" s="577"/>
    </row>
  </sheetData>
  <mergeCells count="57">
    <mergeCell ref="A130:M130"/>
    <mergeCell ref="O35:P35"/>
    <mergeCell ref="T35:V35"/>
    <mergeCell ref="X35:Y35"/>
    <mergeCell ref="AC35:AE35"/>
    <mergeCell ref="A85:A94"/>
    <mergeCell ref="A96:A112"/>
    <mergeCell ref="A34:A83"/>
    <mergeCell ref="O34:P34"/>
    <mergeCell ref="X34:Y34"/>
    <mergeCell ref="H35:I35"/>
    <mergeCell ref="L35:M35"/>
    <mergeCell ref="X7:Y7"/>
    <mergeCell ref="AA7:AA8"/>
    <mergeCell ref="AC7:AE7"/>
    <mergeCell ref="AG7:AI7"/>
    <mergeCell ref="A10:A32"/>
    <mergeCell ref="H7:I7"/>
    <mergeCell ref="J7:J8"/>
    <mergeCell ref="L7:M7"/>
    <mergeCell ref="O7:P7"/>
    <mergeCell ref="R7:R8"/>
    <mergeCell ref="T7:V7"/>
    <mergeCell ref="AK4:AK5"/>
    <mergeCell ref="AZ4:AZ5"/>
    <mergeCell ref="H5:J5"/>
    <mergeCell ref="L5:M5"/>
    <mergeCell ref="O5:R5"/>
    <mergeCell ref="T5:V5"/>
    <mergeCell ref="X5:AA5"/>
    <mergeCell ref="AC5:AE5"/>
    <mergeCell ref="AG5:AI5"/>
    <mergeCell ref="F1:M1"/>
    <mergeCell ref="O1:V1"/>
    <mergeCell ref="X1:AE1"/>
    <mergeCell ref="AF1:AI1"/>
    <mergeCell ref="H4:J4"/>
    <mergeCell ref="L4:M4"/>
    <mergeCell ref="O4:R4"/>
    <mergeCell ref="T4:V4"/>
    <mergeCell ref="X4:AA4"/>
    <mergeCell ref="AC4:AE4"/>
    <mergeCell ref="AG4:AI4"/>
    <mergeCell ref="AL7:AN7"/>
    <mergeCell ref="AO7:AQ7"/>
    <mergeCell ref="AL1:AQ1"/>
    <mergeCell ref="AL4:AN4"/>
    <mergeCell ref="AO4:AQ4"/>
    <mergeCell ref="AL5:AN5"/>
    <mergeCell ref="AO5:AQ5"/>
    <mergeCell ref="AS7:AU7"/>
    <mergeCell ref="AV7:AX7"/>
    <mergeCell ref="AS1:AY1"/>
    <mergeCell ref="AS4:AU4"/>
    <mergeCell ref="AV4:AX4"/>
    <mergeCell ref="AS5:AU5"/>
    <mergeCell ref="AV5:AX5"/>
  </mergeCells>
  <hyperlinks>
    <hyperlink ref="Q10" r:id="rId1" xr:uid="{00000000-0004-0000-1400-000000000000}"/>
    <hyperlink ref="P52" r:id="rId2" xr:uid="{00000000-0004-0000-1400-000001000000}"/>
    <hyperlink ref="O52" r:id="rId3" xr:uid="{00000000-0004-0000-1400-000002000000}"/>
    <hyperlink ref="AD10" r:id="rId4" xr:uid="{00000000-0004-0000-1400-000003000000}"/>
    <hyperlink ref="Y52" r:id="rId5" xr:uid="{00000000-0004-0000-1400-000004000000}"/>
    <hyperlink ref="X52" r:id="rId6" xr:uid="{00000000-0004-0000-1400-000005000000}"/>
    <hyperlink ref="Z34" r:id="rId7" xr:uid="{00000000-0004-0000-1400-000006000000}"/>
    <hyperlink ref="AD34" r:id="rId8" xr:uid="{00000000-0004-0000-1400-000007000000}"/>
    <hyperlink ref="Q34" r:id="rId9" xr:uid="{00000000-0004-0000-1400-000008000000}"/>
    <hyperlink ref="Z10" r:id="rId10" xr:uid="{00000000-0004-0000-1400-000009000000}"/>
    <hyperlink ref="AG10" r:id="rId11" xr:uid="{00000000-0004-0000-1400-00000A000000}"/>
    <hyperlink ref="AL10" r:id="rId12" xr:uid="{BD703F72-D6EC-43AD-9265-FF3B45EDCC00}"/>
    <hyperlink ref="AO10" r:id="rId13" xr:uid="{D2B1DD65-1A4F-422E-90DC-37E47E83CB28}"/>
    <hyperlink ref="AS10" r:id="rId14" xr:uid="{A700C80C-F7B0-4FDB-B249-7DDE156453D9}"/>
    <hyperlink ref="AV10" r:id="rId15" xr:uid="{C85C5497-0009-432B-8935-73E6FC33C005}"/>
  </hyperlinks>
  <pageMargins left="0.23622047244094491" right="0.23622047244094491" top="0.35433070866141736" bottom="0.35433070866141736" header="0.31496062992125984" footer="0.31496062992125984"/>
  <pageSetup paperSize="9" scale="35" orientation="portrait" horizontalDpi="4294967293" r:id="rId16"/>
  <headerFooter>
    <oddFooter>&amp;R&amp;1#&amp;"Calibri"&amp;12&amp;K000000Official Use</oddFooter>
  </headerFooter>
  <legacyDrawing r:id="rId1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I104"/>
  <sheetViews>
    <sheetView zoomScale="88" workbookViewId="0">
      <pane xSplit="4" topLeftCell="V1" activePane="topRight" state="frozen"/>
      <selection activeCell="A80" sqref="A80"/>
      <selection pane="topRight" activeCell="AE75" sqref="AE75"/>
    </sheetView>
  </sheetViews>
  <sheetFormatPr defaultColWidth="9.1796875" defaultRowHeight="14.5" x14ac:dyDescent="0.35"/>
  <cols>
    <col min="1" max="1" width="6.6328125" style="1828" customWidth="1"/>
    <col min="2" max="2" width="19.1796875" style="1828" customWidth="1"/>
    <col min="3" max="3" width="21.453125" style="30" customWidth="1"/>
    <col min="4" max="4" width="4.6328125" style="1829" customWidth="1"/>
    <col min="5" max="5" width="1.6328125" style="30" customWidth="1"/>
    <col min="6" max="6" width="21.6328125" style="30" customWidth="1"/>
    <col min="7" max="7" width="1.6328125" style="30" customWidth="1"/>
    <col min="8" max="8" width="21.6328125" style="14" customWidth="1"/>
    <col min="9" max="9" width="3.1796875" style="14" customWidth="1"/>
    <col min="10" max="16" width="21.6328125" style="14" customWidth="1"/>
    <col min="17" max="17" width="2.36328125" style="14" customWidth="1"/>
    <col min="18" max="23" width="21.6328125" style="14" customWidth="1"/>
    <col min="24" max="24" width="2.36328125" style="14" customWidth="1"/>
    <col min="25" max="25" width="54.1796875" style="1828" customWidth="1"/>
    <col min="26" max="26" width="9.1796875" style="1828"/>
    <col min="27" max="29" width="21.6328125" style="14" customWidth="1"/>
    <col min="30" max="30" width="12.81640625" style="7996" customWidth="1"/>
    <col min="31" max="33" width="21.6328125" style="14" customWidth="1"/>
    <col min="34" max="34" width="2.36328125" style="14" customWidth="1"/>
    <col min="35" max="35" width="27.1796875" style="1828" customWidth="1"/>
    <col min="36" max="16384" width="9.1796875" style="1828"/>
  </cols>
  <sheetData>
    <row r="1" spans="1:35" x14ac:dyDescent="0.35">
      <c r="H1" s="1828"/>
      <c r="I1" s="1828"/>
      <c r="J1" s="1830"/>
      <c r="K1" s="1831"/>
      <c r="L1" s="1831"/>
      <c r="M1" s="1831"/>
      <c r="N1" s="1831"/>
      <c r="O1" s="1831"/>
      <c r="P1" s="1832"/>
      <c r="Q1" s="1828"/>
      <c r="R1" s="1830"/>
      <c r="S1" s="1831"/>
      <c r="T1" s="1831"/>
      <c r="U1" s="1831"/>
      <c r="V1" s="1831"/>
      <c r="W1" s="1831"/>
      <c r="X1" s="1828"/>
      <c r="AA1" s="1830"/>
      <c r="AB1" s="1831"/>
      <c r="AC1" s="1831"/>
      <c r="AD1" s="7992"/>
      <c r="AE1" s="1831"/>
      <c r="AF1" s="1831"/>
      <c r="AG1" s="1831"/>
      <c r="AH1" s="1828"/>
    </row>
    <row r="2" spans="1:35" ht="31" x14ac:dyDescent="0.35">
      <c r="B2" s="30" t="s">
        <v>9</v>
      </c>
      <c r="C2" s="1833" t="s">
        <v>112</v>
      </c>
      <c r="F2" s="9425" t="s">
        <v>391</v>
      </c>
      <c r="G2" s="9425"/>
      <c r="H2" s="9425"/>
      <c r="I2" s="1834"/>
      <c r="J2" s="9356" t="s">
        <v>397</v>
      </c>
      <c r="K2" s="9357"/>
      <c r="L2" s="9357"/>
      <c r="M2" s="9357"/>
      <c r="N2" s="9357"/>
      <c r="O2" s="9357"/>
      <c r="P2" s="9358"/>
      <c r="Q2" s="1834"/>
      <c r="R2" s="9423" t="s">
        <v>398</v>
      </c>
      <c r="S2" s="9424"/>
      <c r="T2" s="9424"/>
      <c r="U2" s="9424"/>
      <c r="V2" s="9424"/>
      <c r="W2" s="9424"/>
      <c r="X2" s="1834"/>
      <c r="AA2" s="9420" t="s">
        <v>399</v>
      </c>
      <c r="AB2" s="9421"/>
      <c r="AC2" s="9421"/>
      <c r="AD2" s="9421"/>
      <c r="AE2" s="9421"/>
      <c r="AF2" s="9421"/>
      <c r="AG2" s="9421"/>
      <c r="AH2" s="1834"/>
    </row>
    <row r="3" spans="1:35" ht="18.75" customHeight="1" x14ac:dyDescent="0.35">
      <c r="B3" s="30"/>
      <c r="F3" s="1834"/>
      <c r="G3" s="1834"/>
      <c r="H3" s="1834"/>
      <c r="I3" s="1834"/>
      <c r="J3" s="1834"/>
      <c r="K3" s="1834"/>
      <c r="L3" s="1834"/>
      <c r="M3" s="1834"/>
      <c r="N3" s="1834"/>
      <c r="O3" s="1834"/>
      <c r="P3" s="1834"/>
      <c r="Q3" s="1834"/>
      <c r="R3" s="1834"/>
      <c r="S3" s="1834"/>
      <c r="T3" s="1834"/>
      <c r="U3" s="1834"/>
      <c r="V3" s="1834"/>
      <c r="W3" s="1834"/>
      <c r="X3" s="1834"/>
      <c r="Y3" s="1834"/>
      <c r="AA3" s="1834"/>
      <c r="AB3" s="1834"/>
      <c r="AC3" s="1834"/>
      <c r="AD3" s="7993"/>
      <c r="AE3" s="1834"/>
      <c r="AF3" s="1834"/>
      <c r="AG3" s="1834"/>
      <c r="AH3" s="1834"/>
      <c r="AI3" s="1834"/>
    </row>
    <row r="4" spans="1:35" s="8" customFormat="1" ht="15.25" customHeight="1" x14ac:dyDescent="0.35">
      <c r="D4" s="579"/>
      <c r="F4" s="8326" t="s">
        <v>3199</v>
      </c>
      <c r="H4" s="8326" t="s">
        <v>3199</v>
      </c>
      <c r="I4" s="1835"/>
      <c r="J4" s="9318" t="s">
        <v>3199</v>
      </c>
      <c r="K4" s="9318"/>
      <c r="L4" s="9318"/>
      <c r="M4" s="9318" t="s">
        <v>3199</v>
      </c>
      <c r="N4" s="9318"/>
      <c r="O4" s="9318"/>
      <c r="P4" s="10"/>
      <c r="Q4" s="1835"/>
      <c r="R4" s="9318" t="s">
        <v>3199</v>
      </c>
      <c r="S4" s="9318"/>
      <c r="T4" s="9318"/>
      <c r="U4" s="9318" t="s">
        <v>3199</v>
      </c>
      <c r="V4" s="9318"/>
      <c r="W4" s="9318"/>
      <c r="X4" s="1835"/>
      <c r="Y4" s="9180" t="s">
        <v>3200</v>
      </c>
      <c r="AA4" s="9318" t="s">
        <v>3199</v>
      </c>
      <c r="AB4" s="9318"/>
      <c r="AC4" s="9318"/>
      <c r="AD4" s="7994"/>
      <c r="AE4" s="9318" t="s">
        <v>3199</v>
      </c>
      <c r="AF4" s="9318"/>
      <c r="AG4" s="9318"/>
      <c r="AH4" s="1835"/>
      <c r="AI4" s="9180" t="s">
        <v>3200</v>
      </c>
    </row>
    <row r="5" spans="1:35" ht="23.5" customHeight="1" x14ac:dyDescent="0.35">
      <c r="B5" s="30"/>
      <c r="C5" s="8"/>
      <c r="F5" s="8336">
        <v>2016</v>
      </c>
      <c r="G5" s="12"/>
      <c r="H5" s="8336">
        <v>2017</v>
      </c>
      <c r="I5" s="1836"/>
      <c r="J5" s="9422">
        <v>2017</v>
      </c>
      <c r="K5" s="9422"/>
      <c r="L5" s="9422"/>
      <c r="M5" s="9422">
        <v>2018</v>
      </c>
      <c r="N5" s="9422"/>
      <c r="O5" s="9422"/>
      <c r="P5" s="1837"/>
      <c r="Q5" s="1836"/>
      <c r="R5" s="9422">
        <v>2018</v>
      </c>
      <c r="S5" s="9422"/>
      <c r="T5" s="9422"/>
      <c r="U5" s="9422">
        <v>2019</v>
      </c>
      <c r="V5" s="9422"/>
      <c r="W5" s="9422"/>
      <c r="X5" s="1836"/>
      <c r="Y5" s="9181"/>
      <c r="AA5" s="9422">
        <v>2019</v>
      </c>
      <c r="AB5" s="9422"/>
      <c r="AC5" s="9422"/>
      <c r="AD5" s="7995"/>
      <c r="AE5" s="9422">
        <v>2020</v>
      </c>
      <c r="AF5" s="9422"/>
      <c r="AG5" s="9422"/>
      <c r="AH5" s="1836"/>
      <c r="AI5" s="9181"/>
    </row>
    <row r="6" spans="1:35" x14ac:dyDescent="0.35">
      <c r="C6" s="1828"/>
      <c r="F6" s="8328"/>
      <c r="Y6" s="14"/>
      <c r="AI6" s="14"/>
    </row>
    <row r="7" spans="1:35" ht="12.75" customHeight="1" x14ac:dyDescent="0.35">
      <c r="B7" s="30" t="s">
        <v>101</v>
      </c>
      <c r="C7" s="1833" t="s">
        <v>3201</v>
      </c>
      <c r="D7" s="1829" t="s">
        <v>417</v>
      </c>
      <c r="F7" s="8322" t="s">
        <v>3202</v>
      </c>
      <c r="H7" s="8322" t="s">
        <v>3203</v>
      </c>
      <c r="I7" s="1838"/>
      <c r="J7" s="8322" t="s">
        <v>3203</v>
      </c>
      <c r="K7" s="1839"/>
      <c r="L7" s="8322" t="s">
        <v>3203</v>
      </c>
      <c r="M7" s="8322" t="s">
        <v>3203</v>
      </c>
      <c r="N7" s="1839"/>
      <c r="O7" s="8322" t="s">
        <v>3203</v>
      </c>
      <c r="P7" s="1839"/>
      <c r="Q7" s="1838"/>
      <c r="R7" s="8322" t="s">
        <v>3203</v>
      </c>
      <c r="S7" s="1839"/>
      <c r="T7" s="8322" t="s">
        <v>3203</v>
      </c>
      <c r="U7" s="8322" t="s">
        <v>3203</v>
      </c>
      <c r="V7" s="1839"/>
      <c r="W7" s="8322" t="s">
        <v>3203</v>
      </c>
      <c r="X7" s="1838"/>
      <c r="Y7" s="1840"/>
      <c r="AA7" s="8322" t="s">
        <v>3203</v>
      </c>
      <c r="AB7" s="1839"/>
      <c r="AC7" s="8322" t="s">
        <v>3203</v>
      </c>
      <c r="AD7" s="7997"/>
      <c r="AE7" s="8322" t="s">
        <v>3203</v>
      </c>
      <c r="AF7" s="1839"/>
      <c r="AG7" s="8322" t="s">
        <v>3203</v>
      </c>
      <c r="AH7" s="1838"/>
      <c r="AI7" s="1840"/>
    </row>
    <row r="8" spans="1:35" ht="15.25" customHeight="1" x14ac:dyDescent="0.35">
      <c r="A8" s="14"/>
      <c r="B8" s="1110" t="s">
        <v>420</v>
      </c>
      <c r="C8" s="1833"/>
      <c r="F8" s="21" t="s">
        <v>96</v>
      </c>
      <c r="H8" s="21" t="s">
        <v>3204</v>
      </c>
      <c r="I8" s="1841"/>
      <c r="J8" s="21" t="s">
        <v>424</v>
      </c>
      <c r="K8" s="21" t="s">
        <v>3205</v>
      </c>
      <c r="L8" s="21" t="s">
        <v>3206</v>
      </c>
      <c r="M8" s="21" t="s">
        <v>424</v>
      </c>
      <c r="N8" s="21" t="s">
        <v>3205</v>
      </c>
      <c r="O8" s="21" t="s">
        <v>3206</v>
      </c>
      <c r="P8" s="21"/>
      <c r="Q8" s="1841"/>
      <c r="R8" s="21" t="s">
        <v>424</v>
      </c>
      <c r="S8" s="21" t="s">
        <v>3205</v>
      </c>
      <c r="T8" s="21" t="s">
        <v>1031</v>
      </c>
      <c r="U8" s="21" t="s">
        <v>424</v>
      </c>
      <c r="V8" s="21" t="s">
        <v>3205</v>
      </c>
      <c r="W8" s="21" t="s">
        <v>1031</v>
      </c>
      <c r="X8" s="1841"/>
      <c r="Y8" s="1840"/>
      <c r="AA8" s="21" t="s">
        <v>424</v>
      </c>
      <c r="AB8" s="21" t="s">
        <v>3205</v>
      </c>
      <c r="AC8" s="21" t="s">
        <v>1031</v>
      </c>
      <c r="AD8" s="7998"/>
      <c r="AE8" s="21" t="s">
        <v>424</v>
      </c>
      <c r="AF8" s="21" t="s">
        <v>3205</v>
      </c>
      <c r="AG8" s="21" t="s">
        <v>1031</v>
      </c>
      <c r="AH8" s="1841"/>
      <c r="AI8" s="1840"/>
    </row>
    <row r="9" spans="1:35" x14ac:dyDescent="0.35">
      <c r="C9" s="1828"/>
      <c r="E9" s="1828"/>
      <c r="F9" s="1828"/>
      <c r="G9" s="1828"/>
      <c r="H9" s="1828"/>
      <c r="I9" s="1828"/>
      <c r="J9" s="1828"/>
      <c r="K9" s="1828"/>
      <c r="L9" s="1828"/>
      <c r="M9" s="1828"/>
      <c r="N9" s="1828"/>
      <c r="O9" s="1828"/>
      <c r="P9" s="1828"/>
      <c r="Q9" s="1828"/>
      <c r="R9" s="1828"/>
      <c r="S9" s="1828"/>
      <c r="T9" s="1828"/>
      <c r="U9" s="1828"/>
      <c r="V9" s="1828"/>
      <c r="W9" s="1828"/>
      <c r="X9" s="1828"/>
      <c r="AA9" s="1828"/>
      <c r="AB9" s="1828"/>
      <c r="AC9" s="1828"/>
      <c r="AD9" s="7999"/>
      <c r="AE9" s="1828"/>
      <c r="AF9" s="1828"/>
      <c r="AG9" s="1828"/>
      <c r="AH9" s="1828"/>
    </row>
    <row r="10" spans="1:35" ht="52.5" customHeight="1" x14ac:dyDescent="0.35">
      <c r="A10" s="9216" t="s">
        <v>426</v>
      </c>
      <c r="B10" s="27"/>
      <c r="C10" s="28" t="s">
        <v>427</v>
      </c>
      <c r="D10" s="580" t="s">
        <v>428</v>
      </c>
      <c r="F10" s="36" t="s">
        <v>3207</v>
      </c>
      <c r="G10" s="1828"/>
      <c r="H10" s="582" t="s">
        <v>3208</v>
      </c>
      <c r="I10" s="1842"/>
      <c r="J10" s="1843"/>
      <c r="K10" s="34"/>
      <c r="L10" s="36"/>
      <c r="M10" s="1843"/>
      <c r="N10" s="34"/>
      <c r="O10" s="36" t="s">
        <v>3209</v>
      </c>
      <c r="P10" s="34"/>
      <c r="Q10" s="1844"/>
      <c r="R10" s="6948" t="s">
        <v>3210</v>
      </c>
      <c r="S10" s="3375" t="s">
        <v>3211</v>
      </c>
      <c r="T10" s="6949" t="s">
        <v>3212</v>
      </c>
      <c r="U10" s="6948" t="s">
        <v>3213</v>
      </c>
      <c r="V10" s="3375" t="s">
        <v>3211</v>
      </c>
      <c r="W10" s="6949" t="s">
        <v>1115</v>
      </c>
      <c r="X10" s="1844"/>
      <c r="Y10" s="1840" t="s">
        <v>1099</v>
      </c>
      <c r="AA10" s="6948" t="s">
        <v>3213</v>
      </c>
      <c r="AB10" s="3375" t="s">
        <v>3214</v>
      </c>
      <c r="AC10" s="6948" t="s">
        <v>3215</v>
      </c>
      <c r="AD10" s="6948" t="s">
        <v>3216</v>
      </c>
      <c r="AE10" s="6948" t="s">
        <v>3217</v>
      </c>
      <c r="AF10" s="3375" t="s">
        <v>3214</v>
      </c>
      <c r="AG10" s="36" t="s">
        <v>3218</v>
      </c>
      <c r="AH10" s="1844"/>
      <c r="AI10" s="1840" t="s">
        <v>1099</v>
      </c>
    </row>
    <row r="11" spans="1:35" ht="12.75" customHeight="1" x14ac:dyDescent="0.35">
      <c r="A11" s="9217"/>
      <c r="B11" s="1845" t="s">
        <v>451</v>
      </c>
      <c r="C11" s="1846"/>
      <c r="D11" s="585"/>
      <c r="E11" s="43"/>
      <c r="F11" s="1847"/>
      <c r="G11" s="1828"/>
      <c r="H11" s="1847"/>
      <c r="I11" s="1848"/>
      <c r="J11" s="1849"/>
      <c r="K11" s="1850"/>
      <c r="L11" s="1851"/>
      <c r="M11" s="1849"/>
      <c r="N11" s="1850"/>
      <c r="O11" s="1851"/>
      <c r="P11" s="1850"/>
      <c r="Q11" s="1848"/>
      <c r="R11" s="154"/>
      <c r="S11" s="474" t="s">
        <v>1321</v>
      </c>
      <c r="T11" s="586" t="s">
        <v>3219</v>
      </c>
      <c r="U11" s="154"/>
      <c r="V11" s="474"/>
      <c r="W11" s="586"/>
      <c r="X11" s="1848"/>
      <c r="Y11" s="1852"/>
      <c r="AA11" s="154"/>
      <c r="AB11" s="474"/>
      <c r="AC11" s="586"/>
      <c r="AD11" s="8000"/>
      <c r="AE11" s="154"/>
      <c r="AF11" s="474"/>
      <c r="AG11" s="8001" t="s">
        <v>3220</v>
      </c>
      <c r="AH11" s="1848"/>
      <c r="AI11" s="1852"/>
    </row>
    <row r="12" spans="1:35" ht="15.25" customHeight="1" x14ac:dyDescent="0.35">
      <c r="A12" s="9217"/>
      <c r="B12" s="1853"/>
      <c r="C12" s="1854" t="s">
        <v>456</v>
      </c>
      <c r="D12" s="1855"/>
      <c r="F12" s="1856">
        <v>19070.599999999999</v>
      </c>
      <c r="G12" s="1828"/>
      <c r="H12" s="1857">
        <v>21463</v>
      </c>
      <c r="I12" s="1858"/>
      <c r="J12" s="1859"/>
      <c r="K12" s="1860"/>
      <c r="L12" s="1857"/>
      <c r="M12" s="1859">
        <v>23028</v>
      </c>
      <c r="N12" s="1860" t="s">
        <v>3221</v>
      </c>
      <c r="O12" s="1857">
        <v>22700</v>
      </c>
      <c r="P12" s="1860" t="s">
        <v>3222</v>
      </c>
      <c r="Q12" s="1860"/>
      <c r="R12" s="6950">
        <f>22058</f>
        <v>22058</v>
      </c>
      <c r="S12" s="1858"/>
      <c r="T12" s="6951">
        <v>22843.002</v>
      </c>
      <c r="U12" s="6950">
        <f>26305.2911-U13</f>
        <v>24240.000099999997</v>
      </c>
      <c r="V12" s="1858"/>
      <c r="W12" s="6951"/>
      <c r="X12" s="1860"/>
      <c r="Y12" s="1861"/>
      <c r="AA12" s="6950">
        <f>U12</f>
        <v>24240.000099999997</v>
      </c>
      <c r="AB12" s="1858" t="s">
        <v>899</v>
      </c>
      <c r="AC12" s="6951">
        <f>25340.525-AC13</f>
        <v>22708.339</v>
      </c>
      <c r="AD12" s="8002">
        <f>AC12/AA12</f>
        <v>0.93681266115176309</v>
      </c>
      <c r="AE12" s="6950">
        <f>28997-AE13</f>
        <v>26710</v>
      </c>
      <c r="AF12" s="1858" t="s">
        <v>1691</v>
      </c>
      <c r="AG12" s="6951">
        <f>9033*2-AG13</f>
        <v>17460</v>
      </c>
      <c r="AH12" s="1860"/>
      <c r="AI12" s="1861"/>
    </row>
    <row r="13" spans="1:35" x14ac:dyDescent="0.35">
      <c r="A13" s="9217"/>
      <c r="B13" s="1853"/>
      <c r="C13" s="1862" t="s">
        <v>462</v>
      </c>
      <c r="D13" s="1855"/>
      <c r="F13" s="1856">
        <v>1920.55</v>
      </c>
      <c r="G13" s="1828"/>
      <c r="H13" s="1863"/>
      <c r="I13" s="1864"/>
      <c r="J13" s="1859"/>
      <c r="K13" s="1865"/>
      <c r="L13" s="1863"/>
      <c r="M13" s="1859">
        <v>3590</v>
      </c>
      <c r="N13" s="1865"/>
      <c r="O13" s="1863">
        <v>2752</v>
      </c>
      <c r="P13" s="1865"/>
      <c r="Q13" s="1865"/>
      <c r="R13" s="6950">
        <v>2752</v>
      </c>
      <c r="S13" s="1864"/>
      <c r="T13" s="6952"/>
      <c r="U13" s="6950">
        <v>2065.2910000000002</v>
      </c>
      <c r="V13" s="1864"/>
      <c r="W13" s="6952"/>
      <c r="X13" s="1865"/>
      <c r="Y13" s="1861"/>
      <c r="AA13" s="6950">
        <f>U13</f>
        <v>2065.2910000000002</v>
      </c>
      <c r="AB13" s="1864"/>
      <c r="AC13" s="6952">
        <v>2632.1860000000001</v>
      </c>
      <c r="AD13" s="8002">
        <f t="shared" ref="AD13:AD23" si="0">AC13/AA13</f>
        <v>1.274486743030401</v>
      </c>
      <c r="AE13" s="6950">
        <v>2287</v>
      </c>
      <c r="AF13" s="1864"/>
      <c r="AG13" s="6952">
        <f>303*2</f>
        <v>606</v>
      </c>
      <c r="AH13" s="1865"/>
      <c r="AI13" s="1861"/>
    </row>
    <row r="14" spans="1:35" x14ac:dyDescent="0.35">
      <c r="A14" s="9217"/>
      <c r="B14" s="1866"/>
      <c r="C14" s="1867" t="s">
        <v>465</v>
      </c>
      <c r="D14" s="1855"/>
      <c r="F14" s="1868"/>
      <c r="G14" s="1828"/>
      <c r="H14" s="1868"/>
      <c r="I14" s="1865"/>
      <c r="J14" s="1868"/>
      <c r="K14" s="1865"/>
      <c r="L14" s="1869"/>
      <c r="M14" s="1868">
        <v>5300</v>
      </c>
      <c r="N14" s="1865"/>
      <c r="O14" s="1869"/>
      <c r="P14" s="1865"/>
      <c r="Q14" s="1865"/>
      <c r="R14" s="6950">
        <f>SUM(R12:R13)</f>
        <v>24810</v>
      </c>
      <c r="S14" s="1864"/>
      <c r="T14" s="6953"/>
      <c r="U14" s="6950">
        <f>SUM(U12:U13)</f>
        <v>26305.291099999999</v>
      </c>
      <c r="V14" s="1864"/>
      <c r="W14" s="6953"/>
      <c r="X14" s="1865"/>
      <c r="Y14" s="1861"/>
      <c r="AA14" s="6950">
        <v>0</v>
      </c>
      <c r="AB14" s="1864"/>
      <c r="AC14" s="8003"/>
      <c r="AD14" s="8004"/>
      <c r="AE14" s="6950"/>
      <c r="AF14" s="1864"/>
      <c r="AG14" s="6953"/>
      <c r="AH14" s="1865"/>
      <c r="AI14" s="1861"/>
    </row>
    <row r="15" spans="1:35" x14ac:dyDescent="0.35">
      <c r="A15" s="9217"/>
      <c r="B15" s="1870"/>
      <c r="C15" s="1871" t="s">
        <v>466</v>
      </c>
      <c r="D15" s="1872"/>
      <c r="F15" s="1857">
        <f>F12+F13</f>
        <v>20991.149999999998</v>
      </c>
      <c r="G15" s="1828"/>
      <c r="J15" s="1828"/>
      <c r="K15" s="1864"/>
      <c r="L15" s="1864"/>
      <c r="M15" s="1828">
        <v>26618</v>
      </c>
      <c r="N15" s="1864"/>
      <c r="O15" s="1864">
        <v>25452</v>
      </c>
      <c r="P15" s="1864"/>
      <c r="Q15" s="1864"/>
      <c r="R15" s="6954"/>
      <c r="S15" s="4426"/>
      <c r="T15" s="6955"/>
      <c r="U15" s="6954"/>
      <c r="V15" s="4426"/>
      <c r="W15" s="6955"/>
      <c r="X15" s="1864"/>
      <c r="Y15" s="1873"/>
      <c r="AA15" s="8005">
        <f>SUM(AA12:AA14)</f>
        <v>26305.291099999999</v>
      </c>
      <c r="AB15" s="4426"/>
      <c r="AC15" s="6955">
        <f>SUM(AC12:AC14)</f>
        <v>25340.525000000001</v>
      </c>
      <c r="AD15" s="8006">
        <f t="shared" si="0"/>
        <v>0.96332425684504219</v>
      </c>
      <c r="AE15" s="8005">
        <f>SUM(AE12:AE13)</f>
        <v>28997</v>
      </c>
      <c r="AF15" s="4426"/>
      <c r="AG15" s="6955">
        <f>SUM(AG12:AG13)</f>
        <v>18066</v>
      </c>
      <c r="AH15" s="1864"/>
      <c r="AI15" s="1873"/>
    </row>
    <row r="16" spans="1:35" x14ac:dyDescent="0.35">
      <c r="A16" s="9217"/>
      <c r="B16" s="100" t="s">
        <v>468</v>
      </c>
      <c r="C16" s="1874"/>
      <c r="D16" s="585"/>
      <c r="E16" s="43"/>
      <c r="F16" s="1875"/>
      <c r="G16" s="1828"/>
      <c r="H16" s="1875"/>
      <c r="I16" s="1865"/>
      <c r="J16" s="1875"/>
      <c r="K16" s="1875"/>
      <c r="L16" s="1875"/>
      <c r="M16" s="1875"/>
      <c r="N16" s="1875"/>
      <c r="O16" s="1875"/>
      <c r="P16" s="1875"/>
      <c r="Q16" s="1865"/>
      <c r="R16" s="4264"/>
      <c r="S16" s="4360"/>
      <c r="T16" s="4471"/>
      <c r="U16" s="4264"/>
      <c r="V16" s="4360"/>
      <c r="W16" s="4471"/>
      <c r="X16" s="1865"/>
      <c r="Y16" s="1852"/>
      <c r="AA16" s="4264"/>
      <c r="AB16" s="4360"/>
      <c r="AC16" s="4471"/>
      <c r="AD16" s="8007"/>
      <c r="AE16" s="4264"/>
      <c r="AF16" s="4360"/>
      <c r="AG16" s="4471"/>
      <c r="AH16" s="1865"/>
      <c r="AI16" s="1852"/>
    </row>
    <row r="17" spans="1:35" x14ac:dyDescent="0.35">
      <c r="A17" s="9217"/>
      <c r="B17" s="6082"/>
      <c r="C17" s="1876" t="s">
        <v>470</v>
      </c>
      <c r="D17" s="1855"/>
      <c r="F17" s="1877">
        <v>18105.11</v>
      </c>
      <c r="G17" s="1828"/>
      <c r="H17" s="1877">
        <v>16980</v>
      </c>
      <c r="I17" s="1860"/>
      <c r="J17" s="1877"/>
      <c r="K17" s="1860"/>
      <c r="L17" s="1877"/>
      <c r="M17" s="1877">
        <v>13128</v>
      </c>
      <c r="N17" s="1860"/>
      <c r="O17" s="1877">
        <v>17300</v>
      </c>
      <c r="P17" s="1860"/>
      <c r="Q17" s="1860"/>
      <c r="R17" s="4231">
        <f>20157-R21</f>
        <v>20127</v>
      </c>
      <c r="S17" s="1858"/>
      <c r="T17" s="6956"/>
      <c r="U17" s="4231">
        <f>11050+2050+2774+1970+400+120</f>
        <v>18364</v>
      </c>
      <c r="V17" s="1858"/>
      <c r="W17" s="6956"/>
      <c r="X17" s="1860"/>
      <c r="Y17" s="1861"/>
      <c r="AA17" s="4231">
        <f>U17</f>
        <v>18364</v>
      </c>
      <c r="AB17" s="1858"/>
      <c r="AC17" s="6956">
        <f>20547.308-AC22</f>
        <v>17678.985000000001</v>
      </c>
      <c r="AD17" s="8008">
        <f t="shared" si="0"/>
        <v>0.9626979416249184</v>
      </c>
      <c r="AE17" s="4231">
        <f>11500+2150+2800+2110+440+100</f>
        <v>19100</v>
      </c>
      <c r="AF17" s="1858" t="s">
        <v>1393</v>
      </c>
      <c r="AG17" s="6956">
        <f>8519*2-AG22</f>
        <v>14310</v>
      </c>
      <c r="AH17" s="1860"/>
      <c r="AI17" s="1861"/>
    </row>
    <row r="18" spans="1:35" x14ac:dyDescent="0.35">
      <c r="A18" s="9217"/>
      <c r="B18" s="6082"/>
      <c r="C18" s="1876" t="s">
        <v>474</v>
      </c>
      <c r="D18" s="1855"/>
      <c r="F18" s="1878">
        <v>9607.2099999999991</v>
      </c>
      <c r="G18" s="1828"/>
      <c r="H18" s="1869">
        <v>13541</v>
      </c>
      <c r="I18" s="1865"/>
      <c r="J18" s="1869"/>
      <c r="K18" s="1865"/>
      <c r="L18" s="1869"/>
      <c r="M18" s="1869">
        <v>13490</v>
      </c>
      <c r="N18" s="1865"/>
      <c r="O18" s="1869">
        <v>12652</v>
      </c>
      <c r="P18" s="1865"/>
      <c r="Q18" s="1865"/>
      <c r="R18" s="6957"/>
      <c r="S18" s="1864"/>
      <c r="T18" s="6952"/>
      <c r="U18" s="6957"/>
      <c r="V18" s="1864"/>
      <c r="W18" s="6952"/>
      <c r="X18" s="1865"/>
      <c r="Y18" s="1861"/>
      <c r="AA18" s="6957"/>
      <c r="AB18" s="1864"/>
      <c r="AC18" s="6952"/>
      <c r="AD18" s="8009"/>
      <c r="AE18" s="6957"/>
      <c r="AF18" s="1864"/>
      <c r="AG18" s="6952"/>
      <c r="AH18" s="1865"/>
      <c r="AI18" s="1861"/>
    </row>
    <row r="19" spans="1:35" x14ac:dyDescent="0.35">
      <c r="A19" s="9217"/>
      <c r="B19" s="6082"/>
      <c r="C19" s="1876" t="s">
        <v>3223</v>
      </c>
      <c r="D19" s="1855"/>
      <c r="F19" s="1878"/>
      <c r="G19" s="1828"/>
      <c r="H19" s="1869"/>
      <c r="I19" s="1865"/>
      <c r="J19" s="1869"/>
      <c r="K19" s="1865"/>
      <c r="L19" s="1869"/>
      <c r="M19" s="1869"/>
      <c r="N19" s="1865"/>
      <c r="O19" s="1869"/>
      <c r="P19" s="1865"/>
      <c r="Q19" s="1865"/>
      <c r="R19" s="6957">
        <f>12652-R20</f>
        <v>7052</v>
      </c>
      <c r="S19" s="1864"/>
      <c r="T19" s="6952"/>
      <c r="U19" s="6957">
        <v>4359.817</v>
      </c>
      <c r="V19" s="1864"/>
      <c r="W19" s="6952"/>
      <c r="X19" s="1865"/>
      <c r="Y19" s="1861"/>
      <c r="AA19" s="6957">
        <f>U19</f>
        <v>4359.817</v>
      </c>
      <c r="AB19" s="1864"/>
      <c r="AC19" s="6952">
        <v>4247.51</v>
      </c>
      <c r="AD19" s="8009">
        <f t="shared" si="0"/>
        <v>0.9742404325686147</v>
      </c>
      <c r="AE19" s="6957">
        <v>4750</v>
      </c>
      <c r="AF19" s="1864"/>
      <c r="AG19" s="6952">
        <f>523*2</f>
        <v>1046</v>
      </c>
      <c r="AH19" s="1865"/>
      <c r="AI19" s="1861"/>
    </row>
    <row r="20" spans="1:35" x14ac:dyDescent="0.35">
      <c r="A20" s="9217"/>
      <c r="B20" s="6082"/>
      <c r="C20" s="1876" t="s">
        <v>3224</v>
      </c>
      <c r="D20" s="1855"/>
      <c r="F20" s="1878"/>
      <c r="G20" s="1828"/>
      <c r="H20" s="1869"/>
      <c r="I20" s="1865"/>
      <c r="J20" s="1869"/>
      <c r="K20" s="1865"/>
      <c r="L20" s="1869"/>
      <c r="M20" s="1869"/>
      <c r="N20" s="1865"/>
      <c r="O20" s="1869"/>
      <c r="P20" s="1865"/>
      <c r="Q20" s="1865"/>
      <c r="R20" s="6957">
        <f>300+5300</f>
        <v>5600</v>
      </c>
      <c r="S20" s="1864"/>
      <c r="T20" s="6952"/>
      <c r="U20" s="6957">
        <v>7113.3509999999997</v>
      </c>
      <c r="V20" s="1864"/>
      <c r="W20" s="6952"/>
      <c r="X20" s="1865"/>
      <c r="Y20" s="1861"/>
      <c r="AA20" s="6957">
        <f>U20</f>
        <v>7113.3509999999997</v>
      </c>
      <c r="AB20" s="1864"/>
      <c r="AC20" s="6952">
        <v>5828.8620000000001</v>
      </c>
      <c r="AD20" s="8009">
        <f t="shared" si="0"/>
        <v>0.81942561248559231</v>
      </c>
      <c r="AE20" s="6957">
        <v>8125</v>
      </c>
      <c r="AF20" s="1864"/>
      <c r="AG20" s="6952">
        <f>1469*2</f>
        <v>2938</v>
      </c>
      <c r="AH20" s="1865"/>
      <c r="AI20" s="1861"/>
    </row>
    <row r="21" spans="1:35" x14ac:dyDescent="0.35">
      <c r="A21" s="9217"/>
      <c r="B21" s="6082"/>
      <c r="C21" s="1876" t="s">
        <v>3225</v>
      </c>
      <c r="D21" s="1855"/>
      <c r="F21" s="1878"/>
      <c r="G21" s="1828"/>
      <c r="H21" s="1869"/>
      <c r="I21" s="1865"/>
      <c r="J21" s="1869"/>
      <c r="K21" s="1865"/>
      <c r="L21" s="1869"/>
      <c r="M21" s="1869"/>
      <c r="N21" s="1865"/>
      <c r="O21" s="1869"/>
      <c r="P21" s="1865"/>
      <c r="Q21" s="1865"/>
      <c r="R21" s="6958">
        <f>U21</f>
        <v>30</v>
      </c>
      <c r="S21" s="2990" t="s">
        <v>3226</v>
      </c>
      <c r="T21" s="6952"/>
      <c r="U21" s="6957">
        <v>30</v>
      </c>
      <c r="V21" s="1864"/>
      <c r="W21" s="6952"/>
      <c r="X21" s="1865"/>
      <c r="Y21" s="1861"/>
      <c r="AA21" s="6957"/>
      <c r="AB21" s="2990"/>
      <c r="AC21" s="6952">
        <v>0</v>
      </c>
      <c r="AD21" s="8009"/>
      <c r="AE21" s="6957"/>
      <c r="AF21" s="1864"/>
      <c r="AG21" s="6952"/>
      <c r="AH21" s="1865"/>
      <c r="AI21" s="1861"/>
    </row>
    <row r="22" spans="1:35" x14ac:dyDescent="0.35">
      <c r="A22" s="9217"/>
      <c r="B22" s="6082"/>
      <c r="C22" s="1879" t="s">
        <v>3227</v>
      </c>
      <c r="D22" s="1855"/>
      <c r="F22" s="1880">
        <v>6721.18</v>
      </c>
      <c r="H22" s="1881">
        <v>1881</v>
      </c>
      <c r="I22" s="1865"/>
      <c r="J22" s="1881"/>
      <c r="K22" s="1865"/>
      <c r="L22" s="1881"/>
      <c r="M22" s="1881">
        <v>6702</v>
      </c>
      <c r="N22" s="1865"/>
      <c r="O22" s="1881">
        <v>2857.4119999999998</v>
      </c>
      <c r="P22" s="1865"/>
      <c r="Q22" s="1865"/>
      <c r="R22" s="6957"/>
      <c r="S22" s="2990" t="s">
        <v>3228</v>
      </c>
      <c r="T22" s="6952"/>
      <c r="U22" s="6957">
        <f>682.075+2844.832</f>
        <v>3526.9070000000002</v>
      </c>
      <c r="V22" s="1864"/>
      <c r="W22" s="6952"/>
      <c r="X22" s="1865"/>
      <c r="Y22" s="1861"/>
      <c r="AA22" s="6957">
        <f>U22+30</f>
        <v>3556.9070000000002</v>
      </c>
      <c r="AB22" s="2990"/>
      <c r="AC22" s="6952">
        <v>2868.3229999999999</v>
      </c>
      <c r="AD22" s="8009">
        <f t="shared" si="0"/>
        <v>0.80640933260273595</v>
      </c>
      <c r="AE22" s="6957">
        <v>3718</v>
      </c>
      <c r="AF22" s="1864"/>
      <c r="AG22" s="6952">
        <f>1364*2</f>
        <v>2728</v>
      </c>
      <c r="AH22" s="1865"/>
      <c r="AI22" s="1861"/>
    </row>
    <row r="23" spans="1:35" x14ac:dyDescent="0.35">
      <c r="A23" s="9217"/>
      <c r="B23" s="128"/>
      <c r="C23" s="1882" t="s">
        <v>479</v>
      </c>
      <c r="D23" s="1872"/>
      <c r="F23" s="1857">
        <f>F17+F18</f>
        <v>27712.32</v>
      </c>
      <c r="H23" s="1857">
        <v>32402</v>
      </c>
      <c r="I23" s="1860"/>
      <c r="J23" s="1857"/>
      <c r="K23" s="1883"/>
      <c r="L23" s="1857"/>
      <c r="M23" s="1857">
        <v>33320</v>
      </c>
      <c r="N23" s="1883"/>
      <c r="O23" s="1857">
        <v>32809.411999999997</v>
      </c>
      <c r="P23" s="1883"/>
      <c r="Q23" s="1860"/>
      <c r="R23" s="4250">
        <f>SUM(R17:R22)</f>
        <v>32809</v>
      </c>
      <c r="S23" s="6959"/>
      <c r="T23" s="6960"/>
      <c r="U23" s="4250">
        <f>SUM(U17:U22)</f>
        <v>33394.074999999997</v>
      </c>
      <c r="V23" s="6959"/>
      <c r="W23" s="6960"/>
      <c r="X23" s="1860"/>
      <c r="Y23" s="1873"/>
      <c r="AA23" s="4250">
        <f>SUM(AA17:AA22)</f>
        <v>33394.074999999997</v>
      </c>
      <c r="AB23" s="6959"/>
      <c r="AC23" s="6960">
        <f>SUM(AC17:AC22)</f>
        <v>30623.680000000004</v>
      </c>
      <c r="AD23" s="8010">
        <f t="shared" si="0"/>
        <v>0.9170393250898552</v>
      </c>
      <c r="AE23" s="4250">
        <f>SUM(AE17:AE22)</f>
        <v>35693</v>
      </c>
      <c r="AF23" s="6959"/>
      <c r="AG23" s="6960">
        <f>SUM(AG17:AG22)</f>
        <v>21022</v>
      </c>
      <c r="AH23" s="1860"/>
      <c r="AI23" s="1873"/>
    </row>
    <row r="24" spans="1:35" x14ac:dyDescent="0.35">
      <c r="A24" s="9217"/>
      <c r="B24" s="100" t="s">
        <v>3229</v>
      </c>
      <c r="C24" s="1874"/>
      <c r="D24" s="585"/>
      <c r="E24" s="43"/>
      <c r="F24" s="142"/>
      <c r="G24" s="12"/>
      <c r="H24" s="142"/>
      <c r="I24" s="1884"/>
      <c r="J24" s="142"/>
      <c r="K24" s="142"/>
      <c r="L24" s="142"/>
      <c r="M24" s="142"/>
      <c r="N24" s="142"/>
      <c r="O24" s="142"/>
      <c r="P24" s="142"/>
      <c r="Q24" s="1884"/>
      <c r="R24" s="144"/>
      <c r="S24" s="145"/>
      <c r="T24" s="3036"/>
      <c r="U24" s="144"/>
      <c r="V24" s="145"/>
      <c r="W24" s="3036"/>
      <c r="X24" s="1884"/>
      <c r="Y24" s="1852"/>
      <c r="AA24" s="144"/>
      <c r="AB24" s="145"/>
      <c r="AC24" s="3036"/>
      <c r="AD24" s="8011"/>
      <c r="AE24" s="144"/>
      <c r="AF24" s="145"/>
      <c r="AG24" s="3036"/>
      <c r="AH24" s="1884"/>
      <c r="AI24" s="1852"/>
    </row>
    <row r="25" spans="1:35" ht="15.25" customHeight="1" x14ac:dyDescent="0.35">
      <c r="A25" s="9217"/>
      <c r="B25" s="6082"/>
      <c r="C25" s="1876" t="s">
        <v>483</v>
      </c>
      <c r="D25" s="1855"/>
      <c r="F25" s="1863"/>
      <c r="H25" s="1863">
        <v>12200</v>
      </c>
      <c r="I25" s="1865"/>
      <c r="J25" s="1863"/>
      <c r="K25" s="1865"/>
      <c r="L25" s="1863"/>
      <c r="M25" s="1863">
        <v>11000</v>
      </c>
      <c r="N25" s="1865"/>
      <c r="O25" s="1863">
        <v>10600</v>
      </c>
      <c r="P25" s="1865"/>
      <c r="Q25" s="1865"/>
      <c r="R25" s="6957"/>
      <c r="S25" s="2990" t="s">
        <v>639</v>
      </c>
      <c r="T25" s="6952">
        <v>10183.99</v>
      </c>
      <c r="U25" s="6957">
        <v>11050</v>
      </c>
      <c r="V25" s="2990"/>
      <c r="W25" s="6952"/>
      <c r="X25" s="1865"/>
      <c r="Y25" s="1861"/>
      <c r="AA25" s="6957">
        <f>U25</f>
        <v>11050</v>
      </c>
      <c r="AB25" s="2990"/>
      <c r="AC25" s="6952">
        <v>10345.781999999999</v>
      </c>
      <c r="AD25" s="8009">
        <f>AC25/AA25</f>
        <v>0.93626986425339365</v>
      </c>
      <c r="AE25" s="6957">
        <v>11500</v>
      </c>
      <c r="AF25" s="2990"/>
      <c r="AG25" s="6952">
        <f>5636*2</f>
        <v>11272</v>
      </c>
      <c r="AH25" s="1865"/>
      <c r="AI25" s="1861"/>
    </row>
    <row r="26" spans="1:35" x14ac:dyDescent="0.35">
      <c r="A26" s="9217"/>
      <c r="B26" s="6082"/>
      <c r="C26" s="1876" t="s">
        <v>489</v>
      </c>
      <c r="D26" s="1855"/>
      <c r="F26" s="1863"/>
      <c r="H26" s="1863">
        <v>10500</v>
      </c>
      <c r="I26" s="1865"/>
      <c r="J26" s="1863"/>
      <c r="K26" s="1865"/>
      <c r="L26" s="1863"/>
      <c r="M26" s="1863">
        <v>11000</v>
      </c>
      <c r="N26" s="1865"/>
      <c r="O26" s="1863">
        <v>10600</v>
      </c>
      <c r="P26" s="1865"/>
      <c r="Q26" s="1865"/>
      <c r="R26" s="6957"/>
      <c r="S26" s="1864"/>
      <c r="T26" s="6952"/>
      <c r="U26" s="6957"/>
      <c r="V26" s="1864"/>
      <c r="W26" s="6952"/>
      <c r="X26" s="1865"/>
      <c r="Y26" s="1861"/>
      <c r="AA26" s="6957"/>
      <c r="AB26" s="1864"/>
      <c r="AC26" s="6952">
        <v>8630.0059999999994</v>
      </c>
      <c r="AD26" s="8012"/>
      <c r="AE26" s="6957"/>
      <c r="AF26" s="1864"/>
      <c r="AG26" s="6952"/>
      <c r="AH26" s="1865"/>
      <c r="AI26" s="1861"/>
    </row>
    <row r="27" spans="1:35" x14ac:dyDescent="0.35">
      <c r="A27" s="9217"/>
      <c r="B27" s="6082"/>
      <c r="C27" s="1876" t="s">
        <v>490</v>
      </c>
      <c r="D27" s="1855"/>
      <c r="F27" s="1863"/>
      <c r="H27" s="1863"/>
      <c r="I27" s="1865"/>
      <c r="J27" s="1863"/>
      <c r="K27" s="1865"/>
      <c r="L27" s="1869"/>
      <c r="M27" s="1863"/>
      <c r="N27" s="1865"/>
      <c r="O27" s="1869"/>
      <c r="P27" s="1865"/>
      <c r="Q27" s="1865"/>
      <c r="R27" s="6957"/>
      <c r="S27" s="1864"/>
      <c r="T27" s="6952"/>
      <c r="U27" s="6957"/>
      <c r="V27" s="1864"/>
      <c r="W27" s="6952"/>
      <c r="X27" s="1865"/>
      <c r="Y27" s="1861"/>
      <c r="AA27" s="6957"/>
      <c r="AB27" s="1864"/>
      <c r="AC27" s="6952"/>
      <c r="AD27" s="8012"/>
      <c r="AE27" s="6957"/>
      <c r="AF27" s="1864"/>
      <c r="AG27" s="6952"/>
      <c r="AH27" s="1865"/>
      <c r="AI27" s="1861"/>
    </row>
    <row r="28" spans="1:35" x14ac:dyDescent="0.35">
      <c r="A28" s="9217"/>
      <c r="B28" s="6082"/>
      <c r="C28" s="1885" t="s">
        <v>497</v>
      </c>
      <c r="D28" s="1886"/>
      <c r="F28" s="1868"/>
      <c r="H28" s="1868"/>
      <c r="I28" s="1865"/>
      <c r="J28" s="1868"/>
      <c r="K28" s="1865"/>
      <c r="L28" s="1869"/>
      <c r="M28" s="1868"/>
      <c r="N28" s="1865"/>
      <c r="O28" s="1869"/>
      <c r="P28" s="1865"/>
      <c r="Q28" s="1865"/>
      <c r="R28" s="6961"/>
      <c r="S28" s="1864"/>
      <c r="T28" s="6952"/>
      <c r="U28" s="6961"/>
      <c r="V28" s="1864"/>
      <c r="W28" s="6952"/>
      <c r="X28" s="1865"/>
      <c r="Y28" s="1861"/>
      <c r="AA28" s="6961"/>
      <c r="AB28" s="1864"/>
      <c r="AC28" s="6952"/>
      <c r="AD28" s="8013"/>
      <c r="AE28" s="6961"/>
      <c r="AF28" s="1864"/>
      <c r="AG28" s="6952"/>
      <c r="AH28" s="1865"/>
      <c r="AI28" s="1861"/>
    </row>
    <row r="29" spans="1:35" x14ac:dyDescent="0.35">
      <c r="A29" s="9217"/>
      <c r="B29" s="6082"/>
      <c r="C29" s="1876" t="s">
        <v>499</v>
      </c>
      <c r="D29" s="1855"/>
      <c r="F29" s="1887">
        <f>IF(F25=0,0,(F27-F28)/F25)</f>
        <v>0</v>
      </c>
      <c r="G29" s="1888"/>
      <c r="H29" s="1887">
        <f>IF(H25=0,0,(H27-H28)/H25)</f>
        <v>0</v>
      </c>
      <c r="I29" s="1889"/>
      <c r="J29" s="1887">
        <f>IF(J25=0,0,(J27-J28)/J25)</f>
        <v>0</v>
      </c>
      <c r="K29" s="1889"/>
      <c r="L29" s="1890"/>
      <c r="M29" s="1887">
        <f>IF(M25=0,0,(M27-M28)/M25)</f>
        <v>0</v>
      </c>
      <c r="N29" s="1889"/>
      <c r="O29" s="1890"/>
      <c r="P29" s="1889"/>
      <c r="Q29" s="1889"/>
      <c r="R29" s="6962">
        <f>IF(R25=0,0,(R27-R28)/R25)</f>
        <v>0</v>
      </c>
      <c r="S29" s="6963"/>
      <c r="T29" s="6705"/>
      <c r="U29" s="6962">
        <f>IF(U25=0,0,(U27-U28)/U25)</f>
        <v>0</v>
      </c>
      <c r="V29" s="6963"/>
      <c r="W29" s="6705"/>
      <c r="X29" s="1890"/>
      <c r="Y29" s="1861"/>
      <c r="AA29" s="6962">
        <f>IF(AA25=0,0,(AA27-AA28)/AA25)</f>
        <v>0</v>
      </c>
      <c r="AB29" s="8014"/>
      <c r="AC29" s="6705"/>
      <c r="AD29" s="6963"/>
      <c r="AE29" s="6962">
        <f>IF(AE25=0,0,(AE27-AE28)/AE25)</f>
        <v>0</v>
      </c>
      <c r="AF29" s="8014"/>
      <c r="AG29" s="6705"/>
      <c r="AH29" s="1889"/>
      <c r="AI29" s="1861"/>
    </row>
    <row r="30" spans="1:35" x14ac:dyDescent="0.35">
      <c r="A30" s="9217"/>
      <c r="B30" s="100" t="s">
        <v>3230</v>
      </c>
      <c r="C30" s="1874"/>
      <c r="D30" s="1891"/>
      <c r="F30" s="1875"/>
      <c r="H30" s="1875"/>
      <c r="I30" s="1865"/>
      <c r="J30" s="1875"/>
      <c r="K30" s="1875"/>
      <c r="L30" s="1875"/>
      <c r="M30" s="1875"/>
      <c r="N30" s="1875"/>
      <c r="O30" s="1875"/>
      <c r="P30" s="1875"/>
      <c r="Q30" s="1865"/>
      <c r="R30" s="4264"/>
      <c r="S30" s="4360"/>
      <c r="T30" s="4471"/>
      <c r="U30" s="4264"/>
      <c r="V30" s="4360"/>
      <c r="W30" s="4471"/>
      <c r="X30" s="1865"/>
      <c r="Y30" s="1892"/>
      <c r="AA30" s="4264"/>
      <c r="AB30" s="4360"/>
      <c r="AC30" s="4471"/>
      <c r="AD30" s="8007"/>
      <c r="AE30" s="4264"/>
      <c r="AF30" s="4360"/>
      <c r="AG30" s="4471"/>
      <c r="AH30" s="1865"/>
      <c r="AI30" s="1892"/>
    </row>
    <row r="31" spans="1:35" x14ac:dyDescent="0.35">
      <c r="A31" s="9217"/>
      <c r="B31" s="6082"/>
      <c r="C31" s="1893" t="s">
        <v>11</v>
      </c>
      <c r="D31" s="1894"/>
      <c r="F31" s="1869"/>
      <c r="H31" s="1869">
        <v>7425.06</v>
      </c>
      <c r="I31" s="1865"/>
      <c r="J31" s="1869"/>
      <c r="K31" s="1865"/>
      <c r="L31" s="1869"/>
      <c r="M31" s="1869"/>
      <c r="N31" s="1865"/>
      <c r="O31" s="1869">
        <v>7549.6580000000004</v>
      </c>
      <c r="P31" s="1865"/>
      <c r="Q31" s="1865"/>
      <c r="R31" s="6957"/>
      <c r="S31" s="1864"/>
      <c r="T31" s="6952"/>
      <c r="U31" s="6957"/>
      <c r="V31" s="1864"/>
      <c r="W31" s="6952"/>
      <c r="X31" s="1865"/>
      <c r="Y31" s="1895"/>
      <c r="AA31" s="6957"/>
      <c r="AB31" s="1864"/>
      <c r="AC31" s="6952"/>
      <c r="AD31" s="8012"/>
      <c r="AE31" s="6957"/>
      <c r="AF31" s="1864"/>
      <c r="AG31" s="6952"/>
      <c r="AH31" s="1865"/>
      <c r="AI31" s="1895"/>
    </row>
    <row r="32" spans="1:35" x14ac:dyDescent="0.35">
      <c r="A32" s="9217"/>
      <c r="B32" s="844"/>
      <c r="C32" s="1896" t="s">
        <v>502</v>
      </c>
      <c r="D32" s="1897"/>
      <c r="F32" s="1898"/>
      <c r="H32" s="1898">
        <v>1673.95</v>
      </c>
      <c r="I32" s="1865"/>
      <c r="J32" s="1898"/>
      <c r="K32" s="1899"/>
      <c r="L32" s="1898"/>
      <c r="M32" s="1898">
        <v>4600</v>
      </c>
      <c r="N32" s="1899"/>
      <c r="O32" s="1898">
        <v>1517.827</v>
      </c>
      <c r="P32" s="1899"/>
      <c r="Q32" s="1865"/>
      <c r="R32" s="6964"/>
      <c r="S32" s="4426"/>
      <c r="T32" s="6965"/>
      <c r="U32" s="6964"/>
      <c r="V32" s="4426"/>
      <c r="W32" s="6965"/>
      <c r="X32" s="1865"/>
      <c r="Y32" s="1900"/>
      <c r="AA32" s="6964"/>
      <c r="AB32" s="4426"/>
      <c r="AC32" s="6965"/>
      <c r="AD32" s="8015"/>
      <c r="AE32" s="6964"/>
      <c r="AF32" s="4426"/>
      <c r="AG32" s="6965"/>
      <c r="AH32" s="1865"/>
      <c r="AI32" s="1900"/>
    </row>
    <row r="33" spans="1:35" x14ac:dyDescent="0.35">
      <c r="A33" s="9217"/>
      <c r="B33" s="100" t="s">
        <v>501</v>
      </c>
      <c r="C33" s="1874"/>
      <c r="D33" s="1891"/>
      <c r="F33" s="1875"/>
      <c r="H33" s="1875"/>
      <c r="I33" s="1865"/>
      <c r="J33" s="1875"/>
      <c r="K33" s="1875"/>
      <c r="L33" s="1875"/>
      <c r="M33" s="1875"/>
      <c r="N33" s="1875"/>
      <c r="O33" s="1875"/>
      <c r="P33" s="1875"/>
      <c r="Q33" s="1865"/>
      <c r="R33" s="4264"/>
      <c r="S33" s="4360"/>
      <c r="T33" s="4471"/>
      <c r="U33" s="4264"/>
      <c r="V33" s="4360"/>
      <c r="W33" s="4471"/>
      <c r="X33" s="1865"/>
      <c r="Y33" s="1892"/>
      <c r="AA33" s="4264"/>
      <c r="AB33" s="4360"/>
      <c r="AC33" s="4471"/>
      <c r="AD33" s="8007"/>
      <c r="AE33" s="4264"/>
      <c r="AF33" s="4360"/>
      <c r="AG33" s="4471"/>
      <c r="AH33" s="1865"/>
      <c r="AI33" s="1892"/>
    </row>
    <row r="34" spans="1:35" x14ac:dyDescent="0.35">
      <c r="A34" s="9217"/>
      <c r="B34" s="6082"/>
      <c r="C34" s="1893" t="s">
        <v>11</v>
      </c>
      <c r="D34" s="1894"/>
      <c r="F34" s="1869"/>
      <c r="H34" s="1869"/>
      <c r="I34" s="1865"/>
      <c r="J34" s="1869"/>
      <c r="K34" s="1865"/>
      <c r="L34" s="1869"/>
      <c r="M34" s="1869"/>
      <c r="N34" s="1865"/>
      <c r="O34" s="1869"/>
      <c r="P34" s="1865"/>
      <c r="Q34" s="1865"/>
      <c r="R34" s="6957"/>
      <c r="S34" s="1864"/>
      <c r="T34" s="6952"/>
      <c r="U34" s="6957">
        <v>5047.7589900000003</v>
      </c>
      <c r="V34" s="1864"/>
      <c r="W34" s="6952"/>
      <c r="X34" s="1865"/>
      <c r="Y34" s="1895"/>
      <c r="AA34" s="6957"/>
      <c r="AB34" s="1864"/>
      <c r="AC34" s="6952"/>
      <c r="AD34" s="8012"/>
      <c r="AE34" s="6957"/>
      <c r="AF34" s="1864"/>
      <c r="AG34" s="6952"/>
      <c r="AH34" s="1865"/>
      <c r="AI34" s="1895"/>
    </row>
    <row r="35" spans="1:35" x14ac:dyDescent="0.35">
      <c r="A35" s="9217"/>
      <c r="B35" s="844"/>
      <c r="C35" s="1896" t="s">
        <v>502</v>
      </c>
      <c r="D35" s="1897"/>
      <c r="F35" s="1898"/>
      <c r="H35" s="1898"/>
      <c r="I35" s="1865"/>
      <c r="J35" s="1898"/>
      <c r="K35" s="1899"/>
      <c r="L35" s="1898"/>
      <c r="M35" s="1898"/>
      <c r="N35" s="1899"/>
      <c r="O35" s="1898"/>
      <c r="P35" s="1899"/>
      <c r="Q35" s="1865"/>
      <c r="R35" s="6964"/>
      <c r="S35" s="4426"/>
      <c r="T35" s="6965"/>
      <c r="U35" s="6964"/>
      <c r="V35" s="4426"/>
      <c r="W35" s="6965"/>
      <c r="X35" s="1865"/>
      <c r="Y35" s="1900"/>
      <c r="AA35" s="6964"/>
      <c r="AB35" s="4426"/>
      <c r="AC35" s="6965"/>
      <c r="AD35" s="8015"/>
      <c r="AE35" s="6964"/>
      <c r="AF35" s="4426"/>
      <c r="AG35" s="6965"/>
      <c r="AH35" s="1865"/>
      <c r="AI35" s="1900"/>
    </row>
    <row r="36" spans="1:35" x14ac:dyDescent="0.35">
      <c r="A36" s="1901"/>
      <c r="B36" s="1901"/>
      <c r="F36" s="1864"/>
      <c r="H36" s="1902"/>
      <c r="I36" s="1864"/>
      <c r="J36" s="1902"/>
      <c r="K36" s="1864"/>
      <c r="L36" s="1864"/>
      <c r="M36" s="1902"/>
      <c r="N36" s="1864"/>
      <c r="O36" s="1864"/>
      <c r="P36" s="1864"/>
      <c r="Q36" s="1864"/>
      <c r="R36" s="1902"/>
      <c r="S36" s="1864"/>
      <c r="T36" s="1864"/>
      <c r="U36" s="1902"/>
      <c r="V36" s="1864"/>
      <c r="W36" s="1864"/>
      <c r="X36" s="1864"/>
      <c r="AA36" s="1902"/>
      <c r="AB36" s="1864"/>
      <c r="AC36" s="1864"/>
      <c r="AD36" s="8016"/>
      <c r="AE36" s="1902"/>
      <c r="AF36" s="1864"/>
      <c r="AG36" s="1864"/>
      <c r="AH36" s="1864"/>
    </row>
    <row r="37" spans="1:35" ht="45" customHeight="1" x14ac:dyDescent="0.35">
      <c r="A37" s="9167" t="s">
        <v>503</v>
      </c>
      <c r="B37" s="27"/>
      <c r="C37" s="28" t="s">
        <v>427</v>
      </c>
      <c r="D37" s="585"/>
      <c r="F37" s="36"/>
      <c r="G37" s="223"/>
      <c r="H37" s="36"/>
      <c r="I37" s="1844"/>
      <c r="J37" s="36"/>
      <c r="K37" s="34"/>
      <c r="L37" s="36"/>
      <c r="M37" s="36"/>
      <c r="N37" s="34"/>
      <c r="O37" s="36"/>
      <c r="P37" s="34"/>
      <c r="Q37" s="1844"/>
      <c r="R37" s="36"/>
      <c r="S37" s="34"/>
      <c r="T37" s="36"/>
      <c r="U37" s="36"/>
      <c r="V37" s="34"/>
      <c r="W37" s="36"/>
      <c r="X37" s="1844"/>
      <c r="Y37" s="1840"/>
      <c r="AA37" s="36"/>
      <c r="AB37" s="34"/>
      <c r="AC37" s="36"/>
      <c r="AD37" s="8017"/>
      <c r="AE37" s="36"/>
      <c r="AF37" s="34"/>
      <c r="AG37" s="36"/>
      <c r="AH37" s="1844"/>
      <c r="AI37" s="1840"/>
    </row>
    <row r="38" spans="1:35" x14ac:dyDescent="0.35">
      <c r="A38" s="9168"/>
      <c r="B38" s="43" t="s">
        <v>514</v>
      </c>
      <c r="C38" s="1828"/>
      <c r="D38" s="585"/>
      <c r="E38" s="12"/>
      <c r="F38" s="1875"/>
      <c r="G38" s="12"/>
      <c r="H38" s="1875"/>
      <c r="I38" s="1865"/>
      <c r="J38" s="1875"/>
      <c r="K38" s="1875"/>
      <c r="L38" s="1875"/>
      <c r="M38" s="1875"/>
      <c r="N38" s="1875"/>
      <c r="O38" s="1875"/>
      <c r="P38" s="1875"/>
      <c r="Q38" s="1865"/>
      <c r="R38" s="4264" t="s">
        <v>3231</v>
      </c>
      <c r="S38" s="4472" t="s">
        <v>3232</v>
      </c>
      <c r="T38" s="4471"/>
      <c r="U38" s="4264" t="s">
        <v>3231</v>
      </c>
      <c r="V38" s="4472"/>
      <c r="W38" s="4471"/>
      <c r="X38" s="1865"/>
      <c r="Y38" s="1852"/>
      <c r="AA38" s="4264"/>
      <c r="AB38" s="4472"/>
      <c r="AC38" s="4471"/>
      <c r="AD38" s="8007"/>
      <c r="AE38" s="4264"/>
      <c r="AF38" s="4472"/>
      <c r="AG38" s="4471"/>
      <c r="AH38" s="1865"/>
      <c r="AI38" s="1852"/>
    </row>
    <row r="39" spans="1:35" ht="15.75" customHeight="1" x14ac:dyDescent="0.35">
      <c r="A39" s="9168"/>
      <c r="B39" s="1903"/>
      <c r="C39" s="1903" t="s">
        <v>3233</v>
      </c>
      <c r="D39" s="1855"/>
      <c r="F39" s="1904"/>
      <c r="H39" s="1863">
        <v>2269.5</v>
      </c>
      <c r="I39" s="1865"/>
      <c r="J39" s="1863"/>
      <c r="K39" s="1865"/>
      <c r="L39" s="1863"/>
      <c r="M39" s="1863"/>
      <c r="N39" s="1865"/>
      <c r="O39" s="1863">
        <v>1349.3309999999999</v>
      </c>
      <c r="P39" s="1865"/>
      <c r="Q39" s="1865"/>
      <c r="R39" s="4267">
        <f>4187.92619-R40</f>
        <v>3390.3776000000003</v>
      </c>
      <c r="S39" s="2990" t="s">
        <v>3234</v>
      </c>
      <c r="T39" s="6952"/>
      <c r="U39" s="4267">
        <f>3420.65441-U40</f>
        <v>3269.5213400000002</v>
      </c>
      <c r="V39" s="2990" t="s">
        <v>3234</v>
      </c>
      <c r="W39" s="6952"/>
      <c r="X39" s="1865"/>
      <c r="Y39" s="1861" t="s">
        <v>3235</v>
      </c>
      <c r="AA39" s="4267">
        <f>U39</f>
        <v>3269.5213400000002</v>
      </c>
      <c r="AB39" s="2990"/>
      <c r="AC39" s="6952"/>
      <c r="AD39" s="8009"/>
      <c r="AE39" s="4267">
        <v>3657.4090000000001</v>
      </c>
      <c r="AF39" s="2990"/>
      <c r="AG39" s="6952"/>
      <c r="AH39" s="1865"/>
      <c r="AI39" s="1861"/>
    </row>
    <row r="40" spans="1:35" x14ac:dyDescent="0.35">
      <c r="A40" s="9168"/>
      <c r="B40" s="1903"/>
      <c r="C40" s="1903" t="s">
        <v>533</v>
      </c>
      <c r="D40" s="1855"/>
      <c r="F40" s="1863"/>
      <c r="H40" s="1863"/>
      <c r="I40" s="1865"/>
      <c r="J40" s="1863"/>
      <c r="K40" s="1865"/>
      <c r="L40" s="1869"/>
      <c r="M40" s="1863"/>
      <c r="N40" s="1865"/>
      <c r="O40" s="1869"/>
      <c r="P40" s="1865"/>
      <c r="Q40" s="1865"/>
      <c r="R40" s="4267">
        <v>797.54858999999999</v>
      </c>
      <c r="S40" s="1864"/>
      <c r="T40" s="6952"/>
      <c r="U40" s="4267">
        <v>151.13307</v>
      </c>
      <c r="V40" s="1864"/>
      <c r="W40" s="6952"/>
      <c r="X40" s="1865"/>
      <c r="Y40" s="1861"/>
      <c r="AA40" s="4267">
        <f>U40</f>
        <v>151.13307</v>
      </c>
      <c r="AB40" s="1864"/>
      <c r="AC40" s="6952"/>
      <c r="AD40" s="8012"/>
      <c r="AE40" s="4267">
        <v>189.11799999999999</v>
      </c>
      <c r="AF40" s="1864"/>
      <c r="AG40" s="6952"/>
      <c r="AH40" s="1865"/>
      <c r="AI40" s="1861"/>
    </row>
    <row r="41" spans="1:35" x14ac:dyDescent="0.35">
      <c r="A41" s="9168"/>
      <c r="B41" s="1905"/>
      <c r="C41" s="1903" t="s">
        <v>534</v>
      </c>
      <c r="D41" s="1855"/>
      <c r="F41" s="1863"/>
      <c r="H41" s="1863"/>
      <c r="I41" s="1865"/>
      <c r="J41" s="1863"/>
      <c r="K41" s="1865"/>
      <c r="L41" s="1869"/>
      <c r="M41" s="1863"/>
      <c r="N41" s="1865"/>
      <c r="O41" s="1869"/>
      <c r="P41" s="1865"/>
      <c r="Q41" s="1865"/>
      <c r="R41" s="6957"/>
      <c r="S41" s="1864"/>
      <c r="T41" s="6952"/>
      <c r="U41" s="6957"/>
      <c r="V41" s="1864"/>
      <c r="W41" s="6952"/>
      <c r="X41" s="1865"/>
      <c r="Y41" s="1861"/>
      <c r="AA41" s="6957"/>
      <c r="AB41" s="1864"/>
      <c r="AC41" s="6952"/>
      <c r="AD41" s="8012"/>
      <c r="AE41" s="6957"/>
      <c r="AF41" s="1864"/>
      <c r="AG41" s="6952"/>
      <c r="AH41" s="1865"/>
      <c r="AI41" s="1861"/>
    </row>
    <row r="42" spans="1:35" x14ac:dyDescent="0.35">
      <c r="A42" s="9168"/>
      <c r="B42" s="1905"/>
      <c r="C42" s="1903" t="s">
        <v>536</v>
      </c>
      <c r="D42" s="1855"/>
      <c r="F42" s="1868"/>
      <c r="H42" s="1868"/>
      <c r="I42" s="1865"/>
      <c r="J42" s="1868"/>
      <c r="K42" s="1865"/>
      <c r="L42" s="1869"/>
      <c r="M42" s="1868"/>
      <c r="N42" s="1865"/>
      <c r="O42" s="1869"/>
      <c r="P42" s="1865"/>
      <c r="Q42" s="1865"/>
      <c r="R42" s="6961"/>
      <c r="S42" s="1864"/>
      <c r="T42" s="6952"/>
      <c r="U42" s="6961"/>
      <c r="V42" s="1864"/>
      <c r="W42" s="6952"/>
      <c r="X42" s="1865"/>
      <c r="Y42" s="1861"/>
      <c r="AA42" s="6961"/>
      <c r="AB42" s="1864"/>
      <c r="AC42" s="6952"/>
      <c r="AD42" s="8013"/>
      <c r="AE42" s="6961"/>
      <c r="AF42" s="1864"/>
      <c r="AG42" s="6952"/>
      <c r="AH42" s="1865"/>
      <c r="AI42" s="1861"/>
    </row>
    <row r="43" spans="1:35" x14ac:dyDescent="0.35">
      <c r="A43" s="9168"/>
      <c r="B43" s="43" t="s">
        <v>2547</v>
      </c>
      <c r="C43" s="1828"/>
      <c r="D43" s="1855"/>
      <c r="E43" s="12"/>
      <c r="F43" s="1865"/>
      <c r="G43" s="12"/>
      <c r="H43" s="1865"/>
      <c r="I43" s="1865"/>
      <c r="J43" s="1865"/>
      <c r="K43" s="1865"/>
      <c r="L43" s="1865"/>
      <c r="M43" s="1865"/>
      <c r="N43" s="1865"/>
      <c r="O43" s="1865"/>
      <c r="P43" s="1865"/>
      <c r="Q43" s="1865"/>
      <c r="R43" s="4363"/>
      <c r="S43" s="1864"/>
      <c r="T43" s="2681"/>
      <c r="U43" s="4363"/>
      <c r="V43" s="1864"/>
      <c r="W43" s="2681"/>
      <c r="X43" s="1865"/>
      <c r="Y43" s="1861"/>
      <c r="AA43" s="4363"/>
      <c r="AB43" s="1864"/>
      <c r="AC43" s="2681"/>
      <c r="AD43" s="8016"/>
      <c r="AE43" s="4363"/>
      <c r="AF43" s="1864"/>
      <c r="AG43" s="2681"/>
      <c r="AH43" s="1865"/>
      <c r="AI43" s="1861"/>
    </row>
    <row r="44" spans="1:35" x14ac:dyDescent="0.35">
      <c r="A44" s="9168"/>
      <c r="B44" s="1903"/>
      <c r="C44" s="1903" t="s">
        <v>532</v>
      </c>
      <c r="D44" s="1855"/>
      <c r="F44" s="1904"/>
      <c r="H44" s="1904"/>
      <c r="I44" s="1865"/>
      <c r="J44" s="1904"/>
      <c r="K44" s="1865"/>
      <c r="L44" s="1869"/>
      <c r="M44" s="1904"/>
      <c r="N44" s="1865"/>
      <c r="O44" s="1869"/>
      <c r="P44" s="1865"/>
      <c r="Q44" s="1865"/>
      <c r="R44" s="6966"/>
      <c r="S44" s="1864"/>
      <c r="T44" s="6952"/>
      <c r="U44" s="6966"/>
      <c r="V44" s="1864"/>
      <c r="W44" s="6952"/>
      <c r="X44" s="1865"/>
      <c r="Y44" s="1861"/>
      <c r="AA44" s="6966"/>
      <c r="AB44" s="1864"/>
      <c r="AC44" s="6952"/>
      <c r="AD44" s="8018"/>
      <c r="AE44" s="6966"/>
      <c r="AF44" s="1864"/>
      <c r="AG44" s="6952"/>
      <c r="AH44" s="1865"/>
      <c r="AI44" s="1861"/>
    </row>
    <row r="45" spans="1:35" x14ac:dyDescent="0.35">
      <c r="A45" s="9168"/>
      <c r="B45" s="1903"/>
      <c r="C45" s="1903" t="s">
        <v>533</v>
      </c>
      <c r="D45" s="1855"/>
      <c r="F45" s="1863"/>
      <c r="H45" s="1863"/>
      <c r="I45" s="1865"/>
      <c r="J45" s="1863"/>
      <c r="K45" s="1865"/>
      <c r="L45" s="1869"/>
      <c r="M45" s="1863"/>
      <c r="N45" s="1865"/>
      <c r="O45" s="1869"/>
      <c r="P45" s="1865"/>
      <c r="Q45" s="1865"/>
      <c r="R45" s="6957"/>
      <c r="S45" s="1864"/>
      <c r="T45" s="6952"/>
      <c r="U45" s="6957"/>
      <c r="V45" s="1864"/>
      <c r="W45" s="6952"/>
      <c r="X45" s="1865"/>
      <c r="Y45" s="1861"/>
      <c r="AA45" s="6957"/>
      <c r="AB45" s="1864"/>
      <c r="AC45" s="6952"/>
      <c r="AD45" s="8012"/>
      <c r="AE45" s="6957"/>
      <c r="AF45" s="1864"/>
      <c r="AG45" s="6952"/>
      <c r="AH45" s="1865"/>
      <c r="AI45" s="1861"/>
    </row>
    <row r="46" spans="1:35" x14ac:dyDescent="0.35">
      <c r="A46" s="9168"/>
      <c r="B46" s="1906"/>
      <c r="C46" s="1906" t="s">
        <v>534</v>
      </c>
      <c r="D46" s="1872"/>
      <c r="F46" s="1907"/>
      <c r="H46" s="1907"/>
      <c r="I46" s="1865"/>
      <c r="J46" s="1907"/>
      <c r="K46" s="1899"/>
      <c r="L46" s="1898"/>
      <c r="M46" s="1907"/>
      <c r="N46" s="1899"/>
      <c r="O46" s="1898"/>
      <c r="P46" s="1899"/>
      <c r="Q46" s="1865"/>
      <c r="R46" s="6964"/>
      <c r="S46" s="4426"/>
      <c r="T46" s="6965"/>
      <c r="U46" s="6964"/>
      <c r="V46" s="4426"/>
      <c r="W46" s="6965"/>
      <c r="X46" s="1865"/>
      <c r="Y46" s="1873"/>
      <c r="AA46" s="6964"/>
      <c r="AB46" s="4426"/>
      <c r="AC46" s="6965"/>
      <c r="AD46" s="8015"/>
      <c r="AE46" s="6964"/>
      <c r="AF46" s="4426"/>
      <c r="AG46" s="6965"/>
      <c r="AH46" s="1865"/>
      <c r="AI46" s="1873"/>
    </row>
    <row r="47" spans="1:35" x14ac:dyDescent="0.35">
      <c r="A47" s="9168"/>
      <c r="B47" s="43" t="s">
        <v>535</v>
      </c>
      <c r="C47" s="43"/>
      <c r="D47" s="1855"/>
      <c r="E47" s="12"/>
      <c r="F47" s="1875"/>
      <c r="G47" s="12"/>
      <c r="H47" s="1875"/>
      <c r="I47" s="1865"/>
      <c r="J47" s="1875"/>
      <c r="K47" s="1865"/>
      <c r="L47" s="1865"/>
      <c r="M47" s="1875"/>
      <c r="N47" s="1865"/>
      <c r="O47" s="1865"/>
      <c r="P47" s="1865"/>
      <c r="Q47" s="1865"/>
      <c r="R47" s="4264"/>
      <c r="S47" s="4360"/>
      <c r="T47" s="4471"/>
      <c r="U47" s="4264"/>
      <c r="V47" s="4360"/>
      <c r="W47" s="4471"/>
      <c r="X47" s="1865"/>
      <c r="Y47" s="1861"/>
      <c r="AA47" s="4264"/>
      <c r="AB47" s="4360"/>
      <c r="AC47" s="4471"/>
      <c r="AD47" s="8007"/>
      <c r="AE47" s="4264"/>
      <c r="AF47" s="4360"/>
      <c r="AG47" s="4471"/>
      <c r="AH47" s="1865"/>
      <c r="AI47" s="1861"/>
    </row>
    <row r="48" spans="1:35" x14ac:dyDescent="0.35">
      <c r="A48" s="9168"/>
      <c r="B48" s="1908"/>
      <c r="C48" s="1903" t="s">
        <v>532</v>
      </c>
      <c r="D48" s="1855"/>
      <c r="F48" s="1909"/>
      <c r="H48" s="1909"/>
      <c r="I48" s="1910"/>
      <c r="J48" s="1909"/>
      <c r="K48" s="1910"/>
      <c r="L48" s="1911"/>
      <c r="M48" s="1909"/>
      <c r="N48" s="1910"/>
      <c r="O48" s="1911"/>
      <c r="P48" s="1910"/>
      <c r="Q48" s="1910"/>
      <c r="R48" s="6967"/>
      <c r="S48" s="6968"/>
      <c r="T48" s="6969"/>
      <c r="U48" s="6967"/>
      <c r="V48" s="6968"/>
      <c r="W48" s="6969"/>
      <c r="X48" s="1910"/>
      <c r="Y48" s="1861"/>
      <c r="AA48" s="6967"/>
      <c r="AB48" s="6968"/>
      <c r="AC48" s="6969"/>
      <c r="AD48" s="8019"/>
      <c r="AE48" s="6967"/>
      <c r="AF48" s="6968"/>
      <c r="AG48" s="6969"/>
      <c r="AH48" s="1910"/>
      <c r="AI48" s="1861"/>
    </row>
    <row r="49" spans="1:35" ht="15.25" customHeight="1" x14ac:dyDescent="0.35">
      <c r="A49" s="9168"/>
      <c r="B49" s="1912"/>
      <c r="C49" s="1903" t="s">
        <v>533</v>
      </c>
      <c r="D49" s="1855"/>
      <c r="F49" s="1863"/>
      <c r="H49" s="1863"/>
      <c r="I49" s="1865"/>
      <c r="J49" s="1863"/>
      <c r="K49" s="1865"/>
      <c r="L49" s="1869"/>
      <c r="M49" s="1863"/>
      <c r="N49" s="1865"/>
      <c r="O49" s="1869"/>
      <c r="P49" s="1865"/>
      <c r="Q49" s="1865"/>
      <c r="R49" s="6957"/>
      <c r="S49" s="1864"/>
      <c r="T49" s="6952"/>
      <c r="U49" s="6957"/>
      <c r="V49" s="1864"/>
      <c r="W49" s="6952"/>
      <c r="X49" s="1865"/>
      <c r="Y49" s="1861"/>
      <c r="AA49" s="6957"/>
      <c r="AB49" s="1864"/>
      <c r="AC49" s="6952"/>
      <c r="AD49" s="8012"/>
      <c r="AE49" s="6957"/>
      <c r="AF49" s="1864"/>
      <c r="AG49" s="6952"/>
      <c r="AH49" s="1865"/>
      <c r="AI49" s="1861"/>
    </row>
    <row r="50" spans="1:35" x14ac:dyDescent="0.35">
      <c r="A50" s="9168"/>
      <c r="B50" s="1903"/>
      <c r="C50" s="1903" t="s">
        <v>534</v>
      </c>
      <c r="D50" s="1855"/>
      <c r="F50" s="1863"/>
      <c r="H50" s="1863"/>
      <c r="I50" s="1865"/>
      <c r="J50" s="1863"/>
      <c r="K50" s="1865"/>
      <c r="L50" s="1869"/>
      <c r="M50" s="1863"/>
      <c r="N50" s="1865"/>
      <c r="O50" s="1869"/>
      <c r="P50" s="1865"/>
      <c r="Q50" s="1865"/>
      <c r="R50" s="6957"/>
      <c r="S50" s="1864"/>
      <c r="T50" s="6952"/>
      <c r="U50" s="6957"/>
      <c r="V50" s="1864"/>
      <c r="W50" s="6952"/>
      <c r="X50" s="1865"/>
      <c r="Y50" s="1861"/>
      <c r="AA50" s="6957"/>
      <c r="AB50" s="1864"/>
      <c r="AC50" s="6952"/>
      <c r="AD50" s="8012"/>
      <c r="AE50" s="6957"/>
      <c r="AF50" s="1864"/>
      <c r="AG50" s="6952"/>
      <c r="AH50" s="1865"/>
      <c r="AI50" s="1861"/>
    </row>
    <row r="51" spans="1:35" x14ac:dyDescent="0.35">
      <c r="A51" s="9168"/>
      <c r="B51" s="1905"/>
      <c r="C51" s="1903" t="s">
        <v>536</v>
      </c>
      <c r="D51" s="1855"/>
      <c r="F51" s="1869"/>
      <c r="H51" s="1869"/>
      <c r="I51" s="1865"/>
      <c r="J51" s="1869"/>
      <c r="K51" s="1865"/>
      <c r="L51" s="1869"/>
      <c r="M51" s="1869"/>
      <c r="N51" s="1865"/>
      <c r="O51" s="1869"/>
      <c r="P51" s="1865"/>
      <c r="Q51" s="1865"/>
      <c r="R51" s="6957"/>
      <c r="S51" s="1864"/>
      <c r="T51" s="6952"/>
      <c r="U51" s="6957"/>
      <c r="V51" s="1864"/>
      <c r="W51" s="6952"/>
      <c r="X51" s="1865"/>
      <c r="Y51" s="1861"/>
      <c r="AA51" s="6957"/>
      <c r="AB51" s="1864"/>
      <c r="AC51" s="6952"/>
      <c r="AD51" s="8012"/>
      <c r="AE51" s="6957"/>
      <c r="AF51" s="1864"/>
      <c r="AG51" s="6952"/>
      <c r="AH51" s="1865"/>
      <c r="AI51" s="1861"/>
    </row>
    <row r="52" spans="1:35" x14ac:dyDescent="0.35">
      <c r="A52" s="9168"/>
      <c r="B52" s="1905"/>
      <c r="C52" s="1903"/>
      <c r="D52" s="1872"/>
      <c r="F52" s="1913"/>
      <c r="H52" s="1913"/>
      <c r="I52" s="1910"/>
      <c r="J52" s="1913"/>
      <c r="K52" s="1910"/>
      <c r="L52" s="1911"/>
      <c r="M52" s="1913"/>
      <c r="N52" s="1910"/>
      <c r="O52" s="1911"/>
      <c r="P52" s="1910"/>
      <c r="Q52" s="1910"/>
      <c r="R52" s="6970"/>
      <c r="S52" s="6971"/>
      <c r="T52" s="6972"/>
      <c r="U52" s="6970"/>
      <c r="V52" s="6971"/>
      <c r="W52" s="6972"/>
      <c r="X52" s="1910"/>
      <c r="Y52" s="1861"/>
      <c r="AA52" s="6970"/>
      <c r="AB52" s="6971"/>
      <c r="AC52" s="6972"/>
      <c r="AD52" s="8020"/>
      <c r="AE52" s="6970"/>
      <c r="AF52" s="6971"/>
      <c r="AG52" s="6972"/>
      <c r="AH52" s="1910"/>
      <c r="AI52" s="1861"/>
    </row>
    <row r="53" spans="1:35" x14ac:dyDescent="0.35">
      <c r="A53" s="9168"/>
      <c r="B53" s="1914" t="s">
        <v>540</v>
      </c>
      <c r="C53" s="1914"/>
      <c r="D53" s="585"/>
      <c r="E53" s="43"/>
      <c r="F53" s="1915"/>
      <c r="G53" s="43"/>
      <c r="H53" s="1915"/>
      <c r="I53" s="1916"/>
      <c r="J53" s="1915"/>
      <c r="K53" s="1917"/>
      <c r="L53" s="1915"/>
      <c r="M53" s="1915"/>
      <c r="N53" s="1917"/>
      <c r="O53" s="1915"/>
      <c r="P53" s="1917"/>
      <c r="Q53" s="1916"/>
      <c r="R53" s="6973"/>
      <c r="S53" s="6974"/>
      <c r="T53" s="6975"/>
      <c r="U53" s="6973"/>
      <c r="V53" s="6974"/>
      <c r="W53" s="6975"/>
      <c r="X53" s="6976"/>
      <c r="Y53" s="1852"/>
      <c r="AA53" s="6973"/>
      <c r="AB53" s="8021"/>
      <c r="AC53" s="6975"/>
      <c r="AD53" s="8022"/>
      <c r="AE53" s="6973"/>
      <c r="AF53" s="8021"/>
      <c r="AG53" s="6975"/>
      <c r="AH53" s="1916"/>
      <c r="AI53" s="1852"/>
    </row>
    <row r="54" spans="1:35" x14ac:dyDescent="0.35">
      <c r="A54" s="9168"/>
      <c r="B54" s="1918"/>
      <c r="C54" s="1903" t="s">
        <v>3233</v>
      </c>
      <c r="D54" s="1855"/>
      <c r="F54" s="1904"/>
      <c r="H54" s="1828">
        <v>105.7</v>
      </c>
      <c r="I54" s="1828"/>
      <c r="J54" s="1828"/>
      <c r="K54" s="1828"/>
      <c r="L54" s="1828">
        <v>174.101</v>
      </c>
      <c r="M54" s="1828"/>
      <c r="N54" s="1828"/>
      <c r="O54" s="1828">
        <v>174.101</v>
      </c>
      <c r="P54" s="1828"/>
      <c r="Q54" s="1828"/>
      <c r="R54" s="6957"/>
      <c r="S54" s="1864"/>
      <c r="T54" s="6952"/>
      <c r="U54" s="6957"/>
      <c r="V54" s="1864"/>
      <c r="W54" s="6952"/>
      <c r="X54" s="1828"/>
      <c r="Y54" s="1861"/>
      <c r="AA54" s="6957"/>
      <c r="AB54" s="1864"/>
      <c r="AC54" s="6952"/>
      <c r="AD54" s="8012"/>
      <c r="AE54" s="6957"/>
      <c r="AF54" s="1864"/>
      <c r="AG54" s="6952"/>
      <c r="AH54" s="1828"/>
      <c r="AI54" s="1861"/>
    </row>
    <row r="55" spans="1:35" x14ac:dyDescent="0.35">
      <c r="A55" s="9168"/>
      <c r="B55" s="1918"/>
      <c r="C55" s="1903" t="s">
        <v>533</v>
      </c>
      <c r="D55" s="1855"/>
      <c r="F55" s="1863"/>
      <c r="H55" s="1863"/>
      <c r="I55" s="1865"/>
      <c r="J55" s="1863"/>
      <c r="K55" s="1865"/>
      <c r="L55" s="1869"/>
      <c r="M55" s="1863"/>
      <c r="N55" s="1865"/>
      <c r="O55" s="1869"/>
      <c r="P55" s="1865"/>
      <c r="Q55" s="1865"/>
      <c r="R55" s="6957"/>
      <c r="S55" s="1864"/>
      <c r="T55" s="6952"/>
      <c r="U55" s="6957"/>
      <c r="V55" s="1864"/>
      <c r="W55" s="6952"/>
      <c r="X55" s="1865"/>
      <c r="Y55" s="1861"/>
      <c r="AA55" s="6957"/>
      <c r="AB55" s="1864"/>
      <c r="AC55" s="6952"/>
      <c r="AD55" s="8012"/>
      <c r="AE55" s="6957"/>
      <c r="AF55" s="1864"/>
      <c r="AG55" s="6952"/>
      <c r="AH55" s="1865"/>
      <c r="AI55" s="1861"/>
    </row>
    <row r="56" spans="1:35" x14ac:dyDescent="0.35">
      <c r="A56" s="9168"/>
      <c r="B56" s="1903"/>
      <c r="C56" s="1903" t="s">
        <v>534</v>
      </c>
      <c r="D56" s="1855"/>
      <c r="F56" s="1868"/>
      <c r="H56" s="1868"/>
      <c r="I56" s="1865"/>
      <c r="J56" s="1868"/>
      <c r="K56" s="1865"/>
      <c r="L56" s="1869"/>
      <c r="M56" s="1868"/>
      <c r="N56" s="1865"/>
      <c r="O56" s="1869"/>
      <c r="P56" s="1865"/>
      <c r="Q56" s="1865"/>
      <c r="R56" s="6961"/>
      <c r="S56" s="1864"/>
      <c r="T56" s="6953"/>
      <c r="U56" s="6961"/>
      <c r="V56" s="1864"/>
      <c r="W56" s="6953"/>
      <c r="X56" s="1865"/>
      <c r="Y56" s="1861"/>
      <c r="AA56" s="6961"/>
      <c r="AB56" s="1864"/>
      <c r="AC56" s="6953"/>
      <c r="AD56" s="8013"/>
      <c r="AE56" s="6961"/>
      <c r="AF56" s="1864"/>
      <c r="AG56" s="6953"/>
      <c r="AH56" s="1865"/>
      <c r="AI56" s="1861"/>
    </row>
    <row r="57" spans="1:35" x14ac:dyDescent="0.35">
      <c r="A57" s="9168"/>
      <c r="B57" s="1906"/>
      <c r="C57" s="1903" t="s">
        <v>536</v>
      </c>
      <c r="D57" s="1872"/>
      <c r="F57" s="1907"/>
      <c r="H57" s="1907"/>
      <c r="I57" s="1865"/>
      <c r="J57" s="1907"/>
      <c r="K57" s="1899"/>
      <c r="L57" s="1898"/>
      <c r="M57" s="1907"/>
      <c r="N57" s="1899"/>
      <c r="O57" s="1898"/>
      <c r="P57" s="1899"/>
      <c r="Q57" s="1865"/>
      <c r="R57" s="6964"/>
      <c r="S57" s="4426"/>
      <c r="T57" s="6965"/>
      <c r="U57" s="6964"/>
      <c r="V57" s="4426"/>
      <c r="W57" s="6965"/>
      <c r="X57" s="1865"/>
      <c r="Y57" s="1861"/>
      <c r="AA57" s="6964"/>
      <c r="AB57" s="4426"/>
      <c r="AC57" s="6965"/>
      <c r="AD57" s="8015"/>
      <c r="AE57" s="6964"/>
      <c r="AF57" s="4426"/>
      <c r="AG57" s="6965"/>
      <c r="AH57" s="1865"/>
      <c r="AI57" s="1861"/>
    </row>
    <row r="58" spans="1:35" x14ac:dyDescent="0.35">
      <c r="A58" s="9168"/>
      <c r="B58" s="1914" t="s">
        <v>3236</v>
      </c>
      <c r="C58" s="1914"/>
      <c r="D58" s="585"/>
      <c r="E58" s="12"/>
      <c r="F58" s="1875"/>
      <c r="G58" s="12"/>
      <c r="H58" s="1875"/>
      <c r="I58" s="1865"/>
      <c r="J58" s="1875"/>
      <c r="K58" s="1875"/>
      <c r="L58" s="1875"/>
      <c r="M58" s="1875"/>
      <c r="N58" s="1875"/>
      <c r="O58" s="1875"/>
      <c r="P58" s="1875"/>
      <c r="Q58" s="1865"/>
      <c r="R58" s="4264"/>
      <c r="S58" s="4360"/>
      <c r="T58" s="4471"/>
      <c r="U58" s="1875"/>
      <c r="V58" s="1875"/>
      <c r="W58" s="1875"/>
      <c r="X58" s="1865"/>
      <c r="Y58" s="1852"/>
      <c r="AA58" s="4264"/>
      <c r="AB58" s="4360"/>
      <c r="AC58" s="4471"/>
      <c r="AD58" s="8023"/>
      <c r="AE58" s="1875"/>
      <c r="AF58" s="1875"/>
      <c r="AG58" s="1875"/>
      <c r="AH58" s="1865"/>
      <c r="AI58" s="1852"/>
    </row>
    <row r="59" spans="1:35" x14ac:dyDescent="0.35">
      <c r="A59" s="9168"/>
      <c r="B59" s="1919"/>
      <c r="C59" s="1919" t="s">
        <v>3237</v>
      </c>
      <c r="D59" s="1855"/>
      <c r="F59" s="1863"/>
      <c r="H59" s="1863">
        <v>2205</v>
      </c>
      <c r="I59" s="1865"/>
      <c r="J59" s="1863"/>
      <c r="K59" s="1865"/>
      <c r="L59" s="1863"/>
      <c r="M59" s="1863"/>
      <c r="N59" s="1865"/>
      <c r="O59" s="1863">
        <v>2704.1640000000002</v>
      </c>
      <c r="P59" s="1865"/>
      <c r="Q59" s="1865"/>
      <c r="R59" s="6957"/>
      <c r="S59" s="1864"/>
      <c r="T59" s="6952"/>
      <c r="U59" s="1863"/>
      <c r="V59" s="1865"/>
      <c r="W59" s="1863"/>
      <c r="X59" s="1865"/>
      <c r="Y59" s="1861" t="s">
        <v>3238</v>
      </c>
      <c r="AA59" s="6957"/>
      <c r="AB59" s="1864"/>
      <c r="AC59" s="6952"/>
      <c r="AD59" s="8024"/>
      <c r="AE59" s="1863"/>
      <c r="AF59" s="1865"/>
      <c r="AG59" s="1863"/>
      <c r="AH59" s="1865"/>
      <c r="AI59" s="1861"/>
    </row>
    <row r="60" spans="1:35" x14ac:dyDescent="0.35">
      <c r="A60" s="9168"/>
      <c r="B60" s="1920"/>
      <c r="C60" s="1919" t="s">
        <v>2232</v>
      </c>
      <c r="D60" s="1855"/>
      <c r="F60" s="1868"/>
      <c r="H60" s="1868">
        <v>63.64</v>
      </c>
      <c r="I60" s="1865"/>
      <c r="J60" s="1868"/>
      <c r="K60" s="1865"/>
      <c r="L60" s="1868"/>
      <c r="M60" s="1868"/>
      <c r="N60" s="1865"/>
      <c r="O60" s="1868">
        <v>134.43100000000001</v>
      </c>
      <c r="P60" s="1865"/>
      <c r="Q60" s="1865"/>
      <c r="R60" s="6961"/>
      <c r="S60" s="1864"/>
      <c r="T60" s="6953"/>
      <c r="U60" s="1868"/>
      <c r="V60" s="1865"/>
      <c r="W60" s="1868"/>
      <c r="X60" s="1865"/>
      <c r="Y60" s="1861"/>
      <c r="AA60" s="6961"/>
      <c r="AB60" s="1864"/>
      <c r="AC60" s="6953"/>
      <c r="AD60" s="8025"/>
      <c r="AE60" s="1868"/>
      <c r="AF60" s="1865"/>
      <c r="AG60" s="1868"/>
      <c r="AH60" s="1865"/>
      <c r="AI60" s="1861"/>
    </row>
    <row r="61" spans="1:35" x14ac:dyDescent="0.35">
      <c r="A61" s="9168"/>
      <c r="B61" s="1921"/>
      <c r="C61" s="1921" t="s">
        <v>555</v>
      </c>
      <c r="D61" s="1872"/>
      <c r="F61" s="1922" t="e">
        <f>F58/F30</f>
        <v>#DIV/0!</v>
      </c>
      <c r="G61" s="1923"/>
      <c r="H61" s="1922" t="e">
        <f>H58/H30</f>
        <v>#DIV/0!</v>
      </c>
      <c r="I61" s="1924"/>
      <c r="J61" s="1922" t="e">
        <f>J58/J30</f>
        <v>#DIV/0!</v>
      </c>
      <c r="K61" s="1925"/>
      <c r="L61" s="1926"/>
      <c r="M61" s="1922" t="e">
        <f>M58/M30</f>
        <v>#DIV/0!</v>
      </c>
      <c r="N61" s="1925"/>
      <c r="O61" s="1926"/>
      <c r="P61" s="1925"/>
      <c r="Q61" s="1924"/>
      <c r="R61" s="6977" t="e">
        <f>R58/R30</f>
        <v>#DIV/0!</v>
      </c>
      <c r="S61" s="6978"/>
      <c r="T61" s="6979" t="e">
        <f>T58/T30</f>
        <v>#DIV/0!</v>
      </c>
      <c r="U61" s="1922" t="e">
        <f>U58/U30</f>
        <v>#DIV/0!</v>
      </c>
      <c r="V61" s="1926"/>
      <c r="W61" s="1922" t="e">
        <f>W58/W30</f>
        <v>#DIV/0!</v>
      </c>
      <c r="X61" s="6980"/>
      <c r="Y61" s="1873"/>
      <c r="AA61" s="6977" t="e">
        <f>AA58/AA30</f>
        <v>#DIV/0!</v>
      </c>
      <c r="AB61" s="8026"/>
      <c r="AC61" s="6979" t="e">
        <f>AC58/AC30</f>
        <v>#DIV/0!</v>
      </c>
      <c r="AD61" s="8027"/>
      <c r="AE61" s="1922" t="e">
        <f>AE58/AE30</f>
        <v>#DIV/0!</v>
      </c>
      <c r="AF61" s="1925"/>
      <c r="AG61" s="1922" t="e">
        <f>AG58/AG30</f>
        <v>#DIV/0!</v>
      </c>
      <c r="AH61" s="1924"/>
      <c r="AI61" s="1873"/>
    </row>
    <row r="62" spans="1:35" x14ac:dyDescent="0.35">
      <c r="A62" s="9168"/>
      <c r="B62" s="1914" t="s">
        <v>552</v>
      </c>
      <c r="C62" s="1914"/>
      <c r="D62" s="585"/>
      <c r="E62" s="12"/>
      <c r="F62" s="1875"/>
      <c r="G62" s="12"/>
      <c r="H62" s="1875"/>
      <c r="I62" s="1865"/>
      <c r="J62" s="1875"/>
      <c r="K62" s="1875"/>
      <c r="L62" s="1875"/>
      <c r="M62" s="1875"/>
      <c r="N62" s="1875"/>
      <c r="O62" s="1875"/>
      <c r="P62" s="1875"/>
      <c r="Q62" s="1865"/>
      <c r="R62" s="4264"/>
      <c r="S62" s="4360"/>
      <c r="T62" s="4471"/>
      <c r="U62" s="4264"/>
      <c r="V62" s="4360"/>
      <c r="W62" s="4471"/>
      <c r="X62" s="1865"/>
      <c r="Y62" s="1852"/>
      <c r="AA62" s="4264"/>
      <c r="AB62" s="4360"/>
      <c r="AC62" s="4471"/>
      <c r="AD62" s="8007"/>
      <c r="AE62" s="4264"/>
      <c r="AF62" s="4360"/>
      <c r="AG62" s="4471"/>
      <c r="AH62" s="1865"/>
      <c r="AI62" s="1852"/>
    </row>
    <row r="63" spans="1:35" x14ac:dyDescent="0.35">
      <c r="A63" s="9168"/>
      <c r="B63" s="1919"/>
      <c r="C63" s="1919" t="s">
        <v>3237</v>
      </c>
      <c r="D63" s="1855"/>
      <c r="F63" s="1863"/>
      <c r="R63" s="6957"/>
      <c r="S63" s="1864"/>
      <c r="T63" s="6952"/>
      <c r="U63" s="6957"/>
      <c r="V63" s="1864"/>
      <c r="W63" s="6952"/>
      <c r="Y63" s="1861"/>
      <c r="AA63" s="6957"/>
      <c r="AB63" s="1864"/>
      <c r="AC63" s="6952"/>
      <c r="AD63" s="8012"/>
      <c r="AE63" s="6957"/>
      <c r="AF63" s="1864"/>
      <c r="AG63" s="6952"/>
      <c r="AI63" s="1861"/>
    </row>
    <row r="64" spans="1:35" x14ac:dyDescent="0.35">
      <c r="A64" s="9168"/>
      <c r="B64" s="1920"/>
      <c r="C64" s="1919" t="s">
        <v>2232</v>
      </c>
      <c r="D64" s="1855"/>
      <c r="F64" s="1868"/>
      <c r="R64" s="6961"/>
      <c r="S64" s="1864"/>
      <c r="T64" s="6953"/>
      <c r="U64" s="6961"/>
      <c r="V64" s="1864"/>
      <c r="W64" s="6953"/>
      <c r="Y64" s="1861"/>
      <c r="AA64" s="6961"/>
      <c r="AB64" s="1864"/>
      <c r="AC64" s="6953"/>
      <c r="AD64" s="8013"/>
      <c r="AE64" s="6961"/>
      <c r="AF64" s="1864"/>
      <c r="AG64" s="6953"/>
      <c r="AI64" s="1861"/>
    </row>
    <row r="65" spans="1:35" x14ac:dyDescent="0.35">
      <c r="A65" s="9168"/>
      <c r="B65" s="1921"/>
      <c r="C65" s="1921" t="s">
        <v>555</v>
      </c>
      <c r="D65" s="1872"/>
      <c r="F65" s="1922" t="e">
        <f>F62/F33</f>
        <v>#DIV/0!</v>
      </c>
      <c r="G65" s="1923"/>
      <c r="H65" s="1922" t="e">
        <f>H62/H33</f>
        <v>#DIV/0!</v>
      </c>
      <c r="I65" s="1924"/>
      <c r="J65" s="1922" t="e">
        <f>J62/J33</f>
        <v>#DIV/0!</v>
      </c>
      <c r="K65" s="1925"/>
      <c r="L65" s="1926"/>
      <c r="M65" s="1922" t="e">
        <f>M62/M33</f>
        <v>#DIV/0!</v>
      </c>
      <c r="N65" s="1925"/>
      <c r="O65" s="1926"/>
      <c r="P65" s="1925"/>
      <c r="Q65" s="1924"/>
      <c r="R65" s="6977" t="e">
        <f>R62/R33</f>
        <v>#DIV/0!</v>
      </c>
      <c r="S65" s="6978"/>
      <c r="T65" s="6979" t="e">
        <f>T62/T33</f>
        <v>#DIV/0!</v>
      </c>
      <c r="U65" s="6977" t="e">
        <f>U62/U33</f>
        <v>#DIV/0!</v>
      </c>
      <c r="V65" s="6978"/>
      <c r="W65" s="6979" t="e">
        <f>W62/W33</f>
        <v>#DIV/0!</v>
      </c>
      <c r="X65" s="6980"/>
      <c r="Y65" s="1873"/>
      <c r="AA65" s="6977" t="e">
        <f>AA62/AA33</f>
        <v>#DIV/0!</v>
      </c>
      <c r="AB65" s="8026"/>
      <c r="AC65" s="6979" t="e">
        <f>AC62/AC33</f>
        <v>#DIV/0!</v>
      </c>
      <c r="AD65" s="8028"/>
      <c r="AE65" s="6977" t="e">
        <f>AE62/AE33</f>
        <v>#DIV/0!</v>
      </c>
      <c r="AF65" s="8026"/>
      <c r="AG65" s="6979" t="e">
        <f>AG62/AG33</f>
        <v>#DIV/0!</v>
      </c>
      <c r="AH65" s="1924"/>
      <c r="AI65" s="1873"/>
    </row>
    <row r="66" spans="1:35" ht="15.25" customHeight="1" x14ac:dyDescent="0.35">
      <c r="A66" s="9168"/>
      <c r="B66" s="100" t="s">
        <v>556</v>
      </c>
      <c r="C66" s="1927"/>
      <c r="D66" s="585"/>
      <c r="E66" s="12"/>
      <c r="F66" s="1928"/>
      <c r="G66" s="1929"/>
      <c r="H66" s="1928"/>
      <c r="I66" s="1865"/>
      <c r="J66" s="1928"/>
      <c r="K66" s="1875"/>
      <c r="L66" s="1930"/>
      <c r="M66" s="1928"/>
      <c r="N66" s="1875"/>
      <c r="O66" s="1930"/>
      <c r="P66" s="1875"/>
      <c r="Q66" s="1865"/>
      <c r="R66" s="6981"/>
      <c r="S66" s="4360"/>
      <c r="T66" s="6982"/>
      <c r="U66" s="6981"/>
      <c r="V66" s="4360"/>
      <c r="W66" s="6982"/>
      <c r="X66" s="1865"/>
      <c r="Y66" s="1852"/>
      <c r="AA66" s="6981"/>
      <c r="AB66" s="4360"/>
      <c r="AC66" s="6982"/>
      <c r="AD66" s="8029"/>
      <c r="AE66" s="6981"/>
      <c r="AF66" s="4360"/>
      <c r="AG66" s="6982"/>
      <c r="AH66" s="1865"/>
      <c r="AI66" s="1852"/>
    </row>
    <row r="67" spans="1:35" x14ac:dyDescent="0.35">
      <c r="A67" s="9168"/>
      <c r="B67" s="1931"/>
      <c r="C67" s="1932" t="s">
        <v>3233</v>
      </c>
      <c r="D67" s="1855"/>
      <c r="F67" s="1933"/>
      <c r="G67" s="1919"/>
      <c r="H67" s="1933"/>
      <c r="I67" s="1934"/>
      <c r="J67" s="1933"/>
      <c r="K67" s="1934"/>
      <c r="L67" s="1935"/>
      <c r="M67" s="1933"/>
      <c r="N67" s="1934"/>
      <c r="O67" s="1935"/>
      <c r="P67" s="1934"/>
      <c r="Q67" s="1934"/>
      <c r="R67" s="6983"/>
      <c r="S67" s="6984"/>
      <c r="T67" s="6985"/>
      <c r="U67" s="6983"/>
      <c r="V67" s="6984"/>
      <c r="W67" s="6985"/>
      <c r="X67" s="1934"/>
      <c r="Y67" s="1861"/>
      <c r="AA67" s="6983"/>
      <c r="AB67" s="6984"/>
      <c r="AC67" s="6985"/>
      <c r="AD67" s="8030"/>
      <c r="AE67" s="6983"/>
      <c r="AF67" s="6984"/>
      <c r="AG67" s="6985"/>
      <c r="AH67" s="1934"/>
      <c r="AI67" s="1861"/>
    </row>
    <row r="68" spans="1:35" x14ac:dyDescent="0.35">
      <c r="A68" s="9168"/>
      <c r="B68" s="1931"/>
      <c r="C68" s="1932" t="s">
        <v>533</v>
      </c>
      <c r="D68" s="1855"/>
      <c r="F68" s="1863"/>
      <c r="G68" s="1919"/>
      <c r="H68" s="1863"/>
      <c r="I68" s="1865"/>
      <c r="J68" s="1863"/>
      <c r="K68" s="1865"/>
      <c r="L68" s="1869"/>
      <c r="M68" s="1863"/>
      <c r="N68" s="1865"/>
      <c r="O68" s="1869"/>
      <c r="P68" s="1865"/>
      <c r="Q68" s="1865"/>
      <c r="R68" s="6957"/>
      <c r="S68" s="1864"/>
      <c r="T68" s="6952"/>
      <c r="U68" s="6957"/>
      <c r="V68" s="1864"/>
      <c r="W68" s="6952"/>
      <c r="X68" s="1865"/>
      <c r="Y68" s="1861"/>
      <c r="AA68" s="6957"/>
      <c r="AB68" s="1864"/>
      <c r="AC68" s="6952"/>
      <c r="AD68" s="8012"/>
      <c r="AE68" s="6957"/>
      <c r="AF68" s="1864"/>
      <c r="AG68" s="6952"/>
      <c r="AH68" s="1865"/>
      <c r="AI68" s="1861"/>
    </row>
    <row r="69" spans="1:35" x14ac:dyDescent="0.35">
      <c r="A69" s="9168"/>
      <c r="B69" s="1936"/>
      <c r="C69" s="1932" t="s">
        <v>534</v>
      </c>
      <c r="D69" s="1855"/>
      <c r="F69" s="1863"/>
      <c r="G69" s="1919"/>
      <c r="H69" s="1863"/>
      <c r="I69" s="1865"/>
      <c r="J69" s="1863"/>
      <c r="K69" s="1865"/>
      <c r="L69" s="1869"/>
      <c r="M69" s="1863"/>
      <c r="N69" s="1865"/>
      <c r="O69" s="1869"/>
      <c r="P69" s="1865"/>
      <c r="Q69" s="1865"/>
      <c r="R69" s="6957"/>
      <c r="S69" s="1864"/>
      <c r="T69" s="6952"/>
      <c r="U69" s="6957"/>
      <c r="V69" s="1864"/>
      <c r="W69" s="6952"/>
      <c r="X69" s="1865"/>
      <c r="Y69" s="1861"/>
      <c r="AA69" s="6957"/>
      <c r="AB69" s="1864"/>
      <c r="AC69" s="6952"/>
      <c r="AD69" s="8012"/>
      <c r="AE69" s="6957"/>
      <c r="AF69" s="1864"/>
      <c r="AG69" s="6952"/>
      <c r="AH69" s="1865"/>
      <c r="AI69" s="1861"/>
    </row>
    <row r="70" spans="1:35" x14ac:dyDescent="0.35">
      <c r="A70" s="9169"/>
      <c r="B70" s="1937"/>
      <c r="C70" s="1938" t="s">
        <v>536</v>
      </c>
      <c r="D70" s="1872"/>
      <c r="F70" s="1907"/>
      <c r="G70" s="1920"/>
      <c r="H70" s="1907"/>
      <c r="I70" s="1865"/>
      <c r="J70" s="1907"/>
      <c r="K70" s="1899"/>
      <c r="L70" s="1898"/>
      <c r="M70" s="1907"/>
      <c r="N70" s="1899"/>
      <c r="O70" s="1898"/>
      <c r="P70" s="1899"/>
      <c r="Q70" s="1865"/>
      <c r="R70" s="6964"/>
      <c r="S70" s="4426"/>
      <c r="T70" s="6965"/>
      <c r="U70" s="6964"/>
      <c r="V70" s="4426"/>
      <c r="W70" s="6965"/>
      <c r="X70" s="1865"/>
      <c r="Y70" s="1873"/>
      <c r="AA70" s="6964"/>
      <c r="AB70" s="4426"/>
      <c r="AC70" s="6965"/>
      <c r="AD70" s="8015"/>
      <c r="AE70" s="6964"/>
      <c r="AF70" s="4426"/>
      <c r="AG70" s="6965"/>
      <c r="AH70" s="1865"/>
      <c r="AI70" s="1873"/>
    </row>
    <row r="71" spans="1:35" x14ac:dyDescent="0.35">
      <c r="A71" s="310"/>
      <c r="B71" s="310"/>
      <c r="F71" s="1864"/>
      <c r="H71" s="1902"/>
      <c r="I71" s="1864"/>
      <c r="J71" s="1902"/>
      <c r="K71" s="1864"/>
      <c r="L71" s="1864"/>
      <c r="M71" s="1902"/>
      <c r="N71" s="1864"/>
      <c r="O71" s="1864"/>
      <c r="P71" s="1864"/>
      <c r="Q71" s="1864"/>
      <c r="R71" s="1902"/>
      <c r="S71" s="1864"/>
      <c r="T71" s="1864"/>
      <c r="U71" s="1902"/>
      <c r="V71" s="1864"/>
      <c r="W71" s="1864"/>
      <c r="X71" s="1864"/>
      <c r="AA71" s="1902"/>
      <c r="AB71" s="1864"/>
      <c r="AC71" s="1864"/>
      <c r="AD71" s="8016"/>
      <c r="AE71" s="1902"/>
      <c r="AF71" s="1864"/>
      <c r="AG71" s="1864"/>
      <c r="AH71" s="1864"/>
    </row>
    <row r="72" spans="1:35" x14ac:dyDescent="0.35">
      <c r="A72" s="9167" t="s">
        <v>566</v>
      </c>
      <c r="B72" s="100" t="s">
        <v>567</v>
      </c>
      <c r="C72" s="1831"/>
      <c r="D72" s="1832"/>
      <c r="E72" s="43"/>
      <c r="F72" s="1875"/>
      <c r="G72" s="43"/>
      <c r="H72" s="1875"/>
      <c r="I72" s="1865"/>
      <c r="J72" s="1875"/>
      <c r="K72" s="1875"/>
      <c r="L72" s="1875"/>
      <c r="M72" s="1875"/>
      <c r="N72" s="1875"/>
      <c r="O72" s="1875"/>
      <c r="P72" s="1875"/>
      <c r="Q72" s="1865"/>
      <c r="R72" s="4264"/>
      <c r="S72" s="4360"/>
      <c r="T72" s="4471"/>
      <c r="U72" s="4264"/>
      <c r="V72" s="4360"/>
      <c r="W72" s="4471"/>
      <c r="X72" s="1865"/>
      <c r="Y72" s="1852"/>
      <c r="AA72" s="4264"/>
      <c r="AB72" s="4360"/>
      <c r="AC72" s="4471"/>
      <c r="AD72" s="8007"/>
      <c r="AE72" s="4264"/>
      <c r="AF72" s="4360"/>
      <c r="AG72" s="4471"/>
      <c r="AH72" s="1865"/>
      <c r="AI72" s="1852"/>
    </row>
    <row r="73" spans="1:35" x14ac:dyDescent="0.35">
      <c r="A73" s="9168"/>
      <c r="B73" s="6082"/>
      <c r="C73" s="1828"/>
      <c r="D73" s="33" t="s">
        <v>568</v>
      </c>
      <c r="F73" s="1939">
        <f>SUM(F39:F42)-SUM(F44:F46)</f>
        <v>0</v>
      </c>
      <c r="G73" s="1940"/>
      <c r="H73" s="6041">
        <f>SUM(H39:H42)-SUM(H44:H46)</f>
        <v>2269.5</v>
      </c>
      <c r="I73" s="1939"/>
      <c r="J73" s="6041">
        <f>SUM(J39:J42)-SUM(J44:J46)</f>
        <v>0</v>
      </c>
      <c r="K73" s="1939"/>
      <c r="L73" s="1939">
        <f>SUM(L39:L42)-SUM(L44:L46)</f>
        <v>0</v>
      </c>
      <c r="M73" s="1939">
        <f>SUM(M39:M42)-SUM(M44:M46)</f>
        <v>0</v>
      </c>
      <c r="N73" s="1939"/>
      <c r="O73" s="6041">
        <f>SUM(O39:O42)-SUM(O44:O46)</f>
        <v>1349.3309999999999</v>
      </c>
      <c r="P73" s="1939"/>
      <c r="Q73" s="1939"/>
      <c r="R73" s="4474">
        <f>SUM(R39:R42)-SUM(R44:R46)</f>
        <v>4187.9261900000001</v>
      </c>
      <c r="S73" s="1940"/>
      <c r="T73" s="6986">
        <f>SUM(T39:T42)-SUM(T44:T46)</f>
        <v>0</v>
      </c>
      <c r="U73" s="4474">
        <f>SUM(U39:U42)-SUM(U44:U46)</f>
        <v>3420.6544100000001</v>
      </c>
      <c r="V73" s="1940"/>
      <c r="W73" s="6986">
        <f>SUM(W39:W42)-SUM(W44:W46)</f>
        <v>0</v>
      </c>
      <c r="X73" s="1939"/>
      <c r="Y73" s="1861"/>
      <c r="AA73" s="4474">
        <f>SUM(AA39:AA42)-SUM(AA44:AA46)</f>
        <v>3420.6544100000001</v>
      </c>
      <c r="AB73" s="1940"/>
      <c r="AC73" s="6986">
        <f>SUM(AC39:AC42)-SUM(AC44:AC46)</f>
        <v>0</v>
      </c>
      <c r="AD73" s="8031"/>
      <c r="AE73" s="4474">
        <f>SUM(AE39:AE42)-SUM(AE44:AE46)</f>
        <v>3846.527</v>
      </c>
      <c r="AF73" s="1940"/>
      <c r="AG73" s="6986">
        <f>SUM(AG39:AG42)-SUM(AG44:AG46)</f>
        <v>0</v>
      </c>
      <c r="AH73" s="1939"/>
      <c r="AI73" s="1861"/>
    </row>
    <row r="74" spans="1:35" x14ac:dyDescent="0.35">
      <c r="A74" s="9168"/>
      <c r="B74" s="6082"/>
      <c r="C74" s="1828"/>
      <c r="D74" s="33" t="s">
        <v>569</v>
      </c>
      <c r="F74" s="1939">
        <f>SUM(F48:F52)</f>
        <v>0</v>
      </c>
      <c r="G74" s="1940"/>
      <c r="H74" s="1939">
        <f>SUM(H48:H52)</f>
        <v>0</v>
      </c>
      <c r="I74" s="1939"/>
      <c r="J74" s="1939">
        <f>SUM(J48:J52)</f>
        <v>0</v>
      </c>
      <c r="K74" s="1939"/>
      <c r="L74" s="1939">
        <f>SUM(L48:L52)</f>
        <v>0</v>
      </c>
      <c r="M74" s="1939">
        <f>SUM(M48:M52)</f>
        <v>0</v>
      </c>
      <c r="N74" s="1939"/>
      <c r="O74" s="1939">
        <f>SUM(O48:O52)</f>
        <v>0</v>
      </c>
      <c r="P74" s="1939"/>
      <c r="Q74" s="1939"/>
      <c r="R74" s="4474">
        <f>SUM(R48:R52)</f>
        <v>0</v>
      </c>
      <c r="S74" s="1940"/>
      <c r="T74" s="6986">
        <f>SUM(T48:T52)</f>
        <v>0</v>
      </c>
      <c r="U74" s="4474">
        <f>SUM(U48:U52)</f>
        <v>0</v>
      </c>
      <c r="V74" s="1940"/>
      <c r="W74" s="6986">
        <f>SUM(W48:W52)</f>
        <v>0</v>
      </c>
      <c r="X74" s="1939"/>
      <c r="Y74" s="1861"/>
      <c r="AA74" s="4474">
        <f>SUM(AA48:AA52)</f>
        <v>0</v>
      </c>
      <c r="AB74" s="1940"/>
      <c r="AC74" s="6986">
        <f>SUM(AC48:AC52)</f>
        <v>0</v>
      </c>
      <c r="AD74" s="8031"/>
      <c r="AE74" s="4474">
        <f>SUM(AE48:AE52)</f>
        <v>0</v>
      </c>
      <c r="AF74" s="1940"/>
      <c r="AG74" s="6986">
        <f>SUM(AG48:AG52)</f>
        <v>0</v>
      </c>
      <c r="AH74" s="1939"/>
      <c r="AI74" s="1861"/>
    </row>
    <row r="75" spans="1:35" x14ac:dyDescent="0.35">
      <c r="A75" s="9168"/>
      <c r="B75" s="6082"/>
      <c r="C75" s="1828"/>
      <c r="D75" s="33" t="s">
        <v>570</v>
      </c>
      <c r="F75" s="1939">
        <f>SUM(F54:F57)*F29</f>
        <v>0</v>
      </c>
      <c r="G75" s="1940"/>
      <c r="H75" s="1939">
        <f>SUM(H54:H57)*H29</f>
        <v>0</v>
      </c>
      <c r="I75" s="1939"/>
      <c r="J75" s="1939">
        <f>SUM(J54:J57)*J29</f>
        <v>0</v>
      </c>
      <c r="K75" s="1939"/>
      <c r="L75" s="1939">
        <f>SUM(L54:L57)*L29</f>
        <v>0</v>
      </c>
      <c r="M75" s="1939">
        <f>SUM(M54:M57)*M29</f>
        <v>0</v>
      </c>
      <c r="N75" s="1939"/>
      <c r="O75" s="1939">
        <f>SUM(O54:O57)*O29</f>
        <v>0</v>
      </c>
      <c r="P75" s="1939"/>
      <c r="Q75" s="1939"/>
      <c r="R75" s="4474">
        <f>SUM(R54:R57)*R29</f>
        <v>0</v>
      </c>
      <c r="S75" s="1940"/>
      <c r="T75" s="6986">
        <f>SUM(T54:T57)*T29</f>
        <v>0</v>
      </c>
      <c r="U75" s="4474">
        <f>SUM(U54:U57)*U29</f>
        <v>0</v>
      </c>
      <c r="V75" s="1940"/>
      <c r="W75" s="6986">
        <f>SUM(W54:W57)*W29</f>
        <v>0</v>
      </c>
      <c r="X75" s="1939"/>
      <c r="Y75" s="1861"/>
      <c r="AA75" s="4474">
        <f>SUM(AA54:AA57)*AA29</f>
        <v>0</v>
      </c>
      <c r="AB75" s="1940"/>
      <c r="AC75" s="6986">
        <f>SUM(AC54:AC57)*AC29</f>
        <v>0</v>
      </c>
      <c r="AD75" s="8031"/>
      <c r="AE75" s="4474">
        <f>SUM(AE54:AE57)*AE29</f>
        <v>0</v>
      </c>
      <c r="AF75" s="1940"/>
      <c r="AG75" s="6986">
        <f>SUM(AG54:AG57)*AG29</f>
        <v>0</v>
      </c>
      <c r="AH75" s="1939"/>
      <c r="AI75" s="1861"/>
    </row>
    <row r="76" spans="1:35" x14ac:dyDescent="0.35">
      <c r="A76" s="9168"/>
      <c r="B76" s="6082"/>
      <c r="C76" s="1828"/>
      <c r="D76" s="33" t="s">
        <v>3236</v>
      </c>
      <c r="F76" s="1939">
        <f>F58</f>
        <v>0</v>
      </c>
      <c r="G76" s="1940"/>
      <c r="H76" s="1941">
        <f>H59+H60</f>
        <v>2268.64</v>
      </c>
      <c r="I76" s="1941"/>
      <c r="J76" s="1941">
        <f>J59+J60</f>
        <v>0</v>
      </c>
      <c r="K76" s="1941"/>
      <c r="L76" s="1941">
        <f>L59+L60</f>
        <v>0</v>
      </c>
      <c r="M76" s="1941">
        <f>M59+M60</f>
        <v>0</v>
      </c>
      <c r="N76" s="1941"/>
      <c r="O76" s="1941">
        <f>O59+O60</f>
        <v>2838.5950000000003</v>
      </c>
      <c r="P76" s="1941"/>
      <c r="Q76" s="1941"/>
      <c r="R76" s="6987">
        <f>R59+R60</f>
        <v>0</v>
      </c>
      <c r="S76" s="1941"/>
      <c r="T76" s="6988">
        <f>T59+T60</f>
        <v>0</v>
      </c>
      <c r="U76" s="6987">
        <f>U59+U60</f>
        <v>0</v>
      </c>
      <c r="V76" s="1941"/>
      <c r="W76" s="6988">
        <f>W59+W60</f>
        <v>0</v>
      </c>
      <c r="X76" s="1941"/>
      <c r="Y76" s="1861"/>
      <c r="AA76" s="6987">
        <f>AA59+AA60</f>
        <v>0</v>
      </c>
      <c r="AB76" s="1941"/>
      <c r="AC76" s="6988">
        <f>AC59+AC60</f>
        <v>0</v>
      </c>
      <c r="AD76" s="8032"/>
      <c r="AE76" s="6987">
        <f>AE59+AE60</f>
        <v>0</v>
      </c>
      <c r="AF76" s="1941"/>
      <c r="AG76" s="6988">
        <f>AG59+AG60</f>
        <v>0</v>
      </c>
      <c r="AH76" s="1941"/>
      <c r="AI76" s="1861"/>
    </row>
    <row r="77" spans="1:35" x14ac:dyDescent="0.35">
      <c r="A77" s="9168"/>
      <c r="B77" s="6082"/>
      <c r="C77" s="1828"/>
      <c r="D77" s="33" t="s">
        <v>552</v>
      </c>
      <c r="F77" s="1939">
        <f>F62</f>
        <v>0</v>
      </c>
      <c r="G77" s="1940"/>
      <c r="H77" s="1939">
        <f>H62</f>
        <v>0</v>
      </c>
      <c r="I77" s="1939"/>
      <c r="J77" s="1939">
        <f>J62</f>
        <v>0</v>
      </c>
      <c r="K77" s="1939"/>
      <c r="L77" s="1939">
        <f>L62</f>
        <v>0</v>
      </c>
      <c r="M77" s="1939">
        <f>M62</f>
        <v>0</v>
      </c>
      <c r="N77" s="1939"/>
      <c r="O77" s="1939">
        <f>O62</f>
        <v>0</v>
      </c>
      <c r="P77" s="1939"/>
      <c r="Q77" s="1939"/>
      <c r="R77" s="4474">
        <f>R62</f>
        <v>0</v>
      </c>
      <c r="S77" s="1940"/>
      <c r="T77" s="6986">
        <f>T62</f>
        <v>0</v>
      </c>
      <c r="U77" s="4474">
        <f>U62</f>
        <v>0</v>
      </c>
      <c r="V77" s="1940"/>
      <c r="W77" s="6986">
        <f>W62</f>
        <v>0</v>
      </c>
      <c r="X77" s="1939"/>
      <c r="Y77" s="1861"/>
      <c r="AA77" s="4474">
        <f>AA62</f>
        <v>0</v>
      </c>
      <c r="AB77" s="1940"/>
      <c r="AC77" s="6986">
        <f>AC62</f>
        <v>0</v>
      </c>
      <c r="AD77" s="8031"/>
      <c r="AE77" s="4474">
        <f>AE62</f>
        <v>0</v>
      </c>
      <c r="AF77" s="1940"/>
      <c r="AG77" s="6986">
        <f>AG62</f>
        <v>0</v>
      </c>
      <c r="AH77" s="1939"/>
      <c r="AI77" s="1861"/>
    </row>
    <row r="78" spans="1:35" x14ac:dyDescent="0.35">
      <c r="A78" s="9168"/>
      <c r="B78" s="6082"/>
      <c r="C78" s="1828"/>
      <c r="D78" s="1942" t="s">
        <v>571</v>
      </c>
      <c r="E78" s="12"/>
      <c r="F78" s="1943">
        <f>SUM(F73:F77)</f>
        <v>0</v>
      </c>
      <c r="G78" s="1944"/>
      <c r="H78" s="1943">
        <f t="shared" ref="H78:M78" si="1">SUM(H73:H77)</f>
        <v>4538.1399999999994</v>
      </c>
      <c r="I78" s="1943"/>
      <c r="J78" s="1943">
        <f t="shared" ref="J78" si="2">SUM(J73:J77)</f>
        <v>0</v>
      </c>
      <c r="K78" s="1943"/>
      <c r="L78" s="1943">
        <f t="shared" ref="L78" si="3">SUM(L73:L77)</f>
        <v>0</v>
      </c>
      <c r="M78" s="1943">
        <f t="shared" si="1"/>
        <v>0</v>
      </c>
      <c r="N78" s="1943"/>
      <c r="O78" s="1943">
        <f t="shared" ref="O78" si="4">SUM(O73:O77)</f>
        <v>4187.9260000000004</v>
      </c>
      <c r="P78" s="1943"/>
      <c r="Q78" s="1943"/>
      <c r="R78" s="4487">
        <f t="shared" ref="R78" si="5">SUM(R73:R77)</f>
        <v>4187.9261900000001</v>
      </c>
      <c r="S78" s="1944"/>
      <c r="T78" s="6989">
        <f t="shared" ref="T78:U78" si="6">SUM(T73:T77)</f>
        <v>0</v>
      </c>
      <c r="U78" s="4487">
        <f t="shared" si="6"/>
        <v>3420.6544100000001</v>
      </c>
      <c r="V78" s="1944"/>
      <c r="W78" s="6989">
        <f t="shared" ref="W78" si="7">SUM(W73:W77)</f>
        <v>0</v>
      </c>
      <c r="X78" s="1943"/>
      <c r="Y78" s="1861"/>
      <c r="AA78" s="4487">
        <f t="shared" ref="AA78" si="8">SUM(AA73:AA77)</f>
        <v>3420.6544100000001</v>
      </c>
      <c r="AB78" s="1944"/>
      <c r="AC78" s="6989">
        <f t="shared" ref="AC78:AE78" si="9">SUM(AC73:AC77)</f>
        <v>0</v>
      </c>
      <c r="AD78" s="8031"/>
      <c r="AE78" s="4487">
        <f t="shared" si="9"/>
        <v>3846.527</v>
      </c>
      <c r="AF78" s="1944"/>
      <c r="AG78" s="6989">
        <f t="shared" ref="AG78" si="10">SUM(AG73:AG77)</f>
        <v>0</v>
      </c>
      <c r="AH78" s="1943"/>
      <c r="AI78" s="1861"/>
    </row>
    <row r="79" spans="1:35" ht="15.5" x14ac:dyDescent="0.35">
      <c r="A79" s="9168"/>
      <c r="B79" s="6082"/>
      <c r="C79" s="1828"/>
      <c r="D79" s="1942" t="s">
        <v>572</v>
      </c>
      <c r="F79" s="1945">
        <f>F78/(F17+F18)</f>
        <v>0</v>
      </c>
      <c r="G79" s="1946"/>
      <c r="H79" s="1945">
        <f>H78/(H17+H18)</f>
        <v>0.14868909930867269</v>
      </c>
      <c r="I79" s="1947"/>
      <c r="J79" s="1945" t="e">
        <f>J78/(J17+J18)</f>
        <v>#DIV/0!</v>
      </c>
      <c r="K79" s="1947"/>
      <c r="L79" s="1945" t="e">
        <f>L78/(L17+L18)</f>
        <v>#DIV/0!</v>
      </c>
      <c r="M79" s="1945">
        <f>M78/(M17+M18)</f>
        <v>0</v>
      </c>
      <c r="N79" s="1947"/>
      <c r="O79" s="1945">
        <f>O78/(O17+O18)</f>
        <v>0.13982124732905984</v>
      </c>
      <c r="P79" s="1945"/>
      <c r="Q79" s="1947"/>
      <c r="R79" s="6990">
        <f>R78/(R17+R18+R19+R20)</f>
        <v>0.12776247567039872</v>
      </c>
      <c r="S79" s="1946"/>
      <c r="T79" s="6991" t="e">
        <f t="shared" ref="T79:U79" si="11">T78/(T17+T18+T19+T20)</f>
        <v>#DIV/0!</v>
      </c>
      <c r="U79" s="6990">
        <f t="shared" si="11"/>
        <v>0.11464407111291529</v>
      </c>
      <c r="V79" s="1946"/>
      <c r="W79" s="6991" t="e">
        <f>W78/(W17+W18+W19+W20)</f>
        <v>#DIV/0!</v>
      </c>
      <c r="X79" s="1945"/>
      <c r="Y79" s="1861"/>
      <c r="AA79" s="6990">
        <f>AA78/(AA17+AA18+AA19+AA20)</f>
        <v>0.11464407111291529</v>
      </c>
      <c r="AB79" s="4497"/>
      <c r="AC79" s="6991">
        <f t="shared" ref="AC79:AE79" si="12">AC78/(AC17+AC18+AC19+AC20)</f>
        <v>0</v>
      </c>
      <c r="AD79" s="8033"/>
      <c r="AE79" s="8034">
        <f t="shared" si="12"/>
        <v>0.12029795152462862</v>
      </c>
      <c r="AF79" s="4497"/>
      <c r="AG79" s="6991">
        <f>AG78/(AG17+AG18+AG19+AG20)</f>
        <v>0</v>
      </c>
      <c r="AH79" s="1947"/>
      <c r="AI79" s="1861"/>
    </row>
    <row r="80" spans="1:35" s="1941" customFormat="1" x14ac:dyDescent="0.35">
      <c r="A80" s="9168"/>
      <c r="B80" s="1948"/>
      <c r="C80" s="1949"/>
      <c r="D80" s="1950" t="s">
        <v>573</v>
      </c>
      <c r="E80" s="1951"/>
      <c r="F80" s="1952"/>
      <c r="G80" s="1953"/>
      <c r="H80" s="1952">
        <v>2715.4</v>
      </c>
      <c r="I80" s="1954"/>
      <c r="J80" s="1952"/>
      <c r="K80" s="1954"/>
      <c r="L80" s="1952"/>
      <c r="M80" s="1952"/>
      <c r="N80" s="1954"/>
      <c r="O80" s="1952"/>
      <c r="P80" s="1955"/>
      <c r="Q80" s="1954"/>
      <c r="R80" s="6992"/>
      <c r="S80" s="6993"/>
      <c r="T80" s="6994"/>
      <c r="U80" s="6992"/>
      <c r="V80" s="6993"/>
      <c r="W80" s="6994"/>
      <c r="X80" s="1955"/>
      <c r="Y80" s="1956"/>
      <c r="AA80" s="6992"/>
      <c r="AB80" s="4523"/>
      <c r="AC80" s="6994"/>
      <c r="AD80" s="8035"/>
      <c r="AE80" s="6992"/>
      <c r="AF80" s="4523"/>
      <c r="AG80" s="6994"/>
      <c r="AH80" s="1954"/>
      <c r="AI80" s="1956"/>
    </row>
    <row r="81" spans="1:35" s="1965" customFormat="1" x14ac:dyDescent="0.35">
      <c r="A81" s="9168"/>
      <c r="B81" s="1957"/>
      <c r="C81" s="1958"/>
      <c r="D81" s="1959" t="s">
        <v>575</v>
      </c>
      <c r="E81" s="1958"/>
      <c r="F81" s="1960"/>
      <c r="G81" s="1958"/>
      <c r="H81" s="1961">
        <f>(H78-H80)/H18</f>
        <v>0.13460896536444866</v>
      </c>
      <c r="I81" s="1962"/>
      <c r="J81" s="1961"/>
      <c r="K81" s="1963"/>
      <c r="L81" s="1961"/>
      <c r="M81" s="1961"/>
      <c r="N81" s="1963"/>
      <c r="O81" s="1961"/>
      <c r="P81" s="1964"/>
      <c r="Q81" s="1963"/>
      <c r="R81" s="6995"/>
      <c r="T81" s="6996"/>
      <c r="U81" s="6995"/>
      <c r="W81" s="6996"/>
      <c r="X81" s="1964"/>
      <c r="Y81" s="1964"/>
      <c r="AA81" s="6995"/>
      <c r="AB81" s="4540"/>
      <c r="AC81" s="6996"/>
      <c r="AD81" s="8036"/>
      <c r="AE81" s="6995"/>
      <c r="AF81" s="4540"/>
      <c r="AG81" s="6996"/>
      <c r="AH81" s="1963"/>
      <c r="AI81" s="1964"/>
    </row>
    <row r="82" spans="1:35" s="1965" customFormat="1" x14ac:dyDescent="0.35">
      <c r="A82" s="9168"/>
      <c r="B82" s="1957"/>
      <c r="C82" s="1958"/>
      <c r="D82" s="1959" t="s">
        <v>576</v>
      </c>
      <c r="E82" s="1958"/>
      <c r="F82" s="1960"/>
      <c r="G82" s="1958"/>
      <c r="H82" s="1960">
        <f>H78/H17</f>
        <v>0.26726383981154295</v>
      </c>
      <c r="I82" s="1963"/>
      <c r="J82" s="1960"/>
      <c r="K82" s="1963"/>
      <c r="L82" s="1960"/>
      <c r="M82" s="1960"/>
      <c r="N82" s="1964"/>
      <c r="O82" s="1960"/>
      <c r="P82" s="1964"/>
      <c r="Q82" s="1963"/>
      <c r="R82" s="6997"/>
      <c r="T82" s="6998"/>
      <c r="U82" s="6997"/>
      <c r="W82" s="6998"/>
      <c r="X82" s="1964"/>
      <c r="Y82" s="1964"/>
      <c r="AA82" s="6997"/>
      <c r="AB82" s="4540"/>
      <c r="AC82" s="6998"/>
      <c r="AD82" s="8037"/>
      <c r="AE82" s="6997"/>
      <c r="AF82" s="4540"/>
      <c r="AG82" s="6998"/>
      <c r="AH82" s="1963"/>
      <c r="AI82" s="1964"/>
    </row>
    <row r="83" spans="1:35" s="1965" customFormat="1" x14ac:dyDescent="0.35">
      <c r="A83" s="9168"/>
      <c r="B83" s="1957"/>
      <c r="C83" s="1958"/>
      <c r="D83" s="1959"/>
      <c r="E83" s="1958"/>
      <c r="F83" s="1960"/>
      <c r="G83" s="1958"/>
      <c r="H83" s="1960"/>
      <c r="I83" s="1963"/>
      <c r="J83" s="1960"/>
      <c r="K83" s="1963"/>
      <c r="L83" s="1960"/>
      <c r="M83" s="1960"/>
      <c r="N83" s="1964"/>
      <c r="O83" s="1960"/>
      <c r="P83" s="1964"/>
      <c r="Q83" s="1963"/>
      <c r="R83" s="6997"/>
      <c r="T83" s="6998"/>
      <c r="U83" s="6997"/>
      <c r="W83" s="6998"/>
      <c r="X83" s="1964"/>
      <c r="Y83" s="1964"/>
      <c r="AA83" s="6997"/>
      <c r="AB83" s="4540"/>
      <c r="AC83" s="6998"/>
      <c r="AD83" s="8037"/>
      <c r="AE83" s="6997"/>
      <c r="AF83" s="4540"/>
      <c r="AG83" s="6998"/>
      <c r="AH83" s="1963"/>
      <c r="AI83" s="1964"/>
    </row>
    <row r="84" spans="1:35" s="1965" customFormat="1" x14ac:dyDescent="0.35">
      <c r="A84" s="9168"/>
      <c r="B84" s="1957"/>
      <c r="C84" s="1958"/>
      <c r="D84" s="1959" t="s">
        <v>3239</v>
      </c>
      <c r="E84" s="1958"/>
      <c r="F84" s="1960">
        <f>F78/F12</f>
        <v>0</v>
      </c>
      <c r="G84" s="1958"/>
      <c r="H84" s="1960">
        <f>H78/H12</f>
        <v>0.21144015282113401</v>
      </c>
      <c r="I84" s="1963"/>
      <c r="J84" s="1960" t="e">
        <f>J78/J12</f>
        <v>#DIV/0!</v>
      </c>
      <c r="K84" s="1963"/>
      <c r="L84" s="1960" t="e">
        <f>L78/L12</f>
        <v>#DIV/0!</v>
      </c>
      <c r="M84" s="1960">
        <f>M78/M12</f>
        <v>0</v>
      </c>
      <c r="N84" s="1964"/>
      <c r="O84" s="1960">
        <f>O78/O12</f>
        <v>0.18449013215859034</v>
      </c>
      <c r="P84" s="1964"/>
      <c r="Q84" s="1963"/>
      <c r="R84" s="6997">
        <f>R78/R12</f>
        <v>0.18985974204370298</v>
      </c>
      <c r="T84" s="6998">
        <f>T78/T12</f>
        <v>0</v>
      </c>
      <c r="U84" s="6997">
        <f>U78/U12</f>
        <v>0.14111610544094016</v>
      </c>
      <c r="W84" s="6998" t="e">
        <f>W78/W12</f>
        <v>#DIV/0!</v>
      </c>
      <c r="X84" s="1964"/>
      <c r="Y84" s="1964"/>
      <c r="AA84" s="6997">
        <f>AA78/AA12</f>
        <v>0.14111610544094016</v>
      </c>
      <c r="AB84" s="4540"/>
      <c r="AC84" s="6998">
        <f>AC78/AC12</f>
        <v>0</v>
      </c>
      <c r="AD84" s="8037"/>
      <c r="AE84" s="6997">
        <f>AE78/AE12</f>
        <v>0.14401074503931113</v>
      </c>
      <c r="AF84" s="4540"/>
      <c r="AG84" s="6998">
        <f>AG78/AG12</f>
        <v>0</v>
      </c>
      <c r="AH84" s="1963"/>
      <c r="AI84" s="1964"/>
    </row>
    <row r="85" spans="1:35" x14ac:dyDescent="0.35">
      <c r="A85" s="9168"/>
      <c r="B85" s="1853"/>
      <c r="C85" s="1966"/>
      <c r="D85" s="1967" t="s">
        <v>578</v>
      </c>
      <c r="E85" s="1966"/>
      <c r="F85" s="1968"/>
      <c r="G85" s="1966"/>
      <c r="H85" s="1969">
        <f>H78/H12*100</f>
        <v>21.144015282113401</v>
      </c>
      <c r="I85" s="1970"/>
      <c r="J85" s="1968" t="e">
        <f>J78/J12*100</f>
        <v>#DIV/0!</v>
      </c>
      <c r="K85" s="1861"/>
      <c r="L85" s="1969" t="e">
        <f>L78/L12*100</f>
        <v>#DIV/0!</v>
      </c>
      <c r="M85" s="1968">
        <f>M78/M12*100</f>
        <v>0</v>
      </c>
      <c r="N85" s="1861"/>
      <c r="O85" s="1969">
        <f>O78/O12*100</f>
        <v>18.449013215859033</v>
      </c>
      <c r="P85" s="1861"/>
      <c r="Q85" s="1861"/>
      <c r="R85" s="6999"/>
      <c r="S85" s="7000"/>
      <c r="T85" s="7001"/>
      <c r="U85" s="6999"/>
      <c r="V85" s="7000"/>
      <c r="W85" s="7001"/>
      <c r="X85" s="1861"/>
      <c r="Y85" s="1861"/>
      <c r="AA85" s="6999"/>
      <c r="AB85" s="8038"/>
      <c r="AC85" s="7001"/>
      <c r="AD85" s="8039"/>
      <c r="AE85" s="6999"/>
      <c r="AF85" s="8038"/>
      <c r="AG85" s="7001"/>
      <c r="AH85" s="1861"/>
      <c r="AI85" s="1861"/>
    </row>
    <row r="86" spans="1:35" x14ac:dyDescent="0.35">
      <c r="A86" s="9168"/>
      <c r="B86" s="1853"/>
      <c r="C86" s="1966"/>
      <c r="D86" s="1971" t="s">
        <v>3240</v>
      </c>
      <c r="E86" s="1966"/>
      <c r="F86" s="1968"/>
      <c r="G86" s="1966"/>
      <c r="H86" s="1968"/>
      <c r="I86" s="1861"/>
      <c r="J86" s="1968"/>
      <c r="K86" s="1861"/>
      <c r="L86" s="1861"/>
      <c r="M86" s="1968"/>
      <c r="N86" s="1861"/>
      <c r="O86" s="1861"/>
      <c r="P86" s="1861"/>
      <c r="Q86" s="1861"/>
      <c r="R86" s="7002"/>
      <c r="S86" s="1828"/>
      <c r="T86" s="6998"/>
      <c r="U86" s="7002"/>
      <c r="V86" s="1828"/>
      <c r="W86" s="6998"/>
      <c r="X86" s="1861"/>
      <c r="Y86" s="1861"/>
      <c r="AA86" s="7002"/>
      <c r="AB86" s="1828"/>
      <c r="AC86" s="6998"/>
      <c r="AD86" s="8037"/>
      <c r="AE86" s="7002"/>
      <c r="AF86" s="1828"/>
      <c r="AG86" s="6998"/>
      <c r="AH86" s="1861"/>
      <c r="AI86" s="1861"/>
    </row>
    <row r="87" spans="1:35" x14ac:dyDescent="0.35">
      <c r="A87" s="9168"/>
      <c r="B87" s="1853"/>
      <c r="C87" s="1966"/>
      <c r="D87" s="921"/>
      <c r="E87" s="1966"/>
      <c r="F87" s="1968"/>
      <c r="G87" s="1966"/>
      <c r="H87" s="1968"/>
      <c r="I87" s="1861"/>
      <c r="J87" s="1968"/>
      <c r="K87" s="1861"/>
      <c r="L87" s="1861"/>
      <c r="M87" s="1968"/>
      <c r="N87" s="1861"/>
      <c r="O87" s="1861"/>
      <c r="P87" s="1861"/>
      <c r="Q87" s="1861"/>
      <c r="R87" s="7002"/>
      <c r="S87" s="1828"/>
      <c r="T87" s="6998"/>
      <c r="U87" s="7002"/>
      <c r="V87" s="1828"/>
      <c r="W87" s="6998"/>
      <c r="X87" s="1861"/>
      <c r="Y87" s="1861"/>
      <c r="AA87" s="7002"/>
      <c r="AB87" s="1828"/>
      <c r="AC87" s="6998"/>
      <c r="AD87" s="8037"/>
      <c r="AE87" s="7002"/>
      <c r="AF87" s="1828"/>
      <c r="AG87" s="6998"/>
      <c r="AH87" s="1861"/>
      <c r="AI87" s="1861"/>
    </row>
    <row r="88" spans="1:35" x14ac:dyDescent="0.35">
      <c r="A88" s="9168"/>
      <c r="B88" s="1853"/>
      <c r="C88" s="1966"/>
      <c r="D88" s="1971" t="s">
        <v>580</v>
      </c>
      <c r="E88" s="1972"/>
      <c r="F88" s="1973"/>
      <c r="G88" s="1974"/>
      <c r="H88" s="1973"/>
      <c r="I88" s="1975"/>
      <c r="J88" s="1973"/>
      <c r="K88" s="1975"/>
      <c r="L88" s="1975"/>
      <c r="M88" s="1973"/>
      <c r="N88" s="1975"/>
      <c r="O88" s="1975"/>
      <c r="P88" s="1975"/>
      <c r="Q88" s="1975"/>
      <c r="R88" s="7003"/>
      <c r="S88" s="7004"/>
      <c r="T88" s="7005"/>
      <c r="U88" s="7003"/>
      <c r="V88" s="7004"/>
      <c r="W88" s="7005"/>
      <c r="X88" s="1975"/>
      <c r="Y88" s="1861"/>
      <c r="AA88" s="7003"/>
      <c r="AB88" s="7004"/>
      <c r="AC88" s="7005"/>
      <c r="AD88" s="8040"/>
      <c r="AE88" s="7003"/>
      <c r="AF88" s="7004"/>
      <c r="AG88" s="7005"/>
      <c r="AH88" s="1975"/>
      <c r="AI88" s="1861"/>
    </row>
    <row r="89" spans="1:35" ht="1.5" customHeight="1" x14ac:dyDescent="0.35">
      <c r="A89" s="9169"/>
      <c r="B89" s="85"/>
      <c r="C89" s="1976"/>
      <c r="D89" s="1977" t="s">
        <v>581</v>
      </c>
      <c r="E89" s="1920"/>
      <c r="F89" s="1978"/>
      <c r="G89" s="1979"/>
      <c r="H89" s="1978"/>
      <c r="I89" s="1980"/>
      <c r="J89" s="1978"/>
      <c r="K89" s="1981"/>
      <c r="L89" s="1982"/>
      <c r="M89" s="1978"/>
      <c r="N89" s="1982"/>
      <c r="O89" s="1982"/>
      <c r="P89" s="1982"/>
      <c r="Q89" s="1980"/>
      <c r="R89" s="1982"/>
      <c r="S89" s="7006"/>
      <c r="T89" s="1982"/>
      <c r="U89" s="1978"/>
      <c r="V89" s="1982"/>
      <c r="W89" s="1982"/>
      <c r="X89" s="7007"/>
      <c r="Y89" s="1873"/>
      <c r="AA89" s="1982"/>
      <c r="AB89" s="1981"/>
      <c r="AC89" s="1982"/>
      <c r="AD89" s="8041"/>
      <c r="AE89" s="1978"/>
      <c r="AF89" s="1982"/>
      <c r="AG89" s="1982"/>
      <c r="AH89" s="1980"/>
      <c r="AI89" s="1873"/>
    </row>
    <row r="90" spans="1:35" s="1587" customFormat="1" ht="12" x14ac:dyDescent="0.35">
      <c r="C90" s="223"/>
      <c r="D90" s="1829"/>
      <c r="E90" s="223"/>
      <c r="F90" s="223"/>
      <c r="G90" s="223"/>
      <c r="H90" s="715"/>
      <c r="I90" s="715"/>
      <c r="J90" s="715"/>
      <c r="K90" s="715"/>
      <c r="L90" s="715"/>
      <c r="M90" s="715"/>
      <c r="N90" s="715"/>
      <c r="O90" s="715"/>
      <c r="P90" s="715"/>
      <c r="Q90" s="715"/>
      <c r="R90" s="715"/>
      <c r="S90" s="715"/>
      <c r="T90" s="715"/>
      <c r="U90" s="715"/>
      <c r="V90" s="715"/>
      <c r="W90" s="715"/>
      <c r="X90" s="715"/>
      <c r="AA90" s="715"/>
      <c r="AB90" s="715"/>
      <c r="AC90" s="715"/>
      <c r="AD90" s="8042"/>
      <c r="AE90" s="715"/>
      <c r="AF90" s="715"/>
      <c r="AG90" s="715"/>
      <c r="AH90" s="715"/>
    </row>
    <row r="91" spans="1:35" s="1587" customFormat="1" ht="12" x14ac:dyDescent="0.35">
      <c r="A91" s="1983" t="s">
        <v>582</v>
      </c>
      <c r="B91" s="1983"/>
      <c r="C91" s="223"/>
      <c r="D91" s="1829"/>
      <c r="E91" s="223"/>
      <c r="F91" s="223"/>
      <c r="G91" s="223"/>
      <c r="H91" s="715"/>
      <c r="I91" s="715"/>
      <c r="J91" s="715"/>
      <c r="K91" s="715"/>
      <c r="L91" s="715"/>
      <c r="M91" s="715"/>
      <c r="N91" s="715"/>
      <c r="O91" s="715"/>
      <c r="P91" s="715"/>
      <c r="Q91" s="715"/>
      <c r="R91" s="715"/>
      <c r="S91" s="715"/>
      <c r="T91" s="715"/>
      <c r="U91" s="715"/>
      <c r="V91" s="715"/>
      <c r="W91" s="715"/>
      <c r="X91" s="715"/>
      <c r="AA91" s="715"/>
      <c r="AB91" s="715"/>
      <c r="AC91" s="715"/>
      <c r="AD91" s="8042"/>
      <c r="AE91" s="715"/>
      <c r="AF91" s="715"/>
      <c r="AG91" s="715"/>
      <c r="AH91" s="715"/>
    </row>
    <row r="92" spans="1:35" s="1587" customFormat="1" ht="12" customHeight="1" x14ac:dyDescent="0.35">
      <c r="A92" s="223">
        <v>1</v>
      </c>
      <c r="B92" s="1984"/>
      <c r="D92" s="1829"/>
      <c r="AD92" s="8043"/>
    </row>
    <row r="93" spans="1:35" s="1587" customFormat="1" ht="12" x14ac:dyDescent="0.35">
      <c r="A93" s="223">
        <v>2</v>
      </c>
      <c r="B93" s="1984"/>
      <c r="D93" s="1829"/>
      <c r="E93" s="223"/>
      <c r="F93" s="223"/>
      <c r="G93" s="223"/>
      <c r="H93" s="715"/>
      <c r="I93" s="715"/>
      <c r="J93" s="715"/>
      <c r="K93" s="715"/>
      <c r="L93" s="715"/>
      <c r="M93" s="715"/>
      <c r="N93" s="715"/>
      <c r="O93" s="715"/>
      <c r="P93" s="715"/>
      <c r="Q93" s="715"/>
      <c r="R93" s="715"/>
      <c r="S93" s="715"/>
      <c r="T93" s="715"/>
      <c r="U93" s="715"/>
      <c r="V93" s="715"/>
      <c r="W93" s="715"/>
      <c r="X93" s="715"/>
      <c r="AA93" s="715"/>
      <c r="AB93" s="715"/>
      <c r="AC93" s="715"/>
      <c r="AD93" s="8042"/>
      <c r="AE93" s="715"/>
      <c r="AF93" s="715"/>
      <c r="AG93" s="715"/>
      <c r="AH93" s="715"/>
    </row>
    <row r="94" spans="1:35" s="1587" customFormat="1" ht="12" x14ac:dyDescent="0.35">
      <c r="A94" s="223">
        <v>3</v>
      </c>
      <c r="B94" s="1984"/>
      <c r="D94" s="1829"/>
      <c r="E94" s="223"/>
      <c r="F94" s="223"/>
      <c r="G94" s="223"/>
      <c r="H94" s="715"/>
      <c r="I94" s="715"/>
      <c r="J94" s="715"/>
      <c r="K94" s="715"/>
      <c r="L94" s="715"/>
      <c r="M94" s="715"/>
      <c r="N94" s="715"/>
      <c r="O94" s="715"/>
      <c r="P94" s="715"/>
      <c r="Q94" s="715"/>
      <c r="R94" s="715"/>
      <c r="S94" s="715"/>
      <c r="T94" s="715"/>
      <c r="U94" s="715"/>
      <c r="V94" s="715"/>
      <c r="W94" s="715"/>
      <c r="X94" s="715"/>
      <c r="AA94" s="715"/>
      <c r="AB94" s="715"/>
      <c r="AC94" s="715"/>
      <c r="AD94" s="8042"/>
      <c r="AE94" s="715"/>
      <c r="AF94" s="715"/>
      <c r="AG94" s="715"/>
      <c r="AH94" s="715"/>
    </row>
    <row r="95" spans="1:35" s="1587" customFormat="1" ht="12" x14ac:dyDescent="0.35">
      <c r="A95" s="223">
        <v>4</v>
      </c>
      <c r="B95" s="1984"/>
      <c r="D95" s="1829"/>
      <c r="E95" s="223"/>
      <c r="F95" s="223"/>
      <c r="G95" s="223"/>
      <c r="H95" s="715"/>
      <c r="I95" s="715"/>
      <c r="J95" s="715"/>
      <c r="K95" s="715"/>
      <c r="L95" s="715"/>
      <c r="M95" s="715"/>
      <c r="N95" s="715"/>
      <c r="O95" s="715"/>
      <c r="P95" s="715"/>
      <c r="Q95" s="715"/>
      <c r="R95" s="715"/>
      <c r="S95" s="715"/>
      <c r="T95" s="715"/>
      <c r="U95" s="715"/>
      <c r="V95" s="715"/>
      <c r="W95" s="715"/>
      <c r="X95" s="715"/>
      <c r="AA95" s="715"/>
      <c r="AB95" s="715"/>
      <c r="AC95" s="715"/>
      <c r="AD95" s="8042"/>
      <c r="AE95" s="715"/>
      <c r="AF95" s="715"/>
      <c r="AG95" s="715"/>
      <c r="AH95" s="715"/>
    </row>
    <row r="96" spans="1:35" s="1587" customFormat="1" ht="12" x14ac:dyDescent="0.35">
      <c r="A96" s="223">
        <v>5</v>
      </c>
      <c r="B96" s="1984"/>
      <c r="D96" s="1829"/>
      <c r="E96" s="223"/>
      <c r="F96" s="223"/>
      <c r="G96" s="223"/>
      <c r="H96" s="715"/>
      <c r="I96" s="715"/>
      <c r="J96" s="715"/>
      <c r="K96" s="715"/>
      <c r="L96" s="715"/>
      <c r="M96" s="715"/>
      <c r="N96" s="715"/>
      <c r="O96" s="715"/>
      <c r="P96" s="715"/>
      <c r="Q96" s="715"/>
      <c r="R96" s="715"/>
      <c r="S96" s="715"/>
      <c r="T96" s="715"/>
      <c r="U96" s="715"/>
      <c r="V96" s="715"/>
      <c r="W96" s="715"/>
      <c r="X96" s="715"/>
      <c r="AA96" s="715"/>
      <c r="AB96" s="715"/>
      <c r="AC96" s="715"/>
      <c r="AD96" s="8042"/>
      <c r="AE96" s="715"/>
      <c r="AF96" s="715"/>
      <c r="AG96" s="715"/>
      <c r="AH96" s="715"/>
    </row>
    <row r="97" spans="1:34" s="1587" customFormat="1" ht="12" x14ac:dyDescent="0.35">
      <c r="A97" s="223">
        <v>6</v>
      </c>
      <c r="B97" s="1984"/>
      <c r="D97" s="1829"/>
      <c r="E97" s="223"/>
      <c r="F97" s="223"/>
      <c r="G97" s="223"/>
      <c r="H97" s="715"/>
      <c r="I97" s="715"/>
      <c r="J97" s="715"/>
      <c r="K97" s="715"/>
      <c r="L97" s="715"/>
      <c r="M97" s="715"/>
      <c r="N97" s="715"/>
      <c r="O97" s="715"/>
      <c r="P97" s="715"/>
      <c r="Q97" s="715"/>
      <c r="R97" s="715"/>
      <c r="S97" s="715"/>
      <c r="T97" s="715"/>
      <c r="U97" s="715"/>
      <c r="V97" s="715"/>
      <c r="W97" s="715"/>
      <c r="X97" s="715"/>
      <c r="AA97" s="715"/>
      <c r="AB97" s="715"/>
      <c r="AC97" s="715"/>
      <c r="AD97" s="8042"/>
      <c r="AE97" s="715"/>
      <c r="AF97" s="715"/>
      <c r="AG97" s="715"/>
      <c r="AH97" s="715"/>
    </row>
    <row r="98" spans="1:34" s="1587" customFormat="1" ht="12" x14ac:dyDescent="0.35">
      <c r="A98" s="223">
        <v>7</v>
      </c>
      <c r="B98" s="1984"/>
      <c r="D98" s="1829"/>
      <c r="E98" s="223"/>
      <c r="F98" s="223"/>
      <c r="G98" s="223"/>
      <c r="H98" s="715"/>
      <c r="I98" s="715"/>
      <c r="J98" s="715"/>
      <c r="K98" s="715"/>
      <c r="L98" s="715"/>
      <c r="M98" s="715"/>
      <c r="N98" s="715"/>
      <c r="O98" s="715"/>
      <c r="P98" s="715"/>
      <c r="Q98" s="715"/>
      <c r="R98" s="715"/>
      <c r="S98" s="715"/>
      <c r="T98" s="715"/>
      <c r="U98" s="715"/>
      <c r="V98" s="715"/>
      <c r="W98" s="715"/>
      <c r="X98" s="715"/>
      <c r="AA98" s="715"/>
      <c r="AB98" s="715"/>
      <c r="AC98" s="715"/>
      <c r="AD98" s="8042"/>
      <c r="AE98" s="715"/>
      <c r="AF98" s="715"/>
      <c r="AG98" s="715"/>
      <c r="AH98" s="715"/>
    </row>
    <row r="99" spans="1:34" s="1587" customFormat="1" ht="12" x14ac:dyDescent="0.35">
      <c r="A99" s="223">
        <v>8</v>
      </c>
      <c r="B99" s="1984"/>
      <c r="D99" s="1829"/>
      <c r="E99" s="223"/>
      <c r="F99" s="223"/>
      <c r="G99" s="223"/>
      <c r="H99" s="715"/>
      <c r="I99" s="715"/>
      <c r="J99" s="715"/>
      <c r="K99" s="715"/>
      <c r="L99" s="715"/>
      <c r="M99" s="715"/>
      <c r="N99" s="715"/>
      <c r="O99" s="715"/>
      <c r="P99" s="715"/>
      <c r="Q99" s="715"/>
      <c r="R99" s="715"/>
      <c r="S99" s="715"/>
      <c r="T99" s="715"/>
      <c r="U99" s="715"/>
      <c r="V99" s="715"/>
      <c r="W99" s="715"/>
      <c r="X99" s="715"/>
      <c r="AA99" s="715"/>
      <c r="AB99" s="715"/>
      <c r="AC99" s="715"/>
      <c r="AD99" s="8042"/>
      <c r="AE99" s="715"/>
      <c r="AF99" s="715"/>
      <c r="AG99" s="715"/>
      <c r="AH99" s="715"/>
    </row>
    <row r="100" spans="1:34" s="1587" customFormat="1" ht="12" x14ac:dyDescent="0.35">
      <c r="A100" s="223">
        <v>9</v>
      </c>
      <c r="B100" s="1984"/>
      <c r="D100" s="1829"/>
      <c r="E100" s="223"/>
      <c r="F100" s="223"/>
      <c r="G100" s="223"/>
      <c r="H100" s="715"/>
      <c r="I100" s="715"/>
      <c r="J100" s="715"/>
      <c r="K100" s="715"/>
      <c r="L100" s="715"/>
      <c r="M100" s="715"/>
      <c r="N100" s="715"/>
      <c r="O100" s="715"/>
      <c r="P100" s="715"/>
      <c r="Q100" s="715"/>
      <c r="R100" s="715"/>
      <c r="S100" s="715"/>
      <c r="T100" s="715"/>
      <c r="U100" s="715"/>
      <c r="V100" s="715"/>
      <c r="W100" s="715"/>
      <c r="X100" s="715"/>
      <c r="AA100" s="715"/>
      <c r="AB100" s="715"/>
      <c r="AC100" s="715"/>
      <c r="AD100" s="8042"/>
      <c r="AE100" s="715"/>
      <c r="AF100" s="715"/>
      <c r="AG100" s="715"/>
      <c r="AH100" s="715"/>
    </row>
    <row r="101" spans="1:34" s="1587" customFormat="1" ht="12" x14ac:dyDescent="0.35">
      <c r="A101" s="223">
        <v>10</v>
      </c>
      <c r="B101" s="1984"/>
      <c r="D101" s="1829"/>
      <c r="E101" s="223"/>
      <c r="F101" s="223"/>
      <c r="G101" s="223"/>
      <c r="H101" s="715"/>
      <c r="I101" s="715"/>
      <c r="J101" s="715"/>
      <c r="K101" s="715"/>
      <c r="L101" s="715"/>
      <c r="M101" s="715"/>
      <c r="N101" s="715"/>
      <c r="O101" s="715"/>
      <c r="P101" s="715"/>
      <c r="Q101" s="715"/>
      <c r="R101" s="715"/>
      <c r="S101" s="715"/>
      <c r="T101" s="715"/>
      <c r="U101" s="715"/>
      <c r="V101" s="715"/>
      <c r="W101" s="715"/>
      <c r="X101" s="715"/>
      <c r="AA101" s="715"/>
      <c r="AB101" s="715"/>
      <c r="AC101" s="715"/>
      <c r="AD101" s="8042"/>
      <c r="AE101" s="715"/>
      <c r="AF101" s="715"/>
      <c r="AG101" s="715"/>
      <c r="AH101" s="715"/>
    </row>
    <row r="102" spans="1:34" s="1587" customFormat="1" ht="12" x14ac:dyDescent="0.35">
      <c r="A102" s="223"/>
      <c r="B102" s="1984"/>
      <c r="D102" s="1829"/>
      <c r="E102" s="223"/>
      <c r="F102" s="223"/>
      <c r="G102" s="223"/>
      <c r="H102" s="715"/>
      <c r="I102" s="715"/>
      <c r="J102" s="715"/>
      <c r="K102" s="715"/>
      <c r="L102" s="715"/>
      <c r="M102" s="715"/>
      <c r="N102" s="715"/>
      <c r="O102" s="715"/>
      <c r="P102" s="715"/>
      <c r="Q102" s="715"/>
      <c r="R102" s="715"/>
      <c r="S102" s="715"/>
      <c r="T102" s="715"/>
      <c r="U102" s="715"/>
      <c r="V102" s="715"/>
      <c r="W102" s="715"/>
      <c r="X102" s="715"/>
      <c r="AA102" s="715"/>
      <c r="AB102" s="715"/>
      <c r="AC102" s="715"/>
      <c r="AD102" s="8042"/>
      <c r="AE102" s="715"/>
      <c r="AF102" s="715"/>
      <c r="AG102" s="715"/>
      <c r="AH102" s="715"/>
    </row>
    <row r="103" spans="1:34" s="1587" customFormat="1" ht="12" x14ac:dyDescent="0.35">
      <c r="A103" s="1983" t="s">
        <v>3241</v>
      </c>
      <c r="B103" s="1983"/>
      <c r="C103" s="223"/>
      <c r="D103" s="1829"/>
      <c r="E103" s="223"/>
      <c r="F103" s="223"/>
      <c r="G103" s="223"/>
      <c r="H103" s="715"/>
      <c r="I103" s="715"/>
      <c r="J103" s="715"/>
      <c r="K103" s="715"/>
      <c r="L103" s="715"/>
      <c r="M103" s="715"/>
      <c r="N103" s="715"/>
      <c r="O103" s="715"/>
      <c r="P103" s="715"/>
      <c r="Q103" s="715"/>
      <c r="R103" s="715"/>
      <c r="S103" s="715"/>
      <c r="T103" s="715"/>
      <c r="U103" s="715"/>
      <c r="V103" s="715"/>
      <c r="W103" s="715"/>
      <c r="X103" s="715"/>
      <c r="AA103" s="715"/>
      <c r="AB103" s="715"/>
      <c r="AC103" s="715"/>
      <c r="AD103" s="8042"/>
      <c r="AE103" s="715"/>
      <c r="AF103" s="715"/>
      <c r="AG103" s="715"/>
      <c r="AH103" s="715"/>
    </row>
    <row r="104" spans="1:34" s="1587" customFormat="1" ht="93" customHeight="1" x14ac:dyDescent="0.35">
      <c r="A104" s="9367"/>
      <c r="B104" s="9368"/>
      <c r="C104" s="9368"/>
      <c r="D104" s="9368"/>
      <c r="E104" s="9368"/>
      <c r="F104" s="9368"/>
      <c r="G104" s="9368"/>
      <c r="H104" s="9368"/>
      <c r="I104" s="1985"/>
      <c r="J104" s="1986"/>
      <c r="K104" s="1986"/>
      <c r="L104" s="1986"/>
      <c r="M104" s="1986"/>
      <c r="N104" s="1986"/>
      <c r="O104" s="1986"/>
      <c r="P104" s="1986"/>
      <c r="Q104" s="1985"/>
      <c r="R104" s="1986"/>
      <c r="S104" s="1986"/>
      <c r="T104" s="1986"/>
      <c r="U104" s="1986"/>
      <c r="V104" s="1986"/>
      <c r="W104" s="1986"/>
      <c r="X104" s="1985"/>
      <c r="AA104" s="1986"/>
      <c r="AB104" s="1986"/>
      <c r="AC104" s="1986"/>
      <c r="AD104" s="8044"/>
      <c r="AE104" s="1986"/>
      <c r="AF104" s="1986"/>
      <c r="AG104" s="1986"/>
      <c r="AH104" s="1985"/>
    </row>
  </sheetData>
  <mergeCells count="22">
    <mergeCell ref="A10:A35"/>
    <mergeCell ref="A37:A70"/>
    <mergeCell ref="A72:A89"/>
    <mergeCell ref="A104:H104"/>
    <mergeCell ref="F2:H2"/>
    <mergeCell ref="Y4:Y5"/>
    <mergeCell ref="R5:T5"/>
    <mergeCell ref="U5:W5"/>
    <mergeCell ref="J2:P2"/>
    <mergeCell ref="J4:L4"/>
    <mergeCell ref="M4:O4"/>
    <mergeCell ref="J5:L5"/>
    <mergeCell ref="M5:O5"/>
    <mergeCell ref="R2:W2"/>
    <mergeCell ref="R4:T4"/>
    <mergeCell ref="U4:W4"/>
    <mergeCell ref="AA2:AG2"/>
    <mergeCell ref="AA4:AC4"/>
    <mergeCell ref="AE4:AG4"/>
    <mergeCell ref="AI4:AI5"/>
    <mergeCell ref="AA5:AC5"/>
    <mergeCell ref="AE5:AG5"/>
  </mergeCells>
  <hyperlinks>
    <hyperlink ref="H10" r:id="rId1" xr:uid="{00000000-0004-0000-1500-000000000000}"/>
    <hyperlink ref="V10" r:id="rId2" xr:uid="{C873D09C-3227-4C0A-9445-6FE09B691873}"/>
    <hyperlink ref="S10" r:id="rId3" xr:uid="{7628F826-5308-4E46-9105-20D3B57696BD}"/>
    <hyperlink ref="AB10" r:id="rId4" xr:uid="{FC488A97-26DB-454E-A671-794897F2BDB5}"/>
  </hyperlinks>
  <pageMargins left="0.7" right="0.7" top="0.75" bottom="0.75" header="0.3" footer="0.3"/>
  <pageSetup orientation="portrait" r:id="rId5"/>
  <headerFooter>
    <oddFooter>&amp;R&amp;1#&amp;"Calibri"&amp;12&amp;K000000Official Use</oddFooter>
  </headerFooter>
  <drawing r:id="rId6"/>
  <legacyDrawing r:id="rId7"/>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J117"/>
  <sheetViews>
    <sheetView zoomScale="74" zoomScaleNormal="83" zoomScalePageLayoutView="93" workbookViewId="0">
      <pane xSplit="4" topLeftCell="AZ1" activePane="topRight" state="frozen"/>
      <selection activeCell="A65" sqref="A65"/>
      <selection pane="topRight" activeCell="BG84" sqref="BG84"/>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 customWidth="1"/>
    <col min="22" max="22" width="21.6328125" customWidth="1"/>
    <col min="23" max="23" width="1.6328125" style="1" customWidth="1"/>
    <col min="24" max="26" width="21.6328125" style="6" customWidth="1"/>
    <col min="27" max="27" width="8.6328125" style="7" customWidth="1"/>
    <col min="28" max="28" width="1.6328125" style="1" customWidth="1"/>
    <col min="29" max="29" width="21.6328125" customWidth="1"/>
    <col min="30" max="30" width="23" customWidth="1"/>
    <col min="31" max="31" width="21.6328125" customWidth="1"/>
    <col min="32" max="32" width="1.6328125" style="1" customWidth="1"/>
    <col min="33" max="35" width="21.6328125" style="6" customWidth="1"/>
    <col min="36" max="36" width="8.6328125" style="7" customWidth="1"/>
    <col min="37" max="37" width="1.6328125" style="1" customWidth="1"/>
    <col min="38" max="38" width="21.6328125" customWidth="1"/>
    <col min="39" max="39" width="23" customWidth="1"/>
    <col min="40" max="40" width="21.6328125" customWidth="1"/>
    <col min="41" max="41" width="1.6328125" style="1" customWidth="1"/>
    <col min="42" max="42" width="2.453125" customWidth="1"/>
    <col min="43" max="45" width="21.6328125" style="6" customWidth="1"/>
    <col min="46" max="46" width="8.6328125" style="7" customWidth="1"/>
    <col min="47" max="47" width="1.6328125" style="1" customWidth="1"/>
    <col min="48" max="48" width="21.6328125" customWidth="1"/>
    <col min="49" max="49" width="23" customWidth="1"/>
    <col min="50" max="50" width="21.6328125" customWidth="1"/>
    <col min="51" max="51" width="7.453125" customWidth="1"/>
    <col min="52" max="54" width="21.6328125" style="6" customWidth="1"/>
    <col min="55" max="55" width="8.6328125" style="7" customWidth="1"/>
    <col min="56" max="56" width="1.6328125" style="1" customWidth="1"/>
    <col min="57" max="57" width="21.6328125" customWidth="1"/>
    <col min="58" max="58" width="23" customWidth="1"/>
    <col min="59" max="59" width="21.6328125" customWidth="1"/>
    <col min="60" max="60" width="1.6328125" style="1" customWidth="1"/>
    <col min="61" max="62" width="23.453125" customWidth="1"/>
  </cols>
  <sheetData>
    <row r="1" spans="1:62" ht="31" x14ac:dyDescent="0.7">
      <c r="F1" s="9118" t="s">
        <v>394</v>
      </c>
      <c r="G1" s="9119"/>
      <c r="H1" s="9119"/>
      <c r="I1" s="9119"/>
      <c r="J1" s="9119"/>
      <c r="K1" s="9119"/>
      <c r="L1" s="9119"/>
      <c r="M1" s="9120"/>
      <c r="N1"/>
      <c r="O1" s="9184" t="s">
        <v>395</v>
      </c>
      <c r="P1" s="9185"/>
      <c r="Q1" s="9185"/>
      <c r="R1" s="9185"/>
      <c r="S1" s="9185"/>
      <c r="T1" s="9185"/>
      <c r="U1" s="9185"/>
      <c r="V1" s="9186"/>
      <c r="W1"/>
      <c r="X1" s="9426" t="s">
        <v>396</v>
      </c>
      <c r="Y1" s="9427"/>
      <c r="Z1" s="9427"/>
      <c r="AA1" s="9427"/>
      <c r="AB1" s="9427"/>
      <c r="AC1" s="9427"/>
      <c r="AD1" s="9427"/>
      <c r="AE1" s="9428"/>
      <c r="AF1"/>
      <c r="AG1" s="9187" t="s">
        <v>397</v>
      </c>
      <c r="AH1" s="9188"/>
      <c r="AI1" s="9188"/>
      <c r="AJ1" s="9188"/>
      <c r="AK1" s="9188"/>
      <c r="AL1" s="9188"/>
      <c r="AM1" s="9188"/>
      <c r="AN1" s="9189"/>
      <c r="AO1"/>
      <c r="AQ1" s="9195" t="s">
        <v>398</v>
      </c>
      <c r="AR1" s="9196"/>
      <c r="AS1" s="9196"/>
      <c r="AT1" s="9196"/>
      <c r="AU1" s="9196"/>
      <c r="AV1" s="9196"/>
      <c r="AW1" s="9196"/>
      <c r="AX1" s="9197"/>
      <c r="AY1" s="1537"/>
      <c r="AZ1" s="9115" t="s">
        <v>399</v>
      </c>
      <c r="BA1" s="9116"/>
      <c r="BB1" s="9116"/>
      <c r="BC1" s="9116"/>
      <c r="BD1" s="9116"/>
      <c r="BE1" s="9116"/>
      <c r="BF1" s="9116"/>
      <c r="BG1" s="9117"/>
      <c r="BH1" s="1537"/>
    </row>
    <row r="2" spans="1:62" ht="21" x14ac:dyDescent="0.5">
      <c r="B2" s="1" t="s">
        <v>9</v>
      </c>
      <c r="C2" s="578" t="s">
        <v>47</v>
      </c>
      <c r="H2"/>
    </row>
    <row r="4" spans="1:62"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G4" s="9130" t="s">
        <v>403</v>
      </c>
      <c r="AH4" s="9131"/>
      <c r="AI4" s="9131"/>
      <c r="AJ4" s="9132"/>
      <c r="AL4" s="9130" t="s">
        <v>402</v>
      </c>
      <c r="AM4" s="9131"/>
      <c r="AN4" s="9132"/>
      <c r="AP4" s="9180" t="s">
        <v>404</v>
      </c>
      <c r="AQ4" s="9130" t="s">
        <v>403</v>
      </c>
      <c r="AR4" s="9131"/>
      <c r="AS4" s="9131"/>
      <c r="AT4" s="9132"/>
      <c r="AV4" s="9130" t="s">
        <v>402</v>
      </c>
      <c r="AW4" s="9131"/>
      <c r="AX4" s="9132"/>
      <c r="AZ4" s="9130" t="s">
        <v>403</v>
      </c>
      <c r="BA4" s="9131"/>
      <c r="BB4" s="9131"/>
      <c r="BC4" s="9132"/>
      <c r="BE4" s="9130" t="s">
        <v>402</v>
      </c>
      <c r="BF4" s="9131"/>
      <c r="BG4" s="9132"/>
      <c r="BI4" s="9180" t="s">
        <v>404</v>
      </c>
      <c r="BJ4" s="9180" t="s">
        <v>404</v>
      </c>
    </row>
    <row r="5" spans="1:62" x14ac:dyDescent="0.35">
      <c r="B5" s="1" t="s">
        <v>406</v>
      </c>
      <c r="C5" s="11">
        <v>2005</v>
      </c>
      <c r="F5" s="8324" t="s">
        <v>2770</v>
      </c>
      <c r="G5" s="12"/>
      <c r="H5" s="9138" t="s">
        <v>2771</v>
      </c>
      <c r="I5" s="9139"/>
      <c r="J5" s="9140"/>
      <c r="K5" s="12"/>
      <c r="L5" s="9138" t="s">
        <v>738</v>
      </c>
      <c r="M5" s="9140"/>
      <c r="O5" s="9138" t="s">
        <v>737</v>
      </c>
      <c r="P5" s="9139"/>
      <c r="Q5" s="9139"/>
      <c r="R5" s="9140"/>
      <c r="S5" s="12"/>
      <c r="T5" s="9138" t="s">
        <v>3242</v>
      </c>
      <c r="U5" s="9139"/>
      <c r="V5" s="9140"/>
      <c r="X5" s="9138" t="s">
        <v>3242</v>
      </c>
      <c r="Y5" s="9139"/>
      <c r="Z5" s="9139"/>
      <c r="AA5" s="9140"/>
      <c r="AB5" s="12"/>
      <c r="AC5" s="9138" t="s">
        <v>3243</v>
      </c>
      <c r="AD5" s="9139"/>
      <c r="AE5" s="9140"/>
      <c r="AG5" s="9138" t="s">
        <v>3243</v>
      </c>
      <c r="AH5" s="9139"/>
      <c r="AI5" s="9139"/>
      <c r="AJ5" s="9140"/>
      <c r="AK5" s="12"/>
      <c r="AL5" s="9138" t="s">
        <v>2111</v>
      </c>
      <c r="AM5" s="9139"/>
      <c r="AN5" s="9140"/>
      <c r="AP5" s="9181"/>
      <c r="AQ5" s="9138" t="s">
        <v>2111</v>
      </c>
      <c r="AR5" s="9139"/>
      <c r="AS5" s="9139"/>
      <c r="AT5" s="9140"/>
      <c r="AU5" s="12"/>
      <c r="AV5" s="9138" t="s">
        <v>743</v>
      </c>
      <c r="AW5" s="9139"/>
      <c r="AX5" s="9140"/>
      <c r="AY5" s="3218"/>
      <c r="AZ5" s="9138" t="s">
        <v>743</v>
      </c>
      <c r="BA5" s="9139"/>
      <c r="BB5" s="9139"/>
      <c r="BC5" s="9140"/>
      <c r="BD5" s="12"/>
      <c r="BE5" s="9138" t="s">
        <v>3078</v>
      </c>
      <c r="BF5" s="9139"/>
      <c r="BG5" s="9140"/>
      <c r="BH5" s="12"/>
      <c r="BI5" s="9181"/>
      <c r="BJ5" s="9181"/>
    </row>
    <row r="6" spans="1:62" x14ac:dyDescent="0.35">
      <c r="C6"/>
      <c r="F6" s="6"/>
      <c r="L6" s="14"/>
      <c r="T6" s="14"/>
      <c r="U6" s="14"/>
      <c r="AC6" s="14"/>
      <c r="AD6" s="14"/>
      <c r="AL6" s="14"/>
      <c r="AM6" s="14"/>
      <c r="AP6" s="6"/>
      <c r="AV6" s="14"/>
      <c r="AW6" s="14"/>
      <c r="BE6" s="14"/>
      <c r="BF6" s="14"/>
      <c r="BI6" s="6"/>
      <c r="BJ6" s="6"/>
    </row>
    <row r="7" spans="1:62" ht="12.75" customHeight="1" x14ac:dyDescent="0.35">
      <c r="B7" s="1" t="s">
        <v>101</v>
      </c>
      <c r="C7" s="15" t="s">
        <v>3244</v>
      </c>
      <c r="D7" s="2" t="s">
        <v>417</v>
      </c>
      <c r="F7" s="8322" t="s">
        <v>1914</v>
      </c>
      <c r="H7" s="9173" t="s">
        <v>1914</v>
      </c>
      <c r="I7" s="9173"/>
      <c r="J7" s="9147" t="s">
        <v>419</v>
      </c>
      <c r="L7" s="9173" t="s">
        <v>1914</v>
      </c>
      <c r="M7" s="9173"/>
      <c r="O7" s="9173" t="s">
        <v>1914</v>
      </c>
      <c r="P7" s="9173"/>
      <c r="Q7" s="16"/>
      <c r="R7" s="9147" t="s">
        <v>419</v>
      </c>
      <c r="T7" s="9149" t="s">
        <v>1914</v>
      </c>
      <c r="U7" s="9150"/>
      <c r="V7" s="9151"/>
      <c r="X7" s="9173" t="s">
        <v>1914</v>
      </c>
      <c r="Y7" s="9173"/>
      <c r="Z7" s="16"/>
      <c r="AA7" s="9147" t="s">
        <v>419</v>
      </c>
      <c r="AC7" s="9149" t="s">
        <v>1914</v>
      </c>
      <c r="AD7" s="9150"/>
      <c r="AE7" s="9151"/>
      <c r="AG7" s="9173" t="s">
        <v>1914</v>
      </c>
      <c r="AH7" s="9173"/>
      <c r="AI7" s="16"/>
      <c r="AJ7" s="9147" t="s">
        <v>419</v>
      </c>
      <c r="AL7" s="9149" t="s">
        <v>1914</v>
      </c>
      <c r="AM7" s="9150"/>
      <c r="AN7" s="9151"/>
      <c r="AP7" s="18"/>
      <c r="AQ7" s="9204" t="s">
        <v>3245</v>
      </c>
      <c r="AR7" s="9205"/>
      <c r="AS7" s="9206"/>
      <c r="AT7" s="9147" t="s">
        <v>419</v>
      </c>
      <c r="AV7" s="9149" t="s">
        <v>3245</v>
      </c>
      <c r="AW7" s="9150"/>
      <c r="AX7" s="9151"/>
      <c r="AY7" s="7441"/>
      <c r="AZ7" s="9204" t="s">
        <v>3245</v>
      </c>
      <c r="BA7" s="9205"/>
      <c r="BB7" s="9206"/>
      <c r="BC7" s="9147" t="s">
        <v>419</v>
      </c>
      <c r="BE7" s="9149" t="s">
        <v>3245</v>
      </c>
      <c r="BF7" s="9150"/>
      <c r="BG7" s="9151"/>
      <c r="BI7" s="18"/>
      <c r="BJ7" s="18"/>
    </row>
    <row r="8" spans="1:62" x14ac:dyDescent="0.35">
      <c r="B8" s="1" t="s">
        <v>420</v>
      </c>
      <c r="C8" s="19" t="s">
        <v>3246</v>
      </c>
      <c r="F8" s="20" t="s">
        <v>96</v>
      </c>
      <c r="H8" s="20" t="s">
        <v>423</v>
      </c>
      <c r="I8" s="20" t="s">
        <v>96</v>
      </c>
      <c r="J8" s="9148"/>
      <c r="L8" s="21" t="s">
        <v>423</v>
      </c>
      <c r="M8" s="20" t="s">
        <v>96</v>
      </c>
      <c r="O8" s="20" t="s">
        <v>424</v>
      </c>
      <c r="P8" s="20" t="s">
        <v>96</v>
      </c>
      <c r="Q8" s="22" t="s">
        <v>425</v>
      </c>
      <c r="R8" s="9148"/>
      <c r="T8" s="21" t="s">
        <v>748</v>
      </c>
      <c r="U8" s="22" t="s">
        <v>425</v>
      </c>
      <c r="V8" s="20" t="s">
        <v>96</v>
      </c>
      <c r="X8" s="20" t="s">
        <v>424</v>
      </c>
      <c r="Y8" s="20" t="s">
        <v>96</v>
      </c>
      <c r="Z8" s="22" t="s">
        <v>425</v>
      </c>
      <c r="AA8" s="9148"/>
      <c r="AC8" s="21" t="s">
        <v>748</v>
      </c>
      <c r="AD8" s="22" t="s">
        <v>425</v>
      </c>
      <c r="AE8" s="20" t="s">
        <v>96</v>
      </c>
      <c r="AG8" s="20" t="s">
        <v>424</v>
      </c>
      <c r="AH8" s="20" t="s">
        <v>96</v>
      </c>
      <c r="AI8" s="22" t="s">
        <v>425</v>
      </c>
      <c r="AJ8" s="9148"/>
      <c r="AL8" s="21" t="s">
        <v>748</v>
      </c>
      <c r="AM8" s="22" t="s">
        <v>425</v>
      </c>
      <c r="AN8" s="20" t="s">
        <v>96</v>
      </c>
      <c r="AP8" s="24"/>
      <c r="AQ8" s="20" t="s">
        <v>748</v>
      </c>
      <c r="AR8" s="20" t="s">
        <v>96</v>
      </c>
      <c r="AS8" s="22" t="s">
        <v>425</v>
      </c>
      <c r="AT8" s="9148"/>
      <c r="AV8" s="21" t="s">
        <v>748</v>
      </c>
      <c r="AW8" s="22" t="s">
        <v>425</v>
      </c>
      <c r="AX8" s="23" t="s">
        <v>96</v>
      </c>
      <c r="AY8" s="6"/>
      <c r="AZ8" s="8222" t="s">
        <v>748</v>
      </c>
      <c r="BA8" s="20" t="s">
        <v>96</v>
      </c>
      <c r="BB8" s="22" t="s">
        <v>425</v>
      </c>
      <c r="BC8" s="9148"/>
      <c r="BE8" s="21" t="s">
        <v>748</v>
      </c>
      <c r="BF8" s="22" t="s">
        <v>425</v>
      </c>
      <c r="BG8" s="20" t="s">
        <v>96</v>
      </c>
      <c r="BI8" s="24"/>
      <c r="BJ8" s="24"/>
    </row>
    <row r="9" spans="1:62" x14ac:dyDescent="0.35">
      <c r="C9"/>
      <c r="E9"/>
      <c r="F9"/>
      <c r="G9"/>
      <c r="H9"/>
      <c r="I9"/>
      <c r="J9" s="25"/>
      <c r="K9"/>
      <c r="N9"/>
      <c r="O9"/>
      <c r="P9"/>
      <c r="Q9"/>
      <c r="R9" s="25"/>
      <c r="S9"/>
      <c r="W9"/>
      <c r="X9"/>
      <c r="Y9"/>
      <c r="Z9"/>
      <c r="AA9" s="25"/>
      <c r="AB9"/>
      <c r="AF9"/>
      <c r="AG9"/>
      <c r="AH9"/>
      <c r="AI9"/>
      <c r="AJ9" s="25"/>
      <c r="AK9"/>
      <c r="AO9"/>
      <c r="AQ9"/>
      <c r="AR9"/>
      <c r="AS9"/>
      <c r="AT9" s="25"/>
      <c r="AU9"/>
      <c r="AZ9"/>
      <c r="BA9"/>
      <c r="BB9"/>
      <c r="BC9" s="25"/>
      <c r="BD9"/>
      <c r="BH9"/>
    </row>
    <row r="10" spans="1:62" ht="44.75" customHeight="1" x14ac:dyDescent="0.35">
      <c r="A10" s="9167" t="s">
        <v>426</v>
      </c>
      <c r="B10" s="27"/>
      <c r="C10" s="28" t="s">
        <v>427</v>
      </c>
      <c r="D10" s="580" t="s">
        <v>428</v>
      </c>
      <c r="E10" s="30"/>
      <c r="F10" s="31"/>
      <c r="G10"/>
      <c r="H10" s="31"/>
      <c r="I10" s="31"/>
      <c r="J10" s="32"/>
      <c r="K10" s="33"/>
      <c r="L10" s="9155" t="s">
        <v>3247</v>
      </c>
      <c r="M10" s="9156"/>
      <c r="N10" s="33"/>
      <c r="O10" s="9155" t="s">
        <v>752</v>
      </c>
      <c r="P10" s="9156"/>
      <c r="Q10" s="581" t="s">
        <v>3248</v>
      </c>
      <c r="R10" s="32" t="s">
        <v>865</v>
      </c>
      <c r="S10" s="33"/>
      <c r="T10" s="36" t="s">
        <v>3249</v>
      </c>
      <c r="U10" s="1250" t="s">
        <v>3250</v>
      </c>
      <c r="V10" s="35" t="s">
        <v>3251</v>
      </c>
      <c r="W10" s="33"/>
      <c r="X10" s="36" t="s">
        <v>3249</v>
      </c>
      <c r="Y10" s="850" t="s">
        <v>3252</v>
      </c>
      <c r="Z10" s="35" t="s">
        <v>3253</v>
      </c>
      <c r="AA10" s="32" t="s">
        <v>865</v>
      </c>
      <c r="AB10" s="33"/>
      <c r="AC10" s="36" t="s">
        <v>3254</v>
      </c>
      <c r="AD10" s="35" t="s">
        <v>3253</v>
      </c>
      <c r="AE10" s="850" t="s">
        <v>3252</v>
      </c>
      <c r="AF10" s="33"/>
      <c r="AG10" s="36" t="s">
        <v>3254</v>
      </c>
      <c r="AH10" s="850" t="s">
        <v>3252</v>
      </c>
      <c r="AI10" s="35" t="s">
        <v>3253</v>
      </c>
      <c r="AJ10" s="32" t="s">
        <v>865</v>
      </c>
      <c r="AK10" s="33"/>
      <c r="AL10" s="850" t="s">
        <v>3252</v>
      </c>
      <c r="AM10" s="35" t="s">
        <v>3253</v>
      </c>
      <c r="AN10" s="850" t="s">
        <v>3255</v>
      </c>
      <c r="AO10" s="33"/>
      <c r="AP10" s="39"/>
      <c r="AQ10" s="850" t="s">
        <v>3256</v>
      </c>
      <c r="AR10" s="850" t="s">
        <v>3257</v>
      </c>
      <c r="AS10" s="3375" t="s">
        <v>3253</v>
      </c>
      <c r="AT10" s="32" t="s">
        <v>865</v>
      </c>
      <c r="AU10" s="33"/>
      <c r="AV10" s="850" t="s">
        <v>3257</v>
      </c>
      <c r="AW10" s="3375" t="s">
        <v>3253</v>
      </c>
      <c r="AX10" s="850" t="s">
        <v>3258</v>
      </c>
      <c r="AY10" s="4578"/>
      <c r="AZ10" s="8327" t="s">
        <v>3257</v>
      </c>
      <c r="BA10" s="8314" t="s">
        <v>3259</v>
      </c>
      <c r="BB10" s="35" t="s">
        <v>3253</v>
      </c>
      <c r="BC10" s="32" t="s">
        <v>865</v>
      </c>
      <c r="BD10" s="33"/>
      <c r="BE10" s="850" t="s">
        <v>3260</v>
      </c>
      <c r="BF10" s="35" t="s">
        <v>3253</v>
      </c>
      <c r="BG10" s="850" t="s">
        <v>3261</v>
      </c>
      <c r="BH10" s="33"/>
      <c r="BI10" s="39"/>
      <c r="BJ10" s="39"/>
    </row>
    <row r="11" spans="1:62" s="1256" customFormat="1" ht="12.75" customHeight="1" x14ac:dyDescent="0.35">
      <c r="A11" s="9168"/>
      <c r="B11" s="1251" t="s">
        <v>451</v>
      </c>
      <c r="C11" s="1252"/>
      <c r="D11" s="1253"/>
      <c r="E11" s="1254"/>
      <c r="F11" s="1255"/>
      <c r="H11" s="1257"/>
      <c r="I11" s="1258"/>
      <c r="J11" s="1259"/>
      <c r="K11" s="1260"/>
      <c r="L11" s="1257"/>
      <c r="M11" s="1258"/>
      <c r="N11" s="1261"/>
      <c r="O11" s="1262"/>
      <c r="P11" s="1263"/>
      <c r="Q11" s="1126"/>
      <c r="R11" s="1259"/>
      <c r="S11" s="1260"/>
      <c r="T11" s="1264"/>
      <c r="U11" s="1265"/>
      <c r="V11" s="1263"/>
      <c r="W11" s="1261"/>
      <c r="X11" s="1262"/>
      <c r="Y11" s="1263"/>
      <c r="Z11" s="1126"/>
      <c r="AA11" s="1259"/>
      <c r="AB11" s="1260"/>
      <c r="AC11" s="1264"/>
      <c r="AD11" s="1265" t="s">
        <v>3262</v>
      </c>
      <c r="AE11" s="1263"/>
      <c r="AF11" s="1261"/>
      <c r="AG11" s="1264"/>
      <c r="AH11" s="1263"/>
      <c r="AI11" s="1265" t="s">
        <v>3262</v>
      </c>
      <c r="AJ11" s="1259"/>
      <c r="AK11" s="1260"/>
      <c r="AL11" s="1264"/>
      <c r="AM11" s="1265" t="s">
        <v>3262</v>
      </c>
      <c r="AN11" s="1263"/>
      <c r="AO11" s="1261"/>
      <c r="AP11" s="1266"/>
      <c r="AQ11" s="1264"/>
      <c r="AR11" s="1263"/>
      <c r="AS11" s="1265"/>
      <c r="AT11" s="1259"/>
      <c r="AU11" s="1260"/>
      <c r="AV11" s="1264"/>
      <c r="AW11" s="1265"/>
      <c r="AX11" s="1263"/>
      <c r="AY11" s="8232"/>
      <c r="AZ11" s="1263"/>
      <c r="BA11" s="1263"/>
      <c r="BB11" s="1265"/>
      <c r="BC11" s="1259"/>
      <c r="BD11" s="1260"/>
      <c r="BE11" s="1264"/>
      <c r="BF11" s="1265"/>
      <c r="BG11" s="1263"/>
      <c r="BH11" s="1260"/>
      <c r="BI11" s="1266"/>
      <c r="BJ11" s="1266"/>
    </row>
    <row r="12" spans="1:62" s="1256" customFormat="1" x14ac:dyDescent="0.35">
      <c r="A12" s="9168"/>
      <c r="B12" s="1267"/>
      <c r="C12" s="1268" t="s">
        <v>456</v>
      </c>
      <c r="D12" s="1269">
        <v>1</v>
      </c>
      <c r="E12" s="1270"/>
      <c r="F12" s="1271">
        <f>F15-F13</f>
        <v>7407.8000000000011</v>
      </c>
      <c r="H12" s="1272">
        <f>H15-H13</f>
        <v>12930.699999999999</v>
      </c>
      <c r="I12" s="1273">
        <f>I15-I13</f>
        <v>12227</v>
      </c>
      <c r="J12" s="1274"/>
      <c r="K12" s="1275"/>
      <c r="L12" s="1272">
        <f>L15-L13</f>
        <v>14710.1</v>
      </c>
      <c r="M12" s="1273">
        <f>M15-M13</f>
        <v>14050.8</v>
      </c>
      <c r="N12" s="1276"/>
      <c r="O12" s="1277">
        <f>O15-O13</f>
        <v>14710.1</v>
      </c>
      <c r="P12" s="1278">
        <f>P15-P13</f>
        <v>14050.8</v>
      </c>
      <c r="Q12" s="1279" t="s">
        <v>3263</v>
      </c>
      <c r="R12" s="64">
        <f>IF(O12=0,"",P12/O12)</f>
        <v>0.95518045424572229</v>
      </c>
      <c r="S12" s="1275"/>
      <c r="T12" s="1277">
        <f>T15-T13</f>
        <v>14365.6</v>
      </c>
      <c r="U12" s="1280" t="s">
        <v>3263</v>
      </c>
      <c r="V12" s="1278">
        <f>V15-V13</f>
        <v>14447.6</v>
      </c>
      <c r="W12" s="1276"/>
      <c r="X12" s="1277">
        <f>X15-X13</f>
        <v>14365.6</v>
      </c>
      <c r="Y12" s="1278">
        <f>Y15-Y13</f>
        <v>14355</v>
      </c>
      <c r="Z12" s="1279" t="s">
        <v>3264</v>
      </c>
      <c r="AA12" s="64">
        <f>IF(X12=0,"",Y12/X12)</f>
        <v>0.9992621261903436</v>
      </c>
      <c r="AB12" s="1275"/>
      <c r="AC12" s="1277">
        <f>AC15-AC13</f>
        <v>13244.2</v>
      </c>
      <c r="AD12" s="1280" t="s">
        <v>3264</v>
      </c>
      <c r="AE12" s="1278">
        <f>AE15-AE13</f>
        <v>13184.7</v>
      </c>
      <c r="AF12" s="1276"/>
      <c r="AG12" s="1277">
        <f>AG15-AG13</f>
        <v>13244.2</v>
      </c>
      <c r="AH12" s="1278">
        <f>AH15-AH13</f>
        <v>13184.7</v>
      </c>
      <c r="AI12" s="1280" t="s">
        <v>3264</v>
      </c>
      <c r="AJ12" s="64">
        <f>IF(AG12=0,"",AH12/AG12)</f>
        <v>0.99550746741970075</v>
      </c>
      <c r="AK12" s="1275"/>
      <c r="AL12" s="1277">
        <f>AL15-AL13</f>
        <v>15241.6</v>
      </c>
      <c r="AM12" s="1280" t="s">
        <v>3264</v>
      </c>
      <c r="AN12" s="1278">
        <f>AN15-AN13</f>
        <v>14092</v>
      </c>
      <c r="AO12" s="1276"/>
      <c r="AP12" s="1281"/>
      <c r="AQ12" s="1277">
        <f>AL12</f>
        <v>15241.6</v>
      </c>
      <c r="AR12" s="1278">
        <f>AN12</f>
        <v>14092</v>
      </c>
      <c r="AS12" s="1280"/>
      <c r="AT12" s="476">
        <f>IF(AQ12=0,"",AR12/AQ12)</f>
        <v>0.92457484778500942</v>
      </c>
      <c r="AU12" s="1275"/>
      <c r="AV12" s="1277">
        <f>AV15-AV13</f>
        <v>15270.5</v>
      </c>
      <c r="AW12" s="1280"/>
      <c r="AX12" s="1406">
        <f>AX15-AX13</f>
        <v>14848.900000000001</v>
      </c>
      <c r="AY12" s="645"/>
      <c r="AZ12" s="1406">
        <f>AZ15-AZ13</f>
        <v>15270.5</v>
      </c>
      <c r="BA12" s="1278">
        <f>BA15-BA13</f>
        <v>14848.900000000001</v>
      </c>
      <c r="BB12" s="1280"/>
      <c r="BC12" s="64">
        <f>IF(AZ12=0,"",BA12/AZ12)</f>
        <v>0.97239121181362764</v>
      </c>
      <c r="BD12" s="1275"/>
      <c r="BE12" s="1277">
        <f>BE15-BE13</f>
        <v>17113.400000000001</v>
      </c>
      <c r="BF12" s="1280"/>
      <c r="BG12" s="1278">
        <f>BG15-BG13</f>
        <v>15156.6</v>
      </c>
      <c r="BH12" s="1275"/>
      <c r="BI12" s="1281"/>
      <c r="BJ12" s="1281"/>
    </row>
    <row r="13" spans="1:62" s="1256" customFormat="1" x14ac:dyDescent="0.35">
      <c r="A13" s="9168"/>
      <c r="B13" s="1267"/>
      <c r="C13" s="1282" t="s">
        <v>462</v>
      </c>
      <c r="D13" s="1269"/>
      <c r="E13" s="1270"/>
      <c r="F13" s="1271">
        <v>1498.4</v>
      </c>
      <c r="H13" s="1272">
        <v>1631.1</v>
      </c>
      <c r="I13" s="1273">
        <v>1047.4000000000001</v>
      </c>
      <c r="J13" s="1274"/>
      <c r="K13" s="1275"/>
      <c r="L13" s="1272">
        <v>1043.9000000000001</v>
      </c>
      <c r="M13" s="1273">
        <v>495.7</v>
      </c>
      <c r="N13" s="1276"/>
      <c r="O13" s="1277">
        <v>1043.9000000000001</v>
      </c>
      <c r="P13" s="1278">
        <v>495.7</v>
      </c>
      <c r="Q13" s="1279" t="s">
        <v>3265</v>
      </c>
      <c r="R13" s="64">
        <f>IF(O13=0,"",P13/O13)</f>
        <v>0.47485391321007753</v>
      </c>
      <c r="S13" s="1275"/>
      <c r="T13" s="1277">
        <v>955.8</v>
      </c>
      <c r="U13" s="1280" t="s">
        <v>3265</v>
      </c>
      <c r="V13" s="1278">
        <v>966.1</v>
      </c>
      <c r="W13" s="1276"/>
      <c r="X13" s="1277">
        <v>955.8</v>
      </c>
      <c r="Y13" s="1278">
        <v>966.1</v>
      </c>
      <c r="Z13" s="1279" t="s">
        <v>3266</v>
      </c>
      <c r="AA13" s="64">
        <f>IF(X13=0,"",Y13/X13)</f>
        <v>1.0107763130362002</v>
      </c>
      <c r="AB13" s="1275"/>
      <c r="AC13" s="1277">
        <v>1169.5</v>
      </c>
      <c r="AD13" s="1280" t="s">
        <v>3266</v>
      </c>
      <c r="AE13" s="1278">
        <v>866.5</v>
      </c>
      <c r="AF13" s="1276"/>
      <c r="AG13" s="1277">
        <v>1169.5</v>
      </c>
      <c r="AH13" s="1278">
        <v>866.5</v>
      </c>
      <c r="AI13" s="1280" t="s">
        <v>3266</v>
      </c>
      <c r="AJ13" s="64">
        <f>IF(AG13=0,"",AH13/AG13)</f>
        <v>0.74091492090637023</v>
      </c>
      <c r="AK13" s="1275"/>
      <c r="AL13" s="1277">
        <v>793.4</v>
      </c>
      <c r="AM13" s="1280" t="s">
        <v>3266</v>
      </c>
      <c r="AN13" s="1278">
        <v>822.1</v>
      </c>
      <c r="AO13" s="1276"/>
      <c r="AP13" s="1281"/>
      <c r="AQ13" s="1277">
        <f t="shared" ref="AQ13:AQ15" si="0">AL13</f>
        <v>793.4</v>
      </c>
      <c r="AR13" s="1278">
        <f t="shared" ref="AR13:AR15" si="1">AN13</f>
        <v>822.1</v>
      </c>
      <c r="AS13" s="1280"/>
      <c r="AT13" s="476">
        <f>IF(AQ13=0,"",AR13/AQ13)</f>
        <v>1.0361734308041342</v>
      </c>
      <c r="AU13" s="1275"/>
      <c r="AV13" s="1277">
        <v>829.1</v>
      </c>
      <c r="AW13" s="1280"/>
      <c r="AX13" s="1406">
        <v>1076.8</v>
      </c>
      <c r="AY13" s="645"/>
      <c r="AZ13" s="1406">
        <v>829.1</v>
      </c>
      <c r="BA13" s="1278">
        <v>1076.8</v>
      </c>
      <c r="BB13" s="1280"/>
      <c r="BC13" s="64">
        <f>IF(AZ13=0,"",BA13/AZ13)</f>
        <v>1.2987576890604269</v>
      </c>
      <c r="BD13" s="1275"/>
      <c r="BE13" s="1277">
        <v>1015</v>
      </c>
      <c r="BF13" s="1280"/>
      <c r="BG13" s="1278">
        <v>1255.9000000000001</v>
      </c>
      <c r="BH13" s="1275"/>
      <c r="BI13" s="1281"/>
      <c r="BJ13" s="1281"/>
    </row>
    <row r="14" spans="1:62" s="1256" customFormat="1" x14ac:dyDescent="0.35">
      <c r="A14" s="9168"/>
      <c r="B14" s="1283"/>
      <c r="C14" s="1284" t="s">
        <v>3267</v>
      </c>
      <c r="D14" s="1269"/>
      <c r="E14" s="1270"/>
      <c r="F14" s="1285"/>
      <c r="H14" s="1272"/>
      <c r="I14" s="1273"/>
      <c r="J14" s="1274"/>
      <c r="K14" s="1286"/>
      <c r="L14" s="1272"/>
      <c r="M14" s="1273"/>
      <c r="N14" s="1276"/>
      <c r="O14" s="1277"/>
      <c r="P14" s="1278"/>
      <c r="Q14" s="1279"/>
      <c r="R14" s="64" t="str">
        <f>IF(O14=0,"",P14/O14)</f>
        <v/>
      </c>
      <c r="S14" s="1275"/>
      <c r="T14" s="1272"/>
      <c r="U14" s="1280"/>
      <c r="V14" s="1278"/>
      <c r="W14" s="1276"/>
      <c r="X14" s="1277"/>
      <c r="Y14" s="1278"/>
      <c r="Z14" s="1279"/>
      <c r="AA14" s="64" t="str">
        <f>IF(X14=0,"",Y14/X14)</f>
        <v/>
      </c>
      <c r="AB14" s="1275"/>
      <c r="AC14" s="1272"/>
      <c r="AD14" s="1280"/>
      <c r="AE14" s="1278"/>
      <c r="AF14" s="1276"/>
      <c r="AG14" s="1272"/>
      <c r="AH14" s="1278"/>
      <c r="AI14" s="1280"/>
      <c r="AJ14" s="64" t="str">
        <f>IF(AG14=0,"",AH14/AG14)</f>
        <v/>
      </c>
      <c r="AK14" s="1275"/>
      <c r="AL14" s="1272"/>
      <c r="AM14" s="1280"/>
      <c r="AN14" s="1278"/>
      <c r="AO14" s="1276"/>
      <c r="AP14" s="1281"/>
      <c r="AQ14" s="1277"/>
      <c r="AR14" s="1278"/>
      <c r="AS14" s="1280"/>
      <c r="AT14" s="476" t="str">
        <f>IF(AQ14=0,"",AR14/AQ14)</f>
        <v/>
      </c>
      <c r="AU14" s="1275"/>
      <c r="AV14" s="1272"/>
      <c r="AW14" s="1280"/>
      <c r="AX14" s="1406"/>
      <c r="AY14" s="645"/>
      <c r="AZ14" s="1406"/>
      <c r="BA14" s="1278"/>
      <c r="BB14" s="1280"/>
      <c r="BC14" s="64" t="str">
        <f>IF(AZ14=0,"",BA14/AZ14)</f>
        <v/>
      </c>
      <c r="BD14" s="1275"/>
      <c r="BE14" s="1272"/>
      <c r="BF14" s="1280"/>
      <c r="BG14" s="1278"/>
      <c r="BH14" s="1275"/>
      <c r="BI14" s="1281"/>
      <c r="BJ14" s="1281"/>
    </row>
    <row r="15" spans="1:62" s="1256" customFormat="1" x14ac:dyDescent="0.35">
      <c r="A15" s="9168"/>
      <c r="B15" s="1287"/>
      <c r="C15" s="1288" t="s">
        <v>466</v>
      </c>
      <c r="D15" s="1289"/>
      <c r="E15" s="1270"/>
      <c r="F15" s="1290">
        <v>8906.2000000000007</v>
      </c>
      <c r="H15" s="1291">
        <v>14561.8</v>
      </c>
      <c r="I15" s="1292">
        <v>13274.4</v>
      </c>
      <c r="J15" s="1274"/>
      <c r="K15" s="1286"/>
      <c r="L15" s="1291">
        <v>15754</v>
      </c>
      <c r="M15" s="1292">
        <v>14546.5</v>
      </c>
      <c r="N15" s="1276"/>
      <c r="O15" s="1293">
        <v>15754</v>
      </c>
      <c r="P15" s="1294">
        <v>14546.5</v>
      </c>
      <c r="Q15" s="1295" t="s">
        <v>3268</v>
      </c>
      <c r="R15" s="64">
        <f>IF(O15=0,"",P15/O15)</f>
        <v>0.92335279928906944</v>
      </c>
      <c r="S15" s="1286"/>
      <c r="T15" s="1291">
        <f>15321.4</f>
        <v>15321.4</v>
      </c>
      <c r="U15" s="1296" t="s">
        <v>3268</v>
      </c>
      <c r="V15" s="1294">
        <v>15413.7</v>
      </c>
      <c r="W15" s="1276"/>
      <c r="X15" s="1293">
        <f>15321.4</f>
        <v>15321.4</v>
      </c>
      <c r="Y15" s="1294">
        <v>15321.1</v>
      </c>
      <c r="Z15" s="1295" t="s">
        <v>3269</v>
      </c>
      <c r="AA15" s="64">
        <f>IF(X15=0,"",Y15/X15)</f>
        <v>0.99998041954390593</v>
      </c>
      <c r="AB15" s="1286"/>
      <c r="AC15" s="1291">
        <v>14413.7</v>
      </c>
      <c r="AD15" s="1296" t="s">
        <v>3269</v>
      </c>
      <c r="AE15" s="1294">
        <v>14051.2</v>
      </c>
      <c r="AF15" s="1276"/>
      <c r="AG15" s="1291">
        <v>14413.7</v>
      </c>
      <c r="AH15" s="1294">
        <v>14051.2</v>
      </c>
      <c r="AI15" s="1296" t="s">
        <v>3269</v>
      </c>
      <c r="AJ15" s="64">
        <f>IF(AG15=0,"",AH15/AG15)</f>
        <v>0.97485031601878769</v>
      </c>
      <c r="AK15" s="1286"/>
      <c r="AL15" s="1291">
        <v>16035</v>
      </c>
      <c r="AM15"/>
      <c r="AN15" s="1294">
        <v>14914.1</v>
      </c>
      <c r="AO15" s="1276"/>
      <c r="AP15" s="1297"/>
      <c r="AQ15" s="1293">
        <f t="shared" si="0"/>
        <v>16035</v>
      </c>
      <c r="AR15" s="1294">
        <f t="shared" si="1"/>
        <v>14914.1</v>
      </c>
      <c r="AS15" s="1296"/>
      <c r="AT15" s="484">
        <f>IF(AQ15=0,"",AR15/AQ15)</f>
        <v>0.93009666354848775</v>
      </c>
      <c r="AU15" s="1286"/>
      <c r="AV15" s="1291">
        <v>16099.6</v>
      </c>
      <c r="AW15"/>
      <c r="AX15" s="1420">
        <v>15925.7</v>
      </c>
      <c r="AY15" s="645"/>
      <c r="AZ15" s="1420">
        <v>16099.6</v>
      </c>
      <c r="BA15" s="1294">
        <v>15925.7</v>
      </c>
      <c r="BB15" s="1296"/>
      <c r="BC15" s="133">
        <f>IF(AZ15=0,"",BA15/AZ15)</f>
        <v>0.98919848940346344</v>
      </c>
      <c r="BD15" s="1286"/>
      <c r="BE15" s="1291">
        <v>18128.400000000001</v>
      </c>
      <c r="BF15"/>
      <c r="BG15" s="1294">
        <v>16412.5</v>
      </c>
      <c r="BH15" s="1286"/>
      <c r="BI15" s="1297"/>
      <c r="BJ15" s="1297"/>
    </row>
    <row r="16" spans="1:62" x14ac:dyDescent="0.35">
      <c r="A16" s="9168"/>
      <c r="B16" s="100" t="s">
        <v>468</v>
      </c>
      <c r="C16" s="49"/>
      <c r="D16" s="585"/>
      <c r="E16" s="43"/>
      <c r="F16" s="101"/>
      <c r="G16"/>
      <c r="H16" s="102"/>
      <c r="I16" s="103"/>
      <c r="J16" s="104"/>
      <c r="K16" s="43"/>
      <c r="L16" s="102"/>
      <c r="M16" s="105"/>
      <c r="N16" s="43"/>
      <c r="O16" s="102"/>
      <c r="P16" s="106"/>
      <c r="Q16" s="592"/>
      <c r="R16" s="104"/>
      <c r="S16" s="43"/>
      <c r="T16" s="1111"/>
      <c r="U16" s="1298"/>
      <c r="V16" s="66"/>
      <c r="W16" s="43"/>
      <c r="X16" s="102"/>
      <c r="Y16" s="106"/>
      <c r="Z16" s="592"/>
      <c r="AA16" s="104"/>
      <c r="AB16" s="43"/>
      <c r="AC16" s="107"/>
      <c r="AD16" s="1298"/>
      <c r="AE16" s="105"/>
      <c r="AF16" s="43"/>
      <c r="AG16" s="107"/>
      <c r="AH16" s="106"/>
      <c r="AI16" s="1298"/>
      <c r="AJ16" s="104"/>
      <c r="AK16" s="43"/>
      <c r="AL16" s="107"/>
      <c r="AM16" s="1298"/>
      <c r="AN16" s="105"/>
      <c r="AO16" s="43"/>
      <c r="AP16" s="18"/>
      <c r="AQ16" s="1111"/>
      <c r="AR16" s="106"/>
      <c r="AS16" s="30"/>
      <c r="AT16" s="73"/>
      <c r="AU16" s="43"/>
      <c r="AV16" s="7008" t="s">
        <v>3270</v>
      </c>
      <c r="AW16" s="1298"/>
      <c r="AX16" s="481" t="s">
        <v>3258</v>
      </c>
      <c r="AY16" s="313"/>
      <c r="AZ16" s="8223" t="s">
        <v>3270</v>
      </c>
      <c r="BA16" s="7008"/>
      <c r="BB16" s="30"/>
      <c r="BC16" s="73"/>
      <c r="BD16" s="43"/>
      <c r="BE16" s="8196" t="s">
        <v>3271</v>
      </c>
      <c r="BF16" s="1298"/>
      <c r="BG16" s="3950"/>
      <c r="BH16" s="43"/>
      <c r="BI16" s="18"/>
      <c r="BJ16" s="18"/>
    </row>
    <row r="17" spans="1:62" s="1256" customFormat="1" x14ac:dyDescent="0.35">
      <c r="A17" s="9168"/>
      <c r="B17" s="1299"/>
      <c r="C17" s="1300" t="s">
        <v>470</v>
      </c>
      <c r="D17" s="1269"/>
      <c r="E17" s="1270"/>
      <c r="F17" s="1301">
        <f>6817.1-F21</f>
        <v>6727.5</v>
      </c>
      <c r="H17" s="595">
        <f>9724-H21</f>
        <v>9492.6</v>
      </c>
      <c r="I17" s="636">
        <f>10472.6-I21</f>
        <v>10280.300000000001</v>
      </c>
      <c r="J17" s="1274"/>
      <c r="K17" s="1270"/>
      <c r="L17" s="593">
        <f>11606.7-L21</f>
        <v>11366.6</v>
      </c>
      <c r="M17" s="1302">
        <f>11022.9-M21</f>
        <v>10795.8</v>
      </c>
      <c r="N17" s="1270"/>
      <c r="O17" s="593">
        <f>11606.7-O20</f>
        <v>11366.6</v>
      </c>
      <c r="P17" s="594">
        <f>11022.9-P20</f>
        <v>10795.8</v>
      </c>
      <c r="Q17" s="1279" t="s">
        <v>3272</v>
      </c>
      <c r="R17" s="64">
        <f t="shared" ref="R17:R22" si="2">IF(O17=0,"",P17/O17)</f>
        <v>0.94978269667270765</v>
      </c>
      <c r="S17" s="1270"/>
      <c r="T17" s="595">
        <f>12676.5-T20</f>
        <v>12393.910542</v>
      </c>
      <c r="U17" s="1303" t="s">
        <v>3273</v>
      </c>
      <c r="V17" s="1304">
        <f>10771.041526-V21</f>
        <v>10487.452068000001</v>
      </c>
      <c r="W17" s="1270"/>
      <c r="X17" s="593">
        <f>12676.5-X20</f>
        <v>12393.910542</v>
      </c>
      <c r="Y17" s="594">
        <f>11180.7-Y20</f>
        <v>10906.6</v>
      </c>
      <c r="Z17" s="1279" t="s">
        <v>3274</v>
      </c>
      <c r="AA17" s="64">
        <f t="shared" ref="AA17:AA22" si="3">IF(X17=0,"",Y17/X17)</f>
        <v>0.87999666957738165</v>
      </c>
      <c r="AB17" s="1270"/>
      <c r="AC17" s="595">
        <f>11787.3-AC20</f>
        <v>11464.599999999999</v>
      </c>
      <c r="AD17" s="1279" t="s">
        <v>3274</v>
      </c>
      <c r="AE17" s="596">
        <f>12262.8-AE20</f>
        <v>12008.199999999999</v>
      </c>
      <c r="AF17" s="1270"/>
      <c r="AG17" s="595">
        <f>11787.3-AG20</f>
        <v>11464.599999999999</v>
      </c>
      <c r="AH17" s="594">
        <f>12262.8-AH20</f>
        <v>12008.199999999999</v>
      </c>
      <c r="AI17" s="1279" t="s">
        <v>3274</v>
      </c>
      <c r="AJ17" s="64">
        <f t="shared" ref="AJ17:AJ22" si="4">IF(AG17=0,"",AH17/AG17)</f>
        <v>1.0474155225651136</v>
      </c>
      <c r="AK17" s="1270"/>
      <c r="AL17" s="595">
        <f>12901.9-AL20</f>
        <v>12524.699999999999</v>
      </c>
      <c r="AM17" s="1279" t="s">
        <v>3274</v>
      </c>
      <c r="AN17" s="596">
        <f>12113-AN20</f>
        <v>11785.6</v>
      </c>
      <c r="AO17" s="1270"/>
      <c r="AP17" s="1281"/>
      <c r="AQ17" s="595">
        <f>AL17</f>
        <v>12524.699999999999</v>
      </c>
      <c r="AR17" s="594">
        <f>AN17</f>
        <v>11785.6</v>
      </c>
      <c r="AS17" s="1279"/>
      <c r="AT17" s="476">
        <f t="shared" ref="AT17:AT22" si="5">IF(AQ17=0,"",AR17/AQ17)</f>
        <v>0.94098860651352934</v>
      </c>
      <c r="AU17" s="1270"/>
      <c r="AV17" s="595">
        <f>14019.753-AV20</f>
        <v>13637.6</v>
      </c>
      <c r="AW17" s="1279" t="s">
        <v>3275</v>
      </c>
      <c r="AX17" s="597">
        <f>13102.7-AX20</f>
        <v>12620.1</v>
      </c>
      <c r="AY17" s="645"/>
      <c r="AZ17" s="643">
        <f>14019.753-AZ20</f>
        <v>13637.6</v>
      </c>
      <c r="BA17" s="594">
        <f>13102.7-BA20</f>
        <v>12620.1</v>
      </c>
      <c r="BB17" s="1279"/>
      <c r="BC17" s="64">
        <f t="shared" ref="BC17:BC22" si="6">IF(AZ17=0,"",BA17/AZ17)</f>
        <v>0.92539009796445126</v>
      </c>
      <c r="BD17" s="1270"/>
      <c r="BE17" s="595">
        <f>13843.576-BE20</f>
        <v>13449.957999999999</v>
      </c>
      <c r="BF17" s="1279"/>
      <c r="BG17" s="596">
        <f>13521-BG20</f>
        <v>13041.5</v>
      </c>
      <c r="BH17" s="1270"/>
      <c r="BI17" s="1281" t="s">
        <v>3276</v>
      </c>
      <c r="BJ17" s="1281" t="s">
        <v>3276</v>
      </c>
    </row>
    <row r="18" spans="1:62" s="1256" customFormat="1" x14ac:dyDescent="0.35">
      <c r="A18" s="9168"/>
      <c r="B18" s="1299"/>
      <c r="C18" s="1305" t="s">
        <v>630</v>
      </c>
      <c r="D18" s="1269"/>
      <c r="E18" s="1270"/>
      <c r="F18" s="1306"/>
      <c r="H18" s="595"/>
      <c r="I18" s="599"/>
      <c r="J18" s="1274"/>
      <c r="K18" s="1270"/>
      <c r="L18" s="593"/>
      <c r="M18" s="1302"/>
      <c r="N18" s="1270"/>
      <c r="O18" s="598">
        <v>2984.5</v>
      </c>
      <c r="P18" s="594">
        <v>2400.6999999999998</v>
      </c>
      <c r="Q18" s="1279" t="s">
        <v>3277</v>
      </c>
      <c r="R18" s="64">
        <f t="shared" si="2"/>
        <v>0.80438934494890257</v>
      </c>
      <c r="S18" s="1270"/>
      <c r="T18" s="595">
        <v>2844.3</v>
      </c>
      <c r="U18" s="1307"/>
      <c r="V18" s="619">
        <f>T18*R18</f>
        <v>2287.9246138381636</v>
      </c>
      <c r="W18" s="1270"/>
      <c r="X18" s="598">
        <v>2844.3</v>
      </c>
      <c r="Y18" s="594">
        <v>2844.3</v>
      </c>
      <c r="Z18" s="1279" t="s">
        <v>3277</v>
      </c>
      <c r="AA18" s="64">
        <f t="shared" si="3"/>
        <v>1</v>
      </c>
      <c r="AB18" s="1270"/>
      <c r="AC18" s="595">
        <v>2844.3</v>
      </c>
      <c r="AD18" s="1279" t="s">
        <v>3277</v>
      </c>
      <c r="AE18" s="596">
        <v>3030.3</v>
      </c>
      <c r="AF18" s="1270"/>
      <c r="AG18" s="595">
        <v>2844.3</v>
      </c>
      <c r="AH18" s="594">
        <v>3030.5</v>
      </c>
      <c r="AI18" s="1279" t="s">
        <v>3277</v>
      </c>
      <c r="AJ18" s="64">
        <f t="shared" si="4"/>
        <v>1.0654642618570473</v>
      </c>
      <c r="AK18" s="1270"/>
      <c r="AL18" s="595">
        <v>3423.1</v>
      </c>
      <c r="AM18" s="1279" t="s">
        <v>3277</v>
      </c>
      <c r="AN18" s="596">
        <v>3453.5</v>
      </c>
      <c r="AO18" s="1270"/>
      <c r="AP18" s="1281"/>
      <c r="AQ18" s="595">
        <f t="shared" ref="AQ18:AQ20" si="7">AL18</f>
        <v>3423.1</v>
      </c>
      <c r="AR18" s="594">
        <f t="shared" ref="AR18:AR20" si="8">AN18</f>
        <v>3453.5</v>
      </c>
      <c r="AS18" s="1279"/>
      <c r="AT18" s="476">
        <f t="shared" si="5"/>
        <v>1.0088808390055797</v>
      </c>
      <c r="AU18" s="1270"/>
      <c r="AV18" s="595">
        <v>3624.5740000000001</v>
      </c>
      <c r="AW18" s="1279" t="s">
        <v>3275</v>
      </c>
      <c r="AX18" s="597">
        <v>2459.8000000000002</v>
      </c>
      <c r="AY18" s="645"/>
      <c r="AZ18" s="643">
        <v>3624.5740000000001</v>
      </c>
      <c r="BA18" s="594">
        <v>2458.8000000000002</v>
      </c>
      <c r="BB18" s="1279"/>
      <c r="BC18" s="64">
        <f t="shared" si="6"/>
        <v>0.67836937527003172</v>
      </c>
      <c r="BD18" s="1270"/>
      <c r="BE18" s="595">
        <v>2831.2130000000002</v>
      </c>
      <c r="BF18" s="1279"/>
      <c r="BG18" s="596">
        <v>2909.8</v>
      </c>
      <c r="BH18" s="1270"/>
      <c r="BI18" s="1279" t="s">
        <v>3278</v>
      </c>
      <c r="BJ18" s="1279" t="s">
        <v>3278</v>
      </c>
    </row>
    <row r="19" spans="1:62" s="1256" customFormat="1" x14ac:dyDescent="0.35">
      <c r="A19" s="9168"/>
      <c r="B19" s="1299"/>
      <c r="C19" s="1305" t="s">
        <v>632</v>
      </c>
      <c r="D19" s="1269"/>
      <c r="E19" s="1270"/>
      <c r="F19" s="1306">
        <v>3351.7</v>
      </c>
      <c r="H19" s="595">
        <v>4842.5</v>
      </c>
      <c r="I19" s="599">
        <v>4133.3999999999996</v>
      </c>
      <c r="J19" s="1274"/>
      <c r="K19" s="1270"/>
      <c r="L19" s="595">
        <v>5001.6000000000004</v>
      </c>
      <c r="M19" s="596">
        <v>4166.2</v>
      </c>
      <c r="N19" s="1270"/>
      <c r="O19" s="598">
        <f>893.9+1123.2</f>
        <v>2017.1</v>
      </c>
      <c r="P19" s="594">
        <f>491.5+1274</f>
        <v>1765.5</v>
      </c>
      <c r="Q19" s="1279" t="s">
        <v>3279</v>
      </c>
      <c r="R19" s="64">
        <f t="shared" si="2"/>
        <v>0.87526647166724514</v>
      </c>
      <c r="S19" s="1270"/>
      <c r="T19" s="595">
        <f>951.8+930.2</f>
        <v>1882</v>
      </c>
      <c r="U19" s="1303"/>
      <c r="V19" s="619">
        <f>T19*R19</f>
        <v>1647.2514996777554</v>
      </c>
      <c r="W19" s="1270"/>
      <c r="X19" s="598">
        <f>951.8+930.2</f>
        <v>1882</v>
      </c>
      <c r="Y19" s="594">
        <f>951.8+930.2</f>
        <v>1882</v>
      </c>
      <c r="Z19" s="1279" t="s">
        <v>3279</v>
      </c>
      <c r="AA19" s="64">
        <f t="shared" si="3"/>
        <v>1</v>
      </c>
      <c r="AB19" s="1270"/>
      <c r="AC19" s="595">
        <f>1169.5+933.6</f>
        <v>2103.1</v>
      </c>
      <c r="AD19" s="1279" t="s">
        <v>3279</v>
      </c>
      <c r="AE19" s="596">
        <f>1169.5+933.5</f>
        <v>2103</v>
      </c>
      <c r="AF19" s="1270"/>
      <c r="AG19" s="595">
        <f>1169.5+933.6</f>
        <v>2103.1</v>
      </c>
      <c r="AH19" s="594">
        <f>1169.5+933.5</f>
        <v>2103</v>
      </c>
      <c r="AI19" s="1279" t="s">
        <v>3279</v>
      </c>
      <c r="AJ19" s="64">
        <f t="shared" si="4"/>
        <v>0.99995245114355003</v>
      </c>
      <c r="AK19" s="1270"/>
      <c r="AL19" s="595">
        <f>1072.2+707.3</f>
        <v>1779.5</v>
      </c>
      <c r="AM19" s="1279" t="s">
        <v>3279</v>
      </c>
      <c r="AN19" s="1308">
        <f>AL19</f>
        <v>1779.5</v>
      </c>
      <c r="AO19" s="1270"/>
      <c r="AP19" s="1281"/>
      <c r="AQ19" s="595">
        <f t="shared" si="7"/>
        <v>1779.5</v>
      </c>
      <c r="AR19" s="594">
        <f t="shared" si="8"/>
        <v>1779.5</v>
      </c>
      <c r="AS19" s="1279"/>
      <c r="AT19" s="476">
        <f t="shared" si="5"/>
        <v>1</v>
      </c>
      <c r="AU19" s="1270"/>
      <c r="AV19" s="595">
        <f>1141.27+1218.459</f>
        <v>2359.7290000000003</v>
      </c>
      <c r="AW19" s="1279" t="s">
        <v>3280</v>
      </c>
      <c r="AX19" s="8170">
        <f>844.6+903.3</f>
        <v>1747.9</v>
      </c>
      <c r="AY19" s="2721"/>
      <c r="AZ19" s="643">
        <f>1141.27+1218.459</f>
        <v>2359.7290000000003</v>
      </c>
      <c r="BA19" s="594">
        <f>844.6+903.3</f>
        <v>1747.9</v>
      </c>
      <c r="BB19" s="1279"/>
      <c r="BC19" s="64">
        <f t="shared" si="6"/>
        <v>0.74072065054927916</v>
      </c>
      <c r="BD19" s="1270"/>
      <c r="BE19" s="595">
        <f>1015.111+1322.161</f>
        <v>2337.2719999999999</v>
      </c>
      <c r="BF19" s="1279"/>
      <c r="BG19" s="2797">
        <f>1015.1+1395.7</f>
        <v>2410.8000000000002</v>
      </c>
      <c r="BH19" s="1270"/>
      <c r="BI19" s="1279" t="s">
        <v>3281</v>
      </c>
      <c r="BJ19" s="1279" t="s">
        <v>3281</v>
      </c>
    </row>
    <row r="20" spans="1:62" s="1256" customFormat="1" x14ac:dyDescent="0.35">
      <c r="A20" s="9168"/>
      <c r="B20" s="1299"/>
      <c r="C20" s="1305" t="s">
        <v>3282</v>
      </c>
      <c r="D20" s="1269"/>
      <c r="E20" s="1270"/>
      <c r="F20" s="1306"/>
      <c r="H20" s="598"/>
      <c r="I20" s="599"/>
      <c r="J20" s="1274"/>
      <c r="K20" s="1270"/>
      <c r="L20" s="595"/>
      <c r="M20" s="596"/>
      <c r="N20" s="1270"/>
      <c r="O20" s="598">
        <v>240.1</v>
      </c>
      <c r="P20" s="599">
        <v>227.1</v>
      </c>
      <c r="Q20" s="1309" t="s">
        <v>3283</v>
      </c>
      <c r="R20" s="64">
        <f t="shared" si="2"/>
        <v>0.94585589337775922</v>
      </c>
      <c r="S20" s="1270"/>
      <c r="T20" s="598">
        <v>282.58945799999998</v>
      </c>
      <c r="U20" s="1303" t="s">
        <v>3284</v>
      </c>
      <c r="V20" s="619"/>
      <c r="W20" s="1270"/>
      <c r="X20" s="598">
        <v>282.58945799999998</v>
      </c>
      <c r="Y20" s="599">
        <v>274.10000000000002</v>
      </c>
      <c r="Z20" s="1309" t="s">
        <v>3283</v>
      </c>
      <c r="AA20" s="64">
        <f t="shared" si="3"/>
        <v>0.96995833439759827</v>
      </c>
      <c r="AB20" s="1270"/>
      <c r="AC20" s="598">
        <v>322.7</v>
      </c>
      <c r="AD20" s="1309" t="s">
        <v>3283</v>
      </c>
      <c r="AE20" s="600">
        <v>254.6</v>
      </c>
      <c r="AF20" s="1270"/>
      <c r="AG20" s="598">
        <v>322.7</v>
      </c>
      <c r="AH20" s="599">
        <v>254.6</v>
      </c>
      <c r="AI20" s="1309" t="s">
        <v>3283</v>
      </c>
      <c r="AJ20" s="64">
        <f t="shared" si="4"/>
        <v>0.78896808180973044</v>
      </c>
      <c r="AK20" s="1270"/>
      <c r="AL20" s="598">
        <v>377.2</v>
      </c>
      <c r="AM20" s="1309" t="s">
        <v>3283</v>
      </c>
      <c r="AN20" s="600">
        <v>327.39999999999998</v>
      </c>
      <c r="AO20" s="1270"/>
      <c r="AP20" s="1281"/>
      <c r="AQ20" s="595">
        <f t="shared" si="7"/>
        <v>377.2</v>
      </c>
      <c r="AR20" s="594">
        <f t="shared" si="8"/>
        <v>327.39999999999998</v>
      </c>
      <c r="AS20" s="1309"/>
      <c r="AT20" s="476">
        <f t="shared" si="5"/>
        <v>0.8679745493107105</v>
      </c>
      <c r="AU20" s="1270"/>
      <c r="AV20" s="595">
        <v>382.15300000000002</v>
      </c>
      <c r="AW20" s="1309" t="s">
        <v>3275</v>
      </c>
      <c r="AX20" s="8170">
        <v>482.6</v>
      </c>
      <c r="AY20" s="2721"/>
      <c r="AZ20" s="643">
        <v>382.15300000000002</v>
      </c>
      <c r="BA20" s="594">
        <v>482.6</v>
      </c>
      <c r="BB20" s="1309"/>
      <c r="BC20" s="64">
        <f t="shared" si="6"/>
        <v>1.2628449861704605</v>
      </c>
      <c r="BD20" s="1270"/>
      <c r="BE20" s="595">
        <v>393.61799999999999</v>
      </c>
      <c r="BF20" s="1309"/>
      <c r="BG20" s="2797">
        <v>479.5</v>
      </c>
      <c r="BH20" s="1270"/>
      <c r="BI20" s="1281"/>
      <c r="BJ20" s="1281"/>
    </row>
    <row r="21" spans="1:62" s="1256" customFormat="1" x14ac:dyDescent="0.35">
      <c r="A21" s="9168"/>
      <c r="B21" s="1299"/>
      <c r="C21" s="1305" t="s">
        <v>3285</v>
      </c>
      <c r="D21" s="1269"/>
      <c r="E21" s="1270"/>
      <c r="F21" s="1306">
        <v>89.6</v>
      </c>
      <c r="G21" s="1270"/>
      <c r="H21" s="598">
        <v>231.4</v>
      </c>
      <c r="I21" s="599">
        <f>192.3</f>
        <v>192.3</v>
      </c>
      <c r="J21" s="1274"/>
      <c r="K21" s="1270"/>
      <c r="L21" s="595">
        <v>240.1</v>
      </c>
      <c r="M21" s="596">
        <v>227.1</v>
      </c>
      <c r="N21" s="1270"/>
      <c r="O21" s="598"/>
      <c r="P21" s="599"/>
      <c r="Q21" s="1309"/>
      <c r="R21" s="64" t="str">
        <f t="shared" si="2"/>
        <v/>
      </c>
      <c r="S21" s="1270"/>
      <c r="T21" s="598"/>
      <c r="U21" s="1303"/>
      <c r="V21" s="1304">
        <v>283.58945799999998</v>
      </c>
      <c r="W21" s="1270"/>
      <c r="X21" s="598"/>
      <c r="Y21" s="599"/>
      <c r="Z21" s="1309"/>
      <c r="AA21" s="64" t="str">
        <f t="shared" si="3"/>
        <v/>
      </c>
      <c r="AB21" s="1270"/>
      <c r="AC21" s="598"/>
      <c r="AD21" s="1303"/>
      <c r="AE21" s="600"/>
      <c r="AF21" s="1270"/>
      <c r="AG21" s="598"/>
      <c r="AH21" s="599"/>
      <c r="AI21" s="1303"/>
      <c r="AJ21" s="64" t="str">
        <f t="shared" si="4"/>
        <v/>
      </c>
      <c r="AK21" s="1270"/>
      <c r="AL21" s="598"/>
      <c r="AM21" s="1303"/>
      <c r="AN21" s="600"/>
      <c r="AO21" s="1270"/>
      <c r="AP21" s="1281"/>
      <c r="AQ21" s="598"/>
      <c r="AR21" s="599"/>
      <c r="AS21" s="1303"/>
      <c r="AT21" s="476" t="str">
        <f t="shared" si="5"/>
        <v/>
      </c>
      <c r="AU21" s="1270"/>
      <c r="AV21" s="595"/>
      <c r="AW21" s="1303"/>
      <c r="AX21" s="8218"/>
      <c r="AY21" s="8233"/>
      <c r="AZ21" s="4638"/>
      <c r="BA21" s="599"/>
      <c r="BB21" s="1303"/>
      <c r="BC21" s="64" t="str">
        <f t="shared" si="6"/>
        <v/>
      </c>
      <c r="BD21" s="1270"/>
      <c r="BE21" s="595"/>
      <c r="BF21" s="1303"/>
      <c r="BG21" s="1308"/>
      <c r="BH21" s="1270"/>
      <c r="BI21" s="1281"/>
      <c r="BJ21" s="1281"/>
    </row>
    <row r="22" spans="1:62" s="1256" customFormat="1" x14ac:dyDescent="0.35">
      <c r="A22" s="9168"/>
      <c r="B22" s="1310"/>
      <c r="C22" s="1311" t="s">
        <v>479</v>
      </c>
      <c r="D22" s="1289"/>
      <c r="E22" s="1270"/>
      <c r="F22" s="1312">
        <f>SUM(F17:F21)</f>
        <v>10168.800000000001</v>
      </c>
      <c r="G22" s="1270"/>
      <c r="H22" s="595">
        <f>SUM(H17:H21)</f>
        <v>14566.5</v>
      </c>
      <c r="I22" s="603">
        <f>SUM(I17:I21)</f>
        <v>14606</v>
      </c>
      <c r="J22" s="1313"/>
      <c r="K22" s="1270"/>
      <c r="L22" s="602">
        <f>SUM(L17:L21)</f>
        <v>16608.3</v>
      </c>
      <c r="M22" s="1314">
        <f>SUM(M17:M21)</f>
        <v>15189.1</v>
      </c>
      <c r="N22" s="1270"/>
      <c r="O22" s="602">
        <f>SUM(O17:O21)</f>
        <v>16608.3</v>
      </c>
      <c r="P22" s="603">
        <f>SUM(P17:P21)</f>
        <v>15189.1</v>
      </c>
      <c r="Q22" s="1309"/>
      <c r="R22" s="64">
        <f t="shared" si="2"/>
        <v>0.91454874972152489</v>
      </c>
      <c r="S22" s="1270"/>
      <c r="T22" s="602">
        <f>SUM(T17:T21)</f>
        <v>17402.8</v>
      </c>
      <c r="U22" s="1307"/>
      <c r="V22" s="628">
        <f>SUM(V17:V21)</f>
        <v>14706.21763951592</v>
      </c>
      <c r="W22" s="1270"/>
      <c r="X22" s="602">
        <f>SUM(X17:X21)</f>
        <v>17402.8</v>
      </c>
      <c r="Y22" s="603">
        <f>SUM(Y17:Y21)</f>
        <v>15907.000000000002</v>
      </c>
      <c r="Z22" s="1309"/>
      <c r="AA22" s="64">
        <f t="shared" si="3"/>
        <v>0.91404831406440357</v>
      </c>
      <c r="AB22" s="1270"/>
      <c r="AC22" s="602">
        <f>SUM(AC17:AC21)</f>
        <v>16734.699999999997</v>
      </c>
      <c r="AD22" s="1315"/>
      <c r="AE22" s="1314">
        <f>SUM(AE17:AE21)</f>
        <v>17396.099999999999</v>
      </c>
      <c r="AF22" s="1270"/>
      <c r="AG22" s="602">
        <f>SUM(AG17:AG21)</f>
        <v>16734.699999999997</v>
      </c>
      <c r="AH22" s="603">
        <f>SUM(AH17:AH21)</f>
        <v>17396.299999999996</v>
      </c>
      <c r="AI22" s="1315"/>
      <c r="AJ22" s="64">
        <f t="shared" si="4"/>
        <v>1.0395346196824562</v>
      </c>
      <c r="AK22" s="1270"/>
      <c r="AL22" s="602">
        <f>SUM(AL17:AL21)</f>
        <v>18104.5</v>
      </c>
      <c r="AM22" s="1315"/>
      <c r="AN22" s="1314">
        <f>SUM(AN17:AN21)</f>
        <v>17346</v>
      </c>
      <c r="AO22" s="1270"/>
      <c r="AP22" s="1297"/>
      <c r="AQ22" s="602">
        <f>SUM(AQ17:AQ21)</f>
        <v>18104.5</v>
      </c>
      <c r="AR22" s="603">
        <f>SUM(AR17:AR21)</f>
        <v>17346</v>
      </c>
      <c r="AS22" s="1315"/>
      <c r="AT22" s="476">
        <f t="shared" si="5"/>
        <v>0.95810433870032308</v>
      </c>
      <c r="AU22" s="1270"/>
      <c r="AV22" s="602">
        <f>SUM(AV17:AV21)</f>
        <v>20004.055999999997</v>
      </c>
      <c r="AW22" s="1315"/>
      <c r="AX22" s="7403">
        <f>SUM(AX17:AX21)</f>
        <v>17310.400000000001</v>
      </c>
      <c r="AY22" s="645"/>
      <c r="AZ22" s="1158">
        <f>SUM(AZ17:AZ21)</f>
        <v>20004.055999999997</v>
      </c>
      <c r="BA22" s="603">
        <f>SUM(BA17:BA21)</f>
        <v>17309.400000000001</v>
      </c>
      <c r="BB22" s="1315"/>
      <c r="BC22" s="64">
        <f t="shared" si="6"/>
        <v>0.86529451827169468</v>
      </c>
      <c r="BD22" s="1270"/>
      <c r="BE22" s="602">
        <f>SUM(BE17:BE21)</f>
        <v>19012.060999999998</v>
      </c>
      <c r="BF22" s="1315"/>
      <c r="BG22" s="1314">
        <f>SUM(BG17:BG21)</f>
        <v>18841.599999999999</v>
      </c>
      <c r="BH22" s="1270"/>
      <c r="BI22" s="1297"/>
      <c r="BJ22" s="1297"/>
    </row>
    <row r="23" spans="1:62" s="1256" customFormat="1" ht="29" x14ac:dyDescent="0.35">
      <c r="A23" s="9168"/>
      <c r="B23" s="1316" t="s">
        <v>480</v>
      </c>
      <c r="C23" s="1317"/>
      <c r="D23" s="1318"/>
      <c r="E23" s="1319"/>
      <c r="F23" s="1320"/>
      <c r="G23" s="1321"/>
      <c r="H23" s="1322"/>
      <c r="I23" s="1127"/>
      <c r="J23" s="1323"/>
      <c r="K23" s="1319"/>
      <c r="L23" s="1324"/>
      <c r="M23" s="1325"/>
      <c r="N23" s="1319"/>
      <c r="O23" s="606"/>
      <c r="P23" s="1127"/>
      <c r="Q23" s="1126"/>
      <c r="R23" s="1323"/>
      <c r="S23" s="1319"/>
      <c r="T23" s="1326"/>
      <c r="U23" s="1126"/>
      <c r="V23" s="1325"/>
      <c r="W23" s="1319"/>
      <c r="X23" s="606"/>
      <c r="Y23" s="1127"/>
      <c r="Z23" s="1126"/>
      <c r="AA23" s="1323"/>
      <c r="AB23" s="1319"/>
      <c r="AC23" s="1326"/>
      <c r="AD23" s="1126"/>
      <c r="AE23" s="1325"/>
      <c r="AF23" s="1319"/>
      <c r="AG23" s="1326"/>
      <c r="AH23" s="1127"/>
      <c r="AI23" s="1126"/>
      <c r="AJ23" s="1323"/>
      <c r="AK23" s="1319"/>
      <c r="AL23" s="1326"/>
      <c r="AM23" s="1126"/>
      <c r="AN23" s="1325"/>
      <c r="AO23" s="1319"/>
      <c r="AP23" s="1266"/>
      <c r="AQ23" s="7008" t="s">
        <v>3286</v>
      </c>
      <c r="AR23" s="7008" t="s">
        <v>3287</v>
      </c>
      <c r="AS23" s="1126"/>
      <c r="AT23" s="7009"/>
      <c r="AU23" s="1319"/>
      <c r="AV23" s="7008" t="s">
        <v>3270</v>
      </c>
      <c r="AW23" s="1126"/>
      <c r="AX23" s="481" t="s">
        <v>3258</v>
      </c>
      <c r="AY23" s="313"/>
      <c r="AZ23" s="8224" t="s">
        <v>3270</v>
      </c>
      <c r="BA23" s="7008"/>
      <c r="BB23" s="1126"/>
      <c r="BC23" s="1323"/>
      <c r="BD23" s="1319"/>
      <c r="BE23" s="7008" t="s">
        <v>3288</v>
      </c>
      <c r="BF23" s="1126"/>
      <c r="BG23" s="3950" t="s">
        <v>3258</v>
      </c>
      <c r="BH23" s="1319"/>
      <c r="BI23" s="1266"/>
      <c r="BJ23" s="1266"/>
    </row>
    <row r="24" spans="1:62" s="1256" customFormat="1" x14ac:dyDescent="0.35">
      <c r="A24" s="9168"/>
      <c r="B24" s="1299"/>
      <c r="C24" s="1300" t="s">
        <v>483</v>
      </c>
      <c r="D24" s="1269"/>
      <c r="E24" s="1270"/>
      <c r="F24" s="595">
        <v>3051.9</v>
      </c>
      <c r="G24" s="1270"/>
      <c r="H24" s="595">
        <v>4787.3999999999996</v>
      </c>
      <c r="I24" s="594">
        <v>4558.7</v>
      </c>
      <c r="J24" s="64">
        <f>IF(H24=0,0,I24/H24)</f>
        <v>0.95222876718051552</v>
      </c>
      <c r="K24" s="1270"/>
      <c r="L24" s="607">
        <v>5208.5</v>
      </c>
      <c r="M24" s="1302">
        <v>5210.8999999999996</v>
      </c>
      <c r="N24" s="1270"/>
      <c r="O24" s="595">
        <v>5208.5</v>
      </c>
      <c r="P24" s="594">
        <v>5210.8999999999996</v>
      </c>
      <c r="Q24" s="1309" t="s">
        <v>3289</v>
      </c>
      <c r="R24" s="64">
        <f>IF(O24=0,"",P24/O24)</f>
        <v>1.0004607852548717</v>
      </c>
      <c r="S24" s="1270"/>
      <c r="T24" s="607">
        <v>5978.2</v>
      </c>
      <c r="U24" s="1309"/>
      <c r="V24" s="619">
        <f>T24*R24</f>
        <v>5980.9546664106738</v>
      </c>
      <c r="W24" s="1270"/>
      <c r="X24" s="595">
        <v>5978.2</v>
      </c>
      <c r="Y24" s="594">
        <v>5400.4</v>
      </c>
      <c r="Z24" s="1309" t="s">
        <v>3290</v>
      </c>
      <c r="AA24" s="64">
        <f>IF(X24=0,"",Y24/X24)</f>
        <v>0.90334883409721989</v>
      </c>
      <c r="AB24" s="1270"/>
      <c r="AC24" s="607">
        <v>5910.7</v>
      </c>
      <c r="AD24" s="1309" t="s">
        <v>3290</v>
      </c>
      <c r="AE24" s="596">
        <v>5786.7</v>
      </c>
      <c r="AF24" s="1270"/>
      <c r="AG24" s="607">
        <v>5910.7</v>
      </c>
      <c r="AH24" s="594">
        <v>5786.7</v>
      </c>
      <c r="AI24" s="1309" t="s">
        <v>3290</v>
      </c>
      <c r="AJ24" s="64">
        <f>IF(AG24=0,"",AH24/AG24)</f>
        <v>0.9790210973319573</v>
      </c>
      <c r="AK24" s="1270"/>
      <c r="AL24" s="607">
        <v>6208.5</v>
      </c>
      <c r="AM24" s="1309" t="s">
        <v>3290</v>
      </c>
      <c r="AN24" s="596">
        <v>5431.6</v>
      </c>
      <c r="AO24" s="1270"/>
      <c r="AP24" s="1281"/>
      <c r="AQ24" s="607">
        <v>6208.5</v>
      </c>
      <c r="AR24" s="594">
        <v>5436.1</v>
      </c>
      <c r="AS24" s="1309"/>
      <c r="AT24" s="476">
        <f>IF(AQ24=0,"",AR24/AQ24)</f>
        <v>0.87558991704920675</v>
      </c>
      <c r="AU24" s="1270"/>
      <c r="AV24" s="607">
        <v>6769.2619999999997</v>
      </c>
      <c r="AW24" s="1309"/>
      <c r="AX24" s="597">
        <v>5994.7</v>
      </c>
      <c r="AY24" s="645"/>
      <c r="AZ24" s="4748">
        <v>6769.2619999999997</v>
      </c>
      <c r="BA24" s="594">
        <v>5994.7</v>
      </c>
      <c r="BB24" s="1309"/>
      <c r="BC24" s="64">
        <f>IF(AZ24=0,"",BA24/AZ24)</f>
        <v>0.88557659608979533</v>
      </c>
      <c r="BD24" s="1270"/>
      <c r="BE24" s="607">
        <v>6673.8</v>
      </c>
      <c r="BF24" s="1309"/>
      <c r="BG24" s="596">
        <v>5890.6</v>
      </c>
      <c r="BH24" s="1270"/>
      <c r="BI24" s="1281"/>
      <c r="BJ24" s="1281"/>
    </row>
    <row r="25" spans="1:62" s="1256" customFormat="1" x14ac:dyDescent="0.35">
      <c r="A25" s="9168"/>
      <c r="B25" s="1299"/>
      <c r="C25" s="1300" t="s">
        <v>489</v>
      </c>
      <c r="D25" s="1269"/>
      <c r="E25" s="1270"/>
      <c r="F25" s="595">
        <v>2570.6999999999998</v>
      </c>
      <c r="G25" s="1270"/>
      <c r="H25" s="595">
        <v>4138.3</v>
      </c>
      <c r="I25" s="594">
        <v>3951.4</v>
      </c>
      <c r="J25" s="64">
        <f>IF(H25=0,0,I25/H25)</f>
        <v>0.95483652707633571</v>
      </c>
      <c r="K25" s="1270"/>
      <c r="L25" s="607">
        <v>4477.3</v>
      </c>
      <c r="M25" s="596">
        <v>4467.2</v>
      </c>
      <c r="N25" s="1270"/>
      <c r="O25" s="595">
        <v>4477.3</v>
      </c>
      <c r="P25" s="594">
        <v>4467.2</v>
      </c>
      <c r="Q25" s="1309" t="s">
        <v>3291</v>
      </c>
      <c r="R25" s="64">
        <f>IF(O25=0,"",P25/O25)</f>
        <v>0.99774417617760691</v>
      </c>
      <c r="S25" s="1270"/>
      <c r="T25" s="607">
        <v>5223.7</v>
      </c>
      <c r="U25" s="1303"/>
      <c r="V25" s="619">
        <f>T25*R25</f>
        <v>5211.9162530989652</v>
      </c>
      <c r="W25" s="1270"/>
      <c r="X25" s="595">
        <v>5223.7</v>
      </c>
      <c r="Y25" s="594">
        <v>4591.8999999999996</v>
      </c>
      <c r="Z25" s="1309" t="s">
        <v>3292</v>
      </c>
      <c r="AA25" s="64">
        <f>IF(X25=0,"",Y25/X25)</f>
        <v>0.87905124720026029</v>
      </c>
      <c r="AB25" s="1270"/>
      <c r="AC25" s="607">
        <v>5098.3</v>
      </c>
      <c r="AD25" s="1309" t="s">
        <v>3292</v>
      </c>
      <c r="AE25" s="596">
        <v>4862.2</v>
      </c>
      <c r="AF25" s="1270"/>
      <c r="AG25" s="607">
        <v>5098.3</v>
      </c>
      <c r="AH25" s="594">
        <v>4862.2</v>
      </c>
      <c r="AI25" s="1309" t="s">
        <v>3292</v>
      </c>
      <c r="AJ25" s="64">
        <f>IF(AG25=0,"",AH25/AG25)</f>
        <v>0.95369044583488605</v>
      </c>
      <c r="AK25" s="1270"/>
      <c r="AL25" s="607">
        <v>5223.1000000000004</v>
      </c>
      <c r="AM25" s="1309" t="s">
        <v>3292</v>
      </c>
      <c r="AN25" s="1327">
        <f>AL25*AJ25</f>
        <v>4981.2205676401936</v>
      </c>
      <c r="AO25" s="1270"/>
      <c r="AP25" s="1281"/>
      <c r="AQ25" s="607">
        <v>5223.1000000000004</v>
      </c>
      <c r="AR25" s="594">
        <f>AH25/AH24*AR24</f>
        <v>4567.612874349803</v>
      </c>
      <c r="AS25" s="1309" t="s">
        <v>3293</v>
      </c>
      <c r="AT25" s="476">
        <f>IF(AQ25=0,"",AR25/AQ25)</f>
        <v>0.87450228300239374</v>
      </c>
      <c r="AU25" s="1270"/>
      <c r="AV25" s="607">
        <f>AQ25/AQ24*AV24</f>
        <v>5694.8590403801245</v>
      </c>
      <c r="AW25" s="1309" t="s">
        <v>3294</v>
      </c>
      <c r="AX25" s="4747">
        <v>5469</v>
      </c>
      <c r="AY25" s="1423"/>
      <c r="AZ25" s="4748"/>
      <c r="BA25" s="594"/>
      <c r="BB25" s="1309"/>
      <c r="BC25" s="64" t="str">
        <f>IF(AZ25=0,"",BA25/AZ25)</f>
        <v/>
      </c>
      <c r="BD25" s="1270"/>
      <c r="BE25" s="607"/>
      <c r="BF25" s="1309" t="s">
        <v>3294</v>
      </c>
      <c r="BG25" s="7010"/>
      <c r="BH25" s="1270"/>
      <c r="BI25" s="1281"/>
      <c r="BJ25" s="1281"/>
    </row>
    <row r="26" spans="1:62" s="1256" customFormat="1" x14ac:dyDescent="0.35">
      <c r="A26" s="9168"/>
      <c r="B26" s="1299"/>
      <c r="C26" s="1300" t="s">
        <v>490</v>
      </c>
      <c r="D26" s="1269">
        <v>2</v>
      </c>
      <c r="E26" s="1270"/>
      <c r="F26" s="595">
        <v>681.7</v>
      </c>
      <c r="G26" s="1270"/>
      <c r="H26" s="612">
        <v>1081.0999999999999</v>
      </c>
      <c r="I26" s="613">
        <v>637.29999999999995</v>
      </c>
      <c r="J26" s="64">
        <f>IF(H26=0,0,I26/H26)</f>
        <v>0.58949218388678204</v>
      </c>
      <c r="K26" s="1270"/>
      <c r="L26" s="607">
        <v>1262.3</v>
      </c>
      <c r="M26" s="1328">
        <v>743.8</v>
      </c>
      <c r="N26" s="1270"/>
      <c r="O26" s="595">
        <v>1263.2</v>
      </c>
      <c r="P26" s="1329">
        <f>O26*J26</f>
        <v>744.6465266857831</v>
      </c>
      <c r="Q26" s="1309" t="s">
        <v>3295</v>
      </c>
      <c r="R26" s="64">
        <f>IF(O26=0,"",P26/O26)</f>
        <v>0.58949218388678204</v>
      </c>
      <c r="S26" s="1270"/>
      <c r="T26" s="607">
        <v>1293.3</v>
      </c>
      <c r="U26" s="1309"/>
      <c r="V26" s="619">
        <f>T26*R26</f>
        <v>762.39024142077517</v>
      </c>
      <c r="W26" s="1270"/>
      <c r="X26" s="1330">
        <f>X24*X28</f>
        <v>635.35060647764396</v>
      </c>
      <c r="Y26" s="1331">
        <f>Y24*Y28</f>
        <v>573.94322960454122</v>
      </c>
      <c r="Z26" s="1309" t="s">
        <v>3295</v>
      </c>
      <c r="AA26" s="64">
        <f>IF(X26=0,"",Y26/X26)</f>
        <v>0.90334883409721989</v>
      </c>
      <c r="AB26" s="1270"/>
      <c r="AC26" s="1332">
        <f>AC24*AC28</f>
        <v>628.17684749714124</v>
      </c>
      <c r="AD26" s="1309" t="s">
        <v>3296</v>
      </c>
      <c r="AE26" s="594">
        <f>340.265196+176.479262</f>
        <v>516.74445800000001</v>
      </c>
      <c r="AF26" s="1270"/>
      <c r="AG26" s="607">
        <f>393.441434+178.6743</f>
        <v>572.11573399999997</v>
      </c>
      <c r="AH26" s="594">
        <f>393.424767+176.479262</f>
        <v>569.90402900000004</v>
      </c>
      <c r="AI26" s="1309" t="s">
        <v>3297</v>
      </c>
      <c r="AJ26" s="64">
        <f>IF(AG26=0,"",AH26/AG26)</f>
        <v>0.99613416504989893</v>
      </c>
      <c r="AK26" s="1270"/>
      <c r="AL26" s="607">
        <f>477.460792+195.695562</f>
        <v>673.15635399999996</v>
      </c>
      <c r="AM26" s="1309" t="s">
        <v>3297</v>
      </c>
      <c r="AN26" s="1331">
        <f>AL26*AJ26</f>
        <v>670.55404263982416</v>
      </c>
      <c r="AO26" s="1270"/>
      <c r="AP26" s="1281"/>
      <c r="AQ26" s="607">
        <f>477.460792+195.695262</f>
        <v>673.15605400000004</v>
      </c>
      <c r="AR26" s="594">
        <f>465.881172+237.319773</f>
        <v>703.20094500000005</v>
      </c>
      <c r="AS26" s="1309" t="s">
        <v>3298</v>
      </c>
      <c r="AT26" s="476">
        <f>IF(AQ26=0,"",AR26/AQ26)</f>
        <v>1.0446328764652246</v>
      </c>
      <c r="AU26" s="1270"/>
      <c r="AV26" s="607">
        <f>507.923302+210.8</f>
        <v>718.72330199999999</v>
      </c>
      <c r="AW26" s="1309" t="s">
        <v>3299</v>
      </c>
      <c r="AX26" s="4747">
        <f>AT26*AV26</f>
        <v>750.80199035084433</v>
      </c>
      <c r="AY26" s="1423"/>
      <c r="AZ26" s="4748">
        <f>507.923302+210.8</f>
        <v>718.72330199999999</v>
      </c>
      <c r="BA26" s="594">
        <f>510.208956+211.7486</f>
        <v>721.95755600000007</v>
      </c>
      <c r="BB26" s="1309" t="s">
        <v>3300</v>
      </c>
      <c r="BC26" s="64">
        <f>IF(AZ26=0,"",BA26/AZ26)</f>
        <v>1.0044999988048253</v>
      </c>
      <c r="BD26" s="1270"/>
      <c r="BE26" s="607">
        <f>520.621384+216.07</f>
        <v>736.69138399999997</v>
      </c>
      <c r="BF26" s="1309" t="s">
        <v>3301</v>
      </c>
      <c r="BG26" s="8197">
        <f>BE26*BC26</f>
        <v>740.00649434752506</v>
      </c>
      <c r="BH26" s="1270"/>
      <c r="BI26" s="1281" t="s">
        <v>3302</v>
      </c>
      <c r="BJ26" s="1281" t="s">
        <v>3302</v>
      </c>
    </row>
    <row r="27" spans="1:62" s="1256" customFormat="1" x14ac:dyDescent="0.35">
      <c r="A27" s="9168"/>
      <c r="B27" s="1299"/>
      <c r="C27" s="1333" t="s">
        <v>497</v>
      </c>
      <c r="D27" s="1334"/>
      <c r="E27" s="1270"/>
      <c r="F27" s="1335"/>
      <c r="G27" s="1270"/>
      <c r="H27" s="612"/>
      <c r="I27" s="613"/>
      <c r="J27" s="1274"/>
      <c r="K27" s="1270"/>
      <c r="L27" s="607"/>
      <c r="M27" s="1328"/>
      <c r="N27" s="1270"/>
      <c r="O27" s="612"/>
      <c r="P27" s="1336"/>
      <c r="Q27" s="645"/>
      <c r="R27" s="64" t="str">
        <f>IF(O27=0,"",P27/O27)</f>
        <v/>
      </c>
      <c r="S27" s="1270"/>
      <c r="T27" s="607"/>
      <c r="U27" s="645"/>
      <c r="V27" s="619"/>
      <c r="W27" s="1270"/>
      <c r="X27" s="612"/>
      <c r="Y27" s="613"/>
      <c r="Z27" s="645"/>
      <c r="AA27" s="64" t="str">
        <f>IF(X27=0,"",Y27/X27)</f>
        <v/>
      </c>
      <c r="AB27" s="1270"/>
      <c r="AC27" s="607"/>
      <c r="AD27" s="645"/>
      <c r="AE27" s="596"/>
      <c r="AF27" s="1270"/>
      <c r="AG27" s="607"/>
      <c r="AH27" s="613"/>
      <c r="AI27" s="645"/>
      <c r="AJ27" s="64" t="str">
        <f>IF(AG27=0,"",AH27/AG27)</f>
        <v/>
      </c>
      <c r="AK27" s="1270"/>
      <c r="AL27" s="607"/>
      <c r="AM27" s="645"/>
      <c r="AN27" s="596"/>
      <c r="AO27" s="1270"/>
      <c r="AP27" s="1281"/>
      <c r="AQ27" s="607"/>
      <c r="AR27" s="613"/>
      <c r="AS27" s="645"/>
      <c r="AT27" s="476" t="str">
        <f>IF(AQ27=0,"",AR27/AQ27)</f>
        <v/>
      </c>
      <c r="AU27" s="1270"/>
      <c r="AV27" s="607"/>
      <c r="AW27" s="645"/>
      <c r="AX27" s="597"/>
      <c r="AY27" s="645"/>
      <c r="AZ27" s="4748"/>
      <c r="BA27" s="613"/>
      <c r="BB27" s="645"/>
      <c r="BC27" s="64" t="str">
        <f>IF(AZ27=0,"",BA27/AZ27)</f>
        <v/>
      </c>
      <c r="BD27" s="1270"/>
      <c r="BE27" s="607"/>
      <c r="BF27" s="645"/>
      <c r="BG27" s="8198"/>
      <c r="BH27" s="1270"/>
      <c r="BI27" s="1281"/>
      <c r="BJ27" s="1281"/>
    </row>
    <row r="28" spans="1:62" x14ac:dyDescent="0.35">
      <c r="A28" s="9168"/>
      <c r="B28" s="128"/>
      <c r="C28" s="129" t="s">
        <v>499</v>
      </c>
      <c r="D28" s="209"/>
      <c r="F28" s="169">
        <f>IF(F24=0,0,(F26-F27)/F24)</f>
        <v>0.22336904878927882</v>
      </c>
      <c r="G28" s="170"/>
      <c r="H28" s="171">
        <f>IF(H25=0,0,(H26-H27)/H25)</f>
        <v>0.2612425392069207</v>
      </c>
      <c r="I28" s="172">
        <f>IF(I25=0,0,(I26-I27)/I25)</f>
        <v>0.16128460798704256</v>
      </c>
      <c r="J28" s="173"/>
      <c r="K28" s="170"/>
      <c r="L28" s="1337">
        <f>IF(L25=0,0,L26/L25)</f>
        <v>0.28193330802045874</v>
      </c>
      <c r="M28" s="175">
        <f>IF(M25=0,0,M26/M25)</f>
        <v>0.16650250716332377</v>
      </c>
      <c r="N28" s="176"/>
      <c r="O28" s="171">
        <f>IF(O25=0,0,O26/O25)</f>
        <v>0.28213432202443439</v>
      </c>
      <c r="P28" s="177">
        <f>IF(P25=0,0,P26/P25)</f>
        <v>0.16669200543646651</v>
      </c>
      <c r="Q28" s="177"/>
      <c r="R28" s="173"/>
      <c r="S28" s="170"/>
      <c r="T28" s="174">
        <f>IF(T25=0,0,T26/T25)</f>
        <v>0.24758313073109098</v>
      </c>
      <c r="U28" s="177"/>
      <c r="V28" s="175">
        <f>IF(V25=0,0,V26/V25)</f>
        <v>0.14627829849864987</v>
      </c>
      <c r="W28" s="176"/>
      <c r="X28" s="1135">
        <f>AE28</f>
        <v>0.10627791082226154</v>
      </c>
      <c r="Y28" s="1141">
        <f>AE28</f>
        <v>0.10627791082226154</v>
      </c>
      <c r="Z28" s="1141"/>
      <c r="AA28" s="1137"/>
      <c r="AB28" s="1338"/>
      <c r="AC28" s="1138">
        <f>AE28</f>
        <v>0.10627791082226154</v>
      </c>
      <c r="AD28" s="177"/>
      <c r="AE28" s="175">
        <f>IF(AE25=0,0,AE26/AE25)</f>
        <v>0.10627791082226154</v>
      </c>
      <c r="AF28" s="176"/>
      <c r="AG28" s="1339">
        <f>IF(AG24=0,0,AG26/AG24)</f>
        <v>9.6793228213240393E-2</v>
      </c>
      <c r="AH28" s="1340">
        <f>IF(AH24=0,0,AH26/AH24)</f>
        <v>9.8485151986451705E-2</v>
      </c>
      <c r="AI28" s="177"/>
      <c r="AJ28" s="1137"/>
      <c r="AK28" s="1338"/>
      <c r="AL28" s="1339">
        <f>IF(AL25=0,0,AL26/AL25)</f>
        <v>0.12888061764086461</v>
      </c>
      <c r="AM28" s="177"/>
      <c r="AN28" s="175">
        <f>IF(AN25=0,0,AN26/AN25)</f>
        <v>0.13461641249054201</v>
      </c>
      <c r="AO28" s="176"/>
      <c r="AP28" s="24"/>
      <c r="AQ28" s="6564">
        <f>IF(AQ24=0,0,AQ26/AQ24)</f>
        <v>0.10842491004268343</v>
      </c>
      <c r="AR28" s="6127">
        <f>IF(AR24=0,0,AR26/AR24)</f>
        <v>0.12935761759349534</v>
      </c>
      <c r="AS28" s="497"/>
      <c r="AT28" s="7011"/>
      <c r="AU28" s="1338"/>
      <c r="AV28" s="6564">
        <f>IF(AV24=0,0,AV26/AV24)</f>
        <v>0.10617454339926569</v>
      </c>
      <c r="AW28" s="497"/>
      <c r="AX28" s="498">
        <f>IF(AX24=0,0,AX26/AX24)</f>
        <v>0.12524429752128452</v>
      </c>
      <c r="AY28" s="1022"/>
      <c r="AZ28" s="8225">
        <f>IF(AZ24=0,0,AZ26/AZ24)</f>
        <v>0.10617454339926569</v>
      </c>
      <c r="BA28" s="1340">
        <f>IF(BA24=0,0,BA26/BA24)</f>
        <v>0.12043264149999168</v>
      </c>
      <c r="BB28" s="177"/>
      <c r="BC28" s="1137"/>
      <c r="BD28" s="1338"/>
      <c r="BE28" s="1339">
        <f>IF(BE24=0,0,BE26/BE24)</f>
        <v>0.11038559501333572</v>
      </c>
      <c r="BF28" s="177"/>
      <c r="BG28" s="175">
        <f>IF(BG24=0,0,BG26/BG24)</f>
        <v>0.12562497782017537</v>
      </c>
      <c r="BH28" s="1338"/>
      <c r="BI28" s="24"/>
      <c r="BJ28" s="24"/>
    </row>
    <row r="29" spans="1:62" x14ac:dyDescent="0.35">
      <c r="A29" s="9168"/>
      <c r="B29" s="139" t="s">
        <v>501</v>
      </c>
      <c r="C29" s="49"/>
      <c r="D29" s="184"/>
      <c r="F29" s="227"/>
      <c r="H29" s="777"/>
      <c r="I29" s="1341"/>
      <c r="J29" s="188"/>
      <c r="L29" s="777"/>
      <c r="M29" s="148"/>
      <c r="O29" s="1151"/>
      <c r="P29" s="190"/>
      <c r="Q29" s="190"/>
      <c r="R29" s="191"/>
      <c r="S29" s="170"/>
      <c r="T29" s="192"/>
      <c r="U29" s="190"/>
      <c r="V29" s="1342"/>
      <c r="X29" s="1151"/>
      <c r="Y29" s="190"/>
      <c r="Z29" s="190"/>
      <c r="AA29" s="191"/>
      <c r="AB29" s="170"/>
      <c r="AC29" s="192"/>
      <c r="AD29" s="190"/>
      <c r="AE29" s="1342"/>
      <c r="AG29" s="192"/>
      <c r="AH29" s="190"/>
      <c r="AI29" s="190"/>
      <c r="AJ29" s="191"/>
      <c r="AK29" s="170"/>
      <c r="AL29" s="192"/>
      <c r="AM29" s="190"/>
      <c r="AN29" s="1342"/>
      <c r="AP29" s="617"/>
      <c r="AQ29" s="3364"/>
      <c r="AR29" s="839"/>
      <c r="AS29" s="839"/>
      <c r="AT29" s="840"/>
      <c r="AU29" s="170"/>
      <c r="AV29" s="3364"/>
      <c r="AW29" s="839"/>
      <c r="AX29" s="8219"/>
      <c r="AY29" s="8234"/>
      <c r="AZ29" s="193"/>
      <c r="BA29" s="190"/>
      <c r="BB29" s="190"/>
      <c r="BC29" s="191"/>
      <c r="BD29" s="170"/>
      <c r="BE29" s="192"/>
      <c r="BF29" s="190"/>
      <c r="BG29" s="1342"/>
      <c r="BH29" s="170"/>
      <c r="BI29" s="617"/>
      <c r="BJ29" s="617"/>
    </row>
    <row r="30" spans="1:62" x14ac:dyDescent="0.35">
      <c r="A30" s="9168"/>
      <c r="B30" s="196"/>
      <c r="C30" s="121" t="s">
        <v>470</v>
      </c>
      <c r="D30" s="197"/>
      <c r="F30" s="122"/>
      <c r="H30" s="198"/>
      <c r="I30" s="199"/>
      <c r="J30" s="64"/>
      <c r="L30" s="198"/>
      <c r="M30" s="611"/>
      <c r="O30" s="200"/>
      <c r="P30" s="201"/>
      <c r="Q30" s="1343"/>
      <c r="R30" s="203"/>
      <c r="S30" s="170"/>
      <c r="T30" s="117"/>
      <c r="U30" s="1343"/>
      <c r="V30" s="1344"/>
      <c r="X30" s="200"/>
      <c r="Y30" s="201"/>
      <c r="Z30" s="1343"/>
      <c r="AA30" s="203"/>
      <c r="AB30" s="170"/>
      <c r="AC30" s="117"/>
      <c r="AD30" s="1343"/>
      <c r="AE30" s="1344"/>
      <c r="AG30" s="117"/>
      <c r="AH30" s="201"/>
      <c r="AI30" s="1343"/>
      <c r="AJ30" s="203"/>
      <c r="AK30" s="170"/>
      <c r="AL30" s="117"/>
      <c r="AM30" s="1343"/>
      <c r="AN30" s="1344"/>
      <c r="AP30" s="625"/>
      <c r="AQ30" s="117"/>
      <c r="AR30" s="201"/>
      <c r="AS30" s="3368"/>
      <c r="AT30" s="835"/>
      <c r="AU30" s="170"/>
      <c r="AV30" s="117"/>
      <c r="AW30" s="3368"/>
      <c r="AX30" s="1354"/>
      <c r="AY30" s="1354"/>
      <c r="AZ30" s="201"/>
      <c r="BA30" s="201"/>
      <c r="BB30" s="1343"/>
      <c r="BC30" s="203"/>
      <c r="BD30" s="170"/>
      <c r="BE30" s="117"/>
      <c r="BF30" s="1343"/>
      <c r="BG30" s="1344"/>
      <c r="BH30" s="170"/>
      <c r="BI30" s="625"/>
      <c r="BJ30" s="625"/>
    </row>
    <row r="31" spans="1:62" x14ac:dyDescent="0.35">
      <c r="A31" s="9169"/>
      <c r="B31" s="207"/>
      <c r="C31" s="208" t="s">
        <v>1116</v>
      </c>
      <c r="D31" s="209"/>
      <c r="F31" s="210"/>
      <c r="H31" s="211"/>
      <c r="I31" s="212"/>
      <c r="J31" s="133"/>
      <c r="L31" s="211"/>
      <c r="M31" s="1345"/>
      <c r="O31" s="214"/>
      <c r="P31" s="215"/>
      <c r="Q31" s="1159"/>
      <c r="R31" s="133"/>
      <c r="T31" s="217"/>
      <c r="U31" s="1159"/>
      <c r="V31" s="1346"/>
      <c r="X31" s="214"/>
      <c r="Y31" s="215"/>
      <c r="Z31" s="1159"/>
      <c r="AA31" s="133"/>
      <c r="AC31" s="217"/>
      <c r="AD31" s="1159"/>
      <c r="AE31" s="1346"/>
      <c r="AG31" s="217"/>
      <c r="AH31" s="215"/>
      <c r="AI31" s="1159"/>
      <c r="AJ31" s="133"/>
      <c r="AL31" s="217"/>
      <c r="AM31" s="1159"/>
      <c r="AN31" s="1346"/>
      <c r="AP31" s="625"/>
      <c r="AQ31" s="217"/>
      <c r="AR31" s="215"/>
      <c r="AS31" s="1159"/>
      <c r="AT31" s="484"/>
      <c r="AV31" s="217"/>
      <c r="AW31" s="1159"/>
      <c r="AX31" s="8209"/>
      <c r="AY31" s="1354"/>
      <c r="AZ31" s="1155"/>
      <c r="BA31" s="215"/>
      <c r="BB31" s="1159"/>
      <c r="BC31" s="133"/>
      <c r="BE31" s="217"/>
      <c r="BF31" s="1159"/>
      <c r="BG31" s="1346"/>
      <c r="BI31" s="625"/>
      <c r="BJ31" s="625"/>
    </row>
    <row r="32" spans="1:62" x14ac:dyDescent="0.35">
      <c r="A32" s="220"/>
      <c r="B32" s="220"/>
      <c r="F32" s="106"/>
      <c r="H32" s="106"/>
      <c r="I32" s="106"/>
      <c r="J32" s="221"/>
      <c r="L32" s="106"/>
      <c r="O32" s="106"/>
      <c r="P32" s="106"/>
      <c r="Q32" s="106"/>
      <c r="R32" s="221"/>
      <c r="T32" s="106"/>
      <c r="U32" s="106"/>
      <c r="X32" s="106"/>
      <c r="Y32" s="106"/>
      <c r="Z32" s="106"/>
      <c r="AA32" s="221"/>
      <c r="AC32" s="106"/>
      <c r="AD32" s="106"/>
      <c r="AG32" s="106"/>
      <c r="AH32" s="106"/>
      <c r="AI32" s="106"/>
      <c r="AJ32" s="221"/>
      <c r="AL32" s="106"/>
      <c r="AM32" s="106"/>
      <c r="AQ32" s="106"/>
      <c r="AR32" s="106"/>
      <c r="AS32" s="106"/>
      <c r="AT32" s="221"/>
      <c r="AV32" s="106"/>
      <c r="AW32" s="106"/>
      <c r="AZ32" s="106"/>
      <c r="BA32" s="106"/>
      <c r="BB32" s="106"/>
      <c r="BC32" s="221"/>
      <c r="BE32" s="106"/>
      <c r="BF32" s="106"/>
    </row>
    <row r="33" spans="1:62" ht="27.75" customHeight="1" x14ac:dyDescent="0.35">
      <c r="A33" s="9167" t="s">
        <v>503</v>
      </c>
      <c r="B33" s="27"/>
      <c r="C33" s="28" t="s">
        <v>427</v>
      </c>
      <c r="D33" s="585" t="s">
        <v>428</v>
      </c>
      <c r="E33" s="30"/>
      <c r="F33" s="222"/>
      <c r="G33" s="223"/>
      <c r="H33" s="36"/>
      <c r="I33" s="36" t="s">
        <v>2300</v>
      </c>
      <c r="J33" s="224"/>
      <c r="K33" s="223"/>
      <c r="L33" s="222"/>
      <c r="M33" s="511"/>
      <c r="N33" s="30"/>
      <c r="O33" s="31"/>
      <c r="P33" s="31" t="s">
        <v>2300</v>
      </c>
      <c r="Q33" s="581"/>
      <c r="R33" s="1347"/>
      <c r="S33" s="223"/>
      <c r="T33" s="36"/>
      <c r="U33" s="224"/>
      <c r="V33" s="36" t="s">
        <v>2300</v>
      </c>
      <c r="W33" s="30"/>
      <c r="X33" s="36" t="s">
        <v>3303</v>
      </c>
      <c r="Y33" s="36" t="s">
        <v>3304</v>
      </c>
      <c r="Z33" s="581"/>
      <c r="AA33" s="1347"/>
      <c r="AB33" s="223"/>
      <c r="AC33" s="36" t="s">
        <v>3305</v>
      </c>
      <c r="AD33" s="225" t="s">
        <v>3306</v>
      </c>
      <c r="AE33" s="36" t="s">
        <v>3307</v>
      </c>
      <c r="AF33" s="30"/>
      <c r="AG33" s="36" t="s">
        <v>3304</v>
      </c>
      <c r="AH33" s="36" t="s">
        <v>3308</v>
      </c>
      <c r="AI33" s="225" t="s">
        <v>3306</v>
      </c>
      <c r="AJ33" s="1347"/>
      <c r="AK33" s="223"/>
      <c r="AL33" s="36" t="s">
        <v>3305</v>
      </c>
      <c r="AM33" s="225" t="s">
        <v>3306</v>
      </c>
      <c r="AN33" s="1348" t="s">
        <v>3309</v>
      </c>
      <c r="AO33" s="30"/>
      <c r="AP33" s="39"/>
      <c r="AQ33" s="36" t="s">
        <v>3310</v>
      </c>
      <c r="AR33" s="36" t="s">
        <v>3311</v>
      </c>
      <c r="AS33" s="4645"/>
      <c r="AT33" s="1347"/>
      <c r="AU33" s="223"/>
      <c r="AV33" s="36" t="s">
        <v>3311</v>
      </c>
      <c r="AW33" s="4645"/>
      <c r="AX33" s="8220" t="s">
        <v>3312</v>
      </c>
      <c r="AY33" s="8235"/>
      <c r="AZ33" s="8315" t="s">
        <v>3311</v>
      </c>
      <c r="BA33" s="8199" t="s">
        <v>1126</v>
      </c>
      <c r="BB33" s="225"/>
      <c r="BC33" s="1347"/>
      <c r="BD33" s="223"/>
      <c r="BE33" s="36" t="s">
        <v>3311</v>
      </c>
      <c r="BF33" s="225"/>
      <c r="BG33" s="8199" t="s">
        <v>1126</v>
      </c>
      <c r="BH33" s="223"/>
      <c r="BI33" s="39"/>
      <c r="BJ33" s="39"/>
    </row>
    <row r="34" spans="1:62" x14ac:dyDescent="0.35">
      <c r="A34" s="9168"/>
      <c r="B34" s="141" t="s">
        <v>514</v>
      </c>
      <c r="C34"/>
      <c r="D34" s="184"/>
      <c r="E34" s="143"/>
      <c r="F34" s="227"/>
      <c r="G34" s="143"/>
      <c r="H34" s="102"/>
      <c r="I34" s="103"/>
      <c r="J34" s="228"/>
      <c r="K34" s="143"/>
      <c r="L34" s="102"/>
      <c r="M34" s="229"/>
      <c r="N34" s="143"/>
      <c r="O34" s="230"/>
      <c r="P34" s="103"/>
      <c r="Q34" s="231"/>
      <c r="R34" s="228"/>
      <c r="S34" s="143"/>
      <c r="T34" s="230"/>
      <c r="U34" s="231"/>
      <c r="V34" s="49"/>
      <c r="W34" s="143"/>
      <c r="X34" s="230" t="s">
        <v>3313</v>
      </c>
      <c r="Y34" s="103" t="s">
        <v>3314</v>
      </c>
      <c r="Z34" s="231"/>
      <c r="AA34" s="228"/>
      <c r="AB34" s="143"/>
      <c r="AC34" s="230" t="s">
        <v>3315</v>
      </c>
      <c r="AD34" s="231"/>
      <c r="AE34" s="1349" t="s">
        <v>3316</v>
      </c>
      <c r="AF34" s="143"/>
      <c r="AG34" s="230" t="s">
        <v>3317</v>
      </c>
      <c r="AH34" s="103" t="s">
        <v>3318</v>
      </c>
      <c r="AI34" s="231"/>
      <c r="AJ34" s="228"/>
      <c r="AK34" s="143"/>
      <c r="AL34" s="230" t="s">
        <v>3319</v>
      </c>
      <c r="AM34" s="231"/>
      <c r="AN34" s="1350"/>
      <c r="AO34" s="143"/>
      <c r="AP34" s="18"/>
      <c r="AQ34" s="230"/>
      <c r="AR34" s="230"/>
      <c r="AS34" s="3726"/>
      <c r="AT34" s="228"/>
      <c r="AU34" s="143"/>
      <c r="AV34" s="230" t="s">
        <v>3311</v>
      </c>
      <c r="AW34" s="231"/>
      <c r="AX34" s="8210"/>
      <c r="AY34" s="7300"/>
      <c r="AZ34" s="231"/>
      <c r="BA34" s="8200" t="s">
        <v>3320</v>
      </c>
      <c r="BB34" s="3726"/>
      <c r="BC34" s="228"/>
      <c r="BD34" s="143"/>
      <c r="BE34" s="230"/>
      <c r="BF34" s="231"/>
      <c r="BG34" s="8201"/>
      <c r="BH34" s="143"/>
      <c r="BI34" s="18"/>
      <c r="BJ34" s="18"/>
    </row>
    <row r="35" spans="1:62" x14ac:dyDescent="0.35">
      <c r="A35" s="9168"/>
      <c r="B35" s="240"/>
      <c r="C35" s="240" t="s">
        <v>3321</v>
      </c>
      <c r="D35" s="197"/>
      <c r="F35" s="111">
        <v>1781.4</v>
      </c>
      <c r="H35" s="112">
        <f>1813.1</f>
        <v>1813.1</v>
      </c>
      <c r="I35" s="1351">
        <f>H35</f>
        <v>1813.1</v>
      </c>
      <c r="J35" s="64">
        <f>IF(H35=0,0,I35/H35)</f>
        <v>1</v>
      </c>
      <c r="L35" s="593">
        <f>2034.6</f>
        <v>2034.6</v>
      </c>
      <c r="M35" s="1352">
        <f>L35*J35</f>
        <v>2034.6</v>
      </c>
      <c r="N35" s="1270"/>
      <c r="O35" s="1353">
        <v>2034.6</v>
      </c>
      <c r="P35" s="1354">
        <f>O35</f>
        <v>2034.6</v>
      </c>
      <c r="Q35" s="1161" t="s">
        <v>3322</v>
      </c>
      <c r="R35" s="1355">
        <f>P35/O35</f>
        <v>1</v>
      </c>
      <c r="S35" s="1270"/>
      <c r="T35" s="593">
        <v>2152.6</v>
      </c>
      <c r="U35" s="1303" t="s">
        <v>3273</v>
      </c>
      <c r="V35" s="1344">
        <f>T35</f>
        <v>2152.6</v>
      </c>
      <c r="X35" s="1353">
        <v>2152.6</v>
      </c>
      <c r="Y35" s="624">
        <v>2171.2801880000002</v>
      </c>
      <c r="Z35" s="1161" t="s">
        <v>3323</v>
      </c>
      <c r="AA35" s="1355">
        <f>Y35/X35</f>
        <v>1.008677965251324</v>
      </c>
      <c r="AB35" s="1270"/>
      <c r="AC35" s="1353">
        <v>2236.9</v>
      </c>
      <c r="AD35" s="1270" t="s">
        <v>3324</v>
      </c>
      <c r="AE35" s="623">
        <v>2230.8957879999998</v>
      </c>
      <c r="AG35" s="1353">
        <v>2236.9</v>
      </c>
      <c r="AH35" s="624">
        <v>2230.8788039999999</v>
      </c>
      <c r="AI35" s="1270" t="s">
        <v>3324</v>
      </c>
      <c r="AJ35" s="1356">
        <f>AH35/AG35</f>
        <v>0.99730824086905978</v>
      </c>
      <c r="AK35" s="1270"/>
      <c r="AL35" s="1353">
        <v>2320.1</v>
      </c>
      <c r="AM35" s="1270" t="s">
        <v>3324</v>
      </c>
      <c r="AN35" s="1357">
        <f>AL35*AJ35</f>
        <v>2313.8548496403055</v>
      </c>
      <c r="AP35" s="26"/>
      <c r="AQ35" s="1353">
        <v>2321.0059999999999</v>
      </c>
      <c r="AR35" s="624">
        <v>2256.7629999999999</v>
      </c>
      <c r="AS35" s="1161" t="s">
        <v>3325</v>
      </c>
      <c r="AT35" s="7012">
        <f>AR35/AQ35</f>
        <v>0.97232105388784007</v>
      </c>
      <c r="AU35" s="1270"/>
      <c r="AV35" s="1353">
        <v>2414.35</v>
      </c>
      <c r="AW35" s="1161" t="s">
        <v>3326</v>
      </c>
      <c r="AX35" s="624">
        <f>AV35*AT35</f>
        <v>2347.5233364541068</v>
      </c>
      <c r="AY35" s="645"/>
      <c r="AZ35" s="624">
        <v>2414.35</v>
      </c>
      <c r="BA35" s="8202">
        <v>2272.5450959999998</v>
      </c>
      <c r="BB35" s="1161"/>
      <c r="BC35" s="1356">
        <f>BA35/AZ35</f>
        <v>0.9412658048750181</v>
      </c>
      <c r="BD35" s="1270"/>
      <c r="BE35" s="1353">
        <v>2403.2629999999999</v>
      </c>
      <c r="BF35" s="1161" t="s">
        <v>1848</v>
      </c>
      <c r="BG35" s="8203">
        <v>2402.0704369999999</v>
      </c>
      <c r="BH35" s="1270"/>
      <c r="BI35" s="26"/>
      <c r="BJ35" s="26"/>
    </row>
    <row r="36" spans="1:62" x14ac:dyDescent="0.35">
      <c r="A36" s="9168"/>
      <c r="B36" s="240"/>
      <c r="C36" s="240" t="s">
        <v>3327</v>
      </c>
      <c r="D36" s="197"/>
      <c r="F36" s="155"/>
      <c r="H36" s="112">
        <f>153.3</f>
        <v>153.30000000000001</v>
      </c>
      <c r="I36" s="1351">
        <f>H36</f>
        <v>153.30000000000001</v>
      </c>
      <c r="J36" s="64">
        <f>IF(H36=0,0,I36/H36)</f>
        <v>1</v>
      </c>
      <c r="L36" s="593">
        <f>229.5</f>
        <v>229.5</v>
      </c>
      <c r="M36" s="1352">
        <f>L36*J36</f>
        <v>229.5</v>
      </c>
      <c r="N36" s="1270"/>
      <c r="O36" s="1353">
        <v>229.5</v>
      </c>
      <c r="P36" s="1354">
        <f>O36</f>
        <v>229.5</v>
      </c>
      <c r="Q36" s="1161" t="s">
        <v>3328</v>
      </c>
      <c r="R36" s="1355">
        <f>P36/O36</f>
        <v>1</v>
      </c>
      <c r="S36" s="1270"/>
      <c r="T36" s="593">
        <v>86</v>
      </c>
      <c r="U36" s="645"/>
      <c r="V36" s="1344">
        <f>T36</f>
        <v>86</v>
      </c>
      <c r="X36" s="1353"/>
      <c r="Y36" s="624"/>
      <c r="Z36" s="1161"/>
      <c r="AA36" s="1355"/>
      <c r="AB36" s="1270"/>
      <c r="AC36" s="1353"/>
      <c r="AD36" s="1270" t="s">
        <v>3329</v>
      </c>
      <c r="AE36" s="623">
        <v>26.308727999999999</v>
      </c>
      <c r="AG36" s="1353"/>
      <c r="AH36" s="624"/>
      <c r="AI36" s="1270" t="s">
        <v>3329</v>
      </c>
      <c r="AJ36" s="1355"/>
      <c r="AK36" s="1270"/>
      <c r="AL36" s="1353"/>
      <c r="AM36" s="1270" t="s">
        <v>3329</v>
      </c>
      <c r="AN36" s="1357"/>
      <c r="AP36" s="26"/>
      <c r="AQ36" s="1353">
        <f>AQ37+AQ38</f>
        <v>102.6</v>
      </c>
      <c r="AR36" s="624">
        <f>AR37+AR38</f>
        <v>69.744</v>
      </c>
      <c r="AS36" s="1161" t="s">
        <v>3330</v>
      </c>
      <c r="AT36" s="7012">
        <f t="shared" ref="AT36:AT38" si="9">AR36/AQ36</f>
        <v>0.67976608187134502</v>
      </c>
      <c r="AU36" s="1270"/>
      <c r="AV36" s="1353">
        <f>AV38+AV37</f>
        <v>218.99878900000002</v>
      </c>
      <c r="AW36" s="1161" t="s">
        <v>2316</v>
      </c>
      <c r="AX36" s="624">
        <f>AX37+AX38</f>
        <v>141.27597941631805</v>
      </c>
      <c r="AY36" s="645"/>
      <c r="AZ36" s="624">
        <f>AZ38+AZ37</f>
        <v>218.99878900000002</v>
      </c>
      <c r="BA36" s="8202">
        <f>BA37+BA38</f>
        <v>70.105042999999995</v>
      </c>
      <c r="BB36" s="1161"/>
      <c r="BC36" s="1356">
        <f t="shared" ref="BC36" si="10">BA36/AZ36</f>
        <v>0.32011612173800646</v>
      </c>
      <c r="BD36" s="1270"/>
      <c r="BE36" s="1353">
        <f>BE38+BE37</f>
        <v>218.38099999999997</v>
      </c>
      <c r="BF36" s="1161"/>
      <c r="BG36" s="8203">
        <v>64.897019999999998</v>
      </c>
      <c r="BH36" s="1270"/>
      <c r="BI36" s="26"/>
      <c r="BJ36" s="26"/>
    </row>
    <row r="37" spans="1:62" x14ac:dyDescent="0.35">
      <c r="A37" s="9168"/>
      <c r="B37" s="241"/>
      <c r="C37" s="639" t="s">
        <v>3331</v>
      </c>
      <c r="D37" s="197"/>
      <c r="F37" s="163"/>
      <c r="H37" s="242"/>
      <c r="I37" s="243"/>
      <c r="J37" s="64">
        <f>IF(H37=0,0,I37/H37)</f>
        <v>0</v>
      </c>
      <c r="L37" s="1172"/>
      <c r="M37" s="1352">
        <f>L37*J37</f>
        <v>0</v>
      </c>
      <c r="N37" s="1270"/>
      <c r="O37" s="1154"/>
      <c r="P37" s="645"/>
      <c r="Q37" s="1161"/>
      <c r="R37" s="1274"/>
      <c r="S37" s="1270"/>
      <c r="T37" s="595"/>
      <c r="U37" s="1161"/>
      <c r="V37" s="619"/>
      <c r="X37" s="1154">
        <v>28</v>
      </c>
      <c r="Y37" s="1354">
        <f t="shared" ref="Y37:Y38" si="11">X37</f>
        <v>28</v>
      </c>
      <c r="Z37" s="1161"/>
      <c r="AA37" s="1355">
        <f t="shared" ref="AA37:AA38" si="12">Y37/X37</f>
        <v>1</v>
      </c>
      <c r="AB37" s="1270"/>
      <c r="AC37" s="1154">
        <v>20.399999999999999</v>
      </c>
      <c r="AE37" s="608"/>
      <c r="AG37" s="1154">
        <v>20.399999999999999</v>
      </c>
      <c r="AH37" s="1358">
        <v>26.308727999999999</v>
      </c>
      <c r="AI37"/>
      <c r="AJ37" s="1355">
        <f t="shared" ref="AJ37:AJ38" si="13">AH37/AG37</f>
        <v>1.2896435294117647</v>
      </c>
      <c r="AK37" s="1270"/>
      <c r="AL37" s="1154">
        <v>19.100000000000001</v>
      </c>
      <c r="AN37" s="1359">
        <f>AL37*AJ37</f>
        <v>24.632191411764708</v>
      </c>
      <c r="AP37" s="26"/>
      <c r="AQ37" s="1154">
        <v>19.100000000000001</v>
      </c>
      <c r="AR37" s="1358">
        <v>18.492000000000001</v>
      </c>
      <c r="AS37" s="1161" t="s">
        <v>3332</v>
      </c>
      <c r="AT37" s="7012">
        <f t="shared" si="9"/>
        <v>0.96816753926701571</v>
      </c>
      <c r="AU37" s="1270"/>
      <c r="AV37" s="1154">
        <v>19.344999999999999</v>
      </c>
      <c r="AW37" s="70" t="s">
        <v>2316</v>
      </c>
      <c r="AX37" s="624">
        <f t="shared" ref="AX37:AX38" si="14">AV37*AT37</f>
        <v>18.729201047120419</v>
      </c>
      <c r="AY37" s="645"/>
      <c r="AZ37" s="609">
        <v>19.344999999999999</v>
      </c>
      <c r="BA37" s="8202">
        <f>18.044724+0.808103</f>
        <v>18.852826999999998</v>
      </c>
      <c r="BB37" s="70"/>
      <c r="BC37" s="1356"/>
      <c r="BD37" s="1270"/>
      <c r="BE37" s="1154">
        <v>59.805999999999997</v>
      </c>
      <c r="BF37" s="1161" t="s">
        <v>3333</v>
      </c>
      <c r="BG37" s="8203">
        <f>21.260687+0.82643</f>
        <v>22.087116999999999</v>
      </c>
      <c r="BH37" s="1270"/>
      <c r="BI37" s="26"/>
      <c r="BJ37" s="26"/>
    </row>
    <row r="38" spans="1:62" x14ac:dyDescent="0.35">
      <c r="A38" s="9168"/>
      <c r="B38" s="241"/>
      <c r="C38" s="639" t="s">
        <v>3334</v>
      </c>
      <c r="D38" s="197"/>
      <c r="F38" s="163"/>
      <c r="H38" s="242"/>
      <c r="I38" s="243"/>
      <c r="J38" s="64">
        <f>IF(H38=0,0,I38/H38)</f>
        <v>0</v>
      </c>
      <c r="L38" s="1172"/>
      <c r="M38" s="1352">
        <f>L38*J38</f>
        <v>0</v>
      </c>
      <c r="N38" s="1270"/>
      <c r="O38" s="612"/>
      <c r="P38" s="645"/>
      <c r="Q38" s="645"/>
      <c r="R38" s="1274"/>
      <c r="S38" s="1270"/>
      <c r="T38" s="1172"/>
      <c r="U38" s="645"/>
      <c r="V38" s="619"/>
      <c r="X38" s="612">
        <v>58</v>
      </c>
      <c r="Y38" s="1354">
        <f t="shared" si="11"/>
        <v>58</v>
      </c>
      <c r="Z38" s="645"/>
      <c r="AA38" s="1355">
        <f t="shared" si="12"/>
        <v>1</v>
      </c>
      <c r="AB38" s="1270"/>
      <c r="AC38" s="612">
        <f>106.8</f>
        <v>106.8</v>
      </c>
      <c r="AD38" s="645"/>
      <c r="AE38" s="614"/>
      <c r="AG38" s="612">
        <v>106.8</v>
      </c>
      <c r="AH38" s="1354">
        <f t="shared" ref="AH38" si="15">AG38</f>
        <v>106.8</v>
      </c>
      <c r="AI38" s="645"/>
      <c r="AJ38" s="1355">
        <f t="shared" si="13"/>
        <v>1</v>
      </c>
      <c r="AK38" s="1270"/>
      <c r="AL38" s="612">
        <v>83.5</v>
      </c>
      <c r="AM38" s="645"/>
      <c r="AN38" s="1360">
        <f>AL38*AJ38</f>
        <v>83.5</v>
      </c>
      <c r="AP38" s="26"/>
      <c r="AQ38" s="612">
        <f>13.5+70</f>
        <v>83.5</v>
      </c>
      <c r="AR38" s="1358">
        <f>4.06+47.192</f>
        <v>51.252000000000002</v>
      </c>
      <c r="AS38" s="1161" t="s">
        <v>3335</v>
      </c>
      <c r="AT38" s="7012">
        <f t="shared" si="9"/>
        <v>0.61379640718562878</v>
      </c>
      <c r="AU38" s="1270"/>
      <c r="AV38" s="612">
        <f>83.5+116.153789</f>
        <v>199.65378900000002</v>
      </c>
      <c r="AW38" s="1161" t="s">
        <v>3336</v>
      </c>
      <c r="AX38" s="624">
        <f t="shared" si="14"/>
        <v>122.54677836919763</v>
      </c>
      <c r="AY38" s="645"/>
      <c r="AZ38" s="613">
        <f>83.5+116.153789</f>
        <v>199.65378900000002</v>
      </c>
      <c r="BA38" s="8204">
        <f>4.060497+47.191719</f>
        <v>51.252215999999997</v>
      </c>
      <c r="BB38" s="1161"/>
      <c r="BC38" s="1356"/>
      <c r="BD38" s="1270"/>
      <c r="BE38" s="612">
        <f>66.68+91.895</f>
        <v>158.57499999999999</v>
      </c>
      <c r="BF38" s="1161" t="s">
        <v>3337</v>
      </c>
      <c r="BG38" s="8203">
        <f>3.071411+39.738492</f>
        <v>42.809902999999998</v>
      </c>
      <c r="BH38" s="1270"/>
      <c r="BI38" s="26"/>
      <c r="BJ38" s="26"/>
    </row>
    <row r="39" spans="1:62" x14ac:dyDescent="0.35">
      <c r="A39" s="9168"/>
      <c r="B39" s="141" t="s">
        <v>531</v>
      </c>
      <c r="C39"/>
      <c r="D39" s="197"/>
      <c r="E39" s="143"/>
      <c r="F39" s="168"/>
      <c r="G39" s="143"/>
      <c r="H39" s="245"/>
      <c r="I39" s="106"/>
      <c r="J39" s="246"/>
      <c r="K39" s="143"/>
      <c r="L39" s="1361"/>
      <c r="M39" s="1362"/>
      <c r="N39" s="1321"/>
      <c r="O39" s="1361"/>
      <c r="P39" s="645"/>
      <c r="Q39" s="645"/>
      <c r="R39" s="1363"/>
      <c r="S39" s="1321"/>
      <c r="T39" s="1361"/>
      <c r="U39" s="645"/>
      <c r="V39" s="619"/>
      <c r="W39" s="143"/>
      <c r="X39" s="1361"/>
      <c r="Y39" s="645"/>
      <c r="Z39" s="645"/>
      <c r="AA39" s="1363"/>
      <c r="AB39" s="1321"/>
      <c r="AC39" s="1361"/>
      <c r="AD39" s="645"/>
      <c r="AE39" s="619"/>
      <c r="AF39" s="143"/>
      <c r="AG39" s="1361"/>
      <c r="AH39" s="645"/>
      <c r="AI39" s="645"/>
      <c r="AJ39" s="1363"/>
      <c r="AK39" s="1321"/>
      <c r="AL39" s="1361"/>
      <c r="AM39" s="645"/>
      <c r="AN39" s="1344"/>
      <c r="AO39" s="143"/>
      <c r="AP39" s="18"/>
      <c r="AQ39" s="1361"/>
      <c r="AR39" s="645"/>
      <c r="AS39" s="1161"/>
      <c r="AT39" s="1363"/>
      <c r="AU39" s="1321"/>
      <c r="AV39" s="1361"/>
      <c r="AW39" s="645"/>
      <c r="AX39" s="1405"/>
      <c r="AY39" s="1354"/>
      <c r="AZ39" s="645"/>
      <c r="BA39" s="645"/>
      <c r="BB39" s="1161"/>
      <c r="BC39" s="1363"/>
      <c r="BD39" s="1321"/>
      <c r="BE39" s="1361"/>
      <c r="BF39" s="645"/>
      <c r="BG39" s="1359"/>
      <c r="BH39" s="1321"/>
      <c r="BI39" s="18"/>
      <c r="BJ39" s="18"/>
    </row>
    <row r="40" spans="1:62" x14ac:dyDescent="0.35">
      <c r="A40" s="9168"/>
      <c r="B40" s="240"/>
      <c r="C40" s="240" t="s">
        <v>532</v>
      </c>
      <c r="D40" s="197"/>
      <c r="F40" s="111"/>
      <c r="H40" s="112"/>
      <c r="I40" s="113"/>
      <c r="J40" s="64">
        <f>IF(H40=0,0,I40/H40)</f>
        <v>0</v>
      </c>
      <c r="L40" s="593"/>
      <c r="M40" s="1352">
        <f>L40*J40</f>
        <v>0</v>
      </c>
      <c r="N40" s="1270"/>
      <c r="O40" s="1353"/>
      <c r="P40" s="645"/>
      <c r="Q40" s="645"/>
      <c r="R40" s="1274"/>
      <c r="S40" s="1270"/>
      <c r="T40" s="593"/>
      <c r="U40" s="645"/>
      <c r="V40" s="619"/>
      <c r="X40" s="1353"/>
      <c r="Y40" s="624"/>
      <c r="Z40" s="645"/>
      <c r="AA40" s="1274"/>
      <c r="AB40" s="1270"/>
      <c r="AC40" s="1353"/>
      <c r="AD40" s="645"/>
      <c r="AE40" s="623"/>
      <c r="AG40" s="1353"/>
      <c r="AH40" s="624"/>
      <c r="AI40" s="645"/>
      <c r="AJ40" s="1274"/>
      <c r="AK40" s="1270"/>
      <c r="AL40" s="1353"/>
      <c r="AM40" s="645"/>
      <c r="AN40" s="1357"/>
      <c r="AP40" s="26"/>
      <c r="AQ40" s="1353"/>
      <c r="AR40" s="624"/>
      <c r="AS40" s="645"/>
      <c r="AT40" s="7013"/>
      <c r="AU40" s="1270"/>
      <c r="AV40" s="1353"/>
      <c r="AW40" s="645"/>
      <c r="AX40" s="8211"/>
      <c r="AY40" s="1354"/>
      <c r="AZ40" s="624"/>
      <c r="BA40" s="624"/>
      <c r="BB40" s="645"/>
      <c r="BC40" s="1274"/>
      <c r="BD40" s="1270"/>
      <c r="BE40" s="1353"/>
      <c r="BF40" s="645"/>
      <c r="BG40" s="1374"/>
      <c r="BH40" s="1270"/>
      <c r="BI40" s="26"/>
      <c r="BJ40" s="26"/>
    </row>
    <row r="41" spans="1:62" x14ac:dyDescent="0.35">
      <c r="A41" s="9168"/>
      <c r="B41" s="240"/>
      <c r="C41" s="240" t="s">
        <v>533</v>
      </c>
      <c r="D41" s="197"/>
      <c r="F41" s="155"/>
      <c r="H41" s="117"/>
      <c r="I41" s="115"/>
      <c r="J41" s="64">
        <f>IF(H41=0,0,I41/H41)</f>
        <v>0</v>
      </c>
      <c r="L41" s="595"/>
      <c r="M41" s="1352">
        <f>L41*J41</f>
        <v>0</v>
      </c>
      <c r="N41" s="1270"/>
      <c r="O41" s="1154"/>
      <c r="P41" s="645"/>
      <c r="Q41" s="645"/>
      <c r="R41" s="1274"/>
      <c r="S41" s="1270"/>
      <c r="T41" s="595"/>
      <c r="U41" s="645"/>
      <c r="V41" s="619"/>
      <c r="X41" s="1154"/>
      <c r="Y41" s="624"/>
      <c r="Z41" s="645"/>
      <c r="AA41" s="1274"/>
      <c r="AB41" s="1270"/>
      <c r="AC41" s="1154"/>
      <c r="AD41" s="645"/>
      <c r="AE41" s="608"/>
      <c r="AG41" s="1154"/>
      <c r="AH41" s="624"/>
      <c r="AI41" s="645"/>
      <c r="AJ41" s="1274"/>
      <c r="AK41" s="1270"/>
      <c r="AL41" s="1154"/>
      <c r="AM41" s="645"/>
      <c r="AN41" s="1359"/>
      <c r="AP41" s="26"/>
      <c r="AQ41" s="1154"/>
      <c r="AR41" s="624"/>
      <c r="AS41" s="645"/>
      <c r="AT41" s="7013"/>
      <c r="AU41" s="1270"/>
      <c r="AV41" s="1154"/>
      <c r="AW41" s="645"/>
      <c r="AX41" s="1405"/>
      <c r="AY41" s="1354"/>
      <c r="AZ41" s="609"/>
      <c r="BA41" s="624"/>
      <c r="BB41" s="645"/>
      <c r="BC41" s="1274"/>
      <c r="BD41" s="1270"/>
      <c r="BE41" s="1154"/>
      <c r="BF41" s="645"/>
      <c r="BG41" s="1359"/>
      <c r="BH41" s="1270"/>
      <c r="BI41" s="26"/>
      <c r="BJ41" s="26"/>
    </row>
    <row r="42" spans="1:62" x14ac:dyDescent="0.35">
      <c r="A42" s="9168"/>
      <c r="B42" s="250"/>
      <c r="C42" s="250" t="s">
        <v>534</v>
      </c>
      <c r="D42" s="209"/>
      <c r="F42" s="130"/>
      <c r="H42" s="242"/>
      <c r="I42" s="243"/>
      <c r="J42" s="64">
        <f>IF(H42=0,0,I42/H42)</f>
        <v>0</v>
      </c>
      <c r="L42" s="602"/>
      <c r="M42" s="1364">
        <f>L42*J42</f>
        <v>0</v>
      </c>
      <c r="N42" s="1270"/>
      <c r="O42" s="1156"/>
      <c r="P42" s="1200"/>
      <c r="Q42" s="1200"/>
      <c r="R42" s="1313"/>
      <c r="S42" s="1270"/>
      <c r="T42" s="602"/>
      <c r="U42" s="1200"/>
      <c r="V42" s="628"/>
      <c r="X42" s="1156"/>
      <c r="Y42" s="605"/>
      <c r="Z42" s="1200"/>
      <c r="AA42" s="1313"/>
      <c r="AB42" s="1270"/>
      <c r="AC42" s="1156"/>
      <c r="AD42" s="1200"/>
      <c r="AE42" s="604"/>
      <c r="AG42" s="1156"/>
      <c r="AH42" s="605"/>
      <c r="AI42" s="1200"/>
      <c r="AJ42" s="1313"/>
      <c r="AK42" s="1270"/>
      <c r="AL42" s="1156"/>
      <c r="AM42" s="1200"/>
      <c r="AN42" s="1365"/>
      <c r="AP42" s="24"/>
      <c r="AQ42" s="1156"/>
      <c r="AR42" s="605"/>
      <c r="AS42" s="1200"/>
      <c r="AT42" s="7014"/>
      <c r="AU42" s="1270"/>
      <c r="AV42" s="1156"/>
      <c r="AW42" s="1200"/>
      <c r="AX42" s="1157"/>
      <c r="AY42" s="645"/>
      <c r="AZ42" s="605"/>
      <c r="BA42" s="605"/>
      <c r="BB42" s="1200"/>
      <c r="BC42" s="1313"/>
      <c r="BD42" s="1270"/>
      <c r="BE42" s="1156"/>
      <c r="BF42" s="1200"/>
      <c r="BG42" s="1365"/>
      <c r="BH42" s="1270"/>
      <c r="BI42" s="24"/>
      <c r="BJ42" s="24"/>
    </row>
    <row r="43" spans="1:62" x14ac:dyDescent="0.35">
      <c r="A43" s="9168"/>
      <c r="B43" s="141" t="s">
        <v>535</v>
      </c>
      <c r="C43" s="141"/>
      <c r="D43" s="197"/>
      <c r="E43" s="143"/>
      <c r="F43" s="227"/>
      <c r="G43" s="143"/>
      <c r="H43" s="102"/>
      <c r="I43" s="103"/>
      <c r="J43" s="252"/>
      <c r="K43" s="143"/>
      <c r="L43" s="1361"/>
      <c r="M43" s="1362"/>
      <c r="N43" s="1321"/>
      <c r="O43" s="1366"/>
      <c r="P43" s="645"/>
      <c r="Q43" s="645"/>
      <c r="R43" s="1367"/>
      <c r="S43" s="1321"/>
      <c r="T43" s="1368"/>
      <c r="U43" s="645"/>
      <c r="V43" s="1369"/>
      <c r="W43" s="143"/>
      <c r="X43" s="1366"/>
      <c r="Y43" s="645"/>
      <c r="Z43" s="645"/>
      <c r="AA43" s="1367"/>
      <c r="AB43" s="1321"/>
      <c r="AC43" s="1368"/>
      <c r="AD43" s="645"/>
      <c r="AE43" s="1370"/>
      <c r="AF43" s="143"/>
      <c r="AG43" s="1368"/>
      <c r="AH43" s="645"/>
      <c r="AI43" s="645"/>
      <c r="AJ43" s="1367"/>
      <c r="AK43" s="1321"/>
      <c r="AL43" s="1368"/>
      <c r="AM43" s="645"/>
      <c r="AN43" s="1370"/>
      <c r="AO43" s="143"/>
      <c r="AP43" s="26"/>
      <c r="AQ43" s="1368"/>
      <c r="AR43" s="645"/>
      <c r="AS43" s="645"/>
      <c r="AT43" s="7015"/>
      <c r="AU43" s="1321"/>
      <c r="AV43" s="1368"/>
      <c r="AW43" s="645"/>
      <c r="AX43" s="1427"/>
      <c r="AY43" s="1161"/>
      <c r="AZ43" s="1427"/>
      <c r="BA43" s="645"/>
      <c r="BB43" s="645"/>
      <c r="BC43" s="1367"/>
      <c r="BD43" s="1321"/>
      <c r="BE43" s="1368"/>
      <c r="BF43" s="645"/>
      <c r="BG43" s="1370"/>
      <c r="BH43" s="1321"/>
      <c r="BI43" s="26"/>
      <c r="BJ43" s="26"/>
    </row>
    <row r="44" spans="1:62" ht="24.75" customHeight="1" x14ac:dyDescent="0.35">
      <c r="A44" s="9168"/>
      <c r="B44" s="240"/>
      <c r="C44" s="240" t="s">
        <v>532</v>
      </c>
      <c r="D44" s="197"/>
      <c r="F44" s="111"/>
      <c r="H44" s="112"/>
      <c r="I44" s="113"/>
      <c r="J44" s="64">
        <f t="shared" ref="J44:J50" si="16">IF(H44=0,0,I44/H44)</f>
        <v>0</v>
      </c>
      <c r="L44" s="593"/>
      <c r="M44" s="1352">
        <f t="shared" ref="M44:M50" si="17">L44*J44</f>
        <v>0</v>
      </c>
      <c r="N44" s="1270"/>
      <c r="O44" s="1154"/>
      <c r="P44" s="645"/>
      <c r="Q44" s="1161"/>
      <c r="R44" s="1274"/>
      <c r="S44" s="1270"/>
      <c r="T44" s="593"/>
      <c r="U44" s="1161"/>
      <c r="V44" s="1371"/>
      <c r="X44" s="1154"/>
      <c r="Y44" s="624"/>
      <c r="Z44" s="1161"/>
      <c r="AA44" s="1274"/>
      <c r="AB44" s="1270"/>
      <c r="AC44" s="1353"/>
      <c r="AD44" s="1161"/>
      <c r="AE44" s="623"/>
      <c r="AG44" s="1353"/>
      <c r="AH44" s="624"/>
      <c r="AI44" s="1161"/>
      <c r="AJ44" s="1274"/>
      <c r="AK44" s="1270"/>
      <c r="AL44" s="1353"/>
      <c r="AM44" s="1161"/>
      <c r="AN44" s="623"/>
      <c r="AP44" s="257"/>
      <c r="AQ44" s="1353"/>
      <c r="AR44" s="624"/>
      <c r="AS44" s="1161"/>
      <c r="AT44" s="7013"/>
      <c r="AU44" s="1270"/>
      <c r="AV44" s="1353"/>
      <c r="AW44" s="1161"/>
      <c r="AX44" s="624"/>
      <c r="AY44" s="645"/>
      <c r="AZ44" s="624"/>
      <c r="BA44" s="624"/>
      <c r="BB44" s="1161"/>
      <c r="BC44" s="1274"/>
      <c r="BD44" s="1270"/>
      <c r="BE44" s="1353"/>
      <c r="BF44" s="1161"/>
      <c r="BG44" s="623"/>
      <c r="BH44" s="1270"/>
      <c r="BI44" s="257"/>
      <c r="BJ44" s="257"/>
    </row>
    <row r="45" spans="1:62" x14ac:dyDescent="0.35">
      <c r="A45" s="9168"/>
      <c r="B45" s="240"/>
      <c r="C45" s="240" t="s">
        <v>533</v>
      </c>
      <c r="D45" s="197"/>
      <c r="F45" s="155"/>
      <c r="H45" s="117"/>
      <c r="I45" s="115"/>
      <c r="J45" s="64">
        <f t="shared" si="16"/>
        <v>0</v>
      </c>
      <c r="L45" s="595"/>
      <c r="M45" s="1352">
        <f t="shared" si="17"/>
        <v>0</v>
      </c>
      <c r="N45" s="1270"/>
      <c r="O45" s="1154"/>
      <c r="P45" s="645"/>
      <c r="Q45" s="1161"/>
      <c r="R45" s="1274"/>
      <c r="S45" s="1270"/>
      <c r="T45" s="593"/>
      <c r="U45" s="1161"/>
      <c r="V45" s="1352"/>
      <c r="X45" s="1154"/>
      <c r="Y45" s="624"/>
      <c r="Z45" s="1161"/>
      <c r="AA45" s="1274"/>
      <c r="AB45" s="1270"/>
      <c r="AC45" s="1353"/>
      <c r="AD45" s="1161"/>
      <c r="AE45" s="623"/>
      <c r="AG45" s="1353"/>
      <c r="AH45" s="624"/>
      <c r="AI45" s="1161"/>
      <c r="AJ45" s="1274"/>
      <c r="AK45" s="1270"/>
      <c r="AL45" s="1353"/>
      <c r="AM45" s="1161"/>
      <c r="AN45" s="623"/>
      <c r="AP45" s="26"/>
      <c r="AQ45" s="1353"/>
      <c r="AR45" s="624"/>
      <c r="AS45" s="1161"/>
      <c r="AT45" s="7013"/>
      <c r="AU45" s="1270"/>
      <c r="AV45" s="1353"/>
      <c r="AW45" s="1161"/>
      <c r="AX45" s="624"/>
      <c r="AY45" s="645"/>
      <c r="AZ45" s="624"/>
      <c r="BA45" s="624"/>
      <c r="BB45" s="1161"/>
      <c r="BC45" s="1274"/>
      <c r="BD45" s="1270"/>
      <c r="BE45" s="1353"/>
      <c r="BF45" s="1161"/>
      <c r="BG45" s="623"/>
      <c r="BH45" s="1270"/>
      <c r="BI45" s="26"/>
      <c r="BJ45" s="26"/>
    </row>
    <row r="46" spans="1:62" x14ac:dyDescent="0.35">
      <c r="A46" s="9168"/>
      <c r="B46" s="240"/>
      <c r="C46" s="240" t="s">
        <v>534</v>
      </c>
      <c r="D46" s="197"/>
      <c r="F46" s="155"/>
      <c r="H46" s="117"/>
      <c r="I46" s="115"/>
      <c r="J46" s="64">
        <f t="shared" si="16"/>
        <v>0</v>
      </c>
      <c r="L46" s="595"/>
      <c r="M46" s="1352">
        <f t="shared" si="17"/>
        <v>0</v>
      </c>
      <c r="N46" s="1270"/>
      <c r="O46" s="1154"/>
      <c r="P46" s="645"/>
      <c r="Q46" s="1161"/>
      <c r="R46" s="1274"/>
      <c r="S46" s="1270"/>
      <c r="T46" s="593"/>
      <c r="U46" s="1161"/>
      <c r="V46" s="1352"/>
      <c r="X46" s="1154"/>
      <c r="Y46" s="624"/>
      <c r="Z46" s="1161"/>
      <c r="AA46" s="1274"/>
      <c r="AB46" s="1270"/>
      <c r="AC46" s="1353"/>
      <c r="AD46" s="1161"/>
      <c r="AE46" s="623"/>
      <c r="AG46" s="1353"/>
      <c r="AH46" s="624"/>
      <c r="AI46" s="1161"/>
      <c r="AJ46" s="1274"/>
      <c r="AK46" s="1270"/>
      <c r="AL46" s="1353"/>
      <c r="AM46" s="1161"/>
      <c r="AN46" s="623"/>
      <c r="AP46" s="26"/>
      <c r="AQ46" s="1353"/>
      <c r="AR46" s="624"/>
      <c r="AS46" s="1161"/>
      <c r="AT46" s="7013"/>
      <c r="AU46" s="1270"/>
      <c r="AV46" s="1353"/>
      <c r="AW46" s="1161"/>
      <c r="AX46" s="624"/>
      <c r="AY46" s="645"/>
      <c r="AZ46" s="624"/>
      <c r="BA46" s="624"/>
      <c r="BB46" s="1161"/>
      <c r="BC46" s="1274"/>
      <c r="BD46" s="1270"/>
      <c r="BE46" s="1353"/>
      <c r="BF46" s="1161"/>
      <c r="BG46" s="623"/>
      <c r="BH46" s="1270"/>
      <c r="BI46" s="26"/>
      <c r="BJ46" s="26"/>
    </row>
    <row r="47" spans="1:62" x14ac:dyDescent="0.35">
      <c r="A47" s="9168"/>
      <c r="B47" s="240"/>
      <c r="C47" s="240" t="s">
        <v>536</v>
      </c>
      <c r="D47" s="197"/>
      <c r="F47" s="155"/>
      <c r="H47" s="117"/>
      <c r="I47" s="115"/>
      <c r="J47" s="64">
        <f t="shared" si="16"/>
        <v>0</v>
      </c>
      <c r="L47" s="595"/>
      <c r="M47" s="1352">
        <f t="shared" si="17"/>
        <v>0</v>
      </c>
      <c r="N47" s="1270"/>
      <c r="O47" s="1154"/>
      <c r="P47" s="645"/>
      <c r="Q47" s="1161"/>
      <c r="R47" s="1274"/>
      <c r="S47" s="1270"/>
      <c r="T47" s="593"/>
      <c r="U47" s="1161"/>
      <c r="V47" s="1352"/>
      <c r="X47" s="1154"/>
      <c r="Y47" s="624"/>
      <c r="Z47" s="1161"/>
      <c r="AA47" s="1274"/>
      <c r="AB47" s="1270"/>
      <c r="AC47" s="1353"/>
      <c r="AD47" s="1161"/>
      <c r="AE47" s="623"/>
      <c r="AG47" s="1353"/>
      <c r="AH47" s="624"/>
      <c r="AI47" s="1161"/>
      <c r="AJ47" s="1274"/>
      <c r="AK47" s="1270"/>
      <c r="AL47" s="1353"/>
      <c r="AM47" s="1161"/>
      <c r="AN47" s="623"/>
      <c r="AP47" s="26"/>
      <c r="AQ47" s="1353"/>
      <c r="AR47" s="624"/>
      <c r="AS47" s="1161"/>
      <c r="AT47" s="7013"/>
      <c r="AU47" s="1270"/>
      <c r="AV47" s="1353"/>
      <c r="AW47" s="1161"/>
      <c r="AX47" s="624"/>
      <c r="AY47" s="645"/>
      <c r="AZ47" s="624"/>
      <c r="BA47" s="624"/>
      <c r="BB47" s="1161"/>
      <c r="BC47" s="1274"/>
      <c r="BD47" s="1270"/>
      <c r="BE47" s="1353"/>
      <c r="BF47" s="1161"/>
      <c r="BG47" s="623"/>
      <c r="BH47" s="1270"/>
      <c r="BI47" s="26"/>
      <c r="BJ47" s="26"/>
    </row>
    <row r="48" spans="1:62" x14ac:dyDescent="0.35">
      <c r="A48" s="9168"/>
      <c r="B48" s="240"/>
      <c r="C48" s="240" t="s">
        <v>537</v>
      </c>
      <c r="D48" s="197"/>
      <c r="F48" s="155"/>
      <c r="H48" s="117"/>
      <c r="I48" s="115"/>
      <c r="J48" s="64">
        <f t="shared" si="16"/>
        <v>0</v>
      </c>
      <c r="L48" s="595"/>
      <c r="M48" s="1352">
        <f t="shared" si="17"/>
        <v>0</v>
      </c>
      <c r="N48" s="1270"/>
      <c r="O48" s="612"/>
      <c r="P48" s="645"/>
      <c r="Q48" s="1161"/>
      <c r="R48" s="1274"/>
      <c r="S48" s="1270"/>
      <c r="T48" s="593"/>
      <c r="U48" s="1161"/>
      <c r="V48" s="1371"/>
      <c r="X48" s="612"/>
      <c r="Y48" s="624"/>
      <c r="Z48" s="1161"/>
      <c r="AA48" s="1274"/>
      <c r="AB48" s="1270"/>
      <c r="AC48" s="1353"/>
      <c r="AD48" s="1161"/>
      <c r="AE48" s="623"/>
      <c r="AG48" s="1353"/>
      <c r="AH48" s="624"/>
      <c r="AI48" s="1161"/>
      <c r="AJ48" s="1274"/>
      <c r="AK48" s="1270"/>
      <c r="AL48" s="1353"/>
      <c r="AM48" s="1161"/>
      <c r="AN48" s="623"/>
      <c r="AP48" s="26"/>
      <c r="AQ48" s="1353"/>
      <c r="AR48" s="624"/>
      <c r="AS48" s="1161"/>
      <c r="AT48" s="7013"/>
      <c r="AU48" s="1270"/>
      <c r="AV48" s="1353"/>
      <c r="AW48" s="1161"/>
      <c r="AX48" s="624"/>
      <c r="AY48" s="645"/>
      <c r="AZ48" s="624"/>
      <c r="BA48" s="624"/>
      <c r="BB48" s="1161"/>
      <c r="BC48" s="1274"/>
      <c r="BD48" s="1270"/>
      <c r="BE48" s="1353"/>
      <c r="BF48" s="1161"/>
      <c r="BG48" s="623"/>
      <c r="BH48" s="1270"/>
      <c r="BI48" s="26"/>
      <c r="BJ48" s="26"/>
    </row>
    <row r="49" spans="1:62" x14ac:dyDescent="0.35">
      <c r="A49" s="9168"/>
      <c r="B49" s="240"/>
      <c r="C49" s="240" t="s">
        <v>538</v>
      </c>
      <c r="D49" s="197"/>
      <c r="F49" s="155"/>
      <c r="H49" s="117"/>
      <c r="I49" s="115"/>
      <c r="J49" s="64">
        <f t="shared" si="16"/>
        <v>0</v>
      </c>
      <c r="L49" s="595"/>
      <c r="M49" s="1352">
        <f t="shared" si="17"/>
        <v>0</v>
      </c>
      <c r="N49" s="1270"/>
      <c r="O49" s="612"/>
      <c r="P49" s="645"/>
      <c r="Q49" s="1161"/>
      <c r="R49" s="1274"/>
      <c r="S49" s="1270"/>
      <c r="T49" s="1372"/>
      <c r="U49" s="645"/>
      <c r="V49" s="1352"/>
      <c r="X49" s="612"/>
      <c r="Y49" s="624"/>
      <c r="Z49" s="1161"/>
      <c r="AA49" s="1274"/>
      <c r="AB49" s="1270"/>
      <c r="AC49" s="1373"/>
      <c r="AD49" s="645"/>
      <c r="AE49" s="1374"/>
      <c r="AG49" s="1373"/>
      <c r="AH49" s="624"/>
      <c r="AI49" s="645"/>
      <c r="AJ49" s="1274"/>
      <c r="AK49" s="1270"/>
      <c r="AL49" s="1373"/>
      <c r="AM49" s="645"/>
      <c r="AN49" s="1374"/>
      <c r="AP49" s="26"/>
      <c r="AQ49" s="1373"/>
      <c r="AR49" s="624"/>
      <c r="AS49" s="645"/>
      <c r="AT49" s="7013"/>
      <c r="AU49" s="1270"/>
      <c r="AV49" s="1373"/>
      <c r="AW49" s="645"/>
      <c r="AX49" s="8211"/>
      <c r="AY49" s="1354"/>
      <c r="AZ49" s="8211"/>
      <c r="BA49" s="624"/>
      <c r="BB49" s="645"/>
      <c r="BC49" s="1274"/>
      <c r="BD49" s="1270"/>
      <c r="BE49" s="1373"/>
      <c r="BF49" s="645"/>
      <c r="BG49" s="1374"/>
      <c r="BH49" s="1270"/>
      <c r="BI49" s="26"/>
      <c r="BJ49" s="26"/>
    </row>
    <row r="50" spans="1:62" x14ac:dyDescent="0.35">
      <c r="A50" s="9168"/>
      <c r="B50" s="241"/>
      <c r="C50" s="241" t="s">
        <v>539</v>
      </c>
      <c r="D50" s="209"/>
      <c r="F50" s="130"/>
      <c r="H50" s="131"/>
      <c r="I50" s="132"/>
      <c r="J50" s="133">
        <f t="shared" si="16"/>
        <v>0</v>
      </c>
      <c r="L50" s="1172"/>
      <c r="M50" s="1352">
        <f t="shared" si="17"/>
        <v>0</v>
      </c>
      <c r="N50" s="1270"/>
      <c r="O50" s="612"/>
      <c r="P50" s="645"/>
      <c r="Q50" s="645"/>
      <c r="R50" s="1274"/>
      <c r="S50" s="1270"/>
      <c r="T50" s="1172"/>
      <c r="U50" s="1200"/>
      <c r="V50" s="1352"/>
      <c r="X50" s="612"/>
      <c r="Y50" s="624"/>
      <c r="Z50" s="645"/>
      <c r="AA50" s="1274"/>
      <c r="AB50" s="1270"/>
      <c r="AC50" s="612"/>
      <c r="AD50" s="1200"/>
      <c r="AE50" s="614"/>
      <c r="AG50" s="612"/>
      <c r="AH50" s="624"/>
      <c r="AI50" s="1200"/>
      <c r="AJ50" s="1274"/>
      <c r="AK50" s="1270"/>
      <c r="AL50" s="612"/>
      <c r="AM50" s="1200"/>
      <c r="AN50" s="614"/>
      <c r="AP50" s="26"/>
      <c r="AQ50" s="612"/>
      <c r="AR50" s="624"/>
      <c r="AS50" s="1200"/>
      <c r="AT50" s="7013"/>
      <c r="AU50" s="1270"/>
      <c r="AV50" s="612"/>
      <c r="AW50" s="1200"/>
      <c r="AX50" s="613"/>
      <c r="AY50" s="645"/>
      <c r="AZ50" s="613"/>
      <c r="BA50" s="624"/>
      <c r="BB50" s="1200"/>
      <c r="BC50" s="1274"/>
      <c r="BD50" s="1270"/>
      <c r="BE50" s="612"/>
      <c r="BF50" s="1200"/>
      <c r="BG50" s="614"/>
      <c r="BH50" s="1270"/>
      <c r="BI50" s="26"/>
      <c r="BJ50" s="26"/>
    </row>
    <row r="51" spans="1:62" x14ac:dyDescent="0.35">
      <c r="A51" s="9168"/>
      <c r="B51" s="271" t="s">
        <v>540</v>
      </c>
      <c r="C51" s="271"/>
      <c r="D51" s="184"/>
      <c r="E51" s="141"/>
      <c r="F51" s="227"/>
      <c r="G51" s="141"/>
      <c r="H51" s="245"/>
      <c r="I51" s="106"/>
      <c r="J51" s="267"/>
      <c r="K51" s="141"/>
      <c r="L51" s="1375"/>
      <c r="M51" s="1317"/>
      <c r="N51" s="1319"/>
      <c r="O51" s="1375"/>
      <c r="P51" s="653"/>
      <c r="Q51" s="653"/>
      <c r="R51" s="1376"/>
      <c r="S51" s="1319"/>
      <c r="T51" s="1375"/>
      <c r="U51" s="645"/>
      <c r="V51" s="1317"/>
      <c r="W51" s="141"/>
      <c r="X51" s="1375"/>
      <c r="Y51" s="653"/>
      <c r="Z51" s="653"/>
      <c r="AA51" s="1376"/>
      <c r="AB51" s="1319"/>
      <c r="AC51" s="1375"/>
      <c r="AD51" s="645"/>
      <c r="AE51" s="1377"/>
      <c r="AF51" s="141"/>
      <c r="AG51" s="1375"/>
      <c r="AH51" s="653"/>
      <c r="AI51" s="645"/>
      <c r="AJ51" s="1376"/>
      <c r="AK51" s="1319"/>
      <c r="AL51" s="1375"/>
      <c r="AM51" s="645"/>
      <c r="AN51" s="1377"/>
      <c r="AO51" s="141"/>
      <c r="AP51" s="18"/>
      <c r="AQ51" s="1425" t="s">
        <v>3338</v>
      </c>
      <c r="AR51" s="7016" t="s">
        <v>3339</v>
      </c>
      <c r="AS51" s="645"/>
      <c r="AT51" s="7017"/>
      <c r="AU51" s="1319"/>
      <c r="AV51" s="1375"/>
      <c r="AW51" s="645"/>
      <c r="AX51" s="8221" t="s">
        <v>3340</v>
      </c>
      <c r="AY51" s="4040"/>
      <c r="AZ51" s="1425" t="s">
        <v>3341</v>
      </c>
      <c r="BA51" s="7016" t="s">
        <v>3342</v>
      </c>
      <c r="BB51" s="645"/>
      <c r="BC51" s="1376"/>
      <c r="BD51" s="1319"/>
      <c r="BE51" s="1375"/>
      <c r="BF51" s="645"/>
      <c r="BG51" s="8205" t="s">
        <v>3343</v>
      </c>
      <c r="BH51" s="1319"/>
      <c r="BI51" s="18"/>
      <c r="BJ51" s="18"/>
    </row>
    <row r="52" spans="1:62" x14ac:dyDescent="0.35">
      <c r="A52" s="9168"/>
      <c r="B52" s="240"/>
      <c r="C52" s="240" t="s">
        <v>532</v>
      </c>
      <c r="D52" s="197"/>
      <c r="F52" s="111">
        <v>1103.7</v>
      </c>
      <c r="H52" s="112">
        <v>1477.684</v>
      </c>
      <c r="I52" s="1351">
        <f>H52</f>
        <v>1477.684</v>
      </c>
      <c r="J52" s="64">
        <f>IF(H52=0,0,I52/H52)</f>
        <v>1</v>
      </c>
      <c r="L52" s="1372">
        <f>I52*L35/I35</f>
        <v>1658.2074162484143</v>
      </c>
      <c r="M52" s="1352">
        <f>L52*J52</f>
        <v>1658.2074162484143</v>
      </c>
      <c r="N52" s="1270"/>
      <c r="O52" s="1373">
        <f>O35*H52/H35</f>
        <v>1658.2074162484143</v>
      </c>
      <c r="P52" s="1354">
        <f>O52</f>
        <v>1658.2074162484143</v>
      </c>
      <c r="Q52" s="645"/>
      <c r="R52" s="1355">
        <f>P52/O52</f>
        <v>1</v>
      </c>
      <c r="S52" s="1270"/>
      <c r="T52" s="1372">
        <f>T35*H52/H35</f>
        <v>1754.3779043626939</v>
      </c>
      <c r="U52" s="645"/>
      <c r="V52" s="1371">
        <f>T52</f>
        <v>1754.3779043626939</v>
      </c>
      <c r="X52" s="1378">
        <f>Y52*X35/Y35</f>
        <v>1656.9619914157295</v>
      </c>
      <c r="Y52" s="624">
        <v>1671.34105</v>
      </c>
      <c r="Z52" s="1270" t="s">
        <v>3344</v>
      </c>
      <c r="AA52" s="1355"/>
      <c r="AB52" s="1270"/>
      <c r="AC52" s="1378">
        <f>AE52*AC35/AE35</f>
        <v>1756.4875299511305</v>
      </c>
      <c r="AD52" s="1270" t="s">
        <v>3345</v>
      </c>
      <c r="AE52" s="623">
        <f>1747.923045+3.017297+0.832483</f>
        <v>1751.772825</v>
      </c>
      <c r="AG52" s="1378">
        <f>AH52*AG35/AH35</f>
        <v>1756.5315999730126</v>
      </c>
      <c r="AH52" s="624">
        <f>1747.923+3.017957+0.862483</f>
        <v>1751.8034400000001</v>
      </c>
      <c r="AI52" s="1270" t="s">
        <v>3345</v>
      </c>
      <c r="AJ52" s="1355">
        <f t="shared" ref="AJ52" si="18">AH52/AG52</f>
        <v>0.99730824086905978</v>
      </c>
      <c r="AK52" s="1270"/>
      <c r="AL52" s="1353">
        <f>1795.756923+6.077</f>
        <v>1801.8339229999999</v>
      </c>
      <c r="AM52" s="1270" t="s">
        <v>3345</v>
      </c>
      <c r="AN52" s="1357">
        <f>AL52*AJ52</f>
        <v>1796.9838200853269</v>
      </c>
      <c r="AP52" s="26"/>
      <c r="AQ52" s="1353">
        <v>1816.8339229999999</v>
      </c>
      <c r="AR52" s="624">
        <v>1812.9158339999999</v>
      </c>
      <c r="AS52" s="1161"/>
      <c r="AT52" s="7018">
        <f>AR52/AQ52</f>
        <v>0.99784345230986748</v>
      </c>
      <c r="AU52" s="1270"/>
      <c r="AV52" s="1353">
        <v>1972.6384929999999</v>
      </c>
      <c r="AW52" s="1270"/>
      <c r="AX52" s="624">
        <f>AT52*AV52</f>
        <v>1968.3844040144543</v>
      </c>
      <c r="AY52" s="645"/>
      <c r="AZ52" s="624">
        <v>1972.6384929999999</v>
      </c>
      <c r="BA52" s="624">
        <v>1949.5714780000001</v>
      </c>
      <c r="BB52" s="1161"/>
      <c r="BC52" s="1355">
        <f>BA52/AZ52</f>
        <v>0.98830651683932247</v>
      </c>
      <c r="BD52" s="1270"/>
      <c r="BE52" s="1353">
        <v>2019.035844</v>
      </c>
      <c r="BF52" s="1161" t="s">
        <v>1848</v>
      </c>
      <c r="BG52" s="1357">
        <f>BE52*BG35/BE35</f>
        <v>2018.0339447308697</v>
      </c>
      <c r="BH52" s="1270"/>
      <c r="BI52" s="26" t="s">
        <v>3346</v>
      </c>
      <c r="BJ52" s="26" t="s">
        <v>3346</v>
      </c>
    </row>
    <row r="53" spans="1:62" x14ac:dyDescent="0.35">
      <c r="A53" s="9168"/>
      <c r="B53" s="240"/>
      <c r="C53" s="240" t="s">
        <v>533</v>
      </c>
      <c r="D53" s="197"/>
      <c r="F53" s="155"/>
      <c r="H53" s="117"/>
      <c r="I53" s="115"/>
      <c r="J53" s="64">
        <f>IF(H53=0,0,I53/H53)</f>
        <v>0</v>
      </c>
      <c r="L53" s="595"/>
      <c r="M53" s="1352">
        <f>L53*J53</f>
        <v>0</v>
      </c>
      <c r="N53" s="1270"/>
      <c r="O53" s="1353"/>
      <c r="P53" s="645"/>
      <c r="Q53" s="645"/>
      <c r="R53" s="1274"/>
      <c r="S53" s="1270"/>
      <c r="T53" s="595"/>
      <c r="U53" s="645"/>
      <c r="V53" s="1352"/>
      <c r="X53" s="1353"/>
      <c r="Y53" s="624"/>
      <c r="Z53" s="645"/>
      <c r="AA53" s="1274"/>
      <c r="AB53" s="1270"/>
      <c r="AC53" s="1154"/>
      <c r="AD53" s="645"/>
      <c r="AE53" s="608"/>
      <c r="AG53" s="1154"/>
      <c r="AH53" s="624"/>
      <c r="AI53" s="645"/>
      <c r="AJ53" s="1274"/>
      <c r="AK53" s="1270"/>
      <c r="AL53" s="1154"/>
      <c r="AM53" s="645"/>
      <c r="AN53" s="1359"/>
      <c r="AP53" s="26"/>
      <c r="AQ53" s="1154"/>
      <c r="AR53" s="624"/>
      <c r="AS53" s="645"/>
      <c r="AT53" s="7013"/>
      <c r="AU53" s="1270"/>
      <c r="AV53" s="1154"/>
      <c r="AW53" s="645"/>
      <c r="AX53" s="624"/>
      <c r="AY53" s="645"/>
      <c r="AZ53" s="609"/>
      <c r="BA53" s="624"/>
      <c r="BB53" s="645"/>
      <c r="BC53" s="1274"/>
      <c r="BD53" s="1270"/>
      <c r="BE53" s="1154"/>
      <c r="BF53" s="645"/>
      <c r="BG53" s="623"/>
      <c r="BH53" s="1270"/>
      <c r="BI53" s="26"/>
      <c r="BJ53" s="26"/>
    </row>
    <row r="54" spans="1:62" x14ac:dyDescent="0.35">
      <c r="A54" s="9168"/>
      <c r="B54" s="240"/>
      <c r="C54" s="240" t="s">
        <v>534</v>
      </c>
      <c r="D54" s="197"/>
      <c r="F54" s="163"/>
      <c r="H54" s="242"/>
      <c r="I54" s="243"/>
      <c r="J54" s="64">
        <f>IF(H54=0,0,I54/H54)</f>
        <v>0</v>
      </c>
      <c r="L54" s="1172"/>
      <c r="M54" s="1352">
        <f>L54*J54</f>
        <v>0</v>
      </c>
      <c r="N54" s="1270"/>
      <c r="O54" s="1353"/>
      <c r="P54" s="645"/>
      <c r="Q54" s="645"/>
      <c r="R54" s="1274"/>
      <c r="S54" s="1270"/>
      <c r="T54" s="1172"/>
      <c r="U54" s="645"/>
      <c r="V54" s="1352"/>
      <c r="X54" s="1353"/>
      <c r="Y54" s="624"/>
      <c r="AA54" s="1274"/>
      <c r="AB54" s="1270"/>
      <c r="AC54" s="612"/>
      <c r="AD54" s="645"/>
      <c r="AE54" s="614"/>
      <c r="AG54" s="612"/>
      <c r="AH54" s="624"/>
      <c r="AI54" s="645"/>
      <c r="AJ54" s="1274"/>
      <c r="AK54" s="1270"/>
      <c r="AL54" s="612"/>
      <c r="AM54" s="645"/>
      <c r="AN54" s="1360"/>
      <c r="AP54" s="26"/>
      <c r="AQ54" s="612"/>
      <c r="AR54" s="624"/>
      <c r="AS54" s="645"/>
      <c r="AT54" s="7013"/>
      <c r="AU54" s="1270"/>
      <c r="AV54" s="612"/>
      <c r="AW54" s="645"/>
      <c r="AX54" s="624"/>
      <c r="AY54" s="645"/>
      <c r="AZ54" s="613"/>
      <c r="BA54" s="624"/>
      <c r="BB54" s="645"/>
      <c r="BC54" s="1274"/>
      <c r="BD54" s="1270"/>
      <c r="BE54" s="612"/>
      <c r="BF54" s="645"/>
      <c r="BG54" s="623"/>
      <c r="BH54" s="1270"/>
      <c r="BI54" s="26"/>
      <c r="BJ54" s="26"/>
    </row>
    <row r="55" spans="1:62" x14ac:dyDescent="0.35">
      <c r="A55" s="9168"/>
      <c r="B55" s="240"/>
      <c r="C55" s="240" t="s">
        <v>536</v>
      </c>
      <c r="D55" s="197"/>
      <c r="F55" s="163"/>
      <c r="H55" s="242"/>
      <c r="I55" s="243"/>
      <c r="J55" s="64">
        <f>IF(H55=0,0,I55/H55)</f>
        <v>0</v>
      </c>
      <c r="L55" s="1172"/>
      <c r="M55" s="1352">
        <f>L55*J55</f>
        <v>0</v>
      </c>
      <c r="N55" s="1270"/>
      <c r="O55" s="1353"/>
      <c r="P55" s="645"/>
      <c r="Q55" s="1161"/>
      <c r="R55" s="1274"/>
      <c r="S55" s="1270"/>
      <c r="T55" s="1172"/>
      <c r="U55" s="1161"/>
      <c r="V55" s="1352"/>
      <c r="X55" s="1353"/>
      <c r="Y55" s="624"/>
      <c r="Z55" s="1161"/>
      <c r="AA55" s="1274"/>
      <c r="AB55" s="1270"/>
      <c r="AC55" s="612"/>
      <c r="AD55" s="1161"/>
      <c r="AE55" s="614"/>
      <c r="AG55" s="612"/>
      <c r="AH55" s="624"/>
      <c r="AI55" s="1161"/>
      <c r="AJ55" s="1274"/>
      <c r="AK55" s="1270"/>
      <c r="AL55" s="612"/>
      <c r="AM55" s="1161"/>
      <c r="AN55" s="1360"/>
      <c r="AP55" s="26"/>
      <c r="AQ55" s="612"/>
      <c r="AR55" s="624"/>
      <c r="AS55" s="1161"/>
      <c r="AT55" s="7013"/>
      <c r="AU55" s="1270"/>
      <c r="AV55" s="612"/>
      <c r="AW55" s="1161"/>
      <c r="AX55" s="624"/>
      <c r="AY55" s="645"/>
      <c r="AZ55" s="613"/>
      <c r="BA55" s="624"/>
      <c r="BB55" s="1161"/>
      <c r="BC55" s="1274"/>
      <c r="BD55" s="1270"/>
      <c r="BE55" s="612"/>
      <c r="BF55" s="1161"/>
      <c r="BG55" s="623"/>
      <c r="BH55" s="1270"/>
      <c r="BI55" s="26"/>
      <c r="BJ55" s="26"/>
    </row>
    <row r="56" spans="1:62" x14ac:dyDescent="0.35">
      <c r="A56" s="9168"/>
      <c r="B56" s="240"/>
      <c r="C56" s="240" t="s">
        <v>537</v>
      </c>
      <c r="D56" s="197"/>
      <c r="F56" s="163"/>
      <c r="H56" s="242"/>
      <c r="I56" s="243"/>
      <c r="J56" s="64">
        <f>IF(H56=0,0,I56/H56)</f>
        <v>0</v>
      </c>
      <c r="L56" s="1172"/>
      <c r="M56" s="1352">
        <f>L56*J56</f>
        <v>0</v>
      </c>
      <c r="N56" s="1270"/>
      <c r="O56" s="1353"/>
      <c r="P56" s="645"/>
      <c r="Q56" s="1161"/>
      <c r="R56" s="1274"/>
      <c r="S56" s="1270"/>
      <c r="T56" s="1172"/>
      <c r="U56" s="1161"/>
      <c r="V56" s="1352"/>
      <c r="X56" s="1353"/>
      <c r="Y56" s="624"/>
      <c r="Z56" s="1161"/>
      <c r="AA56" s="1274"/>
      <c r="AB56" s="1270"/>
      <c r="AC56" s="612"/>
      <c r="AD56" s="1161"/>
      <c r="AE56" s="614"/>
      <c r="AG56" s="612"/>
      <c r="AH56" s="624"/>
      <c r="AI56" s="1161"/>
      <c r="AJ56" s="1274"/>
      <c r="AK56" s="1270"/>
      <c r="AL56" s="612"/>
      <c r="AM56" s="1161"/>
      <c r="AN56" s="1360"/>
      <c r="AP56" s="26"/>
      <c r="AQ56" s="612"/>
      <c r="AR56" s="624"/>
      <c r="AS56" s="1161"/>
      <c r="AT56" s="7013"/>
      <c r="AU56" s="1270"/>
      <c r="AV56" s="612"/>
      <c r="AW56" s="1161"/>
      <c r="AX56" s="624"/>
      <c r="AY56" s="645"/>
      <c r="AZ56" s="613"/>
      <c r="BA56" s="624"/>
      <c r="BB56" s="1161"/>
      <c r="BC56" s="1274"/>
      <c r="BD56" s="1270"/>
      <c r="BE56" s="612"/>
      <c r="BF56" s="1161"/>
      <c r="BG56" s="623"/>
      <c r="BH56" s="1270"/>
      <c r="BI56" s="26"/>
      <c r="BJ56" s="26"/>
    </row>
    <row r="57" spans="1:62" x14ac:dyDescent="0.35">
      <c r="A57" s="9168"/>
      <c r="B57" s="240"/>
      <c r="C57" s="240" t="s">
        <v>538</v>
      </c>
      <c r="D57" s="197"/>
      <c r="F57" s="163"/>
      <c r="H57" s="242"/>
      <c r="I57" s="243"/>
      <c r="J57" s="64"/>
      <c r="L57" s="1172"/>
      <c r="M57" s="1352"/>
      <c r="N57" s="1270"/>
      <c r="O57" s="612"/>
      <c r="P57" s="645"/>
      <c r="Q57" s="645"/>
      <c r="R57" s="1274"/>
      <c r="S57" s="1270"/>
      <c r="T57" s="1172"/>
      <c r="U57" s="645"/>
      <c r="V57" s="1352"/>
      <c r="X57" s="612"/>
      <c r="Y57" s="624"/>
      <c r="Z57" s="645"/>
      <c r="AA57" s="1274"/>
      <c r="AB57" s="1270"/>
      <c r="AC57" s="612"/>
      <c r="AD57" s="645"/>
      <c r="AE57" s="614"/>
      <c r="AG57" s="612"/>
      <c r="AH57" s="624"/>
      <c r="AI57" s="645"/>
      <c r="AJ57" s="1274"/>
      <c r="AK57" s="1270"/>
      <c r="AL57" s="612"/>
      <c r="AM57" s="645"/>
      <c r="AN57" s="1360"/>
      <c r="AP57" s="26"/>
      <c r="AQ57" s="612"/>
      <c r="AR57" s="624"/>
      <c r="AS57" s="645"/>
      <c r="AT57" s="7013"/>
      <c r="AU57" s="1270"/>
      <c r="AV57" s="612"/>
      <c r="AW57" s="645"/>
      <c r="AX57" s="624"/>
      <c r="AY57" s="645"/>
      <c r="AZ57" s="613"/>
      <c r="BA57" s="624"/>
      <c r="BB57" s="645"/>
      <c r="BC57" s="1274"/>
      <c r="BD57" s="1270"/>
      <c r="BE57" s="612"/>
      <c r="BF57" s="645"/>
      <c r="BG57" s="623"/>
      <c r="BH57" s="1270"/>
      <c r="BI57" s="26"/>
      <c r="BJ57" s="26"/>
    </row>
    <row r="58" spans="1:62" x14ac:dyDescent="0.35">
      <c r="A58" s="9168"/>
      <c r="B58" s="240"/>
      <c r="C58" s="240" t="s">
        <v>539</v>
      </c>
      <c r="D58" s="197"/>
      <c r="F58" s="163"/>
      <c r="H58" s="242"/>
      <c r="I58" s="243"/>
      <c r="J58" s="64">
        <f>IF(H58=0,0,I58/H58)</f>
        <v>0</v>
      </c>
      <c r="L58" s="1172"/>
      <c r="M58" s="1352">
        <f>L58*J58</f>
        <v>0</v>
      </c>
      <c r="N58" s="1270"/>
      <c r="O58" s="612"/>
      <c r="P58" s="645"/>
      <c r="Q58" s="645"/>
      <c r="R58" s="1274"/>
      <c r="S58" s="1270"/>
      <c r="T58" s="1172"/>
      <c r="U58" s="645"/>
      <c r="V58" s="1352"/>
      <c r="X58" s="612"/>
      <c r="Y58" s="624"/>
      <c r="Z58" s="645"/>
      <c r="AA58" s="1274"/>
      <c r="AB58" s="1270"/>
      <c r="AC58" s="612"/>
      <c r="AD58" s="645"/>
      <c r="AE58" s="614"/>
      <c r="AG58" s="612"/>
      <c r="AH58" s="624"/>
      <c r="AI58" s="645"/>
      <c r="AJ58" s="1274"/>
      <c r="AK58" s="1270"/>
      <c r="AL58" s="612"/>
      <c r="AM58" s="645"/>
      <c r="AN58" s="1360"/>
      <c r="AP58" s="26"/>
      <c r="AQ58" s="612"/>
      <c r="AR58" s="624"/>
      <c r="AS58" s="645"/>
      <c r="AT58" s="7013"/>
      <c r="AU58" s="1270"/>
      <c r="AV58" s="612"/>
      <c r="AW58" s="645"/>
      <c r="AX58" s="8211"/>
      <c r="AY58" s="1354"/>
      <c r="AZ58" s="613"/>
      <c r="BA58" s="624"/>
      <c r="BB58" s="645"/>
      <c r="BC58" s="1274"/>
      <c r="BD58" s="1270"/>
      <c r="BE58" s="612"/>
      <c r="BF58" s="645"/>
      <c r="BG58" s="1374"/>
      <c r="BH58" s="1270"/>
      <c r="BI58" s="26"/>
      <c r="BJ58" s="26"/>
    </row>
    <row r="59" spans="1:62" x14ac:dyDescent="0.35">
      <c r="A59" s="9168"/>
      <c r="B59" s="250"/>
      <c r="C59" s="250" t="s">
        <v>704</v>
      </c>
      <c r="D59" s="209"/>
      <c r="F59" s="130"/>
      <c r="H59" s="242"/>
      <c r="I59" s="243"/>
      <c r="J59" s="64">
        <f>IF(H59=0,0,I59/H59)</f>
        <v>0</v>
      </c>
      <c r="L59" s="1172"/>
      <c r="M59" s="1352">
        <f>L59*J59</f>
        <v>0</v>
      </c>
      <c r="N59" s="1270"/>
      <c r="O59" s="1156"/>
      <c r="P59" s="1200"/>
      <c r="Q59" s="1200"/>
      <c r="R59" s="1313"/>
      <c r="S59" s="1270"/>
      <c r="T59" s="1172"/>
      <c r="U59" s="1200"/>
      <c r="V59" s="1352"/>
      <c r="X59" s="1156"/>
      <c r="Y59" s="624"/>
      <c r="Z59" s="1200"/>
      <c r="AA59" s="1313"/>
      <c r="AB59" s="1270"/>
      <c r="AC59" s="612"/>
      <c r="AD59" s="1200"/>
      <c r="AE59" s="614"/>
      <c r="AG59" s="612"/>
      <c r="AH59" s="624"/>
      <c r="AI59" s="1200"/>
      <c r="AJ59" s="1313"/>
      <c r="AK59" s="1270"/>
      <c r="AL59" s="612"/>
      <c r="AM59" s="1200"/>
      <c r="AN59" s="1360"/>
      <c r="AP59" s="24"/>
      <c r="AQ59" s="612"/>
      <c r="AR59" s="624"/>
      <c r="AS59" s="1200"/>
      <c r="AT59" s="7014"/>
      <c r="AU59" s="1270"/>
      <c r="AV59" s="612"/>
      <c r="AW59" s="1200"/>
      <c r="AX59" s="613"/>
      <c r="AY59" s="645"/>
      <c r="AZ59" s="613"/>
      <c r="BA59" s="624"/>
      <c r="BB59" s="1200"/>
      <c r="BC59" s="1313"/>
      <c r="BD59" s="1270"/>
      <c r="BE59" s="612"/>
      <c r="BF59" s="1200"/>
      <c r="BG59" s="614"/>
      <c r="BH59" s="1270"/>
      <c r="BI59" s="24"/>
      <c r="BJ59" s="24"/>
    </row>
    <row r="60" spans="1:62" x14ac:dyDescent="0.35">
      <c r="A60" s="9168"/>
      <c r="B60" s="271" t="s">
        <v>552</v>
      </c>
      <c r="C60" s="271"/>
      <c r="D60" s="184"/>
      <c r="E60" s="143"/>
      <c r="F60" s="227"/>
      <c r="G60" s="143"/>
      <c r="H60" s="102"/>
      <c r="I60" s="103"/>
      <c r="J60" s="228"/>
      <c r="K60" s="143"/>
      <c r="L60" s="1375"/>
      <c r="M60" s="1317"/>
      <c r="N60" s="1321"/>
      <c r="O60" s="1375"/>
      <c r="P60" s="653"/>
      <c r="Q60" s="653"/>
      <c r="R60" s="1379"/>
      <c r="S60" s="1321"/>
      <c r="T60" s="1375"/>
      <c r="U60" s="645"/>
      <c r="V60" s="1317"/>
      <c r="W60" s="143"/>
      <c r="X60" s="1375"/>
      <c r="Y60" s="653"/>
      <c r="Z60" s="653"/>
      <c r="AA60" s="1379"/>
      <c r="AB60" s="1321"/>
      <c r="AC60" s="1375"/>
      <c r="AD60" s="645"/>
      <c r="AE60" s="1377"/>
      <c r="AF60" s="143"/>
      <c r="AG60" s="1375"/>
      <c r="AH60" s="653"/>
      <c r="AI60" s="645"/>
      <c r="AJ60" s="1379"/>
      <c r="AK60" s="1321"/>
      <c r="AL60" s="1375"/>
      <c r="AM60" s="645"/>
      <c r="AN60" s="1377"/>
      <c r="AO60" s="143"/>
      <c r="AP60" s="18"/>
      <c r="AQ60" s="1375"/>
      <c r="AR60" s="653"/>
      <c r="AS60" s="645"/>
      <c r="AT60" s="1379"/>
      <c r="AU60" s="1321"/>
      <c r="AV60" s="1375"/>
      <c r="AW60" s="645"/>
      <c r="AX60" s="653"/>
      <c r="AY60" s="645"/>
      <c r="AZ60" s="653"/>
      <c r="BA60" s="653"/>
      <c r="BB60" s="645"/>
      <c r="BC60" s="1379"/>
      <c r="BD60" s="1321"/>
      <c r="BE60" s="1375"/>
      <c r="BF60" s="645"/>
      <c r="BG60" s="1377"/>
      <c r="BH60" s="1321"/>
      <c r="BI60" s="18"/>
      <c r="BJ60" s="18"/>
    </row>
    <row r="61" spans="1:62" x14ac:dyDescent="0.35">
      <c r="A61" s="9168"/>
      <c r="B61" s="272"/>
      <c r="C61" s="272" t="s">
        <v>980</v>
      </c>
      <c r="D61" s="197"/>
      <c r="F61" s="155"/>
      <c r="H61" s="117"/>
      <c r="I61" s="115"/>
      <c r="J61" s="64">
        <f>IF(H61=0,0,I61/H61)</f>
        <v>0</v>
      </c>
      <c r="L61" s="595"/>
      <c r="M61" s="1352"/>
      <c r="N61" s="1270"/>
      <c r="O61" s="1154"/>
      <c r="P61" s="645"/>
      <c r="Q61" s="645"/>
      <c r="R61" s="1380"/>
      <c r="S61" s="1270"/>
      <c r="T61" s="595"/>
      <c r="U61" s="1256"/>
      <c r="V61" s="1352"/>
      <c r="X61" s="1154"/>
      <c r="Y61" s="624"/>
      <c r="Z61" s="645"/>
      <c r="AA61" s="1380"/>
      <c r="AB61" s="1270"/>
      <c r="AC61" s="1154"/>
      <c r="AD61" s="1256"/>
      <c r="AE61" s="608"/>
      <c r="AG61" s="1154"/>
      <c r="AH61" s="624"/>
      <c r="AI61" s="1256"/>
      <c r="AJ61" s="1380"/>
      <c r="AK61" s="1270"/>
      <c r="AL61" s="1154"/>
      <c r="AM61" s="1256"/>
      <c r="AN61" s="608"/>
      <c r="AP61" s="26"/>
      <c r="AQ61" s="1154"/>
      <c r="AR61" s="624"/>
      <c r="AS61" s="1256"/>
      <c r="AT61" s="7019"/>
      <c r="AU61" s="1270"/>
      <c r="AV61" s="1154"/>
      <c r="AW61" s="1256"/>
      <c r="AX61" s="609"/>
      <c r="AY61" s="645"/>
      <c r="AZ61" s="609"/>
      <c r="BA61" s="624"/>
      <c r="BB61" s="1256"/>
      <c r="BC61" s="1380"/>
      <c r="BD61" s="1270"/>
      <c r="BE61" s="1154"/>
      <c r="BF61" s="1256"/>
      <c r="BG61" s="608"/>
      <c r="BH61" s="1270"/>
      <c r="BI61" s="26"/>
      <c r="BJ61" s="26"/>
    </row>
    <row r="62" spans="1:62" x14ac:dyDescent="0.35">
      <c r="A62" s="9168"/>
      <c r="B62" s="274"/>
      <c r="C62" s="275" t="s">
        <v>11</v>
      </c>
      <c r="D62" s="197"/>
      <c r="F62" s="163"/>
      <c r="H62" s="242"/>
      <c r="I62" s="243"/>
      <c r="J62" s="64"/>
      <c r="L62" s="1172"/>
      <c r="M62" s="1352"/>
      <c r="N62" s="1270"/>
      <c r="O62" s="1154"/>
      <c r="P62" s="645"/>
      <c r="Q62" s="645"/>
      <c r="R62" s="1274"/>
      <c r="S62" s="1270"/>
      <c r="T62" s="595"/>
      <c r="U62" s="645"/>
      <c r="V62" s="1352"/>
      <c r="X62" s="1154"/>
      <c r="Y62" s="624"/>
      <c r="Z62" s="645"/>
      <c r="AA62" s="1274"/>
      <c r="AB62" s="1270"/>
      <c r="AC62" s="1154"/>
      <c r="AD62" s="645"/>
      <c r="AE62" s="608"/>
      <c r="AG62" s="1154"/>
      <c r="AH62" s="624"/>
      <c r="AI62" s="645"/>
      <c r="AJ62" s="1274"/>
      <c r="AK62" s="1270"/>
      <c r="AL62" s="1154"/>
      <c r="AM62" s="645"/>
      <c r="AN62" s="608"/>
      <c r="AP62" s="26"/>
      <c r="AQ62" s="1154"/>
      <c r="AR62" s="624"/>
      <c r="AS62" s="645"/>
      <c r="AT62" s="7013"/>
      <c r="AU62" s="1270"/>
      <c r="AV62" s="1154"/>
      <c r="AW62" s="645"/>
      <c r="AX62" s="609"/>
      <c r="AY62" s="645"/>
      <c r="AZ62" s="609"/>
      <c r="BA62" s="624"/>
      <c r="BB62" s="645"/>
      <c r="BC62" s="1274"/>
      <c r="BD62" s="1270"/>
      <c r="BE62" s="1154"/>
      <c r="BF62" s="645"/>
      <c r="BG62" s="608"/>
      <c r="BH62" s="1270"/>
      <c r="BI62" s="26"/>
      <c r="BJ62" s="26"/>
    </row>
    <row r="63" spans="1:62" x14ac:dyDescent="0.35">
      <c r="A63" s="9168"/>
      <c r="B63" s="274"/>
      <c r="C63" s="275" t="s">
        <v>1116</v>
      </c>
      <c r="D63" s="197"/>
      <c r="F63" s="163"/>
      <c r="H63" s="242"/>
      <c r="I63" s="243"/>
      <c r="J63" s="64"/>
      <c r="L63" s="1172"/>
      <c r="M63" s="1352"/>
      <c r="N63" s="1270"/>
      <c r="O63" s="612"/>
      <c r="P63" s="645"/>
      <c r="Q63" s="645"/>
      <c r="R63" s="1274"/>
      <c r="S63" s="1270"/>
      <c r="T63" s="1172"/>
      <c r="U63" s="645"/>
      <c r="V63" s="1352"/>
      <c r="X63" s="612"/>
      <c r="Y63" s="624"/>
      <c r="Z63" s="645"/>
      <c r="AA63" s="1274"/>
      <c r="AB63" s="1270"/>
      <c r="AC63" s="612"/>
      <c r="AD63" s="645"/>
      <c r="AE63" s="614"/>
      <c r="AG63" s="612"/>
      <c r="AH63" s="624"/>
      <c r="AI63" s="645"/>
      <c r="AJ63" s="1274"/>
      <c r="AK63" s="1270"/>
      <c r="AL63" s="612"/>
      <c r="AM63" s="645"/>
      <c r="AN63" s="614"/>
      <c r="AP63" s="26"/>
      <c r="AQ63" s="612"/>
      <c r="AR63" s="624"/>
      <c r="AS63" s="645"/>
      <c r="AT63" s="7013"/>
      <c r="AU63" s="1270"/>
      <c r="AV63" s="612"/>
      <c r="AW63" s="645"/>
      <c r="AX63" s="613"/>
      <c r="AY63" s="645"/>
      <c r="AZ63" s="613"/>
      <c r="BA63" s="624"/>
      <c r="BB63" s="645"/>
      <c r="BC63" s="1274"/>
      <c r="BD63" s="1270"/>
      <c r="BE63" s="612"/>
      <c r="BF63" s="645"/>
      <c r="BG63" s="614"/>
      <c r="BH63" s="1270"/>
      <c r="BI63" s="26"/>
      <c r="BJ63" s="26"/>
    </row>
    <row r="64" spans="1:62" x14ac:dyDescent="0.35">
      <c r="A64" s="9168"/>
      <c r="B64" s="277"/>
      <c r="C64" s="277" t="s">
        <v>555</v>
      </c>
      <c r="D64" s="209"/>
      <c r="F64" s="665"/>
      <c r="G64" s="666"/>
      <c r="H64" s="283"/>
      <c r="I64" s="667"/>
      <c r="J64" s="133"/>
      <c r="L64" s="1381"/>
      <c r="M64" s="1382"/>
      <c r="N64" s="1270"/>
      <c r="O64" s="1383"/>
      <c r="P64" s="1384"/>
      <c r="Q64" s="1385"/>
      <c r="R64" s="1313"/>
      <c r="S64" s="1270"/>
      <c r="T64" s="1381"/>
      <c r="U64" s="1385"/>
      <c r="V64" s="1382"/>
      <c r="X64" s="1383"/>
      <c r="Y64" s="605"/>
      <c r="Z64" s="1385"/>
      <c r="AA64" s="1313"/>
      <c r="AB64" s="1270"/>
      <c r="AC64" s="1383"/>
      <c r="AD64" s="1385"/>
      <c r="AE64" s="1386"/>
      <c r="AG64" s="1383"/>
      <c r="AH64" s="605"/>
      <c r="AI64" s="1385"/>
      <c r="AJ64" s="1313"/>
      <c r="AK64" s="1270"/>
      <c r="AL64" s="1383"/>
      <c r="AM64" s="1385"/>
      <c r="AN64" s="1386"/>
      <c r="AP64" s="24"/>
      <c r="AQ64" s="1383"/>
      <c r="AR64" s="605"/>
      <c r="AS64" s="7020"/>
      <c r="AT64" s="7014"/>
      <c r="AU64" s="1270"/>
      <c r="AV64" s="1383"/>
      <c r="AW64" s="7020"/>
      <c r="AX64" s="8212"/>
      <c r="AY64" s="8236"/>
      <c r="AZ64" s="8212"/>
      <c r="BA64" s="605"/>
      <c r="BB64" s="1385"/>
      <c r="BC64" s="1313"/>
      <c r="BD64" s="1270"/>
      <c r="BE64" s="1383"/>
      <c r="BF64" s="1385"/>
      <c r="BG64" s="1386"/>
      <c r="BH64" s="1270"/>
      <c r="BI64" s="24"/>
      <c r="BJ64" s="24"/>
    </row>
    <row r="65" spans="1:62" ht="15.25" customHeight="1" x14ac:dyDescent="0.35">
      <c r="A65" s="9168"/>
      <c r="B65" s="139" t="s">
        <v>556</v>
      </c>
      <c r="C65" s="908"/>
      <c r="D65" s="184"/>
      <c r="E65" s="143"/>
      <c r="F65" s="1387"/>
      <c r="G65" s="290"/>
      <c r="H65" s="1388"/>
      <c r="I65" s="520"/>
      <c r="J65" s="293"/>
      <c r="L65" s="1389"/>
      <c r="M65" s="1317"/>
      <c r="N65" s="1321"/>
      <c r="O65" s="1390"/>
      <c r="P65" s="1391"/>
      <c r="Q65" s="645"/>
      <c r="R65" s="1392"/>
      <c r="S65" s="1270"/>
      <c r="T65" s="1389"/>
      <c r="U65" s="645"/>
      <c r="V65" s="1393"/>
      <c r="W65" s="143"/>
      <c r="X65" s="1394" t="s">
        <v>3313</v>
      </c>
      <c r="Y65" s="1391"/>
      <c r="Z65" s="645"/>
      <c r="AA65" s="1392"/>
      <c r="AB65" s="1270"/>
      <c r="AC65" s="1389" t="s">
        <v>3347</v>
      </c>
      <c r="AD65" s="645"/>
      <c r="AE65" s="645"/>
      <c r="AF65" s="143"/>
      <c r="AG65" s="1389" t="s">
        <v>3347</v>
      </c>
      <c r="AH65" s="1391"/>
      <c r="AI65" s="645"/>
      <c r="AJ65" s="1392"/>
      <c r="AK65" s="1270"/>
      <c r="AL65" s="1389" t="s">
        <v>3347</v>
      </c>
      <c r="AM65" s="645"/>
      <c r="AN65" s="645"/>
      <c r="AO65" s="143"/>
      <c r="AP65" s="18"/>
      <c r="AQ65" s="1389"/>
      <c r="AR65" s="1391"/>
      <c r="AS65" s="645"/>
      <c r="AT65" s="1392"/>
      <c r="AU65" s="1270"/>
      <c r="AV65" s="1389"/>
      <c r="AW65" s="645"/>
      <c r="AX65" s="645"/>
      <c r="AY65" s="645"/>
      <c r="AZ65" s="7091"/>
      <c r="BA65" s="1391"/>
      <c r="BB65" s="645"/>
      <c r="BC65" s="1392"/>
      <c r="BD65" s="1270"/>
      <c r="BE65" s="1389"/>
      <c r="BF65" s="645"/>
      <c r="BG65" s="645"/>
      <c r="BH65" s="1270"/>
      <c r="BI65" s="18"/>
      <c r="BJ65" s="18"/>
    </row>
    <row r="66" spans="1:62" x14ac:dyDescent="0.35">
      <c r="A66" s="9168"/>
      <c r="B66" s="1395"/>
      <c r="C66" s="1396" t="s">
        <v>532</v>
      </c>
      <c r="D66" s="197"/>
      <c r="F66" s="1397"/>
      <c r="G66" s="272"/>
      <c r="H66" s="1398">
        <f>108.3+5</f>
        <v>113.3</v>
      </c>
      <c r="I66" s="1399"/>
      <c r="J66" s="297">
        <f>IF(H66=0,0,I66/H66)</f>
        <v>0</v>
      </c>
      <c r="L66" s="1400">
        <f>202.8+11.7</f>
        <v>214.5</v>
      </c>
      <c r="M66" s="1352">
        <f>L66*J66</f>
        <v>0</v>
      </c>
      <c r="N66" s="1270"/>
      <c r="O66" s="1401">
        <v>112</v>
      </c>
      <c r="P66" s="1402"/>
      <c r="Q66" s="1161" t="s">
        <v>3322</v>
      </c>
      <c r="R66" s="1403"/>
      <c r="S66" s="1270"/>
      <c r="T66" s="1400">
        <v>58</v>
      </c>
      <c r="U66" s="1404"/>
      <c r="V66" s="1352"/>
      <c r="X66" s="1272">
        <f>X38</f>
        <v>58</v>
      </c>
      <c r="Y66" s="1405">
        <f>Y38</f>
        <v>58</v>
      </c>
      <c r="Z66" s="1161"/>
      <c r="AA66" s="1403"/>
      <c r="AB66" s="1270"/>
      <c r="AC66" s="1277">
        <f>AC38</f>
        <v>106.8</v>
      </c>
      <c r="AD66" s="1404"/>
      <c r="AE66" s="1354">
        <f>AE38</f>
        <v>0</v>
      </c>
      <c r="AG66" s="1277">
        <f>AG38</f>
        <v>106.8</v>
      </c>
      <c r="AH66" s="1406">
        <f>AH38</f>
        <v>106.8</v>
      </c>
      <c r="AI66" s="1404"/>
      <c r="AJ66" s="1403"/>
      <c r="AK66" s="1270"/>
      <c r="AL66" s="1277">
        <f>AL38</f>
        <v>83.5</v>
      </c>
      <c r="AM66" s="1404"/>
      <c r="AN66" s="1407">
        <f>AN38</f>
        <v>83.5</v>
      </c>
      <c r="AP66" s="26"/>
      <c r="AQ66" s="1277">
        <f>AQ38</f>
        <v>83.5</v>
      </c>
      <c r="AR66" s="1406">
        <f>AR38</f>
        <v>51.252000000000002</v>
      </c>
      <c r="AS66" s="1404"/>
      <c r="AT66" s="7021"/>
      <c r="AU66" s="1270"/>
      <c r="AV66" s="1277">
        <f>AV38</f>
        <v>199.65378900000002</v>
      </c>
      <c r="AW66" s="1404"/>
      <c r="AX66" s="1407">
        <f>AX38</f>
        <v>122.54677836919763</v>
      </c>
      <c r="AY66" s="645"/>
      <c r="AZ66" s="1406">
        <f>AZ38</f>
        <v>199.65378900000002</v>
      </c>
      <c r="BA66" s="1406">
        <f>BA38</f>
        <v>51.252215999999997</v>
      </c>
      <c r="BB66" s="1404"/>
      <c r="BC66" s="1403"/>
      <c r="BD66" s="1270"/>
      <c r="BE66" s="1277">
        <f>BE38</f>
        <v>158.57499999999999</v>
      </c>
      <c r="BF66" s="1404"/>
      <c r="BG66" s="1407">
        <f>BG38</f>
        <v>42.809902999999998</v>
      </c>
      <c r="BH66" s="1270"/>
      <c r="BI66" s="26"/>
      <c r="BJ66" s="26"/>
    </row>
    <row r="67" spans="1:62" x14ac:dyDescent="0.35">
      <c r="A67" s="9168"/>
      <c r="B67" s="1395"/>
      <c r="C67" s="1396" t="s">
        <v>533</v>
      </c>
      <c r="D67" s="197"/>
      <c r="F67" s="1408"/>
      <c r="G67" s="272"/>
      <c r="H67" s="1409"/>
      <c r="I67" s="1410"/>
      <c r="J67" s="297">
        <f>IF(H67=0,0,I67/H67)</f>
        <v>0</v>
      </c>
      <c r="L67" s="1272"/>
      <c r="M67" s="1352">
        <f>L67*J67</f>
        <v>0</v>
      </c>
      <c r="N67" s="1270"/>
      <c r="O67" s="1272"/>
      <c r="P67" s="1402"/>
      <c r="Q67" s="1161"/>
      <c r="R67" s="1403"/>
      <c r="S67" s="1270"/>
      <c r="T67" s="1411"/>
      <c r="U67" s="645"/>
      <c r="V67" s="1352"/>
      <c r="X67" s="1272"/>
      <c r="Y67" s="1402"/>
      <c r="Z67" s="1161"/>
      <c r="AA67" s="1403"/>
      <c r="AB67" s="1270"/>
      <c r="AC67" s="1412"/>
      <c r="AD67" s="645"/>
      <c r="AE67" s="1413"/>
      <c r="AG67" s="1412"/>
      <c r="AH67" s="1402"/>
      <c r="AI67" s="645"/>
      <c r="AJ67" s="1403"/>
      <c r="AK67" s="1270"/>
      <c r="AL67" s="1412"/>
      <c r="AM67" s="645"/>
      <c r="AN67" s="1413"/>
      <c r="AP67" s="26"/>
      <c r="AQ67" s="1412"/>
      <c r="AR67" s="1402"/>
      <c r="AS67" s="645"/>
      <c r="AT67" s="7021"/>
      <c r="AU67" s="1270"/>
      <c r="AV67" s="1412"/>
      <c r="AW67" s="645"/>
      <c r="AX67" s="1402"/>
      <c r="AY67" s="8237"/>
      <c r="AZ67" s="1402"/>
      <c r="BA67" s="1402"/>
      <c r="BB67" s="645"/>
      <c r="BC67" s="1403"/>
      <c r="BD67" s="1270"/>
      <c r="BE67" s="1412"/>
      <c r="BF67" s="645"/>
      <c r="BG67" s="1413"/>
      <c r="BH67" s="1270"/>
      <c r="BI67" s="26"/>
      <c r="BJ67" s="26"/>
    </row>
    <row r="68" spans="1:62" x14ac:dyDescent="0.35">
      <c r="A68" s="9168"/>
      <c r="B68" s="1414"/>
      <c r="C68" s="1396" t="s">
        <v>534</v>
      </c>
      <c r="D68" s="197"/>
      <c r="F68" s="1408"/>
      <c r="G68" s="272"/>
      <c r="H68" s="1409"/>
      <c r="I68" s="1410"/>
      <c r="J68" s="297">
        <f>IF(H68=0,0,I68/H68)</f>
        <v>0</v>
      </c>
      <c r="L68" s="1272"/>
      <c r="M68" s="1352">
        <f>L68*J68</f>
        <v>0</v>
      </c>
      <c r="N68" s="1270"/>
      <c r="O68" s="1272"/>
      <c r="P68" s="1402"/>
      <c r="Q68" s="1161"/>
      <c r="R68" s="1403"/>
      <c r="S68" s="1270"/>
      <c r="T68" s="1411"/>
      <c r="U68" s="645"/>
      <c r="V68" s="1352"/>
      <c r="X68" s="1272"/>
      <c r="Y68" s="1402"/>
      <c r="Z68" s="1161"/>
      <c r="AA68" s="1403"/>
      <c r="AB68" s="1270"/>
      <c r="AC68" s="1412"/>
      <c r="AD68" s="645"/>
      <c r="AE68" s="1413"/>
      <c r="AG68" s="1412"/>
      <c r="AH68" s="1402"/>
      <c r="AI68" s="645"/>
      <c r="AJ68" s="1403"/>
      <c r="AK68" s="1270"/>
      <c r="AL68" s="1412"/>
      <c r="AM68" s="645"/>
      <c r="AN68" s="1413"/>
      <c r="AP68" s="26"/>
      <c r="AQ68" s="1412"/>
      <c r="AR68" s="1402"/>
      <c r="AS68" s="645"/>
      <c r="AT68" s="7021"/>
      <c r="AU68" s="1270"/>
      <c r="AV68" s="1412"/>
      <c r="AW68" s="645"/>
      <c r="AX68" s="1402"/>
      <c r="AY68" s="8237"/>
      <c r="AZ68" s="1402"/>
      <c r="BA68" s="1402"/>
      <c r="BB68" s="645"/>
      <c r="BC68" s="1403"/>
      <c r="BD68" s="1270"/>
      <c r="BE68" s="1412"/>
      <c r="BF68" s="645"/>
      <c r="BG68" s="1413"/>
      <c r="BH68" s="1270"/>
      <c r="BI68" s="26"/>
      <c r="BJ68" s="26"/>
    </row>
    <row r="69" spans="1:62" x14ac:dyDescent="0.35">
      <c r="A69" s="9169"/>
      <c r="B69" s="1415"/>
      <c r="C69" s="1416" t="s">
        <v>536</v>
      </c>
      <c r="D69" s="209"/>
      <c r="F69" s="1417"/>
      <c r="G69" s="274"/>
      <c r="H69" s="1418"/>
      <c r="I69" s="1419"/>
      <c r="J69" s="307">
        <f>IF(H69=0,0,I69/H69)</f>
        <v>0</v>
      </c>
      <c r="L69" s="1291"/>
      <c r="M69" s="1364">
        <f>L69*J69</f>
        <v>0</v>
      </c>
      <c r="N69" s="1270"/>
      <c r="O69" s="1291"/>
      <c r="P69" s="1420"/>
      <c r="Q69" s="1200"/>
      <c r="R69" s="1421"/>
      <c r="S69" s="1270"/>
      <c r="T69" s="1291"/>
      <c r="U69" s="1200"/>
      <c r="V69" s="1364"/>
      <c r="X69" s="1291"/>
      <c r="Y69" s="1420"/>
      <c r="Z69" s="1200"/>
      <c r="AA69" s="1421"/>
      <c r="AB69" s="1270"/>
      <c r="AC69" s="1293"/>
      <c r="AD69" s="1200"/>
      <c r="AE69" s="1422"/>
      <c r="AG69" s="1293"/>
      <c r="AH69" s="1420"/>
      <c r="AI69" s="1200"/>
      <c r="AJ69" s="1421"/>
      <c r="AK69" s="1270"/>
      <c r="AL69" s="1293"/>
      <c r="AM69" s="1200"/>
      <c r="AN69" s="1422"/>
      <c r="AP69" s="24"/>
      <c r="AQ69" s="1293"/>
      <c r="AR69" s="1420"/>
      <c r="AS69" s="1200"/>
      <c r="AT69" s="7022"/>
      <c r="AU69" s="1270"/>
      <c r="AV69" s="1293"/>
      <c r="AW69" s="1200"/>
      <c r="AX69" s="1420"/>
      <c r="AY69" s="645"/>
      <c r="AZ69" s="1420"/>
      <c r="BA69" s="1420"/>
      <c r="BB69" s="1200"/>
      <c r="BC69" s="1421"/>
      <c r="BD69" s="1270"/>
      <c r="BE69" s="1293"/>
      <c r="BF69" s="1200"/>
      <c r="BG69" s="1422"/>
      <c r="BH69" s="1270"/>
      <c r="BI69" s="24"/>
      <c r="BJ69" s="24"/>
    </row>
    <row r="70" spans="1:62" x14ac:dyDescent="0.35">
      <c r="A70" s="310"/>
      <c r="B70" s="310"/>
      <c r="F70" s="106"/>
      <c r="H70" s="106"/>
      <c r="I70" s="106"/>
      <c r="J70" s="311"/>
      <c r="L70" s="645"/>
      <c r="M70" s="1423"/>
      <c r="N70" s="1270"/>
      <c r="O70" s="645"/>
      <c r="P70" s="645"/>
      <c r="Q70" s="645"/>
      <c r="R70" s="1424"/>
      <c r="S70" s="1270"/>
      <c r="T70" s="645"/>
      <c r="U70" s="645"/>
      <c r="V70" s="1423"/>
      <c r="X70" s="1425" t="s">
        <v>3348</v>
      </c>
      <c r="Y70" s="645"/>
      <c r="Z70" s="645"/>
      <c r="AA70" s="1424"/>
      <c r="AB70" s="1270"/>
      <c r="AC70" s="1425" t="s">
        <v>3349</v>
      </c>
      <c r="AD70" s="645"/>
      <c r="AE70" s="645"/>
      <c r="AF70" s="645"/>
      <c r="AG70" s="1425" t="s">
        <v>3349</v>
      </c>
      <c r="AH70" s="645"/>
      <c r="AI70" s="645"/>
      <c r="AJ70" s="1424"/>
      <c r="AK70" s="1270"/>
      <c r="AL70" s="1425" t="s">
        <v>3349</v>
      </c>
      <c r="AM70" s="645"/>
      <c r="AN70" s="645"/>
      <c r="AO70" s="645"/>
      <c r="AQ70" s="1425" t="s">
        <v>3350</v>
      </c>
      <c r="AR70" s="645"/>
      <c r="AS70" s="645"/>
      <c r="AT70" s="7023"/>
      <c r="AU70" s="1270"/>
      <c r="AV70" s="1425" t="s">
        <v>3350</v>
      </c>
      <c r="AW70" s="645"/>
      <c r="AX70" s="645"/>
      <c r="AY70" s="645"/>
      <c r="AZ70" s="1425" t="s">
        <v>3350</v>
      </c>
      <c r="BA70" s="645"/>
      <c r="BB70" s="645"/>
      <c r="BC70" s="1424"/>
      <c r="BD70" s="1270"/>
      <c r="BE70" s="1425" t="s">
        <v>3350</v>
      </c>
      <c r="BF70" s="645"/>
      <c r="BG70" s="645"/>
      <c r="BH70" s="1270"/>
    </row>
    <row r="71" spans="1:62" x14ac:dyDescent="0.35">
      <c r="A71" s="9226" t="s">
        <v>1114</v>
      </c>
      <c r="B71" s="317"/>
      <c r="C71" s="315" t="s">
        <v>3351</v>
      </c>
      <c r="D71" s="184"/>
      <c r="F71" s="316"/>
      <c r="H71" s="317"/>
      <c r="I71" s="318"/>
      <c r="J71" s="319"/>
      <c r="L71" s="320"/>
      <c r="M71" s="1426"/>
      <c r="N71" s="1270"/>
      <c r="O71" s="320"/>
      <c r="P71" s="321"/>
      <c r="Q71" s="1427" t="s">
        <v>1115</v>
      </c>
      <c r="R71" s="1428"/>
      <c r="S71" s="1270"/>
      <c r="T71" s="320"/>
      <c r="U71" s="1427"/>
      <c r="V71" s="1429"/>
      <c r="X71" s="320">
        <v>7.4108790000000004</v>
      </c>
      <c r="Y71" s="1430">
        <f>X71*AE71/AC71</f>
        <v>5.2967828288443357</v>
      </c>
      <c r="Z71" s="1427"/>
      <c r="AA71" s="1428"/>
      <c r="AB71" s="1270"/>
      <c r="AC71" s="320">
        <v>8.6664849999999998</v>
      </c>
      <c r="AD71" s="1431" t="s">
        <v>1112</v>
      </c>
      <c r="AE71" s="1426">
        <v>6.1942029999999999</v>
      </c>
      <c r="AG71" s="320">
        <v>8.6664849999999998</v>
      </c>
      <c r="AH71" s="321">
        <v>6.1942029999999999</v>
      </c>
      <c r="AI71" s="1431" t="s">
        <v>1112</v>
      </c>
      <c r="AJ71" s="1432">
        <f t="shared" ref="AJ71:AJ76" si="19">AH71/AG71</f>
        <v>0.71473071262455312</v>
      </c>
      <c r="AK71" s="1270"/>
      <c r="AL71" s="320">
        <v>7.4195690000000001</v>
      </c>
      <c r="AM71" s="1431" t="s">
        <v>1112</v>
      </c>
      <c r="AN71" s="1433">
        <f t="shared" ref="AN71:AN76" si="20">AL71*AJ71</f>
        <v>5.3029938387370432</v>
      </c>
      <c r="AQ71" s="320"/>
      <c r="AR71" s="321"/>
      <c r="AS71" s="1431"/>
      <c r="AT71" s="7024" t="e">
        <f t="shared" ref="AT71:AT72" si="21">AR71/AQ71</f>
        <v>#DIV/0!</v>
      </c>
      <c r="AU71" s="1270"/>
      <c r="AV71" s="320"/>
      <c r="AW71" s="7025"/>
      <c r="AX71" s="8213" t="e">
        <f t="shared" ref="AX71:AX72" si="22">AV71*AT71</f>
        <v>#DIV/0!</v>
      </c>
      <c r="AY71" s="2721"/>
      <c r="AZ71" s="321"/>
      <c r="BA71" s="321"/>
      <c r="BB71" s="1431"/>
      <c r="BC71" s="1432" t="e">
        <f t="shared" ref="BC71:BC72" si="23">BA71/AZ71</f>
        <v>#DIV/0!</v>
      </c>
      <c r="BD71" s="1270"/>
      <c r="BE71" s="320"/>
      <c r="BF71" s="7025"/>
      <c r="BG71" s="7026" t="e">
        <f t="shared" ref="BG71:BG72" si="24">BE71*BC71</f>
        <v>#DIV/0!</v>
      </c>
      <c r="BH71" s="1270"/>
      <c r="BI71" t="s">
        <v>3352</v>
      </c>
      <c r="BJ71" t="s">
        <v>3352</v>
      </c>
    </row>
    <row r="72" spans="1:62" x14ac:dyDescent="0.35">
      <c r="A72" s="9227"/>
      <c r="B72" s="325"/>
      <c r="C72" s="326" t="s">
        <v>3353</v>
      </c>
      <c r="D72" s="197"/>
      <c r="F72" s="327"/>
      <c r="H72" s="325"/>
      <c r="I72" s="328"/>
      <c r="J72" s="329"/>
      <c r="L72" s="674"/>
      <c r="M72" s="1434"/>
      <c r="N72" s="1270"/>
      <c r="O72" s="674"/>
      <c r="P72" s="340"/>
      <c r="Q72" s="1161"/>
      <c r="R72" s="1435"/>
      <c r="S72" s="1270"/>
      <c r="T72" s="339"/>
      <c r="U72" s="1161"/>
      <c r="V72" s="1199"/>
      <c r="X72" s="339">
        <f>1419.63623</f>
        <v>1419.6362300000001</v>
      </c>
      <c r="Y72" s="1354">
        <f>X72*AE72/AC72</f>
        <v>1389.0844288830992</v>
      </c>
      <c r="Z72" s="1161"/>
      <c r="AA72" s="1435"/>
      <c r="AB72" s="1270"/>
      <c r="AC72" s="1436">
        <f>4.341248+1274.36354+0.351685</f>
        <v>1279.0564730000001</v>
      </c>
      <c r="AD72" s="1161"/>
      <c r="AE72" s="1437">
        <v>1251.53007</v>
      </c>
      <c r="AG72" s="1436">
        <f>4.341248+1274.36354+0.351685</f>
        <v>1279.0564730000001</v>
      </c>
      <c r="AH72" s="340">
        <v>1251.53007</v>
      </c>
      <c r="AI72" s="1161"/>
      <c r="AJ72" s="1438">
        <f t="shared" si="19"/>
        <v>0.97847913397018549</v>
      </c>
      <c r="AK72" s="1270"/>
      <c r="AL72" s="1436">
        <v>1280.3290050000001</v>
      </c>
      <c r="AM72" s="1161"/>
      <c r="AN72" s="1359">
        <f t="shared" si="20"/>
        <v>1252.7752160093094</v>
      </c>
      <c r="AQ72" s="1436"/>
      <c r="AR72" s="340"/>
      <c r="AS72" s="1161"/>
      <c r="AT72" s="7024" t="e">
        <f t="shared" si="21"/>
        <v>#DIV/0!</v>
      </c>
      <c r="AU72" s="1270"/>
      <c r="AV72" s="1436"/>
      <c r="AW72" s="2719"/>
      <c r="AX72" s="8214" t="e">
        <f t="shared" si="22"/>
        <v>#DIV/0!</v>
      </c>
      <c r="AY72" s="2721"/>
      <c r="AZ72" s="340"/>
      <c r="BA72" s="340"/>
      <c r="BB72" s="1161"/>
      <c r="BC72" s="1432" t="e">
        <f t="shared" si="23"/>
        <v>#DIV/0!</v>
      </c>
      <c r="BD72" s="1270"/>
      <c r="BE72" s="1436"/>
      <c r="BF72" s="2719"/>
      <c r="BG72" s="7027" t="e">
        <f t="shared" si="24"/>
        <v>#DIV/0!</v>
      </c>
      <c r="BH72" s="1270"/>
    </row>
    <row r="73" spans="1:62" x14ac:dyDescent="0.35">
      <c r="A73" s="9227"/>
      <c r="B73" s="330"/>
      <c r="C73" s="326"/>
      <c r="D73" s="197"/>
      <c r="F73" s="336"/>
      <c r="H73" s="330"/>
      <c r="I73" s="337"/>
      <c r="J73" s="329"/>
      <c r="L73" s="339"/>
      <c r="M73" s="1437"/>
      <c r="N73" s="1270"/>
      <c r="O73" s="339"/>
      <c r="P73" s="340"/>
      <c r="Q73" s="645"/>
      <c r="R73" s="1403"/>
      <c r="S73" s="1270"/>
      <c r="T73" s="339"/>
      <c r="U73" s="645"/>
      <c r="V73" s="1199"/>
      <c r="X73" s="339"/>
      <c r="Y73" s="340"/>
      <c r="Z73" s="645"/>
      <c r="AA73" s="1403"/>
      <c r="AB73" s="1270"/>
      <c r="AC73" s="1436"/>
      <c r="AD73" s="645"/>
      <c r="AE73" s="1437"/>
      <c r="AG73" s="1436"/>
      <c r="AH73" s="340"/>
      <c r="AI73" s="645"/>
      <c r="AJ73" s="1439"/>
      <c r="AK73" s="1270"/>
      <c r="AL73" s="1436"/>
      <c r="AM73" s="645"/>
      <c r="AN73" s="1359"/>
      <c r="AQ73" s="1436"/>
      <c r="AR73" s="340"/>
      <c r="AS73" s="645"/>
      <c r="AT73" s="7028"/>
      <c r="AU73" s="1270"/>
      <c r="AV73" s="1436"/>
      <c r="AW73" s="2721"/>
      <c r="AX73" s="8214"/>
      <c r="AY73" s="2721"/>
      <c r="AZ73" s="340"/>
      <c r="BA73" s="340"/>
      <c r="BB73" s="645"/>
      <c r="BC73" s="1439"/>
      <c r="BD73" s="1270"/>
      <c r="BE73" s="1436"/>
      <c r="BF73" s="2721"/>
      <c r="BG73" s="7027"/>
      <c r="BH73" s="1270"/>
    </row>
    <row r="74" spans="1:62" x14ac:dyDescent="0.35">
      <c r="A74" s="9227"/>
      <c r="B74" s="330"/>
      <c r="C74" s="326" t="s">
        <v>3354</v>
      </c>
      <c r="D74" s="197"/>
      <c r="F74" s="336"/>
      <c r="H74" s="330"/>
      <c r="I74" s="337"/>
      <c r="J74" s="329"/>
      <c r="L74" s="339"/>
      <c r="M74" s="1437"/>
      <c r="N74" s="1270"/>
      <c r="O74" s="339"/>
      <c r="P74" s="340"/>
      <c r="Q74" s="645"/>
      <c r="R74" s="1403"/>
      <c r="S74" s="1270"/>
      <c r="T74" s="339"/>
      <c r="U74" s="645"/>
      <c r="V74" s="1199"/>
      <c r="X74" s="339"/>
      <c r="Y74" s="340"/>
      <c r="Z74" s="645"/>
      <c r="AA74" s="1403"/>
      <c r="AB74" s="1270"/>
      <c r="AC74" s="1436"/>
      <c r="AD74" s="645"/>
      <c r="AE74" s="1437"/>
      <c r="AG74" s="1436"/>
      <c r="AH74" s="340"/>
      <c r="AI74" s="645"/>
      <c r="AJ74" s="1439"/>
      <c r="AK74" s="1270"/>
      <c r="AL74" s="1436"/>
      <c r="AM74" s="645"/>
      <c r="AN74" s="1359"/>
      <c r="AQ74" s="1436"/>
      <c r="AR74" s="340"/>
      <c r="AS74" s="645"/>
      <c r="AT74" s="7028"/>
      <c r="AU74" s="1270"/>
      <c r="AV74" s="1436"/>
      <c r="AW74" s="2721"/>
      <c r="AX74" s="8214"/>
      <c r="AY74" s="2721"/>
      <c r="AZ74" s="340"/>
      <c r="BA74" s="340"/>
      <c r="BB74" s="645"/>
      <c r="BC74" s="1439"/>
      <c r="BD74" s="1270"/>
      <c r="BE74" s="1436"/>
      <c r="BF74" s="2721"/>
      <c r="BG74" s="7027"/>
      <c r="BH74" s="1270"/>
    </row>
    <row r="75" spans="1:62" x14ac:dyDescent="0.35">
      <c r="A75" s="9227"/>
      <c r="B75" s="330"/>
      <c r="C75" s="326" t="s">
        <v>3355</v>
      </c>
      <c r="D75" s="197"/>
      <c r="F75" s="336"/>
      <c r="H75" s="330"/>
      <c r="I75" s="337"/>
      <c r="J75" s="329"/>
      <c r="L75" s="339"/>
      <c r="M75" s="1437"/>
      <c r="N75" s="1270"/>
      <c r="O75" s="339"/>
      <c r="P75" s="340"/>
      <c r="Q75" s="645"/>
      <c r="R75" s="1403"/>
      <c r="S75" s="1270"/>
      <c r="T75" s="339"/>
      <c r="U75" s="645"/>
      <c r="V75" s="1199"/>
      <c r="X75" s="339"/>
      <c r="Y75" s="340">
        <v>0</v>
      </c>
      <c r="Z75" s="1161" t="s">
        <v>3356</v>
      </c>
      <c r="AA75" s="1403"/>
      <c r="AB75" s="1270"/>
      <c r="AC75" s="1436"/>
      <c r="AD75" s="1440" t="s">
        <v>3357</v>
      </c>
      <c r="AE75" s="1437">
        <v>6.2165889999999999</v>
      </c>
      <c r="AG75" s="1441">
        <f>AH75</f>
        <v>6.2165889999999999</v>
      </c>
      <c r="AH75" s="340">
        <v>6.2165889999999999</v>
      </c>
      <c r="AI75" s="1440" t="s">
        <v>3357</v>
      </c>
      <c r="AJ75" s="1439">
        <f t="shared" si="19"/>
        <v>1</v>
      </c>
      <c r="AK75" s="1270"/>
      <c r="AL75" s="1436">
        <v>70.5</v>
      </c>
      <c r="AM75" s="1440" t="s">
        <v>3357</v>
      </c>
      <c r="AN75" s="1359">
        <f t="shared" si="20"/>
        <v>70.5</v>
      </c>
      <c r="AQ75" s="1441"/>
      <c r="AR75" s="340"/>
      <c r="AS75" s="1440"/>
      <c r="AT75" s="7028" t="e">
        <f t="shared" ref="AT75:AT76" si="25">AR75/AQ75</f>
        <v>#DIV/0!</v>
      </c>
      <c r="AU75" s="1270"/>
      <c r="AV75" s="1436"/>
      <c r="AW75" s="7029"/>
      <c r="AX75" s="8214" t="e">
        <f t="shared" ref="AX75:AX76" si="26">AV75*AT75</f>
        <v>#DIV/0!</v>
      </c>
      <c r="AY75" s="2721"/>
      <c r="AZ75" s="8226"/>
      <c r="BA75" s="340"/>
      <c r="BB75" s="1440"/>
      <c r="BC75" s="1439" t="e">
        <f t="shared" ref="BC75:BC76" si="27">BA75/AZ75</f>
        <v>#DIV/0!</v>
      </c>
      <c r="BD75" s="1270"/>
      <c r="BE75" s="1436"/>
      <c r="BF75" s="7029"/>
      <c r="BG75" s="7027" t="e">
        <f t="shared" ref="BG75:BG76" si="28">BE75*BC75</f>
        <v>#DIV/0!</v>
      </c>
      <c r="BH75" s="1270"/>
    </row>
    <row r="76" spans="1:62" x14ac:dyDescent="0.35">
      <c r="A76" s="9227"/>
      <c r="B76" s="330"/>
      <c r="C76" s="326"/>
      <c r="D76" s="197"/>
      <c r="F76" s="336"/>
      <c r="H76" s="330"/>
      <c r="I76" s="337"/>
      <c r="J76" s="329"/>
      <c r="L76" s="339"/>
      <c r="M76" s="1437"/>
      <c r="N76" s="1270"/>
      <c r="O76" s="339"/>
      <c r="P76" s="340"/>
      <c r="Q76" s="645"/>
      <c r="R76" s="1403"/>
      <c r="S76" s="1270"/>
      <c r="T76" s="339"/>
      <c r="U76" s="645"/>
      <c r="V76" s="1199"/>
      <c r="X76" s="339"/>
      <c r="Y76" s="340">
        <v>0</v>
      </c>
      <c r="Z76" s="645"/>
      <c r="AA76" s="1403"/>
      <c r="AB76" s="1270"/>
      <c r="AC76" s="1436">
        <v>37.799999999999997</v>
      </c>
      <c r="AD76" s="1440" t="s">
        <v>3358</v>
      </c>
      <c r="AE76" s="1437">
        <v>7.6573029999999997</v>
      </c>
      <c r="AG76" s="1436">
        <v>37.799999999999997</v>
      </c>
      <c r="AH76" s="340">
        <v>7.6573029999999997</v>
      </c>
      <c r="AI76" s="1440" t="s">
        <v>3359</v>
      </c>
      <c r="AJ76" s="1439">
        <f t="shared" si="19"/>
        <v>0.20257415343915344</v>
      </c>
      <c r="AK76" s="1270"/>
      <c r="AL76" s="1436">
        <v>10</v>
      </c>
      <c r="AM76" s="1440" t="s">
        <v>3358</v>
      </c>
      <c r="AN76" s="1359">
        <f t="shared" si="20"/>
        <v>2.0257415343915346</v>
      </c>
      <c r="AQ76" s="1436"/>
      <c r="AR76" s="340"/>
      <c r="AS76" s="1440"/>
      <c r="AT76" s="7028" t="e">
        <f t="shared" si="25"/>
        <v>#DIV/0!</v>
      </c>
      <c r="AU76" s="1270"/>
      <c r="AV76" s="1436"/>
      <c r="AW76" s="7029"/>
      <c r="AX76" s="8214" t="e">
        <f t="shared" si="26"/>
        <v>#DIV/0!</v>
      </c>
      <c r="AY76" s="2721"/>
      <c r="AZ76" s="340"/>
      <c r="BA76" s="340"/>
      <c r="BB76" s="1440"/>
      <c r="BC76" s="1439" t="e">
        <f t="shared" si="27"/>
        <v>#DIV/0!</v>
      </c>
      <c r="BD76" s="1270"/>
      <c r="BE76" s="1436"/>
      <c r="BF76" s="7029"/>
      <c r="BG76" s="7027" t="e">
        <f t="shared" si="28"/>
        <v>#DIV/0!</v>
      </c>
      <c r="BH76" s="1270"/>
    </row>
    <row r="77" spans="1:62" x14ac:dyDescent="0.35">
      <c r="A77" s="9227"/>
      <c r="B77" s="330"/>
      <c r="C77" s="326"/>
      <c r="D77" s="197"/>
      <c r="F77" s="336"/>
      <c r="H77" s="330"/>
      <c r="I77" s="337"/>
      <c r="J77" s="329"/>
      <c r="L77" s="339"/>
      <c r="M77" s="1437"/>
      <c r="N77" s="1270"/>
      <c r="O77" s="339"/>
      <c r="P77" s="340"/>
      <c r="Q77" s="645"/>
      <c r="R77" s="1403"/>
      <c r="S77" s="1270"/>
      <c r="T77" s="339"/>
      <c r="U77" s="645"/>
      <c r="V77" s="1199"/>
      <c r="X77" s="339"/>
      <c r="Y77" s="340"/>
      <c r="Z77" s="645"/>
      <c r="AA77" s="1403"/>
      <c r="AB77" s="1270"/>
      <c r="AC77" s="1436"/>
      <c r="AD77" s="645"/>
      <c r="AE77" s="1437"/>
      <c r="AG77" s="1436"/>
      <c r="AH77" s="340"/>
      <c r="AI77" s="645"/>
      <c r="AJ77" s="1403"/>
      <c r="AK77" s="1270"/>
      <c r="AL77" s="1436"/>
      <c r="AM77" s="645"/>
      <c r="AN77" s="1359"/>
      <c r="AQ77" s="1436"/>
      <c r="AR77" s="340"/>
      <c r="AS77" s="645"/>
      <c r="AT77" s="7021"/>
      <c r="AU77" s="1270"/>
      <c r="AV77" s="1436"/>
      <c r="AW77" s="645"/>
      <c r="AX77" s="1405"/>
      <c r="AY77" s="1354"/>
      <c r="AZ77" s="340"/>
      <c r="BA77" s="340"/>
      <c r="BB77" s="645"/>
      <c r="BC77" s="1403"/>
      <c r="BD77" s="1270"/>
      <c r="BE77" s="1436"/>
      <c r="BF77" s="645"/>
      <c r="BG77" s="1359"/>
      <c r="BH77" s="1270"/>
    </row>
    <row r="78" spans="1:62" x14ac:dyDescent="0.35">
      <c r="A78" s="9227"/>
      <c r="B78" s="330"/>
      <c r="C78" s="326"/>
      <c r="D78" s="197"/>
      <c r="F78" s="336"/>
      <c r="H78" s="330"/>
      <c r="I78" s="337"/>
      <c r="J78" s="329"/>
      <c r="L78" s="339"/>
      <c r="M78" s="1437"/>
      <c r="N78" s="1270"/>
      <c r="O78" s="339"/>
      <c r="P78" s="340"/>
      <c r="Q78" s="645"/>
      <c r="R78" s="1403"/>
      <c r="S78" s="1270"/>
      <c r="T78" s="339"/>
      <c r="U78" s="645"/>
      <c r="V78" s="1199"/>
      <c r="X78" s="339"/>
      <c r="Y78" s="340"/>
      <c r="Z78" s="645"/>
      <c r="AA78" s="1403"/>
      <c r="AB78" s="1270"/>
      <c r="AC78" s="1436"/>
      <c r="AD78" s="645"/>
      <c r="AE78" s="1437"/>
      <c r="AG78" s="1436"/>
      <c r="AH78" s="340"/>
      <c r="AI78" s="645"/>
      <c r="AJ78" s="1403"/>
      <c r="AK78" s="1270"/>
      <c r="AL78" s="1436"/>
      <c r="AM78" s="645"/>
      <c r="AN78" s="1359"/>
      <c r="AQ78" s="1436"/>
      <c r="AR78" s="340"/>
      <c r="AS78" s="645"/>
      <c r="AT78" s="7021"/>
      <c r="AU78" s="1270"/>
      <c r="AV78" s="1436"/>
      <c r="AW78" s="645"/>
      <c r="AX78" s="1405"/>
      <c r="AY78" s="1354"/>
      <c r="AZ78" s="340"/>
      <c r="BA78" s="340"/>
      <c r="BB78" s="645"/>
      <c r="BC78" s="1403"/>
      <c r="BD78" s="1270"/>
      <c r="BE78" s="1436"/>
      <c r="BF78" s="645"/>
      <c r="BG78" s="1359"/>
      <c r="BH78" s="1270"/>
    </row>
    <row r="79" spans="1:62" x14ac:dyDescent="0.35">
      <c r="A79" s="9227"/>
      <c r="B79" s="330"/>
      <c r="C79" s="337"/>
      <c r="D79" s="197"/>
      <c r="F79" s="336"/>
      <c r="H79" s="330"/>
      <c r="I79" s="337"/>
      <c r="J79" s="329"/>
      <c r="L79" s="339"/>
      <c r="M79" s="1437"/>
      <c r="N79" s="1270"/>
      <c r="O79" s="339"/>
      <c r="P79" s="340"/>
      <c r="Q79" s="645"/>
      <c r="R79" s="1403"/>
      <c r="S79" s="1270"/>
      <c r="T79" s="339"/>
      <c r="U79" s="645"/>
      <c r="V79" s="1199"/>
      <c r="X79" s="339"/>
      <c r="Y79" s="340"/>
      <c r="Z79" s="645"/>
      <c r="AA79" s="1403"/>
      <c r="AB79" s="1270"/>
      <c r="AC79" s="1436"/>
      <c r="AD79" s="645"/>
      <c r="AE79" s="1437"/>
      <c r="AG79" s="1436"/>
      <c r="AH79" s="340"/>
      <c r="AI79" s="645"/>
      <c r="AJ79" s="1403"/>
      <c r="AK79" s="1270"/>
      <c r="AL79" s="1436"/>
      <c r="AM79" s="645"/>
      <c r="AN79" s="1359"/>
      <c r="AQ79" s="1436"/>
      <c r="AR79" s="340"/>
      <c r="AS79" s="645"/>
      <c r="AT79" s="7021"/>
      <c r="AU79" s="1270"/>
      <c r="AV79" s="1436"/>
      <c r="AW79" s="645"/>
      <c r="AX79" s="1405"/>
      <c r="AY79" s="1354"/>
      <c r="AZ79" s="340"/>
      <c r="BA79" s="340"/>
      <c r="BB79" s="645"/>
      <c r="BC79" s="1403"/>
      <c r="BD79" s="1270"/>
      <c r="BE79" s="1436"/>
      <c r="BF79" s="645"/>
      <c r="BG79" s="1359"/>
      <c r="BH79" s="1270"/>
    </row>
    <row r="80" spans="1:62" x14ac:dyDescent="0.35">
      <c r="A80" s="9228"/>
      <c r="B80" s="341"/>
      <c r="C80" s="342"/>
      <c r="D80" s="209"/>
      <c r="F80" s="343"/>
      <c r="H80" s="341"/>
      <c r="I80" s="342"/>
      <c r="J80" s="344"/>
      <c r="L80" s="345"/>
      <c r="M80" s="1442"/>
      <c r="N80" s="1270"/>
      <c r="O80" s="345"/>
      <c r="P80" s="346"/>
      <c r="Q80" s="1200"/>
      <c r="R80" s="1421"/>
      <c r="S80" s="1270"/>
      <c r="T80" s="345"/>
      <c r="U80" s="1200"/>
      <c r="V80" s="1443"/>
      <c r="X80" s="345"/>
      <c r="Y80" s="346"/>
      <c r="Z80" s="1200"/>
      <c r="AA80" s="1421"/>
      <c r="AB80" s="1270"/>
      <c r="AC80" s="1444"/>
      <c r="AD80" s="1200"/>
      <c r="AE80" s="1442"/>
      <c r="AG80" s="1444"/>
      <c r="AH80" s="346"/>
      <c r="AI80" s="1200"/>
      <c r="AJ80" s="1421"/>
      <c r="AK80" s="1270"/>
      <c r="AL80" s="1444"/>
      <c r="AM80" s="1200"/>
      <c r="AN80" s="1445"/>
      <c r="AQ80" s="1444"/>
      <c r="AR80" s="346"/>
      <c r="AS80" s="1200"/>
      <c r="AT80" s="7022"/>
      <c r="AU80" s="1270"/>
      <c r="AV80" s="1444"/>
      <c r="AW80" s="1200"/>
      <c r="AX80" s="8215"/>
      <c r="AY80" s="1354"/>
      <c r="AZ80" s="346"/>
      <c r="BA80" s="346"/>
      <c r="BB80" s="1200"/>
      <c r="BC80" s="1421"/>
      <c r="BD80" s="1270"/>
      <c r="BE80" s="1444"/>
      <c r="BF80" s="1200"/>
      <c r="BG80" s="1445"/>
      <c r="BH80" s="1270"/>
    </row>
    <row r="81" spans="1:60" x14ac:dyDescent="0.35">
      <c r="A81" s="310"/>
      <c r="B81" s="310"/>
      <c r="F81" s="106"/>
      <c r="H81" s="106"/>
      <c r="I81" s="106"/>
      <c r="J81" s="311"/>
      <c r="L81" s="645"/>
      <c r="M81" s="1423"/>
      <c r="N81" s="1270"/>
      <c r="O81" s="645"/>
      <c r="P81" s="645"/>
      <c r="Q81" s="645"/>
      <c r="R81" s="1424"/>
      <c r="S81" s="1270"/>
      <c r="T81" s="645"/>
      <c r="U81" s="645"/>
      <c r="V81" s="1423"/>
      <c r="X81" s="645"/>
      <c r="Y81" s="645"/>
      <c r="Z81" s="645"/>
      <c r="AA81" s="1424"/>
      <c r="AB81" s="1270"/>
      <c r="AC81" s="645"/>
      <c r="AD81" s="645"/>
      <c r="AE81" s="1423"/>
      <c r="AG81" s="645"/>
      <c r="AH81" s="645"/>
      <c r="AI81" s="645"/>
      <c r="AJ81" s="1424"/>
      <c r="AK81" s="1270"/>
      <c r="AL81" s="645"/>
      <c r="AM81" s="645"/>
      <c r="AN81" s="1423"/>
      <c r="AQ81" s="645"/>
      <c r="AR81" s="645"/>
      <c r="AS81" s="645"/>
      <c r="AT81" s="7023"/>
      <c r="AU81" s="1270"/>
      <c r="AV81" s="645"/>
      <c r="AW81" s="645"/>
      <c r="AX81" s="1423"/>
      <c r="AY81" s="1423"/>
      <c r="AZ81" s="645"/>
      <c r="BA81" s="645"/>
      <c r="BB81" s="645"/>
      <c r="BC81" s="1424"/>
      <c r="BD81" s="1270"/>
      <c r="BE81" s="645"/>
      <c r="BF81" s="645"/>
      <c r="BG81" s="1423"/>
      <c r="BH81" s="1270"/>
    </row>
    <row r="82" spans="1:60" x14ac:dyDescent="0.35">
      <c r="A82" s="9167" t="s">
        <v>566</v>
      </c>
      <c r="B82" s="139" t="s">
        <v>567</v>
      </c>
      <c r="C82" s="348"/>
      <c r="D82" s="49"/>
      <c r="E82" s="141"/>
      <c r="F82" s="227"/>
      <c r="G82" s="141"/>
      <c r="H82" s="102"/>
      <c r="I82" s="103"/>
      <c r="J82" s="228"/>
      <c r="K82" s="141"/>
      <c r="L82" s="1375"/>
      <c r="M82" s="1317"/>
      <c r="N82" s="1319"/>
      <c r="O82" s="1375"/>
      <c r="P82" s="653"/>
      <c r="Q82" s="653"/>
      <c r="R82" s="1379"/>
      <c r="S82" s="1319"/>
      <c r="T82" s="1375"/>
      <c r="U82" s="653"/>
      <c r="V82" s="1317"/>
      <c r="W82" s="141"/>
      <c r="X82" s="1375"/>
      <c r="Y82" s="653"/>
      <c r="Z82" s="653"/>
      <c r="AA82" s="1379"/>
      <c r="AB82" s="1319"/>
      <c r="AC82" s="1375"/>
      <c r="AD82" s="653"/>
      <c r="AE82" s="1317"/>
      <c r="AF82" s="141"/>
      <c r="AG82" s="1375"/>
      <c r="AH82" s="653"/>
      <c r="AI82" s="653"/>
      <c r="AJ82" s="1379"/>
      <c r="AK82" s="1319"/>
      <c r="AL82" s="1375"/>
      <c r="AM82" s="653"/>
      <c r="AN82" s="1317"/>
      <c r="AO82" s="141"/>
      <c r="AQ82" s="1375"/>
      <c r="AR82" s="653"/>
      <c r="AS82" s="653"/>
      <c r="AT82" s="1379"/>
      <c r="AU82" s="1319"/>
      <c r="AV82" s="1375"/>
      <c r="AW82" s="653"/>
      <c r="AX82" s="8216"/>
      <c r="AY82" s="1256"/>
      <c r="AZ82" s="653"/>
      <c r="BA82" s="653"/>
      <c r="BB82" s="653"/>
      <c r="BC82" s="1379"/>
      <c r="BD82" s="1319"/>
      <c r="BE82" s="1375"/>
      <c r="BF82" s="653"/>
      <c r="BG82" s="1317"/>
      <c r="BH82" s="1319"/>
    </row>
    <row r="83" spans="1:60" x14ac:dyDescent="0.35">
      <c r="A83" s="9168"/>
      <c r="B83" s="6082"/>
      <c r="C83"/>
      <c r="D83" s="110" t="s">
        <v>568</v>
      </c>
      <c r="F83" s="349">
        <f>SUM(F35:F37)-SUM(F40:F42)</f>
        <v>1781.4</v>
      </c>
      <c r="G83" s="350"/>
      <c r="H83" s="351">
        <f>SUM(H35:H37)-SUM(H40:H42)</f>
        <v>1966.3999999999999</v>
      </c>
      <c r="I83" s="352">
        <f>SUM(I35:I37)-SUM(I40:I42)</f>
        <v>1966.3999999999999</v>
      </c>
      <c r="J83" s="246"/>
      <c r="K83" s="350"/>
      <c r="L83" s="354">
        <f>SUM(L35:L37)-SUM(L40:L42)</f>
        <v>2264.1</v>
      </c>
      <c r="M83" s="1201">
        <f>SUM(M35:M37)-SUM(M40:M42)</f>
        <v>2264.1</v>
      </c>
      <c r="N83" s="1270"/>
      <c r="O83" s="354">
        <f>SUM(O35:O37)-SUM(O40:O42)</f>
        <v>2264.1</v>
      </c>
      <c r="P83" s="355">
        <f>SUM(P35:P37)-SUM(P40:P42)</f>
        <v>2264.1</v>
      </c>
      <c r="Q83" s="355"/>
      <c r="R83" s="1363"/>
      <c r="S83" s="1446"/>
      <c r="T83" s="354">
        <f>SUM(T35:T37)-SUM(T40:T42)</f>
        <v>2238.6</v>
      </c>
      <c r="U83" s="355"/>
      <c r="V83" s="1201">
        <f>SUM(V35:V37)-SUM(V40:V42)</f>
        <v>2238.6</v>
      </c>
      <c r="X83" s="354">
        <f>SUM(X35:X38)-SUM(X40:X42)</f>
        <v>2238.6</v>
      </c>
      <c r="Y83" s="355">
        <f>SUM(Y35:Y38)-SUM(Y40:Y42)</f>
        <v>2257.2801880000002</v>
      </c>
      <c r="Z83" s="355"/>
      <c r="AA83" s="1363"/>
      <c r="AB83" s="1446"/>
      <c r="AC83" s="354">
        <f>SUM(AC35:AC38)-SUM(AC40:AC42)</f>
        <v>2364.1000000000004</v>
      </c>
      <c r="AD83" s="355"/>
      <c r="AE83" s="1201">
        <f>SUM(AE35:AE38)-SUM(AE40:AE42)</f>
        <v>2257.2045159999998</v>
      </c>
      <c r="AG83" s="354">
        <f>SUM(AG35:AG38)-SUM(AG40:AG42)</f>
        <v>2364.1000000000004</v>
      </c>
      <c r="AH83" s="355">
        <f>SUM(AH35:AH38)-SUM(AH40:AH42)</f>
        <v>2363.9875320000001</v>
      </c>
      <c r="AI83" s="355"/>
      <c r="AJ83" s="1363"/>
      <c r="AK83" s="1446"/>
      <c r="AL83" s="354">
        <f>SUM(AL35:AL38)-SUM(AL40:AL42)</f>
        <v>2422.6999999999998</v>
      </c>
      <c r="AM83" s="355"/>
      <c r="AN83" s="1201">
        <f>SUM(AN35:AN38)-SUM(AN40:AN42)</f>
        <v>2421.9870410520703</v>
      </c>
      <c r="AQ83" s="354">
        <f>AQ35+AQ36</f>
        <v>2423.6059999999998</v>
      </c>
      <c r="AR83" s="355">
        <f>AR35+AR36</f>
        <v>2326.5070000000001</v>
      </c>
      <c r="AS83" s="355"/>
      <c r="AT83" s="1363"/>
      <c r="AU83" s="1446"/>
      <c r="AV83" s="354">
        <f>AV35+AV36</f>
        <v>2633.3487890000001</v>
      </c>
      <c r="AW83" s="355"/>
      <c r="AX83" s="355">
        <f>AX35+AX36</f>
        <v>2488.7993158704248</v>
      </c>
      <c r="AY83" s="355"/>
      <c r="AZ83" s="355">
        <f>AZ35+AZ36</f>
        <v>2633.3487890000001</v>
      </c>
      <c r="BA83" s="355">
        <f>BA35+BA36</f>
        <v>2342.6501389999999</v>
      </c>
      <c r="BB83" s="355"/>
      <c r="BC83" s="1363"/>
      <c r="BD83" s="1446"/>
      <c r="BE83" s="354">
        <f>BE35+BE36</f>
        <v>2621.6439999999998</v>
      </c>
      <c r="BF83" s="355"/>
      <c r="BG83" s="1201">
        <f>BG35+BG36</f>
        <v>2466.9674569999997</v>
      </c>
      <c r="BH83" s="1446"/>
    </row>
    <row r="84" spans="1:60" x14ac:dyDescent="0.35">
      <c r="A84" s="9168"/>
      <c r="B84" s="6082"/>
      <c r="C84"/>
      <c r="D84" s="110" t="s">
        <v>569</v>
      </c>
      <c r="F84" s="349">
        <f>SUM(F44:F50)</f>
        <v>0</v>
      </c>
      <c r="G84" s="350"/>
      <c r="H84" s="351">
        <f>SUM(H44:H50)</f>
        <v>0</v>
      </c>
      <c r="I84" s="352">
        <f>SUM(I44:I50)</f>
        <v>0</v>
      </c>
      <c r="J84" s="246"/>
      <c r="K84" s="350"/>
      <c r="L84" s="354">
        <f>SUM(L44:L50)</f>
        <v>0</v>
      </c>
      <c r="M84" s="1201">
        <f>SUM(M44:M50)</f>
        <v>0</v>
      </c>
      <c r="N84" s="1270"/>
      <c r="O84" s="354">
        <f>SUM(O44:O50)</f>
        <v>0</v>
      </c>
      <c r="P84" s="355">
        <f>SUM(P44:P50)</f>
        <v>0</v>
      </c>
      <c r="Q84" s="355"/>
      <c r="R84" s="1363"/>
      <c r="S84" s="1446"/>
      <c r="T84" s="354">
        <f>SUM(T44:T50)</f>
        <v>0</v>
      </c>
      <c r="U84" s="355"/>
      <c r="V84" s="1201">
        <f>SUM(V44:V50)</f>
        <v>0</v>
      </c>
      <c r="X84" s="354">
        <f>SUM(X44:X50)</f>
        <v>0</v>
      </c>
      <c r="Y84" s="355">
        <f>SUM(Y44:Y50)</f>
        <v>0</v>
      </c>
      <c r="Z84" s="355"/>
      <c r="AA84" s="1363"/>
      <c r="AB84" s="1446"/>
      <c r="AC84" s="354">
        <f>SUM(AC44:AC50)</f>
        <v>0</v>
      </c>
      <c r="AD84" s="355"/>
      <c r="AE84" s="1201">
        <f>SUM(AE44:AE50)</f>
        <v>0</v>
      </c>
      <c r="AG84" s="354">
        <f>SUM(AG44:AG50)</f>
        <v>0</v>
      </c>
      <c r="AH84" s="355">
        <f>SUM(AH44:AH50)</f>
        <v>0</v>
      </c>
      <c r="AI84" s="355"/>
      <c r="AJ84" s="1363"/>
      <c r="AK84" s="1446"/>
      <c r="AL84" s="354">
        <f>SUM(AL44:AL50)</f>
        <v>0</v>
      </c>
      <c r="AM84" s="355"/>
      <c r="AN84" s="1201">
        <f>SUM(AN44:AN50)</f>
        <v>0</v>
      </c>
      <c r="AQ84" s="354">
        <f>SUM(AQ44:AQ50)</f>
        <v>0</v>
      </c>
      <c r="AR84" s="355">
        <f>SUM(AR44:AR50)</f>
        <v>0</v>
      </c>
      <c r="AS84" s="355"/>
      <c r="AT84" s="1363"/>
      <c r="AU84" s="1446"/>
      <c r="AV84" s="354">
        <f>SUM(AV44:AV50)</f>
        <v>0</v>
      </c>
      <c r="AW84" s="355"/>
      <c r="AX84" s="355">
        <f>SUM(AX44:AX50)</f>
        <v>0</v>
      </c>
      <c r="AY84" s="355"/>
      <c r="AZ84" s="355">
        <f>SUM(AZ44:AZ50)</f>
        <v>0</v>
      </c>
      <c r="BA84" s="355">
        <f>SUM(BA44:BA50)</f>
        <v>0</v>
      </c>
      <c r="BB84" s="355"/>
      <c r="BC84" s="1363"/>
      <c r="BD84" s="1446"/>
      <c r="BE84" s="354">
        <f>SUM(BE44:BE50)</f>
        <v>0</v>
      </c>
      <c r="BF84" s="355"/>
      <c r="BG84" s="1201">
        <f>SUM(BG44:BG50)</f>
        <v>0</v>
      </c>
      <c r="BH84" s="1446"/>
    </row>
    <row r="85" spans="1:60" x14ac:dyDescent="0.35">
      <c r="A85" s="9168"/>
      <c r="B85" s="6082"/>
      <c r="C85"/>
      <c r="D85" s="110" t="s">
        <v>570</v>
      </c>
      <c r="F85" s="349">
        <f>SUM(F52:F59)*F28</f>
        <v>246.53241914872706</v>
      </c>
      <c r="G85" s="350"/>
      <c r="H85" s="351">
        <f>SUM(H52:H59)*H28</f>
        <v>386.03392030543938</v>
      </c>
      <c r="I85" s="352">
        <f>SUM(I52:I59)*I28</f>
        <v>238.327684668725</v>
      </c>
      <c r="J85" s="246"/>
      <c r="K85" s="350"/>
      <c r="L85" s="354">
        <f>SUM(L52:L59)*L28</f>
        <v>467.50390224697321</v>
      </c>
      <c r="M85" s="1201">
        <f>SUM(M52:M59)*M28</f>
        <v>276.09569220217821</v>
      </c>
      <c r="N85" s="1270"/>
      <c r="O85" s="354">
        <f>SUM(O52:O59)*O28</f>
        <v>467.83722515913547</v>
      </c>
      <c r="P85" s="355">
        <f>SUM(P52:P59)*P28</f>
        <v>276.40991964406976</v>
      </c>
      <c r="Q85" s="355"/>
      <c r="R85" s="1363"/>
      <c r="S85" s="1446"/>
      <c r="T85" s="354">
        <f>SUM(T52:T59)*T28</f>
        <v>434.3543740475663</v>
      </c>
      <c r="U85" s="355"/>
      <c r="V85" s="1201">
        <f>SUM(V52:V59)*V28</f>
        <v>256.62741477380195</v>
      </c>
      <c r="X85" s="354">
        <f>SUM(X52:X59)*X28</f>
        <v>176.09845875955779</v>
      </c>
      <c r="Y85" s="355">
        <f>SUM(Y52:Y59)*Y28</f>
        <v>177.62663506548498</v>
      </c>
      <c r="Z85" s="355"/>
      <c r="AA85" s="1363"/>
      <c r="AB85" s="1446"/>
      <c r="AC85" s="354">
        <f>SUM(AC52:AC59)*AC28</f>
        <v>186.6758250685607</v>
      </c>
      <c r="AD85" s="355"/>
      <c r="AE85" s="1201">
        <f>SUM(AE52:AE59)*AE28</f>
        <v>186.17475607621117</v>
      </c>
      <c r="AG85" s="354">
        <f>SUM(AG52:AG59)*AG28</f>
        <v>170.02036401995608</v>
      </c>
      <c r="AH85" s="355">
        <f>SUM(AH52:AH59)*AH28</f>
        <v>172.52662803878894</v>
      </c>
      <c r="AI85" s="355"/>
      <c r="AJ85" s="1363"/>
      <c r="AK85" s="1446"/>
      <c r="AL85" s="354">
        <f>SUM(AL52:AL59)*AL28</f>
        <v>232.22146888250208</v>
      </c>
      <c r="AM85" s="355"/>
      <c r="AN85" s="1201">
        <f>SUM(AN52:AN59)*AN28</f>
        <v>241.90351516343631</v>
      </c>
      <c r="AQ85" s="354">
        <f>SUM(AQ52:AQ59)*AQ28</f>
        <v>196.99005466377062</v>
      </c>
      <c r="AR85" s="355">
        <f>SUM(AR52:AR59)*AR28</f>
        <v>234.51447318376466</v>
      </c>
      <c r="AS85" s="355"/>
      <c r="AT85" s="1363"/>
      <c r="AU85" s="1446"/>
      <c r="AV85" s="354">
        <f>SUM(AV52:AV59)*AV28</f>
        <v>209.44399128609055</v>
      </c>
      <c r="AW85" s="355"/>
      <c r="AX85" s="355">
        <f>SUM(AX52:AX59)*AX28</f>
        <v>246.52892193264262</v>
      </c>
      <c r="AY85" s="355"/>
      <c r="AZ85" s="355">
        <f>SUM(AZ52:AZ59)*AZ28</f>
        <v>209.44399128609055</v>
      </c>
      <c r="BA85" s="355">
        <f>SUM(BA52:BA59)*BA28</f>
        <v>234.79204288858293</v>
      </c>
      <c r="BB85" s="355"/>
      <c r="BC85" s="1363"/>
      <c r="BD85" s="1446"/>
      <c r="BE85" s="354">
        <f>SUM(BE52:BE59)*BE28</f>
        <v>222.87247299319247</v>
      </c>
      <c r="BF85" s="355"/>
      <c r="BG85" s="1201">
        <f>SUM(BG52:BG59)*BG28</f>
        <v>253.51546954717651</v>
      </c>
      <c r="BH85" s="1446"/>
    </row>
    <row r="86" spans="1:60" x14ac:dyDescent="0.35">
      <c r="A86" s="9168"/>
      <c r="B86" s="6082"/>
      <c r="C86"/>
      <c r="D86" s="110" t="s">
        <v>552</v>
      </c>
      <c r="F86" s="349">
        <f>F61</f>
        <v>0</v>
      </c>
      <c r="G86" s="350"/>
      <c r="H86" s="351">
        <f>H61</f>
        <v>0</v>
      </c>
      <c r="I86" s="352">
        <f>I61</f>
        <v>0</v>
      </c>
      <c r="J86" s="246"/>
      <c r="K86" s="350"/>
      <c r="L86" s="354">
        <f>L61</f>
        <v>0</v>
      </c>
      <c r="M86" s="1201">
        <f>M61</f>
        <v>0</v>
      </c>
      <c r="N86" s="1270"/>
      <c r="O86" s="354">
        <f>O61</f>
        <v>0</v>
      </c>
      <c r="P86" s="355">
        <f>P61</f>
        <v>0</v>
      </c>
      <c r="Q86" s="355"/>
      <c r="R86" s="1363"/>
      <c r="S86" s="1446"/>
      <c r="T86" s="354">
        <f>T61</f>
        <v>0</v>
      </c>
      <c r="U86" s="355"/>
      <c r="V86" s="1201">
        <f>V61</f>
        <v>0</v>
      </c>
      <c r="X86" s="354">
        <f>X61</f>
        <v>0</v>
      </c>
      <c r="Y86" s="355">
        <f>Y61</f>
        <v>0</v>
      </c>
      <c r="Z86" s="355"/>
      <c r="AA86" s="1363"/>
      <c r="AB86" s="1446"/>
      <c r="AC86" s="354">
        <f>AC61</f>
        <v>0</v>
      </c>
      <c r="AD86" s="355"/>
      <c r="AE86" s="1201">
        <f>AE61</f>
        <v>0</v>
      </c>
      <c r="AG86" s="354">
        <f>AG61</f>
        <v>0</v>
      </c>
      <c r="AH86" s="355">
        <f>AH61</f>
        <v>0</v>
      </c>
      <c r="AI86" s="355"/>
      <c r="AJ86" s="1363"/>
      <c r="AK86" s="1446"/>
      <c r="AL86" s="354">
        <f>AL61</f>
        <v>0</v>
      </c>
      <c r="AM86" s="355"/>
      <c r="AN86" s="1201">
        <f>AN61</f>
        <v>0</v>
      </c>
      <c r="AQ86" s="354">
        <f>AQ61</f>
        <v>0</v>
      </c>
      <c r="AR86" s="355">
        <f>AR61</f>
        <v>0</v>
      </c>
      <c r="AS86" s="355"/>
      <c r="AT86" s="1363"/>
      <c r="AU86" s="1446"/>
      <c r="AV86" s="354">
        <f>AV61</f>
        <v>0</v>
      </c>
      <c r="AW86" s="355"/>
      <c r="AX86" s="355">
        <f>AX61</f>
        <v>0</v>
      </c>
      <c r="AY86" s="355"/>
      <c r="AZ86" s="355">
        <f>AZ61</f>
        <v>0</v>
      </c>
      <c r="BA86" s="355">
        <f>BA61</f>
        <v>0</v>
      </c>
      <c r="BB86" s="355"/>
      <c r="BC86" s="1363"/>
      <c r="BD86" s="1446"/>
      <c r="BE86" s="354">
        <f>BE61</f>
        <v>0</v>
      </c>
      <c r="BF86" s="355"/>
      <c r="BG86" s="1201">
        <f>BG61</f>
        <v>0</v>
      </c>
      <c r="BH86" s="1446"/>
    </row>
    <row r="87" spans="1:60" x14ac:dyDescent="0.35">
      <c r="A87" s="9168"/>
      <c r="B87" s="6082"/>
      <c r="C87"/>
      <c r="D87" s="356" t="s">
        <v>571</v>
      </c>
      <c r="E87" s="143"/>
      <c r="F87" s="357">
        <f>SUM(F83:F86)</f>
        <v>2027.9324191487271</v>
      </c>
      <c r="G87" s="358"/>
      <c r="H87" s="359">
        <f>SUM(H83:H86)</f>
        <v>2352.4339203054392</v>
      </c>
      <c r="I87" s="360">
        <f>SUM(I83:I86)</f>
        <v>2204.727684668725</v>
      </c>
      <c r="J87" s="361"/>
      <c r="K87" s="358"/>
      <c r="L87" s="363">
        <f>SUM(L83:L86)</f>
        <v>2731.6039022469731</v>
      </c>
      <c r="M87" s="1202">
        <f>SUM(M83:M86)</f>
        <v>2540.1956922021782</v>
      </c>
      <c r="N87" s="1321"/>
      <c r="O87" s="363">
        <f>SUM(O83:O86)</f>
        <v>2731.9372251591353</v>
      </c>
      <c r="P87" s="364">
        <f>SUM(P83:P86)</f>
        <v>2540.5099196440697</v>
      </c>
      <c r="Q87" s="364"/>
      <c r="R87" s="1447"/>
      <c r="S87" s="1448"/>
      <c r="T87" s="363">
        <f>SUM(T83:T86)</f>
        <v>2672.954374047566</v>
      </c>
      <c r="U87" s="364"/>
      <c r="V87" s="1202">
        <f>SUM(V83:V86)</f>
        <v>2495.2274147738017</v>
      </c>
      <c r="W87" s="143"/>
      <c r="X87" s="363">
        <f>SUM(X83:X86)</f>
        <v>2414.6984587595575</v>
      </c>
      <c r="Y87" s="364">
        <f>SUM(Y83:Y86)</f>
        <v>2434.9068230654852</v>
      </c>
      <c r="Z87" s="364"/>
      <c r="AA87" s="1447"/>
      <c r="AB87" s="1448"/>
      <c r="AC87" s="363">
        <f>SUM(AC83:AC86)</f>
        <v>2550.7758250685611</v>
      </c>
      <c r="AD87" s="364"/>
      <c r="AE87" s="1202">
        <f>SUM(AE83:AE86)</f>
        <v>2443.3792720762108</v>
      </c>
      <c r="AF87" s="143"/>
      <c r="AG87" s="363">
        <f>SUM(AG83:AG86)</f>
        <v>2534.1203640199565</v>
      </c>
      <c r="AH87" s="364">
        <f>SUM(AH83:AH86)</f>
        <v>2536.5141600387892</v>
      </c>
      <c r="AI87" s="364"/>
      <c r="AJ87" s="1447"/>
      <c r="AK87" s="1448"/>
      <c r="AL87" s="363">
        <f>SUM(AL83:AL86)</f>
        <v>2654.9214688825018</v>
      </c>
      <c r="AM87" s="364"/>
      <c r="AN87" s="1202">
        <f>SUM(AN83:AN86)</f>
        <v>2663.8905562155064</v>
      </c>
      <c r="AO87" s="143"/>
      <c r="AQ87" s="363">
        <f>SUM(AQ83:AQ86)</f>
        <v>2620.5960546637702</v>
      </c>
      <c r="AR87" s="364">
        <f>SUM(AR83:AR86)</f>
        <v>2561.0214731837646</v>
      </c>
      <c r="AS87" s="364"/>
      <c r="AT87" s="1447"/>
      <c r="AU87" s="1448"/>
      <c r="AV87" s="363">
        <f>SUM(AV83:AV86)</f>
        <v>2842.7927802860909</v>
      </c>
      <c r="AW87" s="364"/>
      <c r="AX87" s="364">
        <f>SUM(AX83:AX86)</f>
        <v>2735.3282378030676</v>
      </c>
      <c r="AY87" s="364"/>
      <c r="AZ87" s="364">
        <f>SUM(AZ83:AZ86)</f>
        <v>2842.7927802860909</v>
      </c>
      <c r="BA87" s="364">
        <f>SUM(BA83:BA86)</f>
        <v>2577.4421818885826</v>
      </c>
      <c r="BB87" s="364"/>
      <c r="BC87" s="1447"/>
      <c r="BD87" s="1448"/>
      <c r="BE87" s="363">
        <f>SUM(BE83:BE86)</f>
        <v>2844.5164729931921</v>
      </c>
      <c r="BF87" s="364"/>
      <c r="BG87" s="1202">
        <f>SUM(BG83:BG86)</f>
        <v>2720.4829265471762</v>
      </c>
      <c r="BH87" s="1448"/>
    </row>
    <row r="88" spans="1:60" ht="15.5" x14ac:dyDescent="0.35">
      <c r="A88" s="9168"/>
      <c r="B88" s="6082"/>
      <c r="C88"/>
      <c r="D88" s="356" t="s">
        <v>572</v>
      </c>
      <c r="F88" s="366">
        <f>F87/(F17+F19)</f>
        <v>0.20119973997427643</v>
      </c>
      <c r="G88" s="367"/>
      <c r="H88" s="368">
        <f>H87/(H17+H18+H19)</f>
        <v>0.16410307010801733</v>
      </c>
      <c r="I88" s="369">
        <f>I87/(I17+I18+I19)</f>
        <v>0.15296056423185753</v>
      </c>
      <c r="J88" s="370"/>
      <c r="K88" s="367"/>
      <c r="L88" s="368">
        <f>L87/(L17+L18+L19)</f>
        <v>0.16688480726328936</v>
      </c>
      <c r="M88" s="370">
        <f>M87/(M17+M18+M19)</f>
        <v>0.16977647989588143</v>
      </c>
      <c r="O88" s="368">
        <f>O87/(O17+O18+O19)</f>
        <v>0.16690517131750193</v>
      </c>
      <c r="P88" s="369">
        <f>P87/(P17+P18+P19)</f>
        <v>0.1697974815963153</v>
      </c>
      <c r="Q88" s="369"/>
      <c r="R88" s="370"/>
      <c r="S88" s="367"/>
      <c r="T88" s="368">
        <f>T87/(T17+T18+T19)</f>
        <v>0.15612859243115995</v>
      </c>
      <c r="U88" s="369"/>
      <c r="V88" s="370">
        <f>V87/(V17+V18+V19)</f>
        <v>0.17300781683963065</v>
      </c>
      <c r="X88" s="368">
        <f>X87/(X17+X18+X19)</f>
        <v>0.14104373616409216</v>
      </c>
      <c r="Y88" s="369">
        <f>Y87/(Y17+Y18+Y19)</f>
        <v>0.15575528680318335</v>
      </c>
      <c r="Z88" s="369"/>
      <c r="AA88" s="370"/>
      <c r="AB88" s="367"/>
      <c r="AC88" s="368">
        <f>AC87/(AC17+AC18+AC19)</f>
        <v>0.15542138831760674</v>
      </c>
      <c r="AD88" s="369"/>
      <c r="AE88" s="370">
        <f>AE87/(AE17+AE18+AE19)</f>
        <v>0.14254174209236128</v>
      </c>
      <c r="AG88" s="368">
        <f>AG87/(AG17+AG18+AG19)</f>
        <v>0.15440655398610512</v>
      </c>
      <c r="AH88" s="369">
        <f>AH87/(AH17+AH18+AH19)</f>
        <v>0.14797331420097129</v>
      </c>
      <c r="AI88" s="369"/>
      <c r="AJ88" s="370"/>
      <c r="AK88" s="367"/>
      <c r="AL88" s="368">
        <f>AL87/(AL17+AL18+AL19)</f>
        <v>0.14976457040172514</v>
      </c>
      <c r="AM88" s="369"/>
      <c r="AN88" s="370">
        <f>AN87/(AN17+AN18+AN19)</f>
        <v>0.15652818423463191</v>
      </c>
      <c r="AQ88" s="561">
        <f>AQ87/(AQ17+AQ18+AQ19)</f>
        <v>0.14782826796318504</v>
      </c>
      <c r="AR88" s="562">
        <f>AR87/(AR17+AR18+AR19)</f>
        <v>0.15048367510745683</v>
      </c>
      <c r="AS88" s="562"/>
      <c r="AT88" s="563"/>
      <c r="AU88" s="560"/>
      <c r="AV88" s="561">
        <f>AV87/(AV17+AV18+AV19)</f>
        <v>0.14487854619840343</v>
      </c>
      <c r="AW88" s="562"/>
      <c r="AX88" s="3412">
        <f>AX87/(AX17+AX18+AX19)</f>
        <v>0.16254817847865241</v>
      </c>
      <c r="AY88" s="369"/>
      <c r="AZ88" s="369">
        <f>AZ87/(AZ17+AZ18+AZ19)</f>
        <v>0.14487854619840343</v>
      </c>
      <c r="BA88" s="369">
        <f>BA87/(BA17+BA18+BA19)</f>
        <v>0.15317482717382877</v>
      </c>
      <c r="BB88" s="369"/>
      <c r="BC88" s="370"/>
      <c r="BD88" s="367"/>
      <c r="BE88" s="368">
        <f>BE87/(BE17+BE18+BE19)</f>
        <v>0.1527795032588489</v>
      </c>
      <c r="BF88" s="369"/>
      <c r="BG88" s="370">
        <f>BG87/(BG17+BG18+BG19)</f>
        <v>0.1481575052171144</v>
      </c>
      <c r="BH88" s="367"/>
    </row>
    <row r="89" spans="1:60" x14ac:dyDescent="0.35">
      <c r="A89" s="9168"/>
      <c r="B89" s="1449"/>
      <c r="C89" s="1450"/>
      <c r="D89" s="1451" t="s">
        <v>573</v>
      </c>
      <c r="E89" s="374"/>
      <c r="F89" s="1452"/>
      <c r="G89" s="376"/>
      <c r="H89" s="1453">
        <f>H35+H85</f>
        <v>2199.1339203054395</v>
      </c>
      <c r="I89" s="1454">
        <f>I35+I85</f>
        <v>2051.4276846687249</v>
      </c>
      <c r="J89" s="1455"/>
      <c r="K89" s="1456"/>
      <c r="L89" s="1457">
        <f>L35+L85</f>
        <v>2502.1039022469731</v>
      </c>
      <c r="M89" s="379">
        <f>M35+M85</f>
        <v>2310.6956922021782</v>
      </c>
      <c r="O89" s="1458">
        <f>O35+O85</f>
        <v>2502.4372251591353</v>
      </c>
      <c r="P89" s="1459">
        <f>P35+P85</f>
        <v>2311.0099196440697</v>
      </c>
      <c r="Q89" s="383"/>
      <c r="R89" s="384"/>
      <c r="S89" s="385"/>
      <c r="T89" s="1460">
        <f>T35+T85</f>
        <v>2586.954374047566</v>
      </c>
      <c r="U89" s="383"/>
      <c r="V89" s="1461">
        <f>V35+V85</f>
        <v>2409.2274147738017</v>
      </c>
      <c r="X89" s="1458">
        <f>X35+X85</f>
        <v>2328.6984587595575</v>
      </c>
      <c r="Y89" s="1459">
        <f>Y35+Y85</f>
        <v>2348.9068230654852</v>
      </c>
      <c r="Z89" s="383"/>
      <c r="AA89" s="384"/>
      <c r="AB89" s="385"/>
      <c r="AC89" s="1460">
        <f>AC35+AC85</f>
        <v>2423.5758250685608</v>
      </c>
      <c r="AD89" s="383"/>
      <c r="AE89" s="1462">
        <f>AE35+AE85</f>
        <v>2417.0705440762108</v>
      </c>
      <c r="AG89" s="1458">
        <f>AG35+AG85</f>
        <v>2406.9203640199562</v>
      </c>
      <c r="AH89" s="1459">
        <f>AH35+AH85</f>
        <v>2403.4054320387891</v>
      </c>
      <c r="AI89" s="383"/>
      <c r="AJ89" s="384"/>
      <c r="AK89" s="385"/>
      <c r="AL89" s="1460">
        <f>AL35+AL85</f>
        <v>2552.3214688825019</v>
      </c>
      <c r="AM89" s="383"/>
      <c r="AN89" s="1462">
        <f>AN35+AN85</f>
        <v>2555.7583648037416</v>
      </c>
      <c r="AQ89" s="7030">
        <f>AQ35+AQ85</f>
        <v>2517.9960546637703</v>
      </c>
      <c r="AR89" s="7031">
        <f>AR35+AR85</f>
        <v>2491.2774731837644</v>
      </c>
      <c r="AS89" s="956"/>
      <c r="AT89" s="955"/>
      <c r="AU89" s="954"/>
      <c r="AV89" s="7032">
        <f>AV35+AV85</f>
        <v>2623.7939912860907</v>
      </c>
      <c r="AW89" s="7033"/>
      <c r="AX89" s="8191">
        <f>AX35+AX85</f>
        <v>2594.0522583867496</v>
      </c>
      <c r="AY89" s="8206"/>
      <c r="AZ89" s="8227">
        <f>AZ35+AZ85</f>
        <v>2623.7939912860907</v>
      </c>
      <c r="BA89" s="7031">
        <f>BA35+BA85</f>
        <v>2507.3371388885826</v>
      </c>
      <c r="BB89" s="383"/>
      <c r="BC89" s="384"/>
      <c r="BD89" s="385"/>
      <c r="BE89" s="7032">
        <f>BE35+BE85</f>
        <v>2626.1354729931923</v>
      </c>
      <c r="BF89" s="8206"/>
      <c r="BG89" s="7034">
        <f>BG35+BG85</f>
        <v>2655.5859065471764</v>
      </c>
      <c r="BH89" s="385"/>
    </row>
    <row r="90" spans="1:60" s="972" customFormat="1" x14ac:dyDescent="0.35">
      <c r="A90" s="9168"/>
      <c r="B90" s="1463"/>
      <c r="C90" s="1464"/>
      <c r="D90" s="1465" t="s">
        <v>574</v>
      </c>
      <c r="E90" s="961"/>
      <c r="F90" s="1466"/>
      <c r="G90" s="1467"/>
      <c r="H90" s="1468">
        <f>H36</f>
        <v>153.30000000000001</v>
      </c>
      <c r="I90" s="1469">
        <f>I36</f>
        <v>153.30000000000001</v>
      </c>
      <c r="J90" s="1470"/>
      <c r="K90" s="1467"/>
      <c r="L90" s="1468">
        <f>L36</f>
        <v>229.5</v>
      </c>
      <c r="M90" s="1471">
        <f>M36</f>
        <v>229.5</v>
      </c>
      <c r="N90" s="1467"/>
      <c r="O90" s="1468">
        <f>O36</f>
        <v>229.5</v>
      </c>
      <c r="P90" s="1469">
        <f>P36</f>
        <v>229.5</v>
      </c>
      <c r="Q90" s="1472"/>
      <c r="R90" s="1470"/>
      <c r="S90" s="1467"/>
      <c r="T90" s="1473">
        <f>T36</f>
        <v>86</v>
      </c>
      <c r="U90" s="1474"/>
      <c r="V90" s="1475">
        <f>V36</f>
        <v>86</v>
      </c>
      <c r="W90" s="1476"/>
      <c r="X90" s="1468">
        <f>SUM(X36:X38)</f>
        <v>86</v>
      </c>
      <c r="Y90" s="1469">
        <f>SUM(Y36:Y38)</f>
        <v>86</v>
      </c>
      <c r="Z90" s="1472"/>
      <c r="AA90" s="1470"/>
      <c r="AB90" s="1467"/>
      <c r="AC90" s="1473">
        <f>SUM(AC36:AC38)</f>
        <v>127.19999999999999</v>
      </c>
      <c r="AD90" s="1474"/>
      <c r="AE90" s="1475">
        <f>SUM(AE36:AE38)</f>
        <v>26.308727999999999</v>
      </c>
      <c r="AF90" s="1477"/>
      <c r="AG90" s="1468">
        <f>SUM(AG36:AG38)</f>
        <v>127.19999999999999</v>
      </c>
      <c r="AH90" s="1469">
        <f>SUM(AH36:AH38)</f>
        <v>133.10872799999999</v>
      </c>
      <c r="AI90" s="1472"/>
      <c r="AJ90" s="1470"/>
      <c r="AK90" s="1467"/>
      <c r="AL90" s="1473">
        <f>SUM(AL36:AL38)</f>
        <v>102.6</v>
      </c>
      <c r="AM90" s="1474"/>
      <c r="AN90" s="1475">
        <f>SUM(AN36:AN38)</f>
        <v>108.13219141176471</v>
      </c>
      <c r="AO90" s="1477"/>
      <c r="AQ90" s="7030">
        <f>AQ36</f>
        <v>102.6</v>
      </c>
      <c r="AR90" s="7031">
        <f>AR36</f>
        <v>69.744</v>
      </c>
      <c r="AS90" s="968"/>
      <c r="AT90" s="966"/>
      <c r="AU90" s="963"/>
      <c r="AV90" s="7032">
        <f>AV36</f>
        <v>218.99878900000002</v>
      </c>
      <c r="AW90" s="7035"/>
      <c r="AX90" s="7031">
        <f>AX36</f>
        <v>141.27597941631805</v>
      </c>
      <c r="AY90" s="8206"/>
      <c r="AZ90" s="8227">
        <f>AZ36</f>
        <v>218.99878900000002</v>
      </c>
      <c r="BA90" s="7031">
        <f>BA36</f>
        <v>70.105042999999995</v>
      </c>
      <c r="BB90" s="1472"/>
      <c r="BC90" s="1470"/>
      <c r="BD90" s="1467"/>
      <c r="BE90" s="7032">
        <f>BE36</f>
        <v>218.38099999999997</v>
      </c>
      <c r="BF90" s="8207"/>
      <c r="BG90" s="7036">
        <f>BG36</f>
        <v>64.897019999999998</v>
      </c>
      <c r="BH90" s="1467"/>
    </row>
    <row r="91" spans="1:60" x14ac:dyDescent="0.35">
      <c r="A91" s="9168"/>
      <c r="B91" s="1478"/>
      <c r="C91" s="1479"/>
      <c r="D91" s="1451" t="s">
        <v>575</v>
      </c>
      <c r="E91" s="392"/>
      <c r="F91" s="1480"/>
      <c r="G91" s="392"/>
      <c r="H91" s="1481">
        <f>(H87-H89)/(H18+H19)</f>
        <v>3.1657201858544086E-2</v>
      </c>
      <c r="I91" s="1482">
        <f>(I87-I89)/(I18+I19)</f>
        <v>3.7088111482072916E-2</v>
      </c>
      <c r="J91" s="1048"/>
      <c r="K91" s="1483"/>
      <c r="L91" s="1484">
        <f>(L87-L89)/(L18+L19)</f>
        <v>4.5885316698656427E-2</v>
      </c>
      <c r="M91" s="1048">
        <f>(M87-M89)/(M18+M19)</f>
        <v>5.5086169651000917E-2</v>
      </c>
      <c r="N91" s="1485"/>
      <c r="O91" s="1481">
        <f>(O87-O89)/(O18+O19)</f>
        <v>4.5885316698656427E-2</v>
      </c>
      <c r="P91" s="1482">
        <f>(P87-P89)/(P18+P19)</f>
        <v>5.5086169651000917E-2</v>
      </c>
      <c r="Q91" s="1486"/>
      <c r="R91" s="1048"/>
      <c r="S91" s="1483"/>
      <c r="T91" s="1484">
        <f>(T87-T89)/(T18+T19)</f>
        <v>1.8196051879906056E-2</v>
      </c>
      <c r="U91" s="1486"/>
      <c r="V91" s="1487">
        <f>(V87-V89)/(V18+V19)</f>
        <v>2.1854168026844041E-2</v>
      </c>
      <c r="X91" s="1481">
        <f>(X87-X89)/(X18+X19)</f>
        <v>1.8196051879906056E-2</v>
      </c>
      <c r="Y91" s="1482">
        <f>(Y87-Y89)/(Y18+Y19)</f>
        <v>1.8196051879906056E-2</v>
      </c>
      <c r="Z91" s="1486"/>
      <c r="AA91" s="1048"/>
      <c r="AB91" s="1483"/>
      <c r="AC91" s="1484">
        <f>(AC87-AC89)/(AC18+AC19)</f>
        <v>2.5710474188462683E-2</v>
      </c>
      <c r="AD91" s="1486"/>
      <c r="AE91" s="1488">
        <f>(AE87-AE89)/(AE18+AE19)</f>
        <v>5.1251101630530012E-3</v>
      </c>
      <c r="AG91" s="1481">
        <f>(AG87-AG89)/(AG18+AG19)</f>
        <v>2.5710474188462683E-2</v>
      </c>
      <c r="AH91" s="1482">
        <f>(AH87-AH89)/(AH18+AH19)</f>
        <v>2.5929429823707054E-2</v>
      </c>
      <c r="AI91" s="1486"/>
      <c r="AJ91" s="1048"/>
      <c r="AK91" s="1483"/>
      <c r="AL91" s="1484">
        <f>(AL87-AL89)/(AL18+AL19)</f>
        <v>1.9720908776381021E-2</v>
      </c>
      <c r="AM91" s="1486"/>
      <c r="AN91" s="1488">
        <f>(AN87-AN89)/(AN18+AN19)</f>
        <v>2.0663518328256216E-2</v>
      </c>
      <c r="AQ91" s="1481">
        <f>(AQ87-AQ89)/(AQ18+AQ19)</f>
        <v>1.9720908776381021E-2</v>
      </c>
      <c r="AR91" s="1482">
        <f>(AR87-AR89)/(AR18+AR19)</f>
        <v>1.3327727880756764E-2</v>
      </c>
      <c r="AS91" s="1661"/>
      <c r="AT91" s="909"/>
      <c r="AU91" s="7037"/>
      <c r="AV91" s="7038">
        <f>(AV87-AV89)/(AV18+AV19)</f>
        <v>3.6595538193838151E-2</v>
      </c>
      <c r="AW91" s="7039"/>
      <c r="AX91" s="8192">
        <f>(AX87-AX89)/(AX18+AX19)</f>
        <v>3.3575582721277183E-2</v>
      </c>
      <c r="AY91" s="8208"/>
      <c r="AZ91" s="8228">
        <f>(AZ87-AZ89)/(AZ18+AZ19)</f>
        <v>3.6595538193838151E-2</v>
      </c>
      <c r="BA91" s="1482">
        <f>(BA87-BA89)/(BA18+BA19)</f>
        <v>1.6665092114959472E-2</v>
      </c>
      <c r="BB91" s="1486"/>
      <c r="BC91" s="1048"/>
      <c r="BD91" s="1483"/>
      <c r="BE91" s="7038">
        <f>(BE87-BE89)/(BE18+BE19)</f>
        <v>4.2252420196633993E-2</v>
      </c>
      <c r="BF91" s="8208"/>
      <c r="BG91" s="7040">
        <f>(BG87-BG89)/(BG18+BG19)</f>
        <v>1.2197312333195482E-2</v>
      </c>
      <c r="BH91" s="1483"/>
    </row>
    <row r="92" spans="1:60" x14ac:dyDescent="0.35">
      <c r="A92" s="9168"/>
      <c r="B92" s="1478"/>
      <c r="C92" s="1479"/>
      <c r="D92" s="1451" t="s">
        <v>576</v>
      </c>
      <c r="E92" s="392"/>
      <c r="F92" s="1480"/>
      <c r="G92" s="392"/>
      <c r="H92" s="1481">
        <f>H89/H17</f>
        <v>0.23166823844947004</v>
      </c>
      <c r="I92" s="1482">
        <f>I89/I17</f>
        <v>0.19954939881800382</v>
      </c>
      <c r="J92" s="1048"/>
      <c r="K92" s="1483"/>
      <c r="L92" s="1484">
        <f>L89/L17</f>
        <v>0.22012773408468433</v>
      </c>
      <c r="M92" s="1048">
        <f>M89/M17</f>
        <v>0.21403654126624969</v>
      </c>
      <c r="N92" s="1485"/>
      <c r="O92" s="1481">
        <f>O89/O17</f>
        <v>0.22015705885305503</v>
      </c>
      <c r="P92" s="1482">
        <f>P89/P17</f>
        <v>0.21406564771893419</v>
      </c>
      <c r="Q92" s="1486"/>
      <c r="R92" s="1048"/>
      <c r="S92" s="1483"/>
      <c r="T92" s="1484">
        <f>T89/T17</f>
        <v>0.2087278559322335</v>
      </c>
      <c r="U92" s="1486"/>
      <c r="V92" s="1487">
        <f>V89/V17</f>
        <v>0.22972476051881027</v>
      </c>
      <c r="X92" s="1481">
        <f>X89/X17</f>
        <v>0.18789053308624062</v>
      </c>
      <c r="Y92" s="1482">
        <f>Y89/Y17</f>
        <v>0.21536563393408442</v>
      </c>
      <c r="Z92" s="1486"/>
      <c r="AA92" s="1048"/>
      <c r="AB92" s="1483"/>
      <c r="AC92" s="1484">
        <f>AC89/AC17</f>
        <v>0.21139645736166643</v>
      </c>
      <c r="AD92" s="1486"/>
      <c r="AE92" s="1488">
        <f>AE89/AE17</f>
        <v>0.20128500058928159</v>
      </c>
      <c r="AG92" s="1481">
        <f>AG89/AG17</f>
        <v>0.20994368438671707</v>
      </c>
      <c r="AH92" s="1482">
        <f>AH89/AH17</f>
        <v>0.20014701887366876</v>
      </c>
      <c r="AI92" s="1486"/>
      <c r="AJ92" s="1048"/>
      <c r="AK92" s="1483"/>
      <c r="AL92" s="1484">
        <f>AL89/AL17</f>
        <v>0.20378304221917509</v>
      </c>
      <c r="AM92" s="1486"/>
      <c r="AN92" s="1488">
        <f>AN89/AN17</f>
        <v>0.21685432772228325</v>
      </c>
      <c r="AQ92" s="1481">
        <f>AQ89/AQ17</f>
        <v>0.20104242454220625</v>
      </c>
      <c r="AR92" s="1482">
        <f>AR89/AR17</f>
        <v>0.21138316871298571</v>
      </c>
      <c r="AS92" s="1661"/>
      <c r="AT92" s="909"/>
      <c r="AU92" s="7037"/>
      <c r="AV92" s="7038">
        <f>AV89/AV17</f>
        <v>0.19239411562782971</v>
      </c>
      <c r="AW92" s="7039"/>
      <c r="AX92" s="8192">
        <f>AX89/AX17</f>
        <v>0.20554926334868578</v>
      </c>
      <c r="AY92" s="8208"/>
      <c r="AZ92" s="8228">
        <f>AZ89/AZ17</f>
        <v>0.19239411562782971</v>
      </c>
      <c r="BA92" s="1482">
        <f>BA89/BA17</f>
        <v>0.1986780721934519</v>
      </c>
      <c r="BB92" s="1486"/>
      <c r="BC92" s="1048"/>
      <c r="BD92" s="1483"/>
      <c r="BE92" s="7038">
        <f>BE89/BE17</f>
        <v>0.19525231773907342</v>
      </c>
      <c r="BF92" s="8208"/>
      <c r="BG92" s="7040">
        <f>BG89/BG17</f>
        <v>0.2036258027487004</v>
      </c>
      <c r="BH92" s="1483"/>
    </row>
    <row r="93" spans="1:60" x14ac:dyDescent="0.35">
      <c r="A93" s="9168"/>
      <c r="B93" s="1478"/>
      <c r="C93" s="1479"/>
      <c r="D93" s="1451"/>
      <c r="E93" s="392"/>
      <c r="F93" s="1480"/>
      <c r="G93" s="392"/>
      <c r="H93" s="1489"/>
      <c r="I93" s="1490"/>
      <c r="J93" s="1491"/>
      <c r="K93" s="1492"/>
      <c r="L93" s="1493"/>
      <c r="M93" s="1491"/>
      <c r="N93" s="1485"/>
      <c r="O93" s="1494"/>
      <c r="P93" s="1490"/>
      <c r="Q93" s="1485"/>
      <c r="R93" s="1491"/>
      <c r="S93" s="1492"/>
      <c r="T93" s="1493"/>
      <c r="U93" s="1485"/>
      <c r="V93" s="1495"/>
      <c r="X93" s="1494"/>
      <c r="Y93" s="1490"/>
      <c r="Z93" s="1485"/>
      <c r="AA93" s="1491"/>
      <c r="AB93" s="1492"/>
      <c r="AC93" s="1493"/>
      <c r="AD93" s="1485"/>
      <c r="AE93" s="1496"/>
      <c r="AG93" s="1494"/>
      <c r="AH93" s="1490"/>
      <c r="AI93" s="1485"/>
      <c r="AJ93" s="1491"/>
      <c r="AK93" s="1492"/>
      <c r="AL93" s="1493"/>
      <c r="AM93" s="1485"/>
      <c r="AN93" s="1496"/>
      <c r="AQ93" s="1494"/>
      <c r="AR93" s="1490"/>
      <c r="AS93" s="1485"/>
      <c r="AT93" s="1491"/>
      <c r="AU93" s="1492"/>
      <c r="AV93" s="1493"/>
      <c r="AW93" s="1485"/>
      <c r="AX93" s="8193"/>
      <c r="AY93" s="1485"/>
      <c r="AZ93" s="8229"/>
      <c r="BA93" s="1490"/>
      <c r="BB93" s="1485"/>
      <c r="BC93" s="1491"/>
      <c r="BD93" s="1492"/>
      <c r="BE93" s="1493"/>
      <c r="BF93" s="1485"/>
      <c r="BG93" s="1496"/>
      <c r="BH93" s="1492"/>
    </row>
    <row r="94" spans="1:60" x14ac:dyDescent="0.35">
      <c r="A94" s="9168"/>
      <c r="B94" s="1478"/>
      <c r="C94" s="1479"/>
      <c r="D94" s="1451" t="s">
        <v>577</v>
      </c>
      <c r="E94" s="392"/>
      <c r="F94" s="1497"/>
      <c r="G94" s="409"/>
      <c r="H94" s="1481">
        <f>H87/H12</f>
        <v>0.18192626232960624</v>
      </c>
      <c r="I94" s="1482">
        <f>I87/I12</f>
        <v>0.18031632327379774</v>
      </c>
      <c r="J94" s="1048"/>
      <c r="K94" s="1483"/>
      <c r="L94" s="1484">
        <f>L87/L12</f>
        <v>0.18569580779511852</v>
      </c>
      <c r="M94" s="1048">
        <f>M87/M12</f>
        <v>0.18078655252385475</v>
      </c>
      <c r="N94" s="1485"/>
      <c r="O94" s="1481">
        <f>O87/O12</f>
        <v>0.18571846725441263</v>
      </c>
      <c r="P94" s="1482">
        <f>P87/P12</f>
        <v>0.18080891619296197</v>
      </c>
      <c r="Q94" s="1486"/>
      <c r="R94" s="1048"/>
      <c r="S94" s="1483"/>
      <c r="T94" s="1484">
        <f>T87/T12</f>
        <v>0.18606632330341691</v>
      </c>
      <c r="U94" s="1486"/>
      <c r="V94" s="1487">
        <f>V87/V12</f>
        <v>0.17270878310403123</v>
      </c>
      <c r="X94" s="1481">
        <f>X87/X12</f>
        <v>0.16808893876758071</v>
      </c>
      <c r="Y94" s="1482">
        <f>Y87/Y12</f>
        <v>0.16962081665381298</v>
      </c>
      <c r="Z94" s="1486"/>
      <c r="AA94" s="1048"/>
      <c r="AB94" s="1483"/>
      <c r="AC94" s="1484">
        <f>AC87/AC12</f>
        <v>0.19259568906151833</v>
      </c>
      <c r="AD94" s="1486"/>
      <c r="AE94" s="1488">
        <f>AE87/AE12</f>
        <v>0.18531929221569021</v>
      </c>
      <c r="AG94" s="1481">
        <f>AG87/AG12</f>
        <v>0.19133812265142147</v>
      </c>
      <c r="AH94" s="1482">
        <f>AH87/AH12</f>
        <v>0.19238315320324231</v>
      </c>
      <c r="AI94" s="1486"/>
      <c r="AJ94" s="1048"/>
      <c r="AK94" s="1483"/>
      <c r="AL94" s="1484">
        <f>AL87/AL12</f>
        <v>0.17418915788909969</v>
      </c>
      <c r="AM94" s="1486"/>
      <c r="AN94" s="1488">
        <f>AN87/AN12</f>
        <v>0.18903566251884094</v>
      </c>
      <c r="AQ94" s="1481">
        <f>AQ87/AQ12</f>
        <v>0.17193707056108087</v>
      </c>
      <c r="AR94" s="1482">
        <f>AR87/AR12</f>
        <v>0.18173584112856689</v>
      </c>
      <c r="AS94" s="1661"/>
      <c r="AT94" s="909"/>
      <c r="AU94" s="7037"/>
      <c r="AV94" s="1484">
        <f>AV87/AV12</f>
        <v>0.18616239024826239</v>
      </c>
      <c r="AW94" s="1661"/>
      <c r="AX94" s="8194">
        <f>AX87/AX12</f>
        <v>0.18421083297773352</v>
      </c>
      <c r="AY94" s="1486"/>
      <c r="AZ94" s="8228">
        <f>AZ87/AZ12</f>
        <v>0.18616239024826239</v>
      </c>
      <c r="BA94" s="1482">
        <f>BA87/BA12</f>
        <v>0.17357798772222741</v>
      </c>
      <c r="BB94" s="1486"/>
      <c r="BC94" s="1048"/>
      <c r="BD94" s="1483"/>
      <c r="BE94" s="1484">
        <f>BE87/BE12</f>
        <v>0.16621574164065539</v>
      </c>
      <c r="BF94" s="1486"/>
      <c r="BG94" s="1488">
        <f>BG87/BG12</f>
        <v>0.17949163575915286</v>
      </c>
      <c r="BH94" s="1483"/>
    </row>
    <row r="95" spans="1:60" x14ac:dyDescent="0.35">
      <c r="A95" s="9168"/>
      <c r="B95" s="1478"/>
      <c r="C95" s="1479"/>
      <c r="D95" s="1396" t="s">
        <v>578</v>
      </c>
      <c r="E95" s="392"/>
      <c r="F95" s="1498"/>
      <c r="G95" s="687"/>
      <c r="H95" s="1499">
        <f>H87-SUM(H66:H69)</f>
        <v>2239.133920305439</v>
      </c>
      <c r="I95" s="1500"/>
      <c r="J95" s="1501"/>
      <c r="K95" s="1502"/>
      <c r="L95" s="1499">
        <f>L87-SUM(L66:L69)</f>
        <v>2517.1039022469731</v>
      </c>
      <c r="M95" s="890"/>
      <c r="N95" s="1485"/>
      <c r="O95" s="1503">
        <f>O87-SUM(O66:O69)</f>
        <v>2619.9372251591353</v>
      </c>
      <c r="P95" s="1504"/>
      <c r="Q95" s="847"/>
      <c r="R95" s="890"/>
      <c r="S95" s="1505"/>
      <c r="T95" s="1506">
        <f>T87-SUM(T66:T69)</f>
        <v>2614.954374047566</v>
      </c>
      <c r="U95" s="847"/>
      <c r="V95" s="1507"/>
      <c r="X95" s="1503">
        <f>X87-SUM(X66:X69)</f>
        <v>2356.6984587595575</v>
      </c>
      <c r="Y95" s="1504">
        <f>Y87-SUM(Y66:Y69)</f>
        <v>2376.9068230654852</v>
      </c>
      <c r="Z95" s="847"/>
      <c r="AA95" s="890"/>
      <c r="AB95" s="1505"/>
      <c r="AC95" s="1506">
        <f>AC87-SUM(AC66:AC69)</f>
        <v>2443.9758250685609</v>
      </c>
      <c r="AD95" s="847"/>
      <c r="AE95" s="1508">
        <f>AE87-SUM(AE66:AE69)</f>
        <v>2443.3792720762108</v>
      </c>
      <c r="AG95" s="1503">
        <f>AG87-SUM(AG66:AG69)</f>
        <v>2427.3203640199563</v>
      </c>
      <c r="AH95" s="1504">
        <f>AH87-SUM(AH66:AH69)</f>
        <v>2429.714160038789</v>
      </c>
      <c r="AI95" s="847"/>
      <c r="AJ95" s="890"/>
      <c r="AK95" s="1505"/>
      <c r="AL95" s="1506">
        <f>AL87-SUM(AL66:AL69)</f>
        <v>2571.4214688825018</v>
      </c>
      <c r="AM95" s="847"/>
      <c r="AN95" s="1508">
        <f>AN87-SUM(AN66:AN69)</f>
        <v>2580.3905562155064</v>
      </c>
      <c r="AQ95" s="1503">
        <f>AQ87-SUM(AQ66:AQ69)</f>
        <v>2537.0960546637702</v>
      </c>
      <c r="AR95" s="1504">
        <f>AR87-SUM(AR66:AR69)</f>
        <v>2509.7694731837646</v>
      </c>
      <c r="AS95" s="847"/>
      <c r="AT95" s="890"/>
      <c r="AU95" s="1505"/>
      <c r="AV95" s="1506">
        <f>AV87-SUM(AV66:AV69)</f>
        <v>2643.1389912860909</v>
      </c>
      <c r="AW95" s="847"/>
      <c r="AX95" s="8195">
        <f>AX87-SUM(AX66:AX69)</f>
        <v>2612.7814594338702</v>
      </c>
      <c r="AY95" s="847"/>
      <c r="AZ95" s="8230">
        <f>AZ87-SUM(AZ66:AZ69)</f>
        <v>2643.1389912860909</v>
      </c>
      <c r="BA95" s="1504">
        <f>BA87-SUM(BA66:BA69)</f>
        <v>2526.1899658885827</v>
      </c>
      <c r="BB95" s="847"/>
      <c r="BC95" s="890"/>
      <c r="BD95" s="1505"/>
      <c r="BE95" s="1506">
        <f>BE87-SUM(BE66:BE69)</f>
        <v>2685.9414729931923</v>
      </c>
      <c r="BF95" s="847"/>
      <c r="BG95" s="1508">
        <f>BG87-SUM(BG66:BG69)</f>
        <v>2677.6730235471764</v>
      </c>
      <c r="BH95" s="1505"/>
    </row>
    <row r="96" spans="1:60" x14ac:dyDescent="0.35">
      <c r="A96" s="9168"/>
      <c r="B96" s="1478"/>
      <c r="C96" s="1479"/>
      <c r="D96" s="1451" t="s">
        <v>579</v>
      </c>
      <c r="E96" s="392"/>
      <c r="F96" s="1497"/>
      <c r="G96" s="409"/>
      <c r="H96" s="1509">
        <f>H95/H12</f>
        <v>0.17316416901679252</v>
      </c>
      <c r="I96" s="1482"/>
      <c r="J96" s="1048"/>
      <c r="K96" s="1483"/>
      <c r="L96" s="1509">
        <f>L95/L12</f>
        <v>0.17111398986050216</v>
      </c>
      <c r="M96" s="1048"/>
      <c r="N96" s="1485"/>
      <c r="O96" s="1481">
        <f>O95/O12</f>
        <v>0.17810465089694397</v>
      </c>
      <c r="P96" s="1482"/>
      <c r="Q96" s="1486"/>
      <c r="R96" s="1048"/>
      <c r="S96" s="1483"/>
      <c r="T96" s="1484">
        <f>T95/T12</f>
        <v>0.18202890057133472</v>
      </c>
      <c r="U96" s="1486"/>
      <c r="V96" s="1487"/>
      <c r="X96" s="1481">
        <f>X95/X12</f>
        <v>0.1640515160354985</v>
      </c>
      <c r="Y96" s="1482">
        <f>Y95/Y12</f>
        <v>0.16558041261340894</v>
      </c>
      <c r="Z96" s="1486"/>
      <c r="AA96" s="1048"/>
      <c r="AB96" s="1483"/>
      <c r="AC96" s="1484">
        <f>AC95/AC12</f>
        <v>0.18453178184175417</v>
      </c>
      <c r="AD96" s="1486"/>
      <c r="AE96" s="1488">
        <f>AE95/AE12</f>
        <v>0.18531929221569021</v>
      </c>
      <c r="AG96" s="1481">
        <f>AG95/AG12</f>
        <v>0.18327421543165734</v>
      </c>
      <c r="AH96" s="1482">
        <f>AH95/AH12</f>
        <v>0.18428285513047615</v>
      </c>
      <c r="AI96" s="1486"/>
      <c r="AJ96" s="1048"/>
      <c r="AK96" s="1483"/>
      <c r="AL96" s="1484">
        <f>AL95/AL12</f>
        <v>0.16871073042741588</v>
      </c>
      <c r="AM96" s="1486"/>
      <c r="AN96" s="1488">
        <f>AN95/AN12</f>
        <v>0.18311031480382531</v>
      </c>
      <c r="AQ96" s="1481">
        <f>AQ95/AQ12</f>
        <v>0.16645864309939706</v>
      </c>
      <c r="AR96" s="1482">
        <f>AR95/AR12</f>
        <v>0.17809888398976473</v>
      </c>
      <c r="AS96" s="1661"/>
      <c r="AT96" s="909"/>
      <c r="AU96" s="7037"/>
      <c r="AV96" s="1484">
        <f>AV95/AV12</f>
        <v>0.17308791403595764</v>
      </c>
      <c r="AW96" s="1661"/>
      <c r="AX96" s="8194">
        <f>AX95/AX12</f>
        <v>0.17595791334266309</v>
      </c>
      <c r="AY96" s="1486"/>
      <c r="AZ96" s="8228">
        <f>AZ95/AZ12</f>
        <v>0.17308791403595764</v>
      </c>
      <c r="BA96" s="1482">
        <f>BA95/BA12</f>
        <v>0.170126404372619</v>
      </c>
      <c r="BB96" s="1486"/>
      <c r="BC96" s="1048"/>
      <c r="BD96" s="1483"/>
      <c r="BE96" s="1484">
        <f>BE95/BE12</f>
        <v>0.15694961100618182</v>
      </c>
      <c r="BF96" s="1486"/>
      <c r="BG96" s="1488">
        <f>BG95/BG12</f>
        <v>0.17666713006526374</v>
      </c>
      <c r="BH96" s="1483"/>
    </row>
    <row r="97" spans="1:62" x14ac:dyDescent="0.35">
      <c r="A97" s="9168"/>
      <c r="B97" s="1478"/>
      <c r="C97" s="1479"/>
      <c r="D97" s="1451"/>
      <c r="E97" s="392"/>
      <c r="F97" s="1480"/>
      <c r="G97" s="392"/>
      <c r="H97" s="1489"/>
      <c r="I97" s="1490"/>
      <c r="J97" s="1491"/>
      <c r="K97" s="1492"/>
      <c r="L97" s="1493"/>
      <c r="M97" s="1491"/>
      <c r="N97" s="1485"/>
      <c r="O97" s="1481"/>
      <c r="P97" s="1482"/>
      <c r="Q97" s="1486"/>
      <c r="R97" s="1048"/>
      <c r="S97" s="1483"/>
      <c r="T97" s="1484"/>
      <c r="U97" s="1486"/>
      <c r="V97" s="1487"/>
      <c r="X97" s="1481"/>
      <c r="Y97" s="1482"/>
      <c r="Z97" s="1486"/>
      <c r="AA97" s="1048"/>
      <c r="AB97" s="1483"/>
      <c r="AC97" s="1484"/>
      <c r="AD97" s="1486"/>
      <c r="AE97" s="1488"/>
      <c r="AG97" s="1481"/>
      <c r="AH97" s="1482"/>
      <c r="AI97" s="1486"/>
      <c r="AJ97" s="1048"/>
      <c r="AK97" s="1483"/>
      <c r="AL97" s="1484"/>
      <c r="AM97" s="1486"/>
      <c r="AN97" s="1488"/>
      <c r="AQ97" s="1481"/>
      <c r="AR97" s="1482"/>
      <c r="AS97" s="1661"/>
      <c r="AT97" s="909"/>
      <c r="AU97" s="7037"/>
      <c r="AV97" s="1484"/>
      <c r="AW97" s="1661"/>
      <c r="AX97" s="8194"/>
      <c r="AY97" s="1486"/>
      <c r="AZ97" s="8228"/>
      <c r="BA97" s="1482"/>
      <c r="BB97" s="1486"/>
      <c r="BC97" s="1048"/>
      <c r="BD97" s="1483"/>
      <c r="BE97" s="1484"/>
      <c r="BF97" s="1486"/>
      <c r="BG97" s="1488"/>
      <c r="BH97" s="1483"/>
    </row>
    <row r="98" spans="1:62" x14ac:dyDescent="0.35">
      <c r="A98" s="9168"/>
      <c r="B98" s="1478"/>
      <c r="C98" s="1479"/>
      <c r="D98" s="1510" t="s">
        <v>580</v>
      </c>
      <c r="E98" s="424"/>
      <c r="F98" s="1511"/>
      <c r="G98" s="426"/>
      <c r="H98" s="1512"/>
      <c r="I98" s="1513"/>
      <c r="J98" s="1514"/>
      <c r="K98" s="1515"/>
      <c r="L98" s="1516"/>
      <c r="M98" s="1517"/>
      <c r="N98" s="1485"/>
      <c r="O98" s="1481"/>
      <c r="P98" s="1482"/>
      <c r="Q98" s="1486"/>
      <c r="R98" s="1048"/>
      <c r="S98" s="1483"/>
      <c r="T98" s="1484"/>
      <c r="U98" s="1486"/>
      <c r="V98" s="1487"/>
      <c r="X98" s="1481">
        <f>SUM(X71:X80)/X87</f>
        <v>0.59098356725380996</v>
      </c>
      <c r="Y98" s="1482">
        <f>SUM(Y71:Y80)/Y87</f>
        <v>0.57266306804974709</v>
      </c>
      <c r="Z98" s="1486"/>
      <c r="AA98" s="1048"/>
      <c r="AB98" s="1483"/>
      <c r="AC98" s="1484">
        <f>SUM(AC71:AC80)/AC87</f>
        <v>0.51965482225956561</v>
      </c>
      <c r="AD98" s="1486"/>
      <c r="AE98" s="1488">
        <f>SUM(AE71:AE80)/AE87</f>
        <v>0.52042602617295919</v>
      </c>
      <c r="AG98" s="1481">
        <f>SUM(AG71:AG80)/AG87</f>
        <v>0.52552339893098798</v>
      </c>
      <c r="AH98" s="1482">
        <f>SUM(AH71:AH80)/AH87</f>
        <v>0.50131719547765285</v>
      </c>
      <c r="AI98" s="1486"/>
      <c r="AJ98" s="1048"/>
      <c r="AK98" s="1483"/>
      <c r="AL98" s="1484">
        <f>SUM(AL71:AL80)/AL87</f>
        <v>0.51536310585334089</v>
      </c>
      <c r="AM98" s="1486"/>
      <c r="AN98" s="1488">
        <f>SUM(AN71:AN80)/AN87</f>
        <v>0.49949647829105226</v>
      </c>
      <c r="AQ98" s="1481"/>
      <c r="AR98" s="1482"/>
      <c r="AS98" s="1661"/>
      <c r="AT98" s="909"/>
      <c r="AU98" s="7037"/>
      <c r="AV98" s="1484"/>
      <c r="AW98" s="1661"/>
      <c r="AX98" s="8194"/>
      <c r="AY98" s="1486"/>
      <c r="AZ98" s="8228"/>
      <c r="BA98" s="1482"/>
      <c r="BB98" s="1486"/>
      <c r="BC98" s="1048"/>
      <c r="BD98" s="1483"/>
      <c r="BE98" s="1484"/>
      <c r="BF98" s="1486"/>
      <c r="BG98" s="1488"/>
      <c r="BH98" s="1483"/>
    </row>
    <row r="99" spans="1:62" x14ac:dyDescent="0.35">
      <c r="A99" s="9169"/>
      <c r="B99" s="1518"/>
      <c r="C99" s="1519"/>
      <c r="D99" s="1416" t="s">
        <v>581</v>
      </c>
      <c r="E99" s="274"/>
      <c r="F99" s="1520"/>
      <c r="G99" s="435"/>
      <c r="H99" s="1521"/>
      <c r="I99" s="1522"/>
      <c r="J99" s="1523"/>
      <c r="K99" s="1524"/>
      <c r="L99" s="1525"/>
      <c r="M99" s="1526"/>
      <c r="N99" s="1485"/>
      <c r="O99" s="1527"/>
      <c r="P99" s="1528"/>
      <c r="Q99" s="443"/>
      <c r="R99" s="444"/>
      <c r="S99" s="445"/>
      <c r="T99" s="1529"/>
      <c r="U99" s="443"/>
      <c r="V99" s="1530"/>
      <c r="X99" s="1531">
        <f>SUM(X71:X72)/X89</f>
        <v>0.61280888628240615</v>
      </c>
      <c r="Y99" s="1532">
        <f>SUM(Y71:Y72)/Y89</f>
        <v>0.59362985284030123</v>
      </c>
      <c r="Z99" s="443"/>
      <c r="AA99" s="444"/>
      <c r="AB99" s="445"/>
      <c r="AC99" s="1533">
        <f>SUM(AC71:AC72)/AC89</f>
        <v>0.5313318216332561</v>
      </c>
      <c r="AD99" s="1534"/>
      <c r="AE99" s="1535">
        <f>SUM(AE71:AE72)/AE89</f>
        <v>0.52035066832552646</v>
      </c>
      <c r="AG99" s="1531">
        <f>SUM(AG71:AG72)/AG89</f>
        <v>0.53500854338582648</v>
      </c>
      <c r="AH99" s="1532">
        <f>SUM(AH71:AH72)/AH89</f>
        <v>0.52330924122655531</v>
      </c>
      <c r="AI99" s="443"/>
      <c r="AJ99" s="444"/>
      <c r="AK99" s="445"/>
      <c r="AL99" s="1533">
        <f>SUM(AL71:AL72)/AL89</f>
        <v>0.50454011757532358</v>
      </c>
      <c r="AM99" s="1534"/>
      <c r="AN99" s="1535">
        <f>SUM(AN71:AN72)/AN89</f>
        <v>0.4922524081984781</v>
      </c>
      <c r="AQ99" s="1531"/>
      <c r="AR99" s="1532"/>
      <c r="AS99" s="4741"/>
      <c r="AT99" s="5660"/>
      <c r="AU99" s="4740"/>
      <c r="AV99" s="1533"/>
      <c r="AW99" s="3347"/>
      <c r="AX99" s="8217"/>
      <c r="AY99" s="1824"/>
      <c r="AZ99" s="8231"/>
      <c r="BA99" s="1532"/>
      <c r="BB99" s="443"/>
      <c r="BC99" s="444"/>
      <c r="BD99" s="445"/>
      <c r="BE99" s="1533"/>
      <c r="BF99" s="1534"/>
      <c r="BG99" s="1535"/>
      <c r="BH99" s="445"/>
    </row>
    <row r="100" spans="1:62" s="449" customFormat="1" ht="15.5" x14ac:dyDescent="0.35">
      <c r="C100" s="450"/>
      <c r="D100" s="450"/>
      <c r="E100" s="450"/>
      <c r="F100" s="451">
        <f>((F87-F89)/F87)</f>
        <v>1</v>
      </c>
      <c r="G100" s="450"/>
      <c r="H100" s="451">
        <f>((H87-H89)/H87)</f>
        <v>6.5166548856809253E-2</v>
      </c>
      <c r="I100" s="451">
        <f>((I87-I89)/I87)</f>
        <v>6.953239670641434E-2</v>
      </c>
      <c r="J100" s="452"/>
      <c r="K100" s="450"/>
      <c r="L100" s="451">
        <f>((L87-L89)/L87)</f>
        <v>8.4016573490474589E-2</v>
      </c>
      <c r="M100" s="451">
        <f>((M87-M89)/M87)</f>
        <v>9.034736997016124E-2</v>
      </c>
      <c r="N100" s="453"/>
      <c r="O100" s="451">
        <f>((O87-O89)/O87)</f>
        <v>8.4006322651367524E-2</v>
      </c>
      <c r="P100" s="451">
        <f>((P87-P89)/P87)</f>
        <v>9.0336195196653035E-2</v>
      </c>
      <c r="Q100" s="454"/>
      <c r="R100" s="454"/>
      <c r="S100" s="454"/>
      <c r="T100" s="451">
        <f>((T87-T89)/T87)</f>
        <v>3.2174136915690432E-2</v>
      </c>
      <c r="U100" s="454"/>
      <c r="V100" s="451">
        <f>((V87-V89)/V87)</f>
        <v>3.4465796380245405E-2</v>
      </c>
      <c r="W100" s="454"/>
      <c r="X100" s="451">
        <f>((X87-X89)/X87)</f>
        <v>3.5615213025057636E-2</v>
      </c>
      <c r="Y100" s="451">
        <f>((Y87-Y89)/Y87)</f>
        <v>3.5319626683590385E-2</v>
      </c>
      <c r="Z100" s="454"/>
      <c r="AA100" s="454"/>
      <c r="AB100" s="454"/>
      <c r="AC100" s="451">
        <f>((AC87-AC89)/AC87)</f>
        <v>4.9867181094434797E-2</v>
      </c>
      <c r="AD100" s="454"/>
      <c r="AE100" s="451">
        <f>((AE87-AE89)/AE87)</f>
        <v>1.0767353353883811E-2</v>
      </c>
      <c r="AF100" s="1536"/>
      <c r="AG100" s="451">
        <f>((AG87-AG89)/AG87)</f>
        <v>5.0194932255790262E-2</v>
      </c>
      <c r="AH100" s="451">
        <f>((AH87-AH89)/AH87)</f>
        <v>5.2477029340914312E-2</v>
      </c>
      <c r="AI100" s="454"/>
      <c r="AJ100" s="454"/>
      <c r="AK100" s="454"/>
      <c r="AL100" s="451">
        <f>((AL87-AL89)/AL87)</f>
        <v>3.8645210866890864E-2</v>
      </c>
      <c r="AM100" s="454"/>
      <c r="AN100" s="451">
        <f>((AN87-AN89)/AN87)</f>
        <v>4.0591829555259321E-2</v>
      </c>
      <c r="AO100" s="1536"/>
      <c r="AQ100" s="451">
        <f>((AQ87-AQ89)/AQ87)</f>
        <v>3.9151398330699146E-2</v>
      </c>
      <c r="AR100" s="451">
        <f>((AR87-AR89)/AR87)</f>
        <v>2.7232883726389476E-2</v>
      </c>
      <c r="AS100" s="454"/>
      <c r="AT100" s="454"/>
      <c r="AU100" s="454"/>
      <c r="AV100" s="451">
        <f>((AV87-AV89)/AV87)</f>
        <v>7.7036494013454179E-2</v>
      </c>
      <c r="AW100" s="454"/>
      <c r="AX100" s="451">
        <f>((AX87-AX89)/AX87)</f>
        <v>5.1648638530411468E-2</v>
      </c>
      <c r="AY100" s="8238"/>
      <c r="AZ100" s="451">
        <f>((AZ87-AZ89)/AZ87)</f>
        <v>7.7036494013454179E-2</v>
      </c>
      <c r="BA100" s="451">
        <f>((BA87-BA89)/BA87)</f>
        <v>2.719946289876873E-2</v>
      </c>
      <c r="BB100" s="454"/>
      <c r="BC100" s="454"/>
      <c r="BD100" s="454"/>
      <c r="BE100" s="451">
        <f>((BE87-BE89)/BE87)</f>
        <v>7.6772626234856936E-2</v>
      </c>
      <c r="BF100" s="454"/>
      <c r="BG100" s="451">
        <f>((BG87-BG89)/BG87)</f>
        <v>2.3854963163605244E-2</v>
      </c>
      <c r="BH100" s="454"/>
    </row>
    <row r="101" spans="1:62" s="462" customFormat="1" ht="15.25" customHeight="1" x14ac:dyDescent="0.35">
      <c r="A101" s="455" t="s">
        <v>582</v>
      </c>
      <c r="B101" s="455"/>
      <c r="C101" s="456"/>
      <c r="D101" s="456"/>
      <c r="E101" s="457"/>
      <c r="F101" s="458" t="str">
        <f>IF(F89+F90=F87,"ok","erreur total")</f>
        <v>erreur total</v>
      </c>
      <c r="G101" s="456"/>
      <c r="H101" s="458" t="str">
        <f>IF(H89+H90=H87,"ok","erreur total")</f>
        <v>ok</v>
      </c>
      <c r="I101" s="458" t="str">
        <f>IF(I89+I90=I87,"ok","erreur total")</f>
        <v>ok</v>
      </c>
      <c r="J101" s="459"/>
      <c r="K101" s="456"/>
      <c r="L101" s="458" t="str">
        <f>IF(L89+L90=L87,"ok","erreur total")</f>
        <v>ok</v>
      </c>
      <c r="M101" s="458" t="str">
        <f>IF(M89+M90=M87,"ok","erreur total")</f>
        <v>ok</v>
      </c>
      <c r="N101" s="460"/>
      <c r="O101" s="458" t="str">
        <f>IF(O89+O90=O87,"ok","erreur total")</f>
        <v>ok</v>
      </c>
      <c r="P101" s="458" t="str">
        <f>IF(P89+P90=P87,"ok","erreur total")</f>
        <v>ok</v>
      </c>
      <c r="Q101" s="461"/>
      <c r="R101" s="461"/>
      <c r="S101" s="461"/>
      <c r="T101" s="458" t="str">
        <f>IF(T89+T90=T87,"ok","erreur total")</f>
        <v>ok</v>
      </c>
      <c r="U101" s="458"/>
      <c r="V101" s="458" t="str">
        <f>IF(V89+V90=V87,"ok","erreur total")</f>
        <v>ok</v>
      </c>
      <c r="W101" s="461"/>
      <c r="X101" s="458" t="str">
        <f>IF(X89+X90=X87,"ok","erreur total")</f>
        <v>ok</v>
      </c>
      <c r="Y101" s="458" t="str">
        <f>IF(Y89+Y90=Y87,"ok","erreur total")</f>
        <v>ok</v>
      </c>
      <c r="Z101" s="461"/>
      <c r="AA101" s="461"/>
      <c r="AB101" s="461"/>
      <c r="AC101" s="458" t="str">
        <f>IF(AC89+AC90=AC87,"ok","erreur total")</f>
        <v>ok</v>
      </c>
      <c r="AD101" s="458"/>
      <c r="AE101" s="458" t="str">
        <f>IF(AE89+AE90=AE87,"ok","erreur total")</f>
        <v>ok</v>
      </c>
      <c r="AF101" s="461"/>
      <c r="AG101" s="458" t="str">
        <f>IF(AG89+AG90=AG87,"ok","erreur total")</f>
        <v>ok</v>
      </c>
      <c r="AH101" s="458" t="str">
        <f>IF(AH89+AH90=AH87,"ok","erreur total")</f>
        <v>ok</v>
      </c>
      <c r="AI101" s="461"/>
      <c r="AJ101" s="461"/>
      <c r="AK101" s="461"/>
      <c r="AL101" s="458" t="str">
        <f>IF(AL89+AL90=AL87,"ok","erreur total")</f>
        <v>ok</v>
      </c>
      <c r="AM101" s="458"/>
      <c r="AN101" s="458" t="str">
        <f>IF(AN89+AN90=AN87,"ok","erreur total")</f>
        <v>ok</v>
      </c>
      <c r="AO101" s="461"/>
      <c r="AP101"/>
      <c r="AQ101" s="458" t="str">
        <f>IF(AQ89+AQ90=AQ87,"ok","erreur total")</f>
        <v>ok</v>
      </c>
      <c r="AR101" s="458" t="str">
        <f>IF(AR89+AR90=AR87,"ok","erreur total")</f>
        <v>ok</v>
      </c>
      <c r="AS101" s="461"/>
      <c r="AT101" s="461"/>
      <c r="AU101" s="461"/>
      <c r="AV101" s="458" t="str">
        <f>IF(AV89+AV90=AV87,"ok","erreur total")</f>
        <v>ok</v>
      </c>
      <c r="AW101" s="458"/>
      <c r="AX101" s="458" t="str">
        <f>IF(AX89+AX90=AX87,"ok","erreur total")</f>
        <v>ok</v>
      </c>
      <c r="AY101" s="458"/>
      <c r="AZ101" s="458" t="str">
        <f>IF(AZ89+AZ90=AZ87,"ok","erreur total")</f>
        <v>ok</v>
      </c>
      <c r="BA101" s="458" t="str">
        <f>IF(BA89+BA90=BA87,"ok","erreur total")</f>
        <v>ok</v>
      </c>
      <c r="BB101" s="461"/>
      <c r="BC101" s="461"/>
      <c r="BD101" s="461"/>
      <c r="BE101" s="458" t="str">
        <f>IF(BE89+BE90=BE87,"ok","erreur total")</f>
        <v>ok</v>
      </c>
      <c r="BF101" s="458"/>
      <c r="BG101" s="458" t="str">
        <f>IF(BG89+BG90=BG87,"ok","erreur total")</f>
        <v>ok</v>
      </c>
      <c r="BH101" s="461"/>
      <c r="BI101"/>
      <c r="BJ101"/>
    </row>
    <row r="102" spans="1:62" s="462" customFormat="1" ht="12" customHeight="1" x14ac:dyDescent="0.3">
      <c r="A102" s="463">
        <v>1</v>
      </c>
      <c r="B102" s="464">
        <f>AP12</f>
        <v>0</v>
      </c>
      <c r="D102" s="709"/>
      <c r="E102" s="466"/>
      <c r="F102" s="466"/>
      <c r="G102" s="466"/>
      <c r="H102" s="466"/>
      <c r="I102" s="466"/>
      <c r="J102" s="467"/>
      <c r="K102" s="466"/>
      <c r="L102" s="466"/>
      <c r="M102" s="466"/>
      <c r="N102" s="456"/>
      <c r="O102" s="466"/>
      <c r="P102" s="466"/>
      <c r="Q102" s="466"/>
      <c r="R102" s="467"/>
      <c r="S102" s="466"/>
      <c r="T102" s="466"/>
      <c r="U102" s="466"/>
      <c r="V102" s="466"/>
      <c r="W102" s="456"/>
      <c r="X102" s="466"/>
      <c r="Y102" s="466"/>
      <c r="Z102" s="466"/>
      <c r="AA102" s="467"/>
      <c r="AB102" s="466"/>
      <c r="AC102" s="466"/>
      <c r="AD102" s="466"/>
      <c r="AE102" s="466"/>
      <c r="AF102" s="456"/>
      <c r="AG102" s="466"/>
      <c r="AH102" s="466"/>
      <c r="AI102" s="466"/>
      <c r="AJ102" s="467"/>
      <c r="AK102" s="466"/>
      <c r="AL102" s="466"/>
      <c r="AM102" s="466"/>
      <c r="AN102" s="466"/>
      <c r="AO102" s="456"/>
      <c r="AP102" s="577"/>
      <c r="AQ102" s="466"/>
      <c r="AR102" s="466"/>
      <c r="AS102" s="466"/>
      <c r="AT102" s="467"/>
      <c r="AU102" s="466"/>
      <c r="AV102" s="466"/>
      <c r="AW102" s="466"/>
      <c r="AX102" s="466"/>
      <c r="AY102" s="466"/>
      <c r="AZ102" s="466"/>
      <c r="BA102" s="466"/>
      <c r="BB102" s="466"/>
      <c r="BC102" s="467"/>
      <c r="BD102" s="466"/>
      <c r="BE102" s="466"/>
      <c r="BF102" s="466"/>
      <c r="BG102" s="466"/>
      <c r="BH102" s="466"/>
      <c r="BI102" s="577"/>
      <c r="BJ102" s="577"/>
    </row>
    <row r="103" spans="1:62" s="462" customFormat="1" ht="12" x14ac:dyDescent="0.3">
      <c r="A103" s="468">
        <v>2</v>
      </c>
      <c r="B103" s="469">
        <f>AP26</f>
        <v>0</v>
      </c>
      <c r="D103" s="2"/>
      <c r="E103" s="456"/>
      <c r="F103" s="456"/>
      <c r="G103" s="456"/>
      <c r="H103" s="459"/>
      <c r="I103" s="459"/>
      <c r="J103" s="7"/>
      <c r="K103" s="456"/>
      <c r="N103" s="456"/>
      <c r="O103" s="459"/>
      <c r="P103" s="459"/>
      <c r="Q103" s="459"/>
      <c r="R103" s="7"/>
      <c r="S103" s="456"/>
      <c r="W103" s="456"/>
      <c r="X103" s="459"/>
      <c r="Y103" s="459"/>
      <c r="Z103" s="459"/>
      <c r="AA103" s="7"/>
      <c r="AB103" s="456"/>
      <c r="AF103" s="456"/>
      <c r="AG103" s="459"/>
      <c r="AH103" s="459"/>
      <c r="AI103" s="459"/>
      <c r="AJ103" s="7"/>
      <c r="AK103" s="456"/>
      <c r="AO103" s="456"/>
      <c r="AP103" s="577"/>
      <c r="AQ103" s="459"/>
      <c r="AR103" s="459"/>
      <c r="AS103" s="459"/>
      <c r="AT103" s="7"/>
      <c r="AU103" s="456"/>
      <c r="AZ103" s="459"/>
      <c r="BA103" s="459"/>
      <c r="BB103" s="459"/>
      <c r="BC103" s="7"/>
      <c r="BD103" s="456"/>
      <c r="BH103" s="456"/>
      <c r="BI103" s="577"/>
      <c r="BJ103" s="577"/>
    </row>
    <row r="104" spans="1:62" s="462" customFormat="1" ht="12" x14ac:dyDescent="0.3">
      <c r="A104" s="468"/>
      <c r="B104" s="469"/>
      <c r="D104" s="2"/>
      <c r="E104" s="456"/>
      <c r="F104" s="456"/>
      <c r="G104" s="456"/>
      <c r="H104" s="459"/>
      <c r="I104" s="459"/>
      <c r="J104" s="7"/>
      <c r="K104" s="456"/>
      <c r="N104" s="456"/>
      <c r="O104" s="459"/>
      <c r="P104" s="459"/>
      <c r="Q104" s="459"/>
      <c r="R104" s="7"/>
      <c r="S104" s="456"/>
      <c r="W104" s="456"/>
      <c r="X104" s="459"/>
      <c r="Y104" s="459"/>
      <c r="Z104" s="459"/>
      <c r="AA104" s="7"/>
      <c r="AB104" s="456"/>
      <c r="AF104" s="456"/>
      <c r="AG104" s="459"/>
      <c r="AH104" s="459"/>
      <c r="AI104" s="459"/>
      <c r="AJ104" s="7"/>
      <c r="AK104" s="456"/>
      <c r="AO104" s="456"/>
      <c r="AP104" s="577"/>
      <c r="AQ104" s="459"/>
      <c r="AR104" s="459"/>
      <c r="AS104" s="459"/>
      <c r="AT104" s="7"/>
      <c r="AU104" s="456"/>
      <c r="AZ104" s="459"/>
      <c r="BA104" s="459"/>
      <c r="BB104" s="459"/>
      <c r="BC104" s="7"/>
      <c r="BD104" s="456"/>
      <c r="BH104" s="456"/>
      <c r="BI104" s="577"/>
      <c r="BJ104" s="577"/>
    </row>
    <row r="105" spans="1:62" s="462" customFormat="1" ht="12" x14ac:dyDescent="0.3">
      <c r="A105" s="468"/>
      <c r="B105" s="469"/>
      <c r="D105" s="2"/>
      <c r="E105" s="456"/>
      <c r="F105" s="456"/>
      <c r="G105" s="456"/>
      <c r="H105" s="459"/>
      <c r="I105" s="459"/>
      <c r="J105" s="7"/>
      <c r="K105" s="456"/>
      <c r="N105" s="456"/>
      <c r="O105" s="459"/>
      <c r="P105" s="459"/>
      <c r="Q105" s="459"/>
      <c r="R105" s="7"/>
      <c r="S105" s="456"/>
      <c r="W105" s="456"/>
      <c r="X105" s="459"/>
      <c r="Y105" s="459"/>
      <c r="Z105" s="459"/>
      <c r="AA105" s="7"/>
      <c r="AB105" s="456"/>
      <c r="AF105" s="456"/>
      <c r="AG105" s="459"/>
      <c r="AH105" s="459"/>
      <c r="AI105" s="459"/>
      <c r="AJ105" s="7"/>
      <c r="AK105" s="456"/>
      <c r="AO105" s="456"/>
      <c r="AP105" s="577"/>
      <c r="AQ105" s="459"/>
      <c r="AR105" s="459"/>
      <c r="AS105" s="459"/>
      <c r="AT105" s="7"/>
      <c r="AU105" s="456"/>
      <c r="AZ105" s="459"/>
      <c r="BA105" s="459"/>
      <c r="BB105" s="459"/>
      <c r="BC105" s="7"/>
      <c r="BD105" s="456"/>
      <c r="BH105" s="456"/>
      <c r="BI105" s="577"/>
      <c r="BJ105" s="577"/>
    </row>
    <row r="106" spans="1:62" s="462" customFormat="1" ht="12" x14ac:dyDescent="0.3">
      <c r="A106" s="468"/>
      <c r="B106" s="469"/>
      <c r="D106" s="2"/>
      <c r="E106" s="456"/>
      <c r="F106" s="456"/>
      <c r="G106" s="456"/>
      <c r="H106" s="459"/>
      <c r="I106" s="459"/>
      <c r="J106" s="7"/>
      <c r="K106" s="456"/>
      <c r="N106" s="456"/>
      <c r="W106" s="456"/>
      <c r="AF106" s="456"/>
      <c r="AO106" s="456"/>
      <c r="AP106" s="577"/>
      <c r="BI106" s="577"/>
      <c r="BJ106" s="577"/>
    </row>
    <row r="107" spans="1:62" s="462" customFormat="1" ht="12" x14ac:dyDescent="0.3">
      <c r="A107" s="468"/>
      <c r="B107" s="469"/>
      <c r="D107" s="2"/>
      <c r="E107" s="456"/>
      <c r="F107" s="456"/>
      <c r="G107" s="456"/>
      <c r="H107" s="459"/>
      <c r="I107" s="459"/>
      <c r="J107" s="7"/>
      <c r="K107" s="456"/>
      <c r="N107" s="456"/>
      <c r="W107" s="456"/>
      <c r="AF107" s="456"/>
      <c r="AO107" s="456"/>
      <c r="AP107" s="577"/>
      <c r="BI107" s="577"/>
      <c r="BJ107" s="577"/>
    </row>
    <row r="108" spans="1:62" s="462" customFormat="1" ht="12" x14ac:dyDescent="0.3">
      <c r="A108" s="468"/>
      <c r="B108" s="469"/>
      <c r="D108" s="2"/>
      <c r="E108" s="456"/>
      <c r="F108" s="456"/>
      <c r="G108" s="456"/>
      <c r="H108" s="459"/>
      <c r="I108" s="459"/>
      <c r="J108" s="7"/>
      <c r="K108" s="456"/>
      <c r="N108" s="456"/>
      <c r="W108" s="456"/>
      <c r="AF108" s="456"/>
      <c r="AO108" s="456"/>
      <c r="AP108" s="577"/>
      <c r="BI108" s="577"/>
      <c r="BJ108" s="577"/>
    </row>
    <row r="109" spans="1:62" s="462" customFormat="1" ht="12" x14ac:dyDescent="0.3">
      <c r="A109" s="468"/>
      <c r="B109" s="469"/>
      <c r="D109" s="2"/>
      <c r="E109" s="456"/>
      <c r="F109" s="456"/>
      <c r="G109" s="456"/>
      <c r="H109" s="459"/>
      <c r="I109" s="459"/>
      <c r="J109" s="7"/>
      <c r="K109" s="456"/>
      <c r="N109" s="456"/>
      <c r="W109" s="456"/>
      <c r="AF109" s="456"/>
      <c r="AO109" s="456"/>
      <c r="AP109" s="577"/>
      <c r="BI109" s="577"/>
      <c r="BJ109" s="577"/>
    </row>
    <row r="110" spans="1:62" s="462" customFormat="1" ht="12" x14ac:dyDescent="0.3">
      <c r="A110" s="468"/>
      <c r="B110" s="469"/>
      <c r="D110" s="2"/>
      <c r="E110" s="456"/>
      <c r="F110" s="456"/>
      <c r="G110" s="456"/>
      <c r="H110" s="459"/>
      <c r="I110" s="459"/>
      <c r="J110" s="7"/>
      <c r="K110" s="456"/>
      <c r="N110" s="456"/>
      <c r="W110" s="456"/>
      <c r="AF110" s="456"/>
      <c r="AO110" s="456"/>
      <c r="AP110" s="577"/>
      <c r="BI110" s="577"/>
      <c r="BJ110" s="577"/>
    </row>
    <row r="111" spans="1:62" s="462" customFormat="1" ht="12" x14ac:dyDescent="0.3">
      <c r="A111" s="468"/>
      <c r="B111" s="469"/>
      <c r="D111" s="2"/>
      <c r="E111" s="456"/>
      <c r="F111" s="456"/>
      <c r="G111" s="456"/>
      <c r="H111" s="459"/>
      <c r="I111" s="459"/>
      <c r="J111" s="7"/>
      <c r="K111" s="456"/>
      <c r="N111" s="456"/>
      <c r="W111" s="456"/>
      <c r="AF111" s="456"/>
      <c r="AO111" s="456"/>
      <c r="AP111" s="577"/>
      <c r="BI111" s="577"/>
      <c r="BJ111" s="577"/>
    </row>
    <row r="112" spans="1:62" s="462" customFormat="1" ht="12" x14ac:dyDescent="0.3">
      <c r="A112" s="468"/>
      <c r="B112" s="469"/>
      <c r="D112" s="2"/>
      <c r="E112" s="456"/>
      <c r="F112" s="456"/>
      <c r="G112" s="456"/>
      <c r="H112" s="459"/>
      <c r="I112" s="459"/>
      <c r="J112" s="7"/>
      <c r="K112" s="456"/>
      <c r="N112" s="456"/>
      <c r="W112" s="456"/>
      <c r="AF112" s="456"/>
      <c r="AO112" s="456"/>
      <c r="AP112" s="577"/>
      <c r="BI112" s="577"/>
      <c r="BJ112" s="577"/>
    </row>
    <row r="113" spans="1:62" s="462" customFormat="1" ht="12" x14ac:dyDescent="0.3">
      <c r="A113" s="468"/>
      <c r="B113" s="469"/>
      <c r="D113" s="2"/>
      <c r="E113" s="456"/>
      <c r="F113" s="456"/>
      <c r="G113" s="456"/>
      <c r="H113" s="459"/>
      <c r="I113" s="459"/>
      <c r="J113" s="7"/>
      <c r="K113" s="456"/>
      <c r="N113" s="456"/>
      <c r="O113" s="459"/>
      <c r="P113" s="459"/>
      <c r="Q113" s="459"/>
      <c r="R113" s="7"/>
      <c r="S113" s="456"/>
      <c r="W113" s="456"/>
      <c r="X113" s="459"/>
      <c r="Y113" s="459"/>
      <c r="Z113" s="459"/>
      <c r="AA113" s="7"/>
      <c r="AB113" s="456"/>
      <c r="AF113" s="456"/>
      <c r="AG113" s="459"/>
      <c r="AH113" s="459"/>
      <c r="AI113" s="459"/>
      <c r="AJ113" s="7"/>
      <c r="AK113" s="456"/>
      <c r="AO113" s="456"/>
      <c r="AP113" s="577"/>
      <c r="AQ113" s="459"/>
      <c r="AR113" s="459"/>
      <c r="AS113" s="459"/>
      <c r="AT113" s="7"/>
      <c r="AU113" s="456"/>
      <c r="AZ113" s="459"/>
      <c r="BA113" s="459"/>
      <c r="BB113" s="459"/>
      <c r="BC113" s="7"/>
      <c r="BD113" s="456"/>
      <c r="BH113" s="456"/>
      <c r="BI113" s="577"/>
      <c r="BJ113" s="577"/>
    </row>
    <row r="114" spans="1:62" s="462" customFormat="1" ht="12" x14ac:dyDescent="0.3">
      <c r="A114" s="468"/>
      <c r="B114" s="469"/>
      <c r="D114" s="2"/>
      <c r="E114" s="456"/>
      <c r="F114" s="456"/>
      <c r="G114" s="456"/>
      <c r="H114" s="459"/>
      <c r="I114" s="459"/>
      <c r="J114" s="7"/>
      <c r="K114" s="456"/>
      <c r="N114" s="456"/>
      <c r="O114" s="459"/>
      <c r="P114" s="459"/>
      <c r="Q114" s="459"/>
      <c r="R114" s="7"/>
      <c r="S114" s="456"/>
      <c r="W114" s="456"/>
      <c r="X114" s="459"/>
      <c r="Y114" s="459"/>
      <c r="Z114" s="459"/>
      <c r="AA114" s="7"/>
      <c r="AB114" s="456"/>
      <c r="AF114" s="456"/>
      <c r="AG114" s="459"/>
      <c r="AH114" s="459"/>
      <c r="AI114" s="459"/>
      <c r="AJ114" s="7"/>
      <c r="AK114" s="456"/>
      <c r="AO114" s="456"/>
      <c r="AP114" s="577"/>
      <c r="AQ114" s="459"/>
      <c r="AR114" s="459"/>
      <c r="AS114" s="459"/>
      <c r="AT114" s="7"/>
      <c r="AU114" s="456"/>
      <c r="AZ114" s="459"/>
      <c r="BA114" s="459"/>
      <c r="BB114" s="459"/>
      <c r="BC114" s="7"/>
      <c r="BD114" s="456"/>
      <c r="BH114" s="456"/>
      <c r="BI114" s="577"/>
      <c r="BJ114" s="577"/>
    </row>
    <row r="115" spans="1:62" s="462" customFormat="1" ht="12" x14ac:dyDescent="0.3">
      <c r="A115" s="468"/>
      <c r="B115" s="469"/>
      <c r="D115" s="2"/>
      <c r="E115" s="456"/>
      <c r="F115" s="456"/>
      <c r="G115" s="456"/>
      <c r="H115" s="459"/>
      <c r="I115" s="459"/>
      <c r="J115" s="7"/>
      <c r="K115" s="456"/>
      <c r="N115" s="456"/>
      <c r="O115" s="459"/>
      <c r="P115" s="459"/>
      <c r="Q115" s="459"/>
      <c r="R115" s="7"/>
      <c r="S115" s="456"/>
      <c r="W115" s="456"/>
      <c r="X115" s="459"/>
      <c r="Y115" s="459"/>
      <c r="Z115" s="459"/>
      <c r="AA115" s="7"/>
      <c r="AB115" s="456"/>
      <c r="AF115" s="456"/>
      <c r="AG115" s="459"/>
      <c r="AH115" s="459"/>
      <c r="AI115" s="459"/>
      <c r="AJ115" s="7"/>
      <c r="AK115" s="456"/>
      <c r="AO115" s="456"/>
      <c r="AP115" s="577"/>
      <c r="AQ115" s="459"/>
      <c r="AR115" s="459"/>
      <c r="AS115" s="459"/>
      <c r="AT115" s="7"/>
      <c r="AU115" s="456"/>
      <c r="AZ115" s="459"/>
      <c r="BA115" s="459"/>
      <c r="BB115" s="459"/>
      <c r="BC115" s="7"/>
      <c r="BD115" s="456"/>
      <c r="BH115" s="456"/>
      <c r="BI115" s="577"/>
      <c r="BJ115" s="577"/>
    </row>
    <row r="116" spans="1:62" s="462" customFormat="1" x14ac:dyDescent="0.35">
      <c r="A116" s="455" t="s">
        <v>583</v>
      </c>
      <c r="B116" s="455"/>
      <c r="C116" s="456"/>
      <c r="D116" s="2"/>
      <c r="E116" s="456"/>
      <c r="F116" s="456"/>
      <c r="G116" s="456"/>
      <c r="H116" s="459"/>
      <c r="I116" s="459"/>
      <c r="J116" s="7"/>
      <c r="K116" s="456"/>
      <c r="N116" s="456"/>
      <c r="O116" s="6"/>
      <c r="P116" s="6"/>
      <c r="Q116" s="6"/>
      <c r="R116" s="7"/>
      <c r="S116" s="1"/>
      <c r="T116"/>
      <c r="U116"/>
      <c r="V116"/>
      <c r="W116" s="456"/>
      <c r="X116" s="6"/>
      <c r="Y116" s="6"/>
      <c r="Z116" s="6"/>
      <c r="AA116" s="7"/>
      <c r="AB116" s="1"/>
      <c r="AC116"/>
      <c r="AD116"/>
      <c r="AE116"/>
      <c r="AF116" s="456"/>
      <c r="AG116" s="6"/>
      <c r="AH116" s="6"/>
      <c r="AI116" s="6"/>
      <c r="AJ116" s="7"/>
      <c r="AK116" s="1"/>
      <c r="AL116"/>
      <c r="AM116"/>
      <c r="AN116"/>
      <c r="AO116" s="456"/>
      <c r="AP116" s="577"/>
      <c r="AQ116" s="6"/>
      <c r="AR116" s="6"/>
      <c r="AS116" s="6"/>
      <c r="AT116" s="7"/>
      <c r="AU116" s="1"/>
      <c r="AV116"/>
      <c r="AW116"/>
      <c r="AX116"/>
      <c r="AY116"/>
      <c r="AZ116" s="6"/>
      <c r="BA116" s="6"/>
      <c r="BB116" s="6"/>
      <c r="BC116" s="7"/>
      <c r="BD116" s="1"/>
      <c r="BE116"/>
      <c r="BF116"/>
      <c r="BG116"/>
      <c r="BH116" s="1"/>
      <c r="BI116" s="577"/>
      <c r="BJ116" s="577"/>
    </row>
    <row r="117" spans="1:62" s="462" customFormat="1" ht="93" customHeight="1" x14ac:dyDescent="0.35">
      <c r="A117" s="9170" t="s">
        <v>3360</v>
      </c>
      <c r="B117" s="9171"/>
      <c r="C117" s="9171"/>
      <c r="D117" s="9171"/>
      <c r="E117" s="9171"/>
      <c r="F117" s="9171"/>
      <c r="G117" s="9171"/>
      <c r="H117" s="9171"/>
      <c r="I117" s="9171"/>
      <c r="J117" s="9171"/>
      <c r="K117" s="9171"/>
      <c r="L117" s="9171"/>
      <c r="M117" s="9172"/>
      <c r="N117" s="456"/>
      <c r="O117" s="6"/>
      <c r="P117" s="6"/>
      <c r="Q117" s="6"/>
      <c r="R117" s="7"/>
      <c r="S117" s="1"/>
      <c r="T117"/>
      <c r="U117"/>
      <c r="V117"/>
      <c r="W117" s="456"/>
      <c r="X117" s="6"/>
      <c r="Y117" s="6"/>
      <c r="Z117" s="6"/>
      <c r="AA117" s="7"/>
      <c r="AB117" s="1"/>
      <c r="AC117"/>
      <c r="AD117"/>
      <c r="AE117"/>
      <c r="AF117" s="456"/>
      <c r="AG117" s="6"/>
      <c r="AH117" s="6"/>
      <c r="AI117" s="6"/>
      <c r="AJ117" s="7"/>
      <c r="AK117" s="1"/>
      <c r="AL117"/>
      <c r="AM117"/>
      <c r="AN117"/>
      <c r="AO117" s="456"/>
      <c r="AP117" s="577"/>
      <c r="AQ117" s="6"/>
      <c r="AR117" s="6"/>
      <c r="AS117" s="6"/>
      <c r="AT117" s="7"/>
      <c r="AU117" s="1"/>
      <c r="AV117"/>
      <c r="AW117"/>
      <c r="AX117"/>
      <c r="AY117"/>
      <c r="AZ117" s="6"/>
      <c r="BA117" s="6"/>
      <c r="BB117" s="6"/>
      <c r="BC117" s="7"/>
      <c r="BD117" s="1"/>
      <c r="BE117"/>
      <c r="BF117"/>
      <c r="BG117"/>
      <c r="BH117" s="1"/>
      <c r="BI117" s="577"/>
      <c r="BJ117" s="577"/>
    </row>
  </sheetData>
  <mergeCells count="58">
    <mergeCell ref="A71:A80"/>
    <mergeCell ref="A82:A99"/>
    <mergeCell ref="A117:M117"/>
    <mergeCell ref="AG7:AH7"/>
    <mergeCell ref="AL7:AN7"/>
    <mergeCell ref="A10:A31"/>
    <mergeCell ref="L10:M10"/>
    <mergeCell ref="O10:P10"/>
    <mergeCell ref="A33:A69"/>
    <mergeCell ref="T7:V7"/>
    <mergeCell ref="X7:Y7"/>
    <mergeCell ref="AA7:AA8"/>
    <mergeCell ref="AC7:AE7"/>
    <mergeCell ref="AJ7:AJ8"/>
    <mergeCell ref="H7:I7"/>
    <mergeCell ref="J7:J8"/>
    <mergeCell ref="L7:M7"/>
    <mergeCell ref="O7:P7"/>
    <mergeCell ref="R7:R8"/>
    <mergeCell ref="AP4:AP5"/>
    <mergeCell ref="H5:J5"/>
    <mergeCell ref="L5:M5"/>
    <mergeCell ref="O5:R5"/>
    <mergeCell ref="T5:V5"/>
    <mergeCell ref="X5:AA5"/>
    <mergeCell ref="AC5:AE5"/>
    <mergeCell ref="AG5:AJ5"/>
    <mergeCell ref="AL5:AN5"/>
    <mergeCell ref="F1:M1"/>
    <mergeCell ref="O1:V1"/>
    <mergeCell ref="X1:AE1"/>
    <mergeCell ref="AG1:AN1"/>
    <mergeCell ref="H4:J4"/>
    <mergeCell ref="L4:M4"/>
    <mergeCell ref="O4:R4"/>
    <mergeCell ref="T4:V4"/>
    <mergeCell ref="X4:AA4"/>
    <mergeCell ref="AC4:AE4"/>
    <mergeCell ref="AG4:AJ4"/>
    <mergeCell ref="AL4:AN4"/>
    <mergeCell ref="AQ1:AX1"/>
    <mergeCell ref="AQ4:AT4"/>
    <mergeCell ref="AV4:AX4"/>
    <mergeCell ref="BJ4:BJ5"/>
    <mergeCell ref="AQ5:AT5"/>
    <mergeCell ref="AV5:AX5"/>
    <mergeCell ref="AZ1:BG1"/>
    <mergeCell ref="BI4:BI5"/>
    <mergeCell ref="AZ5:BC5"/>
    <mergeCell ref="BE5:BG5"/>
    <mergeCell ref="BE7:BG7"/>
    <mergeCell ref="AZ4:BC4"/>
    <mergeCell ref="BE4:BG4"/>
    <mergeCell ref="AQ7:AS7"/>
    <mergeCell ref="AT7:AT8"/>
    <mergeCell ref="AV7:AX7"/>
    <mergeCell ref="AZ7:BB7"/>
    <mergeCell ref="BC7:BC8"/>
  </mergeCells>
  <hyperlinks>
    <hyperlink ref="Q10" r:id="rId1" xr:uid="{00000000-0004-0000-1600-000000000000}"/>
    <hyperlink ref="V10" r:id="rId2" xr:uid="{00000000-0004-0000-1600-000001000000}"/>
    <hyperlink ref="AD10" r:id="rId3" xr:uid="{00000000-0004-0000-1600-000002000000}"/>
    <hyperlink ref="Z10" r:id="rId4" xr:uid="{00000000-0004-0000-1600-000003000000}"/>
    <hyperlink ref="AD33" r:id="rId5" xr:uid="{00000000-0004-0000-1600-000004000000}"/>
    <hyperlink ref="AM10" r:id="rId6" xr:uid="{00000000-0004-0000-1600-000005000000}"/>
    <hyperlink ref="AM33" r:id="rId7" xr:uid="{00000000-0004-0000-1600-000006000000}"/>
    <hyperlink ref="AI10" r:id="rId8" xr:uid="{00000000-0004-0000-1600-000007000000}"/>
    <hyperlink ref="AI33" r:id="rId9" xr:uid="{00000000-0004-0000-1600-000008000000}"/>
    <hyperlink ref="AS10" r:id="rId10" xr:uid="{A5F06E0A-52CC-4F76-A236-19DAE1253329}"/>
    <hyperlink ref="AW10" r:id="rId11" xr:uid="{BE9BCB90-9079-4827-83E2-95618E12CF17}"/>
    <hyperlink ref="BB10" r:id="rId12" xr:uid="{6EA82C1D-2778-40D5-AC69-7B4001912021}"/>
    <hyperlink ref="BF10" r:id="rId13" xr:uid="{DCA8966D-79CF-4C8C-A403-3A7115660BAB}"/>
  </hyperlinks>
  <pageMargins left="0.23622047244094491" right="0.23622047244094491" top="0.35433070866141736" bottom="0.35433070866141736" header="0.31496062992125984" footer="0.31496062992125984"/>
  <pageSetup paperSize="9" scale="43" orientation="portrait" horizontalDpi="4294967293" verticalDpi="4294967293" r:id="rId14"/>
  <headerFooter>
    <oddFooter>&amp;R&amp;1#&amp;"Calibri"&amp;12&amp;K000000Official Use</oddFooter>
  </headerFooter>
  <legacyDrawing r:id="rId15"/>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N117"/>
  <sheetViews>
    <sheetView zoomScale="74" zoomScaleNormal="100" zoomScalePageLayoutView="70" workbookViewId="0">
      <pane xSplit="4" topLeftCell="BB1" activePane="topRight" state="frozen"/>
      <selection activeCell="A65" sqref="A65"/>
      <selection pane="topRight" activeCell="BN84" sqref="BN84"/>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13.453125" style="6" customWidth="1"/>
    <col min="18" max="18" width="13.453125" style="7" customWidth="1"/>
    <col min="19" max="19" width="2.453125" style="1" customWidth="1"/>
    <col min="20" max="22" width="13.453125" customWidth="1"/>
    <col min="23" max="23" width="1.6328125" style="1" customWidth="1"/>
    <col min="24" max="24" width="10.6328125" customWidth="1"/>
    <col min="25" max="25" width="1.81640625" customWidth="1"/>
    <col min="26" max="28" width="14.453125" style="6" customWidth="1"/>
    <col min="29" max="29" width="14.453125" style="7" customWidth="1"/>
    <col min="30" max="30" width="2" style="1" customWidth="1"/>
    <col min="31" max="33" width="14.453125" customWidth="1"/>
    <col min="34" max="34" width="1.6328125" style="1" customWidth="1"/>
    <col min="35" max="35" width="7.6328125" customWidth="1"/>
    <col min="36" max="36" width="1.81640625" customWidth="1"/>
    <col min="37" max="38" width="13.81640625" style="6" customWidth="1"/>
    <col min="39" max="39" width="12" style="6" customWidth="1"/>
    <col min="40" max="40" width="13.81640625" style="7" customWidth="1"/>
    <col min="41" max="41" width="2" style="1" customWidth="1"/>
    <col min="42" max="42" width="18.36328125" customWidth="1"/>
    <col min="43" max="43" width="13.81640625" customWidth="1"/>
    <col min="44" max="44" width="16.36328125" customWidth="1"/>
    <col min="45" max="45" width="1.6328125" style="1" customWidth="1"/>
    <col min="46" max="46" width="7" customWidth="1"/>
    <col min="47" max="47" width="2.453125" customWidth="1"/>
    <col min="48" max="49" width="13.81640625" style="6" customWidth="1"/>
    <col min="50" max="50" width="12" style="6" customWidth="1"/>
    <col min="51" max="51" width="13.81640625" style="7" customWidth="1"/>
    <col min="52" max="52" width="2" style="1" customWidth="1"/>
    <col min="53" max="53" width="18.36328125" customWidth="1"/>
    <col min="54" max="54" width="13.81640625" customWidth="1"/>
    <col min="55" max="55" width="16.36328125" customWidth="1"/>
    <col min="56" max="56" width="1.6328125" style="1" customWidth="1"/>
    <col min="57" max="57" width="7" customWidth="1"/>
    <col min="58" max="58" width="9.1796875" customWidth="1"/>
    <col min="59" max="60" width="13.81640625" style="6" customWidth="1"/>
    <col min="61" max="61" width="28" style="6" customWidth="1"/>
    <col min="62" max="62" width="13.81640625" style="7" customWidth="1"/>
    <col min="63" max="63" width="2" style="1" customWidth="1"/>
    <col min="64" max="64" width="18.36328125" customWidth="1"/>
    <col min="65" max="65" width="13.81640625" customWidth="1"/>
    <col min="66" max="66" width="16.36328125" customWidth="1"/>
  </cols>
  <sheetData>
    <row r="1" spans="1:66" ht="31" x14ac:dyDescent="0.7">
      <c r="F1" s="9118" t="s">
        <v>585</v>
      </c>
      <c r="G1" s="9119"/>
      <c r="H1" s="9119"/>
      <c r="I1" s="9119"/>
      <c r="J1" s="9119"/>
      <c r="K1" s="9119"/>
      <c r="L1" s="9119"/>
      <c r="M1" s="9120"/>
      <c r="O1" s="9121" t="s">
        <v>395</v>
      </c>
      <c r="P1" s="9122"/>
      <c r="Q1" s="9122"/>
      <c r="R1" s="9122"/>
      <c r="S1" s="9122"/>
      <c r="T1" s="9122"/>
      <c r="U1" s="9122"/>
      <c r="V1" s="9122"/>
      <c r="Z1" s="9124" t="s">
        <v>396</v>
      </c>
      <c r="AA1" s="9125"/>
      <c r="AB1" s="9125"/>
      <c r="AC1" s="9125"/>
      <c r="AD1" s="9125"/>
      <c r="AE1" s="9125"/>
      <c r="AF1" s="9125"/>
      <c r="AG1" s="9125"/>
      <c r="AK1" s="9174" t="s">
        <v>397</v>
      </c>
      <c r="AL1" s="9175"/>
      <c r="AM1" s="9175"/>
      <c r="AN1" s="9175"/>
      <c r="AO1" s="9175"/>
      <c r="AP1" s="9175"/>
      <c r="AQ1" s="9175"/>
      <c r="AR1" s="9175"/>
      <c r="AV1" s="9118" t="s">
        <v>398</v>
      </c>
      <c r="AW1" s="9119"/>
      <c r="AX1" s="9119"/>
      <c r="AY1" s="9119"/>
      <c r="AZ1" s="9119"/>
      <c r="BA1" s="9119"/>
      <c r="BB1" s="9119"/>
      <c r="BC1" s="9119"/>
      <c r="BG1" s="9118" t="s">
        <v>399</v>
      </c>
      <c r="BH1" s="9119"/>
      <c r="BI1" s="9119"/>
      <c r="BJ1" s="9119"/>
      <c r="BK1" s="9119"/>
      <c r="BL1" s="9119"/>
      <c r="BM1" s="9119"/>
      <c r="BN1" s="9119"/>
    </row>
    <row r="2" spans="1:66" ht="21" x14ac:dyDescent="0.5">
      <c r="B2" s="1" t="s">
        <v>9</v>
      </c>
      <c r="C2" s="4" t="s">
        <v>48</v>
      </c>
      <c r="H2"/>
    </row>
    <row r="3" spans="1:66" ht="31" x14ac:dyDescent="0.7">
      <c r="G3" s="470"/>
      <c r="H3" s="470"/>
      <c r="I3" s="470"/>
      <c r="J3" s="470"/>
      <c r="K3" s="470"/>
      <c r="L3" s="1537"/>
      <c r="M3" s="1537"/>
      <c r="T3" s="1537"/>
      <c r="U3" s="1537"/>
      <c r="V3" s="1537"/>
      <c r="AE3" s="1537"/>
      <c r="AF3" s="1537"/>
      <c r="AG3" s="1537"/>
      <c r="AP3" s="1537"/>
      <c r="AQ3" s="1537"/>
      <c r="AR3" s="1537"/>
      <c r="BA3" s="1537"/>
      <c r="BB3" s="1537"/>
      <c r="BC3" s="1537"/>
      <c r="BL3" s="1537"/>
      <c r="BM3" s="1537"/>
      <c r="BN3" s="1537"/>
    </row>
    <row r="4" spans="1:66" s="8" customFormat="1" ht="15.25" customHeight="1" x14ac:dyDescent="0.35">
      <c r="D4" s="579"/>
      <c r="F4" s="4966" t="s">
        <v>400</v>
      </c>
      <c r="H4" s="9429" t="s">
        <v>401</v>
      </c>
      <c r="I4" s="9430"/>
      <c r="J4" s="9431"/>
      <c r="L4" s="9429" t="s">
        <v>402</v>
      </c>
      <c r="M4" s="9431"/>
      <c r="O4" s="9429" t="s">
        <v>403</v>
      </c>
      <c r="P4" s="9430"/>
      <c r="Q4" s="9430"/>
      <c r="R4" s="9431"/>
      <c r="T4" s="9429"/>
      <c r="U4" s="9430"/>
      <c r="V4" s="9431"/>
      <c r="X4" s="9432" t="s">
        <v>404</v>
      </c>
      <c r="Z4" s="9429" t="s">
        <v>403</v>
      </c>
      <c r="AA4" s="9430"/>
      <c r="AB4" s="9430"/>
      <c r="AC4" s="9431"/>
      <c r="AE4" s="9429"/>
      <c r="AF4" s="9430"/>
      <c r="AG4" s="9431"/>
      <c r="AI4" s="9432" t="s">
        <v>404</v>
      </c>
      <c r="AK4" s="9429" t="s">
        <v>403</v>
      </c>
      <c r="AL4" s="9430"/>
      <c r="AM4" s="9430"/>
      <c r="AN4" s="9431"/>
      <c r="AP4" s="9429"/>
      <c r="AQ4" s="9430"/>
      <c r="AR4" s="9431"/>
      <c r="AT4" s="9432" t="s">
        <v>404</v>
      </c>
      <c r="AV4" s="9429" t="s">
        <v>403</v>
      </c>
      <c r="AW4" s="9430"/>
      <c r="AX4" s="9430"/>
      <c r="AY4" s="9431"/>
      <c r="BA4" s="9429"/>
      <c r="BB4" s="9430"/>
      <c r="BC4" s="9431"/>
      <c r="BE4" s="9432" t="s">
        <v>404</v>
      </c>
      <c r="BG4" s="9429" t="s">
        <v>403</v>
      </c>
      <c r="BH4" s="9430"/>
      <c r="BI4" s="9430"/>
      <c r="BJ4" s="9431"/>
      <c r="BL4" s="9429"/>
      <c r="BM4" s="9430"/>
      <c r="BN4" s="9431"/>
    </row>
    <row r="5" spans="1:66" x14ac:dyDescent="0.35">
      <c r="B5" s="1" t="s">
        <v>406</v>
      </c>
      <c r="C5" s="11">
        <v>2007</v>
      </c>
      <c r="F5" s="8324" t="s">
        <v>3361</v>
      </c>
      <c r="G5" s="12"/>
      <c r="H5" s="9138" t="s">
        <v>3362</v>
      </c>
      <c r="I5" s="9139"/>
      <c r="J5" s="9140"/>
      <c r="K5" s="12"/>
      <c r="L5" s="9138" t="s">
        <v>3363</v>
      </c>
      <c r="M5" s="9140"/>
      <c r="O5" s="9138">
        <v>2015</v>
      </c>
      <c r="P5" s="9139"/>
      <c r="Q5" s="9139"/>
      <c r="R5" s="9140"/>
      <c r="T5" s="9138" t="s">
        <v>3364</v>
      </c>
      <c r="U5" s="9139"/>
      <c r="V5" s="9140"/>
      <c r="X5" s="9181"/>
      <c r="Z5" s="9138">
        <v>2016</v>
      </c>
      <c r="AA5" s="9139"/>
      <c r="AB5" s="9139"/>
      <c r="AC5" s="9140"/>
      <c r="AE5" s="9138" t="s">
        <v>3365</v>
      </c>
      <c r="AF5" s="9139"/>
      <c r="AG5" s="9140"/>
      <c r="AI5" s="9181"/>
      <c r="AK5" s="9138" t="s">
        <v>3365</v>
      </c>
      <c r="AL5" s="9139"/>
      <c r="AM5" s="9139"/>
      <c r="AN5" s="9140"/>
      <c r="AP5" s="9138" t="s">
        <v>3366</v>
      </c>
      <c r="AQ5" s="9139"/>
      <c r="AR5" s="9140"/>
      <c r="AT5" s="9181"/>
      <c r="AV5" s="9138" t="s">
        <v>3366</v>
      </c>
      <c r="AW5" s="9139"/>
      <c r="AX5" s="9139"/>
      <c r="AY5" s="9140"/>
      <c r="BA5" s="9138" t="s">
        <v>1290</v>
      </c>
      <c r="BB5" s="9139"/>
      <c r="BC5" s="9140"/>
      <c r="BE5" s="9181"/>
      <c r="BG5" s="9138" t="s">
        <v>1290</v>
      </c>
      <c r="BH5" s="9139"/>
      <c r="BI5" s="9139"/>
      <c r="BJ5" s="9140"/>
      <c r="BL5" s="9138" t="s">
        <v>1291</v>
      </c>
      <c r="BM5" s="9139"/>
      <c r="BN5" s="9140"/>
    </row>
    <row r="6" spans="1:66" x14ac:dyDescent="0.35">
      <c r="C6"/>
      <c r="F6" s="6"/>
      <c r="L6" s="14"/>
      <c r="T6" s="14"/>
      <c r="U6" s="14"/>
      <c r="X6" s="6"/>
      <c r="AE6" s="14"/>
      <c r="AF6" s="14"/>
      <c r="AI6" s="6"/>
      <c r="AP6" s="14"/>
      <c r="AQ6" s="14"/>
      <c r="AT6" s="6"/>
      <c r="BA6" s="14"/>
      <c r="BB6" s="14"/>
      <c r="BE6" s="6"/>
      <c r="BL6" s="14"/>
      <c r="BM6" s="14"/>
    </row>
    <row r="7" spans="1:66" ht="12.75" customHeight="1" x14ac:dyDescent="0.35">
      <c r="B7" s="1" t="s">
        <v>101</v>
      </c>
      <c r="C7" s="15" t="s">
        <v>3367</v>
      </c>
      <c r="D7" s="2" t="s">
        <v>417</v>
      </c>
      <c r="F7" s="8322" t="s">
        <v>1914</v>
      </c>
      <c r="H7" s="9173" t="s">
        <v>1914</v>
      </c>
      <c r="I7" s="9173"/>
      <c r="J7" s="9147" t="s">
        <v>419</v>
      </c>
      <c r="L7" s="9149" t="s">
        <v>1914</v>
      </c>
      <c r="M7" s="9151"/>
      <c r="O7" s="9173" t="s">
        <v>1591</v>
      </c>
      <c r="P7" s="9173"/>
      <c r="Q7" s="16"/>
      <c r="R7" s="9147" t="s">
        <v>419</v>
      </c>
      <c r="T7" s="9149" t="s">
        <v>1914</v>
      </c>
      <c r="U7" s="9150"/>
      <c r="V7" s="9151"/>
      <c r="X7" s="18"/>
      <c r="Z7" s="9173" t="s">
        <v>1591</v>
      </c>
      <c r="AA7" s="9173"/>
      <c r="AB7" s="16"/>
      <c r="AC7" s="9147" t="s">
        <v>419</v>
      </c>
      <c r="AE7" s="9149" t="s">
        <v>1914</v>
      </c>
      <c r="AF7" s="9150"/>
      <c r="AG7" s="9151"/>
      <c r="AI7" s="18"/>
      <c r="AK7" s="9173" t="s">
        <v>1914</v>
      </c>
      <c r="AL7" s="9173"/>
      <c r="AM7" s="16"/>
      <c r="AN7" s="9147" t="s">
        <v>419</v>
      </c>
      <c r="AP7" s="9149" t="s">
        <v>1914</v>
      </c>
      <c r="AQ7" s="9150"/>
      <c r="AR7" s="9151"/>
      <c r="AT7" s="18"/>
      <c r="AV7" s="9173" t="s">
        <v>1914</v>
      </c>
      <c r="AW7" s="9173"/>
      <c r="AX7" s="16"/>
      <c r="AY7" s="9147" t="s">
        <v>419</v>
      </c>
      <c r="BA7" s="9149" t="s">
        <v>1914</v>
      </c>
      <c r="BB7" s="9150"/>
      <c r="BC7" s="9151"/>
      <c r="BE7" s="18"/>
      <c r="BG7" s="9173" t="s">
        <v>1914</v>
      </c>
      <c r="BH7" s="9173"/>
      <c r="BI7" s="16"/>
      <c r="BJ7" s="9147" t="s">
        <v>419</v>
      </c>
      <c r="BL7" s="9149" t="s">
        <v>1914</v>
      </c>
      <c r="BM7" s="9150"/>
      <c r="BN7" s="9151"/>
    </row>
    <row r="8" spans="1:66" x14ac:dyDescent="0.35">
      <c r="B8" s="1" t="s">
        <v>420</v>
      </c>
      <c r="C8" s="19" t="s">
        <v>747</v>
      </c>
      <c r="F8" s="20" t="s">
        <v>96</v>
      </c>
      <c r="H8" s="20" t="s">
        <v>423</v>
      </c>
      <c r="I8" s="20" t="s">
        <v>96</v>
      </c>
      <c r="J8" s="9148"/>
      <c r="L8" s="21" t="s">
        <v>423</v>
      </c>
      <c r="M8" s="20" t="s">
        <v>96</v>
      </c>
      <c r="O8" s="20" t="s">
        <v>424</v>
      </c>
      <c r="P8" s="20" t="s">
        <v>96</v>
      </c>
      <c r="Q8" s="22" t="s">
        <v>425</v>
      </c>
      <c r="R8" s="9148"/>
      <c r="T8" s="21" t="s">
        <v>423</v>
      </c>
      <c r="U8" s="21"/>
      <c r="V8" s="20" t="s">
        <v>96</v>
      </c>
      <c r="X8" s="24"/>
      <c r="Z8" s="21" t="s">
        <v>423</v>
      </c>
      <c r="AA8" s="20" t="s">
        <v>96</v>
      </c>
      <c r="AB8" s="22" t="s">
        <v>425</v>
      </c>
      <c r="AC8" s="9148"/>
      <c r="AE8" s="21" t="s">
        <v>423</v>
      </c>
      <c r="AF8" s="21"/>
      <c r="AG8" s="20" t="s">
        <v>96</v>
      </c>
      <c r="AI8" s="24"/>
      <c r="AK8" s="21" t="s">
        <v>423</v>
      </c>
      <c r="AL8" s="20" t="s">
        <v>96</v>
      </c>
      <c r="AM8" s="22" t="s">
        <v>425</v>
      </c>
      <c r="AN8" s="9148"/>
      <c r="AP8" s="21" t="s">
        <v>423</v>
      </c>
      <c r="AQ8" s="21"/>
      <c r="AR8" s="20" t="s">
        <v>96</v>
      </c>
      <c r="AT8" s="24"/>
      <c r="AV8" s="21" t="s">
        <v>423</v>
      </c>
      <c r="AW8" s="20" t="s">
        <v>96</v>
      </c>
      <c r="AX8" s="22" t="s">
        <v>425</v>
      </c>
      <c r="AY8" s="9148"/>
      <c r="BA8" s="21" t="s">
        <v>423</v>
      </c>
      <c r="BB8" s="21"/>
      <c r="BC8" s="20" t="s">
        <v>96</v>
      </c>
      <c r="BE8" s="24"/>
      <c r="BG8" s="21" t="s">
        <v>423</v>
      </c>
      <c r="BH8" s="20" t="s">
        <v>96</v>
      </c>
      <c r="BI8" s="22" t="s">
        <v>425</v>
      </c>
      <c r="BJ8" s="9148"/>
      <c r="BL8" s="21" t="s">
        <v>423</v>
      </c>
      <c r="BM8" s="21"/>
      <c r="BN8" s="20" t="s">
        <v>96</v>
      </c>
    </row>
    <row r="9" spans="1:66" x14ac:dyDescent="0.35">
      <c r="C9"/>
      <c r="E9"/>
      <c r="F9"/>
      <c r="G9"/>
      <c r="H9" s="6" t="s">
        <v>3368</v>
      </c>
      <c r="I9"/>
      <c r="J9" s="25"/>
      <c r="K9"/>
      <c r="N9"/>
      <c r="O9"/>
      <c r="P9"/>
      <c r="Q9"/>
      <c r="R9" s="25"/>
      <c r="S9"/>
      <c r="W9"/>
      <c r="Z9"/>
      <c r="AA9"/>
      <c r="AB9"/>
      <c r="AC9" s="25"/>
      <c r="AD9"/>
      <c r="AH9"/>
      <c r="AK9"/>
      <c r="AL9"/>
      <c r="AM9"/>
      <c r="AN9" s="25"/>
      <c r="AO9"/>
      <c r="AS9"/>
      <c r="AV9"/>
      <c r="AW9"/>
      <c r="AX9"/>
      <c r="AY9" s="25"/>
      <c r="AZ9"/>
      <c r="BD9"/>
      <c r="BG9"/>
      <c r="BH9"/>
      <c r="BI9"/>
      <c r="BJ9" s="25"/>
      <c r="BK9"/>
    </row>
    <row r="10" spans="1:66" ht="33.25" customHeight="1" x14ac:dyDescent="0.35">
      <c r="A10" s="9167" t="s">
        <v>426</v>
      </c>
      <c r="B10" s="27"/>
      <c r="C10" s="28" t="s">
        <v>427</v>
      </c>
      <c r="D10" s="580" t="s">
        <v>428</v>
      </c>
      <c r="E10" s="30"/>
      <c r="F10" s="31" t="s">
        <v>3369</v>
      </c>
      <c r="G10"/>
      <c r="H10" s="31" t="s">
        <v>3369</v>
      </c>
      <c r="I10" s="31" t="s">
        <v>3370</v>
      </c>
      <c r="J10" s="32"/>
      <c r="K10" s="33"/>
      <c r="L10" s="31" t="s">
        <v>3371</v>
      </c>
      <c r="M10" s="34" t="s">
        <v>3372</v>
      </c>
      <c r="N10" s="33"/>
      <c r="O10" s="8314" t="s">
        <v>3373</v>
      </c>
      <c r="P10" s="8314" t="s">
        <v>3374</v>
      </c>
      <c r="Q10" s="3236" t="s">
        <v>3371</v>
      </c>
      <c r="R10" s="32"/>
      <c r="S10" s="33"/>
      <c r="T10" s="31" t="s">
        <v>3371</v>
      </c>
      <c r="U10" s="3236" t="s">
        <v>3371</v>
      </c>
      <c r="V10" s="34" t="s">
        <v>3372</v>
      </c>
      <c r="W10" s="33"/>
      <c r="X10" s="39"/>
      <c r="Z10" s="31" t="s">
        <v>3371</v>
      </c>
      <c r="AA10" s="34" t="s">
        <v>3372</v>
      </c>
      <c r="AB10" s="3236" t="s">
        <v>3371</v>
      </c>
      <c r="AC10" s="32"/>
      <c r="AD10" s="33"/>
      <c r="AE10" s="31" t="s">
        <v>3375</v>
      </c>
      <c r="AF10" s="3236" t="s">
        <v>3375</v>
      </c>
      <c r="AG10" s="34" t="s">
        <v>3376</v>
      </c>
      <c r="AH10" s="33"/>
      <c r="AI10" s="39"/>
      <c r="AK10" s="31" t="s">
        <v>3375</v>
      </c>
      <c r="AL10" s="34" t="s">
        <v>3372</v>
      </c>
      <c r="AM10" s="3236" t="s">
        <v>3375</v>
      </c>
      <c r="AN10" s="32"/>
      <c r="AO10" s="33"/>
      <c r="AP10" s="31" t="s">
        <v>3377</v>
      </c>
      <c r="AQ10" s="3236" t="s">
        <v>3377</v>
      </c>
      <c r="AR10" s="34" t="s">
        <v>3376</v>
      </c>
      <c r="AS10" s="33"/>
      <c r="AT10" s="39"/>
      <c r="AV10" s="31" t="s">
        <v>3377</v>
      </c>
      <c r="AW10" s="34" t="s">
        <v>3372</v>
      </c>
      <c r="AX10" s="652" t="s">
        <v>3378</v>
      </c>
      <c r="AY10" s="32"/>
      <c r="AZ10" s="33"/>
      <c r="BA10" s="31" t="s">
        <v>3379</v>
      </c>
      <c r="BB10" s="652" t="s">
        <v>3378</v>
      </c>
      <c r="BC10" s="34" t="s">
        <v>3376</v>
      </c>
      <c r="BD10" s="33"/>
      <c r="BE10" s="39"/>
      <c r="BG10" s="31" t="s">
        <v>3379</v>
      </c>
      <c r="BH10" s="34" t="s">
        <v>3380</v>
      </c>
      <c r="BI10" s="652" t="s">
        <v>3378</v>
      </c>
      <c r="BJ10" s="32"/>
      <c r="BK10" s="33"/>
      <c r="BL10" s="31" t="s">
        <v>3381</v>
      </c>
      <c r="BM10" s="652" t="s">
        <v>3378</v>
      </c>
      <c r="BN10" s="34" t="s">
        <v>3376</v>
      </c>
    </row>
    <row r="11" spans="1:66" ht="19.5" customHeight="1" x14ac:dyDescent="0.35">
      <c r="A11" s="9168"/>
      <c r="B11" s="40" t="s">
        <v>451</v>
      </c>
      <c r="C11" s="41"/>
      <c r="D11" s="585"/>
      <c r="E11" s="43"/>
      <c r="F11" s="44"/>
      <c r="G11"/>
      <c r="H11" s="45"/>
      <c r="I11" s="4967"/>
      <c r="J11" s="47"/>
      <c r="K11" s="48"/>
      <c r="L11" s="45"/>
      <c r="M11" s="49"/>
      <c r="N11" s="50"/>
      <c r="O11" s="154"/>
      <c r="P11" s="54"/>
      <c r="Q11" s="474"/>
      <c r="R11" s="47"/>
      <c r="S11" s="50"/>
      <c r="T11" s="154"/>
      <c r="U11" s="474"/>
      <c r="V11" s="49"/>
      <c r="W11" s="50"/>
      <c r="X11" s="18"/>
      <c r="Z11" s="154"/>
      <c r="AA11" s="49"/>
      <c r="AB11" s="474"/>
      <c r="AC11" s="47"/>
      <c r="AD11" s="50"/>
      <c r="AE11" s="154"/>
      <c r="AF11" s="474"/>
      <c r="AG11" s="49"/>
      <c r="AH11" s="50"/>
      <c r="AI11" s="18"/>
      <c r="AK11" s="154"/>
      <c r="AL11" s="49" t="s">
        <v>3382</v>
      </c>
      <c r="AM11" s="474"/>
      <c r="AN11" s="47"/>
      <c r="AO11" s="50"/>
      <c r="AP11" s="49" t="s">
        <v>3383</v>
      </c>
      <c r="AQ11" s="49" t="s">
        <v>3382</v>
      </c>
      <c r="AR11" s="49" t="s">
        <v>3384</v>
      </c>
      <c r="AS11" s="50"/>
      <c r="AT11" s="18"/>
      <c r="AV11" s="154"/>
      <c r="AW11" s="49"/>
      <c r="AX11" s="474"/>
      <c r="AY11" s="47"/>
      <c r="AZ11" s="50"/>
      <c r="BA11" s="49"/>
      <c r="BB11" s="49"/>
      <c r="BC11" s="49" t="s">
        <v>3384</v>
      </c>
      <c r="BD11" s="50"/>
      <c r="BE11" s="18"/>
      <c r="BG11" s="154"/>
      <c r="BH11" s="49"/>
      <c r="BI11" s="474"/>
      <c r="BJ11" s="47"/>
      <c r="BK11" s="50"/>
      <c r="BL11" s="49"/>
      <c r="BM11" s="49"/>
      <c r="BN11" s="49" t="s">
        <v>3384</v>
      </c>
    </row>
    <row r="12" spans="1:66" ht="16" customHeight="1" x14ac:dyDescent="0.35">
      <c r="A12" s="9168"/>
      <c r="B12" s="58"/>
      <c r="C12" s="59" t="s">
        <v>456</v>
      </c>
      <c r="D12" s="197">
        <v>1</v>
      </c>
      <c r="F12" s="3930">
        <f>380.7+65.2+63.2+4.965</f>
        <v>514.06499999999994</v>
      </c>
      <c r="G12"/>
      <c r="H12" s="298">
        <f>433.8+87.9</f>
        <v>521.70000000000005</v>
      </c>
      <c r="I12" s="4968">
        <f>395.9+74.6+10.3</f>
        <v>480.8</v>
      </c>
      <c r="J12" s="64">
        <f>IF(H12=0,0,I12/H12)</f>
        <v>0.92160245351734704</v>
      </c>
      <c r="K12" s="65"/>
      <c r="L12" s="298">
        <f>339.1+62.6+108.6+15.5</f>
        <v>525.80000000000007</v>
      </c>
      <c r="M12" s="619">
        <f>379.4+49.1+101.5+2+49</f>
        <v>581</v>
      </c>
      <c r="N12" s="67"/>
      <c r="O12" s="4969">
        <v>460.75705900000003</v>
      </c>
      <c r="P12" s="4970">
        <v>436.92599999999999</v>
      </c>
      <c r="Q12" s="53"/>
      <c r="R12" s="64"/>
      <c r="S12" s="67"/>
      <c r="T12" s="2707">
        <v>473.72399999999999</v>
      </c>
      <c r="U12" s="4971" t="s">
        <v>3385</v>
      </c>
      <c r="V12" s="2710">
        <v>452.85700000000003</v>
      </c>
      <c r="W12" s="67"/>
      <c r="X12" s="257" t="s">
        <v>3386</v>
      </c>
      <c r="Z12" s="2707">
        <v>473.72399999999999</v>
      </c>
      <c r="AA12" s="2710">
        <v>452.85700000000003</v>
      </c>
      <c r="AB12" s="4971" t="s">
        <v>3385</v>
      </c>
      <c r="AC12" s="64">
        <f>AA12/Z12</f>
        <v>0.95595114454830243</v>
      </c>
      <c r="AD12" s="67"/>
      <c r="AE12" s="4972">
        <v>524.96900000000005</v>
      </c>
      <c r="AF12" s="4971"/>
      <c r="AG12" s="2710">
        <f>AE12*AC12</f>
        <v>501.84471640237786</v>
      </c>
      <c r="AH12" s="67"/>
      <c r="AI12" s="257" t="s">
        <v>3386</v>
      </c>
      <c r="AK12" s="4972">
        <v>524.96900000000005</v>
      </c>
      <c r="AL12" s="2710">
        <v>465.649</v>
      </c>
      <c r="AM12" s="4971" t="s">
        <v>3385</v>
      </c>
      <c r="AN12" s="64">
        <f>AL12/AK12</f>
        <v>0.88700285159695136</v>
      </c>
      <c r="AO12" s="67"/>
      <c r="AP12" s="4972">
        <f>444.96</f>
        <v>444.96</v>
      </c>
      <c r="AQ12" s="4971" t="s">
        <v>3387</v>
      </c>
      <c r="AR12" s="2710">
        <v>403.64600000000002</v>
      </c>
      <c r="AS12" s="67"/>
      <c r="AT12" s="257" t="s">
        <v>3386</v>
      </c>
      <c r="AV12" s="7041">
        <f>444.96</f>
        <v>444.96</v>
      </c>
      <c r="AW12" s="2710">
        <v>422.351</v>
      </c>
      <c r="AX12" s="4971" t="s">
        <v>3385</v>
      </c>
      <c r="AY12" s="476">
        <f>AW12/AV12</f>
        <v>0.94918869111830284</v>
      </c>
      <c r="AZ12" s="67"/>
      <c r="BA12" s="2710">
        <v>506.19499999999999</v>
      </c>
      <c r="BB12" s="4971" t="s">
        <v>3387</v>
      </c>
      <c r="BC12" s="2710">
        <v>468.35599999999999</v>
      </c>
      <c r="BD12" s="67"/>
      <c r="BE12" s="257" t="s">
        <v>3386</v>
      </c>
      <c r="BG12" s="8130">
        <v>506.19499999999999</v>
      </c>
      <c r="BH12" s="2710">
        <v>469.73500000000001</v>
      </c>
      <c r="BI12" s="4971" t="s">
        <v>3388</v>
      </c>
      <c r="BJ12" s="64">
        <f>BH12/BG12</f>
        <v>0.92797242169519656</v>
      </c>
      <c r="BK12" s="67"/>
      <c r="BL12" s="2710">
        <v>465.10700000000003</v>
      </c>
      <c r="BM12" s="4971" t="s">
        <v>3387</v>
      </c>
      <c r="BN12" s="2710">
        <v>435.142</v>
      </c>
    </row>
    <row r="13" spans="1:66" x14ac:dyDescent="0.35">
      <c r="A13" s="9168"/>
      <c r="B13" s="58"/>
      <c r="C13" s="587" t="s">
        <v>462</v>
      </c>
      <c r="D13" s="197">
        <v>2</v>
      </c>
      <c r="F13" s="3930">
        <v>45.698</v>
      </c>
      <c r="G13"/>
      <c r="H13" s="298">
        <v>51.2</v>
      </c>
      <c r="I13" s="4968">
        <v>36.4</v>
      </c>
      <c r="J13" s="73">
        <f>IF(H13=0,0,I13/H13)</f>
        <v>0.71093749999999989</v>
      </c>
      <c r="K13" s="65"/>
      <c r="L13" s="298">
        <f>59.1+50.3</f>
        <v>109.4</v>
      </c>
      <c r="M13" s="619">
        <f>51.8+9.7</f>
        <v>61.5</v>
      </c>
      <c r="N13" s="67"/>
      <c r="O13" s="4969">
        <v>50.3</v>
      </c>
      <c r="P13" s="4970">
        <v>60.14</v>
      </c>
      <c r="Q13" s="3249"/>
      <c r="R13" s="73"/>
      <c r="S13" s="67"/>
      <c r="T13" s="2707">
        <v>56.231000000000002</v>
      </c>
      <c r="U13" s="3758"/>
      <c r="V13" s="2710">
        <v>68.233999999999995</v>
      </c>
      <c r="W13" s="67"/>
      <c r="X13" s="26" t="s">
        <v>3389</v>
      </c>
      <c r="Z13" s="2707">
        <v>56.231000000000002</v>
      </c>
      <c r="AA13" s="2710">
        <v>68.233999999999995</v>
      </c>
      <c r="AB13" s="3758"/>
      <c r="AC13" s="64">
        <f t="shared" ref="AC13:AC26" si="0">AA13/Z13</f>
        <v>1.2134587682950684</v>
      </c>
      <c r="AD13" s="67"/>
      <c r="AE13" s="4972">
        <v>30.26</v>
      </c>
      <c r="AF13" s="3758"/>
      <c r="AG13" s="2710">
        <f t="shared" ref="AG13:AG15" si="1">AE13*AC13</f>
        <v>36.719262328608771</v>
      </c>
      <c r="AH13" s="67"/>
      <c r="AI13" s="26" t="s">
        <v>3389</v>
      </c>
      <c r="AK13" s="4972">
        <v>30.26</v>
      </c>
      <c r="AL13" s="2710">
        <v>90.13</v>
      </c>
      <c r="AM13" s="3758"/>
      <c r="AN13" s="64">
        <f t="shared" ref="AN13:AN15" si="2">AL13/AK13</f>
        <v>2.9785194976867149</v>
      </c>
      <c r="AO13" s="67"/>
      <c r="AP13" s="4972">
        <f>18.3+44.94+8</f>
        <v>71.239999999999995</v>
      </c>
      <c r="AQ13" s="3758" t="s">
        <v>3390</v>
      </c>
      <c r="AR13" s="2710">
        <v>70.254999999999995</v>
      </c>
      <c r="AS13" s="67"/>
      <c r="AT13" s="26" t="s">
        <v>3391</v>
      </c>
      <c r="AV13" s="7041">
        <f>18.3+44.94+8</f>
        <v>71.239999999999995</v>
      </c>
      <c r="AW13" s="2710">
        <v>25.503</v>
      </c>
      <c r="AX13" s="3758"/>
      <c r="AY13" s="476">
        <f>AW13/AV13</f>
        <v>0.35798708590679396</v>
      </c>
      <c r="AZ13" s="67"/>
      <c r="BA13" s="2710">
        <f>51.325</f>
        <v>51.325000000000003</v>
      </c>
      <c r="BB13" s="3758" t="s">
        <v>3390</v>
      </c>
      <c r="BC13" s="2710">
        <v>12.65</v>
      </c>
      <c r="BD13" s="67"/>
      <c r="BE13" s="26" t="s">
        <v>3391</v>
      </c>
      <c r="BG13" s="8130">
        <f>51.325</f>
        <v>51.325000000000003</v>
      </c>
      <c r="BH13" s="2710">
        <v>12.65</v>
      </c>
      <c r="BI13" s="4971" t="s">
        <v>3388</v>
      </c>
      <c r="BJ13" s="64">
        <f>BH13/BG13</f>
        <v>0.24646858256210424</v>
      </c>
      <c r="BK13" s="67"/>
      <c r="BL13" s="2710">
        <v>60.8</v>
      </c>
      <c r="BM13" s="3758" t="s">
        <v>3390</v>
      </c>
      <c r="BN13" s="2710">
        <v>108.23</v>
      </c>
    </row>
    <row r="14" spans="1:66" x14ac:dyDescent="0.35">
      <c r="A14" s="9168"/>
      <c r="B14" s="75"/>
      <c r="C14" s="1096" t="s">
        <v>465</v>
      </c>
      <c r="D14" s="197"/>
      <c r="F14" s="3931"/>
      <c r="G14"/>
      <c r="H14" s="588"/>
      <c r="I14" s="4973"/>
      <c r="J14" s="73"/>
      <c r="K14" s="80"/>
      <c r="L14" s="588"/>
      <c r="M14" s="619"/>
      <c r="N14" s="67"/>
      <c r="O14" s="4969">
        <v>98.637</v>
      </c>
      <c r="P14" s="4974">
        <v>141.149</v>
      </c>
      <c r="Q14" s="53"/>
      <c r="R14" s="73"/>
      <c r="S14" s="67"/>
      <c r="T14" s="4975">
        <v>58.606000000000002</v>
      </c>
      <c r="U14" s="3758"/>
      <c r="V14" s="4976">
        <v>27.896999999999998</v>
      </c>
      <c r="W14" s="67"/>
      <c r="X14" s="26"/>
      <c r="Z14" s="4975">
        <v>58.606000000000002</v>
      </c>
      <c r="AA14" s="4976">
        <v>27.896999999999998</v>
      </c>
      <c r="AB14" s="3758"/>
      <c r="AC14" s="64">
        <f t="shared" si="0"/>
        <v>0.47600928232604167</v>
      </c>
      <c r="AD14" s="67"/>
      <c r="AE14" s="4977">
        <v>20</v>
      </c>
      <c r="AF14" s="3758"/>
      <c r="AG14" s="2710">
        <f t="shared" si="1"/>
        <v>9.520185646520833</v>
      </c>
      <c r="AH14" s="67"/>
      <c r="AI14" s="26"/>
      <c r="AK14" s="4977"/>
      <c r="AL14" s="2710"/>
      <c r="AM14" s="3758"/>
      <c r="AN14" s="64" t="e">
        <f t="shared" si="2"/>
        <v>#DIV/0!</v>
      </c>
      <c r="AO14" s="67"/>
      <c r="AP14" s="4977">
        <v>20</v>
      </c>
      <c r="AQ14" s="3758" t="s">
        <v>3390</v>
      </c>
      <c r="AR14" s="2710">
        <v>0</v>
      </c>
      <c r="AS14" s="67"/>
      <c r="AT14" s="26"/>
      <c r="AV14" s="7042">
        <v>20</v>
      </c>
      <c r="AW14" s="2710">
        <v>4.67</v>
      </c>
      <c r="AX14" s="3758"/>
      <c r="AY14" s="476">
        <f>AW14/AV14</f>
        <v>0.23349999999999999</v>
      </c>
      <c r="AZ14" s="67"/>
      <c r="BA14" s="2710">
        <f>12.628</f>
        <v>12.628</v>
      </c>
      <c r="BB14" s="3758" t="s">
        <v>3390</v>
      </c>
      <c r="BC14" s="2710">
        <v>0</v>
      </c>
      <c r="BD14" s="67"/>
      <c r="BE14" s="26"/>
      <c r="BG14" s="8131">
        <f>12.628</f>
        <v>12.628</v>
      </c>
      <c r="BH14" s="2710">
        <v>0</v>
      </c>
      <c r="BI14" s="4971" t="s">
        <v>3388</v>
      </c>
      <c r="BJ14" s="64">
        <f>BH14/BG14</f>
        <v>0</v>
      </c>
      <c r="BK14" s="67"/>
      <c r="BL14" s="2710">
        <v>0</v>
      </c>
      <c r="BM14" s="3758" t="s">
        <v>3390</v>
      </c>
      <c r="BN14" s="2710">
        <v>0</v>
      </c>
    </row>
    <row r="15" spans="1:66" x14ac:dyDescent="0.35">
      <c r="A15" s="9168"/>
      <c r="B15" s="85"/>
      <c r="C15" s="86" t="s">
        <v>466</v>
      </c>
      <c r="D15" s="209"/>
      <c r="F15" s="3932">
        <f>SUM(F12:F13)</f>
        <v>559.76299999999992</v>
      </c>
      <c r="G15"/>
      <c r="H15" s="590">
        <f>SUM(H12:H13)</f>
        <v>572.90000000000009</v>
      </c>
      <c r="I15" s="4978">
        <f>I12+I13</f>
        <v>517.20000000000005</v>
      </c>
      <c r="J15" s="91">
        <f>IF(H15=0,0,I15/H15)</f>
        <v>0.90277535346482796</v>
      </c>
      <c r="K15" s="80"/>
      <c r="L15" s="590">
        <f>SUM(L12:L13)</f>
        <v>635.20000000000005</v>
      </c>
      <c r="M15" s="628">
        <f>SUM(M12:M13)</f>
        <v>642.5</v>
      </c>
      <c r="N15" s="67"/>
      <c r="O15" s="4979">
        <f>SUM(O12:O14)</f>
        <v>609.69405900000004</v>
      </c>
      <c r="P15" s="4980">
        <f>SUM(P12:P14)</f>
        <v>638.21499999999992</v>
      </c>
      <c r="Q15" s="95"/>
      <c r="R15" s="91"/>
      <c r="S15" s="67"/>
      <c r="T15" s="2723">
        <f>SUM(T12:T14)</f>
        <v>588.56100000000004</v>
      </c>
      <c r="U15" s="4981"/>
      <c r="V15" s="4982">
        <f>SUM(V12:V14)</f>
        <v>548.98800000000006</v>
      </c>
      <c r="W15" s="67"/>
      <c r="X15" s="24"/>
      <c r="Z15" s="2723">
        <f>SUM(Z12:Z14)</f>
        <v>588.56100000000004</v>
      </c>
      <c r="AA15" s="4982">
        <f>SUM(AA12:AA14)</f>
        <v>548.98800000000006</v>
      </c>
      <c r="AB15" s="4981"/>
      <c r="AC15" s="133">
        <f t="shared" si="0"/>
        <v>0.93276312905544201</v>
      </c>
      <c r="AD15" s="67"/>
      <c r="AE15" s="4983">
        <v>575.22900000000004</v>
      </c>
      <c r="AF15" s="4981"/>
      <c r="AG15" s="2710">
        <f t="shared" si="1"/>
        <v>536.55240196343289</v>
      </c>
      <c r="AH15" s="67"/>
      <c r="AI15" s="24"/>
      <c r="AK15" s="4983">
        <f>SUM(AK12:AK14)</f>
        <v>555.22900000000004</v>
      </c>
      <c r="AL15" s="2710">
        <f>SUM(AL12:AL14)</f>
        <v>555.779</v>
      </c>
      <c r="AM15" s="4981"/>
      <c r="AN15" s="133">
        <f t="shared" si="2"/>
        <v>1.0009905822642549</v>
      </c>
      <c r="AO15" s="67"/>
      <c r="AP15" s="4983">
        <f>SUM(AP12:AP14)</f>
        <v>536.19999999999993</v>
      </c>
      <c r="AQ15" s="3758" t="s">
        <v>3390</v>
      </c>
      <c r="AR15" s="2710">
        <f>SUM(AR12:AR14)</f>
        <v>473.90100000000001</v>
      </c>
      <c r="AS15" s="67"/>
      <c r="AT15" s="24"/>
      <c r="AV15" s="7043">
        <f>SUM(AV12:AV14)</f>
        <v>536.19999999999993</v>
      </c>
      <c r="AW15" s="2710">
        <f>SUM(AW12:AW14)</f>
        <v>452.524</v>
      </c>
      <c r="AX15" s="4981"/>
      <c r="AY15" s="484">
        <f>AW15/AV15</f>
        <v>0.84394628869824706</v>
      </c>
      <c r="AZ15" s="67"/>
      <c r="BA15" s="2710">
        <f>SUM(BA12:BA14)</f>
        <v>570.14800000000002</v>
      </c>
      <c r="BB15" s="3758" t="s">
        <v>3390</v>
      </c>
      <c r="BC15" s="2710">
        <f>SUM(BC12:BC14)</f>
        <v>481.00599999999997</v>
      </c>
      <c r="BD15" s="67"/>
      <c r="BE15" s="24"/>
      <c r="BG15" s="8132">
        <f>SUM(BG12:BG14)</f>
        <v>570.14800000000002</v>
      </c>
      <c r="BH15" s="2710">
        <f>SUM(BH12:BH14)</f>
        <v>482.38499999999999</v>
      </c>
      <c r="BI15" s="4981"/>
      <c r="BJ15" s="133">
        <f>BH15/BG15</f>
        <v>0.84606979240477909</v>
      </c>
      <c r="BK15" s="67"/>
      <c r="BL15" s="2710">
        <f>SUM(BL12:BL14)</f>
        <v>525.90700000000004</v>
      </c>
      <c r="BM15" s="3758" t="s">
        <v>3390</v>
      </c>
      <c r="BN15" s="2710">
        <f>SUM(BN12:BN14)</f>
        <v>543.37199999999996</v>
      </c>
    </row>
    <row r="16" spans="1:66" x14ac:dyDescent="0.35">
      <c r="A16" s="9168"/>
      <c r="B16" s="100" t="s">
        <v>468</v>
      </c>
      <c r="C16" s="49"/>
      <c r="D16" s="585"/>
      <c r="E16" s="43"/>
      <c r="F16" s="101"/>
      <c r="G16"/>
      <c r="H16" s="102"/>
      <c r="I16" s="4984"/>
      <c r="J16" s="104"/>
      <c r="K16" s="43"/>
      <c r="L16" s="102"/>
      <c r="M16" s="105"/>
      <c r="N16" s="43"/>
      <c r="O16" s="102"/>
      <c r="P16" s="106"/>
      <c r="Q16" s="106"/>
      <c r="R16" s="104"/>
      <c r="S16" s="43"/>
      <c r="T16" s="102"/>
      <c r="U16" s="103" t="s">
        <v>3392</v>
      </c>
      <c r="V16" s="105"/>
      <c r="W16" s="43"/>
      <c r="X16" s="18"/>
      <c r="Z16" s="102"/>
      <c r="AA16" s="105"/>
      <c r="AB16" s="103" t="s">
        <v>3392</v>
      </c>
      <c r="AC16" s="64"/>
      <c r="AD16" s="43"/>
      <c r="AE16" s="4985"/>
      <c r="AF16" s="103"/>
      <c r="AG16" s="105"/>
      <c r="AH16" s="43"/>
      <c r="AI16" s="18"/>
      <c r="AK16" s="103" t="s">
        <v>3392</v>
      </c>
      <c r="AL16" s="105" t="s">
        <v>3393</v>
      </c>
      <c r="AN16" s="64"/>
      <c r="AO16" s="43"/>
      <c r="AP16" s="4985"/>
      <c r="AQ16" s="103"/>
      <c r="AR16" s="105"/>
      <c r="AS16" s="43"/>
      <c r="AT16" s="18"/>
      <c r="AV16" s="7044"/>
      <c r="AW16" s="105" t="s">
        <v>3393</v>
      </c>
      <c r="AY16" s="476"/>
      <c r="AZ16" s="43"/>
      <c r="BA16" s="7044"/>
      <c r="BB16" s="103"/>
      <c r="BC16" s="105"/>
      <c r="BD16" s="43"/>
      <c r="BE16" s="18"/>
      <c r="BG16" s="8133"/>
      <c r="BH16" s="105" t="s">
        <v>3393</v>
      </c>
      <c r="BJ16" s="64"/>
      <c r="BK16" s="43"/>
      <c r="BL16" s="8133"/>
      <c r="BM16" s="103"/>
      <c r="BN16" s="105"/>
    </row>
    <row r="17" spans="1:66" x14ac:dyDescent="0.35">
      <c r="A17" s="9168"/>
      <c r="B17" s="6082"/>
      <c r="C17" s="110" t="s">
        <v>470</v>
      </c>
      <c r="D17" s="197"/>
      <c r="F17" s="1301"/>
      <c r="G17"/>
      <c r="H17" s="593">
        <f>H22-(H18+H20)</f>
        <v>472.90000000000003</v>
      </c>
      <c r="I17" s="4986">
        <f>I22-I18</f>
        <v>386.79999999999995</v>
      </c>
      <c r="J17" s="64">
        <f>IF(H17=0,0,I17/H17)</f>
        <v>0.81793190949460759</v>
      </c>
      <c r="L17" s="593">
        <v>534.1</v>
      </c>
      <c r="M17" s="619">
        <v>558.70000000000005</v>
      </c>
      <c r="O17" s="4987">
        <f>534.090252-O20</f>
        <v>534.09025199999996</v>
      </c>
      <c r="P17" s="3748">
        <f>P22-P18-P19-P20-P21</f>
        <v>536.40942199999995</v>
      </c>
      <c r="Q17" s="57"/>
      <c r="R17" s="64"/>
      <c r="T17" s="4988">
        <f>514.940808-T20</f>
        <v>493.33509899999996</v>
      </c>
      <c r="U17" s="4971" t="s">
        <v>3394</v>
      </c>
      <c r="V17" s="4989">
        <f>557.360256-V20</f>
        <v>548.73364000000004</v>
      </c>
      <c r="X17" s="26"/>
      <c r="Z17" s="4988">
        <f>514.940808-Z20</f>
        <v>493.33509899999996</v>
      </c>
      <c r="AA17" s="4989">
        <f>557.360256-AA20</f>
        <v>548.73364000000004</v>
      </c>
      <c r="AB17" s="4971" t="s">
        <v>3394</v>
      </c>
      <c r="AC17" s="64">
        <f t="shared" si="0"/>
        <v>1.1122939379587911</v>
      </c>
      <c r="AE17" s="4990">
        <v>507.72298900000004</v>
      </c>
      <c r="AF17" s="4971" t="s">
        <v>3394</v>
      </c>
      <c r="AG17" s="4989">
        <f>AE17*AC17</f>
        <v>564.737202827018</v>
      </c>
      <c r="AI17" s="26"/>
      <c r="AK17" s="4990">
        <v>507.72298900000004</v>
      </c>
      <c r="AL17" s="4989">
        <f>489.223-AL20-AL21</f>
        <v>456.471</v>
      </c>
      <c r="AM17" s="4971" t="s">
        <v>3395</v>
      </c>
      <c r="AN17" s="64">
        <f t="shared" ref="AN17:AN18" si="3">AL17/AK17</f>
        <v>0.89905521295983692</v>
      </c>
      <c r="AP17" s="4990">
        <f>489.298-AP20-AP21</f>
        <v>469.161</v>
      </c>
      <c r="AQ17" s="4971"/>
      <c r="AR17" s="4989">
        <f>432.212-AR20-AR21</f>
        <v>419.19499999999994</v>
      </c>
      <c r="AT17" s="26"/>
      <c r="AV17" s="7045">
        <f>489.298-AV20-AV21</f>
        <v>469.161</v>
      </c>
      <c r="AW17" s="4989">
        <f>410.835-AW20-AW21</f>
        <v>402.04199999999997</v>
      </c>
      <c r="AX17" s="4971" t="s">
        <v>3395</v>
      </c>
      <c r="AY17" s="476">
        <f>AW17/AV17</f>
        <v>0.85693823655418921</v>
      </c>
      <c r="BA17" s="4989">
        <f>511.385-BA20-BA21</f>
        <v>481.38499999999999</v>
      </c>
      <c r="BB17" s="4971"/>
      <c r="BC17" s="4989">
        <f>464.32-BC20-BC21</f>
        <v>447.74899999999997</v>
      </c>
      <c r="BE17" s="26"/>
      <c r="BG17" s="8134">
        <f>511.385-BG20-BG21</f>
        <v>481.38499999999999</v>
      </c>
      <c r="BH17" s="4989">
        <f>523.009-BH21</f>
        <v>496.58699999999999</v>
      </c>
      <c r="BI17" s="4971" t="s">
        <v>3395</v>
      </c>
      <c r="BJ17" s="64">
        <f>BH17/BG17</f>
        <v>1.0315797127039688</v>
      </c>
      <c r="BL17" s="4989">
        <f>518.005273-SUM(BL18:BL21)</f>
        <v>400.70411000000001</v>
      </c>
      <c r="BM17" s="4971" t="s">
        <v>3396</v>
      </c>
      <c r="BN17" s="4989">
        <f>513.043563-SUM(BN18:BN21)</f>
        <v>400.07257399999992</v>
      </c>
    </row>
    <row r="18" spans="1:66" x14ac:dyDescent="0.35">
      <c r="A18" s="9168"/>
      <c r="B18" s="6082"/>
      <c r="C18" s="121" t="s">
        <v>630</v>
      </c>
      <c r="D18" s="197"/>
      <c r="F18" s="1306"/>
      <c r="G18"/>
      <c r="H18" s="598">
        <v>75.3</v>
      </c>
      <c r="I18" s="4991">
        <v>42.1</v>
      </c>
      <c r="J18" s="64"/>
      <c r="L18" s="598">
        <v>101.4</v>
      </c>
      <c r="M18" s="619">
        <v>70.099999999999994</v>
      </c>
      <c r="O18" s="4987">
        <v>101.145748</v>
      </c>
      <c r="P18" s="3748">
        <v>74.616307000000006</v>
      </c>
      <c r="Q18" s="57"/>
      <c r="R18" s="64"/>
      <c r="T18" s="4992">
        <v>107.802612</v>
      </c>
      <c r="U18" s="3758"/>
      <c r="V18" s="2745">
        <v>2.087491</v>
      </c>
      <c r="X18" s="26"/>
      <c r="Z18" s="4992">
        <v>107.802612</v>
      </c>
      <c r="AA18" s="2745">
        <v>2.087491</v>
      </c>
      <c r="AB18" s="3758"/>
      <c r="AC18" s="64">
        <f t="shared" si="0"/>
        <v>1.9364011328408259E-2</v>
      </c>
      <c r="AE18" s="4990">
        <v>79.748129000000006</v>
      </c>
      <c r="AF18" s="3758"/>
      <c r="AG18" s="4989">
        <f t="shared" ref="AG18" si="4">AE18*AC18</f>
        <v>1.5442436733753633</v>
      </c>
      <c r="AI18" s="26"/>
      <c r="AK18" s="4990">
        <v>79.748129000000006</v>
      </c>
      <c r="AL18" s="4989">
        <v>66.555999999999997</v>
      </c>
      <c r="AM18" s="3758" t="s">
        <v>3397</v>
      </c>
      <c r="AN18" s="64">
        <f t="shared" si="3"/>
        <v>0.83457757360050411</v>
      </c>
      <c r="AP18" s="4990">
        <v>46.902000000000001</v>
      </c>
      <c r="AQ18" s="3758" t="s">
        <v>3397</v>
      </c>
      <c r="AR18" s="4989">
        <v>41.69</v>
      </c>
      <c r="AT18" s="26"/>
      <c r="AV18" s="7045">
        <v>46.902000000000001</v>
      </c>
      <c r="AW18" s="4989">
        <v>41.69</v>
      </c>
      <c r="AX18" s="3758" t="s">
        <v>3397</v>
      </c>
      <c r="AY18" s="476">
        <f>AW18/AV18</f>
        <v>0.88887467485395077</v>
      </c>
      <c r="BA18" s="4989">
        <v>58.762999999999998</v>
      </c>
      <c r="BB18" s="3758" t="s">
        <v>3397</v>
      </c>
      <c r="BC18" s="4989">
        <v>16.686</v>
      </c>
      <c r="BE18" s="26"/>
      <c r="BG18" s="8134">
        <v>58.762999999999998</v>
      </c>
      <c r="BH18" s="4989">
        <v>17.143999999999998</v>
      </c>
      <c r="BI18" s="3758" t="s">
        <v>3397</v>
      </c>
      <c r="BJ18" s="64">
        <f>BH18/BG18</f>
        <v>0.29174820890696523</v>
      </c>
      <c r="BL18" s="4989">
        <v>47.77</v>
      </c>
      <c r="BM18" s="3758" t="s">
        <v>3397</v>
      </c>
      <c r="BN18" s="4989">
        <v>47.77</v>
      </c>
    </row>
    <row r="19" spans="1:66" x14ac:dyDescent="0.35">
      <c r="A19" s="9168"/>
      <c r="B19" s="6082"/>
      <c r="C19" s="121" t="s">
        <v>632</v>
      </c>
      <c r="D19" s="197"/>
      <c r="F19" s="1306"/>
      <c r="G19"/>
      <c r="H19" s="598"/>
      <c r="I19" s="4991"/>
      <c r="J19" s="64"/>
      <c r="L19" s="598"/>
      <c r="M19" s="619"/>
      <c r="O19" s="4987"/>
      <c r="P19" s="3748"/>
      <c r="Q19" s="254"/>
      <c r="R19" s="64"/>
      <c r="T19" s="4992"/>
      <c r="U19" s="3758"/>
      <c r="V19" s="2745"/>
      <c r="X19" s="26"/>
      <c r="Z19" s="4992"/>
      <c r="AA19" s="2745"/>
      <c r="AB19" s="3758"/>
      <c r="AC19" s="64"/>
      <c r="AE19" s="4990"/>
      <c r="AF19" s="3758"/>
      <c r="AG19" s="4989"/>
      <c r="AI19" s="26"/>
      <c r="AK19" s="4990"/>
      <c r="AL19" s="4989"/>
      <c r="AM19" s="3758"/>
      <c r="AN19" s="64"/>
      <c r="AP19" s="4990"/>
      <c r="AQ19" s="3758"/>
      <c r="AR19" s="4989"/>
      <c r="AT19" s="26"/>
      <c r="AV19" s="7045"/>
      <c r="AW19" s="4989"/>
      <c r="AX19" s="3758"/>
      <c r="AY19" s="476"/>
      <c r="BA19" s="4989"/>
      <c r="BB19" s="3758"/>
      <c r="BC19" s="4989"/>
      <c r="BE19" s="26"/>
      <c r="BG19" s="8134"/>
      <c r="BH19" s="4989"/>
      <c r="BI19" s="3758"/>
      <c r="BJ19" s="64"/>
      <c r="BL19" s="4989"/>
      <c r="BM19" s="3758"/>
      <c r="BN19" s="4989"/>
    </row>
    <row r="20" spans="1:66" x14ac:dyDescent="0.35">
      <c r="A20" s="9168"/>
      <c r="B20" s="6082"/>
      <c r="C20" s="121" t="s">
        <v>634</v>
      </c>
      <c r="D20" s="197"/>
      <c r="F20" s="1306"/>
      <c r="H20" s="598">
        <v>0</v>
      </c>
      <c r="I20" s="4991">
        <v>0</v>
      </c>
      <c r="J20" s="64">
        <f>IF(H20=0,0,I20/H20)</f>
        <v>0</v>
      </c>
      <c r="L20" s="598">
        <v>0</v>
      </c>
      <c r="M20" s="66">
        <f>L20*J20</f>
        <v>0</v>
      </c>
      <c r="O20" s="4987"/>
      <c r="P20" s="3748">
        <v>8.1028029999999998</v>
      </c>
      <c r="Q20" s="57"/>
      <c r="R20" s="64"/>
      <c r="T20" s="4992">
        <v>21.605709000000001</v>
      </c>
      <c r="U20" s="4971" t="s">
        <v>3398</v>
      </c>
      <c r="V20" s="2745">
        <v>8.6266160000000003</v>
      </c>
      <c r="X20" s="26"/>
      <c r="Z20" s="4992">
        <v>21.605709000000001</v>
      </c>
      <c r="AA20" s="2745">
        <v>8.6266160000000003</v>
      </c>
      <c r="AB20" s="4971" t="s">
        <v>3398</v>
      </c>
      <c r="AC20" s="64">
        <f t="shared" si="0"/>
        <v>0.3992748398120145</v>
      </c>
      <c r="AE20" s="4990">
        <v>12.732958</v>
      </c>
      <c r="AF20" s="4971" t="s">
        <v>3398</v>
      </c>
      <c r="AG20" s="4989">
        <f>AE20*AC20</f>
        <v>5.0839497657831085</v>
      </c>
      <c r="AI20" s="4993"/>
      <c r="AK20" s="4990">
        <v>12.732958</v>
      </c>
      <c r="AL20" s="4989">
        <v>0</v>
      </c>
      <c r="AM20" s="4971" t="s">
        <v>3399</v>
      </c>
      <c r="AN20" s="64">
        <f t="shared" ref="AN20" si="5">AL20/AK20</f>
        <v>0</v>
      </c>
      <c r="AP20" s="4994"/>
      <c r="AQ20" s="4971" t="s">
        <v>3399</v>
      </c>
      <c r="AR20" s="4989">
        <v>2.9580000000000002</v>
      </c>
      <c r="AT20" s="4993"/>
      <c r="AV20" s="7046"/>
      <c r="AW20" s="4989"/>
      <c r="AX20" s="4971" t="s">
        <v>3399</v>
      </c>
      <c r="AY20" s="476" t="e">
        <f>AW20/AV20</f>
        <v>#DIV/0!</v>
      </c>
      <c r="BA20" s="4989"/>
      <c r="BB20" s="4971" t="s">
        <v>3399</v>
      </c>
      <c r="BC20" s="4989"/>
      <c r="BE20" s="4993"/>
      <c r="BG20" s="8135"/>
      <c r="BH20" s="4989"/>
      <c r="BI20" s="4971" t="s">
        <v>3399</v>
      </c>
      <c r="BJ20" s="8136"/>
      <c r="BL20" s="4989"/>
      <c r="BM20" s="3758" t="s">
        <v>3399</v>
      </c>
      <c r="BN20" s="4989"/>
    </row>
    <row r="21" spans="1:66" x14ac:dyDescent="0.35">
      <c r="A21" s="9168"/>
      <c r="B21" s="6082"/>
      <c r="C21" s="121" t="s">
        <v>478</v>
      </c>
      <c r="D21" s="197"/>
      <c r="F21" s="1306"/>
      <c r="H21" s="598"/>
      <c r="I21" s="4991"/>
      <c r="J21" s="64"/>
      <c r="L21" s="598"/>
      <c r="M21" s="66"/>
      <c r="O21" s="4992"/>
      <c r="P21" s="4995"/>
      <c r="Q21" s="57"/>
      <c r="R21" s="64"/>
      <c r="T21" s="4992"/>
      <c r="U21" s="3758"/>
      <c r="V21" s="2745"/>
      <c r="X21" s="26"/>
      <c r="Z21" s="4992"/>
      <c r="AA21" s="2745"/>
      <c r="AB21" s="3758"/>
      <c r="AC21" s="64"/>
      <c r="AE21" s="4990"/>
      <c r="AF21" s="3758"/>
      <c r="AG21" s="4989"/>
      <c r="AI21" s="26"/>
      <c r="AK21" s="4994"/>
      <c r="AL21" s="4989">
        <f>7.787+5.464+19.501</f>
        <v>32.752000000000002</v>
      </c>
      <c r="AM21" s="3758" t="s">
        <v>3400</v>
      </c>
      <c r="AN21" s="64"/>
      <c r="AP21" s="4994">
        <f>6.098+14.039</f>
        <v>20.137</v>
      </c>
      <c r="AQ21" s="3758" t="s">
        <v>3400</v>
      </c>
      <c r="AR21" s="4989">
        <f>2.478+6.315+1.266</f>
        <v>10.059000000000001</v>
      </c>
      <c r="AT21" s="26"/>
      <c r="AV21" s="7046">
        <f>6.098+14.039</f>
        <v>20.137</v>
      </c>
      <c r="AW21" s="4989">
        <f>2.478+6.315</f>
        <v>8.793000000000001</v>
      </c>
      <c r="AX21" s="3758" t="s">
        <v>3400</v>
      </c>
      <c r="AY21" s="476"/>
      <c r="BA21" s="4989">
        <f>6.792906+23.207094</f>
        <v>30</v>
      </c>
      <c r="BB21" s="3758" t="s">
        <v>3400</v>
      </c>
      <c r="BC21" s="4989">
        <f>2.761+13.81</f>
        <v>16.571000000000002</v>
      </c>
      <c r="BE21" s="26"/>
      <c r="BG21" s="8135">
        <f>6.792906+23.207094</f>
        <v>30</v>
      </c>
      <c r="BH21" s="4989">
        <f>7.184+19.238</f>
        <v>26.422000000000001</v>
      </c>
      <c r="BI21" s="4971" t="s">
        <v>3401</v>
      </c>
      <c r="BJ21" s="64">
        <f>BH21/BG21</f>
        <v>0.88073333333333337</v>
      </c>
      <c r="BL21" s="4989">
        <f>44.107775+25.423388</f>
        <v>69.531162999999992</v>
      </c>
      <c r="BM21" s="3758" t="s">
        <v>3400</v>
      </c>
      <c r="BN21" s="4989">
        <f>40.175894+25.025095</f>
        <v>65.200988999999993</v>
      </c>
    </row>
    <row r="22" spans="1:66" x14ac:dyDescent="0.35">
      <c r="A22" s="9168"/>
      <c r="B22" s="128"/>
      <c r="C22" s="129" t="s">
        <v>479</v>
      </c>
      <c r="D22" s="209"/>
      <c r="F22" s="1312"/>
      <c r="H22" s="602">
        <v>548.20000000000005</v>
      </c>
      <c r="I22" s="4996">
        <v>428.9</v>
      </c>
      <c r="J22" s="133">
        <f>IF(H22=0,0,I22/H22)</f>
        <v>0.78237869390733294</v>
      </c>
      <c r="L22" s="602">
        <f>SUM(L17:L20)</f>
        <v>635.5</v>
      </c>
      <c r="M22" s="628">
        <f>SUM(M17:M20)</f>
        <v>628.80000000000007</v>
      </c>
      <c r="O22" s="4997">
        <f>SUM(O17:O21)</f>
        <v>635.23599999999999</v>
      </c>
      <c r="P22" s="4998">
        <v>619.12853199999995</v>
      </c>
      <c r="Q22" s="1696"/>
      <c r="R22" s="133"/>
      <c r="T22" s="4999">
        <f>SUM(T17:T21)</f>
        <v>622.74342000000001</v>
      </c>
      <c r="U22" s="4981"/>
      <c r="V22" s="3723">
        <f>SUM(V17:V21)</f>
        <v>559.44774700000005</v>
      </c>
      <c r="X22" s="24"/>
      <c r="Z22" s="4999">
        <f>SUM(Z17:Z21)</f>
        <v>622.74342000000001</v>
      </c>
      <c r="AA22" s="3723">
        <f>SUM(AA17:AA21)</f>
        <v>559.44774700000005</v>
      </c>
      <c r="AB22" s="4981"/>
      <c r="AC22" s="133">
        <f t="shared" si="0"/>
        <v>0.89835994894976179</v>
      </c>
      <c r="AE22" s="5000">
        <v>600.2040760000001</v>
      </c>
      <c r="AF22" s="4981"/>
      <c r="AG22" s="5001">
        <f>AE22*AC22</f>
        <v>539.19930307479899</v>
      </c>
      <c r="AI22" s="24"/>
      <c r="AK22" s="5000">
        <v>600.2040760000001</v>
      </c>
      <c r="AL22" s="3723">
        <f>SUM(AL17:AL21)</f>
        <v>555.779</v>
      </c>
      <c r="AM22" s="4981"/>
      <c r="AN22" s="133">
        <f t="shared" ref="AN22" si="6">AL22/AK22</f>
        <v>0.92598338169232941</v>
      </c>
      <c r="AP22" s="5000">
        <f>SUM(AP17:AP21)</f>
        <v>536.20000000000005</v>
      </c>
      <c r="AQ22" s="4981"/>
      <c r="AR22" s="5001">
        <f>SUM(AR17:AR21)</f>
        <v>473.90199999999999</v>
      </c>
      <c r="AT22" s="24"/>
      <c r="AV22" s="7047">
        <f>SUM(AV17:AV21)</f>
        <v>536.20000000000005</v>
      </c>
      <c r="AW22" s="7047">
        <f>SUM(AW17:AW21)</f>
        <v>452.52499999999998</v>
      </c>
      <c r="AX22" s="4981"/>
      <c r="AY22" s="484">
        <f>AW22/AV22</f>
        <v>0.84394815367400211</v>
      </c>
      <c r="BA22" s="7047">
        <f>SUM(BA17:BA21)</f>
        <v>570.14800000000002</v>
      </c>
      <c r="BB22" s="4981"/>
      <c r="BC22" s="7047">
        <f>SUM(BC17:BC21)</f>
        <v>481.00599999999997</v>
      </c>
      <c r="BE22" s="24"/>
      <c r="BG22" s="8137">
        <f>SUM(BG17:BG21)</f>
        <v>570.14800000000002</v>
      </c>
      <c r="BH22" s="8137">
        <f>SUM(BH17:BH21)</f>
        <v>540.15300000000002</v>
      </c>
      <c r="BI22" s="4981"/>
      <c r="BJ22" s="133">
        <f>BH22/BG22</f>
        <v>0.94739085290135194</v>
      </c>
      <c r="BL22" s="8137">
        <f>SUM(BL17:BL21)</f>
        <v>518.00527299999999</v>
      </c>
      <c r="BM22" s="4981"/>
      <c r="BN22" s="8137">
        <f>SUM(BN17:BN21)</f>
        <v>513.04356299999995</v>
      </c>
    </row>
    <row r="23" spans="1:66" x14ac:dyDescent="0.35">
      <c r="A23" s="9168"/>
      <c r="B23" s="139" t="s">
        <v>480</v>
      </c>
      <c r="C23" s="49"/>
      <c r="D23" s="184"/>
      <c r="E23" s="141"/>
      <c r="F23" s="142"/>
      <c r="G23" s="143"/>
      <c r="H23" s="144"/>
      <c r="I23" s="5002"/>
      <c r="J23" s="146"/>
      <c r="K23" s="141"/>
      <c r="L23" s="147"/>
      <c r="M23" s="148"/>
      <c r="N23" s="141"/>
      <c r="O23" s="144"/>
      <c r="P23" s="145"/>
      <c r="Q23" s="145"/>
      <c r="R23" s="146"/>
      <c r="S23" s="141"/>
      <c r="T23" s="5003"/>
      <c r="U23" s="8"/>
      <c r="V23" s="4915"/>
      <c r="W23" s="141"/>
      <c r="X23" s="18"/>
      <c r="Z23" s="5003"/>
      <c r="AA23" s="4915"/>
      <c r="AB23" s="8"/>
      <c r="AC23" s="64"/>
      <c r="AD23" s="141"/>
      <c r="AE23" s="5003"/>
      <c r="AF23" s="8"/>
      <c r="AG23" s="4915"/>
      <c r="AH23" s="141"/>
      <c r="AI23" s="18"/>
      <c r="AK23" s="5003"/>
      <c r="AL23" s="4915"/>
      <c r="AM23" s="8"/>
      <c r="AN23" s="64"/>
      <c r="AO23" s="141"/>
      <c r="AP23" s="5003"/>
      <c r="AQ23" s="8"/>
      <c r="AR23" s="4915"/>
      <c r="AS23" s="141"/>
      <c r="AT23" s="18"/>
      <c r="AV23" s="5003"/>
      <c r="AW23" s="4915"/>
      <c r="AX23" s="8"/>
      <c r="AY23" s="476"/>
      <c r="AZ23" s="141"/>
      <c r="BA23" s="5003"/>
      <c r="BB23" s="8"/>
      <c r="BC23" s="4915"/>
      <c r="BD23" s="141"/>
      <c r="BE23" s="18"/>
      <c r="BG23" s="5003"/>
      <c r="BH23" s="4915"/>
      <c r="BI23" s="8"/>
      <c r="BJ23" s="64"/>
      <c r="BK23" s="141"/>
      <c r="BL23" s="5003"/>
      <c r="BM23" s="8"/>
      <c r="BN23" s="4915"/>
    </row>
    <row r="24" spans="1:66" ht="18.75" customHeight="1" x14ac:dyDescent="0.35">
      <c r="A24" s="9168"/>
      <c r="B24" s="6082"/>
      <c r="C24" s="110" t="s">
        <v>483</v>
      </c>
      <c r="D24" s="197">
        <v>3</v>
      </c>
      <c r="F24" s="3933"/>
      <c r="H24" s="595">
        <v>210.5</v>
      </c>
      <c r="I24" s="4968">
        <v>166.7</v>
      </c>
      <c r="J24" s="64">
        <f>IF(H24=0,0,I24/H24)</f>
        <v>0.79192399049881235</v>
      </c>
      <c r="L24" s="593">
        <v>246.7</v>
      </c>
      <c r="M24" s="619">
        <v>240.4</v>
      </c>
      <c r="O24" s="2747">
        <v>246.75794099999999</v>
      </c>
      <c r="P24" s="3748">
        <v>238.04081400000001</v>
      </c>
      <c r="Q24" s="4621"/>
      <c r="R24" s="64"/>
      <c r="T24" s="1353">
        <v>254.58350100000001</v>
      </c>
      <c r="U24" s="645"/>
      <c r="V24" s="623">
        <v>39555</v>
      </c>
      <c r="X24" s="257" t="s">
        <v>3402</v>
      </c>
      <c r="Z24" s="1353">
        <v>254.58350100000001</v>
      </c>
      <c r="AA24" s="623">
        <v>252.43955500000001</v>
      </c>
      <c r="AB24" s="645"/>
      <c r="AC24" s="64">
        <f t="shared" si="0"/>
        <v>0.99157861372956768</v>
      </c>
      <c r="AE24" s="4990">
        <v>272.173115</v>
      </c>
      <c r="AF24" s="645"/>
      <c r="AG24" s="623">
        <f>AE24*AC24</f>
        <v>269.88104006615822</v>
      </c>
      <c r="AI24" s="257" t="s">
        <v>3402</v>
      </c>
      <c r="AK24" s="4990">
        <v>272.173115</v>
      </c>
      <c r="AL24" s="623">
        <v>268.52458000000001</v>
      </c>
      <c r="AM24" s="645"/>
      <c r="AN24" s="64">
        <f t="shared" ref="AN24" si="7">AL24/AK24</f>
        <v>0.98659480015136691</v>
      </c>
      <c r="AP24" s="4990">
        <v>307.84399999999999</v>
      </c>
      <c r="AQ24" s="645"/>
      <c r="AR24" s="623">
        <v>308.06599999999997</v>
      </c>
      <c r="AT24" s="257" t="s">
        <v>3402</v>
      </c>
      <c r="AV24" s="7045">
        <v>307.84399999999999</v>
      </c>
      <c r="AW24" s="7045">
        <v>308.06599999999997</v>
      </c>
      <c r="AX24" s="645"/>
      <c r="AY24" s="476">
        <f>AW24/AV24</f>
        <v>1.0007211444757733</v>
      </c>
      <c r="BA24" s="7045">
        <v>317.11399999999998</v>
      </c>
      <c r="BB24" s="645"/>
      <c r="BC24" s="7045">
        <v>308.83699999999999</v>
      </c>
      <c r="BE24" s="257" t="s">
        <v>3402</v>
      </c>
      <c r="BG24" s="8134">
        <v>317.11399999999998</v>
      </c>
      <c r="BH24" s="8134">
        <v>314.99200000000002</v>
      </c>
      <c r="BI24" s="4971" t="s">
        <v>3401</v>
      </c>
      <c r="BJ24" s="64">
        <f>BH24/BG24</f>
        <v>0.99330840013370603</v>
      </c>
      <c r="BL24" s="8134">
        <v>295.36500000000001</v>
      </c>
      <c r="BM24" s="645"/>
      <c r="BN24" s="8134">
        <f>BL24*BJ24</f>
        <v>293.38853560549211</v>
      </c>
    </row>
    <row r="25" spans="1:66" x14ac:dyDescent="0.35">
      <c r="A25" s="9168"/>
      <c r="B25" s="6082"/>
      <c r="C25" s="110" t="s">
        <v>489</v>
      </c>
      <c r="D25" s="197"/>
      <c r="F25" s="155"/>
      <c r="H25" s="117"/>
      <c r="I25" s="810"/>
      <c r="J25" s="64">
        <f>IF(H25=0,0,I25/H25)</f>
        <v>0</v>
      </c>
      <c r="L25" s="593"/>
      <c r="M25" s="619"/>
      <c r="O25" s="2747"/>
      <c r="P25" s="3748"/>
      <c r="Q25" s="127"/>
      <c r="R25" s="64"/>
      <c r="T25" s="1353"/>
      <c r="U25" s="645"/>
      <c r="V25" s="623"/>
      <c r="X25" s="26"/>
      <c r="Z25" s="1353"/>
      <c r="AA25" s="623"/>
      <c r="AB25" s="645"/>
      <c r="AC25" s="64"/>
      <c r="AE25" s="4990"/>
      <c r="AF25" s="645"/>
      <c r="AG25" s="623"/>
      <c r="AI25" s="26"/>
      <c r="AK25" s="4990"/>
      <c r="AL25" s="623"/>
      <c r="AM25" s="645"/>
      <c r="AN25" s="64"/>
      <c r="AP25" s="4990"/>
      <c r="AQ25" s="645"/>
      <c r="AR25" s="623"/>
      <c r="AT25" s="26"/>
      <c r="AV25" s="7045"/>
      <c r="AW25" s="623"/>
      <c r="AX25" s="645"/>
      <c r="AY25" s="476"/>
      <c r="BA25" s="7045"/>
      <c r="BB25" s="645"/>
      <c r="BC25" s="623"/>
      <c r="BE25" s="26"/>
      <c r="BG25" s="8134"/>
      <c r="BH25" s="623">
        <v>0.181839</v>
      </c>
      <c r="BI25" s="645"/>
      <c r="BJ25" s="64"/>
      <c r="BL25" s="8134"/>
      <c r="BM25" s="645"/>
      <c r="BN25" s="623"/>
    </row>
    <row r="26" spans="1:66" x14ac:dyDescent="0.35">
      <c r="A26" s="9168"/>
      <c r="B26" s="6082"/>
      <c r="C26" s="110" t="s">
        <v>490</v>
      </c>
      <c r="D26" s="197"/>
      <c r="F26" s="155"/>
      <c r="H26" s="595">
        <v>0.3</v>
      </c>
      <c r="I26" s="5004">
        <v>0.29899999999999999</v>
      </c>
      <c r="J26" s="64">
        <f>IF(H26=0,0,I26/H26)</f>
        <v>0.9966666666666667</v>
      </c>
      <c r="L26" s="2755">
        <v>0.16800000000000001</v>
      </c>
      <c r="M26" s="3699">
        <v>0.126</v>
      </c>
      <c r="O26" s="2747"/>
      <c r="P26" s="3748"/>
      <c r="Q26" s="127"/>
      <c r="R26" s="64"/>
      <c r="T26" s="4988">
        <v>0.12</v>
      </c>
      <c r="U26" s="3758"/>
      <c r="V26" s="4989">
        <v>0.48</v>
      </c>
      <c r="X26" s="26"/>
      <c r="Z26" s="4988">
        <v>0.12</v>
      </c>
      <c r="AA26" s="4989">
        <v>9.7529000000000005E-2</v>
      </c>
      <c r="AB26" s="3758"/>
      <c r="AC26" s="64">
        <f t="shared" si="0"/>
        <v>0.8127416666666667</v>
      </c>
      <c r="AE26" s="4990">
        <v>0.53100000000000003</v>
      </c>
      <c r="AF26" s="3758"/>
      <c r="AG26" s="4989">
        <f>AE26*AC26</f>
        <v>0.43156582500000001</v>
      </c>
      <c r="AI26" s="26"/>
      <c r="AK26" s="4990">
        <v>0.53100000000000003</v>
      </c>
      <c r="AL26" s="4989">
        <v>1.3819999999999999</v>
      </c>
      <c r="AM26" s="3758"/>
      <c r="AN26" s="64">
        <f t="shared" ref="AN26" si="8">AL26/AK26</f>
        <v>2.6026365348399243</v>
      </c>
      <c r="AP26" s="4990">
        <v>0.79200000000000004</v>
      </c>
      <c r="AQ26" s="3758"/>
      <c r="AR26" s="4989">
        <v>0.78700000000000003</v>
      </c>
      <c r="AT26" s="26"/>
      <c r="AV26" s="7045">
        <v>0.79174900000000004</v>
      </c>
      <c r="AW26" s="7045">
        <v>0.78700000000000003</v>
      </c>
      <c r="AX26" s="3758"/>
      <c r="AY26" s="476">
        <f>AW26/AV26</f>
        <v>0.9940018869616507</v>
      </c>
      <c r="BA26" s="7045">
        <v>4.8000000000000001E-2</v>
      </c>
      <c r="BB26" s="3758"/>
      <c r="BC26" s="7045">
        <v>1.2709999999999999</v>
      </c>
      <c r="BE26" s="26"/>
      <c r="BG26" s="8134">
        <v>4.8000000000000001E-2</v>
      </c>
      <c r="BH26" s="8134">
        <v>1.2769999999999999</v>
      </c>
      <c r="BI26" s="3758"/>
      <c r="BJ26" s="64">
        <f>BH26/BG26</f>
        <v>26.604166666666664</v>
      </c>
      <c r="BL26" s="8134">
        <v>1.3662780000000001</v>
      </c>
      <c r="BM26" s="3758" t="s">
        <v>3403</v>
      </c>
      <c r="BN26" s="8134">
        <v>1.3662780000000001</v>
      </c>
    </row>
    <row r="27" spans="1:66" x14ac:dyDescent="0.35">
      <c r="A27" s="9168"/>
      <c r="B27" s="6082"/>
      <c r="C27" s="161" t="s">
        <v>497</v>
      </c>
      <c r="D27" s="610"/>
      <c r="F27" s="163"/>
      <c r="H27" s="164"/>
      <c r="I27" s="821"/>
      <c r="J27" s="64">
        <f>IF(H27=0,0,I27/H27)</f>
        <v>0</v>
      </c>
      <c r="L27" s="166"/>
      <c r="M27" s="157">
        <f>L27*J27</f>
        <v>0</v>
      </c>
      <c r="O27" s="3754"/>
      <c r="P27" s="3755"/>
      <c r="Q27" s="106"/>
      <c r="R27" s="64"/>
      <c r="T27" s="166"/>
      <c r="U27" s="312"/>
      <c r="V27" s="1795"/>
      <c r="X27" s="26"/>
      <c r="Z27" s="166"/>
      <c r="AA27" s="1795"/>
      <c r="AB27" s="312"/>
      <c r="AC27" s="64"/>
      <c r="AE27" s="5005"/>
      <c r="AF27" s="312"/>
      <c r="AG27" s="1795"/>
      <c r="AI27" s="26"/>
      <c r="AK27" s="5005"/>
      <c r="AL27" s="1795"/>
      <c r="AM27" s="312"/>
      <c r="AN27" s="64"/>
      <c r="AP27" s="5005"/>
      <c r="AQ27" s="312"/>
      <c r="AR27" s="1795"/>
      <c r="AT27" s="26"/>
      <c r="AV27" s="7048"/>
      <c r="AW27" s="1795"/>
      <c r="AX27" s="312"/>
      <c r="AY27" s="476"/>
      <c r="BA27" s="7048"/>
      <c r="BB27" s="312"/>
      <c r="BC27" s="1795"/>
      <c r="BE27" s="26"/>
      <c r="BG27" s="8138"/>
      <c r="BH27" s="1795"/>
      <c r="BI27" s="312"/>
      <c r="BJ27" s="64"/>
      <c r="BL27" s="8138"/>
      <c r="BM27" s="312"/>
      <c r="BN27" s="1795"/>
    </row>
    <row r="28" spans="1:66" x14ac:dyDescent="0.35">
      <c r="A28" s="9168"/>
      <c r="B28" s="128"/>
      <c r="C28" s="129" t="s">
        <v>499</v>
      </c>
      <c r="D28" s="209"/>
      <c r="F28" s="169">
        <f>IF(F25=0,0,(F26-F27)/F25)</f>
        <v>0</v>
      </c>
      <c r="G28" s="170"/>
      <c r="H28" s="171">
        <f>IF(H25=0,0,(H26-H27)/H25)</f>
        <v>0</v>
      </c>
      <c r="I28" s="5006">
        <f>IF(I25=0,0,(I26-I27)/I25)</f>
        <v>0</v>
      </c>
      <c r="J28" s="173"/>
      <c r="K28" s="170"/>
      <c r="L28" s="174">
        <f>IF(L25=0,0,L26/L25)</f>
        <v>0</v>
      </c>
      <c r="M28" s="175">
        <f>IF(M25=0,0,M26/M25)</f>
        <v>0</v>
      </c>
      <c r="N28" s="176"/>
      <c r="O28" s="171"/>
      <c r="P28" s="177"/>
      <c r="Q28" s="177"/>
      <c r="R28" s="173"/>
      <c r="S28" s="176"/>
      <c r="T28" s="174"/>
      <c r="U28" s="178"/>
      <c r="V28" s="1017"/>
      <c r="W28" s="176"/>
      <c r="X28" s="24"/>
      <c r="Z28" s="174"/>
      <c r="AA28" s="1017"/>
      <c r="AB28" s="178"/>
      <c r="AC28" s="173"/>
      <c r="AD28" s="176"/>
      <c r="AE28" s="174">
        <f>IF(AE24=0,0,(AE26-AE27)/AE24)</f>
        <v>1.9509641868925961E-3</v>
      </c>
      <c r="AF28" s="178"/>
      <c r="AG28" s="1017"/>
      <c r="AH28" s="176"/>
      <c r="AI28" s="24"/>
      <c r="AK28" s="174">
        <f>IF(AK24=0,0,(AK26-AK27)/AK24)</f>
        <v>1.9509641868925961E-3</v>
      </c>
      <c r="AL28" s="1017">
        <f>IF(AL24=0,0,(AL26-AL27)/AL24)</f>
        <v>5.1466424414480039E-3</v>
      </c>
      <c r="AM28" s="178"/>
      <c r="AN28" s="173"/>
      <c r="AO28" s="176"/>
      <c r="AP28" s="174">
        <f>IF(AP24=0,0,(AP26-AP27)/AP24)</f>
        <v>2.5727316432998535E-3</v>
      </c>
      <c r="AQ28" s="178"/>
      <c r="AR28" s="1017">
        <f>IF(AR24=0,0,(AR26-AR27)/AR24)</f>
        <v>2.5546473807560722E-3</v>
      </c>
      <c r="AS28" s="176"/>
      <c r="AT28" s="24"/>
      <c r="AV28" s="495">
        <f>IF(AV24=0,0,(AV26-AV27)/AV24)</f>
        <v>2.5719162952664337E-3</v>
      </c>
      <c r="AW28" s="7049">
        <f>IF(AW24=0,0,(AW26-AW27)/AW24)</f>
        <v>2.5546473807560722E-3</v>
      </c>
      <c r="AX28" s="498"/>
      <c r="AY28" s="494"/>
      <c r="AZ28" s="176"/>
      <c r="BA28" s="495">
        <f>IF(BA24=0,0,(BA26-BA27)/BA24)</f>
        <v>1.5136512421400506E-4</v>
      </c>
      <c r="BB28" s="498"/>
      <c r="BC28" s="7049">
        <f>IF(BC24=0,0,(BC26-BC27)/BC24)</f>
        <v>4.1154395360659506E-3</v>
      </c>
      <c r="BD28" s="176"/>
      <c r="BE28" s="24"/>
      <c r="BG28" s="174">
        <f>IF(BG24=0,0,(BG26-BG27)/BG24)</f>
        <v>1.5136512421400506E-4</v>
      </c>
      <c r="BH28" s="1017">
        <f>IF(BH24=0,0,(BH26-BH27)/BH24)</f>
        <v>4.0540712145070348E-3</v>
      </c>
      <c r="BI28" s="178"/>
      <c r="BJ28" s="173"/>
      <c r="BK28" s="176"/>
      <c r="BL28" s="174">
        <f>IF(BL24=0,0,(BL26-BL27)/BL24)</f>
        <v>4.6257274897161145E-3</v>
      </c>
      <c r="BM28" s="178"/>
      <c r="BN28" s="1017">
        <f>IF(BN24=0,0,(BN26-BN27)/BN24)</f>
        <v>4.6568895310796325E-3</v>
      </c>
    </row>
    <row r="29" spans="1:66" x14ac:dyDescent="0.35">
      <c r="A29" s="9168"/>
      <c r="B29" s="139" t="s">
        <v>501</v>
      </c>
      <c r="C29" s="49"/>
      <c r="D29" s="184"/>
      <c r="F29" s="227"/>
      <c r="H29" s="777"/>
      <c r="I29" s="1341"/>
      <c r="J29" s="188"/>
      <c r="L29" s="777"/>
      <c r="M29" s="148">
        <f t="shared" ref="M29:M31" si="9">L29*J29</f>
        <v>0</v>
      </c>
      <c r="O29" s="189"/>
      <c r="P29" s="190"/>
      <c r="Q29" s="190"/>
      <c r="R29" s="191"/>
      <c r="T29" s="3455"/>
      <c r="U29" s="103"/>
      <c r="V29" s="5007"/>
      <c r="X29" s="3315"/>
      <c r="Z29" s="3455"/>
      <c r="AA29" s="5007"/>
      <c r="AB29" s="103"/>
      <c r="AC29" s="191"/>
      <c r="AE29" s="3455"/>
      <c r="AF29" s="103"/>
      <c r="AG29" s="5007"/>
      <c r="AI29" s="3315"/>
      <c r="AK29" s="3455"/>
      <c r="AL29" s="5007"/>
      <c r="AM29" s="103"/>
      <c r="AN29" s="191"/>
      <c r="AP29" s="3455"/>
      <c r="AQ29" s="103"/>
      <c r="AR29" s="5007"/>
      <c r="AT29" s="3315"/>
      <c r="AV29" s="5007"/>
      <c r="AW29" s="5007"/>
      <c r="AX29" s="103"/>
      <c r="AY29" s="840"/>
      <c r="BA29" s="3455"/>
      <c r="BB29" s="103"/>
      <c r="BC29" s="5007"/>
      <c r="BE29" s="3315"/>
      <c r="BG29" s="5007"/>
      <c r="BH29" s="5007"/>
      <c r="BI29" s="103"/>
      <c r="BJ29" s="191"/>
      <c r="BL29" s="3455"/>
      <c r="BM29" s="103"/>
      <c r="BN29" s="5007"/>
    </row>
    <row r="30" spans="1:66" x14ac:dyDescent="0.35">
      <c r="A30" s="9168"/>
      <c r="B30" s="6082"/>
      <c r="C30" s="121" t="s">
        <v>11</v>
      </c>
      <c r="D30" s="197"/>
      <c r="F30" s="841"/>
      <c r="G30" s="170"/>
      <c r="H30" s="112"/>
      <c r="I30" s="113"/>
      <c r="J30" s="64">
        <f t="shared" ref="J30" si="10">IF(H30=0,0,I30/H30)</f>
        <v>0</v>
      </c>
      <c r="K30" s="170"/>
      <c r="L30" s="112"/>
      <c r="M30" s="157">
        <f t="shared" si="9"/>
        <v>0</v>
      </c>
      <c r="O30" s="248"/>
      <c r="P30" s="233"/>
      <c r="Q30" s="202"/>
      <c r="R30" s="203"/>
      <c r="T30" s="198"/>
      <c r="U30" s="106"/>
      <c r="V30" s="482"/>
      <c r="X30" s="1788"/>
      <c r="Z30" s="198"/>
      <c r="AA30" s="482"/>
      <c r="AB30" s="106"/>
      <c r="AC30" s="203"/>
      <c r="AE30" s="198"/>
      <c r="AF30" s="106"/>
      <c r="AG30" s="482"/>
      <c r="AI30" s="1788"/>
      <c r="AK30" s="198"/>
      <c r="AL30" s="482"/>
      <c r="AM30" s="106"/>
      <c r="AN30" s="203"/>
      <c r="AP30" s="198"/>
      <c r="AQ30" s="106"/>
      <c r="AR30" s="482"/>
      <c r="AT30" s="1788"/>
      <c r="AV30" s="482"/>
      <c r="AW30" s="482"/>
      <c r="AX30" s="106"/>
      <c r="AY30" s="835"/>
      <c r="BA30" s="198"/>
      <c r="BB30" s="106"/>
      <c r="BC30" s="482"/>
      <c r="BE30" s="1788"/>
      <c r="BG30" s="482"/>
      <c r="BH30" s="482"/>
      <c r="BI30" s="106"/>
      <c r="BJ30" s="203"/>
      <c r="BL30" s="198"/>
      <c r="BM30" s="106"/>
      <c r="BN30" s="482"/>
    </row>
    <row r="31" spans="1:66" x14ac:dyDescent="0.35">
      <c r="A31" s="9169"/>
      <c r="B31" s="844"/>
      <c r="C31" s="208" t="s">
        <v>502</v>
      </c>
      <c r="D31" s="209"/>
      <c r="F31" s="210"/>
      <c r="H31" s="217"/>
      <c r="I31" s="845"/>
      <c r="J31" s="133">
        <f>IF(H31=0,0,I31/H31)</f>
        <v>0</v>
      </c>
      <c r="L31" s="217"/>
      <c r="M31" s="213">
        <f t="shared" si="9"/>
        <v>0</v>
      </c>
      <c r="O31" s="214"/>
      <c r="P31" s="215"/>
      <c r="Q31" s="216"/>
      <c r="R31" s="133"/>
      <c r="T31" s="211"/>
      <c r="U31" s="216"/>
      <c r="V31" s="485"/>
      <c r="X31" s="1789"/>
      <c r="Z31" s="211"/>
      <c r="AA31" s="485"/>
      <c r="AB31" s="216"/>
      <c r="AC31" s="133"/>
      <c r="AE31" s="211"/>
      <c r="AF31" s="216"/>
      <c r="AG31" s="485"/>
      <c r="AI31" s="1789"/>
      <c r="AK31" s="211"/>
      <c r="AL31" s="485"/>
      <c r="AM31" s="216"/>
      <c r="AN31" s="133"/>
      <c r="AP31" s="211"/>
      <c r="AQ31" s="216"/>
      <c r="AR31" s="485"/>
      <c r="AT31" s="1789"/>
      <c r="AV31" s="485"/>
      <c r="AW31" s="485"/>
      <c r="AX31" s="216"/>
      <c r="AY31" s="484"/>
      <c r="BA31" s="211"/>
      <c r="BB31" s="216"/>
      <c r="BC31" s="485"/>
      <c r="BE31" s="1789"/>
      <c r="BG31" s="485"/>
      <c r="BH31" s="485"/>
      <c r="BI31" s="216"/>
      <c r="BJ31" s="133"/>
      <c r="BL31" s="211"/>
      <c r="BM31" s="216"/>
      <c r="BN31" s="485"/>
    </row>
    <row r="32" spans="1:66" x14ac:dyDescent="0.35">
      <c r="A32" s="220"/>
      <c r="B32" s="220"/>
      <c r="F32" s="106"/>
      <c r="H32" s="106"/>
      <c r="I32" s="106"/>
      <c r="J32" s="221"/>
      <c r="L32" s="106"/>
      <c r="O32" s="106"/>
      <c r="P32" s="106"/>
      <c r="Q32" s="106"/>
      <c r="R32" s="221"/>
      <c r="T32" s="106"/>
      <c r="U32" s="106"/>
      <c r="V32" s="106"/>
      <c r="Z32" s="106"/>
      <c r="AA32" s="106"/>
      <c r="AB32" s="106"/>
      <c r="AC32" s="221"/>
      <c r="AE32" s="106"/>
      <c r="AF32" s="106"/>
      <c r="AG32" s="106"/>
      <c r="AK32" s="106"/>
      <c r="AL32" s="106"/>
      <c r="AM32" s="106"/>
      <c r="AN32" s="221"/>
      <c r="AP32" s="106"/>
      <c r="AQ32" s="106"/>
      <c r="AR32" s="106"/>
      <c r="AV32" s="106"/>
      <c r="AW32" s="106"/>
      <c r="AX32" s="106"/>
      <c r="AY32" s="221"/>
      <c r="BA32" s="106"/>
      <c r="BB32" s="106"/>
      <c r="BC32" s="106"/>
      <c r="BG32" s="106"/>
      <c r="BH32" s="106"/>
      <c r="BI32" s="106"/>
      <c r="BJ32" s="221"/>
      <c r="BL32" s="106"/>
      <c r="BM32" s="106"/>
      <c r="BN32" s="106"/>
    </row>
    <row r="33" spans="1:66" ht="27.75" customHeight="1" x14ac:dyDescent="0.35">
      <c r="A33" s="9167" t="s">
        <v>503</v>
      </c>
      <c r="B33" s="27"/>
      <c r="C33" s="28" t="s">
        <v>427</v>
      </c>
      <c r="D33" s="585" t="s">
        <v>428</v>
      </c>
      <c r="E33" s="30"/>
      <c r="F33" s="222"/>
      <c r="G33" s="223"/>
      <c r="H33" s="222"/>
      <c r="I33" s="222"/>
      <c r="J33" s="224"/>
      <c r="K33" s="223"/>
      <c r="L33" s="222"/>
      <c r="M33" s="511"/>
      <c r="N33" s="30"/>
      <c r="O33" s="31"/>
      <c r="P33" s="31"/>
      <c r="Q33" s="225"/>
      <c r="R33" s="224"/>
      <c r="S33" s="30"/>
      <c r="T33" s="850"/>
      <c r="U33" s="5008"/>
      <c r="V33" s="3651"/>
      <c r="W33" s="30"/>
      <c r="X33" s="39"/>
      <c r="Z33" s="850"/>
      <c r="AA33" s="3651"/>
      <c r="AB33" s="5008"/>
      <c r="AC33" s="224"/>
      <c r="AD33" s="30"/>
      <c r="AE33" s="850"/>
      <c r="AF33" s="5008"/>
      <c r="AG33" s="3651"/>
      <c r="AH33" s="30"/>
      <c r="AI33" s="39"/>
      <c r="AK33" s="850"/>
      <c r="AL33" s="3651"/>
      <c r="AM33" s="5008"/>
      <c r="AN33" s="224"/>
      <c r="AO33" s="30"/>
      <c r="AP33" s="850"/>
      <c r="AQ33" s="5008"/>
      <c r="AR33" s="3651"/>
      <c r="AS33" s="30"/>
      <c r="AT33" s="39"/>
      <c r="AV33" s="3651"/>
      <c r="AW33" s="3651"/>
      <c r="AX33" s="5008"/>
      <c r="AY33" s="224"/>
      <c r="AZ33" s="30"/>
      <c r="BA33" s="850"/>
      <c r="BB33" s="5008"/>
      <c r="BC33" s="3651"/>
      <c r="BD33" s="30"/>
      <c r="BE33" s="39"/>
      <c r="BG33" s="3651"/>
      <c r="BH33" s="3651"/>
      <c r="BI33" s="5008"/>
      <c r="BJ33" s="224"/>
      <c r="BK33" s="30"/>
      <c r="BL33" s="850"/>
      <c r="BM33" s="5008"/>
      <c r="BN33" s="3651"/>
    </row>
    <row r="34" spans="1:66" x14ac:dyDescent="0.35">
      <c r="A34" s="9168"/>
      <c r="B34" s="141" t="s">
        <v>514</v>
      </c>
      <c r="C34"/>
      <c r="D34" s="184">
        <v>4</v>
      </c>
      <c r="E34" s="143"/>
      <c r="F34" s="227"/>
      <c r="G34" s="143"/>
      <c r="H34" s="102"/>
      <c r="I34" s="103"/>
      <c r="J34" s="228"/>
      <c r="K34" s="143"/>
      <c r="L34" s="102"/>
      <c r="M34" s="229"/>
      <c r="N34" s="143"/>
      <c r="O34" s="102" t="s">
        <v>2456</v>
      </c>
      <c r="P34" s="103"/>
      <c r="Q34" s="106"/>
      <c r="R34" s="228"/>
      <c r="S34" s="143"/>
      <c r="T34" s="102"/>
      <c r="U34" s="106"/>
      <c r="V34" s="103"/>
      <c r="W34" s="143"/>
      <c r="X34" s="18" t="s">
        <v>3404</v>
      </c>
      <c r="Z34" s="102"/>
      <c r="AA34" s="103"/>
      <c r="AB34" s="106"/>
      <c r="AC34" s="228"/>
      <c r="AD34" s="143"/>
      <c r="AE34" s="102"/>
      <c r="AF34" s="106"/>
      <c r="AG34" s="103"/>
      <c r="AH34" s="143"/>
      <c r="AI34" s="18" t="s">
        <v>3404</v>
      </c>
      <c r="AK34" s="102"/>
      <c r="AL34" s="103"/>
      <c r="AM34" s="106"/>
      <c r="AN34" s="228"/>
      <c r="AO34" s="143"/>
      <c r="AP34" s="102"/>
      <c r="AQ34" s="106"/>
      <c r="AR34" s="103"/>
      <c r="AS34" s="143"/>
      <c r="AT34" s="18" t="s">
        <v>3404</v>
      </c>
      <c r="AV34" s="103"/>
      <c r="AW34" s="103"/>
      <c r="AX34" s="106"/>
      <c r="AY34" s="228"/>
      <c r="AZ34" s="143"/>
      <c r="BA34" s="102"/>
      <c r="BB34" s="106"/>
      <c r="BC34" s="103"/>
      <c r="BD34" s="143"/>
      <c r="BE34" s="18" t="s">
        <v>3404</v>
      </c>
      <c r="BG34" s="103"/>
      <c r="BH34" s="103"/>
      <c r="BI34" s="106"/>
      <c r="BJ34" s="228"/>
      <c r="BK34" s="143"/>
      <c r="BL34" s="102"/>
      <c r="BM34" s="106"/>
      <c r="BN34" s="103"/>
    </row>
    <row r="35" spans="1:66" x14ac:dyDescent="0.35">
      <c r="A35" s="9168"/>
      <c r="B35" s="240"/>
      <c r="C35" s="240" t="s">
        <v>3405</v>
      </c>
      <c r="D35" s="197">
        <v>5</v>
      </c>
      <c r="F35" s="1301">
        <v>47.2</v>
      </c>
      <c r="H35" s="593">
        <v>73.099999999999994</v>
      </c>
      <c r="I35" s="636">
        <v>68.900000000000006</v>
      </c>
      <c r="J35" s="3768">
        <f>IF(H35=0,0,I35/H35)</f>
        <v>0.94254445964432298</v>
      </c>
      <c r="L35" s="593">
        <v>65.599999999999994</v>
      </c>
      <c r="M35" s="1352">
        <v>68.099999999999994</v>
      </c>
      <c r="O35" s="2755"/>
      <c r="P35" s="5009"/>
      <c r="Q35" s="645" t="s">
        <v>3406</v>
      </c>
      <c r="R35" s="64"/>
      <c r="T35" s="1353"/>
      <c r="U35" s="645"/>
      <c r="V35" s="642"/>
      <c r="X35" s="26"/>
      <c r="Z35" s="1353"/>
      <c r="AA35" s="642"/>
      <c r="AB35" s="645"/>
      <c r="AC35" s="64"/>
      <c r="AE35" s="4990"/>
      <c r="AF35" s="645"/>
      <c r="AG35" s="642"/>
      <c r="AI35" s="26"/>
      <c r="AK35" s="4990"/>
      <c r="AL35" s="642"/>
      <c r="AM35" s="645"/>
      <c r="AN35" s="64"/>
      <c r="AP35" s="4990"/>
      <c r="AQ35" s="645"/>
      <c r="AR35" s="642"/>
      <c r="AT35" s="26"/>
      <c r="AV35" s="642"/>
      <c r="AW35" s="642"/>
      <c r="AX35" s="645"/>
      <c r="AY35" s="476"/>
      <c r="BA35" s="7045"/>
      <c r="BB35" s="645"/>
      <c r="BC35" s="642"/>
      <c r="BE35" s="26"/>
      <c r="BG35" s="642"/>
      <c r="BH35" s="642"/>
      <c r="BI35" s="645"/>
      <c r="BJ35" s="64"/>
      <c r="BL35" s="8134"/>
      <c r="BM35" s="645"/>
      <c r="BN35" s="642"/>
    </row>
    <row r="36" spans="1:66" x14ac:dyDescent="0.35">
      <c r="A36" s="9168"/>
      <c r="B36" s="240"/>
      <c r="C36" s="639" t="s">
        <v>11</v>
      </c>
      <c r="D36" s="197"/>
      <c r="F36" s="155"/>
      <c r="H36" s="117"/>
      <c r="I36" s="115"/>
      <c r="J36" s="3768">
        <f>IF(H36=0,0,I36/H36)</f>
        <v>0</v>
      </c>
      <c r="L36" s="117"/>
      <c r="M36" s="157">
        <f>L36*J36</f>
        <v>0</v>
      </c>
      <c r="O36" s="2755">
        <v>65.617461000000006</v>
      </c>
      <c r="P36" s="5009">
        <v>68.250754000000001</v>
      </c>
      <c r="Q36" s="57" t="s">
        <v>3407</v>
      </c>
      <c r="R36" s="64"/>
      <c r="T36" s="4988">
        <f>83.832003-T37</f>
        <v>79.832003</v>
      </c>
      <c r="U36" s="645" t="s">
        <v>3406</v>
      </c>
      <c r="V36" s="5010">
        <v>78.900000000000006</v>
      </c>
      <c r="X36" s="26"/>
      <c r="Z36" s="4988">
        <f>83.832003-Z37</f>
        <v>79.832003</v>
      </c>
      <c r="AA36" s="5010">
        <v>78.900000000000006</v>
      </c>
      <c r="AB36" s="645" t="s">
        <v>3406</v>
      </c>
      <c r="AC36" s="64">
        <f t="shared" ref="AC36:AC37" si="11">AA36/Z36</f>
        <v>0.98832544637518371</v>
      </c>
      <c r="AE36" s="4990">
        <v>86.165512000000007</v>
      </c>
      <c r="AF36" s="645"/>
      <c r="AG36" s="5010">
        <f>AE36*AC36</f>
        <v>85.159568109546257</v>
      </c>
      <c r="AI36" s="26"/>
      <c r="AK36" s="4990">
        <v>86.165512000000007</v>
      </c>
      <c r="AL36" s="5010">
        <v>76.339550000000003</v>
      </c>
      <c r="AM36" s="645" t="s">
        <v>3406</v>
      </c>
      <c r="AN36" s="64">
        <f t="shared" ref="AN36" si="12">AL36/AK36</f>
        <v>0.88596409663300091</v>
      </c>
      <c r="AP36" s="4990">
        <v>81.339550000000003</v>
      </c>
      <c r="AQ36" s="645" t="s">
        <v>3408</v>
      </c>
      <c r="AR36" s="5010">
        <v>72.109465999999998</v>
      </c>
      <c r="AT36" s="26"/>
      <c r="AV36" s="5010">
        <v>81.848121000000006</v>
      </c>
      <c r="AW36" s="5010">
        <v>81.847999999999999</v>
      </c>
      <c r="AX36" s="645" t="s">
        <v>3406</v>
      </c>
      <c r="AY36" s="476">
        <f>AW36/AV36</f>
        <v>0.99999852165207304</v>
      </c>
      <c r="BA36" s="5010">
        <v>85.361999999999995</v>
      </c>
      <c r="BB36" s="645" t="s">
        <v>3408</v>
      </c>
      <c r="BC36" s="5010">
        <v>75.367000000000004</v>
      </c>
      <c r="BE36" s="26"/>
      <c r="BG36" s="5010">
        <v>85.361999999999995</v>
      </c>
      <c r="BH36" s="5010">
        <f>74.105446-BH37</f>
        <v>72.534724999999995</v>
      </c>
      <c r="BI36" s="4040" t="s">
        <v>3409</v>
      </c>
      <c r="BJ36" s="64">
        <f>BH36/BG36</f>
        <v>0.84973085213561073</v>
      </c>
      <c r="BL36" s="5010">
        <v>71.036524999999997</v>
      </c>
      <c r="BM36" s="645" t="s">
        <v>3410</v>
      </c>
      <c r="BN36" s="5010">
        <v>70.907050999999996</v>
      </c>
    </row>
    <row r="37" spans="1:66" x14ac:dyDescent="0.35">
      <c r="A37" s="9168"/>
      <c r="B37" s="241"/>
      <c r="C37" s="249" t="s">
        <v>502</v>
      </c>
      <c r="D37" s="197"/>
      <c r="F37" s="163"/>
      <c r="H37" s="242"/>
      <c r="I37" s="243"/>
      <c r="J37" s="3768">
        <f>IF(H37=0,0,I37/H37)</f>
        <v>0</v>
      </c>
      <c r="L37" s="242"/>
      <c r="M37" s="157">
        <f>L37*J37</f>
        <v>0</v>
      </c>
      <c r="O37" s="117">
        <v>0</v>
      </c>
      <c r="P37" s="115">
        <v>0</v>
      </c>
      <c r="Q37" s="106"/>
      <c r="R37" s="64"/>
      <c r="T37" s="3754">
        <v>4</v>
      </c>
      <c r="U37" s="57"/>
      <c r="V37" s="5011"/>
      <c r="X37" s="26" t="s">
        <v>3411</v>
      </c>
      <c r="Z37" s="3754">
        <v>4</v>
      </c>
      <c r="AA37" s="5011"/>
      <c r="AB37" s="57"/>
      <c r="AC37" s="64">
        <f t="shared" si="11"/>
        <v>0</v>
      </c>
      <c r="AE37" s="5012"/>
      <c r="AF37" s="57"/>
      <c r="AG37" s="5011"/>
      <c r="AI37" s="26" t="s">
        <v>3411</v>
      </c>
      <c r="AK37" s="5012"/>
      <c r="AL37" s="5011"/>
      <c r="AM37" s="57"/>
      <c r="AN37" s="64"/>
      <c r="AP37" s="5012"/>
      <c r="AQ37" s="57"/>
      <c r="AR37" s="5011"/>
      <c r="AT37" s="26" t="s">
        <v>3411</v>
      </c>
      <c r="AV37" s="5011"/>
      <c r="AW37" s="5011"/>
      <c r="AX37" s="57"/>
      <c r="AY37" s="476"/>
      <c r="BA37" s="7050"/>
      <c r="BB37" s="57"/>
      <c r="BC37" s="5011"/>
      <c r="BE37" s="26" t="s">
        <v>3411</v>
      </c>
      <c r="BG37" s="5011"/>
      <c r="BH37" s="5011">
        <v>1.570721</v>
      </c>
      <c r="BI37" s="57" t="s">
        <v>3412</v>
      </c>
      <c r="BJ37" s="64"/>
      <c r="BL37" s="8139">
        <v>0</v>
      </c>
      <c r="BM37" s="57"/>
      <c r="BN37" s="5011">
        <v>0</v>
      </c>
    </row>
    <row r="38" spans="1:66" x14ac:dyDescent="0.35">
      <c r="A38" s="9168"/>
      <c r="B38" s="241"/>
      <c r="C38" s="241" t="s">
        <v>536</v>
      </c>
      <c r="D38" s="197"/>
      <c r="F38" s="163"/>
      <c r="H38" s="242"/>
      <c r="I38" s="243"/>
      <c r="J38" s="3768">
        <f>IF(H38=0,0,I38/H38)</f>
        <v>0</v>
      </c>
      <c r="L38" s="242"/>
      <c r="M38" s="157">
        <f>L38*J38</f>
        <v>0</v>
      </c>
      <c r="O38" s="242"/>
      <c r="P38" s="115"/>
      <c r="Q38" s="106"/>
      <c r="R38" s="64"/>
      <c r="T38" s="164"/>
      <c r="U38" s="106"/>
      <c r="V38" s="244"/>
      <c r="X38" s="26"/>
      <c r="Z38" s="164"/>
      <c r="AA38" s="244"/>
      <c r="AB38" s="106"/>
      <c r="AC38" s="64"/>
      <c r="AE38" s="5012"/>
      <c r="AF38" s="106"/>
      <c r="AG38" s="244"/>
      <c r="AI38" s="26"/>
      <c r="AK38" s="5012"/>
      <c r="AL38" s="244"/>
      <c r="AM38" s="106"/>
      <c r="AN38" s="64"/>
      <c r="AP38" s="5012"/>
      <c r="AQ38" s="106"/>
      <c r="AR38" s="244"/>
      <c r="AT38" s="26"/>
      <c r="AV38" s="244"/>
      <c r="AW38" s="244"/>
      <c r="AX38" s="106"/>
      <c r="AY38" s="476"/>
      <c r="BA38" s="7050"/>
      <c r="BB38" s="106"/>
      <c r="BC38" s="244"/>
      <c r="BE38" s="26"/>
      <c r="BG38" s="244"/>
      <c r="BH38" s="244"/>
      <c r="BI38" s="106"/>
      <c r="BJ38" s="64"/>
      <c r="BL38" s="8139"/>
      <c r="BM38" s="106"/>
      <c r="BN38" s="244"/>
    </row>
    <row r="39" spans="1:66" x14ac:dyDescent="0.35">
      <c r="A39" s="9168"/>
      <c r="B39" s="141" t="s">
        <v>531</v>
      </c>
      <c r="C39"/>
      <c r="D39" s="197"/>
      <c r="E39" s="143"/>
      <c r="F39" s="168"/>
      <c r="G39" s="143"/>
      <c r="H39" s="245"/>
      <c r="I39" s="106"/>
      <c r="J39" s="3601"/>
      <c r="K39" s="143"/>
      <c r="L39" s="245"/>
      <c r="M39" s="247"/>
      <c r="N39" s="143"/>
      <c r="O39" s="245"/>
      <c r="P39" s="106"/>
      <c r="Q39" s="106"/>
      <c r="R39" s="64"/>
      <c r="S39" s="143"/>
      <c r="T39" s="245"/>
      <c r="U39" s="106"/>
      <c r="V39" s="106"/>
      <c r="W39" s="143"/>
      <c r="X39" s="18"/>
      <c r="Z39" s="245"/>
      <c r="AA39" s="106"/>
      <c r="AB39" s="106"/>
      <c r="AC39" s="64"/>
      <c r="AD39" s="143"/>
      <c r="AE39" s="5013"/>
      <c r="AF39" s="106"/>
      <c r="AG39" s="106"/>
      <c r="AH39" s="143"/>
      <c r="AI39" s="18"/>
      <c r="AK39" s="5013"/>
      <c r="AL39" s="106"/>
      <c r="AM39" s="106"/>
      <c r="AN39" s="64"/>
      <c r="AO39" s="143"/>
      <c r="AP39" s="5013"/>
      <c r="AQ39" s="106"/>
      <c r="AR39" s="106"/>
      <c r="AS39" s="143"/>
      <c r="AT39" s="18"/>
      <c r="AV39" s="106"/>
      <c r="AW39" s="106"/>
      <c r="AX39" s="106"/>
      <c r="AY39" s="476"/>
      <c r="AZ39" s="143"/>
      <c r="BA39" s="7051"/>
      <c r="BB39" s="106"/>
      <c r="BC39" s="106"/>
      <c r="BD39" s="143"/>
      <c r="BE39" s="18"/>
      <c r="BG39" s="106"/>
      <c r="BH39" s="106"/>
      <c r="BI39" s="106"/>
      <c r="BJ39" s="64"/>
      <c r="BK39" s="143"/>
      <c r="BL39" s="8140"/>
      <c r="BM39" s="106"/>
      <c r="BN39" s="106"/>
    </row>
    <row r="40" spans="1:66" x14ac:dyDescent="0.35">
      <c r="A40" s="9168"/>
      <c r="B40" s="240"/>
      <c r="C40" s="240" t="s">
        <v>532</v>
      </c>
      <c r="D40" s="197"/>
      <c r="F40" s="111"/>
      <c r="H40" s="112"/>
      <c r="I40" s="113"/>
      <c r="J40" s="3768">
        <f>IF(H40=0,0,I40/H40)</f>
        <v>0</v>
      </c>
      <c r="L40" s="112"/>
      <c r="M40" s="157">
        <f>L40*J40</f>
        <v>0</v>
      </c>
      <c r="O40" s="164"/>
      <c r="P40" s="3273"/>
      <c r="Q40" s="57"/>
      <c r="R40" s="64"/>
      <c r="T40" s="248"/>
      <c r="U40" s="106"/>
      <c r="V40" s="233"/>
      <c r="X40" s="26"/>
      <c r="Z40" s="248"/>
      <c r="AA40" s="233"/>
      <c r="AB40" s="106"/>
      <c r="AC40" s="64"/>
      <c r="AE40" s="4990"/>
      <c r="AF40" s="106"/>
      <c r="AG40" s="233"/>
      <c r="AI40" s="26"/>
      <c r="AK40" s="4990"/>
      <c r="AL40" s="233"/>
      <c r="AM40" s="106"/>
      <c r="AN40" s="64"/>
      <c r="AP40" s="4990"/>
      <c r="AQ40" s="106"/>
      <c r="AR40" s="233"/>
      <c r="AT40" s="26"/>
      <c r="AV40" s="233"/>
      <c r="AW40" s="233"/>
      <c r="AX40" s="106"/>
      <c r="AY40" s="476"/>
      <c r="BA40" s="7045"/>
      <c r="BB40" s="106"/>
      <c r="BC40" s="233"/>
      <c r="BE40" s="26"/>
      <c r="BG40" s="233"/>
      <c r="BH40" s="233"/>
      <c r="BI40" s="106"/>
      <c r="BJ40" s="64"/>
      <c r="BL40" s="8134"/>
      <c r="BM40" s="106"/>
      <c r="BN40" s="233"/>
    </row>
    <row r="41" spans="1:66" x14ac:dyDescent="0.35">
      <c r="A41" s="9168"/>
      <c r="B41" s="240"/>
      <c r="C41" s="240" t="s">
        <v>533</v>
      </c>
      <c r="D41" s="197"/>
      <c r="F41" s="155"/>
      <c r="H41" s="117"/>
      <c r="I41" s="115"/>
      <c r="J41" s="3768">
        <f>IF(H41=0,0,I41/H41)</f>
        <v>0</v>
      </c>
      <c r="L41" s="117"/>
      <c r="M41" s="157">
        <f>L41*J41</f>
        <v>0</v>
      </c>
      <c r="O41" s="164"/>
      <c r="P41" s="5014"/>
      <c r="Q41" s="57"/>
      <c r="R41" s="64"/>
      <c r="T41" s="200"/>
      <c r="U41" s="106"/>
      <c r="V41" s="201"/>
      <c r="X41" s="26"/>
      <c r="Z41" s="200"/>
      <c r="AA41" s="201"/>
      <c r="AB41" s="106"/>
      <c r="AC41" s="64"/>
      <c r="AE41" s="5015"/>
      <c r="AF41" s="106"/>
      <c r="AG41" s="201"/>
      <c r="AI41" s="26"/>
      <c r="AK41" s="5015"/>
      <c r="AL41" s="201"/>
      <c r="AM41" s="106"/>
      <c r="AN41" s="64"/>
      <c r="AP41" s="5015"/>
      <c r="AQ41" s="106"/>
      <c r="AR41" s="201"/>
      <c r="AT41" s="26"/>
      <c r="AV41" s="201"/>
      <c r="AW41" s="201"/>
      <c r="AX41" s="106"/>
      <c r="AY41" s="476"/>
      <c r="BA41" s="7052"/>
      <c r="BB41" s="106"/>
      <c r="BC41" s="201"/>
      <c r="BE41" s="26"/>
      <c r="BG41" s="201"/>
      <c r="BH41" s="201"/>
      <c r="BI41" s="106"/>
      <c r="BJ41" s="64"/>
      <c r="BL41" s="8141"/>
      <c r="BM41" s="106"/>
      <c r="BN41" s="201"/>
    </row>
    <row r="42" spans="1:66" x14ac:dyDescent="0.35">
      <c r="A42" s="9168"/>
      <c r="B42" s="250"/>
      <c r="C42" s="250" t="s">
        <v>534</v>
      </c>
      <c r="D42" s="209"/>
      <c r="F42" s="130"/>
      <c r="H42" s="242"/>
      <c r="I42" s="243"/>
      <c r="J42" s="3768">
        <f>IF(H42=0,0,I42/H42)</f>
        <v>0</v>
      </c>
      <c r="L42" s="131"/>
      <c r="M42" s="213">
        <f>L42*J42</f>
        <v>0</v>
      </c>
      <c r="O42" s="164"/>
      <c r="P42" s="215"/>
      <c r="Q42" s="216"/>
      <c r="R42" s="64"/>
      <c r="T42" s="214"/>
      <c r="U42" s="216"/>
      <c r="V42" s="215"/>
      <c r="X42" s="24"/>
      <c r="Z42" s="214"/>
      <c r="AA42" s="215"/>
      <c r="AB42" s="216"/>
      <c r="AC42" s="64"/>
      <c r="AE42" s="5016"/>
      <c r="AF42" s="216"/>
      <c r="AG42" s="215"/>
      <c r="AI42" s="24"/>
      <c r="AK42" s="5016"/>
      <c r="AL42" s="215"/>
      <c r="AM42" s="216"/>
      <c r="AN42" s="64"/>
      <c r="AP42" s="5016"/>
      <c r="AQ42" s="216"/>
      <c r="AR42" s="215"/>
      <c r="AT42" s="24"/>
      <c r="AV42" s="215"/>
      <c r="AW42" s="215"/>
      <c r="AX42" s="216"/>
      <c r="AY42" s="476"/>
      <c r="BA42" s="7053"/>
      <c r="BB42" s="216"/>
      <c r="BC42" s="215"/>
      <c r="BE42" s="24"/>
      <c r="BG42" s="215"/>
      <c r="BH42" s="215"/>
      <c r="BI42" s="216"/>
      <c r="BJ42" s="64"/>
      <c r="BL42" s="8142"/>
      <c r="BM42" s="216"/>
      <c r="BN42" s="215"/>
    </row>
    <row r="43" spans="1:66" x14ac:dyDescent="0.35">
      <c r="A43" s="9168"/>
      <c r="B43" s="141" t="s">
        <v>535</v>
      </c>
      <c r="C43" s="141"/>
      <c r="D43" s="197"/>
      <c r="E43" s="143"/>
      <c r="F43" s="227"/>
      <c r="G43" s="143"/>
      <c r="H43" s="102"/>
      <c r="I43" s="103"/>
      <c r="J43" s="1047"/>
      <c r="K43" s="143"/>
      <c r="L43" s="245"/>
      <c r="M43" s="247"/>
      <c r="N43" s="143"/>
      <c r="O43" s="517" t="s">
        <v>3413</v>
      </c>
      <c r="P43" s="103"/>
      <c r="Q43" s="106"/>
      <c r="R43" s="252"/>
      <c r="S43" s="143"/>
      <c r="T43" s="245"/>
      <c r="U43" s="106"/>
      <c r="V43" s="106"/>
      <c r="W43" s="143"/>
      <c r="X43" s="26"/>
      <c r="Z43" s="245"/>
      <c r="AA43" s="106"/>
      <c r="AB43" s="106"/>
      <c r="AC43" s="252"/>
      <c r="AD43" s="143"/>
      <c r="AE43" s="245"/>
      <c r="AF43" s="106"/>
      <c r="AG43" s="106"/>
      <c r="AH43" s="143"/>
      <c r="AI43" s="26"/>
      <c r="AK43" s="245"/>
      <c r="AL43" s="106"/>
      <c r="AM43" s="106"/>
      <c r="AN43" s="252"/>
      <c r="AO43" s="143"/>
      <c r="AP43" s="245"/>
      <c r="AQ43" s="106"/>
      <c r="AR43" s="106"/>
      <c r="AS43" s="143"/>
      <c r="AT43" s="26"/>
      <c r="AV43" s="106"/>
      <c r="AW43" s="106"/>
      <c r="AX43" s="106"/>
      <c r="AY43" s="516"/>
      <c r="AZ43" s="143"/>
      <c r="BA43" s="245"/>
      <c r="BB43" s="106"/>
      <c r="BC43" s="106"/>
      <c r="BD43" s="143"/>
      <c r="BE43" s="26"/>
      <c r="BG43" s="106"/>
      <c r="BH43" s="106"/>
      <c r="BI43" s="106"/>
      <c r="BJ43" s="252"/>
      <c r="BK43" s="143"/>
      <c r="BL43" s="245"/>
      <c r="BM43" s="106"/>
      <c r="BN43" s="106"/>
    </row>
    <row r="44" spans="1:66" ht="24.75" customHeight="1" x14ac:dyDescent="0.35">
      <c r="A44" s="9168"/>
      <c r="B44" s="240"/>
      <c r="C44" s="240" t="s">
        <v>3414</v>
      </c>
      <c r="D44" s="197">
        <v>6</v>
      </c>
      <c r="F44" s="111"/>
      <c r="H44" s="593"/>
      <c r="I44" s="113"/>
      <c r="J44" s="3768">
        <f t="shared" ref="J44:J50" si="13">IF(H44=0,0,I44/H44)</f>
        <v>0</v>
      </c>
      <c r="L44" s="593"/>
      <c r="M44" s="1352"/>
      <c r="O44" s="117"/>
      <c r="P44" s="3273"/>
      <c r="Q44" s="57"/>
      <c r="R44" s="64"/>
      <c r="T44" s="1353"/>
      <c r="U44" s="645"/>
      <c r="V44" s="642"/>
      <c r="X44" s="257" t="s">
        <v>3415</v>
      </c>
      <c r="Z44" s="1353"/>
      <c r="AA44" s="642"/>
      <c r="AB44" s="645"/>
      <c r="AC44" s="64"/>
      <c r="AE44" s="4990"/>
      <c r="AF44" s="645"/>
      <c r="AG44" s="642"/>
      <c r="AI44" s="257" t="s">
        <v>3415</v>
      </c>
      <c r="AK44" s="4990"/>
      <c r="AL44" s="642"/>
      <c r="AM44" s="645"/>
      <c r="AN44" s="64"/>
      <c r="AP44" s="4990"/>
      <c r="AQ44" s="645"/>
      <c r="AR44" s="642"/>
      <c r="AT44" s="257" t="s">
        <v>3415</v>
      </c>
      <c r="AV44" s="642"/>
      <c r="AW44" s="642"/>
      <c r="AX44" s="645"/>
      <c r="AY44" s="476"/>
      <c r="BA44" s="7045"/>
      <c r="BB44" s="645"/>
      <c r="BC44" s="642"/>
      <c r="BE44" s="257" t="s">
        <v>3415</v>
      </c>
      <c r="BG44" s="642"/>
      <c r="BH44" s="642"/>
      <c r="BI44" s="645"/>
      <c r="BJ44" s="64"/>
      <c r="BL44" s="8134"/>
      <c r="BM44" s="645"/>
      <c r="BN44" s="642"/>
    </row>
    <row r="45" spans="1:66" x14ac:dyDescent="0.35">
      <c r="A45" s="9168"/>
      <c r="B45" s="240"/>
      <c r="C45" s="240" t="s">
        <v>3414</v>
      </c>
      <c r="D45" s="197">
        <v>7</v>
      </c>
      <c r="F45" s="155"/>
      <c r="H45" s="595">
        <v>0</v>
      </c>
      <c r="I45" s="594">
        <v>0</v>
      </c>
      <c r="J45" s="3768">
        <f>IF(H45=0,0,I45/H45)</f>
        <v>0</v>
      </c>
      <c r="L45" s="595">
        <v>1.1499999999999999</v>
      </c>
      <c r="M45" s="1352">
        <v>1.1292249999999999</v>
      </c>
      <c r="O45" s="2747">
        <v>1.1499999999999999</v>
      </c>
      <c r="P45" s="5017">
        <v>1.1288199999999999</v>
      </c>
      <c r="Q45" s="57" t="s">
        <v>3416</v>
      </c>
      <c r="R45" s="64"/>
      <c r="T45" s="4987">
        <v>1.1499999999999999</v>
      </c>
      <c r="U45" s="3758"/>
      <c r="V45" s="5018">
        <v>1.337626</v>
      </c>
      <c r="X45" s="26" t="s">
        <v>3417</v>
      </c>
      <c r="Z45" s="4987">
        <v>1.1499999999999999</v>
      </c>
      <c r="AA45" s="5018">
        <v>1.337626</v>
      </c>
      <c r="AB45" s="3758"/>
      <c r="AC45" s="64">
        <f t="shared" ref="AC45:AC48" si="14">AA45/Z45</f>
        <v>1.1631530434782609</v>
      </c>
      <c r="AE45" s="5015">
        <v>2.340341</v>
      </c>
      <c r="AF45" s="3758"/>
      <c r="AG45" s="5018">
        <f>AE45*AC45</f>
        <v>2.7221747569269565</v>
      </c>
      <c r="AI45" s="26" t="s">
        <v>3417</v>
      </c>
      <c r="AK45" s="5015">
        <v>2.340341</v>
      </c>
      <c r="AL45" s="642">
        <v>1.4456389999999999</v>
      </c>
      <c r="AM45" s="3758"/>
      <c r="AN45" s="64">
        <f t="shared" ref="AN45:AN46" si="15">AL45/AK45</f>
        <v>0.61770442854267815</v>
      </c>
      <c r="AP45" s="5015">
        <v>2.1466799999999999</v>
      </c>
      <c r="AQ45" s="3758"/>
      <c r="AR45" s="5018">
        <v>1.965938</v>
      </c>
      <c r="AT45" s="26" t="s">
        <v>3417</v>
      </c>
      <c r="AV45" s="5018">
        <v>2.1466799999999999</v>
      </c>
      <c r="AW45" s="5018">
        <v>2.1459999999999999</v>
      </c>
      <c r="AX45" s="3758"/>
      <c r="AY45" s="476">
        <f>AW45/AV45</f>
        <v>0.99968323178116902</v>
      </c>
      <c r="BA45" s="5018">
        <v>1.5489999999999999</v>
      </c>
      <c r="BB45" s="3758"/>
      <c r="BC45" s="5018">
        <v>1.484</v>
      </c>
      <c r="BE45" s="26" t="s">
        <v>3417</v>
      </c>
      <c r="BG45" s="5018">
        <v>1.5489999999999999</v>
      </c>
      <c r="BH45" s="5018">
        <v>1.56995</v>
      </c>
      <c r="BI45" s="3758" t="s">
        <v>3418</v>
      </c>
      <c r="BJ45" s="64">
        <f>BH45/BG45</f>
        <v>1.0135248547449969</v>
      </c>
      <c r="BL45" s="5018">
        <v>1.335151</v>
      </c>
      <c r="BM45" s="57" t="s">
        <v>3419</v>
      </c>
      <c r="BN45" s="5018">
        <v>1.3327720000000001</v>
      </c>
    </row>
    <row r="46" spans="1:66" x14ac:dyDescent="0.35">
      <c r="A46" s="9168"/>
      <c r="B46" s="240"/>
      <c r="C46" s="240" t="s">
        <v>3420</v>
      </c>
      <c r="D46" s="197">
        <v>8</v>
      </c>
      <c r="F46" s="155"/>
      <c r="H46" s="595">
        <f>0.117672+0.044573</f>
        <v>0.162245</v>
      </c>
      <c r="I46" s="594">
        <f>0.106642+0.040188</f>
        <v>0.14683000000000002</v>
      </c>
      <c r="J46" s="3768">
        <f>IF(H46=0,0,I46/H46)</f>
        <v>0.90498936793121521</v>
      </c>
      <c r="L46" s="595">
        <f>0.298037</f>
        <v>0.298037</v>
      </c>
      <c r="M46" s="1352">
        <f>0.066+0.2745</f>
        <v>0.34050000000000002</v>
      </c>
      <c r="O46" s="2747">
        <v>0.10299999999999999</v>
      </c>
      <c r="P46" s="5017">
        <v>0.26357399999999997</v>
      </c>
      <c r="Q46" s="57" t="s">
        <v>3421</v>
      </c>
      <c r="R46" s="64"/>
      <c r="T46" s="4987">
        <v>0.243037</v>
      </c>
      <c r="U46" s="3758"/>
      <c r="V46" s="5018">
        <v>0.14940300000000001</v>
      </c>
      <c r="X46" s="26" t="s">
        <v>3422</v>
      </c>
      <c r="Z46" s="4987">
        <v>0.243037</v>
      </c>
      <c r="AA46" s="5018">
        <v>0.14940300000000001</v>
      </c>
      <c r="AB46" s="3758"/>
      <c r="AC46" s="64">
        <f t="shared" si="14"/>
        <v>0.61473355908771099</v>
      </c>
      <c r="AE46" s="5015">
        <v>1.9</v>
      </c>
      <c r="AF46" s="3758"/>
      <c r="AG46" s="5018">
        <f>AE46*AC46</f>
        <v>1.1679937622666507</v>
      </c>
      <c r="AI46" s="26" t="s">
        <v>3422</v>
      </c>
      <c r="AK46" s="5015">
        <v>1.9</v>
      </c>
      <c r="AL46" s="642">
        <v>1.1679937622666507</v>
      </c>
      <c r="AM46" s="3758"/>
      <c r="AN46" s="64">
        <f t="shared" si="15"/>
        <v>0.61473355908771099</v>
      </c>
      <c r="AP46" s="5015">
        <v>0.22894900000000001</v>
      </c>
      <c r="AQ46" s="3758"/>
      <c r="AR46" s="5018">
        <v>0.21507200000000001</v>
      </c>
      <c r="AT46" s="26" t="s">
        <v>3422</v>
      </c>
      <c r="AV46" s="5018">
        <v>0.22894900000000001</v>
      </c>
      <c r="AW46" s="5018">
        <v>0.22800000000000001</v>
      </c>
      <c r="AX46" s="3758"/>
      <c r="AY46" s="476">
        <f>AW46/AV46</f>
        <v>0.9958549720680151</v>
      </c>
      <c r="BA46" s="5018">
        <v>0.222</v>
      </c>
      <c r="BB46" s="3758"/>
      <c r="BC46" s="5018">
        <v>0.218</v>
      </c>
      <c r="BE46" s="26" t="s">
        <v>3422</v>
      </c>
      <c r="BG46" s="5018">
        <v>0.222</v>
      </c>
      <c r="BH46" s="5018">
        <v>0.21303800000000001</v>
      </c>
      <c r="BI46" s="3758"/>
      <c r="BJ46" s="64">
        <f>BH46/BG46</f>
        <v>0.95963063063063059</v>
      </c>
      <c r="BL46" s="5018">
        <v>0.11812499999999999</v>
      </c>
      <c r="BM46" s="4971" t="s">
        <v>3423</v>
      </c>
      <c r="BN46" s="5018">
        <v>0.11812499999999999</v>
      </c>
    </row>
    <row r="47" spans="1:66" x14ac:dyDescent="0.35">
      <c r="A47" s="9168"/>
      <c r="B47" s="240"/>
      <c r="C47" s="240" t="s">
        <v>3424</v>
      </c>
      <c r="D47" s="197">
        <v>9</v>
      </c>
      <c r="F47" s="155"/>
      <c r="H47" s="595">
        <v>0</v>
      </c>
      <c r="I47" s="594">
        <v>0</v>
      </c>
      <c r="J47" s="3768">
        <f t="shared" si="13"/>
        <v>0</v>
      </c>
      <c r="L47" s="595">
        <v>6</v>
      </c>
      <c r="M47" s="1352">
        <v>16</v>
      </c>
      <c r="O47" s="2747">
        <v>6</v>
      </c>
      <c r="P47" s="5017">
        <v>12</v>
      </c>
      <c r="Q47" s="57" t="s">
        <v>3425</v>
      </c>
      <c r="R47" s="64"/>
      <c r="T47" s="4987">
        <v>0</v>
      </c>
      <c r="U47" s="3758"/>
      <c r="V47" s="5018">
        <v>0</v>
      </c>
      <c r="X47" s="26" t="s">
        <v>3426</v>
      </c>
      <c r="Z47" s="4987">
        <v>0</v>
      </c>
      <c r="AA47" s="5018">
        <v>0</v>
      </c>
      <c r="AB47" s="3758"/>
      <c r="AC47" s="64"/>
      <c r="AE47" s="5015"/>
      <c r="AF47" s="3758"/>
      <c r="AG47" s="5018"/>
      <c r="AI47" s="26" t="s">
        <v>3426</v>
      </c>
      <c r="AK47" s="5015"/>
      <c r="AL47" s="642"/>
      <c r="AM47" s="3758"/>
      <c r="AN47" s="64"/>
      <c r="AP47" s="5015"/>
      <c r="AQ47" s="3758"/>
      <c r="AR47" s="5018"/>
      <c r="AT47" s="26" t="s">
        <v>3426</v>
      </c>
      <c r="AV47" s="5018"/>
      <c r="AW47" s="5018"/>
      <c r="AX47" s="3758"/>
      <c r="AY47" s="476"/>
      <c r="BA47" s="7052"/>
      <c r="BB47" s="3758"/>
      <c r="BC47" s="5018"/>
      <c r="BE47" s="26" t="s">
        <v>3426</v>
      </c>
      <c r="BG47" s="5018"/>
      <c r="BH47" s="5018"/>
      <c r="BI47" s="3758"/>
      <c r="BJ47" s="64"/>
      <c r="BL47" s="8141"/>
      <c r="BM47" s="3758"/>
      <c r="BN47" s="5018"/>
    </row>
    <row r="48" spans="1:66" x14ac:dyDescent="0.35">
      <c r="A48" s="9168"/>
      <c r="B48" s="240"/>
      <c r="C48" s="240" t="s">
        <v>3427</v>
      </c>
      <c r="D48" s="197"/>
      <c r="F48" s="155"/>
      <c r="H48" s="595">
        <v>0.94190200000000002</v>
      </c>
      <c r="I48" s="594">
        <v>0.85350499999999996</v>
      </c>
      <c r="J48" s="3768">
        <f t="shared" si="13"/>
        <v>0.90615053370732834</v>
      </c>
      <c r="L48" s="595">
        <v>1.188113</v>
      </c>
      <c r="M48" s="1352">
        <v>1.1160890000000001</v>
      </c>
      <c r="O48" s="2747">
        <v>1.188113</v>
      </c>
      <c r="P48" s="5017">
        <v>1.104806</v>
      </c>
      <c r="Q48" s="57" t="s">
        <v>3428</v>
      </c>
      <c r="R48" s="64"/>
      <c r="T48" s="4987">
        <v>1.146277</v>
      </c>
      <c r="U48" s="3758"/>
      <c r="V48" s="5018">
        <v>1.156946</v>
      </c>
      <c r="X48" s="26" t="s">
        <v>3429</v>
      </c>
      <c r="Z48" s="4987">
        <v>1.146277</v>
      </c>
      <c r="AA48" s="5018">
        <v>1.156946</v>
      </c>
      <c r="AB48" s="3758"/>
      <c r="AC48" s="64">
        <f t="shared" si="14"/>
        <v>1.0093075233996669</v>
      </c>
      <c r="AE48" s="5015">
        <v>1.4445060000000001</v>
      </c>
      <c r="AF48" s="3758"/>
      <c r="AG48" s="5018">
        <f>AE48*AC48</f>
        <v>1.4579507733959594</v>
      </c>
      <c r="AI48" s="26" t="s">
        <v>3429</v>
      </c>
      <c r="AK48" s="5015">
        <v>1.4445060000000001</v>
      </c>
      <c r="AL48" s="642">
        <v>1.27077</v>
      </c>
      <c r="AM48" s="3758"/>
      <c r="AN48" s="64">
        <f t="shared" ref="AN48" si="16">AL48/AK48</f>
        <v>0.87972635627681706</v>
      </c>
      <c r="AP48" s="5015">
        <v>1.0770690000000001</v>
      </c>
      <c r="AQ48" s="3758"/>
      <c r="AR48" s="5018">
        <v>1.0174700000000001</v>
      </c>
      <c r="AT48" s="26" t="s">
        <v>3429</v>
      </c>
      <c r="AV48" s="5018">
        <v>1.0770690000000001</v>
      </c>
      <c r="AW48" s="5018">
        <v>1.077</v>
      </c>
      <c r="AX48" s="3758"/>
      <c r="AY48" s="476">
        <f>AW48/AV48</f>
        <v>0.99993593725193086</v>
      </c>
      <c r="BA48" s="5018">
        <v>1.2303059999999999</v>
      </c>
      <c r="BB48" s="3758"/>
      <c r="BC48" s="5018">
        <v>1.1867669999999999</v>
      </c>
      <c r="BE48" s="26" t="s">
        <v>3429</v>
      </c>
      <c r="BG48" s="5018">
        <v>1.2303059999999999</v>
      </c>
      <c r="BH48" s="5018">
        <v>1.133</v>
      </c>
      <c r="BI48" s="3758" t="s">
        <v>3430</v>
      </c>
      <c r="BJ48" s="64">
        <f>BH48/BG48</f>
        <v>0.92090910716520935</v>
      </c>
      <c r="BL48" s="5018">
        <v>0.81100000000000005</v>
      </c>
      <c r="BM48" s="4971" t="s">
        <v>3431</v>
      </c>
      <c r="BN48" s="5018">
        <v>0.81</v>
      </c>
    </row>
    <row r="49" spans="1:66" x14ac:dyDescent="0.35">
      <c r="A49" s="9168"/>
      <c r="B49" s="240"/>
      <c r="C49" s="240" t="s">
        <v>538</v>
      </c>
      <c r="D49" s="197"/>
      <c r="F49" s="155"/>
      <c r="H49" s="595"/>
      <c r="I49" s="115"/>
      <c r="J49" s="64">
        <f t="shared" si="13"/>
        <v>0</v>
      </c>
      <c r="L49" s="117"/>
      <c r="M49" s="157">
        <f t="shared" ref="M49:M50" si="17">L49*J49</f>
        <v>0</v>
      </c>
      <c r="O49" s="117"/>
      <c r="P49" s="3273"/>
      <c r="Q49" s="57"/>
      <c r="R49" s="64"/>
      <c r="T49" s="200"/>
      <c r="U49" s="106"/>
      <c r="V49" s="201"/>
      <c r="X49" s="26"/>
      <c r="Z49" s="200"/>
      <c r="AA49" s="201"/>
      <c r="AB49" s="106"/>
      <c r="AC49" s="64"/>
      <c r="AE49" s="5015"/>
      <c r="AF49" s="106"/>
      <c r="AG49" s="201"/>
      <c r="AI49" s="26"/>
      <c r="AK49" s="5015"/>
      <c r="AL49" s="201"/>
      <c r="AM49" s="106"/>
      <c r="AN49" s="64"/>
      <c r="AP49" s="5015"/>
      <c r="AQ49" s="106"/>
      <c r="AR49" s="201"/>
      <c r="AT49" s="26"/>
      <c r="AV49" s="201"/>
      <c r="AW49" s="201"/>
      <c r="AX49" s="106"/>
      <c r="AY49" s="476"/>
      <c r="BA49" s="7052"/>
      <c r="BB49" s="106"/>
      <c r="BC49" s="201"/>
      <c r="BE49" s="26"/>
      <c r="BG49" s="201"/>
      <c r="BH49" s="201"/>
      <c r="BI49" s="106"/>
      <c r="BJ49" s="64"/>
      <c r="BL49" s="8141"/>
      <c r="BM49" s="106"/>
      <c r="BN49" s="201"/>
    </row>
    <row r="50" spans="1:66" x14ac:dyDescent="0.35">
      <c r="A50" s="9168"/>
      <c r="B50" s="241"/>
      <c r="C50" s="241" t="s">
        <v>539</v>
      </c>
      <c r="D50" s="209"/>
      <c r="F50" s="130"/>
      <c r="H50" s="602"/>
      <c r="I50" s="132"/>
      <c r="J50" s="133">
        <f t="shared" si="13"/>
        <v>0</v>
      </c>
      <c r="L50" s="242"/>
      <c r="M50" s="157">
        <f t="shared" si="17"/>
        <v>0</v>
      </c>
      <c r="O50" s="131"/>
      <c r="P50" s="132"/>
      <c r="Q50" s="216"/>
      <c r="R50" s="133"/>
      <c r="T50" s="164"/>
      <c r="U50" s="106"/>
      <c r="V50" s="244"/>
      <c r="X50" s="26"/>
      <c r="Z50" s="164"/>
      <c r="AA50" s="244"/>
      <c r="AB50" s="106"/>
      <c r="AC50" s="133"/>
      <c r="AE50" s="5012"/>
      <c r="AF50" s="106"/>
      <c r="AG50" s="244"/>
      <c r="AI50" s="26"/>
      <c r="AK50" s="5012"/>
      <c r="AL50" s="244"/>
      <c r="AM50" s="106"/>
      <c r="AN50" s="133"/>
      <c r="AP50" s="5012"/>
      <c r="AQ50" s="106"/>
      <c r="AR50" s="244"/>
      <c r="AT50" s="26"/>
      <c r="AV50" s="244"/>
      <c r="AW50" s="244"/>
      <c r="AX50" s="106"/>
      <c r="AY50" s="484"/>
      <c r="BA50" s="7050"/>
      <c r="BB50" s="106"/>
      <c r="BC50" s="244"/>
      <c r="BE50" s="26"/>
      <c r="BG50" s="244"/>
      <c r="BH50" s="244"/>
      <c r="BI50" s="106"/>
      <c r="BJ50" s="133"/>
      <c r="BL50" s="8139"/>
      <c r="BM50" s="106"/>
      <c r="BN50" s="244"/>
    </row>
    <row r="51" spans="1:66" x14ac:dyDescent="0.35">
      <c r="A51" s="9168"/>
      <c r="B51" s="271" t="s">
        <v>540</v>
      </c>
      <c r="C51" s="271"/>
      <c r="D51" s="184"/>
      <c r="E51" s="141"/>
      <c r="F51" s="227"/>
      <c r="G51" s="141"/>
      <c r="H51" s="1361"/>
      <c r="I51" s="645"/>
      <c r="J51" s="267"/>
      <c r="K51" s="141"/>
      <c r="L51" s="102"/>
      <c r="M51" s="268"/>
      <c r="N51" s="141"/>
      <c r="O51" s="245"/>
      <c r="P51" s="106"/>
      <c r="Q51" s="106"/>
      <c r="R51" s="267"/>
      <c r="S51" s="141"/>
      <c r="T51" s="102"/>
      <c r="U51" s="103"/>
      <c r="V51" s="103"/>
      <c r="W51" s="141"/>
      <c r="X51" s="18"/>
      <c r="Z51" s="102"/>
      <c r="AA51" s="103"/>
      <c r="AB51" s="103"/>
      <c r="AC51" s="267"/>
      <c r="AD51" s="141"/>
      <c r="AE51" s="102"/>
      <c r="AF51" s="103"/>
      <c r="AG51" s="103"/>
      <c r="AH51" s="141"/>
      <c r="AI51" s="18"/>
      <c r="AK51" s="102"/>
      <c r="AL51" s="103"/>
      <c r="AM51" s="103"/>
      <c r="AN51" s="267"/>
      <c r="AO51" s="141"/>
      <c r="AP51" s="102"/>
      <c r="AQ51" s="103"/>
      <c r="AR51" s="103"/>
      <c r="AS51" s="141"/>
      <c r="AT51" s="18"/>
      <c r="AV51" s="103"/>
      <c r="AW51" s="103"/>
      <c r="AX51" s="103"/>
      <c r="AY51" s="518"/>
      <c r="AZ51" s="141"/>
      <c r="BA51" s="102"/>
      <c r="BB51" s="103"/>
      <c r="BC51" s="103"/>
      <c r="BD51" s="141"/>
      <c r="BE51" s="18"/>
      <c r="BG51" s="103"/>
      <c r="BH51" s="103"/>
      <c r="BI51" s="103"/>
      <c r="BJ51" s="267"/>
      <c r="BK51" s="141"/>
      <c r="BL51" s="102"/>
      <c r="BM51" s="103"/>
      <c r="BN51" s="103"/>
    </row>
    <row r="52" spans="1:66" x14ac:dyDescent="0.35">
      <c r="A52" s="9168"/>
      <c r="B52" s="240"/>
      <c r="C52" s="240" t="s">
        <v>551</v>
      </c>
      <c r="D52" s="197"/>
      <c r="F52" s="1301">
        <v>32.6</v>
      </c>
      <c r="H52" s="593">
        <v>39.799999999999997</v>
      </c>
      <c r="I52" s="636">
        <v>38.700000000000003</v>
      </c>
      <c r="J52" s="64">
        <f>IF(H52=0,0,I52/H52)</f>
        <v>0.97236180904522629</v>
      </c>
      <c r="L52" s="593">
        <v>48</v>
      </c>
      <c r="M52" s="1352">
        <v>48</v>
      </c>
      <c r="O52" s="112"/>
      <c r="P52" s="233"/>
      <c r="Q52" s="106"/>
      <c r="R52" s="64"/>
      <c r="T52" s="1353"/>
      <c r="U52" s="645"/>
      <c r="V52" s="642"/>
      <c r="X52" s="26"/>
      <c r="Z52" s="1353"/>
      <c r="AA52" s="642">
        <v>44.991084999999998</v>
      </c>
      <c r="AB52" s="645"/>
      <c r="AC52" s="64"/>
      <c r="AE52" s="4990">
        <v>50.234712000000002</v>
      </c>
      <c r="AF52" s="645"/>
      <c r="AG52" s="642">
        <f>AE52</f>
        <v>50.234712000000002</v>
      </c>
      <c r="AI52" s="26" t="s">
        <v>3432</v>
      </c>
      <c r="AK52" s="4990">
        <v>50.234712000000002</v>
      </c>
      <c r="AL52" s="642">
        <v>50.234712000000002</v>
      </c>
      <c r="AM52" s="645"/>
      <c r="AN52" s="64"/>
      <c r="AP52" s="4990">
        <v>42.034157</v>
      </c>
      <c r="AQ52" s="645"/>
      <c r="AR52" s="642">
        <v>40.180315999999998</v>
      </c>
      <c r="AT52" s="26" t="s">
        <v>3432</v>
      </c>
      <c r="AV52" s="642">
        <v>42.034157</v>
      </c>
      <c r="AW52" s="642">
        <v>40.180315999999998</v>
      </c>
      <c r="AX52" s="645"/>
      <c r="AY52" s="476">
        <f>AW52/AV52</f>
        <v>0.95589679602709765</v>
      </c>
      <c r="BA52" s="642">
        <v>46.367942999999997</v>
      </c>
      <c r="BB52" s="645"/>
      <c r="BC52" s="642">
        <v>42.694502999999997</v>
      </c>
      <c r="BE52" s="26" t="s">
        <v>3432</v>
      </c>
      <c r="BG52" s="642">
        <v>46.367942999999997</v>
      </c>
      <c r="BH52" s="642">
        <v>46.825377000000003</v>
      </c>
      <c r="BI52" s="4040" t="s">
        <v>3409</v>
      </c>
      <c r="BJ52" s="64">
        <f>BH52/BG52</f>
        <v>1.0098653071584394</v>
      </c>
      <c r="BL52" s="642">
        <v>51.726654000000003</v>
      </c>
      <c r="BM52" s="645"/>
      <c r="BN52" s="642">
        <v>51.726654000000003</v>
      </c>
    </row>
    <row r="53" spans="1:66" x14ac:dyDescent="0.35">
      <c r="A53" s="9168"/>
      <c r="B53" s="240"/>
      <c r="C53" s="240" t="s">
        <v>533</v>
      </c>
      <c r="D53" s="197"/>
      <c r="F53" s="155"/>
      <c r="H53" s="117"/>
      <c r="I53" s="115"/>
      <c r="J53" s="64">
        <f>IF(H53=0,0,I53/H53)</f>
        <v>0</v>
      </c>
      <c r="L53" s="117"/>
      <c r="M53" s="157">
        <f>L53*J53</f>
        <v>0</v>
      </c>
      <c r="O53" s="117"/>
      <c r="P53" s="201"/>
      <c r="Q53" s="106"/>
      <c r="R53" s="64"/>
      <c r="T53" s="200"/>
      <c r="U53" s="106"/>
      <c r="V53" s="201"/>
      <c r="X53" s="26"/>
      <c r="Z53" s="200"/>
      <c r="AA53" s="201">
        <v>1.020419</v>
      </c>
      <c r="AB53" s="106"/>
      <c r="AC53" s="64"/>
      <c r="AE53" s="5015">
        <v>1.0564880000000001</v>
      </c>
      <c r="AF53" s="106"/>
      <c r="AG53" s="642">
        <f t="shared" ref="AG53:AG57" si="18">AE53</f>
        <v>1.0564880000000001</v>
      </c>
      <c r="AI53" s="26" t="s">
        <v>3432</v>
      </c>
      <c r="AK53" s="5015">
        <v>1.0564880000000001</v>
      </c>
      <c r="AL53" s="201">
        <v>1.0564880000000001</v>
      </c>
      <c r="AM53" s="106"/>
      <c r="AN53" s="64"/>
      <c r="AP53" s="5015"/>
      <c r="AQ53" s="106"/>
      <c r="AR53" s="642"/>
      <c r="AT53" s="26"/>
      <c r="AV53" s="642">
        <v>1.0564880000000001</v>
      </c>
      <c r="AW53" s="642">
        <v>1.057253</v>
      </c>
      <c r="AX53" s="106"/>
      <c r="AY53" s="476"/>
      <c r="BA53" s="642">
        <v>1.0502320000000001</v>
      </c>
      <c r="BB53" s="106"/>
      <c r="BC53" s="642">
        <v>1.06864</v>
      </c>
      <c r="BE53" s="26"/>
      <c r="BG53" s="642">
        <v>1.0502320000000001</v>
      </c>
      <c r="BH53" s="642">
        <v>1.2546120000000001</v>
      </c>
      <c r="BI53" s="313" t="s">
        <v>3433</v>
      </c>
      <c r="BJ53" s="64"/>
      <c r="BL53" s="642">
        <v>0.98158299999999998</v>
      </c>
      <c r="BM53" s="57" t="s">
        <v>3419</v>
      </c>
      <c r="BN53" s="642">
        <v>0.98158299999999998</v>
      </c>
    </row>
    <row r="54" spans="1:66" x14ac:dyDescent="0.35">
      <c r="A54" s="9168"/>
      <c r="B54" s="240"/>
      <c r="C54" s="240" t="s">
        <v>534</v>
      </c>
      <c r="D54" s="197"/>
      <c r="F54" s="163"/>
      <c r="H54" s="242"/>
      <c r="I54" s="243"/>
      <c r="J54" s="64">
        <f>IF(H54=0,0,I54/H54)</f>
        <v>0</v>
      </c>
      <c r="L54" s="242"/>
      <c r="M54" s="157">
        <f>L54*J54</f>
        <v>0</v>
      </c>
      <c r="O54" s="242"/>
      <c r="P54" s="233"/>
      <c r="Q54" s="106"/>
      <c r="R54" s="64"/>
      <c r="T54" s="164"/>
      <c r="U54" s="106"/>
      <c r="V54" s="244"/>
      <c r="X54" s="26"/>
      <c r="Z54" s="164"/>
      <c r="AA54" s="244">
        <v>0.94946299999999995</v>
      </c>
      <c r="AB54" s="106"/>
      <c r="AC54" s="64"/>
      <c r="AE54" s="5012">
        <v>1.150328</v>
      </c>
      <c r="AF54" s="106"/>
      <c r="AG54" s="642">
        <f t="shared" si="18"/>
        <v>1.150328</v>
      </c>
      <c r="AI54" s="26" t="s">
        <v>3432</v>
      </c>
      <c r="AK54" s="5012">
        <v>1.150328</v>
      </c>
      <c r="AL54" s="244">
        <v>1.150328</v>
      </c>
      <c r="AM54" s="106"/>
      <c r="AN54" s="64"/>
      <c r="AP54" s="5012"/>
      <c r="AQ54" s="106"/>
      <c r="AR54" s="642"/>
      <c r="AT54" s="26"/>
      <c r="AV54" s="244"/>
      <c r="AW54" s="244"/>
      <c r="AX54" s="106"/>
      <c r="AY54" s="476"/>
      <c r="BA54" s="7050"/>
      <c r="BB54" s="106"/>
      <c r="BC54" s="642"/>
      <c r="BE54" s="26"/>
      <c r="BG54" s="244"/>
      <c r="BH54" s="244"/>
      <c r="BI54" s="106"/>
      <c r="BJ54" s="64"/>
      <c r="BL54" s="8139"/>
      <c r="BM54" s="106"/>
      <c r="BN54" s="642"/>
    </row>
    <row r="55" spans="1:66" x14ac:dyDescent="0.35">
      <c r="A55" s="9168"/>
      <c r="B55" s="240"/>
      <c r="C55" s="240" t="s">
        <v>536</v>
      </c>
      <c r="D55" s="197"/>
      <c r="F55" s="163"/>
      <c r="H55" s="242"/>
      <c r="I55" s="243"/>
      <c r="J55" s="64">
        <f>IF(H55=0,0,I55/H55)</f>
        <v>0</v>
      </c>
      <c r="L55" s="242"/>
      <c r="M55" s="157">
        <f>L55*J55</f>
        <v>0</v>
      </c>
      <c r="O55" s="242"/>
      <c r="P55" s="201"/>
      <c r="Q55" s="106"/>
      <c r="R55" s="64"/>
      <c r="T55" s="164"/>
      <c r="U55" s="106"/>
      <c r="V55" s="244"/>
      <c r="X55" s="26"/>
      <c r="Z55" s="164"/>
      <c r="AA55" s="244"/>
      <c r="AB55" s="106"/>
      <c r="AC55" s="64"/>
      <c r="AE55" s="5012"/>
      <c r="AF55" s="106"/>
      <c r="AG55" s="642"/>
      <c r="AI55" s="26"/>
      <c r="AK55" s="5012"/>
      <c r="AL55" s="244"/>
      <c r="AM55" s="106"/>
      <c r="AN55" s="64"/>
      <c r="AP55" s="5012"/>
      <c r="AQ55" s="106"/>
      <c r="AR55" s="642"/>
      <c r="AT55" s="26"/>
      <c r="AV55" s="244"/>
      <c r="AW55" s="244"/>
      <c r="AX55" s="106"/>
      <c r="AY55" s="476"/>
      <c r="BA55" s="7050"/>
      <c r="BB55" s="106"/>
      <c r="BC55" s="642"/>
      <c r="BE55" s="26"/>
      <c r="BG55" s="244"/>
      <c r="BH55" s="244"/>
      <c r="BI55" s="106"/>
      <c r="BJ55" s="64"/>
      <c r="BL55" s="8139"/>
      <c r="BM55" s="106"/>
      <c r="BN55" s="642"/>
    </row>
    <row r="56" spans="1:66" x14ac:dyDescent="0.35">
      <c r="A56" s="9168"/>
      <c r="B56" s="240"/>
      <c r="C56" s="240" t="s">
        <v>537</v>
      </c>
      <c r="D56" s="197"/>
      <c r="F56" s="163"/>
      <c r="H56" s="242"/>
      <c r="I56" s="243"/>
      <c r="J56" s="64">
        <f>IF(H56=0,0,I56/H56)</f>
        <v>0</v>
      </c>
      <c r="L56" s="242"/>
      <c r="M56" s="157">
        <f>L56*J56</f>
        <v>0</v>
      </c>
      <c r="O56" s="242"/>
      <c r="P56" s="233"/>
      <c r="Q56" s="106"/>
      <c r="R56" s="64"/>
      <c r="T56" s="164"/>
      <c r="U56" s="106"/>
      <c r="V56" s="244"/>
      <c r="X56" s="26"/>
      <c r="Z56" s="164"/>
      <c r="AA56" s="244"/>
      <c r="AB56" s="106"/>
      <c r="AC56" s="64"/>
      <c r="AE56" s="5012"/>
      <c r="AF56" s="106"/>
      <c r="AG56" s="642"/>
      <c r="AI56" s="26"/>
      <c r="AK56" s="5012"/>
      <c r="AL56" s="244"/>
      <c r="AM56" s="106"/>
      <c r="AN56" s="64"/>
      <c r="AP56" s="5012"/>
      <c r="AQ56" s="106"/>
      <c r="AR56" s="642"/>
      <c r="AT56" s="26"/>
      <c r="AV56" s="244"/>
      <c r="AW56" s="244"/>
      <c r="AX56" s="106"/>
      <c r="AY56" s="476"/>
      <c r="BA56" s="7050"/>
      <c r="BB56" s="106"/>
      <c r="BC56" s="642"/>
      <c r="BE56" s="26"/>
      <c r="BG56" s="244"/>
      <c r="BH56" s="244"/>
      <c r="BI56" s="106"/>
      <c r="BJ56" s="64"/>
      <c r="BL56" s="8139"/>
      <c r="BM56" s="106"/>
      <c r="BN56" s="642"/>
    </row>
    <row r="57" spans="1:66" x14ac:dyDescent="0.35">
      <c r="A57" s="9168"/>
      <c r="B57" s="240"/>
      <c r="C57" s="240" t="s">
        <v>538</v>
      </c>
      <c r="D57" s="197"/>
      <c r="F57" s="163"/>
      <c r="H57" s="242"/>
      <c r="I57" s="243"/>
      <c r="J57" s="64"/>
      <c r="L57" s="242"/>
      <c r="M57" s="157"/>
      <c r="O57" s="242"/>
      <c r="P57" s="201"/>
      <c r="Q57" s="106"/>
      <c r="R57" s="64"/>
      <c r="T57" s="164"/>
      <c r="U57" s="106"/>
      <c r="V57" s="244"/>
      <c r="X57" s="26"/>
      <c r="Z57" s="164"/>
      <c r="AA57" s="244">
        <v>0.64967699999999995</v>
      </c>
      <c r="AB57" s="106"/>
      <c r="AC57" s="64"/>
      <c r="AE57" s="5012">
        <v>0.76353400000000005</v>
      </c>
      <c r="AF57" s="106"/>
      <c r="AG57" s="642">
        <f t="shared" si="18"/>
        <v>0.76353400000000005</v>
      </c>
      <c r="AI57" s="26" t="s">
        <v>3432</v>
      </c>
      <c r="AK57" s="5012">
        <v>0.76353400000000005</v>
      </c>
      <c r="AL57" s="244">
        <v>0.76353400000000005</v>
      </c>
      <c r="AM57" s="106"/>
      <c r="AN57" s="64"/>
      <c r="AP57" s="5012"/>
      <c r="AQ57" s="106"/>
      <c r="AR57" s="642"/>
      <c r="AT57" s="26"/>
      <c r="AV57" s="244"/>
      <c r="AW57" s="244"/>
      <c r="AX57" s="106"/>
      <c r="AY57" s="476"/>
      <c r="BA57" s="7050"/>
      <c r="BB57" s="106"/>
      <c r="BC57" s="642"/>
      <c r="BE57" s="26"/>
      <c r="BG57" s="244"/>
      <c r="BH57" s="244"/>
      <c r="BI57" s="106"/>
      <c r="BJ57" s="64"/>
      <c r="BL57" s="8139"/>
      <c r="BM57" s="106"/>
      <c r="BN57" s="642"/>
    </row>
    <row r="58" spans="1:66" x14ac:dyDescent="0.35">
      <c r="A58" s="9168"/>
      <c r="B58" s="240"/>
      <c r="C58" s="240" t="s">
        <v>539</v>
      </c>
      <c r="D58" s="197"/>
      <c r="F58" s="163"/>
      <c r="H58" s="242"/>
      <c r="I58" s="243"/>
      <c r="J58" s="64">
        <f>IF(H58=0,0,I58/H58)</f>
        <v>0</v>
      </c>
      <c r="L58" s="242"/>
      <c r="M58" s="157">
        <f>L58*J58</f>
        <v>0</v>
      </c>
      <c r="O58" s="242"/>
      <c r="P58" s="201"/>
      <c r="Q58" s="106"/>
      <c r="R58" s="64"/>
      <c r="T58" s="164"/>
      <c r="U58" s="106"/>
      <c r="V58" s="244"/>
      <c r="X58" s="26"/>
      <c r="Z58" s="164"/>
      <c r="AA58" s="244"/>
      <c r="AB58" s="106"/>
      <c r="AC58" s="64"/>
      <c r="AE58" s="5012"/>
      <c r="AF58" s="106"/>
      <c r="AG58" s="244"/>
      <c r="AI58" s="26"/>
      <c r="AK58" s="5012"/>
      <c r="AL58" s="244"/>
      <c r="AM58" s="106"/>
      <c r="AN58" s="64"/>
      <c r="AP58" s="5012"/>
      <c r="AQ58" s="106"/>
      <c r="AR58" s="244"/>
      <c r="AT58" s="26"/>
      <c r="AV58" s="244"/>
      <c r="AW58" s="244"/>
      <c r="AX58" s="106"/>
      <c r="AY58" s="476"/>
      <c r="BA58" s="7050"/>
      <c r="BB58" s="106"/>
      <c r="BC58" s="244"/>
      <c r="BE58" s="26"/>
      <c r="BG58" s="244"/>
      <c r="BH58" s="244"/>
      <c r="BI58" s="106"/>
      <c r="BJ58" s="64"/>
      <c r="BL58" s="8139"/>
      <c r="BM58" s="106"/>
      <c r="BN58" s="244"/>
    </row>
    <row r="59" spans="1:66" x14ac:dyDescent="0.35">
      <c r="A59" s="9168"/>
      <c r="B59" s="250"/>
      <c r="C59" s="250" t="s">
        <v>704</v>
      </c>
      <c r="D59" s="209"/>
      <c r="F59" s="130"/>
      <c r="H59" s="242"/>
      <c r="I59" s="243"/>
      <c r="J59" s="64">
        <f>IF(H59=0,0,I59/H59)</f>
        <v>0</v>
      </c>
      <c r="L59" s="242"/>
      <c r="M59" s="157">
        <f>L59*J59</f>
        <v>0</v>
      </c>
      <c r="O59" s="242"/>
      <c r="P59" s="201"/>
      <c r="Q59" s="216"/>
      <c r="R59" s="64"/>
      <c r="T59" s="164"/>
      <c r="U59" s="106"/>
      <c r="V59" s="244"/>
      <c r="X59" s="24"/>
      <c r="Z59" s="164"/>
      <c r="AA59" s="244"/>
      <c r="AB59" s="106"/>
      <c r="AC59" s="64"/>
      <c r="AE59" s="5012"/>
      <c r="AF59" s="106"/>
      <c r="AG59" s="244"/>
      <c r="AI59" s="24"/>
      <c r="AK59" s="5012"/>
      <c r="AL59" s="244"/>
      <c r="AM59" s="106"/>
      <c r="AN59" s="64"/>
      <c r="AP59" s="5012"/>
      <c r="AQ59" s="106"/>
      <c r="AR59" s="244"/>
      <c r="AT59" s="24"/>
      <c r="AV59" s="244"/>
      <c r="AW59" s="244"/>
      <c r="AX59" s="106"/>
      <c r="AY59" s="476"/>
      <c r="BA59" s="7050"/>
      <c r="BB59" s="106"/>
      <c r="BC59" s="244"/>
      <c r="BE59" s="24"/>
      <c r="BG59" s="244"/>
      <c r="BH59" s="244"/>
      <c r="BI59" s="106"/>
      <c r="BJ59" s="64"/>
      <c r="BL59" s="8139"/>
      <c r="BM59" s="106"/>
      <c r="BN59" s="244"/>
    </row>
    <row r="60" spans="1:66" x14ac:dyDescent="0.35">
      <c r="A60" s="9168"/>
      <c r="B60" s="271" t="s">
        <v>552</v>
      </c>
      <c r="C60" s="271"/>
      <c r="D60" s="184"/>
      <c r="E60" s="143"/>
      <c r="F60" s="227"/>
      <c r="G60" s="143"/>
      <c r="H60" s="102"/>
      <c r="I60" s="103"/>
      <c r="J60" s="228"/>
      <c r="K60" s="143"/>
      <c r="L60" s="102"/>
      <c r="M60" s="268"/>
      <c r="N60" s="143"/>
      <c r="O60" s="3274"/>
      <c r="P60" s="3275"/>
      <c r="Q60" s="3276"/>
      <c r="R60" s="3277"/>
      <c r="S60" s="143"/>
      <c r="T60" s="102"/>
      <c r="U60" s="103"/>
      <c r="V60" s="103"/>
      <c r="W60" s="143"/>
      <c r="X60" s="18"/>
      <c r="Z60" s="102"/>
      <c r="AA60" s="103"/>
      <c r="AB60" s="103"/>
      <c r="AC60" s="3277"/>
      <c r="AD60" s="143"/>
      <c r="AE60" s="102"/>
      <c r="AF60" s="103"/>
      <c r="AG60" s="103"/>
      <c r="AH60" s="143"/>
      <c r="AI60" s="18"/>
      <c r="AK60" s="102"/>
      <c r="AL60" s="103"/>
      <c r="AM60" s="103"/>
      <c r="AN60" s="3277"/>
      <c r="AO60" s="143"/>
      <c r="AP60" s="102"/>
      <c r="AQ60" s="103"/>
      <c r="AR60" s="103"/>
      <c r="AS60" s="143"/>
      <c r="AT60" s="18"/>
      <c r="AV60" s="7054"/>
      <c r="AW60" s="103"/>
      <c r="AX60" s="103"/>
      <c r="AY60" s="3277"/>
      <c r="AZ60" s="143"/>
      <c r="BA60" s="102"/>
      <c r="BB60" s="103"/>
      <c r="BC60" s="103"/>
      <c r="BD60" s="143"/>
      <c r="BE60" s="18"/>
      <c r="BG60" s="7054"/>
      <c r="BH60" s="103"/>
      <c r="BI60" s="103"/>
      <c r="BJ60" s="3277"/>
      <c r="BK60" s="143"/>
      <c r="BL60" s="102"/>
      <c r="BM60" s="103"/>
      <c r="BN60" s="103"/>
    </row>
    <row r="61" spans="1:66" x14ac:dyDescent="0.35">
      <c r="A61" s="9168"/>
      <c r="B61" s="272"/>
      <c r="C61" s="272" t="s">
        <v>980</v>
      </c>
      <c r="D61" s="197"/>
      <c r="F61" s="155"/>
      <c r="H61" s="117"/>
      <c r="I61" s="115"/>
      <c r="J61" s="64">
        <f>IF(H61=0,0,I61/H61)</f>
        <v>0</v>
      </c>
      <c r="L61" s="117"/>
      <c r="M61" s="157">
        <f>M29*M64</f>
        <v>0</v>
      </c>
      <c r="O61" s="117"/>
      <c r="P61" s="201"/>
      <c r="Q61" s="106"/>
      <c r="R61" s="64"/>
      <c r="T61" s="200"/>
      <c r="U61" s="106"/>
      <c r="V61" s="201"/>
      <c r="X61" s="26"/>
      <c r="Z61" s="200"/>
      <c r="AA61" s="201"/>
      <c r="AB61" s="106"/>
      <c r="AC61" s="64"/>
      <c r="AE61" s="200"/>
      <c r="AF61" s="106"/>
      <c r="AG61" s="201"/>
      <c r="AI61" s="26"/>
      <c r="AK61" s="200"/>
      <c r="AL61" s="201"/>
      <c r="AM61" s="106"/>
      <c r="AN61" s="64"/>
      <c r="AP61" s="200"/>
      <c r="AQ61" s="106"/>
      <c r="AR61" s="201"/>
      <c r="AT61" s="26"/>
      <c r="AV61" s="3255"/>
      <c r="AW61" s="201"/>
      <c r="AX61" s="106"/>
      <c r="AY61" s="476"/>
      <c r="BA61" s="200"/>
      <c r="BB61" s="106"/>
      <c r="BC61" s="201"/>
      <c r="BE61" s="26"/>
      <c r="BG61" s="3255"/>
      <c r="BH61" s="201"/>
      <c r="BI61" s="106"/>
      <c r="BJ61" s="64"/>
      <c r="BL61" s="200"/>
      <c r="BM61" s="106"/>
      <c r="BN61" s="201"/>
    </row>
    <row r="62" spans="1:66" x14ac:dyDescent="0.35">
      <c r="A62" s="9168"/>
      <c r="B62" s="274"/>
      <c r="C62" s="275" t="s">
        <v>11</v>
      </c>
      <c r="D62" s="197"/>
      <c r="F62" s="163"/>
      <c r="H62" s="242"/>
      <c r="I62" s="243"/>
      <c r="J62" s="64"/>
      <c r="L62" s="242"/>
      <c r="M62" s="157"/>
      <c r="O62" s="242"/>
      <c r="P62" s="201"/>
      <c r="Q62" s="106"/>
      <c r="R62" s="64"/>
      <c r="T62" s="164"/>
      <c r="U62" s="106"/>
      <c r="V62" s="244"/>
      <c r="X62" s="26"/>
      <c r="Z62" s="164"/>
      <c r="AA62" s="244"/>
      <c r="AB62" s="106"/>
      <c r="AC62" s="64"/>
      <c r="AE62" s="164"/>
      <c r="AF62" s="106"/>
      <c r="AG62" s="244"/>
      <c r="AI62" s="26"/>
      <c r="AK62" s="164"/>
      <c r="AL62" s="244"/>
      <c r="AM62" s="106"/>
      <c r="AN62" s="64"/>
      <c r="AP62" s="164"/>
      <c r="AQ62" s="106"/>
      <c r="AR62" s="244"/>
      <c r="AT62" s="26"/>
      <c r="AV62" s="7055"/>
      <c r="AW62" s="244"/>
      <c r="AX62" s="106"/>
      <c r="AY62" s="476"/>
      <c r="BA62" s="164"/>
      <c r="BB62" s="106"/>
      <c r="BC62" s="244"/>
      <c r="BE62" s="26"/>
      <c r="BG62" s="7055"/>
      <c r="BH62" s="244"/>
      <c r="BI62" s="106"/>
      <c r="BJ62" s="64"/>
      <c r="BL62" s="164"/>
      <c r="BM62" s="106"/>
      <c r="BN62" s="244"/>
    </row>
    <row r="63" spans="1:66" x14ac:dyDescent="0.35">
      <c r="A63" s="9168"/>
      <c r="B63" s="274"/>
      <c r="C63" s="275" t="s">
        <v>933</v>
      </c>
      <c r="D63" s="197"/>
      <c r="F63" s="163"/>
      <c r="H63" s="242"/>
      <c r="I63" s="243"/>
      <c r="J63" s="64"/>
      <c r="L63" s="242"/>
      <c r="M63" s="157"/>
      <c r="O63" s="242"/>
      <c r="P63" s="201"/>
      <c r="Q63" s="106"/>
      <c r="R63" s="64"/>
      <c r="T63" s="164"/>
      <c r="U63" s="106"/>
      <c r="V63" s="244"/>
      <c r="X63" s="26"/>
      <c r="Z63" s="164"/>
      <c r="AA63" s="244"/>
      <c r="AB63" s="106"/>
      <c r="AC63" s="64"/>
      <c r="AE63" s="164"/>
      <c r="AF63" s="106"/>
      <c r="AG63" s="244"/>
      <c r="AI63" s="26"/>
      <c r="AK63" s="164"/>
      <c r="AL63" s="244"/>
      <c r="AM63" s="106"/>
      <c r="AN63" s="64"/>
      <c r="AP63" s="164"/>
      <c r="AQ63" s="106"/>
      <c r="AR63" s="244"/>
      <c r="AT63" s="26"/>
      <c r="AV63" s="7055"/>
      <c r="AW63" s="244"/>
      <c r="AX63" s="106"/>
      <c r="AY63" s="476"/>
      <c r="BA63" s="164"/>
      <c r="BB63" s="106"/>
      <c r="BC63" s="244"/>
      <c r="BE63" s="26"/>
      <c r="BG63" s="7055"/>
      <c r="BH63" s="244"/>
      <c r="BI63" s="106"/>
      <c r="BJ63" s="64"/>
      <c r="BL63" s="164"/>
      <c r="BM63" s="106"/>
      <c r="BN63" s="244"/>
    </row>
    <row r="64" spans="1:66" x14ac:dyDescent="0.35">
      <c r="A64" s="9168"/>
      <c r="B64" s="277"/>
      <c r="C64" s="277" t="s">
        <v>555</v>
      </c>
      <c r="D64" s="209"/>
      <c r="F64" s="665"/>
      <c r="G64" s="666"/>
      <c r="H64" s="283"/>
      <c r="I64" s="667"/>
      <c r="J64" s="133"/>
      <c r="L64" s="283"/>
      <c r="M64" s="668"/>
      <c r="O64" s="283"/>
      <c r="P64" s="201"/>
      <c r="Q64" s="284"/>
      <c r="R64" s="133"/>
      <c r="T64" s="3284"/>
      <c r="U64" s="284"/>
      <c r="V64" s="5019"/>
      <c r="X64" s="24"/>
      <c r="Z64" s="3284"/>
      <c r="AA64" s="5019"/>
      <c r="AB64" s="284"/>
      <c r="AC64" s="133"/>
      <c r="AE64" s="3284"/>
      <c r="AF64" s="284"/>
      <c r="AG64" s="5019"/>
      <c r="AI64" s="24"/>
      <c r="AK64" s="3284"/>
      <c r="AL64" s="5019"/>
      <c r="AM64" s="284"/>
      <c r="AN64" s="133"/>
      <c r="AP64" s="3284"/>
      <c r="AQ64" s="284"/>
      <c r="AR64" s="5019"/>
      <c r="AT64" s="24"/>
      <c r="AV64" s="7056"/>
      <c r="AW64" s="5019"/>
      <c r="AX64" s="3329"/>
      <c r="AY64" s="484"/>
      <c r="BA64" s="3284"/>
      <c r="BB64" s="3329"/>
      <c r="BC64" s="5019"/>
      <c r="BE64" s="24"/>
      <c r="BG64" s="7056"/>
      <c r="BH64" s="5019"/>
      <c r="BI64" s="284"/>
      <c r="BJ64" s="133"/>
      <c r="BL64" s="3284"/>
      <c r="BM64" s="284"/>
      <c r="BN64" s="5019"/>
    </row>
    <row r="65" spans="1:66" ht="15.25" customHeight="1" x14ac:dyDescent="0.35">
      <c r="A65" s="9168"/>
      <c r="B65" s="287" t="s">
        <v>556</v>
      </c>
      <c r="C65" s="288"/>
      <c r="D65" s="184"/>
      <c r="E65" s="143"/>
      <c r="F65" s="289"/>
      <c r="G65" s="290"/>
      <c r="H65" s="291"/>
      <c r="I65" s="292"/>
      <c r="J65" s="293"/>
      <c r="L65" s="291"/>
      <c r="M65" s="268"/>
      <c r="N65" s="143"/>
      <c r="O65" s="291"/>
      <c r="P65" s="292"/>
      <c r="Q65" s="106"/>
      <c r="R65" s="293"/>
      <c r="S65" s="143"/>
      <c r="T65" s="291"/>
      <c r="U65" s="103"/>
      <c r="V65" s="292"/>
      <c r="W65" s="143"/>
      <c r="X65" s="18"/>
      <c r="Z65" s="291"/>
      <c r="AA65" s="292"/>
      <c r="AB65" s="103"/>
      <c r="AC65" s="293"/>
      <c r="AD65" s="143"/>
      <c r="AE65" s="291"/>
      <c r="AF65" s="103"/>
      <c r="AG65" s="292"/>
      <c r="AH65" s="143"/>
      <c r="AI65" s="18"/>
      <c r="AK65" s="291"/>
      <c r="AL65" s="292"/>
      <c r="AM65" s="103"/>
      <c r="AN65" s="293"/>
      <c r="AO65" s="143"/>
      <c r="AP65" s="291"/>
      <c r="AQ65" s="103"/>
      <c r="AR65" s="292"/>
      <c r="AS65" s="143"/>
      <c r="AT65" s="18"/>
      <c r="AV65" s="7057"/>
      <c r="AW65" s="292"/>
      <c r="AX65" s="103"/>
      <c r="AY65" s="293"/>
      <c r="AZ65" s="143"/>
      <c r="BA65" s="291"/>
      <c r="BB65" s="103"/>
      <c r="BC65" s="292"/>
      <c r="BD65" s="143"/>
      <c r="BE65" s="18"/>
      <c r="BG65" s="7057"/>
      <c r="BH65" s="292"/>
      <c r="BI65" s="103"/>
      <c r="BJ65" s="293"/>
      <c r="BK65" s="143"/>
      <c r="BL65" s="291"/>
      <c r="BM65" s="103"/>
      <c r="BN65" s="292"/>
    </row>
    <row r="66" spans="1:66" x14ac:dyDescent="0.35">
      <c r="A66" s="9168"/>
      <c r="B66" s="302"/>
      <c r="C66" s="59" t="s">
        <v>532</v>
      </c>
      <c r="D66" s="197"/>
      <c r="F66" s="521"/>
      <c r="G66" s="272"/>
      <c r="H66" s="304"/>
      <c r="I66" s="522"/>
      <c r="J66" s="297">
        <f>IF(H66=0,0,I66/H66)</f>
        <v>0</v>
      </c>
      <c r="L66" s="304"/>
      <c r="M66" s="157">
        <f>L66*J66</f>
        <v>0</v>
      </c>
      <c r="O66" s="62"/>
      <c r="P66" s="3287"/>
      <c r="Q66" s="332"/>
      <c r="R66" s="297"/>
      <c r="T66" s="1050"/>
      <c r="U66" s="332"/>
      <c r="V66" s="3185"/>
      <c r="X66" s="26"/>
      <c r="Z66" s="1050"/>
      <c r="AA66" s="3185"/>
      <c r="AB66" s="332"/>
      <c r="AC66" s="297"/>
      <c r="AE66" s="1050"/>
      <c r="AF66" s="332"/>
      <c r="AG66" s="3185"/>
      <c r="AI66" s="26"/>
      <c r="AK66" s="1050"/>
      <c r="AL66" s="3185"/>
      <c r="AM66" s="332"/>
      <c r="AN66" s="297"/>
      <c r="AP66" s="1050"/>
      <c r="AQ66" s="332"/>
      <c r="AR66" s="3185"/>
      <c r="AT66" s="26"/>
      <c r="AV66" s="7058"/>
      <c r="AW66" s="3185"/>
      <c r="AX66" s="332"/>
      <c r="AY66" s="523"/>
      <c r="BA66" s="1050"/>
      <c r="BB66" s="332"/>
      <c r="BC66" s="3185"/>
      <c r="BE66" s="26"/>
      <c r="BG66" s="7058"/>
      <c r="BH66" s="3185"/>
      <c r="BI66" s="332"/>
      <c r="BJ66" s="297"/>
      <c r="BL66" s="1050"/>
      <c r="BM66" s="332"/>
      <c r="BN66" s="3185"/>
    </row>
    <row r="67" spans="1:66" x14ac:dyDescent="0.35">
      <c r="A67" s="9168"/>
      <c r="B67" s="302"/>
      <c r="C67" s="59" t="s">
        <v>533</v>
      </c>
      <c r="D67" s="197"/>
      <c r="F67" s="61"/>
      <c r="G67" s="272"/>
      <c r="H67" s="62"/>
      <c r="I67" s="63"/>
      <c r="J67" s="297">
        <f>IF(H67=0,0,I67/H67)</f>
        <v>0</v>
      </c>
      <c r="L67" s="62"/>
      <c r="M67" s="157">
        <f>L67*J67</f>
        <v>0</v>
      </c>
      <c r="O67" s="62"/>
      <c r="P67" s="3287"/>
      <c r="Q67" s="106"/>
      <c r="R67" s="297"/>
      <c r="T67" s="71"/>
      <c r="U67" s="106"/>
      <c r="V67" s="74"/>
      <c r="X67" s="26"/>
      <c r="Z67" s="71"/>
      <c r="AA67" s="74"/>
      <c r="AB67" s="106"/>
      <c r="AC67" s="297"/>
      <c r="AE67" s="71"/>
      <c r="AF67" s="106"/>
      <c r="AG67" s="74"/>
      <c r="AI67" s="26"/>
      <c r="AK67" s="71"/>
      <c r="AL67" s="74"/>
      <c r="AM67" s="106"/>
      <c r="AN67" s="297"/>
      <c r="AP67" s="71"/>
      <c r="AQ67" s="106"/>
      <c r="AR67" s="74"/>
      <c r="AT67" s="26"/>
      <c r="AV67" s="3255"/>
      <c r="AW67" s="74"/>
      <c r="AX67" s="106"/>
      <c r="AY67" s="523"/>
      <c r="BA67" s="71"/>
      <c r="BB67" s="106"/>
      <c r="BC67" s="74"/>
      <c r="BE67" s="26"/>
      <c r="BG67" s="3255"/>
      <c r="BH67" s="74"/>
      <c r="BI67" s="106"/>
      <c r="BJ67" s="297"/>
      <c r="BL67" s="71"/>
      <c r="BM67" s="106"/>
      <c r="BN67" s="74"/>
    </row>
    <row r="68" spans="1:66" x14ac:dyDescent="0.35">
      <c r="A68" s="9168"/>
      <c r="B68" s="305"/>
      <c r="C68" s="59" t="s">
        <v>534</v>
      </c>
      <c r="D68" s="197"/>
      <c r="F68" s="61"/>
      <c r="G68" s="272"/>
      <c r="H68" s="62"/>
      <c r="I68" s="63"/>
      <c r="J68" s="297">
        <f>IF(H68=0,0,I68/H68)</f>
        <v>0</v>
      </c>
      <c r="L68" s="62"/>
      <c r="M68" s="157">
        <f>L68*J68</f>
        <v>0</v>
      </c>
      <c r="O68" s="62"/>
      <c r="P68" s="3287"/>
      <c r="Q68" s="106"/>
      <c r="R68" s="297"/>
      <c r="T68" s="71"/>
      <c r="U68" s="106"/>
      <c r="V68" s="74"/>
      <c r="X68" s="26"/>
      <c r="Z68" s="71"/>
      <c r="AA68" s="74"/>
      <c r="AB68" s="106"/>
      <c r="AC68" s="297"/>
      <c r="AE68" s="71"/>
      <c r="AF68" s="106"/>
      <c r="AG68" s="74"/>
      <c r="AI68" s="26"/>
      <c r="AK68" s="71"/>
      <c r="AL68" s="74"/>
      <c r="AM68" s="106"/>
      <c r="AN68" s="297"/>
      <c r="AP68" s="71"/>
      <c r="AQ68" s="106"/>
      <c r="AR68" s="74"/>
      <c r="AT68" s="26"/>
      <c r="AV68" s="3255"/>
      <c r="AW68" s="74"/>
      <c r="AX68" s="106"/>
      <c r="AY68" s="523"/>
      <c r="BA68" s="71"/>
      <c r="BB68" s="106"/>
      <c r="BC68" s="74"/>
      <c r="BE68" s="26"/>
      <c r="BG68" s="3255"/>
      <c r="BH68" s="74"/>
      <c r="BI68" s="106"/>
      <c r="BJ68" s="297"/>
      <c r="BL68" s="71"/>
      <c r="BM68" s="106"/>
      <c r="BN68" s="74"/>
    </row>
    <row r="69" spans="1:66" x14ac:dyDescent="0.35">
      <c r="A69" s="9169"/>
      <c r="B69" s="306"/>
      <c r="C69" s="86" t="s">
        <v>536</v>
      </c>
      <c r="D69" s="209"/>
      <c r="F69" s="88"/>
      <c r="G69" s="274"/>
      <c r="H69" s="89"/>
      <c r="I69" s="90"/>
      <c r="J69" s="307">
        <f>IF(H69=0,0,I69/H69)</f>
        <v>0</v>
      </c>
      <c r="L69" s="89"/>
      <c r="M69" s="213">
        <f>L69*J69</f>
        <v>0</v>
      </c>
      <c r="O69" s="89"/>
      <c r="P69" s="308"/>
      <c r="Q69" s="216"/>
      <c r="R69" s="307"/>
      <c r="T69" s="768"/>
      <c r="U69" s="216"/>
      <c r="V69" s="99"/>
      <c r="X69" s="24"/>
      <c r="Z69" s="768"/>
      <c r="AA69" s="99"/>
      <c r="AB69" s="216"/>
      <c r="AC69" s="307"/>
      <c r="AE69" s="768"/>
      <c r="AF69" s="216"/>
      <c r="AG69" s="99"/>
      <c r="AI69" s="24"/>
      <c r="AK69" s="768"/>
      <c r="AL69" s="99"/>
      <c r="AM69" s="216"/>
      <c r="AN69" s="307"/>
      <c r="AP69" s="768"/>
      <c r="AQ69" s="216"/>
      <c r="AR69" s="99"/>
      <c r="AT69" s="24"/>
      <c r="AV69" s="7059"/>
      <c r="AW69" s="99"/>
      <c r="AX69" s="216"/>
      <c r="AY69" s="527"/>
      <c r="BA69" s="768"/>
      <c r="BB69" s="216"/>
      <c r="BC69" s="99"/>
      <c r="BE69" s="24"/>
      <c r="BG69" s="7059"/>
      <c r="BH69" s="99"/>
      <c r="BI69" s="216"/>
      <c r="BJ69" s="307"/>
      <c r="BL69" s="768"/>
      <c r="BM69" s="216"/>
      <c r="BN69" s="99"/>
    </row>
    <row r="70" spans="1:66" x14ac:dyDescent="0.35">
      <c r="A70" s="310"/>
      <c r="B70" s="310"/>
      <c r="F70" s="106"/>
      <c r="H70" s="106"/>
      <c r="I70" s="106"/>
      <c r="J70" s="311"/>
      <c r="L70" s="106"/>
      <c r="M70" s="312"/>
      <c r="O70" s="106"/>
      <c r="P70" s="106"/>
      <c r="Q70" s="106"/>
      <c r="R70" s="311"/>
      <c r="T70" s="106"/>
      <c r="U70" s="106"/>
      <c r="V70" s="312"/>
      <c r="Z70" s="106"/>
      <c r="AA70" s="312"/>
      <c r="AB70" s="106"/>
      <c r="AC70" s="311"/>
      <c r="AE70" s="106"/>
      <c r="AF70" s="106"/>
      <c r="AG70" s="312"/>
      <c r="AK70" s="106"/>
      <c r="AL70" s="312"/>
      <c r="AM70" s="106"/>
      <c r="AN70" s="311"/>
      <c r="AP70" s="106"/>
      <c r="AQ70" s="106"/>
      <c r="AR70" s="312"/>
      <c r="AV70" s="7060"/>
      <c r="AW70" s="312"/>
      <c r="AX70" s="106"/>
      <c r="AY70" s="558"/>
      <c r="BA70" s="106"/>
      <c r="BB70" s="106"/>
      <c r="BC70" s="312"/>
      <c r="BG70" s="7060"/>
      <c r="BH70" s="312"/>
      <c r="BI70" s="106"/>
      <c r="BJ70" s="311"/>
      <c r="BL70" s="106"/>
      <c r="BM70" s="106"/>
      <c r="BN70" s="312"/>
    </row>
    <row r="71" spans="1:66" x14ac:dyDescent="0.35">
      <c r="A71" s="9159" t="s">
        <v>559</v>
      </c>
      <c r="B71" s="939" t="s">
        <v>560</v>
      </c>
      <c r="C71" s="940"/>
      <c r="D71" s="184"/>
      <c r="F71" s="316"/>
      <c r="G71" s="290"/>
      <c r="H71" s="317"/>
      <c r="I71" s="1687"/>
      <c r="J71" s="293"/>
      <c r="L71" s="317"/>
      <c r="M71" s="268"/>
      <c r="O71" s="317"/>
      <c r="P71" s="1687"/>
      <c r="Q71" s="103"/>
      <c r="R71" s="293"/>
      <c r="T71" s="317"/>
      <c r="U71" s="348"/>
      <c r="V71" s="318"/>
      <c r="Z71" s="317"/>
      <c r="AA71" s="318"/>
      <c r="AB71" s="348"/>
      <c r="AC71" s="293"/>
      <c r="AE71" s="317"/>
      <c r="AF71" s="348"/>
      <c r="AG71" s="318"/>
      <c r="AK71" s="317"/>
      <c r="AL71" s="318"/>
      <c r="AM71" s="348"/>
      <c r="AN71" s="293"/>
      <c r="AP71" s="317"/>
      <c r="AQ71" s="348"/>
      <c r="AR71" s="318"/>
      <c r="AV71" s="7057"/>
      <c r="AW71" s="318"/>
      <c r="AX71" s="348"/>
      <c r="AY71" s="293"/>
      <c r="BA71" s="317"/>
      <c r="BB71" s="348"/>
      <c r="BC71" s="318"/>
      <c r="BG71" s="7057"/>
      <c r="BH71" s="318"/>
      <c r="BI71" s="348"/>
      <c r="BJ71" s="293"/>
      <c r="BL71" s="317"/>
      <c r="BM71" s="348"/>
      <c r="BN71" s="318"/>
    </row>
    <row r="72" spans="1:66" x14ac:dyDescent="0.35">
      <c r="A72" s="9160"/>
      <c r="B72" s="944"/>
      <c r="C72" s="945"/>
      <c r="D72" s="197"/>
      <c r="F72" s="327"/>
      <c r="G72" s="272"/>
      <c r="H72" s="325"/>
      <c r="I72" s="946"/>
      <c r="J72" s="297">
        <f t="shared" ref="J72:J80" si="19">IF(H72=0,0,I72/H72)</f>
        <v>0</v>
      </c>
      <c r="L72" s="325"/>
      <c r="M72" s="157">
        <f t="shared" ref="M72:M80" si="20">L72*J72</f>
        <v>0</v>
      </c>
      <c r="O72" s="330"/>
      <c r="P72" s="947"/>
      <c r="Q72" s="332"/>
      <c r="R72" s="297"/>
      <c r="T72" s="330"/>
      <c r="V72" s="328"/>
      <c r="Z72" s="330"/>
      <c r="AA72" s="328"/>
      <c r="AB72"/>
      <c r="AC72" s="297"/>
      <c r="AE72" s="330"/>
      <c r="AG72" s="328"/>
      <c r="AK72" s="330"/>
      <c r="AL72" s="328"/>
      <c r="AM72"/>
      <c r="AN72" s="297"/>
      <c r="AP72" s="330"/>
      <c r="AR72" s="328"/>
      <c r="AV72" s="809"/>
      <c r="AW72" s="328"/>
      <c r="AX72"/>
      <c r="AY72" s="523"/>
      <c r="BA72" s="330"/>
      <c r="BC72" s="328"/>
      <c r="BG72" s="809"/>
      <c r="BH72" s="328"/>
      <c r="BI72"/>
      <c r="BJ72" s="297"/>
      <c r="BL72" s="330"/>
      <c r="BN72" s="328"/>
    </row>
    <row r="73" spans="1:66" x14ac:dyDescent="0.35">
      <c r="A73" s="9160"/>
      <c r="B73" s="944"/>
      <c r="C73" s="945"/>
      <c r="D73" s="197"/>
      <c r="F73" s="336"/>
      <c r="G73" s="272"/>
      <c r="H73" s="330"/>
      <c r="I73" s="948"/>
      <c r="J73" s="297">
        <f t="shared" si="19"/>
        <v>0</v>
      </c>
      <c r="L73" s="330"/>
      <c r="M73" s="157">
        <f t="shared" si="20"/>
        <v>0</v>
      </c>
      <c r="O73" s="330"/>
      <c r="P73" s="338"/>
      <c r="Q73" s="106"/>
      <c r="R73" s="297"/>
      <c r="T73" s="330"/>
      <c r="V73" s="4100"/>
      <c r="Z73" s="330"/>
      <c r="AA73" s="4100"/>
      <c r="AB73"/>
      <c r="AC73" s="297"/>
      <c r="AE73" s="330"/>
      <c r="AG73" s="4100"/>
      <c r="AK73" s="330"/>
      <c r="AL73" s="4100"/>
      <c r="AM73"/>
      <c r="AN73" s="297"/>
      <c r="AP73" s="330"/>
      <c r="AR73" s="4100"/>
      <c r="AV73" s="809"/>
      <c r="AW73" s="4100"/>
      <c r="AX73"/>
      <c r="AY73" s="523"/>
      <c r="BA73" s="330"/>
      <c r="BC73" s="4100"/>
      <c r="BG73" s="809"/>
      <c r="BH73" s="4100"/>
      <c r="BI73"/>
      <c r="BJ73" s="297"/>
      <c r="BL73" s="330"/>
      <c r="BN73" s="4100"/>
    </row>
    <row r="74" spans="1:66" x14ac:dyDescent="0.35">
      <c r="A74" s="9160"/>
      <c r="B74" s="944"/>
      <c r="C74" s="945"/>
      <c r="D74" s="197"/>
      <c r="F74" s="336"/>
      <c r="G74" s="272"/>
      <c r="H74" s="330"/>
      <c r="I74" s="948"/>
      <c r="J74" s="297">
        <f t="shared" si="19"/>
        <v>0</v>
      </c>
      <c r="L74" s="330"/>
      <c r="M74" s="157">
        <f t="shared" si="20"/>
        <v>0</v>
      </c>
      <c r="O74" s="330"/>
      <c r="P74" s="331"/>
      <c r="Q74" s="106"/>
      <c r="R74" s="297"/>
      <c r="T74" s="330"/>
      <c r="V74" s="337"/>
      <c r="Z74" s="330"/>
      <c r="AA74" s="337"/>
      <c r="AB74"/>
      <c r="AC74" s="297"/>
      <c r="AE74" s="330"/>
      <c r="AG74" s="337"/>
      <c r="AK74" s="330"/>
      <c r="AL74" s="337"/>
      <c r="AM74"/>
      <c r="AN74" s="297"/>
      <c r="AP74" s="330"/>
      <c r="AR74" s="337"/>
      <c r="AV74" s="809"/>
      <c r="AW74" s="337"/>
      <c r="AX74"/>
      <c r="AY74" s="523"/>
      <c r="BA74" s="330"/>
      <c r="BC74" s="337"/>
      <c r="BG74" s="809"/>
      <c r="BH74" s="337"/>
      <c r="BI74"/>
      <c r="BJ74" s="297"/>
      <c r="BL74" s="330"/>
      <c r="BN74" s="337"/>
    </row>
    <row r="75" spans="1:66" x14ac:dyDescent="0.35">
      <c r="A75" s="9160"/>
      <c r="B75" s="944"/>
      <c r="C75" s="945"/>
      <c r="D75" s="197"/>
      <c r="F75" s="336"/>
      <c r="G75" s="272"/>
      <c r="H75" s="330"/>
      <c r="I75" s="948"/>
      <c r="J75" s="297">
        <f t="shared" si="19"/>
        <v>0</v>
      </c>
      <c r="L75" s="330"/>
      <c r="M75" s="157">
        <f t="shared" si="20"/>
        <v>0</v>
      </c>
      <c r="O75" s="330"/>
      <c r="P75" s="331"/>
      <c r="Q75" s="106"/>
      <c r="R75" s="297"/>
      <c r="T75" s="330"/>
      <c r="V75" s="337"/>
      <c r="Z75" s="330"/>
      <c r="AA75" s="337"/>
      <c r="AB75"/>
      <c r="AC75" s="297"/>
      <c r="AE75" s="330"/>
      <c r="AG75" s="337"/>
      <c r="AK75" s="330"/>
      <c r="AL75" s="337"/>
      <c r="AM75"/>
      <c r="AN75" s="297"/>
      <c r="AP75" s="330"/>
      <c r="AR75" s="337"/>
      <c r="AV75" s="809"/>
      <c r="AW75" s="337"/>
      <c r="AX75"/>
      <c r="AY75" s="523"/>
      <c r="BA75" s="330"/>
      <c r="BC75" s="337"/>
      <c r="BG75" s="809"/>
      <c r="BH75" s="337"/>
      <c r="BI75"/>
      <c r="BJ75" s="297"/>
      <c r="BL75" s="330"/>
      <c r="BN75" s="337"/>
    </row>
    <row r="76" spans="1:66" x14ac:dyDescent="0.35">
      <c r="A76" s="9160"/>
      <c r="B76" s="944"/>
      <c r="C76" s="945"/>
      <c r="D76" s="197"/>
      <c r="F76" s="336"/>
      <c r="G76" s="272"/>
      <c r="H76" s="330"/>
      <c r="I76" s="948"/>
      <c r="J76" s="297">
        <f t="shared" si="19"/>
        <v>0</v>
      </c>
      <c r="L76" s="330"/>
      <c r="M76" s="157">
        <f t="shared" si="20"/>
        <v>0</v>
      </c>
      <c r="O76" s="330"/>
      <c r="P76" s="331"/>
      <c r="Q76" s="106"/>
      <c r="R76" s="297"/>
      <c r="T76" s="330"/>
      <c r="V76" s="337"/>
      <c r="Z76" s="330"/>
      <c r="AA76" s="337"/>
      <c r="AB76"/>
      <c r="AC76" s="297"/>
      <c r="AE76" s="330"/>
      <c r="AG76" s="337"/>
      <c r="AK76" s="330"/>
      <c r="AL76" s="337"/>
      <c r="AM76"/>
      <c r="AN76" s="297"/>
      <c r="AP76" s="330"/>
      <c r="AR76" s="337"/>
      <c r="AV76" s="809"/>
      <c r="AW76" s="337"/>
      <c r="AX76"/>
      <c r="AY76" s="523"/>
      <c r="BA76" s="330"/>
      <c r="BC76" s="337"/>
      <c r="BG76" s="809"/>
      <c r="BH76" s="337"/>
      <c r="BI76"/>
      <c r="BJ76" s="297"/>
      <c r="BL76" s="330"/>
      <c r="BN76" s="337"/>
    </row>
    <row r="77" spans="1:66" x14ac:dyDescent="0.35">
      <c r="A77" s="9160"/>
      <c r="B77" s="944"/>
      <c r="C77" s="945"/>
      <c r="D77" s="197"/>
      <c r="F77" s="336"/>
      <c r="G77" s="272"/>
      <c r="H77" s="330"/>
      <c r="I77" s="948"/>
      <c r="J77" s="297">
        <f t="shared" si="19"/>
        <v>0</v>
      </c>
      <c r="L77" s="330"/>
      <c r="M77" s="157">
        <f t="shared" si="20"/>
        <v>0</v>
      </c>
      <c r="O77" s="330"/>
      <c r="P77" s="331"/>
      <c r="Q77" s="106"/>
      <c r="R77" s="297"/>
      <c r="T77" s="330"/>
      <c r="V77" s="337"/>
      <c r="Z77" s="330"/>
      <c r="AA77" s="337"/>
      <c r="AB77"/>
      <c r="AC77" s="297"/>
      <c r="AE77" s="330"/>
      <c r="AG77" s="337"/>
      <c r="AK77" s="330"/>
      <c r="AL77" s="337"/>
      <c r="AM77"/>
      <c r="AN77" s="297"/>
      <c r="AP77" s="330"/>
      <c r="AR77" s="337"/>
      <c r="AV77" s="809"/>
      <c r="AW77" s="337"/>
      <c r="AX77"/>
      <c r="AY77" s="523"/>
      <c r="BA77" s="330"/>
      <c r="BC77" s="337"/>
      <c r="BG77" s="809"/>
      <c r="BH77" s="337"/>
      <c r="BI77"/>
      <c r="BJ77" s="297"/>
      <c r="BL77" s="330"/>
      <c r="BN77" s="337"/>
    </row>
    <row r="78" spans="1:66" x14ac:dyDescent="0.35">
      <c r="A78" s="9160"/>
      <c r="B78" s="944"/>
      <c r="C78" s="945"/>
      <c r="D78" s="197"/>
      <c r="F78" s="336"/>
      <c r="G78" s="272"/>
      <c r="H78" s="330"/>
      <c r="I78" s="948"/>
      <c r="J78" s="297">
        <f t="shared" si="19"/>
        <v>0</v>
      </c>
      <c r="L78" s="330"/>
      <c r="M78" s="157">
        <f t="shared" si="20"/>
        <v>0</v>
      </c>
      <c r="O78" s="330"/>
      <c r="P78" s="331"/>
      <c r="Q78" s="106"/>
      <c r="R78" s="297"/>
      <c r="T78" s="330"/>
      <c r="V78" s="337"/>
      <c r="Z78" s="330"/>
      <c r="AA78" s="337"/>
      <c r="AB78"/>
      <c r="AC78" s="297"/>
      <c r="AE78" s="330"/>
      <c r="AG78" s="337"/>
      <c r="AK78" s="330"/>
      <c r="AL78" s="337"/>
      <c r="AM78"/>
      <c r="AN78" s="297"/>
      <c r="AP78" s="330"/>
      <c r="AR78" s="337"/>
      <c r="AV78" s="809"/>
      <c r="AW78" s="337"/>
      <c r="AX78"/>
      <c r="AY78" s="523"/>
      <c r="BA78" s="330"/>
      <c r="BC78" s="337"/>
      <c r="BG78" s="809"/>
      <c r="BH78" s="337"/>
      <c r="BI78"/>
      <c r="BJ78" s="297"/>
      <c r="BL78" s="330"/>
      <c r="BN78" s="337"/>
    </row>
    <row r="79" spans="1:66" x14ac:dyDescent="0.35">
      <c r="A79" s="9160"/>
      <c r="B79" s="944"/>
      <c r="C79" s="945"/>
      <c r="D79" s="197"/>
      <c r="F79" s="336"/>
      <c r="G79" s="272"/>
      <c r="H79" s="330"/>
      <c r="I79" s="948"/>
      <c r="J79" s="297">
        <f t="shared" si="19"/>
        <v>0</v>
      </c>
      <c r="L79" s="330"/>
      <c r="M79" s="157">
        <f t="shared" si="20"/>
        <v>0</v>
      </c>
      <c r="O79" s="330"/>
      <c r="P79" s="331"/>
      <c r="Q79" s="106"/>
      <c r="R79" s="297"/>
      <c r="T79" s="330"/>
      <c r="V79" s="337"/>
      <c r="Z79" s="330"/>
      <c r="AA79" s="337"/>
      <c r="AB79"/>
      <c r="AC79" s="297"/>
      <c r="AE79" s="330"/>
      <c r="AG79" s="337"/>
      <c r="AK79" s="330"/>
      <c r="AL79" s="337"/>
      <c r="AM79"/>
      <c r="AN79" s="297"/>
      <c r="AP79" s="330"/>
      <c r="AR79" s="337"/>
      <c r="AV79" s="809"/>
      <c r="AW79" s="337"/>
      <c r="AX79"/>
      <c r="AY79" s="523"/>
      <c r="BA79" s="330"/>
      <c r="BC79" s="337"/>
      <c r="BG79" s="809"/>
      <c r="BH79" s="337"/>
      <c r="BI79"/>
      <c r="BJ79" s="297"/>
      <c r="BL79" s="330"/>
      <c r="BN79" s="337"/>
    </row>
    <row r="80" spans="1:66" x14ac:dyDescent="0.35">
      <c r="A80" s="9161"/>
      <c r="B80" s="949"/>
      <c r="C80" s="950"/>
      <c r="D80" s="209"/>
      <c r="F80" s="343"/>
      <c r="G80" s="274"/>
      <c r="H80" s="341"/>
      <c r="I80" s="951"/>
      <c r="J80" s="307">
        <f t="shared" si="19"/>
        <v>0</v>
      </c>
      <c r="L80" s="341"/>
      <c r="M80" s="213">
        <f t="shared" si="20"/>
        <v>0</v>
      </c>
      <c r="O80" s="341"/>
      <c r="P80" s="952"/>
      <c r="Q80" s="216"/>
      <c r="R80" s="307"/>
      <c r="T80" s="341"/>
      <c r="U80" s="1696"/>
      <c r="V80" s="342"/>
      <c r="Z80" s="341"/>
      <c r="AA80" s="342"/>
      <c r="AB80" s="1696"/>
      <c r="AC80" s="307"/>
      <c r="AE80" s="341"/>
      <c r="AF80" s="1696"/>
      <c r="AG80" s="342"/>
      <c r="AK80" s="341"/>
      <c r="AL80" s="342"/>
      <c r="AM80" s="1696"/>
      <c r="AN80" s="307"/>
      <c r="AP80" s="341"/>
      <c r="AQ80" s="1696"/>
      <c r="AR80" s="342"/>
      <c r="AV80" s="7061"/>
      <c r="AW80" s="342"/>
      <c r="AX80" s="1696"/>
      <c r="AY80" s="527"/>
      <c r="BA80" s="341"/>
      <c r="BB80" s="1696"/>
      <c r="BC80" s="342"/>
      <c r="BG80" s="7061"/>
      <c r="BH80" s="342"/>
      <c r="BI80" s="1696"/>
      <c r="BJ80" s="307"/>
      <c r="BL80" s="341"/>
      <c r="BM80" s="1696"/>
      <c r="BN80" s="342"/>
    </row>
    <row r="81" spans="1:66" x14ac:dyDescent="0.35">
      <c r="A81" s="310"/>
      <c r="B81" s="310"/>
      <c r="F81" s="106"/>
      <c r="H81" s="106"/>
      <c r="I81" s="106"/>
      <c r="J81" s="311"/>
      <c r="L81" s="106"/>
      <c r="M81" s="312"/>
      <c r="O81" s="106"/>
      <c r="P81" s="106"/>
      <c r="Q81" s="106"/>
      <c r="R81" s="311"/>
      <c r="T81" s="106"/>
      <c r="U81" s="106"/>
      <c r="V81" s="312"/>
      <c r="Z81" s="106"/>
      <c r="AA81" s="312"/>
      <c r="AB81" s="106"/>
      <c r="AC81" s="311"/>
      <c r="AE81" s="106"/>
      <c r="AF81" s="106"/>
      <c r="AG81" s="312"/>
      <c r="AK81" s="106"/>
      <c r="AL81" s="312"/>
      <c r="AM81" s="106"/>
      <c r="AN81" s="311"/>
      <c r="AP81" s="106"/>
      <c r="AQ81" s="106"/>
      <c r="AR81" s="312"/>
      <c r="AV81" s="7060"/>
      <c r="AW81" s="312"/>
      <c r="AX81" s="106"/>
      <c r="AY81" s="558"/>
      <c r="BA81" s="106"/>
      <c r="BB81" s="106"/>
      <c r="BC81" s="312"/>
      <c r="BG81" s="7060"/>
      <c r="BH81" s="312"/>
      <c r="BI81" s="106"/>
      <c r="BJ81" s="311"/>
      <c r="BL81" s="106"/>
      <c r="BM81" s="106"/>
      <c r="BN81" s="312"/>
    </row>
    <row r="82" spans="1:66" x14ac:dyDescent="0.35">
      <c r="A82" s="9167" t="s">
        <v>566</v>
      </c>
      <c r="B82" s="139" t="s">
        <v>567</v>
      </c>
      <c r="C82" s="348"/>
      <c r="D82" s="49"/>
      <c r="E82" s="141"/>
      <c r="F82" s="227"/>
      <c r="G82" s="141"/>
      <c r="H82" s="102"/>
      <c r="I82" s="103"/>
      <c r="J82" s="228"/>
      <c r="K82" s="141"/>
      <c r="L82" s="102"/>
      <c r="M82" s="268"/>
      <c r="N82" s="141"/>
      <c r="O82" s="102"/>
      <c r="P82" s="103"/>
      <c r="Q82" s="103"/>
      <c r="R82" s="228"/>
      <c r="S82" s="141"/>
      <c r="T82" s="102"/>
      <c r="U82" s="103"/>
      <c r="V82" s="268"/>
      <c r="W82" s="141"/>
      <c r="Z82" s="102"/>
      <c r="AA82" s="268"/>
      <c r="AB82" s="103"/>
      <c r="AC82" s="228"/>
      <c r="AD82" s="141"/>
      <c r="AE82" s="102"/>
      <c r="AF82" s="103"/>
      <c r="AG82" s="268"/>
      <c r="AH82" s="141"/>
      <c r="AK82" s="102"/>
      <c r="AL82" s="268"/>
      <c r="AM82" s="103"/>
      <c r="AN82" s="228"/>
      <c r="AO82" s="141"/>
      <c r="AP82" s="102"/>
      <c r="AQ82" s="103"/>
      <c r="AR82" s="268"/>
      <c r="AS82" s="141"/>
      <c r="AV82" s="7054"/>
      <c r="AW82" s="268"/>
      <c r="AX82" s="103"/>
      <c r="AY82" s="228"/>
      <c r="AZ82" s="141"/>
      <c r="BA82" s="102"/>
      <c r="BB82" s="103"/>
      <c r="BC82" s="268"/>
      <c r="BD82" s="141"/>
      <c r="BG82" s="7054"/>
      <c r="BH82" s="268"/>
      <c r="BI82" s="103"/>
      <c r="BJ82" s="228"/>
      <c r="BK82" s="141"/>
      <c r="BL82" s="102"/>
      <c r="BM82" s="103"/>
      <c r="BN82" s="268"/>
    </row>
    <row r="83" spans="1:66" s="1112" customFormat="1" x14ac:dyDescent="0.35">
      <c r="A83" s="9168"/>
      <c r="B83" s="5020"/>
      <c r="D83" s="5021" t="s">
        <v>568</v>
      </c>
      <c r="E83" s="2746"/>
      <c r="F83" s="2953">
        <f>SUM(F35:F38)-SUM(F40:F42)</f>
        <v>47.2</v>
      </c>
      <c r="G83" s="2954"/>
      <c r="H83" s="2955">
        <f t="shared" ref="H83:I83" si="21">SUM(H35:H38)-SUM(H40:H42)</f>
        <v>73.099999999999994</v>
      </c>
      <c r="I83" s="2957">
        <f t="shared" si="21"/>
        <v>68.900000000000006</v>
      </c>
      <c r="J83" s="3865"/>
      <c r="K83" s="2954"/>
      <c r="L83" s="2955">
        <f t="shared" ref="L83:M83" si="22">SUM(L35:L38)-SUM(L40:L42)</f>
        <v>65.599999999999994</v>
      </c>
      <c r="M83" s="2956">
        <f t="shared" si="22"/>
        <v>68.099999999999994</v>
      </c>
      <c r="N83" s="2746"/>
      <c r="O83" s="2955">
        <f>SUM(O35:O38)-SUM(O40:O42)</f>
        <v>65.617461000000006</v>
      </c>
      <c r="P83" s="2957">
        <f>SUM(P35:P38)-SUM(P40:P42)</f>
        <v>68.250754000000001</v>
      </c>
      <c r="Q83" s="2957"/>
      <c r="R83" s="3865"/>
      <c r="S83" s="2746"/>
      <c r="T83" s="2955">
        <f>SUM(T35:T38)-SUM(T40:T42)</f>
        <v>83.832003</v>
      </c>
      <c r="U83" s="2957"/>
      <c r="V83" s="2956">
        <f>SUM(V35:V38)-SUM(V40:V42)</f>
        <v>78.900000000000006</v>
      </c>
      <c r="W83" s="2746"/>
      <c r="Z83" s="2955">
        <f>SUM(Z35:Z38)-SUM(Z40:Z42)</f>
        <v>83.832003</v>
      </c>
      <c r="AA83" s="2956">
        <f>SUM(AA35:AA38)-SUM(AA40:AA42)</f>
        <v>78.900000000000006</v>
      </c>
      <c r="AB83" s="2957"/>
      <c r="AC83" s="3865"/>
      <c r="AD83" s="2746"/>
      <c r="AE83" s="2955">
        <f>SUM(AE35:AE38)-SUM(AE40:AE42)</f>
        <v>86.165512000000007</v>
      </c>
      <c r="AF83" s="2957"/>
      <c r="AG83" s="2956">
        <f>SUM(AG35:AG38)-SUM(AG40:AG42)</f>
        <v>85.159568109546257</v>
      </c>
      <c r="AH83" s="2746"/>
      <c r="AK83" s="2955">
        <f>SUM(AK35:AK38)-SUM(AK40:AK42)</f>
        <v>86.165512000000007</v>
      </c>
      <c r="AL83" s="2956">
        <v>85.159568109546257</v>
      </c>
      <c r="AM83" s="2957"/>
      <c r="AN83" s="3865"/>
      <c r="AO83" s="2746"/>
      <c r="AP83" s="2955">
        <f>SUM(AP35:AP38)-SUM(AP40:AP42)</f>
        <v>81.339550000000003</v>
      </c>
      <c r="AQ83" s="2957"/>
      <c r="AR83" s="2956">
        <f>SUM(AR35:AR38)-SUM(AR40:AR42)</f>
        <v>72.109465999999998</v>
      </c>
      <c r="AS83" s="2746"/>
      <c r="AV83" s="7062">
        <f>SUM(AV35:AV38)-SUM(AV40:AV42)</f>
        <v>81.848121000000006</v>
      </c>
      <c r="AW83" s="2956">
        <f>SUM(AW35:AW38)-SUM(AW40:AW42)</f>
        <v>81.847999999999999</v>
      </c>
      <c r="AX83" s="2957"/>
      <c r="AY83" s="3865"/>
      <c r="AZ83" s="2746"/>
      <c r="BA83" s="2955">
        <f>SUM(BA35:BA38)-SUM(BA40:BA42)</f>
        <v>85.361999999999995</v>
      </c>
      <c r="BB83" s="2957"/>
      <c r="BC83" s="2956">
        <f>SUM(BC35:BC38)-SUM(BC40:BC42)</f>
        <v>75.367000000000004</v>
      </c>
      <c r="BD83" s="2746"/>
      <c r="BG83" s="7062">
        <f>SUM(BG35:BG38)-SUM(BG40:BG42)</f>
        <v>85.361999999999995</v>
      </c>
      <c r="BH83" s="2956">
        <f>SUM(BH35:BH38)-SUM(BH40:BH42)</f>
        <v>74.105446000000001</v>
      </c>
      <c r="BI83" s="2957"/>
      <c r="BJ83" s="3865"/>
      <c r="BK83" s="2746"/>
      <c r="BL83" s="2955">
        <f>SUM(BL35:BL38)-SUM(BL40:BL42)</f>
        <v>71.036524999999997</v>
      </c>
      <c r="BM83" s="2957"/>
      <c r="BN83" s="2956">
        <f>SUM(BN35:BN38)-SUM(BN40:BN42)</f>
        <v>70.907050999999996</v>
      </c>
    </row>
    <row r="84" spans="1:66" s="1112" customFormat="1" x14ac:dyDescent="0.35">
      <c r="A84" s="9168"/>
      <c r="B84" s="5020"/>
      <c r="D84" s="5021" t="s">
        <v>569</v>
      </c>
      <c r="E84" s="2746"/>
      <c r="F84" s="2953">
        <f>SUM(F44:F50)</f>
        <v>0</v>
      </c>
      <c r="G84" s="2954"/>
      <c r="H84" s="2955">
        <f t="shared" ref="H84:I84" si="23">SUM(H44:H50)</f>
        <v>1.104147</v>
      </c>
      <c r="I84" s="2957">
        <f t="shared" si="23"/>
        <v>1.000335</v>
      </c>
      <c r="J84" s="3865"/>
      <c r="K84" s="2954"/>
      <c r="L84" s="2955">
        <f t="shared" ref="L84:M84" si="24">SUM(L44:L50)</f>
        <v>8.6361499999999989</v>
      </c>
      <c r="M84" s="2956">
        <f t="shared" si="24"/>
        <v>18.585813999999999</v>
      </c>
      <c r="N84" s="2746"/>
      <c r="O84" s="2955">
        <f>SUM(O44:O50)</f>
        <v>8.4411129999999996</v>
      </c>
      <c r="P84" s="2957">
        <f>SUM(P44:P50)</f>
        <v>14.497199999999999</v>
      </c>
      <c r="Q84" s="2957"/>
      <c r="R84" s="3865"/>
      <c r="S84" s="2746"/>
      <c r="T84" s="2955">
        <f>SUM(T44:T50)</f>
        <v>2.5393140000000001</v>
      </c>
      <c r="U84" s="2957"/>
      <c r="V84" s="2956">
        <f>SUM(V44:V50)</f>
        <v>2.6439750000000002</v>
      </c>
      <c r="W84" s="2746"/>
      <c r="Z84" s="2955">
        <f>SUM(Z44:Z50)</f>
        <v>2.5393140000000001</v>
      </c>
      <c r="AA84" s="2956">
        <f>SUM(AA44:AA50)</f>
        <v>2.6439750000000002</v>
      </c>
      <c r="AB84" s="2957"/>
      <c r="AC84" s="3865"/>
      <c r="AD84" s="2746"/>
      <c r="AE84" s="2955">
        <f>SUM(AE44:AE50)</f>
        <v>5.6848469999999995</v>
      </c>
      <c r="AF84" s="2957"/>
      <c r="AG84" s="2956">
        <f>SUM(AG44:AG50)</f>
        <v>5.3481192925895664</v>
      </c>
      <c r="AH84" s="2746"/>
      <c r="AK84" s="2955">
        <f>SUM(AK44:AK50)</f>
        <v>5.6848469999999995</v>
      </c>
      <c r="AL84" s="2956">
        <v>5.3481192925895664</v>
      </c>
      <c r="AM84" s="2957"/>
      <c r="AN84" s="3865"/>
      <c r="AO84" s="2746"/>
      <c r="AP84" s="2955">
        <f>SUM(AP44:AP50)</f>
        <v>3.4526979999999998</v>
      </c>
      <c r="AQ84" s="2957"/>
      <c r="AR84" s="2956">
        <f>SUM(AR44:AR50)</f>
        <v>3.19848</v>
      </c>
      <c r="AS84" s="2746"/>
      <c r="AV84" s="7062">
        <f>SUM(AV44:AV50)</f>
        <v>3.4526979999999998</v>
      </c>
      <c r="AW84" s="2956">
        <f>SUM(AW44:AW50)</f>
        <v>3.4510000000000001</v>
      </c>
      <c r="AX84" s="2957"/>
      <c r="AY84" s="3865"/>
      <c r="AZ84" s="2746"/>
      <c r="BA84" s="2955">
        <f>SUM(BA44:BA50)</f>
        <v>3.0013059999999996</v>
      </c>
      <c r="BB84" s="2957"/>
      <c r="BC84" s="2956">
        <f>SUM(BC44:BC50)</f>
        <v>2.8887669999999996</v>
      </c>
      <c r="BD84" s="2746"/>
      <c r="BG84" s="7062">
        <f>SUM(BG44:BG50)</f>
        <v>3.0013059999999996</v>
      </c>
      <c r="BH84" s="2956">
        <f>SUM(BH44:BH50)</f>
        <v>2.915988</v>
      </c>
      <c r="BI84" s="2957"/>
      <c r="BJ84" s="3865"/>
      <c r="BK84" s="2746"/>
      <c r="BL84" s="2955">
        <f>SUM(BL44:BL50)</f>
        <v>2.2642760000000002</v>
      </c>
      <c r="BM84" s="2957"/>
      <c r="BN84" s="2956">
        <f>SUM(BN44:BN50)</f>
        <v>2.2608969999999999</v>
      </c>
    </row>
    <row r="85" spans="1:66" s="1112" customFormat="1" x14ac:dyDescent="0.35">
      <c r="A85" s="9168"/>
      <c r="B85" s="5020"/>
      <c r="D85" s="5021" t="s">
        <v>570</v>
      </c>
      <c r="E85" s="2746"/>
      <c r="F85" s="2953">
        <f>SUM(F52:F59)*F28</f>
        <v>0</v>
      </c>
      <c r="G85" s="2954"/>
      <c r="H85" s="2955">
        <f t="shared" ref="H85:I85" si="25">SUM(H52:H59)*H28</f>
        <v>0</v>
      </c>
      <c r="I85" s="2957">
        <f t="shared" si="25"/>
        <v>0</v>
      </c>
      <c r="J85" s="3865"/>
      <c r="K85" s="2954"/>
      <c r="L85" s="2955">
        <f t="shared" ref="L85:M85" si="26">SUM(L52:L59)*L28</f>
        <v>0</v>
      </c>
      <c r="M85" s="2956">
        <f t="shared" si="26"/>
        <v>0</v>
      </c>
      <c r="N85" s="2746"/>
      <c r="O85" s="2955">
        <f>SUM(O52:O59)*O28</f>
        <v>0</v>
      </c>
      <c r="P85" s="2957">
        <f>SUM(P52:P59)*P28</f>
        <v>0</v>
      </c>
      <c r="Q85" s="2957"/>
      <c r="R85" s="3865"/>
      <c r="S85" s="2746"/>
      <c r="T85" s="2955">
        <f>SUM(T52:T59)*T28</f>
        <v>0</v>
      </c>
      <c r="U85" s="2957"/>
      <c r="V85" s="2956">
        <f>SUM(V52:V59)*V28</f>
        <v>0</v>
      </c>
      <c r="W85" s="2746"/>
      <c r="Z85" s="2955">
        <f>SUM(Z52:Z59)*Z28</f>
        <v>0</v>
      </c>
      <c r="AA85" s="2956">
        <f>SUM(AA52:AA59)*AA28</f>
        <v>0</v>
      </c>
      <c r="AB85" s="2957"/>
      <c r="AC85" s="3865"/>
      <c r="AD85" s="2746"/>
      <c r="AE85" s="2955">
        <f>SUM(AE52:AE59)*AE28</f>
        <v>0.10380117052340017</v>
      </c>
      <c r="AF85" s="2957"/>
      <c r="AG85" s="2956">
        <f>SUM(AG52:AG59)*AG28</f>
        <v>0</v>
      </c>
      <c r="AH85" s="2746"/>
      <c r="AK85" s="2955">
        <f>SUM(AK52:AK59)*AK28</f>
        <v>0.10380117052340017</v>
      </c>
      <c r="AL85" s="2956">
        <v>0</v>
      </c>
      <c r="AM85" s="2957"/>
      <c r="AN85" s="3865"/>
      <c r="AO85" s="2746"/>
      <c r="AP85" s="2955">
        <f>SUM(AP52:AP59)*AP28</f>
        <v>0.10814260581333404</v>
      </c>
      <c r="AQ85" s="2957"/>
      <c r="AR85" s="2956">
        <f>SUM(AR52:AR59)*AR28</f>
        <v>0.1026465390273513</v>
      </c>
      <c r="AS85" s="2746"/>
      <c r="AV85" s="7062">
        <f>SUM(AV52:AV59)*AV28</f>
        <v>0.11082553204904108</v>
      </c>
      <c r="AW85" s="2956">
        <f>SUM(AW52:AW59)*AW28</f>
        <v>0.1053474476345978</v>
      </c>
      <c r="AX85" s="2957"/>
      <c r="AY85" s="3865"/>
      <c r="AZ85" s="2746"/>
      <c r="BA85" s="2955">
        <f>SUM(BA52:BA59)*BA28</f>
        <v>7.1774579488764288E-3</v>
      </c>
      <c r="BB85" s="2957"/>
      <c r="BC85" s="2956">
        <f>SUM(BC52:BC59)*BC28</f>
        <v>0.18010456892470786</v>
      </c>
      <c r="BD85" s="2746"/>
      <c r="BG85" s="7062">
        <f>SUM(BG52:BG59)*BG28</f>
        <v>7.1774579488764288E-3</v>
      </c>
      <c r="BH85" s="2956">
        <f>SUM(BH52:BH59)*BH28</f>
        <v>0.1949196993987149</v>
      </c>
      <c r="BI85" s="2957"/>
      <c r="BJ85" s="3865"/>
      <c r="BK85" s="2746"/>
      <c r="BL85" s="2955">
        <f>SUM(BL52:BL59)*BL28</f>
        <v>0.24381394082537206</v>
      </c>
      <c r="BM85" s="2957"/>
      <c r="BN85" s="2956">
        <f>SUM(BN52:BN59)*BN28</f>
        <v>0.24545643708696416</v>
      </c>
    </row>
    <row r="86" spans="1:66" s="1112" customFormat="1" x14ac:dyDescent="0.35">
      <c r="A86" s="9168"/>
      <c r="B86" s="5020"/>
      <c r="D86" s="5021" t="s">
        <v>552</v>
      </c>
      <c r="E86" s="2746"/>
      <c r="F86" s="2953">
        <f>SUM(F61:F63)</f>
        <v>0</v>
      </c>
      <c r="G86" s="2954"/>
      <c r="H86" s="2955">
        <f t="shared" ref="H86:I86" si="27">SUM(H61:H63)</f>
        <v>0</v>
      </c>
      <c r="I86" s="2957">
        <f t="shared" si="27"/>
        <v>0</v>
      </c>
      <c r="J86" s="3865"/>
      <c r="K86" s="2954"/>
      <c r="L86" s="2955">
        <f t="shared" ref="L86:M86" si="28">SUM(L61:L63)</f>
        <v>0</v>
      </c>
      <c r="M86" s="2956">
        <f t="shared" si="28"/>
        <v>0</v>
      </c>
      <c r="N86" s="2746"/>
      <c r="O86" s="2955">
        <f>SUM(O61:O63)</f>
        <v>0</v>
      </c>
      <c r="P86" s="2957">
        <f>SUM(P61:P63)</f>
        <v>0</v>
      </c>
      <c r="Q86" s="2957"/>
      <c r="R86" s="3865"/>
      <c r="S86" s="2746"/>
      <c r="T86" s="2955">
        <f>SUM(T61:T63)</f>
        <v>0</v>
      </c>
      <c r="U86" s="2957"/>
      <c r="V86" s="2956">
        <f>SUM(V61:V63)</f>
        <v>0</v>
      </c>
      <c r="W86" s="2746"/>
      <c r="Z86" s="2955">
        <f>SUM(Z61:Z63)</f>
        <v>0</v>
      </c>
      <c r="AA86" s="2956">
        <f>SUM(AA61:AA63)</f>
        <v>0</v>
      </c>
      <c r="AB86" s="2957"/>
      <c r="AC86" s="3865"/>
      <c r="AD86" s="2746"/>
      <c r="AE86" s="2955">
        <f>SUM(AE61:AE63)</f>
        <v>0</v>
      </c>
      <c r="AF86" s="2957"/>
      <c r="AG86" s="2956">
        <f>SUM(AG61:AG63)</f>
        <v>0</v>
      </c>
      <c r="AH86" s="2746"/>
      <c r="AK86" s="2955">
        <f>SUM(AK61:AK63)</f>
        <v>0</v>
      </c>
      <c r="AL86" s="2956">
        <v>0</v>
      </c>
      <c r="AM86" s="2957"/>
      <c r="AN86" s="3865"/>
      <c r="AO86" s="2746"/>
      <c r="AP86" s="2955">
        <f>SUM(AP61:AP63)</f>
        <v>0</v>
      </c>
      <c r="AQ86" s="2957"/>
      <c r="AR86" s="2956">
        <f>SUM(AR61:AR63)</f>
        <v>0</v>
      </c>
      <c r="AS86" s="2746"/>
      <c r="AV86" s="7062">
        <f>SUM(AV61:AV63)</f>
        <v>0</v>
      </c>
      <c r="AW86" s="2956">
        <f>SUM(AW61:AW63)</f>
        <v>0</v>
      </c>
      <c r="AX86" s="2957"/>
      <c r="AY86" s="3865"/>
      <c r="AZ86" s="2746"/>
      <c r="BA86" s="2955">
        <f>SUM(BA61:BA63)</f>
        <v>0</v>
      </c>
      <c r="BB86" s="2957"/>
      <c r="BC86" s="2956">
        <f>SUM(BC61:BC63)</f>
        <v>0</v>
      </c>
      <c r="BD86" s="2746"/>
      <c r="BG86" s="7062">
        <f>SUM(BG61:BG63)</f>
        <v>0</v>
      </c>
      <c r="BH86" s="2956">
        <f>SUM(BH61:BH63)</f>
        <v>0</v>
      </c>
      <c r="BI86" s="2957"/>
      <c r="BJ86" s="3865"/>
      <c r="BK86" s="2746"/>
      <c r="BL86" s="2955">
        <f>SUM(BL61:BL63)</f>
        <v>0</v>
      </c>
      <c r="BM86" s="2957"/>
      <c r="BN86" s="2956">
        <f>SUM(BN61:BN63)</f>
        <v>0</v>
      </c>
    </row>
    <row r="87" spans="1:66" s="1112" customFormat="1" x14ac:dyDescent="0.35">
      <c r="A87" s="9168"/>
      <c r="B87" s="5020"/>
      <c r="D87" s="5022" t="s">
        <v>571</v>
      </c>
      <c r="E87" s="2776"/>
      <c r="F87" s="2958">
        <f t="shared" ref="F87" si="29">SUM(F83:F86)</f>
        <v>47.2</v>
      </c>
      <c r="G87" s="2959"/>
      <c r="H87" s="2960">
        <f t="shared" ref="H87:I87" si="30">SUM(H83:H86)</f>
        <v>74.204146999999992</v>
      </c>
      <c r="I87" s="2962">
        <f t="shared" si="30"/>
        <v>69.900335000000013</v>
      </c>
      <c r="J87" s="3869"/>
      <c r="K87" s="2959"/>
      <c r="L87" s="2960">
        <f t="shared" ref="L87:M87" si="31">SUM(L83:L86)</f>
        <v>74.236149999999995</v>
      </c>
      <c r="M87" s="2961">
        <f t="shared" si="31"/>
        <v>86.685813999999993</v>
      </c>
      <c r="N87" s="2776"/>
      <c r="O87" s="2960">
        <f t="shared" ref="O87:P87" si="32">SUM(O83:O86)</f>
        <v>74.058574000000007</v>
      </c>
      <c r="P87" s="2962">
        <f t="shared" si="32"/>
        <v>82.747953999999993</v>
      </c>
      <c r="Q87" s="2962"/>
      <c r="R87" s="3869"/>
      <c r="S87" s="2776"/>
      <c r="T87" s="2960">
        <f t="shared" ref="T87" si="33">SUM(T83:T86)</f>
        <v>86.371317000000005</v>
      </c>
      <c r="U87" s="2962"/>
      <c r="V87" s="2961">
        <f t="shared" ref="V87" si="34">SUM(V83:V86)</f>
        <v>81.543975000000003</v>
      </c>
      <c r="W87" s="2776"/>
      <c r="Z87" s="2960">
        <f t="shared" ref="Z87:AA87" si="35">SUM(Z83:Z86)</f>
        <v>86.371317000000005</v>
      </c>
      <c r="AA87" s="2961">
        <f t="shared" si="35"/>
        <v>81.543975000000003</v>
      </c>
      <c r="AB87" s="2962"/>
      <c r="AC87" s="3869"/>
      <c r="AD87" s="2776"/>
      <c r="AE87" s="2960">
        <f t="shared" ref="AE87" si="36">SUM(AE83:AE86)</f>
        <v>91.954160170523409</v>
      </c>
      <c r="AF87" s="2962"/>
      <c r="AG87" s="2961">
        <f t="shared" ref="AG87" si="37">SUM(AG83:AG86)</f>
        <v>90.507687402135829</v>
      </c>
      <c r="AH87" s="2776"/>
      <c r="AK87" s="2960">
        <f t="shared" ref="AK87" si="38">SUM(AK83:AK86)</f>
        <v>91.954160170523409</v>
      </c>
      <c r="AL87" s="2961">
        <v>90.507687402135829</v>
      </c>
      <c r="AM87" s="2962"/>
      <c r="AN87" s="3869"/>
      <c r="AO87" s="2776"/>
      <c r="AP87" s="2960">
        <f t="shared" ref="AP87" si="39">SUM(AP83:AP86)</f>
        <v>84.900390605813328</v>
      </c>
      <c r="AQ87" s="2962"/>
      <c r="AR87" s="2961">
        <f t="shared" ref="AR87" si="40">SUM(AR83:AR86)</f>
        <v>75.410592539027348</v>
      </c>
      <c r="AS87" s="2776"/>
      <c r="AV87" s="7063">
        <f>SUM(AV83:AV86)</f>
        <v>85.411644532049039</v>
      </c>
      <c r="AW87" s="2961">
        <f>SUM(AW83:AW86)</f>
        <v>85.404347447634592</v>
      </c>
      <c r="AX87" s="2962"/>
      <c r="AY87" s="3869"/>
      <c r="AZ87" s="2776"/>
      <c r="BA87" s="2960">
        <f>SUM(BA83:BA86)</f>
        <v>88.370483457948865</v>
      </c>
      <c r="BB87" s="2962"/>
      <c r="BC87" s="2961">
        <f>SUM(BC83:BC86)</f>
        <v>78.435871568924711</v>
      </c>
      <c r="BD87" s="2776"/>
      <c r="BG87" s="7063">
        <f>SUM(BG83:BG86)</f>
        <v>88.370483457948865</v>
      </c>
      <c r="BH87" s="2961">
        <f>SUM(BH83:BH86)</f>
        <v>77.216353699398709</v>
      </c>
      <c r="BI87" s="2962"/>
      <c r="BJ87" s="3869"/>
      <c r="BK87" s="2776"/>
      <c r="BL87" s="2960">
        <f>SUM(BL83:BL86)</f>
        <v>73.544614940825369</v>
      </c>
      <c r="BM87" s="2962"/>
      <c r="BN87" s="2961">
        <f>SUM(BN83:BN86)</f>
        <v>73.413404437086953</v>
      </c>
    </row>
    <row r="88" spans="1:66" ht="15.5" x14ac:dyDescent="0.35">
      <c r="A88" s="9168"/>
      <c r="B88" s="6082"/>
      <c r="C88"/>
      <c r="D88" s="356" t="s">
        <v>572</v>
      </c>
      <c r="F88" s="366" t="e">
        <f>F87/(F17+F18+F19)</f>
        <v>#DIV/0!</v>
      </c>
      <c r="G88" s="367"/>
      <c r="H88" s="368">
        <f t="shared" ref="H88:I88" si="41">H87/(H17+H18+H19)</f>
        <v>0.13535962604888724</v>
      </c>
      <c r="I88" s="369">
        <f t="shared" si="41"/>
        <v>0.16297583352762884</v>
      </c>
      <c r="J88" s="370"/>
      <c r="K88" s="367"/>
      <c r="L88" s="368">
        <f t="shared" ref="L88:M88" si="42">L87/(L17+L18+L19)</f>
        <v>0.11681534225019669</v>
      </c>
      <c r="M88" s="370">
        <f t="shared" si="42"/>
        <v>0.13785911895674297</v>
      </c>
      <c r="O88" s="368">
        <f>O87/(O17+O18+O19)</f>
        <v>0.11658434660504129</v>
      </c>
      <c r="P88" s="369">
        <f>P87/(P17+P18+P19)</f>
        <v>0.13542466392605867</v>
      </c>
      <c r="Q88" s="369"/>
      <c r="R88" s="370"/>
      <c r="T88" s="5023">
        <f>T87/(T17+T18+T19)</f>
        <v>0.14367975161019303</v>
      </c>
      <c r="U88" s="5024"/>
      <c r="V88" s="5025">
        <f>V87/(V17+V18+V19)</f>
        <v>0.14804075299718303</v>
      </c>
      <c r="Z88" s="5023">
        <f>Z87/(Z17+Z18+Z19)</f>
        <v>0.14367975161019303</v>
      </c>
      <c r="AA88" s="5025">
        <f>AA87/(AA17+AA18+AA19)</f>
        <v>0.14804075299718303</v>
      </c>
      <c r="AB88" s="5024"/>
      <c r="AC88" s="370"/>
      <c r="AE88" s="5023">
        <f>AE87/(AE17+AE18+AE20)</f>
        <v>0.15320482457124032</v>
      </c>
      <c r="AF88" s="5024"/>
      <c r="AG88" s="5025">
        <f>AG87/(AG17+AG18+AG19)</f>
        <v>0.15982809954567875</v>
      </c>
      <c r="AK88" s="5023">
        <f>AK87/(AK17+AK18+AK20)</f>
        <v>0.15320482457124032</v>
      </c>
      <c r="AL88" s="5025">
        <v>0.15982809954567875</v>
      </c>
      <c r="AM88" s="5024"/>
      <c r="AN88" s="370"/>
      <c r="AP88" s="5023">
        <f>AP87/(AP17+AP18+AP20)</f>
        <v>0.16451555450751812</v>
      </c>
      <c r="AQ88" s="5024"/>
      <c r="AR88" s="5025">
        <f>AR87/(AR17+AR18+AR19)</f>
        <v>0.16362127762679923</v>
      </c>
      <c r="AV88" s="7064">
        <f>AV87/(AV17+AV18+AV20)</f>
        <v>0.16550623573487935</v>
      </c>
      <c r="AW88" s="7065">
        <v>0.15982809954567875</v>
      </c>
      <c r="AX88" s="7066"/>
      <c r="AY88" s="563"/>
      <c r="BA88" s="7067">
        <f>BA87/(BA17+BA18+BA20)</f>
        <v>0.16360420376998316</v>
      </c>
      <c r="BB88" s="7066"/>
      <c r="BC88" s="7065">
        <f>BC87/(BC17+BC18+BC19)</f>
        <v>0.16888449744081457</v>
      </c>
      <c r="BG88" s="7064">
        <f>BG87/(BG17+BG18+BG20)</f>
        <v>0.16360420376998316</v>
      </c>
      <c r="BH88" s="5025">
        <f>BH87/(BH17+BH18+BH20)</f>
        <v>0.15030503064716497</v>
      </c>
      <c r="BI88" s="5024"/>
      <c r="BJ88" s="370"/>
      <c r="BL88" s="5023">
        <f>BL87/(BL17+BL18+BL20)</f>
        <v>0.16398854092341109</v>
      </c>
      <c r="BM88" s="5024"/>
      <c r="BN88" s="5025">
        <f>BN87/(BN17+BN18+BN19)</f>
        <v>0.16392680977464855</v>
      </c>
    </row>
    <row r="89" spans="1:66" s="1112" customFormat="1" x14ac:dyDescent="0.35">
      <c r="A89" s="9168"/>
      <c r="B89" s="5026"/>
      <c r="C89" s="5027"/>
      <c r="D89" s="5028" t="s">
        <v>573</v>
      </c>
      <c r="E89" s="5029"/>
      <c r="F89" s="5030"/>
      <c r="G89" s="5031"/>
      <c r="H89" s="5032"/>
      <c r="I89" s="5033"/>
      <c r="J89" s="5034"/>
      <c r="K89" s="5031"/>
      <c r="L89" s="5035"/>
      <c r="M89" s="5036"/>
      <c r="N89" s="2746"/>
      <c r="O89" s="5032"/>
      <c r="P89" s="5033"/>
      <c r="Q89" s="5037"/>
      <c r="R89" s="5034"/>
      <c r="S89" s="2746"/>
      <c r="T89" s="5032">
        <f>T87-T37</f>
        <v>82.371317000000005</v>
      </c>
      <c r="U89" s="5037"/>
      <c r="V89" s="5033">
        <f>V87-V37</f>
        <v>81.543975000000003</v>
      </c>
      <c r="W89" s="2746"/>
      <c r="Z89" s="5032">
        <f>Z87-Z37</f>
        <v>82.371317000000005</v>
      </c>
      <c r="AA89" s="5033">
        <f>AA87-AA37</f>
        <v>81.543975000000003</v>
      </c>
      <c r="AB89" s="5037"/>
      <c r="AC89" s="5034"/>
      <c r="AD89" s="2746"/>
      <c r="AE89" s="5032">
        <f>AE87-AE37</f>
        <v>91.954160170523409</v>
      </c>
      <c r="AF89" s="5037"/>
      <c r="AG89" s="5033">
        <f>AG87-AG37</f>
        <v>90.507687402135829</v>
      </c>
      <c r="AH89" s="2746"/>
      <c r="AK89" s="5032">
        <f>AK87-AK37</f>
        <v>91.954160170523409</v>
      </c>
      <c r="AL89" s="5033">
        <v>90.507687402135829</v>
      </c>
      <c r="AM89" s="5037"/>
      <c r="AN89" s="5034"/>
      <c r="AO89" s="2746"/>
      <c r="AP89" s="5032">
        <f>AP87-AP37</f>
        <v>84.900390605813328</v>
      </c>
      <c r="AQ89" s="5037"/>
      <c r="AR89" s="5033">
        <f>AR87-AR37</f>
        <v>75.410592539027348</v>
      </c>
      <c r="AS89" s="2746"/>
      <c r="AV89" s="7068">
        <f>AV87-AV37</f>
        <v>85.411644532049039</v>
      </c>
      <c r="AW89" s="5033">
        <f>AW87-AW37</f>
        <v>85.404347447634592</v>
      </c>
      <c r="AX89" s="7069"/>
      <c r="AY89" s="7070"/>
      <c r="AZ89" s="2746"/>
      <c r="BA89" s="5032">
        <f>BA87-BA37</f>
        <v>88.370483457948865</v>
      </c>
      <c r="BB89" s="7069"/>
      <c r="BC89" s="5033">
        <f>BC87-BC37</f>
        <v>78.435871568924711</v>
      </c>
      <c r="BD89" s="2746"/>
      <c r="BG89" s="7068"/>
      <c r="BH89" s="5033"/>
      <c r="BI89" s="5037"/>
      <c r="BJ89" s="5034"/>
      <c r="BK89" s="2746"/>
      <c r="BL89" s="5032"/>
      <c r="BM89" s="5037"/>
      <c r="BN89" s="5033"/>
    </row>
    <row r="90" spans="1:66" s="972" customFormat="1" x14ac:dyDescent="0.35">
      <c r="A90" s="9168"/>
      <c r="B90" s="959"/>
      <c r="C90" s="960"/>
      <c r="D90" s="389" t="s">
        <v>574</v>
      </c>
      <c r="E90" s="961"/>
      <c r="F90" s="962"/>
      <c r="G90" s="1467"/>
      <c r="H90" s="964"/>
      <c r="I90" s="965"/>
      <c r="J90" s="1470"/>
      <c r="K90" s="1467"/>
      <c r="L90" s="964"/>
      <c r="M90" s="967"/>
      <c r="N90" s="1467"/>
      <c r="O90" s="964"/>
      <c r="P90" s="965"/>
      <c r="Q90" s="1472"/>
      <c r="R90" s="1470"/>
      <c r="S90" s="1467"/>
      <c r="T90" s="969">
        <f>T37+T39</f>
        <v>4</v>
      </c>
      <c r="U90" s="1474"/>
      <c r="V90" s="967">
        <f>V37+V39</f>
        <v>0</v>
      </c>
      <c r="W90" s="1476"/>
      <c r="Z90" s="969">
        <f>Z37+Z39</f>
        <v>4</v>
      </c>
      <c r="AA90" s="967">
        <f>AA37+AA39</f>
        <v>0</v>
      </c>
      <c r="AB90" s="1474"/>
      <c r="AC90" s="1470"/>
      <c r="AD90" s="1467"/>
      <c r="AE90" s="969">
        <f>AE37+AE39</f>
        <v>0</v>
      </c>
      <c r="AF90" s="1474"/>
      <c r="AG90" s="967">
        <f>AG37+AG39</f>
        <v>0</v>
      </c>
      <c r="AH90" s="1476"/>
      <c r="AK90" s="969">
        <f>AK37+AK39</f>
        <v>0</v>
      </c>
      <c r="AL90" s="967">
        <v>0</v>
      </c>
      <c r="AM90" s="1474"/>
      <c r="AN90" s="1470"/>
      <c r="AO90" s="1467"/>
      <c r="AP90" s="969">
        <f>AP37+AP39</f>
        <v>0</v>
      </c>
      <c r="AQ90" s="1474"/>
      <c r="AR90" s="967">
        <f>AR37+AR39</f>
        <v>0</v>
      </c>
      <c r="AS90" s="1476"/>
      <c r="AV90" s="7071">
        <f>AV37+AV39</f>
        <v>0</v>
      </c>
      <c r="AW90" s="967">
        <f>AW37+AW39</f>
        <v>0</v>
      </c>
      <c r="AX90" s="970"/>
      <c r="AY90" s="966"/>
      <c r="AZ90" s="963"/>
      <c r="BA90" s="969">
        <f>BA37+BA39</f>
        <v>0</v>
      </c>
      <c r="BB90" s="970"/>
      <c r="BC90" s="967">
        <f>BC37+BC39</f>
        <v>0</v>
      </c>
      <c r="BD90" s="971"/>
      <c r="BG90" s="7071"/>
      <c r="BH90" s="967"/>
      <c r="BI90" s="1474"/>
      <c r="BJ90" s="1470"/>
      <c r="BK90" s="1467"/>
      <c r="BL90" s="969"/>
      <c r="BM90" s="1474"/>
      <c r="BN90" s="967"/>
    </row>
    <row r="91" spans="1:66" x14ac:dyDescent="0.35">
      <c r="A91" s="9168"/>
      <c r="B91" s="371"/>
      <c r="C91" s="372"/>
      <c r="D91" s="296" t="s">
        <v>575</v>
      </c>
      <c r="E91" s="374"/>
      <c r="F91" s="1054"/>
      <c r="G91" s="1055"/>
      <c r="H91" s="1056"/>
      <c r="I91" s="953"/>
      <c r="J91" s="1057"/>
      <c r="K91" s="1055"/>
      <c r="L91" s="1203"/>
      <c r="M91" s="1058"/>
      <c r="O91" s="1056"/>
      <c r="P91" s="953"/>
      <c r="Q91" s="1820"/>
      <c r="R91" s="1057"/>
      <c r="T91" s="1056">
        <f>(T87-T89)/(T18+T19)</f>
        <v>3.7104852338828306E-2</v>
      </c>
      <c r="V91" s="953">
        <f>(V87-V89)/(V18+V19)</f>
        <v>0</v>
      </c>
      <c r="Z91" s="1056">
        <f>(Z87-Z89)/(Z18+Z19)</f>
        <v>3.7104852338828306E-2</v>
      </c>
      <c r="AA91" s="953">
        <f>(AA87-AA89)/(AA18+AA19)</f>
        <v>0</v>
      </c>
      <c r="AB91"/>
      <c r="AC91" s="1057"/>
      <c r="AE91" s="1056">
        <f>(AE87-AE89)/(AE18+AE20)</f>
        <v>0</v>
      </c>
      <c r="AG91" s="953">
        <f>(AG87-AG89)/(AG18+AG19)</f>
        <v>0</v>
      </c>
      <c r="AK91" s="1056">
        <f>(AK87-AK89)/(AK18+AK20)</f>
        <v>0</v>
      </c>
      <c r="AL91" s="953">
        <v>0</v>
      </c>
      <c r="AM91"/>
      <c r="AN91" s="1057"/>
      <c r="AP91" s="1056">
        <f>(AP87-AP89)/(AP18+AP20)</f>
        <v>0</v>
      </c>
      <c r="AR91" s="953">
        <f>(AR87-AR89)/(AR18+AR19)</f>
        <v>0</v>
      </c>
      <c r="AV91" s="7072">
        <f>(AV87-AV89)/(AV18+AV20)</f>
        <v>0</v>
      </c>
      <c r="AW91" s="953">
        <f>(AW87-AW89)/(AW18+AW19)</f>
        <v>0</v>
      </c>
      <c r="AX91"/>
      <c r="AY91" s="5419"/>
      <c r="BA91" s="1056">
        <f>(BA87-BA89)/(BA18+BA20)</f>
        <v>0</v>
      </c>
      <c r="BC91" s="953">
        <f>(BC87-BC89)/(BC18+BC19)</f>
        <v>0</v>
      </c>
      <c r="BG91" s="7072"/>
      <c r="BH91" s="953"/>
      <c r="BI91"/>
      <c r="BJ91" s="1057"/>
      <c r="BL91" s="1056"/>
      <c r="BN91" s="953"/>
    </row>
    <row r="92" spans="1:66" x14ac:dyDescent="0.35">
      <c r="A92" s="9168"/>
      <c r="B92" s="371"/>
      <c r="C92" s="372"/>
      <c r="D92" s="296" t="s">
        <v>576</v>
      </c>
      <c r="E92" s="374"/>
      <c r="F92" s="1054"/>
      <c r="G92" s="1055"/>
      <c r="H92" s="1056"/>
      <c r="I92" s="953"/>
      <c r="J92" s="1057"/>
      <c r="K92" s="1055"/>
      <c r="L92" s="1203"/>
      <c r="M92" s="1058"/>
      <c r="O92" s="1056"/>
      <c r="P92" s="953"/>
      <c r="Q92" s="1820"/>
      <c r="R92" s="1057"/>
      <c r="T92" s="1056">
        <f>T89/T17</f>
        <v>0.16696828822228196</v>
      </c>
      <c r="V92" s="953">
        <f>V89/V17</f>
        <v>0.14860392922147073</v>
      </c>
      <c r="Z92" s="1056">
        <f>Z89/Z17</f>
        <v>0.16696828822228196</v>
      </c>
      <c r="AA92" s="953">
        <f>AA89/AA17</f>
        <v>0.14860392922147073</v>
      </c>
      <c r="AB92"/>
      <c r="AC92" s="1057"/>
      <c r="AE92" s="1056">
        <f>AE89/AE17</f>
        <v>0.1811108855867139</v>
      </c>
      <c r="AG92" s="953">
        <f>AG89/AG17</f>
        <v>0.16026514093469207</v>
      </c>
      <c r="AK92" s="1056">
        <f>AK89/AK17</f>
        <v>0.1811108855867139</v>
      </c>
      <c r="AL92" s="953">
        <v>0.16026514093469207</v>
      </c>
      <c r="AM92"/>
      <c r="AN92" s="1057"/>
      <c r="AP92" s="1056">
        <f>AP89/AP17</f>
        <v>0.18096216566554621</v>
      </c>
      <c r="AR92" s="953">
        <f>AR89/AR17</f>
        <v>0.17989382635534146</v>
      </c>
      <c r="AV92" s="7072">
        <f>AV89/AV17</f>
        <v>0.1820518852420577</v>
      </c>
      <c r="AW92" s="953">
        <f>AW89/AW17</f>
        <v>0.21242643168533287</v>
      </c>
      <c r="AX92"/>
      <c r="AY92" s="5419"/>
      <c r="BA92" s="1056">
        <f>BA89/BA17</f>
        <v>0.18357548211504071</v>
      </c>
      <c r="BC92" s="953">
        <f>BC89/BC17</f>
        <v>0.17517821719071336</v>
      </c>
      <c r="BG92" s="7072"/>
      <c r="BH92" s="953"/>
      <c r="BI92"/>
      <c r="BJ92" s="1057"/>
      <c r="BL92" s="1056"/>
      <c r="BN92" s="953"/>
    </row>
    <row r="93" spans="1:66" x14ac:dyDescent="0.35">
      <c r="A93" s="9168"/>
      <c r="B93" s="371"/>
      <c r="C93" s="372"/>
      <c r="D93" s="296"/>
      <c r="E93" s="374"/>
      <c r="F93" s="1054"/>
      <c r="G93" s="1055"/>
      <c r="H93" s="1056"/>
      <c r="I93" s="953"/>
      <c r="J93" s="1057"/>
      <c r="K93" s="1055"/>
      <c r="L93" s="1203"/>
      <c r="M93" s="1058"/>
      <c r="O93" s="1056"/>
      <c r="P93" s="953"/>
      <c r="Q93" s="1820"/>
      <c r="R93" s="1057"/>
      <c r="T93" s="1056"/>
      <c r="V93" s="953"/>
      <c r="Z93" s="1056"/>
      <c r="AA93" s="953"/>
      <c r="AB93"/>
      <c r="AC93" s="1057"/>
      <c r="AE93" s="1056"/>
      <c r="AG93" s="953"/>
      <c r="AK93" s="1056"/>
      <c r="AL93" s="953"/>
      <c r="AM93"/>
      <c r="AN93" s="1057"/>
      <c r="AP93" s="1056"/>
      <c r="AR93" s="953"/>
      <c r="AV93" s="7072"/>
      <c r="AW93" s="953"/>
      <c r="AX93"/>
      <c r="AY93" s="5419"/>
      <c r="BA93" s="1056"/>
      <c r="BC93" s="953"/>
      <c r="BG93" s="7072"/>
      <c r="BH93" s="953"/>
      <c r="BI93"/>
      <c r="BJ93" s="1057"/>
      <c r="BL93" s="1056"/>
      <c r="BN93" s="953"/>
    </row>
    <row r="94" spans="1:66" x14ac:dyDescent="0.35">
      <c r="A94" s="9168"/>
      <c r="B94" s="371"/>
      <c r="C94" s="372"/>
      <c r="D94" s="296" t="s">
        <v>577</v>
      </c>
      <c r="E94" s="374"/>
      <c r="F94" s="1054">
        <f>F87/F12</f>
        <v>9.1817182651999271E-2</v>
      </c>
      <c r="G94" s="1055"/>
      <c r="H94" s="1056">
        <f t="shared" ref="H94:I94" si="43">H87/H12</f>
        <v>0.14223528272953803</v>
      </c>
      <c r="I94" s="953">
        <f t="shared" si="43"/>
        <v>0.14538339226289521</v>
      </c>
      <c r="J94" s="1057"/>
      <c r="K94" s="1055"/>
      <c r="L94" s="1203">
        <f t="shared" ref="L94:M94" si="44">L87/L12</f>
        <v>0.14118704830734116</v>
      </c>
      <c r="M94" s="1058">
        <f t="shared" si="44"/>
        <v>0.14920105679862306</v>
      </c>
      <c r="O94" s="1056">
        <f>O87/O12</f>
        <v>0.1607323698105296</v>
      </c>
      <c r="P94" s="953">
        <f>P87/P12</f>
        <v>0.18938665586392203</v>
      </c>
      <c r="Q94" s="1820"/>
      <c r="R94" s="1057"/>
      <c r="T94" s="1056">
        <f>T87/T12</f>
        <v>0.18232413177293108</v>
      </c>
      <c r="V94" s="953">
        <f>V87/V12</f>
        <v>0.18006561673994217</v>
      </c>
      <c r="Z94" s="1056">
        <f>Z87/Z12</f>
        <v>0.18232413177293108</v>
      </c>
      <c r="AA94" s="953">
        <f>AA87/AA12</f>
        <v>0.18006561673994217</v>
      </c>
      <c r="AB94"/>
      <c r="AC94" s="1057"/>
      <c r="AE94" s="1056">
        <f>AE87/AE12</f>
        <v>0.17516112412451668</v>
      </c>
      <c r="AG94" s="953">
        <f>AG87/AG12</f>
        <v>0.1803499856508741</v>
      </c>
      <c r="AK94" s="1056">
        <f>AK87/AK12</f>
        <v>0.17516112412451668</v>
      </c>
      <c r="AL94" s="953">
        <v>0.1803499856508741</v>
      </c>
      <c r="AM94"/>
      <c r="AN94" s="1057"/>
      <c r="AP94" s="1056">
        <f>AP87/AP12</f>
        <v>0.19080454559019536</v>
      </c>
      <c r="AR94" s="953">
        <f>AR87/AR12</f>
        <v>0.18682358437598129</v>
      </c>
      <c r="AV94" s="7072">
        <f>AV87/AV12</f>
        <v>0.19195353409755717</v>
      </c>
      <c r="AW94" s="953">
        <f>AW87/AW12</f>
        <v>0.20221177988837388</v>
      </c>
      <c r="AX94"/>
      <c r="AY94" s="5419"/>
      <c r="BA94" s="1056">
        <f>BA87/BA12</f>
        <v>0.17457794616293892</v>
      </c>
      <c r="BC94" s="953">
        <f>BC87/BC12</f>
        <v>0.16747062398885615</v>
      </c>
      <c r="BG94" s="7072">
        <f>BG87/BG12</f>
        <v>0.17457794616293892</v>
      </c>
      <c r="BH94" s="953">
        <f>BH87/BH12</f>
        <v>0.16438279817215815</v>
      </c>
      <c r="BI94"/>
      <c r="BJ94" s="1057"/>
      <c r="BL94" s="1056">
        <f>BL87/BL12</f>
        <v>0.15812407669810466</v>
      </c>
      <c r="BN94" s="953">
        <f>BN87/BN12</f>
        <v>0.16871137338406073</v>
      </c>
    </row>
    <row r="95" spans="1:66" x14ac:dyDescent="0.35">
      <c r="A95" s="9168"/>
      <c r="B95" s="58"/>
      <c r="C95" s="390"/>
      <c r="D95" s="59" t="s">
        <v>578</v>
      </c>
      <c r="E95" s="424"/>
      <c r="F95" s="981"/>
      <c r="G95" s="982"/>
      <c r="H95" s="983"/>
      <c r="I95" s="979"/>
      <c r="J95" s="246"/>
      <c r="K95" s="982"/>
      <c r="L95" s="986"/>
      <c r="M95" s="984"/>
      <c r="O95" s="983"/>
      <c r="P95" s="979"/>
      <c r="Q95" s="985"/>
      <c r="R95" s="246"/>
      <c r="T95" s="983"/>
      <c r="V95" s="979"/>
      <c r="Z95" s="983"/>
      <c r="AA95" s="979"/>
      <c r="AB95"/>
      <c r="AC95" s="246"/>
      <c r="AE95" s="983"/>
      <c r="AG95" s="979"/>
      <c r="AK95" s="983"/>
      <c r="AL95" s="979"/>
      <c r="AM95"/>
      <c r="AN95" s="246"/>
      <c r="AP95" s="983"/>
      <c r="AR95" s="979"/>
      <c r="AV95" s="7073"/>
      <c r="AW95" s="979"/>
      <c r="AX95"/>
      <c r="AY95" s="246"/>
      <c r="BA95" s="983"/>
      <c r="BC95" s="979"/>
      <c r="BG95" s="7073"/>
      <c r="BH95" s="979"/>
      <c r="BI95"/>
      <c r="BJ95" s="246"/>
      <c r="BL95" s="983"/>
      <c r="BN95" s="979"/>
    </row>
    <row r="96" spans="1:66" x14ac:dyDescent="0.35">
      <c r="A96" s="9168"/>
      <c r="B96" s="371"/>
      <c r="C96" s="372"/>
      <c r="D96" s="296" t="s">
        <v>579</v>
      </c>
      <c r="E96" s="374"/>
      <c r="F96" s="1054"/>
      <c r="G96" s="1055"/>
      <c r="H96" s="1056"/>
      <c r="I96" s="953"/>
      <c r="J96" s="1057"/>
      <c r="K96" s="1055"/>
      <c r="L96" s="1203"/>
      <c r="M96" s="1058"/>
      <c r="O96" s="1056"/>
      <c r="P96" s="953"/>
      <c r="Q96" s="1820"/>
      <c r="R96" s="1057"/>
      <c r="T96" s="1056"/>
      <c r="V96" s="953"/>
      <c r="Z96" s="1056"/>
      <c r="AA96" s="953"/>
      <c r="AB96"/>
      <c r="AC96" s="1057"/>
      <c r="AE96" s="1056"/>
      <c r="AG96" s="953"/>
      <c r="AK96" s="1056"/>
      <c r="AL96" s="953"/>
      <c r="AM96"/>
      <c r="AN96" s="1057"/>
      <c r="AP96" s="1056"/>
      <c r="AR96" s="953"/>
      <c r="AV96" s="7072"/>
      <c r="AW96" s="953"/>
      <c r="AX96"/>
      <c r="AY96" s="5419"/>
      <c r="BA96" s="1056"/>
      <c r="BC96" s="953"/>
      <c r="BG96" s="7072"/>
      <c r="BH96" s="953"/>
      <c r="BI96"/>
      <c r="BJ96" s="1057"/>
      <c r="BL96" s="1056"/>
      <c r="BN96" s="953"/>
    </row>
    <row r="97" spans="1:66" x14ac:dyDescent="0.35">
      <c r="A97" s="9168"/>
      <c r="B97" s="371"/>
      <c r="C97" s="372"/>
      <c r="D97" s="296"/>
      <c r="E97" s="374"/>
      <c r="F97" s="1054"/>
      <c r="G97" s="1055"/>
      <c r="H97" s="1056"/>
      <c r="I97" s="953"/>
      <c r="J97" s="1057"/>
      <c r="K97" s="1055"/>
      <c r="L97" s="1203"/>
      <c r="M97" s="1058"/>
      <c r="O97" s="1056"/>
      <c r="P97" s="953"/>
      <c r="Q97" s="1820"/>
      <c r="R97" s="1057"/>
      <c r="T97" s="1056"/>
      <c r="V97" s="953"/>
      <c r="Z97" s="1056"/>
      <c r="AA97" s="953"/>
      <c r="AB97"/>
      <c r="AC97" s="1057"/>
      <c r="AE97" s="1056"/>
      <c r="AG97" s="953"/>
      <c r="AK97" s="1056"/>
      <c r="AL97" s="953"/>
      <c r="AM97"/>
      <c r="AN97" s="1057"/>
      <c r="AP97" s="1056"/>
      <c r="AR97" s="953"/>
      <c r="AV97" s="7072"/>
      <c r="AW97" s="953"/>
      <c r="AX97"/>
      <c r="AY97" s="5419"/>
      <c r="BA97" s="1056"/>
      <c r="BC97" s="953"/>
      <c r="BG97" s="7072"/>
      <c r="BH97" s="953"/>
      <c r="BI97"/>
      <c r="BJ97" s="1057"/>
      <c r="BL97" s="1056"/>
      <c r="BN97" s="953"/>
    </row>
    <row r="98" spans="1:66" x14ac:dyDescent="0.35">
      <c r="A98" s="9168"/>
      <c r="B98" s="4906"/>
      <c r="C98" s="4907"/>
      <c r="D98" s="980" t="s">
        <v>580</v>
      </c>
      <c r="F98" s="4908"/>
      <c r="G98" s="1060"/>
      <c r="H98" s="3295"/>
      <c r="I98" s="3296"/>
      <c r="J98" s="1057"/>
      <c r="K98" s="1060"/>
      <c r="L98" s="3297"/>
      <c r="M98" s="5038"/>
      <c r="O98" s="3295"/>
      <c r="P98" s="3296"/>
      <c r="Q98" s="1820"/>
      <c r="R98" s="1057"/>
      <c r="T98" s="3295"/>
      <c r="V98" s="3296"/>
      <c r="Z98" s="3295"/>
      <c r="AA98" s="3296"/>
      <c r="AB98"/>
      <c r="AC98" s="1057"/>
      <c r="AE98" s="3295"/>
      <c r="AG98" s="3296"/>
      <c r="AK98" s="3295"/>
      <c r="AL98" s="3296"/>
      <c r="AM98"/>
      <c r="AN98" s="1057"/>
      <c r="AP98" s="3295"/>
      <c r="AR98" s="3296"/>
      <c r="AV98" s="7074"/>
      <c r="AW98" s="3296"/>
      <c r="AX98"/>
      <c r="AY98" s="5419"/>
      <c r="BA98" s="3295"/>
      <c r="BC98" s="3296"/>
      <c r="BG98" s="7074"/>
      <c r="BH98" s="3296"/>
      <c r="BI98"/>
      <c r="BJ98" s="1057"/>
      <c r="BL98" s="3295"/>
      <c r="BN98" s="3296"/>
    </row>
    <row r="99" spans="1:66" x14ac:dyDescent="0.35">
      <c r="A99" s="9168"/>
      <c r="B99" s="85"/>
      <c r="C99" s="432"/>
      <c r="D99" s="86" t="s">
        <v>581</v>
      </c>
      <c r="E99" s="3659"/>
      <c r="F99" s="4909"/>
      <c r="G99" s="460"/>
      <c r="H99" s="5039"/>
      <c r="I99" s="4911"/>
      <c r="J99" s="3514"/>
      <c r="K99" s="460"/>
      <c r="L99" s="4910"/>
      <c r="M99" s="5040"/>
      <c r="O99" s="1996"/>
      <c r="P99" s="1997"/>
      <c r="Q99" s="1534"/>
      <c r="R99" s="706"/>
      <c r="T99" s="1996"/>
      <c r="U99" s="985"/>
      <c r="V99" s="1997"/>
      <c r="Z99" s="1996"/>
      <c r="AA99" s="1997"/>
      <c r="AB99" s="985"/>
      <c r="AC99" s="706"/>
      <c r="AE99" s="1996"/>
      <c r="AF99" s="985"/>
      <c r="AG99" s="1997"/>
      <c r="AK99" s="1996"/>
      <c r="AL99" s="1997"/>
      <c r="AM99" s="985"/>
      <c r="AN99" s="706"/>
      <c r="AP99" s="1996"/>
      <c r="AQ99" s="985"/>
      <c r="AR99" s="1997"/>
      <c r="AV99" s="7075"/>
      <c r="AW99" s="1997"/>
      <c r="AX99" s="985"/>
      <c r="AY99" s="988"/>
      <c r="BA99" s="1996"/>
      <c r="BB99" s="985"/>
      <c r="BC99" s="1997"/>
      <c r="BG99" s="7075"/>
      <c r="BH99" s="1997"/>
      <c r="BI99" s="985"/>
      <c r="BJ99" s="706"/>
      <c r="BL99" s="1996"/>
      <c r="BM99" s="985"/>
      <c r="BN99" s="1997"/>
    </row>
    <row r="100" spans="1:66" s="449" customFormat="1" ht="15.5" x14ac:dyDescent="0.35">
      <c r="C100" s="450"/>
      <c r="D100" s="450"/>
      <c r="E100" s="450"/>
      <c r="F100" s="451"/>
      <c r="G100" s="450"/>
      <c r="H100" s="451"/>
      <c r="I100" s="451"/>
      <c r="J100" s="452"/>
      <c r="K100" s="450"/>
      <c r="L100" s="451"/>
      <c r="M100" s="451"/>
      <c r="N100" s="453"/>
      <c r="O100" s="451"/>
      <c r="P100" s="451"/>
      <c r="Q100" s="454"/>
      <c r="R100" s="454"/>
      <c r="S100" s="454"/>
      <c r="T100" s="451">
        <f t="shared" ref="T100" si="45">((T87-T89)/T87)</f>
        <v>4.6311670806177471E-2</v>
      </c>
      <c r="U100" s="454"/>
      <c r="V100" s="451">
        <f t="shared" ref="V100" si="46">((V87-V89)/V87)</f>
        <v>0</v>
      </c>
      <c r="W100" s="454"/>
      <c r="Z100" s="451">
        <f t="shared" ref="Z100:AA100" si="47">((Z87-Z89)/Z87)</f>
        <v>4.6311670806177471E-2</v>
      </c>
      <c r="AA100" s="451">
        <f t="shared" si="47"/>
        <v>0</v>
      </c>
      <c r="AB100" s="454"/>
      <c r="AC100" s="454"/>
      <c r="AD100" s="454"/>
      <c r="AE100" s="451">
        <f t="shared" ref="AE100" si="48">((AE87-AE89)/AE87)</f>
        <v>0</v>
      </c>
      <c r="AF100" s="454"/>
      <c r="AG100" s="451">
        <f t="shared" ref="AG100" si="49">((AG87-AG89)/AG87)</f>
        <v>0</v>
      </c>
      <c r="AH100" s="454"/>
      <c r="AK100" s="451">
        <f t="shared" ref="AK100" si="50">((AK87-AK89)/AK87)</f>
        <v>0</v>
      </c>
      <c r="AL100" s="451">
        <v>0</v>
      </c>
      <c r="AM100" s="454"/>
      <c r="AN100" s="454"/>
      <c r="AO100" s="454"/>
      <c r="AP100" s="451">
        <f t="shared" ref="AP100" si="51">((AP87-AP89)/AP87)</f>
        <v>0</v>
      </c>
      <c r="AQ100" s="454"/>
      <c r="AR100" s="451">
        <f t="shared" ref="AR100" si="52">((AR87-AR89)/AR87)</f>
        <v>0</v>
      </c>
      <c r="AS100" s="454"/>
      <c r="AV100" s="7076">
        <f>((AV87-AV89)/AV87)</f>
        <v>0</v>
      </c>
      <c r="AW100" s="451">
        <v>0</v>
      </c>
      <c r="AX100" s="454"/>
      <c r="AY100" s="454"/>
      <c r="AZ100" s="454"/>
      <c r="BA100" s="451">
        <f>((BA87-BA89)/BA87)</f>
        <v>0</v>
      </c>
      <c r="BB100" s="454"/>
      <c r="BC100" s="451">
        <f>((BC87-BC89)/BC87)</f>
        <v>0</v>
      </c>
      <c r="BD100" s="454"/>
      <c r="BG100" s="7076"/>
      <c r="BH100" s="451"/>
      <c r="BI100" s="454"/>
      <c r="BJ100" s="454"/>
      <c r="BK100" s="454"/>
      <c r="BL100" s="451"/>
      <c r="BM100" s="454"/>
      <c r="BN100" s="451"/>
    </row>
    <row r="101" spans="1:66" s="462" customFormat="1" ht="15.25" customHeight="1" x14ac:dyDescent="0.35">
      <c r="A101" s="455" t="s">
        <v>582</v>
      </c>
      <c r="B101" s="455"/>
      <c r="C101" s="456"/>
      <c r="D101" s="456"/>
      <c r="E101" s="457"/>
      <c r="F101" s="458"/>
      <c r="G101" s="456"/>
      <c r="H101" s="458"/>
      <c r="I101" s="458"/>
      <c r="J101" s="459"/>
      <c r="K101" s="456"/>
      <c r="L101" s="458"/>
      <c r="M101" s="458"/>
      <c r="N101" s="460"/>
      <c r="O101" s="458"/>
      <c r="P101" s="458"/>
      <c r="Q101" s="461"/>
      <c r="R101" s="461"/>
      <c r="S101" s="461"/>
      <c r="T101" s="458" t="str">
        <f>IF(T89+T90=T87,"ok","erreur total")</f>
        <v>ok</v>
      </c>
      <c r="U101" s="458"/>
      <c r="V101" s="458" t="str">
        <f>IF(V89+V90=V87,"ok","erreur total")</f>
        <v>ok</v>
      </c>
      <c r="W101" s="461"/>
      <c r="X101"/>
      <c r="Z101" s="458" t="str">
        <f>IF(Z89+Z90=Z87,"ok","erreur total")</f>
        <v>ok</v>
      </c>
      <c r="AA101" s="458" t="str">
        <f>IF(AA89+AA90=AA87,"ok","erreur total")</f>
        <v>ok</v>
      </c>
      <c r="AB101" s="458"/>
      <c r="AC101" s="461"/>
      <c r="AD101" s="461"/>
      <c r="AE101" s="458" t="str">
        <f>IF(AE89+AE90=AE87,"ok","erreur total")</f>
        <v>ok</v>
      </c>
      <c r="AF101" s="458"/>
      <c r="AG101" s="458" t="str">
        <f>IF(AG89+AG90=AG87,"ok","erreur total")</f>
        <v>ok</v>
      </c>
      <c r="AH101" s="461"/>
      <c r="AI101"/>
      <c r="AK101" s="458" t="str">
        <f>IF(AK89+AK90=AK87,"ok","erreur total")</f>
        <v>ok</v>
      </c>
      <c r="AL101" s="458" t="s">
        <v>3434</v>
      </c>
      <c r="AM101" s="458"/>
      <c r="AN101" s="461"/>
      <c r="AO101" s="461"/>
      <c r="AP101" s="458" t="str">
        <f>IF(AP89+AP90=AP87,"ok","erreur total")</f>
        <v>ok</v>
      </c>
      <c r="AQ101" s="458"/>
      <c r="AR101" s="458" t="str">
        <f>IF(AR89+AR90=AR87,"ok","erreur total")</f>
        <v>ok</v>
      </c>
      <c r="AS101" s="461"/>
      <c r="AT101"/>
      <c r="AV101" s="7077" t="str">
        <f>IF(AV89+AV90=AV87,"ok","erreur total")</f>
        <v>ok</v>
      </c>
      <c r="AW101" s="458" t="s">
        <v>3434</v>
      </c>
      <c r="AX101" s="458"/>
      <c r="AY101" s="461"/>
      <c r="AZ101" s="461"/>
      <c r="BA101" s="458" t="str">
        <f>IF(BA89+BA90=BA87,"ok","erreur total")</f>
        <v>ok</v>
      </c>
      <c r="BB101" s="458"/>
      <c r="BC101" s="458" t="str">
        <f>IF(BC89+BC90=BC87,"ok","erreur total")</f>
        <v>ok</v>
      </c>
      <c r="BD101" s="461"/>
      <c r="BE101"/>
      <c r="BG101" s="7077"/>
      <c r="BH101" s="458"/>
      <c r="BI101" s="458"/>
      <c r="BJ101" s="461"/>
      <c r="BK101" s="461"/>
      <c r="BL101" s="458"/>
      <c r="BM101" s="458"/>
      <c r="BN101" s="458"/>
    </row>
    <row r="102" spans="1:66" s="462" customFormat="1" ht="12" customHeight="1" x14ac:dyDescent="0.3">
      <c r="A102" s="463">
        <v>1</v>
      </c>
      <c r="B102" s="464" t="str">
        <f>X12</f>
        <v>2013/2014 Revenue includes tax, non tax revenue, borrowed money and contigent borrowed money</v>
      </c>
      <c r="D102" s="709"/>
      <c r="E102" s="466"/>
      <c r="F102" s="466"/>
      <c r="G102" s="466"/>
      <c r="H102" s="466"/>
      <c r="I102" s="466"/>
      <c r="J102" s="467"/>
      <c r="K102" s="466"/>
      <c r="L102" s="466"/>
      <c r="M102" s="466"/>
      <c r="N102" s="456"/>
      <c r="O102" s="466"/>
      <c r="P102" s="466"/>
      <c r="Q102" s="466"/>
      <c r="R102" s="467"/>
      <c r="S102" s="456"/>
      <c r="T102" s="466"/>
      <c r="U102" s="466"/>
      <c r="V102" s="466"/>
      <c r="W102" s="456"/>
      <c r="X102" s="577"/>
      <c r="Z102" s="466"/>
      <c r="AA102" s="466"/>
      <c r="AB102" s="466"/>
      <c r="AC102" s="467"/>
      <c r="AD102" s="456"/>
      <c r="AE102" s="466"/>
      <c r="AF102" s="466"/>
      <c r="AG102" s="466"/>
      <c r="AH102" s="456"/>
      <c r="AI102" s="577"/>
      <c r="AK102" s="466"/>
      <c r="AL102" s="466"/>
      <c r="AM102" s="466"/>
      <c r="AN102" s="467"/>
      <c r="AO102" s="456"/>
      <c r="AP102" s="466"/>
      <c r="AQ102" s="466"/>
      <c r="AR102" s="466"/>
      <c r="AS102" s="456"/>
      <c r="AT102" s="577"/>
      <c r="AV102" s="466"/>
      <c r="AW102" s="466"/>
      <c r="AX102" s="466"/>
      <c r="AY102" s="467"/>
      <c r="AZ102" s="456"/>
      <c r="BA102" s="466"/>
      <c r="BB102" s="466"/>
      <c r="BC102" s="466"/>
      <c r="BD102" s="456"/>
      <c r="BE102" s="577"/>
      <c r="BG102" s="466"/>
      <c r="BH102" s="466"/>
      <c r="BI102" s="466"/>
      <c r="BJ102" s="467"/>
      <c r="BK102" s="456"/>
      <c r="BL102" s="466"/>
      <c r="BM102" s="466"/>
      <c r="BN102" s="466"/>
    </row>
    <row r="103" spans="1:66" s="462" customFormat="1" ht="12" x14ac:dyDescent="0.3">
      <c r="A103" s="468">
        <v>2</v>
      </c>
      <c r="B103" s="469" t="str">
        <f>X13</f>
        <v>Grants +Contigent grants for 2014 revised budget.</v>
      </c>
      <c r="D103" s="2"/>
      <c r="E103" s="456"/>
      <c r="F103" s="456"/>
      <c r="G103" s="456"/>
      <c r="H103" s="459"/>
      <c r="I103" s="459"/>
      <c r="J103" s="7"/>
      <c r="K103" s="456"/>
      <c r="N103" s="456"/>
      <c r="O103" s="459"/>
      <c r="P103" s="459"/>
      <c r="Q103" s="459"/>
      <c r="R103" s="7"/>
      <c r="S103" s="456"/>
      <c r="W103" s="456"/>
      <c r="X103" s="577"/>
      <c r="Z103" s="459"/>
      <c r="AA103" s="459"/>
      <c r="AB103" s="459"/>
      <c r="AC103" s="7"/>
      <c r="AD103" s="456"/>
      <c r="AH103" s="456"/>
      <c r="AI103" s="577"/>
      <c r="AK103" s="459"/>
      <c r="AL103" s="459"/>
      <c r="AM103" s="459"/>
      <c r="AN103" s="7"/>
      <c r="AO103" s="456"/>
      <c r="AS103" s="456"/>
      <c r="AT103" s="577"/>
      <c r="AV103" s="459"/>
      <c r="AW103" s="459"/>
      <c r="AX103" s="459"/>
      <c r="AY103" s="7"/>
      <c r="AZ103" s="456"/>
      <c r="BD103" s="456"/>
      <c r="BE103" s="577"/>
      <c r="BG103" s="459"/>
      <c r="BH103" s="459"/>
      <c r="BI103" s="459"/>
      <c r="BJ103" s="7"/>
      <c r="BK103" s="456"/>
    </row>
    <row r="104" spans="1:66" s="462" customFormat="1" ht="12" x14ac:dyDescent="0.3">
      <c r="A104" s="463">
        <v>3</v>
      </c>
      <c r="B104" s="469" t="str">
        <f>X24</f>
        <v>Compensation of employees in 2013/2014 varies between both budget documents --  2014/2015 and 2015/2016 budgets. Used 2015/2016 for actual expenditure column</v>
      </c>
      <c r="D104" s="2"/>
      <c r="E104" s="456"/>
      <c r="F104" s="456"/>
      <c r="G104" s="456"/>
      <c r="H104" s="459"/>
      <c r="I104" s="459"/>
      <c r="J104" s="7"/>
      <c r="K104" s="456"/>
      <c r="N104" s="456"/>
      <c r="O104" s="459"/>
      <c r="P104" s="459"/>
      <c r="Q104" s="459"/>
      <c r="R104" s="7"/>
      <c r="S104" s="456"/>
      <c r="W104" s="456"/>
      <c r="X104" s="577"/>
      <c r="Z104" s="459"/>
      <c r="AA104" s="459"/>
      <c r="AB104" s="459"/>
      <c r="AC104" s="7"/>
      <c r="AD104" s="456"/>
      <c r="AH104" s="456"/>
      <c r="AI104" s="577"/>
      <c r="AK104" s="459"/>
      <c r="AL104" s="459"/>
      <c r="AM104" s="459"/>
      <c r="AN104" s="7"/>
      <c r="AO104" s="456"/>
      <c r="AS104" s="456"/>
      <c r="AT104" s="577"/>
      <c r="AV104" s="459"/>
      <c r="AW104" s="459"/>
      <c r="AX104" s="459"/>
      <c r="AY104" s="7"/>
      <c r="AZ104" s="456"/>
      <c r="BD104" s="456"/>
      <c r="BE104" s="577"/>
      <c r="BG104" s="459"/>
      <c r="BH104" s="459"/>
      <c r="BI104" s="459"/>
      <c r="BJ104" s="7"/>
      <c r="BK104" s="456"/>
    </row>
    <row r="105" spans="1:66" s="462" customFormat="1" ht="12" x14ac:dyDescent="0.3">
      <c r="A105" s="468">
        <v>4</v>
      </c>
      <c r="B105" s="469" t="str">
        <f>X34</f>
        <v>Includes MOE+University+institutions in the list on the right</v>
      </c>
      <c r="D105" s="2"/>
      <c r="E105" s="456"/>
      <c r="F105" s="456"/>
      <c r="G105" s="456"/>
      <c r="H105" s="459"/>
      <c r="I105" s="459"/>
      <c r="J105" s="7"/>
      <c r="K105" s="456"/>
      <c r="N105" s="456"/>
      <c r="O105" s="459"/>
      <c r="P105" s="459"/>
      <c r="Q105" s="459"/>
      <c r="R105" s="7"/>
      <c r="S105" s="456"/>
      <c r="W105" s="456"/>
      <c r="X105" s="577"/>
      <c r="Z105" s="459"/>
      <c r="AA105" s="459"/>
      <c r="AB105" s="459"/>
      <c r="AC105" s="7"/>
      <c r="AD105" s="456"/>
      <c r="AH105" s="456"/>
      <c r="AI105" s="577"/>
      <c r="AK105" s="459"/>
      <c r="AL105" s="459"/>
      <c r="AM105" s="459"/>
      <c r="AN105" s="7"/>
      <c r="AO105" s="456"/>
      <c r="AS105" s="456"/>
      <c r="AT105" s="577"/>
      <c r="AV105" s="459"/>
      <c r="AW105" s="459"/>
      <c r="AX105" s="459"/>
      <c r="AY105" s="7"/>
      <c r="AZ105" s="456"/>
      <c r="BD105" s="456"/>
      <c r="BE105" s="577"/>
      <c r="BG105" s="459"/>
      <c r="BH105" s="459"/>
      <c r="BI105" s="459"/>
      <c r="BJ105" s="7"/>
      <c r="BK105" s="456"/>
    </row>
    <row r="106" spans="1:66" s="462" customFormat="1" ht="12" x14ac:dyDescent="0.3">
      <c r="A106" s="463">
        <v>5</v>
      </c>
      <c r="B106" s="469">
        <f>X35</f>
        <v>0</v>
      </c>
      <c r="D106" s="2"/>
      <c r="E106" s="456"/>
      <c r="F106" s="456"/>
      <c r="G106" s="456"/>
      <c r="H106" s="459"/>
      <c r="I106" s="459"/>
      <c r="J106" s="7"/>
      <c r="K106" s="456"/>
      <c r="N106" s="456"/>
      <c r="O106" s="459"/>
      <c r="P106" s="459"/>
      <c r="Q106" s="459"/>
      <c r="R106" s="7"/>
      <c r="S106" s="456"/>
      <c r="W106" s="456"/>
      <c r="X106" s="577"/>
      <c r="Z106" s="459"/>
      <c r="AA106" s="459"/>
      <c r="AB106" s="459"/>
      <c r="AC106" s="7"/>
      <c r="AD106" s="456"/>
      <c r="AH106" s="456"/>
      <c r="AI106" s="577"/>
      <c r="AK106" s="459"/>
      <c r="AL106" s="459"/>
      <c r="AM106" s="459"/>
      <c r="AN106" s="7"/>
      <c r="AO106" s="456"/>
      <c r="AS106" s="456"/>
      <c r="AT106" s="577"/>
      <c r="AV106" s="459"/>
      <c r="AW106" s="459"/>
      <c r="AX106" s="459"/>
      <c r="AY106" s="7"/>
      <c r="AZ106" s="456"/>
      <c r="BD106" s="456"/>
      <c r="BE106" s="577"/>
      <c r="BG106" s="459"/>
      <c r="BH106" s="459"/>
      <c r="BI106" s="459"/>
      <c r="BJ106" s="7"/>
      <c r="BK106" s="456"/>
    </row>
    <row r="107" spans="1:66" s="462" customFormat="1" ht="12" x14ac:dyDescent="0.3">
      <c r="A107" s="468">
        <v>6</v>
      </c>
      <c r="B107" s="469" t="str">
        <f>X44</f>
        <v>schools of nursing with hospitals</v>
      </c>
      <c r="D107" s="2"/>
      <c r="E107" s="456"/>
      <c r="F107" s="456"/>
      <c r="G107" s="456"/>
      <c r="H107" s="459"/>
      <c r="I107" s="459"/>
      <c r="J107" s="7"/>
      <c r="K107" s="456"/>
      <c r="N107" s="456"/>
      <c r="O107" s="459"/>
      <c r="P107" s="459"/>
      <c r="Q107" s="459"/>
      <c r="R107" s="7"/>
      <c r="S107" s="456"/>
      <c r="W107" s="456"/>
      <c r="X107" s="577"/>
      <c r="Z107" s="459"/>
      <c r="AA107" s="459"/>
      <c r="AB107" s="459"/>
      <c r="AC107" s="7"/>
      <c r="AD107" s="456"/>
      <c r="AH107" s="456"/>
      <c r="AI107" s="577"/>
      <c r="AK107" s="459"/>
      <c r="AL107" s="459"/>
      <c r="AM107" s="459"/>
      <c r="AN107" s="7"/>
      <c r="AO107" s="456"/>
      <c r="AS107" s="456"/>
      <c r="AT107" s="577"/>
      <c r="AV107" s="459"/>
      <c r="AW107" s="459"/>
      <c r="AX107" s="459"/>
      <c r="AY107" s="7"/>
      <c r="AZ107" s="456"/>
      <c r="BD107" s="456"/>
      <c r="BE107" s="577"/>
      <c r="BG107" s="459"/>
      <c r="BH107" s="459"/>
      <c r="BI107" s="459"/>
      <c r="BJ107" s="7"/>
      <c r="BK107" s="456"/>
    </row>
    <row r="108" spans="1:66" s="462" customFormat="1" ht="12" x14ac:dyDescent="0.3">
      <c r="A108" s="463">
        <v>7</v>
      </c>
      <c r="B108" s="469" t="str">
        <f>X45</f>
        <v>LIBERIA COLLEGE OF PHYSICIANS AND SURGEONS</v>
      </c>
      <c r="D108" s="2"/>
      <c r="E108" s="456"/>
      <c r="F108" s="456"/>
      <c r="G108" s="456"/>
      <c r="H108" s="459"/>
      <c r="I108" s="459"/>
      <c r="J108" s="7"/>
      <c r="K108" s="456"/>
      <c r="N108" s="456"/>
      <c r="O108" s="459"/>
      <c r="P108" s="459"/>
      <c r="Q108" s="459"/>
      <c r="R108" s="7"/>
      <c r="S108" s="456"/>
      <c r="W108" s="456"/>
      <c r="X108" s="577"/>
      <c r="Z108" s="459"/>
      <c r="AA108" s="459"/>
      <c r="AB108" s="459"/>
      <c r="AC108" s="7"/>
      <c r="AD108" s="456"/>
      <c r="AH108" s="456"/>
      <c r="AI108" s="577"/>
      <c r="AK108" s="459"/>
      <c r="AL108" s="459"/>
      <c r="AM108" s="459"/>
      <c r="AN108" s="7"/>
      <c r="AO108" s="456"/>
      <c r="AS108" s="456"/>
      <c r="AT108" s="577"/>
      <c r="AV108" s="459"/>
      <c r="AW108" s="459"/>
      <c r="AX108" s="459"/>
      <c r="AY108" s="7"/>
      <c r="AZ108" s="456"/>
      <c r="BD108" s="456"/>
      <c r="BE108" s="577"/>
      <c r="BG108" s="459"/>
      <c r="BH108" s="459"/>
      <c r="BI108" s="459"/>
      <c r="BJ108" s="7"/>
      <c r="BK108" s="456"/>
    </row>
    <row r="109" spans="1:66" s="462" customFormat="1" ht="12" x14ac:dyDescent="0.3">
      <c r="A109" s="468">
        <v>8</v>
      </c>
      <c r="B109" s="469" t="str">
        <f>X46</f>
        <v>Monrovia Vocational Training Center ; Agricultural Training Center</v>
      </c>
      <c r="D109" s="2"/>
      <c r="E109" s="456"/>
      <c r="F109" s="456"/>
      <c r="G109" s="456"/>
      <c r="H109" s="459"/>
      <c r="I109" s="459"/>
      <c r="J109" s="7"/>
      <c r="K109" s="456"/>
      <c r="N109" s="456"/>
      <c r="O109" s="459"/>
      <c r="P109" s="459"/>
      <c r="Q109" s="459"/>
      <c r="R109" s="7"/>
      <c r="S109" s="456"/>
      <c r="W109" s="456"/>
      <c r="X109" s="577"/>
      <c r="Z109" s="459"/>
      <c r="AA109" s="459"/>
      <c r="AB109" s="459"/>
      <c r="AC109" s="7"/>
      <c r="AD109" s="456"/>
      <c r="AH109" s="456"/>
      <c r="AI109" s="577"/>
      <c r="AK109" s="459"/>
      <c r="AL109" s="459"/>
      <c r="AM109" s="459"/>
      <c r="AN109" s="7"/>
      <c r="AO109" s="456"/>
      <c r="AS109" s="456"/>
      <c r="AT109" s="577"/>
      <c r="AV109" s="459"/>
      <c r="AW109" s="459"/>
      <c r="AX109" s="459"/>
      <c r="AY109" s="7"/>
      <c r="AZ109" s="456"/>
      <c r="BD109" s="456"/>
      <c r="BE109" s="577"/>
      <c r="BG109" s="459"/>
      <c r="BH109" s="459"/>
      <c r="BI109" s="459"/>
      <c r="BJ109" s="7"/>
      <c r="BK109" s="456"/>
    </row>
    <row r="110" spans="1:66" s="462" customFormat="1" ht="12" x14ac:dyDescent="0.3">
      <c r="A110" s="463">
        <v>9</v>
      </c>
      <c r="B110" s="469" t="str">
        <f t="shared" ref="B110" si="53">X47</f>
        <v>Education Recovery Fund</v>
      </c>
      <c r="D110" s="2"/>
      <c r="E110" s="456"/>
      <c r="F110" s="456"/>
      <c r="G110" s="456"/>
      <c r="H110" s="459"/>
      <c r="I110" s="459"/>
      <c r="J110" s="7"/>
      <c r="K110" s="456"/>
      <c r="N110" s="456"/>
      <c r="O110" s="459"/>
      <c r="P110" s="459"/>
      <c r="Q110" s="459"/>
      <c r="R110" s="7"/>
      <c r="S110" s="456"/>
      <c r="W110" s="456"/>
      <c r="X110" s="577"/>
      <c r="Z110" s="459"/>
      <c r="AA110" s="459"/>
      <c r="AB110" s="459"/>
      <c r="AC110" s="7"/>
      <c r="AD110" s="456"/>
      <c r="AH110" s="456"/>
      <c r="AI110" s="577"/>
      <c r="AK110" s="459"/>
      <c r="AL110" s="459"/>
      <c r="AM110" s="459"/>
      <c r="AN110" s="7"/>
      <c r="AO110" s="456"/>
      <c r="AS110" s="456"/>
      <c r="AT110" s="577"/>
      <c r="AV110" s="459"/>
      <c r="AW110" s="459"/>
      <c r="AX110" s="459"/>
      <c r="AY110" s="7"/>
      <c r="AZ110" s="456"/>
      <c r="BD110" s="456"/>
      <c r="BE110" s="577"/>
      <c r="BG110" s="459"/>
      <c r="BH110" s="459"/>
      <c r="BI110" s="459"/>
      <c r="BJ110" s="7"/>
      <c r="BK110" s="456"/>
    </row>
    <row r="111" spans="1:66" s="462" customFormat="1" ht="12" x14ac:dyDescent="0.3">
      <c r="A111" s="468"/>
      <c r="B111" s="469"/>
      <c r="D111" s="2"/>
      <c r="E111" s="456"/>
      <c r="F111" s="456"/>
      <c r="G111" s="456"/>
      <c r="H111" s="459"/>
      <c r="I111" s="459"/>
      <c r="J111" s="7"/>
      <c r="K111" s="456"/>
      <c r="N111" s="456"/>
      <c r="O111" s="459"/>
      <c r="P111" s="459"/>
      <c r="Q111" s="459"/>
      <c r="R111" s="7"/>
      <c r="S111" s="456"/>
      <c r="W111" s="456"/>
      <c r="X111" s="577"/>
      <c r="Z111" s="459"/>
      <c r="AA111" s="459"/>
      <c r="AB111" s="459"/>
      <c r="AC111" s="7"/>
      <c r="AD111" s="456"/>
      <c r="AH111" s="456"/>
      <c r="AI111" s="577"/>
      <c r="AK111" s="459"/>
      <c r="AL111" s="459"/>
      <c r="AM111" s="459"/>
      <c r="AN111" s="7"/>
      <c r="AO111" s="456"/>
      <c r="AS111" s="456"/>
      <c r="AT111" s="577"/>
      <c r="AV111" s="459"/>
      <c r="AW111" s="459"/>
      <c r="AX111" s="459"/>
      <c r="AY111" s="7"/>
      <c r="AZ111" s="456"/>
      <c r="BD111" s="456"/>
      <c r="BE111" s="577"/>
      <c r="BG111" s="459"/>
      <c r="BH111" s="459"/>
      <c r="BI111" s="459"/>
      <c r="BJ111" s="7"/>
      <c r="BK111" s="456"/>
    </row>
    <row r="112" spans="1:66" s="462" customFormat="1" ht="12" x14ac:dyDescent="0.3">
      <c r="A112" s="463"/>
      <c r="B112" s="469"/>
      <c r="D112" s="2"/>
      <c r="E112" s="456"/>
      <c r="F112" s="456"/>
      <c r="G112" s="456"/>
      <c r="H112" s="459"/>
      <c r="I112" s="459"/>
      <c r="J112" s="7"/>
      <c r="K112" s="456"/>
      <c r="N112" s="456"/>
      <c r="O112" s="459"/>
      <c r="P112" s="459"/>
      <c r="Q112" s="459"/>
      <c r="R112" s="7"/>
      <c r="S112" s="456"/>
      <c r="W112" s="456"/>
      <c r="X112" s="577"/>
      <c r="Z112" s="459"/>
      <c r="AA112" s="459"/>
      <c r="AB112" s="459"/>
      <c r="AC112" s="7"/>
      <c r="AD112" s="456"/>
      <c r="AH112" s="456"/>
      <c r="AI112" s="577"/>
      <c r="AK112" s="459"/>
      <c r="AL112" s="459"/>
      <c r="AM112" s="459"/>
      <c r="AN112" s="7"/>
      <c r="AO112" s="456"/>
      <c r="AS112" s="456"/>
      <c r="AT112" s="577"/>
      <c r="AV112" s="459"/>
      <c r="AW112" s="459"/>
      <c r="AX112" s="459"/>
      <c r="AY112" s="7"/>
      <c r="AZ112" s="456"/>
      <c r="BD112" s="456"/>
      <c r="BE112" s="577"/>
      <c r="BG112" s="459"/>
      <c r="BH112" s="459"/>
      <c r="BI112" s="459"/>
      <c r="BJ112" s="7"/>
      <c r="BK112" s="456"/>
    </row>
    <row r="113" spans="1:66" s="462" customFormat="1" ht="12" x14ac:dyDescent="0.3">
      <c r="A113" s="468"/>
      <c r="B113" s="469"/>
      <c r="D113" s="2"/>
      <c r="E113" s="456"/>
      <c r="F113" s="456"/>
      <c r="G113" s="456"/>
      <c r="H113" s="459"/>
      <c r="I113" s="459"/>
      <c r="J113" s="7"/>
      <c r="K113" s="456"/>
      <c r="N113" s="456"/>
      <c r="O113" s="459"/>
      <c r="P113" s="459"/>
      <c r="Q113" s="459"/>
      <c r="R113" s="7"/>
      <c r="S113" s="456"/>
      <c r="W113" s="456"/>
      <c r="X113" s="577"/>
      <c r="Z113" s="459"/>
      <c r="AA113" s="459"/>
      <c r="AB113" s="459"/>
      <c r="AC113" s="7"/>
      <c r="AD113" s="456"/>
      <c r="AH113" s="456"/>
      <c r="AI113" s="577"/>
      <c r="AK113" s="459"/>
      <c r="AL113" s="459"/>
      <c r="AM113" s="459"/>
      <c r="AN113" s="7"/>
      <c r="AO113" s="456"/>
      <c r="AS113" s="456"/>
      <c r="AT113" s="577"/>
      <c r="AV113" s="459"/>
      <c r="AW113" s="459"/>
      <c r="AX113" s="459"/>
      <c r="AY113" s="7"/>
      <c r="AZ113" s="456"/>
      <c r="BD113" s="456"/>
      <c r="BE113" s="577"/>
      <c r="BG113" s="459"/>
      <c r="BH113" s="459"/>
      <c r="BI113" s="459"/>
      <c r="BJ113" s="7"/>
      <c r="BK113" s="456"/>
    </row>
    <row r="114" spans="1:66" s="462" customFormat="1" ht="12" x14ac:dyDescent="0.3">
      <c r="A114" s="468"/>
      <c r="B114" s="469"/>
      <c r="D114" s="2"/>
      <c r="E114" s="456"/>
      <c r="F114" s="456"/>
      <c r="G114" s="456"/>
      <c r="H114" s="459"/>
      <c r="I114" s="459"/>
      <c r="J114" s="7"/>
      <c r="K114" s="456"/>
      <c r="N114" s="456"/>
      <c r="O114" s="459"/>
      <c r="P114" s="459"/>
      <c r="Q114" s="459"/>
      <c r="R114" s="7"/>
      <c r="S114" s="456"/>
      <c r="W114" s="456"/>
      <c r="X114" s="577"/>
      <c r="Z114" s="459"/>
      <c r="AA114" s="459"/>
      <c r="AB114" s="459"/>
      <c r="AC114" s="7"/>
      <c r="AD114" s="456"/>
      <c r="AH114" s="456"/>
      <c r="AI114" s="577"/>
      <c r="AK114" s="459"/>
      <c r="AL114" s="459"/>
      <c r="AM114" s="459"/>
      <c r="AN114" s="7"/>
      <c r="AO114" s="456"/>
      <c r="AS114" s="456"/>
      <c r="AT114" s="577"/>
      <c r="AV114" s="459"/>
      <c r="AW114" s="459"/>
      <c r="AX114" s="459"/>
      <c r="AY114" s="7"/>
      <c r="AZ114" s="456"/>
      <c r="BD114" s="456"/>
      <c r="BE114" s="577"/>
      <c r="BG114" s="459"/>
      <c r="BH114" s="459"/>
      <c r="BI114" s="459"/>
      <c r="BJ114" s="7"/>
      <c r="BK114" s="456"/>
    </row>
    <row r="115" spans="1:66" s="462" customFormat="1" ht="12" x14ac:dyDescent="0.3">
      <c r="A115" s="468"/>
      <c r="B115" s="469"/>
      <c r="D115" s="2"/>
      <c r="E115" s="456"/>
      <c r="F115" s="456"/>
      <c r="G115" s="456"/>
      <c r="H115" s="459"/>
      <c r="I115" s="459"/>
      <c r="J115" s="7"/>
      <c r="K115" s="456"/>
      <c r="N115" s="456"/>
      <c r="O115" s="459"/>
      <c r="P115" s="459"/>
      <c r="Q115" s="459"/>
      <c r="R115" s="7"/>
      <c r="S115" s="456"/>
      <c r="W115" s="456"/>
      <c r="X115" s="577"/>
      <c r="Z115" s="459"/>
      <c r="AA115" s="459"/>
      <c r="AB115" s="459"/>
      <c r="AC115" s="7"/>
      <c r="AD115" s="456"/>
      <c r="AH115" s="456"/>
      <c r="AI115" s="577"/>
      <c r="AK115" s="459"/>
      <c r="AL115" s="459"/>
      <c r="AM115" s="459"/>
      <c r="AN115" s="7"/>
      <c r="AO115" s="456"/>
      <c r="AS115" s="456"/>
      <c r="AT115" s="577"/>
      <c r="AV115" s="459"/>
      <c r="AW115" s="459"/>
      <c r="AX115" s="459"/>
      <c r="AY115" s="7"/>
      <c r="AZ115" s="456"/>
      <c r="BD115" s="456"/>
      <c r="BE115" s="577"/>
      <c r="BG115" s="459"/>
      <c r="BH115" s="459"/>
      <c r="BI115" s="459"/>
      <c r="BJ115" s="7"/>
      <c r="BK115" s="456"/>
    </row>
    <row r="116" spans="1:66" s="462" customFormat="1" ht="12" x14ac:dyDescent="0.3">
      <c r="A116" s="455" t="s">
        <v>583</v>
      </c>
      <c r="B116" s="455"/>
      <c r="C116" s="456"/>
      <c r="D116" s="2"/>
      <c r="E116" s="456"/>
      <c r="F116" s="456"/>
      <c r="G116" s="456"/>
      <c r="H116" s="459"/>
      <c r="I116" s="459"/>
      <c r="J116" s="7"/>
      <c r="K116" s="456"/>
      <c r="N116" s="456"/>
      <c r="O116" s="459"/>
      <c r="P116" s="459"/>
      <c r="Q116" s="459"/>
      <c r="R116" s="7"/>
      <c r="S116" s="456"/>
      <c r="W116" s="456"/>
      <c r="X116" s="577"/>
      <c r="Z116" s="459"/>
      <c r="AA116" s="459"/>
      <c r="AB116" s="459"/>
      <c r="AC116" s="7"/>
      <c r="AD116" s="456"/>
      <c r="AH116" s="456"/>
      <c r="AI116" s="577"/>
      <c r="AK116" s="459"/>
      <c r="AL116" s="459"/>
      <c r="AM116" s="459"/>
      <c r="AN116" s="7"/>
      <c r="AO116" s="456"/>
      <c r="AS116" s="456"/>
      <c r="AT116" s="577"/>
      <c r="AV116" s="459"/>
      <c r="AW116" s="459"/>
      <c r="AX116" s="459"/>
      <c r="AY116" s="7"/>
      <c r="AZ116" s="456"/>
      <c r="BD116" s="456"/>
      <c r="BE116" s="577"/>
      <c r="BG116" s="459"/>
      <c r="BH116" s="459"/>
      <c r="BI116" s="459"/>
      <c r="BJ116" s="7"/>
      <c r="BK116" s="456"/>
    </row>
    <row r="117" spans="1:66" s="462" customFormat="1" ht="93" customHeight="1" x14ac:dyDescent="0.3">
      <c r="A117" s="9170" t="s">
        <v>3435</v>
      </c>
      <c r="B117" s="9171"/>
      <c r="C117" s="9171"/>
      <c r="D117" s="9171"/>
      <c r="E117" s="9171"/>
      <c r="F117" s="9171"/>
      <c r="G117" s="9171"/>
      <c r="H117" s="9171"/>
      <c r="I117" s="9171"/>
      <c r="J117" s="9171"/>
      <c r="K117" s="9171"/>
      <c r="L117" s="9171"/>
      <c r="M117" s="9172"/>
      <c r="N117" s="456"/>
      <c r="O117" s="3299"/>
      <c r="P117" s="3299"/>
      <c r="Q117" s="3299"/>
      <c r="R117" s="3299"/>
      <c r="S117" s="456"/>
      <c r="T117" s="456"/>
      <c r="U117" s="456"/>
      <c r="V117" s="456"/>
      <c r="W117" s="456"/>
      <c r="X117" s="577"/>
      <c r="Z117" s="3299"/>
      <c r="AA117" s="3299"/>
      <c r="AB117" s="3299"/>
      <c r="AC117" s="3299"/>
      <c r="AD117" s="456"/>
      <c r="AE117" s="456"/>
      <c r="AF117" s="456"/>
      <c r="AG117" s="456"/>
      <c r="AH117" s="456"/>
      <c r="AI117" s="577"/>
      <c r="AK117" s="3299"/>
      <c r="AL117" s="3299"/>
      <c r="AM117" s="3299"/>
      <c r="AN117" s="3299"/>
      <c r="AO117" s="456"/>
      <c r="AP117" s="456"/>
      <c r="AQ117" s="456"/>
      <c r="AR117" s="456"/>
      <c r="AS117" s="456"/>
      <c r="AT117" s="577"/>
      <c r="AV117" s="3299"/>
      <c r="AW117" s="3299"/>
      <c r="AX117" s="3299"/>
      <c r="AY117" s="3299"/>
      <c r="AZ117" s="456"/>
      <c r="BA117" s="456"/>
      <c r="BB117" s="456"/>
      <c r="BC117" s="456"/>
      <c r="BD117" s="456"/>
      <c r="BE117" s="577"/>
      <c r="BG117" s="3299"/>
      <c r="BH117" s="3299"/>
      <c r="BI117" s="3299"/>
      <c r="BJ117" s="3299"/>
      <c r="BK117" s="456"/>
      <c r="BL117" s="456"/>
      <c r="BM117" s="456"/>
      <c r="BN117" s="456"/>
    </row>
  </sheetData>
  <mergeCells count="57">
    <mergeCell ref="F1:M1"/>
    <mergeCell ref="O1:V1"/>
    <mergeCell ref="Z1:AG1"/>
    <mergeCell ref="AK1:AR1"/>
    <mergeCell ref="H4:J4"/>
    <mergeCell ref="L4:M4"/>
    <mergeCell ref="O4:R4"/>
    <mergeCell ref="T4:V4"/>
    <mergeCell ref="X4:X5"/>
    <mergeCell ref="Z4:AC4"/>
    <mergeCell ref="AE4:AG4"/>
    <mergeCell ref="AI4:AI5"/>
    <mergeCell ref="AK4:AN4"/>
    <mergeCell ref="AP4:AR4"/>
    <mergeCell ref="A82:A99"/>
    <mergeCell ref="A117:M117"/>
    <mergeCell ref="AC7:AC8"/>
    <mergeCell ref="AE7:AG7"/>
    <mergeCell ref="AK7:AL7"/>
    <mergeCell ref="A10:A31"/>
    <mergeCell ref="H7:I7"/>
    <mergeCell ref="J7:J8"/>
    <mergeCell ref="L7:M7"/>
    <mergeCell ref="O7:P7"/>
    <mergeCell ref="R7:R8"/>
    <mergeCell ref="T7:V7"/>
    <mergeCell ref="Z7:AA7"/>
    <mergeCell ref="BE4:BE5"/>
    <mergeCell ref="AV5:AY5"/>
    <mergeCell ref="BA5:BC5"/>
    <mergeCell ref="A33:A69"/>
    <mergeCell ref="A71:A80"/>
    <mergeCell ref="AN7:AN8"/>
    <mergeCell ref="AP7:AR7"/>
    <mergeCell ref="AT4:AT5"/>
    <mergeCell ref="AE5:AG5"/>
    <mergeCell ref="AK5:AN5"/>
    <mergeCell ref="AP5:AR5"/>
    <mergeCell ref="H5:J5"/>
    <mergeCell ref="L5:M5"/>
    <mergeCell ref="O5:R5"/>
    <mergeCell ref="T5:V5"/>
    <mergeCell ref="Z5:AC5"/>
    <mergeCell ref="AV7:AW7"/>
    <mergeCell ref="AY7:AY8"/>
    <mergeCell ref="BA7:BC7"/>
    <mergeCell ref="AV1:BC1"/>
    <mergeCell ref="AV4:AY4"/>
    <mergeCell ref="BA4:BC4"/>
    <mergeCell ref="BG7:BH7"/>
    <mergeCell ref="BJ7:BJ8"/>
    <mergeCell ref="BL7:BN7"/>
    <mergeCell ref="BG1:BN1"/>
    <mergeCell ref="BG4:BJ4"/>
    <mergeCell ref="BL4:BN4"/>
    <mergeCell ref="BG5:BJ5"/>
    <mergeCell ref="BL5:BN5"/>
  </mergeCells>
  <hyperlinks>
    <hyperlink ref="AX10" r:id="rId1" xr:uid="{2C53D2BE-EBB6-4830-A6F9-D34DBDA5230E}"/>
    <hyperlink ref="BB10" r:id="rId2" xr:uid="{353514DB-37BC-48BB-8268-3B324AF1F67B}"/>
    <hyperlink ref="BI10" r:id="rId3" xr:uid="{E907DFD6-9534-4A96-A474-8CF89DFDF3CA}"/>
    <hyperlink ref="BM10" r:id="rId4" xr:uid="{A6EC93FF-D7A8-42A8-ACD1-73B7F6AF8ABB}"/>
  </hyperlinks>
  <pageMargins left="0.23622047244094491" right="0.23622047244094491" top="0.35433070866141736" bottom="0.35433070866141736" header="0.31496062992125984" footer="0.31496062992125984"/>
  <pageSetup paperSize="9" scale="43" orientation="portrait" horizontalDpi="4294967293" verticalDpi="4294967293" r:id="rId5"/>
  <headerFooter>
    <oddFooter>&amp;R&amp;1#&amp;"Calibri"&amp;12&amp;K000000Official Use</oddFooter>
  </headerFooter>
  <drawing r:id="rId6"/>
  <legacyDrawing r:id="rId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5B808-7257-4749-8802-FE2CC4D318D5}">
  <sheetPr>
    <pageSetUpPr fitToPage="1"/>
  </sheetPr>
  <dimension ref="A1:BJ131"/>
  <sheetViews>
    <sheetView zoomScale="80" zoomScaleNormal="80" workbookViewId="0">
      <pane xSplit="4" topLeftCell="AW1" activePane="topRight" state="frozen"/>
      <selection activeCell="A2" sqref="A2"/>
      <selection pane="topRight" activeCell="BJ97" sqref="BJ97"/>
    </sheetView>
  </sheetViews>
  <sheetFormatPr defaultColWidth="9.1796875" defaultRowHeight="14.5" x14ac:dyDescent="0.35"/>
  <cols>
    <col min="1" max="1" width="6.6328125" customWidth="1"/>
    <col min="2" max="2" width="19.453125" customWidth="1"/>
    <col min="3" max="3" width="19.453125" style="1" customWidth="1"/>
    <col min="4" max="4" width="4.81640625" style="5" customWidth="1"/>
    <col min="5" max="5" width="1.6328125" style="1" hidden="1" customWidth="1"/>
    <col min="6" max="6" width="25" style="1" bestFit="1" customWidth="1"/>
    <col min="7" max="7" width="1.6328125" style="1" hidden="1" customWidth="1"/>
    <col min="8" max="8" width="35.453125" style="6" bestFit="1" customWidth="1"/>
    <col min="9" max="9" width="21.453125" style="6" bestFit="1" customWidth="1"/>
    <col min="10" max="10" width="13.453125" style="7" bestFit="1" customWidth="1"/>
    <col min="11" max="11" width="1.6328125" style="1" hidden="1" customWidth="1"/>
    <col min="12" max="12" width="17.1796875" bestFit="1" customWidth="1"/>
    <col min="13" max="13" width="20.6328125" bestFit="1" customWidth="1"/>
    <col min="14" max="14" width="1.6328125" style="1" hidden="1" customWidth="1"/>
    <col min="15" max="15" width="31" style="462" customWidth="1"/>
    <col min="16" max="16" width="18.81640625" style="462" bestFit="1" customWidth="1"/>
    <col min="17" max="17" width="13.453125" style="462" customWidth="1"/>
    <col min="18" max="18" width="6.36328125" style="462" bestFit="1" customWidth="1"/>
    <col min="19" max="19" width="2.453125" style="462" hidden="1" customWidth="1"/>
    <col min="20" max="20" width="31.453125" style="462" customWidth="1"/>
    <col min="21" max="21" width="21.453125" style="462" customWidth="1"/>
    <col min="22" max="22" width="30.6328125" style="462" bestFit="1" customWidth="1"/>
    <col min="23" max="23" width="1.6328125" style="1" hidden="1" customWidth="1"/>
    <col min="24" max="24" width="19.81640625" style="462" bestFit="1" customWidth="1"/>
    <col min="25" max="25" width="20.453125" style="462" bestFit="1" customWidth="1"/>
    <col min="26" max="26" width="18.1796875" style="462" customWidth="1"/>
    <col min="27" max="27" width="11.453125" style="462" hidden="1" customWidth="1"/>
    <col min="28" max="28" width="2.453125" style="462" hidden="1" customWidth="1"/>
    <col min="29" max="29" width="30.6328125" style="462" bestFit="1" customWidth="1"/>
    <col min="30" max="30" width="15.453125" style="462" customWidth="1"/>
    <col min="31" max="31" width="30.6328125" style="462" bestFit="1" customWidth="1"/>
    <col min="32" max="32" width="1.6328125" style="1" hidden="1" customWidth="1"/>
    <col min="33" max="34" width="19.81640625" style="6" bestFit="1" customWidth="1"/>
    <col min="35" max="35" width="18.6328125" style="6" bestFit="1" customWidth="1"/>
    <col min="36" max="36" width="17.1796875" style="7" bestFit="1" customWidth="1"/>
    <col min="37" max="37" width="1.6328125" style="1" hidden="1" customWidth="1"/>
    <col min="38" max="38" width="17.453125" bestFit="1" customWidth="1"/>
    <col min="39" max="39" width="34.81640625" customWidth="1"/>
    <col min="40" max="40" width="18.36328125" bestFit="1" customWidth="1"/>
    <col min="41" max="41" width="1.6328125" style="1" hidden="1" customWidth="1"/>
    <col min="42" max="42" width="25.6328125" customWidth="1"/>
    <col min="43" max="43" width="35.453125" style="1" customWidth="1"/>
    <col min="44" max="44" width="17.81640625" style="6" bestFit="1" customWidth="1"/>
    <col min="45" max="45" width="37.1796875" style="6" bestFit="1" customWidth="1"/>
    <col min="46" max="46" width="8.81640625" style="6" customWidth="1"/>
    <col min="47" max="47" width="17.1796875" style="7" bestFit="1" customWidth="1"/>
    <col min="48" max="48" width="1.6328125" style="1" hidden="1" customWidth="1"/>
    <col min="49" max="49" width="19.453125" bestFit="1" customWidth="1"/>
    <col min="50" max="50" width="31.453125" customWidth="1"/>
    <col min="51" max="51" width="18.36328125" customWidth="1"/>
    <col min="52" max="52" width="1.6328125" style="1" hidden="1" customWidth="1"/>
    <col min="53" max="53" width="14.6328125" customWidth="1"/>
    <col min="54" max="54" width="31.453125" style="1" customWidth="1"/>
    <col min="55" max="57" width="21.6328125" style="6" customWidth="1"/>
    <col min="58" max="58" width="8.6328125" style="7" customWidth="1"/>
    <col min="59" max="59" width="1.6328125" style="1" customWidth="1"/>
    <col min="60" max="60" width="21.6328125" customWidth="1"/>
    <col min="61" max="61" width="23" customWidth="1"/>
    <col min="62" max="62" width="21.6328125" customWidth="1"/>
  </cols>
  <sheetData>
    <row r="1" spans="1:62" ht="31" x14ac:dyDescent="0.7">
      <c r="F1" s="9118" t="s">
        <v>823</v>
      </c>
      <c r="G1" s="9119"/>
      <c r="H1" s="9119"/>
      <c r="I1" s="9119"/>
      <c r="J1" s="9119"/>
      <c r="K1" s="9119"/>
      <c r="L1" s="9119"/>
      <c r="M1" s="9120"/>
      <c r="O1" s="9121" t="s">
        <v>824</v>
      </c>
      <c r="P1" s="9122"/>
      <c r="Q1" s="9122"/>
      <c r="R1" s="9122"/>
      <c r="S1" s="9122"/>
      <c r="T1" s="9122"/>
      <c r="U1" s="9122"/>
      <c r="V1" s="9122"/>
      <c r="X1" s="9440" t="s">
        <v>825</v>
      </c>
      <c r="Y1" s="9441"/>
      <c r="Z1" s="9441"/>
      <c r="AA1" s="9441"/>
      <c r="AB1" s="9441"/>
      <c r="AC1" s="9441"/>
      <c r="AD1" s="9441"/>
      <c r="AE1" s="9441"/>
      <c r="AG1" s="9437" t="s">
        <v>397</v>
      </c>
      <c r="AH1" s="9438"/>
      <c r="AI1" s="9438"/>
      <c r="AJ1" s="9438"/>
      <c r="AK1" s="9438"/>
      <c r="AL1" s="9438"/>
      <c r="AM1" s="9438"/>
      <c r="AN1" s="9439"/>
      <c r="AR1" s="9437" t="s">
        <v>398</v>
      </c>
      <c r="AS1" s="9438"/>
      <c r="AT1" s="9438"/>
      <c r="AU1" s="9438"/>
      <c r="AV1" s="9438"/>
      <c r="AW1" s="9438"/>
      <c r="AX1" s="9438"/>
      <c r="AY1" s="9439"/>
      <c r="BC1" s="9437" t="s">
        <v>399</v>
      </c>
      <c r="BD1" s="9438"/>
      <c r="BE1" s="9438"/>
      <c r="BF1" s="9438"/>
      <c r="BG1" s="9438"/>
      <c r="BH1" s="9438"/>
      <c r="BI1" s="9438"/>
      <c r="BJ1" s="9439"/>
    </row>
    <row r="2" spans="1:62" ht="21" x14ac:dyDescent="0.5">
      <c r="B2" s="1" t="s">
        <v>829</v>
      </c>
      <c r="C2" s="4" t="s">
        <v>49</v>
      </c>
      <c r="H2"/>
      <c r="X2" s="5549"/>
      <c r="AQ2" s="4" t="s">
        <v>49</v>
      </c>
      <c r="BB2" s="4" t="s">
        <v>49</v>
      </c>
    </row>
    <row r="4" spans="1:62" s="8" customFormat="1" ht="15.25" customHeight="1" x14ac:dyDescent="0.35">
      <c r="D4" s="471"/>
      <c r="F4" s="8326" t="s">
        <v>830</v>
      </c>
      <c r="H4" s="9130" t="s">
        <v>831</v>
      </c>
      <c r="I4" s="9131"/>
      <c r="J4" s="9132"/>
      <c r="L4" s="9130" t="s">
        <v>832</v>
      </c>
      <c r="M4" s="9132"/>
      <c r="O4" s="9133" t="s">
        <v>833</v>
      </c>
      <c r="P4" s="9134"/>
      <c r="Q4" s="9134"/>
      <c r="R4" s="9135"/>
      <c r="S4" s="712"/>
      <c r="T4" s="9133" t="s">
        <v>1289</v>
      </c>
      <c r="U4" s="9134"/>
      <c r="V4" s="9134"/>
      <c r="X4" s="9133" t="s">
        <v>833</v>
      </c>
      <c r="Y4" s="9134"/>
      <c r="Z4" s="9134"/>
      <c r="AA4" s="9135"/>
      <c r="AB4" s="712"/>
      <c r="AC4" s="9133" t="s">
        <v>1289</v>
      </c>
      <c r="AD4" s="9134"/>
      <c r="AE4" s="9134"/>
      <c r="AG4" s="9133" t="s">
        <v>833</v>
      </c>
      <c r="AH4" s="9134"/>
      <c r="AI4" s="9134"/>
      <c r="AJ4" s="9135"/>
      <c r="AL4" s="9133" t="s">
        <v>1289</v>
      </c>
      <c r="AM4" s="9134"/>
      <c r="AN4" s="9134"/>
      <c r="AP4" s="9180" t="s">
        <v>404</v>
      </c>
      <c r="AR4" s="9133" t="s">
        <v>833</v>
      </c>
      <c r="AS4" s="9134"/>
      <c r="AT4" s="9134"/>
      <c r="AU4" s="9135"/>
      <c r="AW4" s="9133" t="s">
        <v>1289</v>
      </c>
      <c r="AX4" s="9134"/>
      <c r="AY4" s="9134"/>
      <c r="BA4" s="9180" t="s">
        <v>404</v>
      </c>
      <c r="BC4" s="9133" t="s">
        <v>833</v>
      </c>
      <c r="BD4" s="9134"/>
      <c r="BE4" s="9134"/>
      <c r="BF4" s="9135"/>
      <c r="BH4" s="9133" t="s">
        <v>1289</v>
      </c>
      <c r="BI4" s="9134"/>
      <c r="BJ4" s="9134"/>
    </row>
    <row r="5" spans="1:62" x14ac:dyDescent="0.35">
      <c r="B5" s="1" t="s">
        <v>835</v>
      </c>
      <c r="C5" s="1538">
        <v>2005</v>
      </c>
      <c r="F5" s="8324">
        <v>2011</v>
      </c>
      <c r="G5" s="12"/>
      <c r="H5" s="9138">
        <v>2014</v>
      </c>
      <c r="I5" s="9139"/>
      <c r="J5" s="9140"/>
      <c r="K5" s="12"/>
      <c r="L5" s="9138">
        <v>2015</v>
      </c>
      <c r="M5" s="9140"/>
      <c r="O5" s="9138">
        <v>2015</v>
      </c>
      <c r="P5" s="9139"/>
      <c r="Q5" s="9139"/>
      <c r="R5" s="9140"/>
      <c r="S5" s="7678"/>
      <c r="T5" s="9138">
        <v>2016</v>
      </c>
      <c r="U5" s="9139"/>
      <c r="V5" s="9139"/>
      <c r="X5" s="9138">
        <v>2016</v>
      </c>
      <c r="Y5" s="9139"/>
      <c r="Z5" s="9139"/>
      <c r="AA5" s="9140"/>
      <c r="AB5" s="3218"/>
      <c r="AC5" s="9138">
        <v>2017</v>
      </c>
      <c r="AD5" s="9139"/>
      <c r="AE5" s="9139"/>
      <c r="AG5" s="9138">
        <v>2017</v>
      </c>
      <c r="AH5" s="9139"/>
      <c r="AI5" s="9139"/>
      <c r="AJ5" s="9140"/>
      <c r="AK5" s="12"/>
      <c r="AL5" s="9138">
        <v>2018</v>
      </c>
      <c r="AM5" s="9139"/>
      <c r="AN5" s="9140"/>
      <c r="AP5" s="9181"/>
      <c r="AQ5" s="1538">
        <v>2005</v>
      </c>
      <c r="AR5" s="9138">
        <v>2018</v>
      </c>
      <c r="AS5" s="9139"/>
      <c r="AT5" s="9139"/>
      <c r="AU5" s="9140"/>
      <c r="AV5" s="12"/>
      <c r="AW5" s="9138">
        <v>2019</v>
      </c>
      <c r="AX5" s="9139"/>
      <c r="AY5" s="9140"/>
      <c r="BA5" s="9181"/>
      <c r="BB5" s="1538">
        <v>2005</v>
      </c>
      <c r="BC5" s="9138">
        <v>2019</v>
      </c>
      <c r="BD5" s="9139"/>
      <c r="BE5" s="9139"/>
      <c r="BF5" s="9140"/>
      <c r="BG5" s="12"/>
      <c r="BH5" s="9138">
        <v>2020</v>
      </c>
      <c r="BI5" s="9139"/>
      <c r="BJ5" s="9140"/>
    </row>
    <row r="6" spans="1:62" x14ac:dyDescent="0.35">
      <c r="C6"/>
      <c r="F6" s="459"/>
      <c r="G6" s="456"/>
      <c r="H6" s="459"/>
      <c r="I6" s="459"/>
      <c r="J6" s="459"/>
      <c r="K6" s="456"/>
      <c r="L6" s="715"/>
      <c r="M6" s="462"/>
      <c r="AL6" s="14"/>
      <c r="AM6" s="14"/>
      <c r="AP6" s="6"/>
      <c r="AQ6"/>
      <c r="AW6" s="14"/>
      <c r="AX6" s="14"/>
      <c r="BA6" s="6"/>
      <c r="BB6"/>
      <c r="BH6" s="14"/>
      <c r="BI6" s="14"/>
    </row>
    <row r="7" spans="1:62" ht="12.75" customHeight="1" x14ac:dyDescent="0.35">
      <c r="B7" s="1" t="s">
        <v>836</v>
      </c>
      <c r="C7" s="714" t="s">
        <v>3436</v>
      </c>
      <c r="D7" s="5" t="s">
        <v>417</v>
      </c>
      <c r="F7" s="717" t="s">
        <v>3437</v>
      </c>
      <c r="G7" s="456"/>
      <c r="H7" s="9194" t="s">
        <v>3437</v>
      </c>
      <c r="I7" s="9194"/>
      <c r="J7" s="9143" t="s">
        <v>1296</v>
      </c>
      <c r="K7" s="456"/>
      <c r="L7" s="9145" t="s">
        <v>3437</v>
      </c>
      <c r="M7" s="9146"/>
      <c r="O7" s="9145" t="str">
        <f>L7</f>
        <v>milliers Ariary</v>
      </c>
      <c r="P7" s="9403"/>
      <c r="Q7" s="9403"/>
      <c r="R7" s="9146"/>
      <c r="S7" s="1539"/>
      <c r="T7" s="9145" t="str">
        <f>L7</f>
        <v>milliers Ariary</v>
      </c>
      <c r="U7" s="9403"/>
      <c r="V7" s="9403"/>
      <c r="X7" s="9145" t="str">
        <f>T7</f>
        <v>milliers Ariary</v>
      </c>
      <c r="Y7" s="9403"/>
      <c r="Z7" s="9403"/>
      <c r="AA7" s="9146"/>
      <c r="AB7" s="5898"/>
      <c r="AC7" s="9145" t="str">
        <f>T7</f>
        <v>milliers Ariary</v>
      </c>
      <c r="AD7" s="9403"/>
      <c r="AE7" s="9403"/>
      <c r="AG7" s="9173" t="s">
        <v>3437</v>
      </c>
      <c r="AH7" s="9173"/>
      <c r="AI7" s="16"/>
      <c r="AJ7" s="9147" t="s">
        <v>419</v>
      </c>
      <c r="AL7" s="9149" t="s">
        <v>3438</v>
      </c>
      <c r="AM7" s="9150"/>
      <c r="AN7" s="9150"/>
      <c r="AP7" s="18"/>
      <c r="AQ7" s="714" t="s">
        <v>3436</v>
      </c>
      <c r="AR7" s="9173" t="s">
        <v>3437</v>
      </c>
      <c r="AS7" s="9173"/>
      <c r="AT7" s="16"/>
      <c r="AU7" s="9147" t="s">
        <v>419</v>
      </c>
      <c r="AW7" s="9149" t="s">
        <v>3438</v>
      </c>
      <c r="AX7" s="9150"/>
      <c r="AY7" s="9150"/>
      <c r="BA7" s="18"/>
      <c r="BB7" s="714" t="s">
        <v>3436</v>
      </c>
      <c r="BC7" s="9173" t="s">
        <v>3437</v>
      </c>
      <c r="BD7" s="9173"/>
      <c r="BE7" s="16"/>
      <c r="BF7" s="9147" t="s">
        <v>419</v>
      </c>
      <c r="BH7" s="9149" t="s">
        <v>3438</v>
      </c>
      <c r="BI7" s="9150"/>
      <c r="BJ7" s="9150"/>
    </row>
    <row r="8" spans="1:62" x14ac:dyDescent="0.35">
      <c r="B8" s="1" t="s">
        <v>841</v>
      </c>
      <c r="C8" s="714" t="s">
        <v>1121</v>
      </c>
      <c r="F8" s="720" t="s">
        <v>843</v>
      </c>
      <c r="G8" s="456"/>
      <c r="H8" s="721" t="s">
        <v>844</v>
      </c>
      <c r="I8" s="720" t="s">
        <v>843</v>
      </c>
      <c r="J8" s="9144"/>
      <c r="K8" s="456"/>
      <c r="L8" s="721" t="s">
        <v>844</v>
      </c>
      <c r="M8" s="720" t="s">
        <v>843</v>
      </c>
      <c r="O8" s="720" t="s">
        <v>1298</v>
      </c>
      <c r="P8" s="720" t="s">
        <v>1299</v>
      </c>
      <c r="Q8" s="720" t="s">
        <v>846</v>
      </c>
      <c r="R8" s="720"/>
      <c r="S8" s="459"/>
      <c r="T8" s="720" t="s">
        <v>1298</v>
      </c>
      <c r="U8" s="720" t="s">
        <v>1300</v>
      </c>
      <c r="V8" s="720" t="s">
        <v>1299</v>
      </c>
      <c r="X8" s="720" t="s">
        <v>1298</v>
      </c>
      <c r="Y8" s="720" t="s">
        <v>1299</v>
      </c>
      <c r="Z8" s="720" t="s">
        <v>846</v>
      </c>
      <c r="AA8" s="720"/>
      <c r="AB8" s="459"/>
      <c r="AC8" s="720" t="s">
        <v>1298</v>
      </c>
      <c r="AD8" s="720" t="s">
        <v>1300</v>
      </c>
      <c r="AE8" s="720" t="s">
        <v>3439</v>
      </c>
      <c r="AG8" s="20" t="s">
        <v>424</v>
      </c>
      <c r="AH8" s="20" t="s">
        <v>96</v>
      </c>
      <c r="AI8" s="22" t="s">
        <v>425</v>
      </c>
      <c r="AJ8" s="9148"/>
      <c r="AL8" s="21" t="s">
        <v>424</v>
      </c>
      <c r="AM8" s="22" t="s">
        <v>425</v>
      </c>
      <c r="AN8" s="23" t="s">
        <v>96</v>
      </c>
      <c r="AP8" s="24"/>
      <c r="AQ8" s="714" t="s">
        <v>1121</v>
      </c>
      <c r="AR8" s="20" t="s">
        <v>424</v>
      </c>
      <c r="AS8" s="20" t="s">
        <v>96</v>
      </c>
      <c r="AT8" s="22" t="s">
        <v>425</v>
      </c>
      <c r="AU8" s="9148"/>
      <c r="AW8" s="21" t="s">
        <v>424</v>
      </c>
      <c r="AX8" s="22" t="s">
        <v>425</v>
      </c>
      <c r="AY8" s="23" t="s">
        <v>96</v>
      </c>
      <c r="BA8" s="24"/>
      <c r="BB8" s="714" t="s">
        <v>1121</v>
      </c>
      <c r="BC8" s="20" t="s">
        <v>424</v>
      </c>
      <c r="BD8" s="20" t="s">
        <v>96</v>
      </c>
      <c r="BE8" s="22" t="s">
        <v>425</v>
      </c>
      <c r="BF8" s="9148"/>
      <c r="BH8" s="21" t="s">
        <v>424</v>
      </c>
      <c r="BI8" s="22" t="s">
        <v>425</v>
      </c>
      <c r="BJ8" s="23" t="s">
        <v>96</v>
      </c>
    </row>
    <row r="9" spans="1:62" x14ac:dyDescent="0.35">
      <c r="C9"/>
      <c r="E9"/>
      <c r="F9"/>
      <c r="G9"/>
      <c r="H9"/>
      <c r="I9"/>
      <c r="J9" s="25"/>
      <c r="K9"/>
      <c r="N9"/>
      <c r="W9"/>
      <c r="AF9"/>
      <c r="AG9"/>
      <c r="AH9"/>
      <c r="AI9"/>
      <c r="AJ9" s="25"/>
      <c r="AK9"/>
      <c r="AO9"/>
      <c r="AQ9"/>
      <c r="AR9"/>
      <c r="AS9"/>
      <c r="AT9"/>
      <c r="AU9" s="25"/>
      <c r="AV9"/>
      <c r="AZ9"/>
      <c r="BB9"/>
      <c r="BC9"/>
      <c r="BD9"/>
      <c r="BE9"/>
      <c r="BF9" s="25"/>
      <c r="BG9"/>
    </row>
    <row r="10" spans="1:62" ht="42.25" customHeight="1" x14ac:dyDescent="0.35">
      <c r="A10" s="9167" t="s">
        <v>854</v>
      </c>
      <c r="B10" s="27"/>
      <c r="C10" s="28" t="s">
        <v>427</v>
      </c>
      <c r="D10" s="29" t="s">
        <v>428</v>
      </c>
      <c r="E10" s="30"/>
      <c r="F10" s="31" t="s">
        <v>3440</v>
      </c>
      <c r="G10"/>
      <c r="H10" s="31" t="s">
        <v>3441</v>
      </c>
      <c r="I10" s="31" t="s">
        <v>3442</v>
      </c>
      <c r="J10" s="472"/>
      <c r="K10" s="510"/>
      <c r="L10" s="31" t="s">
        <v>3443</v>
      </c>
      <c r="M10" s="31" t="s">
        <v>3444</v>
      </c>
      <c r="N10" s="33"/>
      <c r="O10" s="9155" t="s">
        <v>3445</v>
      </c>
      <c r="P10" s="9156"/>
      <c r="Q10" s="5899" t="s">
        <v>3446</v>
      </c>
      <c r="R10" s="472"/>
      <c r="S10" s="1541"/>
      <c r="T10" s="31" t="s">
        <v>3444</v>
      </c>
      <c r="U10" s="3375" t="s">
        <v>3446</v>
      </c>
      <c r="V10" s="31" t="s">
        <v>3444</v>
      </c>
      <c r="W10" s="33"/>
      <c r="X10" s="9155" t="s">
        <v>3447</v>
      </c>
      <c r="Y10" s="9156"/>
      <c r="Z10" s="3375" t="s">
        <v>3448</v>
      </c>
      <c r="AA10" s="472"/>
      <c r="AB10" s="1541"/>
      <c r="AC10" s="31" t="s">
        <v>3444</v>
      </c>
      <c r="AD10" s="3375" t="s">
        <v>3448</v>
      </c>
      <c r="AE10" s="31" t="s">
        <v>3444</v>
      </c>
      <c r="AF10" s="33"/>
      <c r="AG10" s="9448" t="s">
        <v>3449</v>
      </c>
      <c r="AH10" s="9449"/>
      <c r="AI10" s="3375"/>
      <c r="AJ10" s="32"/>
      <c r="AK10" s="33"/>
      <c r="AL10" s="4130" t="s">
        <v>3450</v>
      </c>
      <c r="AM10" s="4583" t="s">
        <v>3451</v>
      </c>
      <c r="AN10" s="34" t="s">
        <v>3096</v>
      </c>
      <c r="AO10" s="33"/>
      <c r="AP10" s="39"/>
      <c r="AQ10" s="28" t="s">
        <v>427</v>
      </c>
      <c r="AR10" s="9433" t="s">
        <v>3452</v>
      </c>
      <c r="AS10" s="9434"/>
      <c r="AT10" s="652" t="s">
        <v>3453</v>
      </c>
      <c r="AU10" s="32"/>
      <c r="AV10" s="33"/>
      <c r="AW10" s="4130" t="s">
        <v>1152</v>
      </c>
      <c r="AX10" s="4583" t="s">
        <v>3451</v>
      </c>
      <c r="AY10" s="34" t="s">
        <v>3096</v>
      </c>
      <c r="AZ10" s="33"/>
      <c r="BA10" s="39"/>
      <c r="BB10" s="28" t="s">
        <v>427</v>
      </c>
      <c r="BC10" s="8414" t="s">
        <v>3454</v>
      </c>
      <c r="BD10" s="8415" t="s">
        <v>3455</v>
      </c>
      <c r="BE10" s="652" t="s">
        <v>3453</v>
      </c>
      <c r="BF10" s="32"/>
      <c r="BG10" s="33"/>
      <c r="BH10" s="4130" t="s">
        <v>3456</v>
      </c>
      <c r="BI10" s="4583" t="s">
        <v>3451</v>
      </c>
      <c r="BJ10" s="34" t="s">
        <v>3096</v>
      </c>
    </row>
    <row r="11" spans="1:62" ht="12.75" customHeight="1" x14ac:dyDescent="0.35">
      <c r="A11" s="9168"/>
      <c r="B11" s="1845" t="s">
        <v>870</v>
      </c>
      <c r="C11" s="4769"/>
      <c r="D11" s="42"/>
      <c r="E11" s="43"/>
      <c r="F11" s="5900"/>
      <c r="G11"/>
      <c r="H11" s="803"/>
      <c r="I11" s="804"/>
      <c r="J11" s="734"/>
      <c r="K11" s="731"/>
      <c r="L11" s="803"/>
      <c r="M11" s="864"/>
      <c r="N11" s="50"/>
      <c r="O11" s="803"/>
      <c r="P11" s="868"/>
      <c r="Q11" s="868" t="s">
        <v>1995</v>
      </c>
      <c r="R11" s="734"/>
      <c r="T11" s="803"/>
      <c r="U11" s="868" t="s">
        <v>1995</v>
      </c>
      <c r="V11" s="734"/>
      <c r="W11" s="43"/>
      <c r="X11" s="803"/>
      <c r="Y11" s="868"/>
      <c r="Z11" s="868"/>
      <c r="AA11" s="734"/>
      <c r="AC11" s="803"/>
      <c r="AD11" s="868"/>
      <c r="AE11" s="734"/>
      <c r="AF11" s="43"/>
      <c r="AG11" s="51"/>
      <c r="AH11" s="4129"/>
      <c r="AI11" s="53"/>
      <c r="AJ11" s="47"/>
      <c r="AK11" s="48"/>
      <c r="AL11" s="3928"/>
      <c r="AM11" s="652" t="s">
        <v>3457</v>
      </c>
      <c r="AN11" s="49"/>
      <c r="AO11" s="43"/>
      <c r="AP11" s="18"/>
      <c r="AQ11" s="4769"/>
      <c r="AR11" s="3928" t="s">
        <v>1146</v>
      </c>
      <c r="AS11" s="3928" t="s">
        <v>3458</v>
      </c>
      <c r="AT11" s="109"/>
      <c r="AU11" s="47"/>
      <c r="AV11" s="48"/>
      <c r="AW11" s="3928"/>
      <c r="AX11" s="7078" t="s">
        <v>3457</v>
      </c>
      <c r="AY11" s="49"/>
      <c r="AZ11" s="43"/>
      <c r="BA11" s="18"/>
      <c r="BB11" s="4769"/>
      <c r="BC11" s="3928"/>
      <c r="BD11" s="3928"/>
      <c r="BE11" s="109"/>
      <c r="BF11" s="47"/>
      <c r="BG11" s="48"/>
      <c r="BH11" s="3928"/>
      <c r="BI11" s="7078" t="s">
        <v>3457</v>
      </c>
      <c r="BJ11" s="49"/>
    </row>
    <row r="12" spans="1:62" x14ac:dyDescent="0.35">
      <c r="A12" s="9168"/>
      <c r="B12" s="58"/>
      <c r="C12" s="59" t="s">
        <v>872</v>
      </c>
      <c r="D12" s="60"/>
      <c r="F12" s="61">
        <f>2270700000-17400000</f>
        <v>2253300000</v>
      </c>
      <c r="G12" s="972"/>
      <c r="H12" s="5066">
        <f>3304330099-258193782</f>
        <v>3046136317</v>
      </c>
      <c r="I12" s="5901">
        <v>2647000000</v>
      </c>
      <c r="J12" s="5902">
        <f>IF(H12=0,0,I12/H12)</f>
        <v>0.86896964696803491</v>
      </c>
      <c r="K12" s="67"/>
      <c r="L12" s="5066">
        <f>3010288549-47184300</f>
        <v>2963104249</v>
      </c>
      <c r="M12" s="5901">
        <f>2494800000*12/10</f>
        <v>2993760000</v>
      </c>
      <c r="N12" s="67"/>
      <c r="O12" s="5090">
        <v>3111600000</v>
      </c>
      <c r="P12" s="5089">
        <v>3092800000</v>
      </c>
      <c r="Q12" s="847"/>
      <c r="R12" s="748"/>
      <c r="S12" s="847"/>
      <c r="T12" s="780">
        <v>3655800000</v>
      </c>
      <c r="U12" s="847"/>
      <c r="V12" s="5550">
        <f>2998600000*12/10</f>
        <v>3598320000</v>
      </c>
      <c r="X12" s="5091">
        <f>36558*100000</f>
        <v>3655800000</v>
      </c>
      <c r="Y12" s="5092">
        <f>37384*100000</f>
        <v>3738400000</v>
      </c>
      <c r="Z12" s="847"/>
      <c r="AA12" s="748"/>
      <c r="AB12" s="847"/>
      <c r="AC12" s="5091">
        <f>4156.6*1000000</f>
        <v>4156600000.0000005</v>
      </c>
      <c r="AD12" s="847"/>
      <c r="AE12" s="5551">
        <f>3614.2*1000000*1.2</f>
        <v>4337040000</v>
      </c>
      <c r="AG12" s="71">
        <f>4080075812+76478850+132282600</f>
        <v>4288837262</v>
      </c>
      <c r="AH12" s="74">
        <v>4828914540.6923904</v>
      </c>
      <c r="AI12" s="70" t="s">
        <v>3459</v>
      </c>
      <c r="AJ12" s="476">
        <f>AH12/AG12</f>
        <v>1.1259262699187933</v>
      </c>
      <c r="AK12" s="65"/>
      <c r="AL12" s="5552">
        <f>AL16-(AL14+AL15)</f>
        <v>6584078154</v>
      </c>
      <c r="AM12" s="53" t="s">
        <v>3460</v>
      </c>
      <c r="AN12" s="66">
        <f>AL12*AJ12</f>
        <v>7413186556.787034</v>
      </c>
      <c r="AP12" s="26"/>
      <c r="AQ12" s="59" t="s">
        <v>872</v>
      </c>
      <c r="AR12" s="7079">
        <f>5224276424</f>
        <v>5224276424</v>
      </c>
      <c r="AS12" s="7080">
        <f>(5135.3)*1000000</f>
        <v>5135300000</v>
      </c>
      <c r="AT12" s="70"/>
      <c r="AU12" s="476">
        <f>AS12/AR12</f>
        <v>0.9829686607716146</v>
      </c>
      <c r="AV12" s="65"/>
      <c r="AW12" s="7081">
        <f>+(5907.9)*1000000</f>
        <v>5907900000</v>
      </c>
      <c r="AX12" s="70" t="s">
        <v>3461</v>
      </c>
      <c r="AY12" s="66">
        <f>AW12*AU12</f>
        <v>5807280550.9726219</v>
      </c>
      <c r="BA12" s="26"/>
      <c r="BB12" s="59" t="s">
        <v>872</v>
      </c>
      <c r="BC12" s="7081">
        <f>+(5907.9)*1000000</f>
        <v>5907900000</v>
      </c>
      <c r="BD12" s="7080">
        <f>(5762.7)*1000000</f>
        <v>5762700000</v>
      </c>
      <c r="BE12" s="116" t="s">
        <v>3462</v>
      </c>
      <c r="BF12" s="476">
        <f>BD12/BC12</f>
        <v>0.97542273904433052</v>
      </c>
      <c r="BG12" s="65"/>
      <c r="BH12" s="7081">
        <f>+(4937.2)*1000000</f>
        <v>4937200000</v>
      </c>
      <c r="BI12" s="116" t="s">
        <v>3462</v>
      </c>
      <c r="BJ12" s="66">
        <f>BH12*BF12</f>
        <v>4815857147.2096691</v>
      </c>
    </row>
    <row r="13" spans="1:62" x14ac:dyDescent="0.35">
      <c r="A13" s="9168"/>
      <c r="B13" s="58"/>
      <c r="C13" s="59" t="s">
        <v>878</v>
      </c>
      <c r="D13" s="60">
        <v>1</v>
      </c>
      <c r="F13" s="61">
        <f>390300000+17400000</f>
        <v>407700000</v>
      </c>
      <c r="G13" s="972"/>
      <c r="H13" s="62">
        <f>366142570+258193782</f>
        <v>624336352</v>
      </c>
      <c r="I13" s="63">
        <v>592900000</v>
      </c>
      <c r="J13" s="5903">
        <f>IF(H13=0,0,I13/H13)</f>
        <v>0.94964837158801219</v>
      </c>
      <c r="K13" s="67"/>
      <c r="L13" s="62">
        <f>486000000+47184300</f>
        <v>533184300</v>
      </c>
      <c r="M13" s="63">
        <f>335900000*12/10</f>
        <v>403080000</v>
      </c>
      <c r="N13" s="67"/>
      <c r="O13" s="746">
        <v>533400000</v>
      </c>
      <c r="P13" s="747">
        <v>424200000</v>
      </c>
      <c r="Q13" s="847"/>
      <c r="R13" s="748"/>
      <c r="S13" s="847"/>
      <c r="T13" s="791">
        <v>636500000</v>
      </c>
      <c r="U13" s="847"/>
      <c r="V13" s="5553">
        <f>396700000*12/10</f>
        <v>476040000</v>
      </c>
      <c r="X13" s="5095">
        <f>636.5*1000000</f>
        <v>636500000</v>
      </c>
      <c r="Y13" s="5096">
        <f>1089.2*1000000</f>
        <v>1089200000</v>
      </c>
      <c r="Z13" s="847"/>
      <c r="AA13" s="748"/>
      <c r="AB13" s="847"/>
      <c r="AC13" s="5095">
        <f>1233*1000000</f>
        <v>1233000000</v>
      </c>
      <c r="AD13" s="847"/>
      <c r="AE13" s="5554">
        <f>467*1000000*1.2</f>
        <v>560400000</v>
      </c>
      <c r="AG13" s="71">
        <f>1008157000+223490000</f>
        <v>1231647000</v>
      </c>
      <c r="AH13" s="74">
        <v>197090213.33847001</v>
      </c>
      <c r="AI13" s="70" t="s">
        <v>3459</v>
      </c>
      <c r="AJ13" s="476">
        <f>AH13/AG13</f>
        <v>0.16002167288067928</v>
      </c>
      <c r="AK13" s="65"/>
      <c r="AL13" s="5555">
        <v>856000000</v>
      </c>
      <c r="AM13" s="53"/>
      <c r="AN13" s="66">
        <f t="shared" ref="AN13:AN24" si="0">AL13*AJ13</f>
        <v>136978551.98586148</v>
      </c>
      <c r="AP13" s="26" t="s">
        <v>3463</v>
      </c>
      <c r="AQ13" s="59" t="s">
        <v>878</v>
      </c>
      <c r="AR13" s="7079"/>
      <c r="AS13" s="7080"/>
      <c r="AT13" s="70"/>
      <c r="AU13" s="476"/>
      <c r="AV13" s="65"/>
      <c r="AW13" s="7079"/>
      <c r="AX13" s="70" t="s">
        <v>3461</v>
      </c>
      <c r="AY13" s="66">
        <f>AW13*AU13</f>
        <v>0</v>
      </c>
      <c r="BA13" s="26" t="s">
        <v>3463</v>
      </c>
      <c r="BB13" s="59" t="s">
        <v>878</v>
      </c>
      <c r="BC13" s="7079"/>
      <c r="BD13" s="7080"/>
      <c r="BE13" s="116"/>
      <c r="BF13" s="476"/>
      <c r="BG13" s="65"/>
      <c r="BH13" s="7079"/>
      <c r="BI13" s="70"/>
      <c r="BJ13" s="66"/>
    </row>
    <row r="14" spans="1:62" x14ac:dyDescent="0.35">
      <c r="A14" s="9168"/>
      <c r="B14" s="75"/>
      <c r="C14" s="4942" t="s">
        <v>1324</v>
      </c>
      <c r="D14" s="60"/>
      <c r="F14" s="77"/>
      <c r="G14" s="972"/>
      <c r="H14" s="78"/>
      <c r="I14" s="79"/>
      <c r="J14" s="5903"/>
      <c r="K14" s="67"/>
      <c r="L14" s="78"/>
      <c r="M14" s="79"/>
      <c r="N14" s="67"/>
      <c r="O14" s="757"/>
      <c r="P14" s="758"/>
      <c r="Q14" s="847"/>
      <c r="R14" s="748"/>
      <c r="S14" s="847"/>
      <c r="T14" s="791"/>
      <c r="U14" s="847"/>
      <c r="V14" s="5556"/>
      <c r="X14" s="757"/>
      <c r="Y14" s="758"/>
      <c r="Z14" s="847"/>
      <c r="AA14" s="748"/>
      <c r="AB14" s="847"/>
      <c r="AC14" s="757"/>
      <c r="AD14" s="847"/>
      <c r="AE14" s="5556"/>
      <c r="AG14" s="760"/>
      <c r="AH14" s="84"/>
      <c r="AI14" s="53"/>
      <c r="AJ14" s="476" t="e">
        <f>AH14/AG14</f>
        <v>#DIV/0!</v>
      </c>
      <c r="AK14" s="80"/>
      <c r="AL14" s="5555"/>
      <c r="AM14" s="53" t="s">
        <v>3464</v>
      </c>
      <c r="AN14" s="66" t="e">
        <f t="shared" si="0"/>
        <v>#DIV/0!</v>
      </c>
      <c r="AP14" s="26"/>
      <c r="AQ14" s="4942" t="s">
        <v>1324</v>
      </c>
      <c r="AR14" s="7079">
        <f>503801730+856000000</f>
        <v>1359801730</v>
      </c>
      <c r="AS14" s="7082">
        <f>1231.1*1000000</f>
        <v>1231100000</v>
      </c>
      <c r="AT14" s="70"/>
      <c r="AU14" s="476">
        <f>AS14/AR14</f>
        <v>0.90535257665836333</v>
      </c>
      <c r="AV14" s="80"/>
      <c r="AW14" s="7079">
        <f>1745.7*1000000</f>
        <v>1745700000</v>
      </c>
      <c r="AX14" s="70" t="s">
        <v>3461</v>
      </c>
      <c r="AY14" s="66">
        <f>AW14*AU14</f>
        <v>1580473993.0725048</v>
      </c>
      <c r="BA14" s="26"/>
      <c r="BB14" s="4942" t="s">
        <v>1324</v>
      </c>
      <c r="BC14" s="7079">
        <f>1745.7*1000000</f>
        <v>1745700000</v>
      </c>
      <c r="BD14" s="7082">
        <v>1586800000</v>
      </c>
      <c r="BE14" s="116" t="s">
        <v>3462</v>
      </c>
      <c r="BF14" s="476">
        <f>BD14/BC14</f>
        <v>0.90897634186859144</v>
      </c>
      <c r="BG14" s="80"/>
      <c r="BH14" s="7079">
        <f>1820.8*1000000</f>
        <v>1820800000</v>
      </c>
      <c r="BI14" s="70" t="s">
        <v>3462</v>
      </c>
      <c r="BJ14" s="66">
        <f>BH14*BF14</f>
        <v>1655064123.2743313</v>
      </c>
    </row>
    <row r="15" spans="1:62" x14ac:dyDescent="0.35">
      <c r="A15" s="9168"/>
      <c r="B15" s="75"/>
      <c r="C15" s="4942" t="s">
        <v>1325</v>
      </c>
      <c r="D15" s="60"/>
      <c r="F15" s="77"/>
      <c r="G15" s="972"/>
      <c r="H15" s="78"/>
      <c r="I15" s="79"/>
      <c r="J15" s="5903"/>
      <c r="K15" s="67"/>
      <c r="L15" s="78"/>
      <c r="M15" s="79"/>
      <c r="N15" s="67"/>
      <c r="O15" s="757"/>
      <c r="P15" s="758"/>
      <c r="Q15" s="847"/>
      <c r="R15" s="754"/>
      <c r="S15" s="847"/>
      <c r="T15" s="791"/>
      <c r="U15" s="847"/>
      <c r="V15" s="5556"/>
      <c r="X15" s="757"/>
      <c r="Y15" s="758"/>
      <c r="Z15" s="847"/>
      <c r="AA15" s="754"/>
      <c r="AB15" s="847"/>
      <c r="AC15" s="757"/>
      <c r="AD15" s="847"/>
      <c r="AE15" s="5556"/>
      <c r="AG15" s="760"/>
      <c r="AH15" s="84"/>
      <c r="AI15" s="53"/>
      <c r="AJ15" s="476" t="e">
        <f>AH15/AG15</f>
        <v>#DIV/0!</v>
      </c>
      <c r="AK15" s="80"/>
      <c r="AL15" s="5557"/>
      <c r="AM15" s="53" t="s">
        <v>3465</v>
      </c>
      <c r="AN15" s="66" t="e">
        <f t="shared" si="0"/>
        <v>#DIV/0!</v>
      </c>
      <c r="AP15" s="26"/>
      <c r="AQ15" s="4942" t="s">
        <v>1325</v>
      </c>
      <c r="AR15" s="7083"/>
      <c r="AS15" s="7082"/>
      <c r="AT15" s="70"/>
      <c r="AU15" s="476" t="e">
        <f>AS15/AR15</f>
        <v>#DIV/0!</v>
      </c>
      <c r="AV15" s="80"/>
      <c r="AW15" s="7083"/>
      <c r="AX15" s="70" t="s">
        <v>3461</v>
      </c>
      <c r="AY15" s="66" t="e">
        <f>AW15*AU15</f>
        <v>#DIV/0!</v>
      </c>
      <c r="BA15" s="26"/>
      <c r="BB15" s="4942" t="s">
        <v>1325</v>
      </c>
      <c r="BC15" s="7083"/>
      <c r="BD15" s="7082"/>
      <c r="BE15" s="106"/>
      <c r="BF15" s="476"/>
      <c r="BG15" s="80"/>
      <c r="BH15" s="7083"/>
      <c r="BI15" s="70"/>
      <c r="BJ15" s="66"/>
    </row>
    <row r="16" spans="1:62" x14ac:dyDescent="0.35">
      <c r="A16" s="9168"/>
      <c r="B16" s="85"/>
      <c r="C16" s="86" t="s">
        <v>882</v>
      </c>
      <c r="D16" s="87"/>
      <c r="F16" s="88">
        <f>SUM(F12:F13)</f>
        <v>2661000000</v>
      </c>
      <c r="G16"/>
      <c r="H16" s="89">
        <f>H12+H13</f>
        <v>3670472669</v>
      </c>
      <c r="I16" s="90">
        <f>I12+I13</f>
        <v>3239900000</v>
      </c>
      <c r="J16" s="5904">
        <f>IF(H16=0,0,I16/H16)</f>
        <v>0.88269285516371732</v>
      </c>
      <c r="K16" s="67"/>
      <c r="L16" s="89">
        <f>SUM(L12:L13)</f>
        <v>3496288549</v>
      </c>
      <c r="M16" s="90">
        <f>SUM(M12:M13)</f>
        <v>3396840000</v>
      </c>
      <c r="N16" s="67"/>
      <c r="O16" s="764">
        <f>SUM(O12:O15)</f>
        <v>3645000000</v>
      </c>
      <c r="P16" s="765">
        <f>SUM(P12:P15)</f>
        <v>3517000000</v>
      </c>
      <c r="Q16" s="1605"/>
      <c r="R16" s="766"/>
      <c r="S16" s="847"/>
      <c r="T16" s="796">
        <f>SUM(T12:T15)</f>
        <v>4292300000</v>
      </c>
      <c r="U16" s="1605"/>
      <c r="V16" s="5558">
        <f>SUM(V12:V15)</f>
        <v>4074360000</v>
      </c>
      <c r="X16" s="5099">
        <f>SUM(X12:X15)</f>
        <v>4292300000</v>
      </c>
      <c r="Y16" s="5100">
        <f>SUM(Y12:Y15)</f>
        <v>4827600000</v>
      </c>
      <c r="Z16" s="1605"/>
      <c r="AA16" s="766"/>
      <c r="AB16" s="847"/>
      <c r="AC16" s="5099">
        <f>SUM(AC12:AC15)</f>
        <v>5389600000</v>
      </c>
      <c r="AD16" s="1605"/>
      <c r="AE16" s="5559">
        <f>SUM(AE12:AE15)</f>
        <v>4897440000</v>
      </c>
      <c r="AG16" s="5559">
        <f>SUM(AG12:AG15)</f>
        <v>5520484262</v>
      </c>
      <c r="AH16" s="5559">
        <f>SUM(AH12:AH15)</f>
        <v>5026004754.0308609</v>
      </c>
      <c r="AI16" s="95"/>
      <c r="AJ16" s="476">
        <f>AH16/AG16</f>
        <v>0.91042823699854269</v>
      </c>
      <c r="AK16" s="80"/>
      <c r="AL16" s="5552">
        <v>6584078154</v>
      </c>
      <c r="AM16" s="53" t="s">
        <v>3466</v>
      </c>
      <c r="AN16" s="66">
        <f t="shared" si="0"/>
        <v>5994330666.0068398</v>
      </c>
      <c r="AP16" s="24"/>
      <c r="AQ16" s="86" t="s">
        <v>882</v>
      </c>
      <c r="AR16" s="7084">
        <f>SUM(AR12:AR15)</f>
        <v>6584078154</v>
      </c>
      <c r="AS16" s="7085">
        <f>6366.4*1000000</f>
        <v>6366400000</v>
      </c>
      <c r="AT16" s="7086"/>
      <c r="AU16" s="484">
        <f>AS16/AR16</f>
        <v>0.96693870441562801</v>
      </c>
      <c r="AV16" s="80"/>
      <c r="AW16" s="7087">
        <f>7653.5*1000000</f>
        <v>7653500000</v>
      </c>
      <c r="AX16" s="95"/>
      <c r="AY16" s="92">
        <f>AW16*AU16</f>
        <v>7400465374.2450094</v>
      </c>
      <c r="BA16" s="24"/>
      <c r="BB16" s="86" t="s">
        <v>882</v>
      </c>
      <c r="BC16" s="7087">
        <f>7653.5*1000000</f>
        <v>7653500000</v>
      </c>
      <c r="BD16" s="7084">
        <f>SUM(BD12:BD15)</f>
        <v>7349500000</v>
      </c>
      <c r="BE16" s="116"/>
      <c r="BF16" s="484">
        <f>BD16/BC16</f>
        <v>0.96027961063565692</v>
      </c>
      <c r="BG16" s="80"/>
      <c r="BH16" s="7084">
        <f>SUM(BH12:BH15)</f>
        <v>6758000000</v>
      </c>
      <c r="BI16" s="95"/>
      <c r="BJ16" s="92">
        <f>BH16*BF16</f>
        <v>6489569608.6757698</v>
      </c>
    </row>
    <row r="17" spans="1:62" x14ac:dyDescent="0.35">
      <c r="A17" s="9168"/>
      <c r="B17" s="100" t="s">
        <v>883</v>
      </c>
      <c r="C17" s="49"/>
      <c r="D17" s="42"/>
      <c r="E17" s="43"/>
      <c r="F17" s="101"/>
      <c r="G17"/>
      <c r="H17" s="102"/>
      <c r="I17" s="103"/>
      <c r="J17" s="5905"/>
      <c r="K17" s="43"/>
      <c r="L17" s="102"/>
      <c r="M17" s="105"/>
      <c r="N17" s="43"/>
      <c r="O17" s="773"/>
      <c r="P17" s="774"/>
      <c r="Q17" s="1618" t="s">
        <v>2916</v>
      </c>
      <c r="R17" s="775"/>
      <c r="S17" s="847"/>
      <c r="T17" s="773"/>
      <c r="U17" s="1618" t="s">
        <v>2916</v>
      </c>
      <c r="V17" s="776"/>
      <c r="W17" s="43"/>
      <c r="X17" s="773"/>
      <c r="Y17" s="774"/>
      <c r="Z17" s="1618"/>
      <c r="AA17" s="775"/>
      <c r="AB17" s="847"/>
      <c r="AC17" s="773"/>
      <c r="AD17" s="1618"/>
      <c r="AE17" s="776"/>
      <c r="AF17" s="43"/>
      <c r="AG17" s="102"/>
      <c r="AH17" s="106"/>
      <c r="AI17" s="53"/>
      <c r="AJ17" s="104"/>
      <c r="AK17" s="43"/>
      <c r="AL17" s="107"/>
      <c r="AM17" s="53"/>
      <c r="AN17" s="105"/>
      <c r="AP17" s="18"/>
      <c r="AQ17" s="49"/>
      <c r="AR17" s="6936" t="s">
        <v>1146</v>
      </c>
      <c r="AS17" s="106" t="s">
        <v>3467</v>
      </c>
      <c r="AT17" s="4127" t="s">
        <v>3468</v>
      </c>
      <c r="AU17" s="73"/>
      <c r="AV17" s="43"/>
      <c r="AW17" s="107"/>
      <c r="AX17" s="109"/>
      <c r="AY17" s="105"/>
      <c r="BA17" s="18"/>
      <c r="BB17" s="49"/>
      <c r="BC17" s="107"/>
      <c r="BD17" s="106" t="s">
        <v>3467</v>
      </c>
      <c r="BE17" s="4127"/>
      <c r="BF17" s="73"/>
      <c r="BG17" s="43"/>
      <c r="BH17" s="107"/>
      <c r="BI17" s="109"/>
      <c r="BJ17" s="105"/>
    </row>
    <row r="18" spans="1:62" ht="15.5" customHeight="1" x14ac:dyDescent="0.35">
      <c r="A18" s="9168"/>
      <c r="B18" s="6082"/>
      <c r="C18" s="110" t="s">
        <v>885</v>
      </c>
      <c r="D18" s="60"/>
      <c r="F18" s="111">
        <f>(1060.4+623.6)*1000000</f>
        <v>1684000000</v>
      </c>
      <c r="G18"/>
      <c r="H18" s="112">
        <f>3965157571-H19</f>
        <v>2787782403</v>
      </c>
      <c r="I18" s="115">
        <f>1444600000+1045900000</f>
        <v>2490500000</v>
      </c>
      <c r="J18" s="5906">
        <f t="shared" ref="J18:J24" si="1">IF(H18=0,0,I18/H18)</f>
        <v>0.89336240781199883</v>
      </c>
      <c r="L18" s="112">
        <f>4787477666-L19</f>
        <v>3728477666</v>
      </c>
      <c r="M18" s="3265">
        <f>(1250000000+863500000)*12/10</f>
        <v>2536200000</v>
      </c>
      <c r="O18" s="780">
        <f>1646500000+1129000000</f>
        <v>2775500000</v>
      </c>
      <c r="P18" s="3265">
        <f>1566100000+1122300000</f>
        <v>2688400000</v>
      </c>
      <c r="Q18" s="847"/>
      <c r="R18" s="782"/>
      <c r="S18" s="847"/>
      <c r="T18" s="780">
        <f>(1804.2+1217.6)*1000000</f>
        <v>3021800000</v>
      </c>
      <c r="U18" s="847"/>
      <c r="V18" s="1038">
        <f>(1417.4+961.4)*1000000*12/10</f>
        <v>2854560000</v>
      </c>
      <c r="X18" s="5104">
        <f>(1808.4+1217.6)*1000000</f>
        <v>3026000000</v>
      </c>
      <c r="Y18" s="3546">
        <f>(1788.5+ 1201.2)*1000000</f>
        <v>2989700000</v>
      </c>
      <c r="Z18" s="847"/>
      <c r="AA18" s="782"/>
      <c r="AB18" s="847"/>
      <c r="AC18" s="5104">
        <f>(1977.2+1273.2)*1000000</f>
        <v>3250400000</v>
      </c>
      <c r="AD18" s="847"/>
      <c r="AE18" s="5560">
        <f>(1594.5+1342.3)*1000000*12/10</f>
        <v>3524160000</v>
      </c>
      <c r="AG18" s="117">
        <v>3953876041</v>
      </c>
      <c r="AH18" s="115">
        <v>4331154760.5734196</v>
      </c>
      <c r="AI18" s="70" t="s">
        <v>3459</v>
      </c>
      <c r="AJ18" s="476">
        <f t="shared" ref="AJ18:AJ24" si="2">AH18/AG18</f>
        <v>1.0954199665495834</v>
      </c>
      <c r="AL18" s="5555">
        <f>2164300000+1984551351</f>
        <v>4148851351</v>
      </c>
      <c r="AM18" s="116" t="s">
        <v>3469</v>
      </c>
      <c r="AN18" s="66">
        <f t="shared" si="0"/>
        <v>4544734608.1316137</v>
      </c>
      <c r="AO18" s="43"/>
      <c r="AP18" s="26"/>
      <c r="AQ18" s="110" t="s">
        <v>885</v>
      </c>
      <c r="AR18" s="156">
        <f>AR24-SUM(AR19:AR23)</f>
        <v>4148859351</v>
      </c>
      <c r="AS18" s="115">
        <f>AS24-SUM(AS19:AS23)</f>
        <v>4011164661</v>
      </c>
      <c r="AT18" s="70" t="s">
        <v>3470</v>
      </c>
      <c r="AU18" s="476">
        <f>AS18/AR18</f>
        <v>0.96681143457735885</v>
      </c>
      <c r="AW18" s="156">
        <f>(4967*1000000)-AW22</f>
        <v>4534300000</v>
      </c>
      <c r="AX18" s="70" t="s">
        <v>3461</v>
      </c>
      <c r="AY18" s="66">
        <f t="shared" ref="AY18:AY24" si="3">AW18*AU18</f>
        <v>4383813087.8041182</v>
      </c>
      <c r="AZ18" s="43"/>
      <c r="BA18" s="26"/>
      <c r="BB18" s="110" t="s">
        <v>885</v>
      </c>
      <c r="BC18" s="156">
        <f>(4967*1000000)-BC22</f>
        <v>4534300000</v>
      </c>
      <c r="BD18" s="156">
        <f>(5066.5*1000000)-BD22</f>
        <v>4710500000</v>
      </c>
      <c r="BE18" s="116" t="s">
        <v>3462</v>
      </c>
      <c r="BF18" s="476">
        <f>BD18/BC18</f>
        <v>1.0388593608715788</v>
      </c>
      <c r="BH18" s="156">
        <f>(5336.7*1000000)-BH22</f>
        <v>4828500000</v>
      </c>
      <c r="BI18" s="70" t="s">
        <v>3462</v>
      </c>
      <c r="BJ18" s="66">
        <f t="shared" ref="BJ18:BJ24" si="4">BH18*BF18</f>
        <v>5016132423.9684181</v>
      </c>
    </row>
    <row r="19" spans="1:62" x14ac:dyDescent="0.35">
      <c r="A19" s="9168"/>
      <c r="B19" s="6082"/>
      <c r="C19" s="110" t="s">
        <v>1168</v>
      </c>
      <c r="D19" s="60"/>
      <c r="F19" s="111">
        <v>841800000</v>
      </c>
      <c r="G19"/>
      <c r="H19" s="3317">
        <v>1177375168</v>
      </c>
      <c r="I19" s="113">
        <v>1015900000</v>
      </c>
      <c r="J19" s="5907">
        <f t="shared" si="1"/>
        <v>0.86285155964831761</v>
      </c>
      <c r="K19" s="374"/>
      <c r="L19" s="112">
        <v>1059000000</v>
      </c>
      <c r="M19" s="3254">
        <f>(823300000)*12/10</f>
        <v>987960000</v>
      </c>
      <c r="O19" s="780"/>
      <c r="P19" s="3254"/>
      <c r="Q19" s="847"/>
      <c r="R19" s="1563"/>
      <c r="S19" s="847"/>
      <c r="T19" s="791"/>
      <c r="U19" s="847"/>
      <c r="V19" s="1042"/>
      <c r="X19" s="780"/>
      <c r="Y19" s="113"/>
      <c r="Z19" s="847"/>
      <c r="AA19" s="1563"/>
      <c r="AB19" s="847"/>
      <c r="AC19" s="791"/>
      <c r="AD19" s="847"/>
      <c r="AE19" s="1042"/>
      <c r="AG19" s="117">
        <v>2830673351</v>
      </c>
      <c r="AH19" s="115">
        <v>1321938712.9707899</v>
      </c>
      <c r="AI19" s="70" t="s">
        <v>3459</v>
      </c>
      <c r="AJ19" s="476">
        <f t="shared" si="2"/>
        <v>0.4670050369830856</v>
      </c>
      <c r="AL19" s="5555"/>
      <c r="AM19" s="116"/>
      <c r="AN19" s="66">
        <f t="shared" si="0"/>
        <v>0</v>
      </c>
      <c r="AP19" s="26"/>
      <c r="AQ19" s="110" t="s">
        <v>1168</v>
      </c>
      <c r="AR19" s="156"/>
      <c r="AS19" s="115"/>
      <c r="AT19" s="70"/>
      <c r="AU19" s="476"/>
      <c r="AW19" s="117"/>
      <c r="AX19" s="70" t="s">
        <v>3471</v>
      </c>
      <c r="AY19" s="66">
        <f t="shared" si="3"/>
        <v>0</v>
      </c>
      <c r="BA19" s="26"/>
      <c r="BB19" s="110" t="s">
        <v>1168</v>
      </c>
      <c r="BC19" s="117"/>
      <c r="BD19" s="115"/>
      <c r="BE19" s="70"/>
      <c r="BF19" s="476"/>
      <c r="BH19" s="117"/>
      <c r="BI19" s="70" t="s">
        <v>3462</v>
      </c>
      <c r="BJ19" s="66"/>
    </row>
    <row r="20" spans="1:62" x14ac:dyDescent="0.35">
      <c r="A20" s="9168"/>
      <c r="B20" s="6082"/>
      <c r="C20" s="4947" t="s">
        <v>1329</v>
      </c>
      <c r="D20" s="60"/>
      <c r="F20" s="122"/>
      <c r="G20"/>
      <c r="H20" s="5908"/>
      <c r="I20" s="123"/>
      <c r="J20" s="5906"/>
      <c r="L20" s="114"/>
      <c r="M20" s="3257"/>
      <c r="O20" s="1566">
        <v>229900000</v>
      </c>
      <c r="P20" s="3257">
        <v>274900000</v>
      </c>
      <c r="Q20" s="847"/>
      <c r="R20" s="782"/>
      <c r="S20" s="847"/>
      <c r="T20" s="780">
        <v>492000000</v>
      </c>
      <c r="U20" s="847"/>
      <c r="V20" s="1555">
        <f>263600000*12/10</f>
        <v>316320000</v>
      </c>
      <c r="X20" s="5106">
        <f>492*1000000</f>
        <v>492000000</v>
      </c>
      <c r="Y20" s="5561">
        <f>419*1000000</f>
        <v>419000000</v>
      </c>
      <c r="Z20" s="847"/>
      <c r="AA20" s="782"/>
      <c r="AB20" s="847"/>
      <c r="AC20" s="5104">
        <f>686.4*1000000</f>
        <v>686400000</v>
      </c>
      <c r="AD20" s="847"/>
      <c r="AE20" s="5562">
        <f>341.1*1000000*12/10</f>
        <v>409320000</v>
      </c>
      <c r="AG20" s="117"/>
      <c r="AH20" s="115"/>
      <c r="AI20" s="116"/>
      <c r="AJ20" s="476" t="e">
        <f t="shared" si="2"/>
        <v>#DIV/0!</v>
      </c>
      <c r="AL20" s="5555">
        <f>822712101+35555639+124478102+10743196</f>
        <v>993489038</v>
      </c>
      <c r="AM20" s="116" t="s">
        <v>3469</v>
      </c>
      <c r="AN20" s="66">
        <f>AL20*AJ19</f>
        <v>463964384.93348014</v>
      </c>
      <c r="AP20" s="26"/>
      <c r="AQ20" s="4947" t="s">
        <v>1329</v>
      </c>
      <c r="AR20" s="156">
        <v>993489038</v>
      </c>
      <c r="AS20" s="115">
        <v>911022155</v>
      </c>
      <c r="AT20" s="70"/>
      <c r="AU20" s="476">
        <f>AS20/AR20</f>
        <v>0.9169926593593678</v>
      </c>
      <c r="AW20" s="117">
        <f>1536.9*1000000</f>
        <v>1536900000</v>
      </c>
      <c r="AX20" s="70" t="s">
        <v>3472</v>
      </c>
      <c r="AY20" s="66">
        <f t="shared" si="3"/>
        <v>1409326018.1694124</v>
      </c>
      <c r="BA20" s="26"/>
      <c r="BB20" s="4947" t="s">
        <v>1329</v>
      </c>
      <c r="BC20" s="117">
        <f>1536.9*1000000</f>
        <v>1536900000</v>
      </c>
      <c r="BD20" s="115">
        <v>748700000</v>
      </c>
      <c r="BE20" s="116" t="s">
        <v>3462</v>
      </c>
      <c r="BF20" s="476">
        <f>BD20/BC20</f>
        <v>0.48714945669854903</v>
      </c>
      <c r="BH20" s="117">
        <f>2366.6*1000000</f>
        <v>2366600000</v>
      </c>
      <c r="BI20" s="70" t="s">
        <v>3462</v>
      </c>
      <c r="BJ20" s="66">
        <f t="shared" si="4"/>
        <v>1152887904.2227862</v>
      </c>
    </row>
    <row r="21" spans="1:62" x14ac:dyDescent="0.35">
      <c r="A21" s="9168"/>
      <c r="B21" s="6082"/>
      <c r="C21" s="4947" t="s">
        <v>1330</v>
      </c>
      <c r="D21" s="60"/>
      <c r="F21" s="122"/>
      <c r="G21"/>
      <c r="H21" s="5908"/>
      <c r="I21" s="123"/>
      <c r="J21" s="5906"/>
      <c r="L21" s="114"/>
      <c r="M21" s="3257"/>
      <c r="O21" s="791">
        <v>1059100000</v>
      </c>
      <c r="P21" s="3257">
        <v>725600000</v>
      </c>
      <c r="Q21" s="5909"/>
      <c r="R21" s="782"/>
      <c r="S21" s="847"/>
      <c r="T21" s="878">
        <v>1189100000</v>
      </c>
      <c r="U21" s="847"/>
      <c r="V21" s="1555">
        <f>683900000*12/10</f>
        <v>820680000</v>
      </c>
      <c r="X21" s="5110">
        <f>1189.1*1000000</f>
        <v>1189100000</v>
      </c>
      <c r="Y21" s="5561">
        <f>1202.6*1000000</f>
        <v>1202600000</v>
      </c>
      <c r="Z21" s="5909"/>
      <c r="AA21" s="782"/>
      <c r="AB21" s="847"/>
      <c r="AC21" s="3174">
        <f>2195.5*1000000</f>
        <v>2195500000</v>
      </c>
      <c r="AD21" s="847"/>
      <c r="AE21" s="5562">
        <f>830.2*1000000*12/10</f>
        <v>996240000</v>
      </c>
      <c r="AG21" s="117"/>
      <c r="AH21" s="115"/>
      <c r="AI21" s="53"/>
      <c r="AJ21" s="476" t="e">
        <f t="shared" si="2"/>
        <v>#DIV/0!</v>
      </c>
      <c r="AL21" s="5555">
        <f>856000000+1021819962</f>
        <v>1877819962</v>
      </c>
      <c r="AM21" s="116" t="s">
        <v>3469</v>
      </c>
      <c r="AN21" s="66">
        <f>AL21*AJ19</f>
        <v>876951380.80138636</v>
      </c>
      <c r="AP21" s="26"/>
      <c r="AQ21" s="4947" t="s">
        <v>1330</v>
      </c>
      <c r="AR21" s="156">
        <v>1877819962</v>
      </c>
      <c r="AS21" s="115">
        <v>1114684680</v>
      </c>
      <c r="AT21" s="70"/>
      <c r="AU21" s="476">
        <f>AS21/AR21</f>
        <v>0.59360572501997932</v>
      </c>
      <c r="AW21" s="117">
        <f>2312.3*1000000</f>
        <v>2312300000</v>
      </c>
      <c r="AX21" s="70" t="s">
        <v>3473</v>
      </c>
      <c r="AY21" s="66">
        <f t="shared" si="3"/>
        <v>1372594517.9636981</v>
      </c>
      <c r="BA21" s="26"/>
      <c r="BB21" s="4947" t="s">
        <v>1330</v>
      </c>
      <c r="BC21" s="117">
        <f>2312.3*1000000</f>
        <v>2312300000</v>
      </c>
      <c r="BD21" s="115">
        <v>2105900000</v>
      </c>
      <c r="BE21" s="116" t="s">
        <v>3462</v>
      </c>
      <c r="BF21" s="476">
        <f>BD21/BC21</f>
        <v>0.91073822600873588</v>
      </c>
      <c r="BH21" s="117">
        <f>2828.6*1000000</f>
        <v>2828600000</v>
      </c>
      <c r="BI21" s="70" t="s">
        <v>3462</v>
      </c>
      <c r="BJ21" s="66">
        <f t="shared" si="4"/>
        <v>2576114146.0883102</v>
      </c>
    </row>
    <row r="22" spans="1:62" x14ac:dyDescent="0.35">
      <c r="A22" s="9168"/>
      <c r="B22" s="6082"/>
      <c r="C22" s="4947" t="s">
        <v>1331</v>
      </c>
      <c r="D22" s="60"/>
      <c r="F22" s="163">
        <f>(143.2+314.6)*1000000</f>
        <v>457800000</v>
      </c>
      <c r="G22" s="1569"/>
      <c r="H22" s="242">
        <v>314490370</v>
      </c>
      <c r="I22" s="243">
        <f>I24-I18-I19</f>
        <v>326800000</v>
      </c>
      <c r="J22" s="5910">
        <f t="shared" si="1"/>
        <v>1.039141516479503</v>
      </c>
      <c r="K22" s="274"/>
      <c r="L22" s="242">
        <v>260503000</v>
      </c>
      <c r="M22" s="3272">
        <f>M24-M18-M19</f>
        <v>585960000</v>
      </c>
      <c r="O22" s="791">
        <f>70200000+190300000</f>
        <v>260500000</v>
      </c>
      <c r="P22" s="3272">
        <f>57400000+173500000</f>
        <v>230900000</v>
      </c>
      <c r="Q22" s="5911"/>
      <c r="R22" s="782"/>
      <c r="S22" s="847"/>
      <c r="T22" s="791">
        <f>76100000+213800000</f>
        <v>289900000</v>
      </c>
      <c r="U22" s="847"/>
      <c r="V22" s="1040">
        <f>52200000+146600000</f>
        <v>198800000</v>
      </c>
      <c r="X22" s="5110">
        <f>(76.1+213.8)*1000000</f>
        <v>289900000</v>
      </c>
      <c r="Y22" s="5563">
        <f>(64.7+213.4)*1000000</f>
        <v>278100000</v>
      </c>
      <c r="Z22" s="5911"/>
      <c r="AA22" s="782"/>
      <c r="AB22" s="847"/>
      <c r="AC22" s="5110">
        <f>(102.5+209)*1000000</f>
        <v>311500000</v>
      </c>
      <c r="AD22" s="847"/>
      <c r="AE22" s="5564">
        <f>(57.5+144.8)*1000000*1.2</f>
        <v>242760000</v>
      </c>
      <c r="AG22" s="114">
        <v>317470000</v>
      </c>
      <c r="AH22" s="123">
        <v>336270000</v>
      </c>
      <c r="AI22" s="116" t="s">
        <v>3474</v>
      </c>
      <c r="AJ22" s="476">
        <f t="shared" si="2"/>
        <v>1.0592181938450878</v>
      </c>
      <c r="AL22" s="5565"/>
      <c r="AM22" s="116"/>
      <c r="AN22" s="66">
        <f t="shared" si="0"/>
        <v>0</v>
      </c>
      <c r="AP22" s="26"/>
      <c r="AQ22" s="4947" t="s">
        <v>1331</v>
      </c>
      <c r="AR22" s="156">
        <v>384198193</v>
      </c>
      <c r="AS22" s="115">
        <v>363605399</v>
      </c>
      <c r="AT22" s="70"/>
      <c r="AU22" s="476">
        <f>AS22/AR22</f>
        <v>0.94640059642341945</v>
      </c>
      <c r="AW22" s="114">
        <f>(146+286.7)*1000000</f>
        <v>432700000</v>
      </c>
      <c r="AX22" s="70" t="s">
        <v>3475</v>
      </c>
      <c r="AY22" s="66">
        <f t="shared" si="3"/>
        <v>409507538.07241362</v>
      </c>
      <c r="BA22" s="26"/>
      <c r="BB22" s="4947" t="s">
        <v>1331</v>
      </c>
      <c r="BC22" s="114">
        <f>(146+286.7)*1000000</f>
        <v>432700000</v>
      </c>
      <c r="BD22" s="115">
        <f>(106.8+249.2)*1000000</f>
        <v>356000000</v>
      </c>
      <c r="BE22" s="116" t="s">
        <v>3462</v>
      </c>
      <c r="BF22" s="476">
        <f>BD22/BC22</f>
        <v>0.82274092905015017</v>
      </c>
      <c r="BH22" s="114">
        <f>(208+300.2)*1000000</f>
        <v>508200000</v>
      </c>
      <c r="BI22" s="70" t="s">
        <v>3462</v>
      </c>
      <c r="BJ22" s="66">
        <f t="shared" si="4"/>
        <v>418116940.14328629</v>
      </c>
    </row>
    <row r="23" spans="1:62" x14ac:dyDescent="0.35">
      <c r="A23" s="9168"/>
      <c r="B23" s="6082"/>
      <c r="C23" s="4947" t="s">
        <v>1169</v>
      </c>
      <c r="D23" s="60"/>
      <c r="F23" s="163"/>
      <c r="G23" s="235"/>
      <c r="H23" s="242"/>
      <c r="I23" s="243"/>
      <c r="J23" s="5906"/>
      <c r="L23" s="242"/>
      <c r="M23" s="3272"/>
      <c r="O23" s="791">
        <v>527500000</v>
      </c>
      <c r="P23" s="3272">
        <v>453200000</v>
      </c>
      <c r="Q23" s="5911"/>
      <c r="R23" s="1571"/>
      <c r="S23" s="847"/>
      <c r="T23" s="791">
        <v>321900000</v>
      </c>
      <c r="U23" s="847"/>
      <c r="V23" s="1040">
        <f>305000000*12/10</f>
        <v>366000000</v>
      </c>
      <c r="X23" s="5110">
        <f>321.9*1000000</f>
        <v>321900000</v>
      </c>
      <c r="Y23" s="5563">
        <f>351*1000000</f>
        <v>351000000</v>
      </c>
      <c r="Z23" s="5911"/>
      <c r="AA23" s="1571"/>
      <c r="AB23" s="847"/>
      <c r="AC23" s="5110">
        <f>265.4*1000000</f>
        <v>265399999.99999997</v>
      </c>
      <c r="AD23" s="847"/>
      <c r="AE23" s="5564">
        <f>322.4*1000000*12/10</f>
        <v>386880000</v>
      </c>
      <c r="AG23" s="114"/>
      <c r="AH23" s="123"/>
      <c r="AI23" s="127"/>
      <c r="AJ23" s="476" t="e">
        <f t="shared" si="2"/>
        <v>#DIV/0!</v>
      </c>
      <c r="AL23" s="5565">
        <f>384198193</f>
        <v>384198193</v>
      </c>
      <c r="AM23" s="116" t="s">
        <v>3469</v>
      </c>
      <c r="AN23" s="66">
        <f>AL23*AJ22</f>
        <v>406949716.06800646</v>
      </c>
      <c r="AP23" s="26"/>
      <c r="AQ23" s="4947" t="s">
        <v>1169</v>
      </c>
      <c r="AR23" s="156"/>
      <c r="AS23" s="115"/>
      <c r="AT23" s="70"/>
      <c r="AU23" s="476"/>
      <c r="AW23" s="114"/>
      <c r="AX23" s="70" t="s">
        <v>3476</v>
      </c>
      <c r="AY23" s="66">
        <f t="shared" si="3"/>
        <v>0</v>
      </c>
      <c r="BA23" s="26"/>
      <c r="BB23" s="4947" t="s">
        <v>1169</v>
      </c>
      <c r="BC23" s="114"/>
      <c r="BD23" s="115"/>
      <c r="BE23" s="70"/>
      <c r="BF23" s="476"/>
      <c r="BH23" s="114"/>
      <c r="BI23" s="70" t="s">
        <v>3462</v>
      </c>
      <c r="BJ23" s="66"/>
    </row>
    <row r="24" spans="1:62" x14ac:dyDescent="0.35">
      <c r="A24" s="9168"/>
      <c r="B24" s="128"/>
      <c r="C24" s="129" t="s">
        <v>903</v>
      </c>
      <c r="D24" s="87"/>
      <c r="F24" s="130">
        <f>SUM(F18:F22)</f>
        <v>2983600000</v>
      </c>
      <c r="G24" s="235"/>
      <c r="H24" s="131">
        <f>H18+H19+H22</f>
        <v>4279647941</v>
      </c>
      <c r="I24" s="132">
        <v>3833200000</v>
      </c>
      <c r="J24" s="5912">
        <f t="shared" si="1"/>
        <v>0.89568115247917302</v>
      </c>
      <c r="L24" s="131">
        <f>L18+L19+L22</f>
        <v>5047980666</v>
      </c>
      <c r="M24" s="3264">
        <f>(3425100000)*12/10</f>
        <v>4110120000</v>
      </c>
      <c r="O24" s="796">
        <f>SUM(O18:O23)</f>
        <v>4852500000</v>
      </c>
      <c r="P24" s="3264">
        <f>SUM(P18:P23)</f>
        <v>4373000000</v>
      </c>
      <c r="Q24" s="1605"/>
      <c r="R24" s="798"/>
      <c r="S24" s="847"/>
      <c r="T24" s="796">
        <f>SUM(T18:T23)</f>
        <v>5314700000</v>
      </c>
      <c r="U24" s="1605"/>
      <c r="V24" s="1046">
        <f>SUM(V18:V23)</f>
        <v>4556360000</v>
      </c>
      <c r="X24" s="5112">
        <f>SUM(X18:X23)</f>
        <v>5318900000</v>
      </c>
      <c r="Y24" s="1782">
        <f>SUM(Y18:Y23)</f>
        <v>5240400000</v>
      </c>
      <c r="Z24" s="1605"/>
      <c r="AA24" s="798"/>
      <c r="AB24" s="847"/>
      <c r="AC24" s="5112">
        <f>SUM(AC18:AC23)</f>
        <v>6709200000</v>
      </c>
      <c r="AD24" s="1605"/>
      <c r="AE24" s="5566">
        <f>SUM(AE18:AE23)</f>
        <v>5559360000</v>
      </c>
      <c r="AG24" s="5566">
        <f>SUM(AG18:AG23)</f>
        <v>7102019392</v>
      </c>
      <c r="AH24" s="5566">
        <f>SUM(AH18:AH23)</f>
        <v>5989363473.5442095</v>
      </c>
      <c r="AI24" s="116"/>
      <c r="AJ24" s="476">
        <f t="shared" si="2"/>
        <v>0.84333245841188054</v>
      </c>
      <c r="AL24" s="5567">
        <f>SUM(AL18:AL23)</f>
        <v>7404358544</v>
      </c>
      <c r="AM24" s="116" t="s">
        <v>3469</v>
      </c>
      <c r="AN24" s="66">
        <f t="shared" si="0"/>
        <v>6244335893.8745327</v>
      </c>
      <c r="AP24" s="24"/>
      <c r="AQ24" s="129" t="s">
        <v>903</v>
      </c>
      <c r="AR24" s="156">
        <v>7404366544</v>
      </c>
      <c r="AS24" s="5566">
        <v>6400476895</v>
      </c>
      <c r="AT24" s="116"/>
      <c r="AU24" s="476">
        <f>AS24/AR24</f>
        <v>0.86441923923748964</v>
      </c>
      <c r="AW24" s="7088">
        <f>SUM(AW18:AW23)</f>
        <v>8816200000</v>
      </c>
      <c r="AX24" s="7086" t="s">
        <v>3477</v>
      </c>
      <c r="AY24" s="92">
        <f t="shared" si="3"/>
        <v>7620892896.9655561</v>
      </c>
      <c r="BA24" s="24"/>
      <c r="BB24" s="129" t="s">
        <v>903</v>
      </c>
      <c r="BC24" s="7088">
        <f>SUM(BC18:BC23)</f>
        <v>8816200000</v>
      </c>
      <c r="BD24" s="7088">
        <f>SUM(BD18:BD23)</f>
        <v>7921100000</v>
      </c>
      <c r="BE24" s="116" t="s">
        <v>3462</v>
      </c>
      <c r="BF24" s="476">
        <f>BD24/BC24</f>
        <v>0.89847099657448792</v>
      </c>
      <c r="BH24" s="7088">
        <f>SUM(BH18:BH23)</f>
        <v>10531900000</v>
      </c>
      <c r="BI24" s="7086"/>
      <c r="BJ24" s="92">
        <f t="shared" si="4"/>
        <v>9462606688.8228493</v>
      </c>
    </row>
    <row r="25" spans="1:62" x14ac:dyDescent="0.35">
      <c r="A25" s="9168"/>
      <c r="B25" s="139" t="s">
        <v>904</v>
      </c>
      <c r="C25" s="49"/>
      <c r="D25" s="140"/>
      <c r="E25" s="141"/>
      <c r="F25" s="1578"/>
      <c r="G25" s="1579"/>
      <c r="H25" s="149" t="s">
        <v>3478</v>
      </c>
      <c r="I25" s="4472"/>
      <c r="J25" s="5913"/>
      <c r="K25" s="141"/>
      <c r="L25" s="1581"/>
      <c r="M25" s="5914"/>
      <c r="N25" s="141"/>
      <c r="O25" s="1582"/>
      <c r="P25" s="5568"/>
      <c r="Q25" s="5568"/>
      <c r="R25" s="805"/>
      <c r="S25" s="938"/>
      <c r="T25" s="1582"/>
      <c r="U25" s="5568"/>
      <c r="V25" s="5915"/>
      <c r="W25" s="141"/>
      <c r="X25" s="1582"/>
      <c r="Y25" s="5568"/>
      <c r="Z25" s="5568"/>
      <c r="AA25" s="805"/>
      <c r="AB25" s="938"/>
      <c r="AC25" s="1582"/>
      <c r="AD25" s="5568"/>
      <c r="AE25" s="5915"/>
      <c r="AF25" s="141"/>
      <c r="AG25" s="149"/>
      <c r="AH25" s="150"/>
      <c r="AI25" s="145"/>
      <c r="AJ25" s="486"/>
      <c r="AK25" s="141"/>
      <c r="AL25" s="4055"/>
      <c r="AM25" s="53"/>
      <c r="AN25" s="148"/>
      <c r="AP25" s="18"/>
      <c r="AQ25" s="49"/>
      <c r="AR25" s="149"/>
      <c r="AS25" s="150"/>
      <c r="AT25" s="145"/>
      <c r="AU25" s="486"/>
      <c r="AV25" s="141"/>
      <c r="AW25" s="6936"/>
      <c r="AX25" s="53"/>
      <c r="AY25" s="157"/>
      <c r="BA25" s="18"/>
      <c r="BB25" s="49"/>
      <c r="BC25" s="6936"/>
      <c r="BD25" s="150"/>
      <c r="BE25" s="145"/>
      <c r="BF25" s="486"/>
      <c r="BG25" s="141"/>
      <c r="BH25" s="6936"/>
      <c r="BI25" s="53"/>
      <c r="BJ25" s="157"/>
    </row>
    <row r="26" spans="1:62" x14ac:dyDescent="0.35">
      <c r="A26" s="9168"/>
      <c r="B26" s="6082"/>
      <c r="C26" s="110" t="s">
        <v>905</v>
      </c>
      <c r="D26" s="60"/>
      <c r="F26" s="155">
        <v>1060400000</v>
      </c>
      <c r="G26" s="235"/>
      <c r="H26" s="117">
        <v>1650000000</v>
      </c>
      <c r="I26" s="115">
        <f>1444600000</f>
        <v>1444600000</v>
      </c>
      <c r="J26" s="5906">
        <f>IF(H26=0,0,I26/H26)</f>
        <v>0.87551515151515147</v>
      </c>
      <c r="L26" s="156">
        <v>1651626878</v>
      </c>
      <c r="M26" s="3265">
        <v>1250000000</v>
      </c>
      <c r="O26" s="156">
        <v>1651626878</v>
      </c>
      <c r="P26" s="115">
        <v>1250000000</v>
      </c>
      <c r="Q26" s="938"/>
      <c r="R26" s="782"/>
      <c r="S26" s="938"/>
      <c r="T26" s="785">
        <v>1808400000</v>
      </c>
      <c r="U26" s="938" t="s">
        <v>1706</v>
      </c>
      <c r="V26" s="1038">
        <f>1417400000*12/10</f>
        <v>1700880000</v>
      </c>
      <c r="X26" s="3169">
        <f>1808.4*1000000</f>
        <v>1808400000</v>
      </c>
      <c r="Y26" s="3546">
        <f>1788.5*1000000</f>
        <v>1788500000</v>
      </c>
      <c r="Z26" s="938"/>
      <c r="AA26" s="782"/>
      <c r="AB26" s="938"/>
      <c r="AC26" s="5138">
        <f>1977.2*1000000</f>
        <v>1977200000</v>
      </c>
      <c r="AD26" s="938"/>
      <c r="AE26" s="5560">
        <f>1594.5*1000000*12/10</f>
        <v>1913400000</v>
      </c>
      <c r="AG26" s="117">
        <v>1806800000</v>
      </c>
      <c r="AH26" s="115">
        <v>1800840000</v>
      </c>
      <c r="AI26" s="116"/>
      <c r="AJ26" s="476">
        <f>AH26/AG26</f>
        <v>0.99670135045384101</v>
      </c>
      <c r="AL26" s="156">
        <v>2164300000</v>
      </c>
      <c r="AM26" s="116" t="s">
        <v>3469</v>
      </c>
      <c r="AN26" s="66">
        <f>AL26*AJ26</f>
        <v>2157160732.7872481</v>
      </c>
      <c r="AO26" s="141"/>
      <c r="AP26" s="26"/>
      <c r="AQ26" s="110" t="s">
        <v>905</v>
      </c>
      <c r="AR26" s="156">
        <v>2164300000</v>
      </c>
      <c r="AS26" s="115">
        <v>2159763538</v>
      </c>
      <c r="AT26" s="116"/>
      <c r="AU26" s="476">
        <f>AS26/AR26</f>
        <v>0.99790395878575056</v>
      </c>
      <c r="AW26" s="156">
        <f>2575.4*1000000</f>
        <v>2575400000</v>
      </c>
      <c r="AX26" s="70" t="s">
        <v>3477</v>
      </c>
      <c r="AY26" s="66">
        <f>AW26*AU26</f>
        <v>2570001855.4568219</v>
      </c>
      <c r="AZ26" s="141"/>
      <c r="BA26" s="26"/>
      <c r="BB26" s="110" t="s">
        <v>905</v>
      </c>
      <c r="BC26" s="156">
        <f>2575.4*1000000</f>
        <v>2575400000</v>
      </c>
      <c r="BD26" s="115">
        <v>2489600000</v>
      </c>
      <c r="BE26" s="116"/>
      <c r="BF26" s="476">
        <f>BD26/BC26</f>
        <v>0.96668478682923042</v>
      </c>
      <c r="BH26" s="156">
        <f>2912.1*1000000</f>
        <v>2912100000</v>
      </c>
      <c r="BI26" s="70" t="s">
        <v>3462</v>
      </c>
      <c r="BJ26" s="66">
        <f>BH26*BF26</f>
        <v>2815082767.7254019</v>
      </c>
    </row>
    <row r="27" spans="1:62" x14ac:dyDescent="0.35">
      <c r="A27" s="9168"/>
      <c r="B27" s="6082"/>
      <c r="C27" s="110" t="s">
        <v>907</v>
      </c>
      <c r="D27" s="60"/>
      <c r="F27" s="155"/>
      <c r="G27" s="235"/>
      <c r="H27" s="117"/>
      <c r="I27" s="115"/>
      <c r="J27" s="5906">
        <f>IF(H27=0,0,I27/H27)</f>
        <v>0</v>
      </c>
      <c r="L27" s="156"/>
      <c r="M27" s="3265"/>
      <c r="O27" s="156"/>
      <c r="P27" s="115"/>
      <c r="Q27" s="938"/>
      <c r="R27" s="782"/>
      <c r="S27" s="938"/>
      <c r="T27" s="785"/>
      <c r="U27" s="938"/>
      <c r="V27" s="1038"/>
      <c r="X27" s="156"/>
      <c r="Y27" s="115"/>
      <c r="Z27" s="938"/>
      <c r="AA27" s="782"/>
      <c r="AB27" s="938"/>
      <c r="AC27" s="785"/>
      <c r="AD27" s="938"/>
      <c r="AE27" s="1038"/>
      <c r="AG27" s="117"/>
      <c r="AH27" s="115"/>
      <c r="AI27" s="116"/>
      <c r="AJ27" s="476"/>
      <c r="AL27" s="156"/>
      <c r="AM27" s="116"/>
      <c r="AN27" s="66"/>
      <c r="AP27" s="723"/>
      <c r="AQ27" s="110" t="s">
        <v>907</v>
      </c>
      <c r="AR27" s="117"/>
      <c r="AS27" s="115"/>
      <c r="AT27" s="116"/>
      <c r="AU27" s="476"/>
      <c r="AW27" s="156"/>
      <c r="AX27" s="116"/>
      <c r="AY27" s="66"/>
      <c r="BA27" s="723"/>
      <c r="BB27" s="110" t="s">
        <v>907</v>
      </c>
      <c r="BC27" s="117"/>
      <c r="BD27" s="115"/>
      <c r="BE27" s="116"/>
      <c r="BF27" s="476"/>
      <c r="BH27" s="156"/>
      <c r="BI27" s="116"/>
      <c r="BJ27" s="66"/>
    </row>
    <row r="28" spans="1:62" x14ac:dyDescent="0.35">
      <c r="A28" s="9168"/>
      <c r="B28" s="6082"/>
      <c r="C28" s="110" t="s">
        <v>908</v>
      </c>
      <c r="D28" s="60"/>
      <c r="F28" s="155"/>
      <c r="G28" s="235"/>
      <c r="H28" s="117"/>
      <c r="I28" s="115"/>
      <c r="J28" s="5906">
        <f>IF(H28=0,0,I28/H28)</f>
        <v>0</v>
      </c>
      <c r="L28" s="156"/>
      <c r="M28" s="3265"/>
      <c r="O28" s="156"/>
      <c r="P28" s="115"/>
      <c r="Q28" s="938"/>
      <c r="R28" s="782"/>
      <c r="S28" s="938"/>
      <c r="T28" s="785"/>
      <c r="U28" s="938"/>
      <c r="V28" s="1038"/>
      <c r="X28" s="156"/>
      <c r="Y28" s="115"/>
      <c r="Z28" s="938"/>
      <c r="AA28" s="782"/>
      <c r="AB28" s="938"/>
      <c r="AC28" s="785"/>
      <c r="AD28" s="938"/>
      <c r="AE28" s="1038"/>
      <c r="AG28" s="117"/>
      <c r="AH28" s="115"/>
      <c r="AI28" s="116"/>
      <c r="AJ28" s="476"/>
      <c r="AL28" s="159"/>
      <c r="AM28" s="116"/>
      <c r="AN28" s="66"/>
      <c r="AP28" s="26"/>
      <c r="AQ28" s="110" t="s">
        <v>908</v>
      </c>
      <c r="AR28" s="117"/>
      <c r="AS28" s="115"/>
      <c r="AT28" s="116"/>
      <c r="AU28" s="476"/>
      <c r="AW28" s="159"/>
      <c r="AX28" s="116"/>
      <c r="AY28" s="66"/>
      <c r="BA28" s="26"/>
      <c r="BB28" s="110" t="s">
        <v>908</v>
      </c>
      <c r="BC28" s="117"/>
      <c r="BD28" s="115"/>
      <c r="BE28" s="116"/>
      <c r="BF28" s="476"/>
      <c r="BH28" s="159"/>
      <c r="BI28" s="116"/>
      <c r="BJ28" s="66"/>
    </row>
    <row r="29" spans="1:62" x14ac:dyDescent="0.35">
      <c r="A29" s="9168"/>
      <c r="B29" s="6082"/>
      <c r="C29" s="161" t="s">
        <v>910</v>
      </c>
      <c r="D29" s="162"/>
      <c r="F29" s="163"/>
      <c r="G29" s="235"/>
      <c r="H29" s="164"/>
      <c r="I29" s="165"/>
      <c r="J29" s="5906">
        <f>IF(H29=0,0,I29/H29)</f>
        <v>0</v>
      </c>
      <c r="L29" s="166"/>
      <c r="M29" s="276"/>
      <c r="O29" s="166"/>
      <c r="P29" s="165"/>
      <c r="Q29" s="938"/>
      <c r="R29" s="782"/>
      <c r="S29" s="938"/>
      <c r="T29" s="818"/>
      <c r="U29" s="938"/>
      <c r="V29" s="1040"/>
      <c r="X29" s="166"/>
      <c r="Y29" s="165"/>
      <c r="Z29" s="938"/>
      <c r="AA29" s="782"/>
      <c r="AB29" s="938"/>
      <c r="AC29" s="818"/>
      <c r="AD29" s="938"/>
      <c r="AE29" s="1040"/>
      <c r="AG29" s="164"/>
      <c r="AH29" s="165"/>
      <c r="AI29" s="106"/>
      <c r="AJ29" s="476"/>
      <c r="AL29" s="156"/>
      <c r="AM29" s="106"/>
      <c r="AN29" s="3031"/>
      <c r="AP29" s="26"/>
      <c r="AQ29" s="161" t="s">
        <v>910</v>
      </c>
      <c r="AR29" s="164"/>
      <c r="AS29" s="165"/>
      <c r="AT29" s="106"/>
      <c r="AU29" s="476"/>
      <c r="AW29" s="156"/>
      <c r="AX29" s="106"/>
      <c r="AY29" s="3031"/>
      <c r="BA29" s="26"/>
      <c r="BB29" s="161" t="s">
        <v>910</v>
      </c>
      <c r="BC29" s="164"/>
      <c r="BD29" s="165"/>
      <c r="BE29" s="106"/>
      <c r="BF29" s="476"/>
      <c r="BH29" s="156"/>
      <c r="BI29" s="106"/>
      <c r="BJ29" s="3031"/>
    </row>
    <row r="30" spans="1:62" x14ac:dyDescent="0.35">
      <c r="A30" s="9168"/>
      <c r="B30" s="128"/>
      <c r="C30" s="129" t="s">
        <v>914</v>
      </c>
      <c r="D30" s="87"/>
      <c r="F30" s="5916">
        <f>IF(F27=0,0,(F28-F29)/F27)</f>
        <v>0</v>
      </c>
      <c r="G30" s="5917"/>
      <c r="H30" s="5918">
        <f>IF(H27=0,0,(H28-H29)/H27)</f>
        <v>0</v>
      </c>
      <c r="I30" s="5919">
        <f>IF(I27=0,0,(I28-I29)/I27)</f>
        <v>0</v>
      </c>
      <c r="J30" s="5920"/>
      <c r="K30" s="5917"/>
      <c r="L30" s="5921">
        <f>IF(L27=0,0,L28/L27)</f>
        <v>0</v>
      </c>
      <c r="M30" s="5922">
        <f>I30</f>
        <v>0</v>
      </c>
      <c r="N30" s="176"/>
      <c r="O30" s="5921">
        <f>IF(O27=0,0,O28/O27)</f>
        <v>0</v>
      </c>
      <c r="P30" s="5922">
        <f>L30</f>
        <v>0</v>
      </c>
      <c r="Q30" s="5923"/>
      <c r="R30" s="5924"/>
      <c r="S30" s="5925"/>
      <c r="T30" s="5926"/>
      <c r="U30" s="5923"/>
      <c r="V30" s="5927"/>
      <c r="W30" s="176"/>
      <c r="X30" s="5921">
        <f>IF(X27=0,0,X28/X27)</f>
        <v>0</v>
      </c>
      <c r="Y30" s="5928">
        <f>T30</f>
        <v>0</v>
      </c>
      <c r="Z30" s="5923"/>
      <c r="AA30" s="5924"/>
      <c r="AB30" s="5925"/>
      <c r="AC30" s="5921">
        <f>IF(AC27=0,0,AC28/AC27)</f>
        <v>0</v>
      </c>
      <c r="AD30" s="5923"/>
      <c r="AE30" s="5922">
        <f>Z30</f>
        <v>0</v>
      </c>
      <c r="AF30" s="176"/>
      <c r="AG30" s="492"/>
      <c r="AH30" s="497"/>
      <c r="AI30" s="497"/>
      <c r="AJ30" s="494"/>
      <c r="AK30" s="170"/>
      <c r="AL30" s="495"/>
      <c r="AM30" s="497"/>
      <c r="AN30" s="496"/>
      <c r="AP30" s="24"/>
      <c r="AQ30" s="129" t="s">
        <v>914</v>
      </c>
      <c r="AR30" s="492"/>
      <c r="AS30" s="497"/>
      <c r="AT30" s="497"/>
      <c r="AU30" s="494"/>
      <c r="AV30" s="170"/>
      <c r="AW30" s="495"/>
      <c r="AX30" s="497"/>
      <c r="AY30" s="496"/>
      <c r="BA30" s="24"/>
      <c r="BB30" s="129" t="s">
        <v>914</v>
      </c>
      <c r="BC30" s="492"/>
      <c r="BD30" s="497"/>
      <c r="BE30" s="497"/>
      <c r="BF30" s="494"/>
      <c r="BG30" s="170"/>
      <c r="BH30" s="495"/>
      <c r="BI30" s="497"/>
      <c r="BJ30" s="496"/>
    </row>
    <row r="31" spans="1:62" x14ac:dyDescent="0.35">
      <c r="A31" s="9168"/>
      <c r="B31" s="5929" t="s">
        <v>915</v>
      </c>
      <c r="C31" s="4952"/>
      <c r="D31" s="5930"/>
      <c r="E31" s="456"/>
      <c r="F31" s="870"/>
      <c r="G31" s="456"/>
      <c r="H31" s="773"/>
      <c r="I31" s="774"/>
      <c r="J31" s="776"/>
      <c r="K31" s="456"/>
      <c r="L31" s="773"/>
      <c r="M31" s="864"/>
      <c r="O31" s="773"/>
      <c r="P31" s="868"/>
      <c r="Q31" s="868"/>
      <c r="R31" s="776"/>
      <c r="T31" s="773"/>
      <c r="U31" s="868"/>
      <c r="V31" s="868"/>
      <c r="X31" s="773"/>
      <c r="Y31" s="868"/>
      <c r="Z31" s="868"/>
      <c r="AA31" s="776"/>
      <c r="AC31" s="773"/>
      <c r="AD31" s="868"/>
      <c r="AE31" s="868"/>
      <c r="AG31" s="838"/>
      <c r="AH31" s="839"/>
      <c r="AI31" s="839"/>
      <c r="AJ31" s="840"/>
      <c r="AK31" s="170"/>
      <c r="AL31" s="3364"/>
      <c r="AM31" s="839"/>
      <c r="AN31" s="3482"/>
      <c r="AO31" s="176"/>
      <c r="AP31" s="18"/>
      <c r="AQ31" s="4952"/>
      <c r="AR31" s="838"/>
      <c r="AS31" s="839"/>
      <c r="AT31" s="839"/>
      <c r="AU31" s="840"/>
      <c r="AV31" s="170"/>
      <c r="AW31" s="3364"/>
      <c r="AX31" s="839"/>
      <c r="AY31" s="3482"/>
      <c r="AZ31" s="176"/>
      <c r="BA31" s="18"/>
      <c r="BB31" s="4952"/>
      <c r="BC31" s="838"/>
      <c r="BD31" s="839"/>
      <c r="BE31" s="839"/>
      <c r="BF31" s="840"/>
      <c r="BG31" s="170"/>
      <c r="BH31" s="3364"/>
      <c r="BI31" s="839"/>
      <c r="BJ31" s="3482"/>
    </row>
    <row r="32" spans="1:62" x14ac:dyDescent="0.35">
      <c r="A32" s="9168"/>
      <c r="B32" s="745"/>
      <c r="C32" s="4947" t="s">
        <v>1336</v>
      </c>
      <c r="D32" s="5930"/>
      <c r="E32" s="456"/>
      <c r="F32" s="865"/>
      <c r="G32" s="456"/>
      <c r="H32" s="866"/>
      <c r="I32" s="847"/>
      <c r="J32" s="890"/>
      <c r="K32" s="456"/>
      <c r="L32" s="866"/>
      <c r="M32" s="867"/>
      <c r="O32" s="866"/>
      <c r="R32" s="890"/>
      <c r="T32" s="866"/>
      <c r="X32" s="866"/>
      <c r="AA32" s="890"/>
      <c r="AC32" s="866"/>
      <c r="AG32" s="200" t="s">
        <v>3479</v>
      </c>
      <c r="AH32" s="201"/>
      <c r="AI32" s="834" t="s">
        <v>3480</v>
      </c>
      <c r="AJ32" s="835"/>
      <c r="AK32" s="170"/>
      <c r="AL32" s="117">
        <v>2034000000</v>
      </c>
      <c r="AM32" s="834" t="s">
        <v>1149</v>
      </c>
      <c r="AN32" s="3031"/>
      <c r="AP32" s="206"/>
      <c r="AQ32" s="4947" t="s">
        <v>1336</v>
      </c>
      <c r="AR32" s="117"/>
      <c r="AS32" s="201"/>
      <c r="AT32" s="834"/>
      <c r="AU32" s="835"/>
      <c r="AV32" s="170"/>
      <c r="AW32" s="117"/>
      <c r="AX32" s="834"/>
      <c r="AY32" s="3031"/>
      <c r="BA32" s="206"/>
      <c r="BB32" s="4947" t="s">
        <v>1336</v>
      </c>
      <c r="BC32" s="117"/>
      <c r="BD32" s="201"/>
      <c r="BE32" s="834"/>
      <c r="BF32" s="835"/>
      <c r="BG32" s="170"/>
      <c r="BH32" s="117"/>
      <c r="BI32" s="834"/>
      <c r="BJ32" s="3031"/>
    </row>
    <row r="33" spans="1:62" x14ac:dyDescent="0.35">
      <c r="A33" s="9169"/>
      <c r="B33" s="5569"/>
      <c r="C33" s="4953" t="s">
        <v>933</v>
      </c>
      <c r="D33" s="5931"/>
      <c r="E33" s="456"/>
      <c r="F33" s="5570"/>
      <c r="G33" s="456"/>
      <c r="H33" s="1607"/>
      <c r="I33" s="1605"/>
      <c r="J33" s="1576"/>
      <c r="K33" s="456"/>
      <c r="L33" s="1607"/>
      <c r="M33" s="5571"/>
      <c r="O33" s="1607"/>
      <c r="P33" s="1606"/>
      <c r="Q33" s="1606"/>
      <c r="R33" s="1576"/>
      <c r="T33" s="1607"/>
      <c r="U33" s="1606"/>
      <c r="V33" s="1606"/>
      <c r="X33" s="1607"/>
      <c r="Y33" s="1606"/>
      <c r="Z33" s="1606"/>
      <c r="AA33" s="1576"/>
      <c r="AC33" s="1607"/>
      <c r="AD33" s="1606"/>
      <c r="AE33" s="1606"/>
      <c r="AG33" s="214"/>
      <c r="AH33" s="215"/>
      <c r="AI33" s="216"/>
      <c r="AJ33" s="484"/>
      <c r="AL33" s="217"/>
      <c r="AM33" s="216"/>
      <c r="AN33" s="496"/>
      <c r="AP33" s="219"/>
      <c r="AQ33" s="4953" t="s">
        <v>933</v>
      </c>
      <c r="AR33" s="214"/>
      <c r="AS33" s="215"/>
      <c r="AT33" s="216"/>
      <c r="AU33" s="484"/>
      <c r="AW33" s="217"/>
      <c r="AX33" s="216"/>
      <c r="AY33" s="496"/>
      <c r="BA33" s="219"/>
      <c r="BB33" s="4953" t="s">
        <v>933</v>
      </c>
      <c r="BC33" s="214"/>
      <c r="BD33" s="215"/>
      <c r="BE33" s="216"/>
      <c r="BF33" s="484"/>
      <c r="BH33" s="217"/>
      <c r="BI33" s="216"/>
      <c r="BJ33" s="496"/>
    </row>
    <row r="34" spans="1:62" x14ac:dyDescent="0.35">
      <c r="A34" s="220"/>
      <c r="B34" s="220"/>
      <c r="F34" s="847"/>
      <c r="H34" s="106"/>
      <c r="I34" s="106"/>
      <c r="J34" s="221"/>
      <c r="L34" s="106"/>
      <c r="M34" s="1"/>
      <c r="O34" s="847"/>
      <c r="R34" s="847"/>
      <c r="T34" s="847"/>
      <c r="X34" s="847"/>
      <c r="AA34" s="847"/>
      <c r="AC34" s="847"/>
      <c r="AG34" s="106"/>
      <c r="AH34" s="106"/>
      <c r="AI34" s="106"/>
      <c r="AJ34" s="221"/>
      <c r="AL34" s="106"/>
      <c r="AM34" s="106"/>
      <c r="AR34" s="106"/>
      <c r="AS34" s="106"/>
      <c r="AT34" s="106"/>
      <c r="AU34" s="221"/>
      <c r="AW34" s="106"/>
      <c r="AX34" s="106"/>
      <c r="BC34" s="106"/>
      <c r="BD34" s="106"/>
      <c r="BE34" s="106"/>
      <c r="BF34" s="221"/>
      <c r="BH34" s="106"/>
      <c r="BI34" s="106"/>
    </row>
    <row r="35" spans="1:62" ht="30.75" customHeight="1" x14ac:dyDescent="0.35">
      <c r="A35" s="9167" t="s">
        <v>916</v>
      </c>
      <c r="B35" s="27"/>
      <c r="C35" s="28" t="s">
        <v>427</v>
      </c>
      <c r="D35" s="42" t="s">
        <v>428</v>
      </c>
      <c r="E35" s="30"/>
      <c r="F35" s="31"/>
      <c r="G35" s="510"/>
      <c r="H35" s="9442" t="s">
        <v>3481</v>
      </c>
      <c r="I35" s="9443"/>
      <c r="J35" s="1610"/>
      <c r="K35" s="223"/>
      <c r="L35" s="9442" t="s">
        <v>3482</v>
      </c>
      <c r="M35" s="9443"/>
      <c r="N35" s="30"/>
      <c r="O35" s="9442" t="s">
        <v>3482</v>
      </c>
      <c r="P35" s="9443"/>
      <c r="Q35" s="5572"/>
      <c r="R35" s="851"/>
      <c r="T35" s="4872" t="s">
        <v>3483</v>
      </c>
      <c r="U35" s="5573" t="s">
        <v>3484</v>
      </c>
      <c r="V35" s="4872" t="s">
        <v>3483</v>
      </c>
      <c r="W35" s="30"/>
      <c r="X35" s="9442" t="s">
        <v>3485</v>
      </c>
      <c r="Y35" s="9443"/>
      <c r="Z35" s="5572"/>
      <c r="AA35" s="851"/>
      <c r="AC35" s="4872" t="s">
        <v>3486</v>
      </c>
      <c r="AD35" s="4767"/>
      <c r="AE35" s="4872" t="s">
        <v>3486</v>
      </c>
      <c r="AF35" s="30"/>
      <c r="AG35" s="9435"/>
      <c r="AH35" s="9436"/>
      <c r="AI35" s="3375"/>
      <c r="AJ35" s="224"/>
      <c r="AK35" s="223"/>
      <c r="AL35" s="8337" t="s">
        <v>3487</v>
      </c>
      <c r="AM35" s="4645"/>
      <c r="AN35" s="6937"/>
      <c r="AP35" s="39"/>
      <c r="AQ35" s="28" t="s">
        <v>427</v>
      </c>
      <c r="AR35" s="9435" t="s">
        <v>3488</v>
      </c>
      <c r="AS35" s="9436"/>
      <c r="AT35" s="7089" t="s">
        <v>3489</v>
      </c>
      <c r="AU35" s="224"/>
      <c r="AV35" s="223"/>
      <c r="AW35" s="8337" t="s">
        <v>1152</v>
      </c>
      <c r="AX35" s="4645"/>
      <c r="AY35" s="37" t="s">
        <v>3490</v>
      </c>
      <c r="BA35" s="39"/>
      <c r="BB35" s="28" t="s">
        <v>427</v>
      </c>
      <c r="BC35" s="8416"/>
      <c r="BD35" s="8417" t="s">
        <v>3491</v>
      </c>
      <c r="BE35" s="3375" t="s">
        <v>3489</v>
      </c>
      <c r="BF35" s="224"/>
      <c r="BG35" s="223"/>
      <c r="BH35" s="8337" t="s">
        <v>3492</v>
      </c>
      <c r="BI35" s="4645"/>
      <c r="BJ35" s="37" t="s">
        <v>3490</v>
      </c>
    </row>
    <row r="36" spans="1:62" x14ac:dyDescent="0.35">
      <c r="A36" s="9168"/>
      <c r="B36" s="139" t="s">
        <v>925</v>
      </c>
      <c r="C36" s="49"/>
      <c r="D36" s="140"/>
      <c r="E36" s="143"/>
      <c r="F36" s="870"/>
      <c r="G36" s="143"/>
      <c r="H36" s="773"/>
      <c r="I36" s="774"/>
      <c r="J36" s="776"/>
      <c r="K36" s="457"/>
      <c r="L36" s="773"/>
      <c r="M36" s="867"/>
      <c r="N36" s="143"/>
      <c r="O36" s="5574"/>
      <c r="R36" s="776"/>
      <c r="T36" s="773" t="s">
        <v>1146</v>
      </c>
      <c r="V36" s="867" t="s">
        <v>3467</v>
      </c>
      <c r="W36" s="143"/>
      <c r="X36" s="5574"/>
      <c r="AA36" s="776"/>
      <c r="AC36" s="773"/>
      <c r="AE36" s="867"/>
      <c r="AF36" s="143"/>
      <c r="AG36" s="230"/>
      <c r="AH36" s="103"/>
      <c r="AI36" s="53"/>
      <c r="AJ36" s="228"/>
      <c r="AK36" s="143"/>
      <c r="AL36" s="230"/>
      <c r="AM36" s="53"/>
      <c r="AN36" s="49"/>
      <c r="AO36" s="30"/>
      <c r="AP36" s="18"/>
      <c r="AQ36" s="49"/>
      <c r="AR36" s="7718" t="s">
        <v>1146</v>
      </c>
      <c r="AS36" s="3726" t="s">
        <v>3493</v>
      </c>
      <c r="AT36" s="53" t="s">
        <v>3494</v>
      </c>
      <c r="AU36" s="228"/>
      <c r="AV36" s="143"/>
      <c r="AW36" s="230"/>
      <c r="AX36" s="70" t="s">
        <v>3495</v>
      </c>
      <c r="AY36" s="49"/>
      <c r="AZ36" s="30"/>
      <c r="BA36" s="18"/>
      <c r="BB36" s="49"/>
      <c r="BC36" s="7718" t="s">
        <v>1146</v>
      </c>
      <c r="BD36" s="3726" t="s">
        <v>3493</v>
      </c>
      <c r="BE36" s="53" t="s">
        <v>3496</v>
      </c>
      <c r="BF36" s="228"/>
      <c r="BG36" s="143"/>
      <c r="BH36" s="230"/>
      <c r="BI36" s="70"/>
      <c r="BJ36" s="49"/>
    </row>
    <row r="37" spans="1:62" x14ac:dyDescent="0.35">
      <c r="A37" s="9168"/>
      <c r="B37" s="5932"/>
      <c r="C37" s="5933" t="s">
        <v>1286</v>
      </c>
      <c r="D37" s="60"/>
      <c r="F37" s="111">
        <v>590633127</v>
      </c>
      <c r="H37" s="112">
        <v>720108590</v>
      </c>
      <c r="I37" s="113">
        <v>541350022.27999997</v>
      </c>
      <c r="J37" s="5906">
        <f>IF(H37=0,0,I37/H37)</f>
        <v>0.75176165066993572</v>
      </c>
      <c r="L37" s="780">
        <f>648435822</f>
        <v>648435822</v>
      </c>
      <c r="M37" s="875">
        <f>549183976.47</f>
        <v>549183976.47000003</v>
      </c>
      <c r="O37" s="5575" t="s">
        <v>3497</v>
      </c>
      <c r="P37" s="1351"/>
      <c r="Q37" s="938"/>
      <c r="R37" s="782"/>
      <c r="S37" s="938"/>
      <c r="T37" s="5576" t="s">
        <v>3498</v>
      </c>
      <c r="U37" s="938"/>
      <c r="V37" s="875"/>
      <c r="X37" s="5577"/>
      <c r="Y37" s="1351"/>
      <c r="Z37" s="938"/>
      <c r="AA37" s="782"/>
      <c r="AB37" s="938"/>
      <c r="AC37" s="5578"/>
      <c r="AD37" s="938"/>
      <c r="AE37" s="875"/>
      <c r="AG37" s="112"/>
      <c r="AH37" s="233"/>
      <c r="AJ37" s="476" t="e">
        <f>AH37/AG37</f>
        <v>#DIV/0!</v>
      </c>
      <c r="AK37" s="235"/>
      <c r="AL37" s="112">
        <v>1399105036</v>
      </c>
      <c r="AM37" s="70" t="s">
        <v>3499</v>
      </c>
      <c r="AN37" s="66">
        <f>SUM(AN38:AN40)</f>
        <v>1296458222.8552775</v>
      </c>
      <c r="AO37" s="143"/>
      <c r="AP37" s="26" t="s">
        <v>3500</v>
      </c>
      <c r="AQ37" s="5933" t="s">
        <v>1286</v>
      </c>
      <c r="AR37" s="156"/>
      <c r="AS37" s="263"/>
      <c r="AU37" s="476"/>
      <c r="AV37" s="235"/>
      <c r="AW37" s="156">
        <v>1252795428</v>
      </c>
      <c r="AX37" t="s">
        <v>3501</v>
      </c>
      <c r="AY37" s="66">
        <f>AY38+AY39</f>
        <v>1097601031.483448</v>
      </c>
      <c r="AZ37" s="143"/>
      <c r="BA37" s="26" t="s">
        <v>3500</v>
      </c>
      <c r="BB37" s="5933" t="s">
        <v>1286</v>
      </c>
      <c r="BC37" s="156">
        <v>1252795428</v>
      </c>
      <c r="BD37" s="263"/>
      <c r="BF37" s="476"/>
      <c r="BG37" s="235"/>
      <c r="BH37" s="156">
        <v>1316490816</v>
      </c>
      <c r="BI37" t="s">
        <v>3502</v>
      </c>
      <c r="BJ37" s="66">
        <f>BJ38+BJ39</f>
        <v>1288851761.8838964</v>
      </c>
    </row>
    <row r="38" spans="1:62" ht="18.75" customHeight="1" x14ac:dyDescent="0.35">
      <c r="A38" s="9168"/>
      <c r="B38" s="5932"/>
      <c r="C38" s="5579" t="s">
        <v>1336</v>
      </c>
      <c r="D38" s="60"/>
      <c r="F38" s="111"/>
      <c r="H38" s="112"/>
      <c r="I38" s="113"/>
      <c r="J38" s="5906"/>
      <c r="L38" s="780"/>
      <c r="M38" s="881"/>
      <c r="O38" s="780">
        <f>648435822-O39-O40</f>
        <v>540076551</v>
      </c>
      <c r="P38" s="113">
        <f>549183976.47-P39-P40</f>
        <v>506984317.93000007</v>
      </c>
      <c r="Q38" s="938"/>
      <c r="R38" s="782"/>
      <c r="S38" s="938"/>
      <c r="T38" s="780">
        <f>498493649+107991696</f>
        <v>606485345</v>
      </c>
      <c r="U38" s="5934" t="s">
        <v>3503</v>
      </c>
      <c r="V38" s="881">
        <f>493125752+119253748</f>
        <v>612379500</v>
      </c>
      <c r="X38" s="5104">
        <f>495542627+123986031</f>
        <v>619528658</v>
      </c>
      <c r="Y38" s="5580">
        <f>493125752.09+119253747.82</f>
        <v>612379499.90999997</v>
      </c>
      <c r="Z38" s="938"/>
      <c r="AA38" s="782"/>
      <c r="AB38" s="938"/>
      <c r="AC38" s="5104">
        <f>562225699+120845791</f>
        <v>683071490</v>
      </c>
      <c r="AD38" s="5934"/>
      <c r="AE38" s="5581">
        <f>562151974.13+116925839.57</f>
        <v>679077813.70000005</v>
      </c>
      <c r="AG38" s="117">
        <f>AC38</f>
        <v>683071490</v>
      </c>
      <c r="AH38" s="233">
        <f>AE38</f>
        <v>679077813.70000005</v>
      </c>
      <c r="AI38" s="57"/>
      <c r="AJ38" s="476">
        <f>AH38/AG38</f>
        <v>0.99415335530985205</v>
      </c>
      <c r="AK38" s="235"/>
      <c r="AL38" s="112">
        <f>AL37-(AL39+AL40)</f>
        <v>1096173672</v>
      </c>
      <c r="AM38" s="57" t="s">
        <v>3499</v>
      </c>
      <c r="AN38" s="66">
        <f>AL38*AJ38</f>
        <v>1089764734.0211213</v>
      </c>
      <c r="AP38" s="26" t="s">
        <v>3500</v>
      </c>
      <c r="AQ38" s="5579" t="s">
        <v>1336</v>
      </c>
      <c r="AR38" s="156">
        <f>699552365+139405000</f>
        <v>838957365</v>
      </c>
      <c r="AS38" s="233">
        <f>697701962+130378583.738</f>
        <v>828080545.73800004</v>
      </c>
      <c r="AU38" s="476">
        <f>AS38/AR38</f>
        <v>0.98703531345481432</v>
      </c>
      <c r="AV38" s="235"/>
      <c r="AW38" s="156">
        <f>AW37-AW39</f>
        <v>950950612</v>
      </c>
      <c r="AX38" s="57"/>
      <c r="AY38" s="66">
        <f>AW38*AU38</f>
        <v>938621835.39546752</v>
      </c>
      <c r="BA38" s="26" t="s">
        <v>3500</v>
      </c>
      <c r="BB38" s="5579" t="s">
        <v>1336</v>
      </c>
      <c r="BC38" s="156">
        <f>791183394+159767218</f>
        <v>950950612</v>
      </c>
      <c r="BD38" s="263">
        <f>BC38*BF38</f>
        <v>987903945.00275671</v>
      </c>
      <c r="BF38" s="1628">
        <f>BF18</f>
        <v>1.0388593608715788</v>
      </c>
      <c r="BG38" s="235"/>
      <c r="BH38" s="156">
        <f>BH37-BH39</f>
        <v>1051404672</v>
      </c>
      <c r="BI38" t="s">
        <v>3502</v>
      </c>
      <c r="BJ38" s="66">
        <f>BH38*BF38</f>
        <v>1092261585.571312</v>
      </c>
    </row>
    <row r="39" spans="1:62" ht="14.5" customHeight="1" x14ac:dyDescent="0.35">
      <c r="A39" s="9168"/>
      <c r="B39" s="5932"/>
      <c r="C39" s="5579" t="s">
        <v>3504</v>
      </c>
      <c r="D39" s="60"/>
      <c r="F39" s="111"/>
      <c r="H39" s="112"/>
      <c r="I39" s="113"/>
      <c r="J39" s="5906"/>
      <c r="L39" s="780"/>
      <c r="M39" s="881"/>
      <c r="O39" s="780">
        <f>32378271</f>
        <v>32378271</v>
      </c>
      <c r="P39" s="113">
        <v>30793069.84</v>
      </c>
      <c r="Q39" s="938"/>
      <c r="R39" s="782"/>
      <c r="S39" s="938"/>
      <c r="T39" s="780">
        <v>42965273</v>
      </c>
      <c r="U39" s="9444" t="s">
        <v>3505</v>
      </c>
      <c r="V39" s="881">
        <f>T39</f>
        <v>42965273</v>
      </c>
      <c r="X39" s="5104">
        <f>45765273</f>
        <v>45765273</v>
      </c>
      <c r="Y39" s="5580">
        <v>52800599.359999999</v>
      </c>
      <c r="Z39" s="938"/>
      <c r="AA39" s="782"/>
      <c r="AB39" s="938"/>
      <c r="AC39" s="5104">
        <v>98874570</v>
      </c>
      <c r="AD39" s="9444"/>
      <c r="AE39" s="5582">
        <v>97443214.989999995</v>
      </c>
      <c r="AG39" s="117">
        <f>AC39</f>
        <v>98874570</v>
      </c>
      <c r="AH39" s="233">
        <f>AE39</f>
        <v>97443214.989999995</v>
      </c>
      <c r="AI39" s="57"/>
      <c r="AJ39" s="476">
        <f>AH39/AG39</f>
        <v>0.98552352733367132</v>
      </c>
      <c r="AK39" s="235"/>
      <c r="AL39" s="112">
        <f>1832810+(18630490-396000)+400000+2170700+(8786073-5301000)+(10526274-400000)+28727250+6685652+ (213232447-136022000-13669000)+2819668+9120000</f>
        <v>147143364</v>
      </c>
      <c r="AM39" s="57" t="s">
        <v>3499</v>
      </c>
      <c r="AN39" s="66">
        <f>AL39*AJ39</f>
        <v>145013247.11302236</v>
      </c>
      <c r="AP39" s="26" t="s">
        <v>3500</v>
      </c>
      <c r="AQ39" s="5579" t="s">
        <v>3506</v>
      </c>
      <c r="AR39" s="156">
        <v>260585017</v>
      </c>
      <c r="AS39" s="233">
        <v>137247997.37900001</v>
      </c>
      <c r="AU39" s="476">
        <f>AS39/AR39</f>
        <v>0.5266918219592035</v>
      </c>
      <c r="AV39" s="235"/>
      <c r="AW39" s="156">
        <f>2187419+77080+265848977+32006+5097446+28601888</f>
        <v>301844816</v>
      </c>
      <c r="AX39" s="57"/>
      <c r="AY39" s="66">
        <f t="shared" ref="AY39:AY45" si="5">AW39*AU39</f>
        <v>158979196.08798054</v>
      </c>
      <c r="BA39" s="26" t="s">
        <v>3500</v>
      </c>
      <c r="BB39" s="5579" t="s">
        <v>3506</v>
      </c>
      <c r="BC39" s="156">
        <f>2187419+77080+265848977+32006+5097446+28601888</f>
        <v>301844816</v>
      </c>
      <c r="BD39" s="263">
        <f>BC39*BF39</f>
        <v>223850725.28151304</v>
      </c>
      <c r="BF39" s="1628">
        <f>(BD20+BD21)/(BC20+BC21)</f>
        <v>0.74160864595240572</v>
      </c>
      <c r="BG39" s="235"/>
      <c r="BH39" s="156">
        <f>8861490+247601631+8623023</f>
        <v>265086144</v>
      </c>
      <c r="BI39" t="s">
        <v>3502</v>
      </c>
      <c r="BJ39" s="66">
        <f t="shared" ref="BJ39:BJ45" si="6">BH39*BF39</f>
        <v>196590176.31258443</v>
      </c>
    </row>
    <row r="40" spans="1:62" x14ac:dyDescent="0.35">
      <c r="A40" s="9168"/>
      <c r="B40" s="5932"/>
      <c r="C40" s="5579" t="s">
        <v>3507</v>
      </c>
      <c r="D40" s="60"/>
      <c r="F40" s="111"/>
      <c r="H40" s="112"/>
      <c r="I40" s="113"/>
      <c r="J40" s="5906"/>
      <c r="L40" s="780"/>
      <c r="M40" s="881"/>
      <c r="O40" s="1566">
        <v>75981000</v>
      </c>
      <c r="P40" s="113">
        <v>11406588.699999999</v>
      </c>
      <c r="Q40" s="938"/>
      <c r="R40" s="782"/>
      <c r="S40" s="938"/>
      <c r="T40" s="780">
        <v>135329000</v>
      </c>
      <c r="U40" s="9444"/>
      <c r="V40" s="881">
        <f>19842396.09*4/3</f>
        <v>26456528.120000001</v>
      </c>
      <c r="X40" s="5106">
        <v>135329000</v>
      </c>
      <c r="Y40" s="5580">
        <v>133128426.28</v>
      </c>
      <c r="Z40" s="938"/>
      <c r="AA40" s="782"/>
      <c r="AB40" s="938"/>
      <c r="AC40" s="5104">
        <v>167207800</v>
      </c>
      <c r="AD40" s="9444"/>
      <c r="AE40" s="5582">
        <f>66201617.08</f>
        <v>66201617.079999998</v>
      </c>
      <c r="AG40" s="117">
        <f>AC40</f>
        <v>167207800</v>
      </c>
      <c r="AH40" s="233">
        <f>AE40</f>
        <v>66201617.079999998</v>
      </c>
      <c r="AI40" s="70"/>
      <c r="AJ40" s="476">
        <f>AH40/AG40</f>
        <v>0.39592421573634723</v>
      </c>
      <c r="AK40" s="235"/>
      <c r="AL40" s="117">
        <f>396000+5301000+400000+136022000+13669000</f>
        <v>155788000</v>
      </c>
      <c r="AM40" s="70" t="s">
        <v>3499</v>
      </c>
      <c r="AN40" s="66">
        <f>AL40*AJ40</f>
        <v>61680241.721134059</v>
      </c>
      <c r="AP40" s="26" t="s">
        <v>3500</v>
      </c>
      <c r="AQ40" s="5933" t="s">
        <v>3508</v>
      </c>
      <c r="AR40" s="156"/>
      <c r="AS40" s="233"/>
      <c r="AU40" s="476"/>
      <c r="AV40" s="235"/>
      <c r="AW40" s="156"/>
      <c r="AX40" s="70"/>
      <c r="AY40" s="66">
        <f t="shared" si="5"/>
        <v>0</v>
      </c>
      <c r="BA40" s="26" t="s">
        <v>3500</v>
      </c>
      <c r="BB40" s="5933" t="s">
        <v>3508</v>
      </c>
      <c r="BC40" s="156"/>
      <c r="BD40" s="263"/>
      <c r="BF40" s="476"/>
      <c r="BG40" s="235"/>
      <c r="BH40" s="156">
        <v>51320633</v>
      </c>
      <c r="BI40" s="70"/>
      <c r="BJ40" s="66">
        <f t="shared" si="6"/>
        <v>0</v>
      </c>
    </row>
    <row r="41" spans="1:62" x14ac:dyDescent="0.35">
      <c r="A41" s="9168"/>
      <c r="B41" s="5932"/>
      <c r="C41" s="5933" t="s">
        <v>1994</v>
      </c>
      <c r="D41" s="60"/>
      <c r="F41" s="155">
        <v>22307903</v>
      </c>
      <c r="H41" s="117">
        <v>37651851</v>
      </c>
      <c r="I41" s="115">
        <v>33062964.649999999</v>
      </c>
      <c r="J41" s="5906">
        <f>IF(H41=0,0,I41/H41)</f>
        <v>0.87812322029001966</v>
      </c>
      <c r="L41" s="780">
        <v>30661164</v>
      </c>
      <c r="M41" s="881">
        <v>29776971.489999998</v>
      </c>
      <c r="O41" s="5575" t="s">
        <v>3509</v>
      </c>
      <c r="P41" s="1351"/>
      <c r="Q41" s="938"/>
      <c r="R41" s="782"/>
      <c r="S41" s="938"/>
      <c r="T41" s="5583" t="s">
        <v>3510</v>
      </c>
      <c r="U41" s="938"/>
      <c r="V41" s="881"/>
      <c r="X41" s="5575"/>
      <c r="Y41" s="1351"/>
      <c r="Z41" s="938"/>
      <c r="AA41" s="782"/>
      <c r="AB41" s="938"/>
      <c r="AC41" s="5583"/>
      <c r="AD41" s="938"/>
      <c r="AE41" s="881"/>
      <c r="AG41" s="242"/>
      <c r="AH41" s="233"/>
      <c r="AI41" s="106"/>
      <c r="AJ41" s="476" t="e">
        <f t="shared" ref="AJ41:AJ48" si="7">AH41/AG41</f>
        <v>#DIV/0!</v>
      </c>
      <c r="AK41" s="235"/>
      <c r="AL41" s="242"/>
      <c r="AM41" s="313"/>
      <c r="AN41" s="1780"/>
      <c r="AP41" s="26"/>
      <c r="AQ41" s="5579" t="s">
        <v>1336</v>
      </c>
      <c r="AR41" s="156">
        <f>21817051+16636083</f>
        <v>38453134</v>
      </c>
      <c r="AS41" s="233">
        <f>21201350+16031460.841</f>
        <v>37232810.840999998</v>
      </c>
      <c r="AT41" s="106"/>
      <c r="AU41" s="476">
        <f>AS41/AR41</f>
        <v>0.96826466318714099</v>
      </c>
      <c r="AV41" s="235"/>
      <c r="AW41" s="156"/>
      <c r="AX41" s="313"/>
      <c r="AY41" s="66">
        <f t="shared" si="5"/>
        <v>0</v>
      </c>
      <c r="BA41" s="26"/>
      <c r="BB41" s="5579" t="s">
        <v>1336</v>
      </c>
      <c r="BC41" s="156"/>
      <c r="BD41" s="263"/>
      <c r="BE41" s="106"/>
      <c r="BF41" s="476"/>
      <c r="BG41" s="235"/>
      <c r="BH41" s="156">
        <f>BH40-BH42</f>
        <v>39559961</v>
      </c>
      <c r="BI41" s="313"/>
      <c r="BJ41" s="66">
        <f t="shared" si="6"/>
        <v>0</v>
      </c>
    </row>
    <row r="42" spans="1:62" x14ac:dyDescent="0.35">
      <c r="A42" s="9168"/>
      <c r="B42" s="5932"/>
      <c r="C42" s="5579" t="s">
        <v>1336</v>
      </c>
      <c r="D42" s="60"/>
      <c r="F42" s="163"/>
      <c r="H42" s="117"/>
      <c r="I42" s="115"/>
      <c r="J42" s="5906"/>
      <c r="L42" s="780"/>
      <c r="M42" s="881"/>
      <c r="O42" s="1566">
        <f>30664264-O43-O44</f>
        <v>26755383</v>
      </c>
      <c r="P42" s="113">
        <f>29776971.49-P43-P44</f>
        <v>25892284.009999998</v>
      </c>
      <c r="Q42" s="938"/>
      <c r="R42" s="782"/>
      <c r="S42" s="938"/>
      <c r="T42" s="791">
        <f>15617740+13049000</f>
        <v>28666740</v>
      </c>
      <c r="U42" s="5934" t="s">
        <v>3503</v>
      </c>
      <c r="V42" s="881">
        <f>17296954+12515673</f>
        <v>29812627</v>
      </c>
      <c r="X42" s="5106">
        <f>17347150+12706000</f>
        <v>30053150</v>
      </c>
      <c r="Y42" s="5580">
        <f>17296953.96+ 12515672.96</f>
        <v>29812626.920000002</v>
      </c>
      <c r="Z42" s="938"/>
      <c r="AA42" s="782"/>
      <c r="AB42" s="938"/>
      <c r="AC42" s="5110">
        <f>17800804+15844972</f>
        <v>33645776</v>
      </c>
      <c r="AD42" s="5934"/>
      <c r="AE42" s="5582">
        <f>17785956.83+15287527.24</f>
        <v>33073484.07</v>
      </c>
      <c r="AG42" s="117">
        <f>AC42</f>
        <v>33645776</v>
      </c>
      <c r="AH42" s="233">
        <f>AE42</f>
        <v>33073484.07</v>
      </c>
      <c r="AI42" s="106"/>
      <c r="AJ42" s="476">
        <f t="shared" si="7"/>
        <v>0.98299067526336736</v>
      </c>
      <c r="AK42" s="235"/>
      <c r="AL42" s="242"/>
      <c r="AM42" s="313"/>
      <c r="AN42" s="1780"/>
      <c r="AP42" s="26"/>
      <c r="AQ42" s="5579" t="s">
        <v>3506</v>
      </c>
      <c r="AR42" s="117">
        <v>19312347</v>
      </c>
      <c r="AS42" s="233">
        <v>11202488.57</v>
      </c>
      <c r="AT42" s="106"/>
      <c r="AU42" s="476">
        <f>AS42/AR42</f>
        <v>0.58006872857038039</v>
      </c>
      <c r="AV42" s="235"/>
      <c r="AW42" s="156"/>
      <c r="AX42" s="313"/>
      <c r="AY42" s="66">
        <f t="shared" si="5"/>
        <v>0</v>
      </c>
      <c r="BA42" s="26"/>
      <c r="BB42" s="5579" t="s">
        <v>3506</v>
      </c>
      <c r="BC42" s="156"/>
      <c r="BD42" s="263"/>
      <c r="BE42" s="106"/>
      <c r="BF42" s="476"/>
      <c r="BG42" s="235"/>
      <c r="BH42" s="156">
        <f>11760672</f>
        <v>11760672</v>
      </c>
      <c r="BI42" s="313"/>
      <c r="BJ42" s="66">
        <f t="shared" si="6"/>
        <v>0</v>
      </c>
    </row>
    <row r="43" spans="1:62" x14ac:dyDescent="0.35">
      <c r="A43" s="9168"/>
      <c r="B43" s="5932"/>
      <c r="C43" s="5579" t="s">
        <v>3504</v>
      </c>
      <c r="D43" s="60"/>
      <c r="F43" s="163"/>
      <c r="H43" s="117"/>
      <c r="I43" s="115"/>
      <c r="J43" s="5906"/>
      <c r="L43" s="780"/>
      <c r="M43" s="881"/>
      <c r="O43" s="1566">
        <v>3908881</v>
      </c>
      <c r="P43" s="113">
        <v>3884687.48</v>
      </c>
      <c r="Q43" s="938"/>
      <c r="R43" s="782"/>
      <c r="S43" s="938"/>
      <c r="T43" s="780">
        <v>8801240</v>
      </c>
      <c r="U43" s="938"/>
      <c r="V43" s="881">
        <v>7441588</v>
      </c>
      <c r="X43" s="5580">
        <v>8277143</v>
      </c>
      <c r="Y43" s="5580">
        <v>7441588.46</v>
      </c>
      <c r="Z43" s="938"/>
      <c r="AA43" s="782"/>
      <c r="AB43" s="938"/>
      <c r="AC43" s="5104">
        <v>11444695</v>
      </c>
      <c r="AD43" s="938"/>
      <c r="AE43" s="5582">
        <v>10955725.99</v>
      </c>
      <c r="AG43" s="117">
        <f>AC43</f>
        <v>11444695</v>
      </c>
      <c r="AH43" s="233">
        <f>AE43</f>
        <v>10955725.99</v>
      </c>
      <c r="AI43" s="106"/>
      <c r="AJ43" s="476">
        <f t="shared" si="7"/>
        <v>0.95727548790072603</v>
      </c>
      <c r="AK43" s="235"/>
      <c r="AL43" s="242"/>
      <c r="AM43" s="5935"/>
      <c r="AN43" s="1780"/>
      <c r="AP43" s="26"/>
      <c r="AQ43" s="5933" t="s">
        <v>3511</v>
      </c>
      <c r="AR43" s="117"/>
      <c r="AS43" s="233"/>
      <c r="AT43" s="106"/>
      <c r="AU43" s="476"/>
      <c r="AV43" s="235"/>
      <c r="AW43" s="156">
        <v>253469936</v>
      </c>
      <c r="AX43" s="5935" t="s">
        <v>3512</v>
      </c>
      <c r="AY43" s="66">
        <f t="shared" si="5"/>
        <v>0</v>
      </c>
      <c r="BA43" s="26"/>
      <c r="BB43" s="5933" t="s">
        <v>3511</v>
      </c>
      <c r="BC43" s="156">
        <v>253469936</v>
      </c>
      <c r="BD43" s="263"/>
      <c r="BE43" s="106"/>
      <c r="BF43" s="476"/>
      <c r="BG43" s="235"/>
      <c r="BH43" s="156">
        <v>254745975</v>
      </c>
      <c r="BI43" t="s">
        <v>3513</v>
      </c>
      <c r="BJ43" s="66">
        <f>BJ44+BJ45</f>
        <v>258906378.76304162</v>
      </c>
    </row>
    <row r="44" spans="1:62" x14ac:dyDescent="0.35">
      <c r="A44" s="9168"/>
      <c r="B44" s="5932"/>
      <c r="C44" s="5579" t="s">
        <v>3507</v>
      </c>
      <c r="D44" s="60"/>
      <c r="F44" s="163"/>
      <c r="H44" s="117"/>
      <c r="I44" s="115"/>
      <c r="J44" s="5906"/>
      <c r="L44" s="780"/>
      <c r="M44" s="881"/>
      <c r="O44" s="5584">
        <v>0</v>
      </c>
      <c r="P44" s="113">
        <v>0</v>
      </c>
      <c r="Q44" s="938"/>
      <c r="R44" s="782"/>
      <c r="S44" s="938"/>
      <c r="T44" s="1566">
        <v>0</v>
      </c>
      <c r="U44" s="938"/>
      <c r="V44" s="881"/>
      <c r="X44" s="5585">
        <v>0</v>
      </c>
      <c r="Y44" s="5580">
        <v>0</v>
      </c>
      <c r="Z44" s="938"/>
      <c r="AA44" s="782"/>
      <c r="AB44" s="938"/>
      <c r="AC44" s="5106">
        <v>0</v>
      </c>
      <c r="AD44" s="938"/>
      <c r="AE44" s="5582">
        <v>0</v>
      </c>
      <c r="AG44" s="242"/>
      <c r="AH44" s="233"/>
      <c r="AI44" s="106"/>
      <c r="AJ44" s="476" t="e">
        <f t="shared" si="7"/>
        <v>#DIV/0!</v>
      </c>
      <c r="AK44" s="235"/>
      <c r="AL44" s="242"/>
      <c r="AM44" s="313"/>
      <c r="AN44" s="1780"/>
      <c r="AP44" s="26"/>
      <c r="AQ44" s="5579" t="s">
        <v>1336</v>
      </c>
      <c r="AR44" s="156">
        <f>117370173+101393000</f>
        <v>218763173</v>
      </c>
      <c r="AS44" s="233">
        <f>110183378+112398537.419</f>
        <v>222581915.419</v>
      </c>
      <c r="AT44" s="106"/>
      <c r="AU44" s="476">
        <f>AS44/AR44</f>
        <v>1.0174560570073647</v>
      </c>
      <c r="AV44" s="235"/>
      <c r="AW44" s="156">
        <f>AW43-AW45</f>
        <v>234923318</v>
      </c>
      <c r="AX44" s="313"/>
      <c r="AY44" s="66">
        <f t="shared" si="5"/>
        <v>239024152.83136728</v>
      </c>
      <c r="BA44" s="26"/>
      <c r="BB44" s="5579" t="s">
        <v>1336</v>
      </c>
      <c r="BC44" s="156">
        <f>BC43-BC45</f>
        <v>234923318</v>
      </c>
      <c r="BD44" s="263">
        <f>BC44*BF44</f>
        <v>244052287.99131066</v>
      </c>
      <c r="BE44" s="106"/>
      <c r="BF44" s="1628">
        <f>BF38</f>
        <v>1.0388593608715788</v>
      </c>
      <c r="BG44" s="235"/>
      <c r="BH44" s="156">
        <f>BH43-BH45</f>
        <v>235439505</v>
      </c>
      <c r="BI44" t="s">
        <v>3514</v>
      </c>
      <c r="BJ44" s="66">
        <f t="shared" si="6"/>
        <v>244588533.68822089</v>
      </c>
    </row>
    <row r="45" spans="1:62" x14ac:dyDescent="0.35">
      <c r="A45" s="9168"/>
      <c r="B45" s="5932"/>
      <c r="C45" s="5933" t="s">
        <v>3515</v>
      </c>
      <c r="D45" s="60">
        <v>1</v>
      </c>
      <c r="F45" s="163">
        <v>97900770</v>
      </c>
      <c r="H45" s="117">
        <v>145653190</v>
      </c>
      <c r="I45" s="115">
        <v>141785085.22999999</v>
      </c>
      <c r="J45" s="5906">
        <f>IF(H45=0,0,I45/H45)</f>
        <v>0.97344304803760218</v>
      </c>
      <c r="L45" s="785">
        <v>150541500</v>
      </c>
      <c r="M45" s="881">
        <v>150541500</v>
      </c>
      <c r="O45" s="5575" t="s">
        <v>3516</v>
      </c>
      <c r="P45" s="1351"/>
      <c r="Q45" s="938"/>
      <c r="R45" s="782"/>
      <c r="S45" s="938"/>
      <c r="T45" s="5586" t="s">
        <v>3517</v>
      </c>
      <c r="U45" s="938"/>
      <c r="V45" s="881"/>
      <c r="X45" s="5575"/>
      <c r="Y45" s="1351"/>
      <c r="Z45" s="938"/>
      <c r="AA45" s="782"/>
      <c r="AB45" s="938"/>
      <c r="AC45" s="5586"/>
      <c r="AD45" s="938"/>
      <c r="AE45" s="881"/>
      <c r="AG45" s="242"/>
      <c r="AH45" s="233"/>
      <c r="AI45" s="106"/>
      <c r="AJ45" s="476" t="e">
        <f t="shared" si="7"/>
        <v>#DIV/0!</v>
      </c>
      <c r="AK45" s="235"/>
      <c r="AL45" s="242"/>
      <c r="AM45" s="313"/>
      <c r="AN45" s="1780"/>
      <c r="AP45" s="26"/>
      <c r="AQ45" s="5579" t="s">
        <v>3506</v>
      </c>
      <c r="AR45" s="242">
        <v>23034000</v>
      </c>
      <c r="AS45" s="233">
        <v>16288367.101</v>
      </c>
      <c r="AT45" s="106"/>
      <c r="AU45" s="476">
        <f>AS45/AR45</f>
        <v>0.70714452986888943</v>
      </c>
      <c r="AV45" s="235"/>
      <c r="AW45" s="156">
        <f>720000+17165387+661231</f>
        <v>18546618</v>
      </c>
      <c r="AX45" s="313"/>
      <c r="AY45" s="66">
        <f t="shared" si="5"/>
        <v>13115139.466267882</v>
      </c>
      <c r="BA45" s="26"/>
      <c r="BB45" s="5579" t="s">
        <v>3506</v>
      </c>
      <c r="BC45" s="156">
        <f>720000+17165387+661231</f>
        <v>18546618</v>
      </c>
      <c r="BD45" s="263">
        <f>BC45*BF45</f>
        <v>13754332.261976516</v>
      </c>
      <c r="BE45" s="106"/>
      <c r="BF45" s="1628">
        <f>BF39</f>
        <v>0.74160864595240572</v>
      </c>
      <c r="BG45" s="235"/>
      <c r="BH45" s="156">
        <f>602745+18603725+100000</f>
        <v>19306470</v>
      </c>
      <c r="BI45" t="s">
        <v>3514</v>
      </c>
      <c r="BJ45" s="66">
        <f t="shared" si="6"/>
        <v>14317845.074820742</v>
      </c>
    </row>
    <row r="46" spans="1:62" x14ac:dyDescent="0.35">
      <c r="A46" s="9168"/>
      <c r="B46" s="5932"/>
      <c r="C46" s="5579" t="s">
        <v>1336</v>
      </c>
      <c r="D46" s="60"/>
      <c r="F46" s="111"/>
      <c r="H46" s="242"/>
      <c r="I46" s="243"/>
      <c r="J46" s="5906">
        <f>IF(H46=0,0,I46/H46)</f>
        <v>0</v>
      </c>
      <c r="L46" s="791"/>
      <c r="M46" s="881"/>
      <c r="O46" s="791">
        <f>150541500-O47-O48</f>
        <v>140341739</v>
      </c>
      <c r="P46" s="113">
        <f>151803437.27-P47-P48</f>
        <v>146235119.77000001</v>
      </c>
      <c r="Q46" s="938"/>
      <c r="R46" s="782"/>
      <c r="S46" s="938"/>
      <c r="T46" s="791">
        <f>70314943+86039000</f>
        <v>156353943</v>
      </c>
      <c r="U46" s="5934" t="s">
        <v>3503</v>
      </c>
      <c r="V46" s="881">
        <f>71872623+93571243</f>
        <v>165443866</v>
      </c>
      <c r="X46" s="5110">
        <f>72764310+(5882719+155400+88000881)</f>
        <v>166803310</v>
      </c>
      <c r="Y46" s="5580">
        <f>71872623.3+93571242.7</f>
        <v>165443866</v>
      </c>
      <c r="Z46" s="938"/>
      <c r="AA46" s="782"/>
      <c r="AB46" s="938"/>
      <c r="AC46" s="5110">
        <f>80197110+94997988</f>
        <v>175195098</v>
      </c>
      <c r="AD46" s="5934"/>
      <c r="AE46" s="5582">
        <f>80196583.53+93322633.43</f>
        <v>173519216.96000001</v>
      </c>
      <c r="AG46" s="117">
        <f>AC46</f>
        <v>175195098</v>
      </c>
      <c r="AH46" s="233">
        <f>AE46</f>
        <v>173519216.96000001</v>
      </c>
      <c r="AI46" s="106"/>
      <c r="AJ46" s="476">
        <f t="shared" si="7"/>
        <v>0.99043420130396576</v>
      </c>
      <c r="AK46" s="235"/>
      <c r="AL46" s="242"/>
      <c r="AM46" s="313"/>
      <c r="AN46" s="1780"/>
      <c r="AP46" s="26"/>
      <c r="AQ46" s="5579" t="s">
        <v>1336</v>
      </c>
      <c r="AR46" s="117"/>
      <c r="AS46" s="233"/>
      <c r="AT46" s="106"/>
      <c r="AU46" s="476"/>
      <c r="AV46" s="235"/>
      <c r="AW46" s="242"/>
      <c r="AX46" s="313"/>
      <c r="AY46" s="1780"/>
      <c r="BA46" s="26"/>
      <c r="BB46" s="5579" t="s">
        <v>1336</v>
      </c>
      <c r="BC46" s="242"/>
      <c r="BD46" s="233"/>
      <c r="BE46" s="106"/>
      <c r="BF46" s="476"/>
      <c r="BG46" s="235"/>
      <c r="BH46" s="242"/>
      <c r="BI46" s="313"/>
      <c r="BJ46" s="1780"/>
    </row>
    <row r="47" spans="1:62" x14ac:dyDescent="0.35">
      <c r="A47" s="9168"/>
      <c r="B47" s="5932"/>
      <c r="C47" s="5579" t="s">
        <v>3504</v>
      </c>
      <c r="D47" s="60"/>
      <c r="F47" s="122"/>
      <c r="H47" s="242"/>
      <c r="I47" s="243"/>
      <c r="J47" s="5906"/>
      <c r="L47" s="791"/>
      <c r="M47" s="881"/>
      <c r="O47" s="1632">
        <v>2300000</v>
      </c>
      <c r="P47" s="113">
        <v>0</v>
      </c>
      <c r="Q47" s="938"/>
      <c r="R47" s="782"/>
      <c r="S47" s="938"/>
      <c r="T47" s="1632">
        <v>7513658</v>
      </c>
      <c r="U47" s="5934"/>
      <c r="V47" s="881">
        <v>6840536</v>
      </c>
      <c r="X47" s="5587">
        <v>7451938</v>
      </c>
      <c r="Y47" s="5580">
        <v>6840536.0099999998</v>
      </c>
      <c r="Z47" s="938"/>
      <c r="AA47" s="782"/>
      <c r="AB47" s="938"/>
      <c r="AC47" s="5587">
        <v>9367325</v>
      </c>
      <c r="AD47" s="5934"/>
      <c r="AE47" s="5582">
        <v>8645886.1999999993</v>
      </c>
      <c r="AG47" s="117">
        <f>AC47</f>
        <v>9367325</v>
      </c>
      <c r="AH47" s="233">
        <f>AE47</f>
        <v>8645886.1999999993</v>
      </c>
      <c r="AI47" s="106"/>
      <c r="AJ47" s="476">
        <f t="shared" si="7"/>
        <v>0.92298347713995188</v>
      </c>
      <c r="AK47" s="235"/>
      <c r="AL47" s="242"/>
      <c r="AM47" s="313"/>
      <c r="AN47" s="1780"/>
      <c r="AP47" s="26"/>
      <c r="AQ47" s="5579" t="s">
        <v>3504</v>
      </c>
      <c r="AR47" s="117"/>
      <c r="AS47" s="263"/>
      <c r="AT47" s="106"/>
      <c r="AU47" s="476"/>
      <c r="AV47" s="235"/>
      <c r="AW47" s="242"/>
      <c r="AX47" s="313"/>
      <c r="AY47" s="1780"/>
      <c r="BA47" s="26"/>
      <c r="BB47" s="5579" t="s">
        <v>3504</v>
      </c>
      <c r="BC47" s="242"/>
      <c r="BD47" s="263"/>
      <c r="BE47" s="106"/>
      <c r="BF47" s="476"/>
      <c r="BG47" s="235"/>
      <c r="BH47" s="242"/>
      <c r="BI47" s="313"/>
      <c r="BJ47" s="1780"/>
    </row>
    <row r="48" spans="1:62" x14ac:dyDescent="0.35">
      <c r="A48" s="9168"/>
      <c r="B48" s="5932"/>
      <c r="C48" s="5579" t="s">
        <v>3507</v>
      </c>
      <c r="D48" s="60"/>
      <c r="F48" s="163"/>
      <c r="H48" s="242"/>
      <c r="I48" s="243"/>
      <c r="J48" s="5936">
        <f>IF(H48=0,0,I48/H48)</f>
        <v>0</v>
      </c>
      <c r="L48" s="791"/>
      <c r="M48" s="808"/>
      <c r="O48" s="1632">
        <v>7899761</v>
      </c>
      <c r="P48" s="113">
        <v>5568317.5</v>
      </c>
      <c r="Q48" s="938"/>
      <c r="R48" s="782"/>
      <c r="S48" s="938"/>
      <c r="T48" s="1632"/>
      <c r="U48" s="938"/>
      <c r="V48" s="808"/>
      <c r="X48" s="5587">
        <v>0</v>
      </c>
      <c r="Y48" s="5580">
        <v>0</v>
      </c>
      <c r="Z48" s="938"/>
      <c r="AA48" s="782"/>
      <c r="AB48" s="938"/>
      <c r="AC48" s="5587">
        <v>0</v>
      </c>
      <c r="AD48" s="938"/>
      <c r="AE48" s="5588">
        <v>0</v>
      </c>
      <c r="AG48" s="242"/>
      <c r="AH48" s="233"/>
      <c r="AI48" s="106"/>
      <c r="AJ48" s="476" t="e">
        <f t="shared" si="7"/>
        <v>#DIV/0!</v>
      </c>
      <c r="AK48" s="235"/>
      <c r="AL48" s="242"/>
      <c r="AM48" s="313"/>
      <c r="AN48" s="1780"/>
      <c r="AP48" s="26"/>
      <c r="AQ48" s="5579" t="s">
        <v>3507</v>
      </c>
      <c r="AR48" s="242"/>
      <c r="AS48" s="233"/>
      <c r="AT48" s="106"/>
      <c r="AU48" s="476"/>
      <c r="AV48" s="235"/>
      <c r="AW48" s="242"/>
      <c r="AX48" s="313"/>
      <c r="AY48" s="1780"/>
      <c r="BA48" s="26"/>
      <c r="BB48" s="5579" t="s">
        <v>3507</v>
      </c>
      <c r="BC48" s="242"/>
      <c r="BD48" s="233"/>
      <c r="BE48" s="106"/>
      <c r="BF48" s="476"/>
      <c r="BG48" s="235"/>
      <c r="BH48" s="242"/>
      <c r="BI48" s="313"/>
      <c r="BJ48" s="1780"/>
    </row>
    <row r="49" spans="1:62" x14ac:dyDescent="0.35">
      <c r="A49" s="9168"/>
      <c r="B49" s="196" t="s">
        <v>940</v>
      </c>
      <c r="C49" s="229"/>
      <c r="D49" s="60"/>
      <c r="E49" s="143"/>
      <c r="F49" s="168"/>
      <c r="G49" s="143"/>
      <c r="H49" s="245"/>
      <c r="I49" s="106"/>
      <c r="J49" s="246"/>
      <c r="K49" s="143"/>
      <c r="L49" s="245"/>
      <c r="M49" s="5589" t="s">
        <v>3518</v>
      </c>
      <c r="N49" s="143"/>
      <c r="O49" s="5590" t="s">
        <v>3519</v>
      </c>
      <c r="P49" s="892"/>
      <c r="Q49" s="892" t="s">
        <v>3520</v>
      </c>
      <c r="R49" s="890"/>
      <c r="S49" s="892"/>
      <c r="T49" s="5937"/>
      <c r="U49" s="892"/>
      <c r="V49" s="891"/>
      <c r="W49" s="143"/>
      <c r="X49" s="5591"/>
      <c r="Y49" s="892"/>
      <c r="Z49" s="892"/>
      <c r="AA49" s="890"/>
      <c r="AB49" s="892"/>
      <c r="AC49" s="5937"/>
      <c r="AD49" s="892"/>
      <c r="AE49" s="5592"/>
      <c r="AF49" s="143"/>
      <c r="AG49" s="245"/>
      <c r="AH49" s="106"/>
      <c r="AI49" s="106"/>
      <c r="AJ49" s="246"/>
      <c r="AK49" s="143"/>
      <c r="AL49" s="245"/>
      <c r="AM49" s="106"/>
      <c r="AN49" s="66"/>
      <c r="AP49" s="26"/>
      <c r="AQ49" s="229"/>
      <c r="AR49" s="245"/>
      <c r="AS49" s="106"/>
      <c r="AT49" s="106"/>
      <c r="AU49" s="246"/>
      <c r="AV49" s="143"/>
      <c r="AW49" s="245"/>
      <c r="AX49" s="106"/>
      <c r="AY49" s="66"/>
      <c r="BA49" s="26"/>
      <c r="BB49" s="229"/>
      <c r="BC49" s="245"/>
      <c r="BD49" s="106"/>
      <c r="BE49" s="106"/>
      <c r="BF49" s="246"/>
      <c r="BG49" s="143"/>
      <c r="BH49" s="245"/>
      <c r="BI49" s="106"/>
      <c r="BJ49" s="66"/>
    </row>
    <row r="50" spans="1:62" x14ac:dyDescent="0.35">
      <c r="A50" s="9168"/>
      <c r="B50" s="5932"/>
      <c r="C50" s="5933" t="s">
        <v>1994</v>
      </c>
      <c r="D50" s="60">
        <v>2</v>
      </c>
      <c r="F50" s="111">
        <v>0</v>
      </c>
      <c r="H50" s="112"/>
      <c r="I50" s="113"/>
      <c r="J50" s="476">
        <f>IF(H50=0,0,I50/H50)</f>
        <v>0</v>
      </c>
      <c r="L50" s="112">
        <v>704221</v>
      </c>
      <c r="M50" s="3173">
        <f>L50</f>
        <v>704221</v>
      </c>
      <c r="O50" s="780">
        <v>704221</v>
      </c>
      <c r="P50" s="113">
        <v>676522.17960000003</v>
      </c>
      <c r="Q50" s="5934" t="s">
        <v>3521</v>
      </c>
      <c r="R50" s="782">
        <f>P50/O50</f>
        <v>0.96066743195672955</v>
      </c>
      <c r="S50" s="938"/>
      <c r="T50" s="780"/>
      <c r="U50" s="938"/>
      <c r="V50" s="113"/>
      <c r="X50" s="5104">
        <v>978466</v>
      </c>
      <c r="Y50" s="5343">
        <f>X50*R50</f>
        <v>939980.41947697336</v>
      </c>
      <c r="Z50" s="5934"/>
      <c r="AA50" s="782"/>
      <c r="AB50" s="938"/>
      <c r="AC50" s="5104">
        <v>998064</v>
      </c>
      <c r="AD50" s="938"/>
      <c r="AE50" s="5593">
        <f>AC50*R50</f>
        <v>958807.57980846136</v>
      </c>
      <c r="AG50" s="248"/>
      <c r="AH50" s="233"/>
      <c r="AI50" s="106"/>
      <c r="AJ50" s="476"/>
      <c r="AL50" s="112"/>
      <c r="AM50" s="106"/>
      <c r="AN50" s="66"/>
      <c r="AO50" s="143"/>
      <c r="AP50" s="26" t="s">
        <v>3522</v>
      </c>
      <c r="AQ50" s="5933" t="s">
        <v>1994</v>
      </c>
      <c r="AR50" s="248"/>
      <c r="AS50" s="233"/>
      <c r="AT50" s="106"/>
      <c r="AU50" s="476"/>
      <c r="AW50" s="112"/>
      <c r="AX50" s="106"/>
      <c r="AY50" s="66"/>
      <c r="AZ50" s="143"/>
      <c r="BA50" s="26" t="s">
        <v>3522</v>
      </c>
      <c r="BB50" s="5933" t="s">
        <v>1994</v>
      </c>
      <c r="BC50" s="112"/>
      <c r="BD50" s="233"/>
      <c r="BE50" s="106"/>
      <c r="BF50" s="476"/>
      <c r="BH50" s="112"/>
      <c r="BI50" s="106"/>
      <c r="BJ50" s="66"/>
    </row>
    <row r="51" spans="1:62" x14ac:dyDescent="0.35">
      <c r="A51" s="9168"/>
      <c r="B51" s="5932"/>
      <c r="C51" s="5579" t="s">
        <v>1336</v>
      </c>
      <c r="D51" s="60"/>
      <c r="F51" s="155"/>
      <c r="H51" s="117"/>
      <c r="I51" s="115"/>
      <c r="J51" s="476">
        <f>IF(H51=0,0,I51/H51)</f>
        <v>0</v>
      </c>
      <c r="L51" s="117"/>
      <c r="M51" s="157"/>
      <c r="O51" s="785"/>
      <c r="P51" s="115"/>
      <c r="Q51" s="938"/>
      <c r="R51" s="782"/>
      <c r="S51" s="938"/>
      <c r="T51" s="785"/>
      <c r="U51" s="938"/>
      <c r="V51" s="115"/>
      <c r="X51" s="785"/>
      <c r="Y51" s="115"/>
      <c r="Z51" s="938"/>
      <c r="AA51" s="782"/>
      <c r="AB51" s="938"/>
      <c r="AC51" s="785"/>
      <c r="AD51" s="938"/>
      <c r="AE51" s="648"/>
      <c r="AG51" s="200"/>
      <c r="AH51" s="201"/>
      <c r="AI51" s="106"/>
      <c r="AJ51" s="476"/>
      <c r="AL51" s="117"/>
      <c r="AM51" s="106"/>
      <c r="AN51" s="66"/>
      <c r="AP51" s="26"/>
      <c r="AQ51" s="5579" t="s">
        <v>1336</v>
      </c>
      <c r="AR51" s="200"/>
      <c r="AS51" s="201"/>
      <c r="AT51" s="106"/>
      <c r="AU51" s="476"/>
      <c r="AW51" s="117"/>
      <c r="AX51" s="106"/>
      <c r="AY51" s="66"/>
      <c r="BA51" s="26"/>
      <c r="BB51" s="5579" t="s">
        <v>1336</v>
      </c>
      <c r="BC51" s="117"/>
      <c r="BD51" s="233"/>
      <c r="BE51" s="106"/>
      <c r="BF51" s="476"/>
      <c r="BH51" s="117"/>
      <c r="BI51" s="106"/>
      <c r="BJ51" s="66"/>
    </row>
    <row r="52" spans="1:62" x14ac:dyDescent="0.35">
      <c r="A52" s="9168"/>
      <c r="B52" s="5938"/>
      <c r="C52" s="5579" t="s">
        <v>933</v>
      </c>
      <c r="D52" s="87"/>
      <c r="F52" s="130"/>
      <c r="H52" s="242"/>
      <c r="I52" s="243"/>
      <c r="J52" s="476">
        <f>IF(H52=0,0,I52/H52)</f>
        <v>0</v>
      </c>
      <c r="L52" s="131"/>
      <c r="M52" s="213"/>
      <c r="O52" s="796"/>
      <c r="P52" s="5939"/>
      <c r="Q52" s="5594"/>
      <c r="R52" s="782"/>
      <c r="S52" s="938"/>
      <c r="T52" s="791"/>
      <c r="U52" s="5594"/>
      <c r="V52" s="5939"/>
      <c r="X52" s="796"/>
      <c r="Y52" s="5939"/>
      <c r="Z52" s="5594"/>
      <c r="AA52" s="782"/>
      <c r="AB52" s="938"/>
      <c r="AC52" s="791"/>
      <c r="AD52" s="5594"/>
      <c r="AE52" s="650"/>
      <c r="AG52" s="164"/>
      <c r="AH52" s="215"/>
      <c r="AI52" s="216"/>
      <c r="AJ52" s="476"/>
      <c r="AL52" s="131"/>
      <c r="AM52" s="216"/>
      <c r="AN52" s="92"/>
      <c r="AP52" s="24"/>
      <c r="AQ52" s="5579" t="s">
        <v>933</v>
      </c>
      <c r="AR52" s="164"/>
      <c r="AS52" s="215"/>
      <c r="AT52" s="216"/>
      <c r="AU52" s="476"/>
      <c r="AW52" s="131"/>
      <c r="AX52" s="216"/>
      <c r="AY52" s="92"/>
      <c r="BA52" s="24"/>
      <c r="BB52" s="5579" t="s">
        <v>933</v>
      </c>
      <c r="BC52" s="131"/>
      <c r="BD52" s="215"/>
      <c r="BE52" s="216"/>
      <c r="BF52" s="476"/>
      <c r="BH52" s="131"/>
      <c r="BI52" s="216"/>
      <c r="BJ52" s="92"/>
    </row>
    <row r="53" spans="1:62" x14ac:dyDescent="0.35">
      <c r="A53" s="9168"/>
      <c r="B53" s="196" t="s">
        <v>944</v>
      </c>
      <c r="C53" s="5595"/>
      <c r="D53" s="60"/>
      <c r="E53" s="143"/>
      <c r="F53" s="5596" t="s">
        <v>3523</v>
      </c>
      <c r="G53" s="143"/>
      <c r="H53" s="5596" t="s">
        <v>3523</v>
      </c>
      <c r="I53" s="1162" t="s">
        <v>3518</v>
      </c>
      <c r="J53" s="516"/>
      <c r="K53" s="143"/>
      <c r="L53" s="245"/>
      <c r="M53" s="5589" t="s">
        <v>3518</v>
      </c>
      <c r="N53" s="143"/>
      <c r="O53" s="245"/>
      <c r="P53" s="5940" t="s">
        <v>3518</v>
      </c>
      <c r="Q53" s="912"/>
      <c r="R53" s="900"/>
      <c r="S53" s="892"/>
      <c r="T53" s="773"/>
      <c r="U53" s="892" t="s">
        <v>3524</v>
      </c>
      <c r="V53" s="5597"/>
      <c r="W53" s="143"/>
      <c r="X53" s="245"/>
      <c r="Y53" s="5940" t="s">
        <v>3518</v>
      </c>
      <c r="Z53" s="912"/>
      <c r="AA53" s="900"/>
      <c r="AB53" s="892"/>
      <c r="AC53" s="773"/>
      <c r="AD53" s="892" t="s">
        <v>3525</v>
      </c>
      <c r="AE53" s="5597"/>
      <c r="AF53" s="143"/>
      <c r="AG53" s="5598" t="s">
        <v>3526</v>
      </c>
      <c r="AH53" s="103"/>
      <c r="AI53" s="53"/>
      <c r="AJ53" s="516"/>
      <c r="AK53" s="143"/>
      <c r="AL53" s="245"/>
      <c r="AM53" s="53"/>
      <c r="AN53" s="237"/>
      <c r="AP53" s="26"/>
      <c r="AQ53" s="5595"/>
      <c r="AR53" s="103" t="s">
        <v>3526</v>
      </c>
      <c r="AS53" s="53"/>
      <c r="AT53" s="53"/>
      <c r="AU53" s="516"/>
      <c r="AV53" s="143"/>
      <c r="AW53" s="245"/>
      <c r="AX53" s="53"/>
      <c r="AY53" s="237"/>
      <c r="BA53" s="26"/>
      <c r="BB53" s="5595"/>
      <c r="BC53" s="103" t="s">
        <v>3526</v>
      </c>
      <c r="BD53" s="53"/>
      <c r="BE53" s="53"/>
      <c r="BF53" s="516"/>
      <c r="BG53" s="143"/>
      <c r="BH53" s="245"/>
      <c r="BI53" s="53"/>
      <c r="BJ53" s="237"/>
    </row>
    <row r="54" spans="1:62" ht="24.75" customHeight="1" x14ac:dyDescent="0.35">
      <c r="A54" s="9168"/>
      <c r="B54" s="5932"/>
      <c r="C54" s="5933" t="s">
        <v>3527</v>
      </c>
      <c r="D54" s="60">
        <v>3</v>
      </c>
      <c r="F54" s="3966">
        <f>L54*F$45/L$45</f>
        <v>1028644.3395380676</v>
      </c>
      <c r="H54" s="262">
        <f>L54*H$45/L$45</f>
        <v>1530379.4794378295</v>
      </c>
      <c r="I54" s="1351">
        <f>H54</f>
        <v>1530379.4794378295</v>
      </c>
      <c r="J54" s="5936">
        <f>IF(H54=0,0,I54/H54)</f>
        <v>1</v>
      </c>
      <c r="L54" s="112">
        <f>590110+991631</f>
        <v>1581741</v>
      </c>
      <c r="M54" s="3173">
        <f>L54</f>
        <v>1581741</v>
      </c>
      <c r="N54" s="456"/>
      <c r="O54" s="112">
        <f>590110+991631</f>
        <v>1581741</v>
      </c>
      <c r="P54" s="3064">
        <f>O54</f>
        <v>1581741</v>
      </c>
      <c r="Q54" s="938"/>
      <c r="R54" s="782"/>
      <c r="S54" s="938"/>
      <c r="T54" s="780">
        <f>563378+1072346</f>
        <v>1635724</v>
      </c>
      <c r="U54" s="5941" t="s">
        <v>3528</v>
      </c>
      <c r="V54" s="5599">
        <f>T54</f>
        <v>1635724</v>
      </c>
      <c r="W54" s="456"/>
      <c r="X54" s="3164">
        <f>563378+1072346</f>
        <v>1635724</v>
      </c>
      <c r="Y54" s="5942">
        <f>X54</f>
        <v>1635724</v>
      </c>
      <c r="Z54" s="938"/>
      <c r="AA54" s="782"/>
      <c r="AB54" s="938"/>
      <c r="AC54" s="5104">
        <f>674650+1464302</f>
        <v>2138952</v>
      </c>
      <c r="AD54" s="5941"/>
      <c r="AE54" s="5600">
        <f>AC54</f>
        <v>2138952</v>
      </c>
      <c r="AF54" s="456"/>
      <c r="AG54" s="117">
        <f>AC54</f>
        <v>2138952</v>
      </c>
      <c r="AH54" s="233">
        <f>AE54</f>
        <v>2138952</v>
      </c>
      <c r="AI54" s="106"/>
      <c r="AJ54" s="476">
        <f>AH54/AG54</f>
        <v>1</v>
      </c>
      <c r="AL54" s="5601">
        <f>705891+2653810</f>
        <v>3359701</v>
      </c>
      <c r="AM54" s="57" t="s">
        <v>3529</v>
      </c>
      <c r="AN54" s="66">
        <f>AL54*AJ54</f>
        <v>3359701</v>
      </c>
      <c r="AO54" s="143"/>
      <c r="AP54" s="903" t="s">
        <v>1485</v>
      </c>
      <c r="AQ54" s="5933" t="s">
        <v>3527</v>
      </c>
      <c r="AR54" s="242">
        <f>705891+2653810</f>
        <v>3359701</v>
      </c>
      <c r="AS54" s="106">
        <f>AR54*AU18</f>
        <v>3248197.3435609872</v>
      </c>
      <c r="AT54" s="57" t="s">
        <v>3529</v>
      </c>
      <c r="AU54" s="476">
        <f>AS54/AR54</f>
        <v>0.96681143457735885</v>
      </c>
      <c r="AW54" s="242">
        <f>3990600+2759544</f>
        <v>6750144</v>
      </c>
      <c r="AX54" s="57" t="s">
        <v>3530</v>
      </c>
      <c r="AY54" s="66">
        <f>AW54*AU54</f>
        <v>6526116.4042437514</v>
      </c>
      <c r="AZ54" s="143"/>
      <c r="BA54" s="903" t="s">
        <v>1485</v>
      </c>
      <c r="BB54" s="5933" t="s">
        <v>3527</v>
      </c>
      <c r="BC54" s="242">
        <f>3990600+2759544</f>
        <v>6750144</v>
      </c>
      <c r="BD54" s="259">
        <f>BC54*BF54</f>
        <v>7012450.2816311223</v>
      </c>
      <c r="BE54" s="57"/>
      <c r="BF54" s="1628">
        <f>BF18</f>
        <v>1.0388593608715788</v>
      </c>
      <c r="BH54" s="242">
        <f>689583+839193</f>
        <v>1528776</v>
      </c>
      <c r="BI54" t="s">
        <v>3531</v>
      </c>
      <c r="BJ54" s="66">
        <f>BH54*BF54</f>
        <v>1588183.2582758088</v>
      </c>
    </row>
    <row r="55" spans="1:62" ht="24.75" customHeight="1" x14ac:dyDescent="0.35">
      <c r="A55" s="9168"/>
      <c r="B55" s="5932"/>
      <c r="C55" s="5579" t="s">
        <v>1336</v>
      </c>
      <c r="D55" s="60"/>
      <c r="F55" s="3966"/>
      <c r="H55" s="262"/>
      <c r="I55" s="1351"/>
      <c r="J55" s="5936"/>
      <c r="L55" s="112"/>
      <c r="M55" s="3173"/>
      <c r="N55" s="456"/>
      <c r="O55" s="112"/>
      <c r="P55" s="3064"/>
      <c r="Q55" s="938"/>
      <c r="R55" s="782"/>
      <c r="S55" s="938"/>
      <c r="T55" s="785"/>
      <c r="U55" s="5943"/>
      <c r="V55" s="5599"/>
      <c r="W55" s="456"/>
      <c r="X55" s="112"/>
      <c r="Y55" s="5944"/>
      <c r="Z55" s="938"/>
      <c r="AA55" s="782"/>
      <c r="AB55" s="938"/>
      <c r="AC55" s="785"/>
      <c r="AD55" s="5943"/>
      <c r="AE55" s="5599"/>
      <c r="AF55" s="456"/>
      <c r="AG55" s="117"/>
      <c r="AH55" s="233"/>
      <c r="AI55" s="57"/>
      <c r="AJ55" s="476"/>
      <c r="AL55" s="112"/>
      <c r="AM55" s="57"/>
      <c r="AN55" s="237"/>
      <c r="AO55" s="456"/>
      <c r="AP55" s="903"/>
      <c r="AQ55" s="5579" t="s">
        <v>1336</v>
      </c>
      <c r="AR55" s="117"/>
      <c r="AS55" s="57"/>
      <c r="AT55" s="57"/>
      <c r="AU55" s="476"/>
      <c r="AW55" s="112"/>
      <c r="AX55" s="57"/>
      <c r="AY55" s="237"/>
      <c r="AZ55" s="456"/>
      <c r="BA55" s="903"/>
      <c r="BB55" s="5579" t="s">
        <v>1336</v>
      </c>
      <c r="BC55" s="112"/>
      <c r="BD55" s="3969"/>
      <c r="BE55" s="57"/>
      <c r="BF55" s="1628"/>
      <c r="BH55" s="112"/>
      <c r="BI55" s="57"/>
      <c r="BJ55" s="237"/>
    </row>
    <row r="56" spans="1:62" ht="24.75" customHeight="1" x14ac:dyDescent="0.35">
      <c r="A56" s="9168"/>
      <c r="B56" s="5932"/>
      <c r="C56" s="5579" t="s">
        <v>933</v>
      </c>
      <c r="D56" s="60"/>
      <c r="F56" s="3966"/>
      <c r="H56" s="262"/>
      <c r="I56" s="1351"/>
      <c r="J56" s="5936"/>
      <c r="L56" s="112"/>
      <c r="M56" s="3173"/>
      <c r="N56" s="456"/>
      <c r="O56" s="112"/>
      <c r="P56" s="3064"/>
      <c r="Q56" s="938"/>
      <c r="R56" s="782"/>
      <c r="S56" s="938"/>
      <c r="T56" s="785"/>
      <c r="U56" s="5943"/>
      <c r="V56" s="5599"/>
      <c r="W56" s="456"/>
      <c r="X56" s="112"/>
      <c r="Y56" s="5944"/>
      <c r="Z56" s="938"/>
      <c r="AA56" s="782"/>
      <c r="AB56" s="938"/>
      <c r="AC56" s="785"/>
      <c r="AD56" s="5943"/>
      <c r="AE56" s="5599"/>
      <c r="AF56" s="456"/>
      <c r="AG56" s="117"/>
      <c r="AH56" s="233"/>
      <c r="AI56" s="106"/>
      <c r="AJ56" s="476"/>
      <c r="AL56" s="112"/>
      <c r="AM56" s="106"/>
      <c r="AN56" s="66"/>
      <c r="AO56" s="456"/>
      <c r="AP56" s="903"/>
      <c r="AQ56" s="5579" t="s">
        <v>933</v>
      </c>
      <c r="AR56" s="117"/>
      <c r="AS56" s="106"/>
      <c r="AT56" s="106"/>
      <c r="AU56" s="476"/>
      <c r="AW56" s="112"/>
      <c r="AX56" s="106"/>
      <c r="AY56" s="66"/>
      <c r="AZ56" s="456"/>
      <c r="BA56" s="903"/>
      <c r="BB56" s="5579" t="s">
        <v>933</v>
      </c>
      <c r="BC56" s="112"/>
      <c r="BD56" s="259"/>
      <c r="BE56" s="106"/>
      <c r="BF56" s="1628"/>
      <c r="BH56" s="112"/>
      <c r="BI56" s="106"/>
      <c r="BJ56" s="66"/>
    </row>
    <row r="57" spans="1:62" ht="58.75" customHeight="1" x14ac:dyDescent="0.35">
      <c r="A57" s="9168"/>
      <c r="B57" s="5932"/>
      <c r="C57" s="5933" t="s">
        <v>3532</v>
      </c>
      <c r="D57" s="60">
        <v>4</v>
      </c>
      <c r="F57" s="3966">
        <f>L57*F$45/L$45</f>
        <v>702590.02988631045</v>
      </c>
      <c r="H57" s="262">
        <f>L57*H$45/L$45</f>
        <v>1045287.7859401561</v>
      </c>
      <c r="I57" s="3983">
        <f>H57</f>
        <v>1045287.7859401561</v>
      </c>
      <c r="J57" s="5936">
        <f>IF(H57=0,0,I57/H57)</f>
        <v>1</v>
      </c>
      <c r="L57" s="117">
        <v>1080369</v>
      </c>
      <c r="M57" s="3173">
        <f>L57</f>
        <v>1080369</v>
      </c>
      <c r="N57" s="456"/>
      <c r="O57" s="117">
        <v>1080369</v>
      </c>
      <c r="P57" s="3064">
        <f>O57</f>
        <v>1080369</v>
      </c>
      <c r="Q57" s="938"/>
      <c r="R57" s="782"/>
      <c r="S57" s="938"/>
      <c r="T57" s="785">
        <v>1089527</v>
      </c>
      <c r="U57" s="5943" t="s">
        <v>506</v>
      </c>
      <c r="V57" s="5599">
        <f>T57</f>
        <v>1089527</v>
      </c>
      <c r="W57" s="456"/>
      <c r="X57" s="5365">
        <v>1089527</v>
      </c>
      <c r="Y57" s="5942">
        <f>X57</f>
        <v>1089527</v>
      </c>
      <c r="Z57" s="938"/>
      <c r="AA57" s="782"/>
      <c r="AB57" s="938"/>
      <c r="AC57" s="5138">
        <v>1262407</v>
      </c>
      <c r="AD57" s="5943"/>
      <c r="AE57" s="5600">
        <f>AC57</f>
        <v>1262407</v>
      </c>
      <c r="AF57" s="456"/>
      <c r="AG57" s="117">
        <f>AC57</f>
        <v>1262407</v>
      </c>
      <c r="AH57" s="233">
        <f>AE57</f>
        <v>1262407</v>
      </c>
      <c r="AI57" s="106"/>
      <c r="AJ57" s="476">
        <f>AH57/AG57</f>
        <v>1</v>
      </c>
      <c r="AL57" s="5601">
        <v>1965280</v>
      </c>
      <c r="AM57" s="106" t="s">
        <v>3533</v>
      </c>
      <c r="AN57" s="66">
        <f>AL57*AJ57</f>
        <v>1965280</v>
      </c>
      <c r="AO57" s="456"/>
      <c r="AP57" s="723" t="s">
        <v>3534</v>
      </c>
      <c r="AQ57" s="5933" t="s">
        <v>3532</v>
      </c>
      <c r="AR57" s="242">
        <v>1965280</v>
      </c>
      <c r="AS57" s="106">
        <f>AR57*AU18</f>
        <v>1900055.1761461918</v>
      </c>
      <c r="AT57" s="106" t="s">
        <v>3533</v>
      </c>
      <c r="AU57" s="476">
        <f>AS57/AR57</f>
        <v>0.96681143457735885</v>
      </c>
      <c r="AW57" s="242">
        <v>2131909</v>
      </c>
      <c r="AX57" s="106" t="s">
        <v>3535</v>
      </c>
      <c r="AY57" s="66">
        <f>AW57*AU57</f>
        <v>2061153.9986783825</v>
      </c>
      <c r="AZ57" s="456"/>
      <c r="BA57" s="723" t="s">
        <v>3534</v>
      </c>
      <c r="BB57" s="5933" t="s">
        <v>3532</v>
      </c>
      <c r="BC57" s="242">
        <v>2131909</v>
      </c>
      <c r="BD57" s="259">
        <f>BC57*BF57</f>
        <v>2214753.6211763667</v>
      </c>
      <c r="BE57" s="106"/>
      <c r="BF57" s="1628">
        <f>BF18</f>
        <v>1.0388593608715788</v>
      </c>
      <c r="BH57" s="242">
        <f>407100+1042660</f>
        <v>1449760</v>
      </c>
      <c r="BI57" t="s">
        <v>3536</v>
      </c>
      <c r="BJ57" s="66">
        <f>BH57*BF57</f>
        <v>1506096.7470171801</v>
      </c>
    </row>
    <row r="58" spans="1:62" x14ac:dyDescent="0.35">
      <c r="A58" s="9168"/>
      <c r="B58" s="5932"/>
      <c r="C58" s="5579" t="s">
        <v>1336</v>
      </c>
      <c r="D58" s="60"/>
      <c r="F58" s="3966"/>
      <c r="H58" s="262"/>
      <c r="I58" s="3983"/>
      <c r="J58" s="5936"/>
      <c r="L58" s="117"/>
      <c r="M58" s="3173"/>
      <c r="N58" s="456"/>
      <c r="O58" s="117"/>
      <c r="P58" s="3064"/>
      <c r="Q58" s="938"/>
      <c r="R58" s="782"/>
      <c r="S58" s="938"/>
      <c r="T58" s="785"/>
      <c r="U58" s="5943"/>
      <c r="V58" s="5599"/>
      <c r="W58" s="456"/>
      <c r="X58" s="117"/>
      <c r="Y58" s="5944"/>
      <c r="Z58" s="938"/>
      <c r="AA58" s="782"/>
      <c r="AB58" s="938"/>
      <c r="AC58" s="785"/>
      <c r="AD58" s="5943"/>
      <c r="AE58" s="5599"/>
      <c r="AF58" s="456"/>
      <c r="AG58" s="117"/>
      <c r="AH58" s="233"/>
      <c r="AI58" s="106"/>
      <c r="AJ58" s="476"/>
      <c r="AL58" s="112"/>
      <c r="AM58" s="106"/>
      <c r="AN58" s="66"/>
      <c r="AO58" s="456"/>
      <c r="AP58" s="723"/>
      <c r="AQ58" s="5579" t="s">
        <v>1336</v>
      </c>
      <c r="AR58" s="117"/>
      <c r="AS58" s="106"/>
      <c r="AT58" s="106"/>
      <c r="AU58" s="476"/>
      <c r="AW58" s="112"/>
      <c r="AX58" s="106"/>
      <c r="AY58" s="66"/>
      <c r="AZ58" s="456"/>
      <c r="BA58" s="723"/>
      <c r="BB58" s="5579" t="s">
        <v>1336</v>
      </c>
      <c r="BC58" s="112"/>
      <c r="BD58" s="259"/>
      <c r="BE58" s="106"/>
      <c r="BF58" s="1628"/>
      <c r="BH58" s="112"/>
      <c r="BI58" s="106"/>
      <c r="BJ58" s="66"/>
    </row>
    <row r="59" spans="1:62" x14ac:dyDescent="0.35">
      <c r="A59" s="9168"/>
      <c r="B59" s="5932"/>
      <c r="C59" s="5579" t="s">
        <v>933</v>
      </c>
      <c r="D59" s="60"/>
      <c r="F59" s="3966"/>
      <c r="H59" s="262"/>
      <c r="I59" s="3983"/>
      <c r="J59" s="5936"/>
      <c r="L59" s="117"/>
      <c r="M59" s="3173"/>
      <c r="N59" s="456"/>
      <c r="O59" s="117"/>
      <c r="P59" s="3064"/>
      <c r="Q59" s="938"/>
      <c r="R59" s="782"/>
      <c r="S59" s="938"/>
      <c r="T59" s="785"/>
      <c r="U59" s="5943"/>
      <c r="V59" s="5599"/>
      <c r="W59" s="456"/>
      <c r="X59" s="117"/>
      <c r="Y59" s="5944"/>
      <c r="Z59" s="938"/>
      <c r="AA59" s="782"/>
      <c r="AB59" s="938"/>
      <c r="AC59" s="785"/>
      <c r="AD59" s="5943"/>
      <c r="AE59" s="5599"/>
      <c r="AF59" s="456"/>
      <c r="AG59" s="117"/>
      <c r="AH59" s="233"/>
      <c r="AI59" s="106"/>
      <c r="AJ59" s="476"/>
      <c r="AL59" s="112"/>
      <c r="AM59" s="106"/>
      <c r="AN59" s="66"/>
      <c r="AO59" s="456"/>
      <c r="AP59" s="723"/>
      <c r="AQ59" s="5579" t="s">
        <v>933</v>
      </c>
      <c r="AR59" s="117"/>
      <c r="AS59" s="106"/>
      <c r="AT59" s="106"/>
      <c r="AU59" s="476"/>
      <c r="AW59" s="112"/>
      <c r="AX59" s="106"/>
      <c r="AY59" s="66"/>
      <c r="AZ59" s="456"/>
      <c r="BA59" s="723"/>
      <c r="BB59" s="5579" t="s">
        <v>933</v>
      </c>
      <c r="BC59" s="112"/>
      <c r="BD59" s="259"/>
      <c r="BE59" s="106"/>
      <c r="BF59" s="1628"/>
      <c r="BH59" s="112"/>
      <c r="BI59" s="106"/>
      <c r="BJ59" s="66"/>
    </row>
    <row r="60" spans="1:62" ht="37.5" customHeight="1" x14ac:dyDescent="0.35">
      <c r="A60" s="9168"/>
      <c r="B60" s="5932"/>
      <c r="C60" s="5933" t="s">
        <v>3537</v>
      </c>
      <c r="D60" s="60">
        <v>5</v>
      </c>
      <c r="F60" s="3966">
        <f>L60*F$45/L$45</f>
        <v>890220.89751835878</v>
      </c>
      <c r="H60" s="262">
        <f>L60*H$45/L$45</f>
        <v>1324438.1380065961</v>
      </c>
      <c r="I60" s="3983">
        <f>H60</f>
        <v>1324438.1380065961</v>
      </c>
      <c r="J60" s="5936">
        <f>IF(H60=0,0,I60/H60)</f>
        <v>1</v>
      </c>
      <c r="L60" s="117">
        <v>1368888</v>
      </c>
      <c r="M60" s="3173">
        <f>L60</f>
        <v>1368888</v>
      </c>
      <c r="N60" s="456"/>
      <c r="O60" s="117">
        <v>1368888</v>
      </c>
      <c r="P60" s="3064">
        <f>O60</f>
        <v>1368888</v>
      </c>
      <c r="Q60" s="938"/>
      <c r="R60" s="782"/>
      <c r="S60" s="938"/>
      <c r="T60" s="785">
        <v>1762239</v>
      </c>
      <c r="U60" s="5943" t="s">
        <v>3538</v>
      </c>
      <c r="V60" s="5599">
        <f>T60</f>
        <v>1762239</v>
      </c>
      <c r="W60" s="456"/>
      <c r="X60" s="5365">
        <v>1762239</v>
      </c>
      <c r="Y60" s="5942">
        <f>X60</f>
        <v>1762239</v>
      </c>
      <c r="Z60" s="938"/>
      <c r="AA60" s="782"/>
      <c r="AB60" s="938"/>
      <c r="AC60" s="5138">
        <v>2467164</v>
      </c>
      <c r="AD60" s="5943"/>
      <c r="AE60" s="5600">
        <f>AC60</f>
        <v>2467164</v>
      </c>
      <c r="AF60" s="456"/>
      <c r="AG60" s="117">
        <f>AC60</f>
        <v>2467164</v>
      </c>
      <c r="AH60" s="233">
        <f>AE60</f>
        <v>2467164</v>
      </c>
      <c r="AI60" s="106"/>
      <c r="AJ60" s="476">
        <f>AH60/AG60</f>
        <v>1</v>
      </c>
      <c r="AL60" s="5601">
        <v>3268500</v>
      </c>
      <c r="AM60" s="106" t="s">
        <v>3539</v>
      </c>
      <c r="AN60" s="66">
        <f>AL60*AJ60</f>
        <v>3268500</v>
      </c>
      <c r="AO60" s="456"/>
      <c r="AP60" s="723" t="s">
        <v>3540</v>
      </c>
      <c r="AQ60" s="5933" t="s">
        <v>3537</v>
      </c>
      <c r="AR60" s="242">
        <v>3268500</v>
      </c>
      <c r="AS60" s="106">
        <f>AR60*AU18</f>
        <v>3160023.1739160973</v>
      </c>
      <c r="AT60" s="106" t="s">
        <v>3539</v>
      </c>
      <c r="AU60" s="476">
        <f>AS60/AR60</f>
        <v>0.96681143457735885</v>
      </c>
      <c r="AW60" s="242">
        <v>3955328</v>
      </c>
      <c r="AX60" s="106" t="s">
        <v>3541</v>
      </c>
      <c r="AY60" s="66">
        <f>AW60*AU60</f>
        <v>3824056.3379039955</v>
      </c>
      <c r="AZ60" s="456"/>
      <c r="BA60" s="723" t="s">
        <v>3540</v>
      </c>
      <c r="BB60" s="5933" t="s">
        <v>3537</v>
      </c>
      <c r="BC60" s="242">
        <v>3955328</v>
      </c>
      <c r="BD60" s="259">
        <f>BC60*BF60</f>
        <v>4109029.51811746</v>
      </c>
      <c r="BE60" s="106"/>
      <c r="BF60" s="1628">
        <f>BF18</f>
        <v>1.0388593608715788</v>
      </c>
      <c r="BH60" s="242">
        <v>2966056</v>
      </c>
      <c r="BI60" t="s">
        <v>3542</v>
      </c>
      <c r="BJ60" s="66">
        <f>BH60*BF60</f>
        <v>3081315.0404693116</v>
      </c>
    </row>
    <row r="61" spans="1:62" x14ac:dyDescent="0.35">
      <c r="A61" s="9168"/>
      <c r="B61" s="5932"/>
      <c r="C61" s="5579" t="s">
        <v>1336</v>
      </c>
      <c r="D61" s="60"/>
      <c r="F61" s="155"/>
      <c r="H61" s="117"/>
      <c r="I61" s="115"/>
      <c r="J61" s="5936">
        <f>IF(H61=0,0,I61/H61)</f>
        <v>0</v>
      </c>
      <c r="L61" s="117"/>
      <c r="M61" s="157"/>
      <c r="O61" s="117"/>
      <c r="P61" s="312"/>
      <c r="Q61" s="938"/>
      <c r="R61" s="782"/>
      <c r="S61" s="938"/>
      <c r="T61" s="785"/>
      <c r="U61" s="5943"/>
      <c r="V61" s="5599"/>
      <c r="X61" s="117"/>
      <c r="Y61" s="312"/>
      <c r="Z61" s="938"/>
      <c r="AA61" s="782"/>
      <c r="AB61" s="938"/>
      <c r="AC61" s="785"/>
      <c r="AD61" s="5943"/>
      <c r="AE61" s="5599"/>
      <c r="AG61" s="117"/>
      <c r="AH61" s="258"/>
      <c r="AI61" s="57"/>
      <c r="AJ61" s="476"/>
      <c r="AL61" s="112"/>
      <c r="AM61" s="57"/>
      <c r="AN61" s="1780"/>
      <c r="AO61" s="456"/>
      <c r="AP61" s="26"/>
      <c r="AQ61" s="5579" t="s">
        <v>1336</v>
      </c>
      <c r="AR61" s="117"/>
      <c r="AS61" s="57"/>
      <c r="AT61" s="57"/>
      <c r="AU61" s="476"/>
      <c r="AW61" s="112"/>
      <c r="AX61" s="57"/>
      <c r="AY61" s="1780"/>
      <c r="AZ61" s="456"/>
      <c r="BA61" s="26"/>
      <c r="BB61" s="5579" t="s">
        <v>1336</v>
      </c>
      <c r="BC61" s="112"/>
      <c r="BD61" s="3969"/>
      <c r="BE61" s="57"/>
      <c r="BF61" s="476"/>
      <c r="BH61" s="112"/>
      <c r="BI61" s="57"/>
      <c r="BJ61" s="1780"/>
    </row>
    <row r="62" spans="1:62" x14ac:dyDescent="0.35">
      <c r="A62" s="9168"/>
      <c r="B62" s="5932"/>
      <c r="C62" s="5579" t="s">
        <v>933</v>
      </c>
      <c r="D62" s="60"/>
      <c r="F62" s="155"/>
      <c r="H62" s="117"/>
      <c r="I62" s="115"/>
      <c r="J62" s="5936">
        <f>IF(H62=0,0,I62/H62)</f>
        <v>0</v>
      </c>
      <c r="L62" s="117"/>
      <c r="M62" s="157"/>
      <c r="O62" s="117"/>
      <c r="P62" s="312"/>
      <c r="Q62" s="938"/>
      <c r="R62" s="782"/>
      <c r="S62" s="938"/>
      <c r="T62" s="785"/>
      <c r="U62" s="938"/>
      <c r="V62" s="5599"/>
      <c r="X62" s="117"/>
      <c r="Y62" s="312"/>
      <c r="Z62" s="938"/>
      <c r="AA62" s="782"/>
      <c r="AB62" s="938"/>
      <c r="AC62" s="785"/>
      <c r="AD62" s="938"/>
      <c r="AE62" s="5599"/>
      <c r="AG62" s="117"/>
      <c r="AH62" s="260"/>
      <c r="AI62"/>
      <c r="AJ62" s="476"/>
      <c r="AL62" s="112"/>
      <c r="AN62" s="66"/>
      <c r="AP62" s="26"/>
      <c r="AQ62" s="5579" t="s">
        <v>933</v>
      </c>
      <c r="AR62" s="117"/>
      <c r="AS62"/>
      <c r="AT62"/>
      <c r="AU62" s="476"/>
      <c r="AW62" s="112"/>
      <c r="AY62" s="66"/>
      <c r="BA62" s="26"/>
      <c r="BB62" s="5579" t="s">
        <v>933</v>
      </c>
      <c r="BC62" s="112"/>
      <c r="BD62"/>
      <c r="BE62"/>
      <c r="BF62" s="476"/>
      <c r="BH62" s="112"/>
      <c r="BJ62" s="66"/>
    </row>
    <row r="63" spans="1:62" x14ac:dyDescent="0.35">
      <c r="A63" s="9168"/>
      <c r="B63" s="5932"/>
      <c r="C63" s="5933" t="s">
        <v>963</v>
      </c>
      <c r="D63" s="60"/>
      <c r="F63" s="155"/>
      <c r="H63" s="117"/>
      <c r="I63" s="115"/>
      <c r="J63" s="5936">
        <f>IF(H63=0,0,I63/H63)</f>
        <v>0</v>
      </c>
      <c r="L63" s="117"/>
      <c r="M63" s="157"/>
      <c r="O63" s="117"/>
      <c r="P63" s="312"/>
      <c r="Q63" s="938"/>
      <c r="R63" s="782"/>
      <c r="S63" s="938"/>
      <c r="T63" s="785"/>
      <c r="U63" s="938"/>
      <c r="V63" s="5599"/>
      <c r="X63" s="117"/>
      <c r="Y63" s="312"/>
      <c r="Z63" s="938"/>
      <c r="AA63" s="782"/>
      <c r="AB63" s="938"/>
      <c r="AC63" s="785"/>
      <c r="AD63" s="938"/>
      <c r="AE63" s="5599"/>
      <c r="AG63" s="117"/>
      <c r="AH63" s="261"/>
      <c r="AI63" s="106"/>
      <c r="AJ63" s="476"/>
      <c r="AL63" s="262"/>
      <c r="AM63" s="106"/>
      <c r="AN63" s="66"/>
      <c r="AP63" s="26"/>
      <c r="AQ63" s="5933" t="s">
        <v>963</v>
      </c>
      <c r="AR63" s="117"/>
      <c r="AS63" s="106"/>
      <c r="AT63" s="106"/>
      <c r="AU63" s="476"/>
      <c r="AW63" s="262"/>
      <c r="AX63" s="106"/>
      <c r="AY63" s="66"/>
      <c r="BA63" s="26"/>
      <c r="BB63" s="5933" t="s">
        <v>963</v>
      </c>
      <c r="BC63" s="262"/>
      <c r="BD63" s="106"/>
      <c r="BE63" s="106"/>
      <c r="BF63" s="476"/>
      <c r="BH63" s="262"/>
      <c r="BI63" s="106"/>
      <c r="BJ63" s="66"/>
    </row>
    <row r="64" spans="1:62" x14ac:dyDescent="0.35">
      <c r="A64" s="9168"/>
      <c r="B64" s="5945"/>
      <c r="C64" s="5946" t="s">
        <v>964</v>
      </c>
      <c r="D64" s="87"/>
      <c r="F64" s="130"/>
      <c r="H64" s="131"/>
      <c r="I64" s="132"/>
      <c r="J64" s="484">
        <f>IF(H64=0,0,I64/H64)</f>
        <v>0</v>
      </c>
      <c r="L64" s="242"/>
      <c r="M64" s="157"/>
      <c r="O64" s="242"/>
      <c r="P64" s="312"/>
      <c r="Q64" s="5594"/>
      <c r="R64" s="798"/>
      <c r="S64" s="938"/>
      <c r="T64" s="796"/>
      <c r="U64" s="938"/>
      <c r="V64" s="5599"/>
      <c r="X64" s="242"/>
      <c r="Y64" s="312"/>
      <c r="Z64" s="5594"/>
      <c r="AA64" s="798"/>
      <c r="AB64" s="938"/>
      <c r="AC64" s="796"/>
      <c r="AD64" s="938"/>
      <c r="AE64" s="5599"/>
      <c r="AG64" s="131"/>
      <c r="AH64" s="264"/>
      <c r="AI64" s="216"/>
      <c r="AJ64" s="484"/>
      <c r="AL64" s="131"/>
      <c r="AM64" s="216"/>
      <c r="AN64" s="92"/>
      <c r="AP64" s="26"/>
      <c r="AQ64" s="5946" t="s">
        <v>964</v>
      </c>
      <c r="AR64" s="131"/>
      <c r="AS64" s="216"/>
      <c r="AT64" s="216"/>
      <c r="AU64" s="484"/>
      <c r="AW64" s="131"/>
      <c r="AX64" s="216"/>
      <c r="AY64" s="92"/>
      <c r="BA64" s="26"/>
      <c r="BB64" s="5946" t="s">
        <v>964</v>
      </c>
      <c r="BC64" s="131"/>
      <c r="BD64" s="216"/>
      <c r="BE64" s="216"/>
      <c r="BF64" s="484"/>
      <c r="BH64" s="131"/>
      <c r="BI64" s="216"/>
      <c r="BJ64" s="92"/>
    </row>
    <row r="65" spans="1:62" x14ac:dyDescent="0.35">
      <c r="A65" s="9168"/>
      <c r="B65" s="139" t="s">
        <v>965</v>
      </c>
      <c r="C65" s="908"/>
      <c r="D65" s="140"/>
      <c r="E65" s="141"/>
      <c r="F65" s="227"/>
      <c r="G65" s="143"/>
      <c r="H65" s="245"/>
      <c r="I65" s="106"/>
      <c r="J65" s="518"/>
      <c r="K65" s="141"/>
      <c r="L65" s="102"/>
      <c r="M65" s="1659"/>
      <c r="N65" s="141"/>
      <c r="O65" s="866"/>
      <c r="P65" s="912"/>
      <c r="Q65" s="912"/>
      <c r="R65" s="909"/>
      <c r="S65" s="892"/>
      <c r="T65" s="866"/>
      <c r="U65" s="912"/>
      <c r="V65" s="910"/>
      <c r="W65" s="141"/>
      <c r="X65" s="773"/>
      <c r="Y65" s="912"/>
      <c r="Z65" s="912"/>
      <c r="AA65" s="909"/>
      <c r="AB65" s="892"/>
      <c r="AC65" s="866"/>
      <c r="AD65" s="912"/>
      <c r="AE65" s="910"/>
      <c r="AF65" s="141"/>
      <c r="AG65" s="245"/>
      <c r="AH65" s="106"/>
      <c r="AI65" s="53"/>
      <c r="AJ65" s="518"/>
      <c r="AK65" s="141"/>
      <c r="AL65" s="102"/>
      <c r="AM65" s="231"/>
      <c r="AN65" s="3377"/>
      <c r="AP65" s="18"/>
      <c r="AQ65" s="908"/>
      <c r="AR65" s="245"/>
      <c r="AS65" s="106"/>
      <c r="AT65" s="53"/>
      <c r="AU65" s="518"/>
      <c r="AV65" s="141"/>
      <c r="AW65" s="102"/>
      <c r="AX65" s="231"/>
      <c r="AY65" s="3377"/>
      <c r="BA65" s="18"/>
      <c r="BB65" s="908"/>
      <c r="BC65" s="245"/>
      <c r="BD65" s="106"/>
      <c r="BE65" s="53"/>
      <c r="BF65" s="518"/>
      <c r="BG65" s="141"/>
      <c r="BH65" s="102"/>
      <c r="BI65" s="231"/>
      <c r="BJ65" s="3377"/>
    </row>
    <row r="66" spans="1:62" x14ac:dyDescent="0.35">
      <c r="A66" s="9168"/>
      <c r="B66" s="5932"/>
      <c r="C66" s="5933" t="s">
        <v>1286</v>
      </c>
      <c r="D66" s="60"/>
      <c r="F66" s="111"/>
      <c r="H66" s="112">
        <v>438877190</v>
      </c>
      <c r="I66" s="113">
        <v>398964138.60000002</v>
      </c>
      <c r="J66" s="5906">
        <f t="shared" ref="J66:J73" si="8">IF(H66=0,0,I66/H66)</f>
        <v>0.90905644606410285</v>
      </c>
      <c r="L66" s="112">
        <v>441483920</v>
      </c>
      <c r="M66" s="611">
        <v>416147271.86000001</v>
      </c>
      <c r="O66" s="112">
        <v>441483920</v>
      </c>
      <c r="P66" s="115">
        <v>416147271.86000001</v>
      </c>
      <c r="Q66" s="938"/>
      <c r="R66" s="782"/>
      <c r="S66" s="938"/>
      <c r="T66" s="780">
        <v>498493649</v>
      </c>
      <c r="U66" s="938" t="s">
        <v>1706</v>
      </c>
      <c r="V66" s="648">
        <v>493125752</v>
      </c>
      <c r="X66" s="3164">
        <v>495542627</v>
      </c>
      <c r="Y66" s="3546">
        <v>493125752.08999997</v>
      </c>
      <c r="Z66" s="938"/>
      <c r="AA66" s="782"/>
      <c r="AB66" s="938"/>
      <c r="AC66" s="5104">
        <v>562225699</v>
      </c>
      <c r="AD66" s="938"/>
      <c r="AE66" s="5602">
        <v>562151974.13</v>
      </c>
      <c r="AG66" s="117">
        <f>AC66</f>
        <v>562225699</v>
      </c>
      <c r="AH66" s="233">
        <f>AE66</f>
        <v>562151974.13</v>
      </c>
      <c r="AI66" s="106"/>
      <c r="AJ66" s="476">
        <f>AH66/AG66</f>
        <v>0.99986886961920962</v>
      </c>
      <c r="AL66" s="112">
        <f>699552365+21817051</f>
        <v>721369416</v>
      </c>
      <c r="AM66" s="57" t="s">
        <v>3499</v>
      </c>
      <c r="AN66" s="66">
        <f>AL66*AJ66</f>
        <v>721274822.55378938</v>
      </c>
      <c r="AO66" s="141"/>
      <c r="AP66" s="723"/>
      <c r="AQ66" s="5933" t="s">
        <v>1286</v>
      </c>
      <c r="AR66" s="112">
        <f>699552365</f>
        <v>699552365</v>
      </c>
      <c r="AS66" s="233">
        <v>697701962</v>
      </c>
      <c r="AT66" s="106"/>
      <c r="AU66" s="476">
        <f>AS66/AR66</f>
        <v>0.9973548756425118</v>
      </c>
      <c r="AW66" s="112">
        <f>699552365+24898966</f>
        <v>724451331</v>
      </c>
      <c r="AX66" s="57" t="s">
        <v>3495</v>
      </c>
      <c r="AY66" s="66">
        <f>AW66*AU66</f>
        <v>722535067.1385572</v>
      </c>
      <c r="AZ66" s="141"/>
      <c r="BA66" s="723"/>
      <c r="BB66" s="5933" t="s">
        <v>1286</v>
      </c>
      <c r="BC66" s="112">
        <f>699552365+24898966</f>
        <v>724451331</v>
      </c>
      <c r="BD66" s="233">
        <f>362702226*12/6</f>
        <v>725404452</v>
      </c>
      <c r="BE66" s="106" t="s">
        <v>3543</v>
      </c>
      <c r="BF66" s="476">
        <f>BD66/BC66</f>
        <v>1.0013156453155858</v>
      </c>
      <c r="BH66" s="112">
        <f>303091321+121787644+48054415+115839049+96182264+104833455+86675958+1313200+25106170</f>
        <v>902883476</v>
      </c>
      <c r="BI66" t="s">
        <v>3544</v>
      </c>
      <c r="BJ66" s="66">
        <f>BH66*BF66</f>
        <v>904071350.41571927</v>
      </c>
    </row>
    <row r="67" spans="1:62" x14ac:dyDescent="0.35">
      <c r="A67" s="9168"/>
      <c r="B67" s="5932"/>
      <c r="C67" s="5933" t="s">
        <v>1994</v>
      </c>
      <c r="D67" s="60"/>
      <c r="F67" s="155"/>
      <c r="H67" s="117">
        <v>16111490</v>
      </c>
      <c r="I67" s="115">
        <v>13995965.859999999</v>
      </c>
      <c r="J67" s="5906">
        <f t="shared" si="8"/>
        <v>0.86869469304204638</v>
      </c>
      <c r="L67" s="117">
        <v>15421653</v>
      </c>
      <c r="M67" s="611">
        <v>14602439.85</v>
      </c>
      <c r="O67" s="117">
        <v>15421653</v>
      </c>
      <c r="P67" s="115">
        <v>14602439.85</v>
      </c>
      <c r="Q67" s="938"/>
      <c r="R67" s="782"/>
      <c r="S67" s="938"/>
      <c r="T67" s="791">
        <v>15617740</v>
      </c>
      <c r="U67" s="938"/>
      <c r="V67" s="648">
        <v>17296954</v>
      </c>
      <c r="X67" s="5365">
        <v>17347150</v>
      </c>
      <c r="Y67" s="3546">
        <v>17296953.960000001</v>
      </c>
      <c r="Z67" s="938"/>
      <c r="AA67" s="782"/>
      <c r="AB67" s="938"/>
      <c r="AC67" s="5110">
        <v>17800804</v>
      </c>
      <c r="AD67" s="938"/>
      <c r="AE67" s="5602">
        <v>17785956.829999998</v>
      </c>
      <c r="AG67" s="117">
        <f>AC67</f>
        <v>17800804</v>
      </c>
      <c r="AH67" s="233">
        <f>AE67</f>
        <v>17785956.829999998</v>
      </c>
      <c r="AI67" s="106"/>
      <c r="AJ67" s="476">
        <f>AH67/AG67</f>
        <v>0.99916592699970175</v>
      </c>
      <c r="AL67" s="117">
        <v>117370173</v>
      </c>
      <c r="AM67" s="57" t="s">
        <v>3499</v>
      </c>
      <c r="AN67" s="66">
        <f>AL67*AJ67</f>
        <v>117272277.70766036</v>
      </c>
      <c r="AP67" s="26"/>
      <c r="AQ67" s="5933" t="s">
        <v>1994</v>
      </c>
      <c r="AR67" s="117">
        <v>21817051</v>
      </c>
      <c r="AS67" s="233">
        <v>21201350</v>
      </c>
      <c r="AT67" s="106"/>
      <c r="AU67" s="476">
        <f>AS67/AR67</f>
        <v>0.97177890815766077</v>
      </c>
      <c r="AW67" s="112">
        <v>113934610</v>
      </c>
      <c r="AX67" s="57" t="s">
        <v>3495</v>
      </c>
      <c r="AY67" s="66">
        <f>AW67*AU67</f>
        <v>110719250.9071689</v>
      </c>
      <c r="BA67" s="26"/>
      <c r="BB67" s="5933" t="s">
        <v>1994</v>
      </c>
      <c r="BC67" s="112"/>
      <c r="BD67" s="233"/>
      <c r="BE67" s="106"/>
      <c r="BF67" s="476" t="e">
        <f>BD67/BC67</f>
        <v>#DIV/0!</v>
      </c>
      <c r="BH67" s="112"/>
      <c r="BI67" t="s">
        <v>3544</v>
      </c>
      <c r="BJ67" s="66"/>
    </row>
    <row r="68" spans="1:62" ht="28.5" customHeight="1" x14ac:dyDescent="0.35">
      <c r="A68" s="9168"/>
      <c r="B68" s="5932"/>
      <c r="C68" s="5933" t="s">
        <v>3515</v>
      </c>
      <c r="D68" s="60"/>
      <c r="F68" s="163"/>
      <c r="H68" s="242">
        <v>49449983</v>
      </c>
      <c r="I68" s="243">
        <v>43520044.189999998</v>
      </c>
      <c r="J68" s="5906">
        <f t="shared" si="8"/>
        <v>0.88008208597361903</v>
      </c>
      <c r="L68" s="242">
        <v>56711234</v>
      </c>
      <c r="M68" s="611">
        <v>54211815.789999999</v>
      </c>
      <c r="O68" s="242">
        <v>56711234</v>
      </c>
      <c r="P68" s="115">
        <v>54211815.789999999</v>
      </c>
      <c r="Q68" s="938"/>
      <c r="R68" s="782"/>
      <c r="S68" s="938"/>
      <c r="T68" s="791">
        <v>70314943</v>
      </c>
      <c r="U68" s="938"/>
      <c r="V68" s="648">
        <v>71872623</v>
      </c>
      <c r="X68" s="3166">
        <v>72764310</v>
      </c>
      <c r="Y68" s="3546">
        <v>71872623.299999997</v>
      </c>
      <c r="Z68" s="938"/>
      <c r="AA68" s="782"/>
      <c r="AB68" s="938"/>
      <c r="AC68" s="5110">
        <v>80197110</v>
      </c>
      <c r="AD68" s="938"/>
      <c r="AE68" s="5602">
        <v>80196583.530000001</v>
      </c>
      <c r="AG68" s="117">
        <f>AC68</f>
        <v>80197110</v>
      </c>
      <c r="AH68" s="233">
        <f>AE68</f>
        <v>80196583.530000001</v>
      </c>
      <c r="AJ68" s="476">
        <f>AH68/AG68</f>
        <v>0.99999343529960116</v>
      </c>
      <c r="AL68" s="242"/>
      <c r="AM68" s="106"/>
      <c r="AN68" s="3021">
        <f>AL68*AJ68</f>
        <v>0</v>
      </c>
      <c r="AP68" s="26"/>
      <c r="AQ68" s="5933" t="s">
        <v>3515</v>
      </c>
      <c r="AR68" s="117">
        <v>113370173</v>
      </c>
      <c r="AS68" s="233">
        <v>110183378</v>
      </c>
      <c r="AU68" s="476">
        <f>AS68/AR68</f>
        <v>0.97189035779278554</v>
      </c>
      <c r="AW68" s="242"/>
      <c r="AX68" s="106"/>
      <c r="AY68" s="3021"/>
      <c r="BA68" s="26"/>
      <c r="BB68" s="5933" t="s">
        <v>3515</v>
      </c>
      <c r="BC68" s="112">
        <v>113934610</v>
      </c>
      <c r="BD68" s="233">
        <f>54037531*12/6</f>
        <v>108075062</v>
      </c>
      <c r="BE68" s="106" t="s">
        <v>3543</v>
      </c>
      <c r="BF68" s="476">
        <f>BD68/BC68</f>
        <v>0.9485709566215218</v>
      </c>
      <c r="BH68" s="242">
        <v>119773134</v>
      </c>
      <c r="BI68" t="s">
        <v>3544</v>
      </c>
      <c r="BJ68" s="66">
        <f>BH68*BF68</f>
        <v>113613316.29593772</v>
      </c>
    </row>
    <row r="69" spans="1:62" x14ac:dyDescent="0.35">
      <c r="A69" s="9168"/>
      <c r="B69" s="5932"/>
      <c r="C69" s="5933" t="s">
        <v>977</v>
      </c>
      <c r="D69" s="60"/>
      <c r="F69" s="163"/>
      <c r="H69" s="242"/>
      <c r="I69" s="243"/>
      <c r="J69" s="5936">
        <f t="shared" si="8"/>
        <v>0</v>
      </c>
      <c r="L69" s="242"/>
      <c r="M69" s="611"/>
      <c r="O69" s="791"/>
      <c r="P69" s="115"/>
      <c r="Q69" s="938"/>
      <c r="R69" s="782"/>
      <c r="S69" s="938"/>
      <c r="T69" s="791"/>
      <c r="U69" s="938"/>
      <c r="V69" s="648"/>
      <c r="X69" s="791"/>
      <c r="Y69" s="115"/>
      <c r="Z69" s="938"/>
      <c r="AA69" s="782"/>
      <c r="AB69" s="938"/>
      <c r="AC69" s="791"/>
      <c r="AD69" s="938"/>
      <c r="AE69" s="648"/>
      <c r="AG69" s="242"/>
      <c r="AH69" s="201"/>
      <c r="AJ69" s="476"/>
      <c r="AL69" s="242"/>
      <c r="AM69" s="106"/>
      <c r="AN69" s="3021"/>
      <c r="AP69" s="26"/>
      <c r="AQ69" s="5933" t="s">
        <v>977</v>
      </c>
      <c r="AR69" s="242"/>
      <c r="AS69" s="201"/>
      <c r="AU69" s="476"/>
      <c r="AW69" s="242"/>
      <c r="AX69" s="106"/>
      <c r="AY69" s="3021"/>
      <c r="BA69" s="26"/>
      <c r="BB69" s="5933" t="s">
        <v>977</v>
      </c>
      <c r="BC69" s="242"/>
      <c r="BD69" s="201"/>
      <c r="BF69" s="476"/>
      <c r="BH69" s="242"/>
      <c r="BI69" s="106"/>
      <c r="BJ69" s="3021"/>
    </row>
    <row r="70" spans="1:62" x14ac:dyDescent="0.35">
      <c r="A70" s="9168"/>
      <c r="B70" s="5932"/>
      <c r="C70" s="5933" t="s">
        <v>962</v>
      </c>
      <c r="D70" s="60"/>
      <c r="F70" s="163"/>
      <c r="H70" s="242"/>
      <c r="I70" s="243"/>
      <c r="J70" s="5936">
        <f t="shared" si="8"/>
        <v>0</v>
      </c>
      <c r="L70" s="242"/>
      <c r="M70" s="611"/>
      <c r="O70" s="791"/>
      <c r="P70" s="115"/>
      <c r="Q70" s="938"/>
      <c r="R70" s="782"/>
      <c r="S70" s="938"/>
      <c r="T70" s="791"/>
      <c r="U70" s="938"/>
      <c r="V70" s="648"/>
      <c r="X70" s="791"/>
      <c r="Y70" s="115"/>
      <c r="Z70" s="938"/>
      <c r="AA70" s="782"/>
      <c r="AB70" s="938"/>
      <c r="AC70" s="791"/>
      <c r="AD70" s="938"/>
      <c r="AE70" s="648"/>
      <c r="AG70" s="242"/>
      <c r="AH70" s="233"/>
      <c r="AI70" s="106"/>
      <c r="AJ70" s="476"/>
      <c r="AL70" s="242"/>
      <c r="AM70" s="106"/>
      <c r="AN70" s="66"/>
      <c r="AP70" s="26"/>
      <c r="AQ70" s="5933" t="s">
        <v>962</v>
      </c>
      <c r="AR70" s="242"/>
      <c r="AS70" s="233"/>
      <c r="AT70" s="106"/>
      <c r="AU70" s="476"/>
      <c r="AW70" s="242"/>
      <c r="AX70" s="106"/>
      <c r="AY70" s="66"/>
      <c r="BA70" s="26"/>
      <c r="BB70" s="5933" t="s">
        <v>962</v>
      </c>
      <c r="BC70" s="242"/>
      <c r="BD70" s="233"/>
      <c r="BE70" s="106"/>
      <c r="BF70" s="476"/>
      <c r="BH70" s="242"/>
      <c r="BI70" s="106"/>
      <c r="BJ70" s="66"/>
    </row>
    <row r="71" spans="1:62" x14ac:dyDescent="0.35">
      <c r="A71" s="9168"/>
      <c r="B71" s="5932"/>
      <c r="C71" s="5933" t="s">
        <v>963</v>
      </c>
      <c r="D71" s="60"/>
      <c r="F71" s="163"/>
      <c r="H71" s="242"/>
      <c r="I71" s="243"/>
      <c r="J71" s="476"/>
      <c r="L71" s="242"/>
      <c r="M71" s="611"/>
      <c r="O71" s="791"/>
      <c r="P71" s="115"/>
      <c r="Q71" s="938"/>
      <c r="R71" s="782"/>
      <c r="S71" s="938"/>
      <c r="T71" s="791"/>
      <c r="U71" s="938"/>
      <c r="V71" s="648"/>
      <c r="X71" s="791"/>
      <c r="Y71" s="115"/>
      <c r="Z71" s="938"/>
      <c r="AA71" s="782"/>
      <c r="AB71" s="938"/>
      <c r="AC71" s="791"/>
      <c r="AD71" s="938"/>
      <c r="AE71" s="648"/>
      <c r="AG71" s="242"/>
      <c r="AH71" s="201"/>
      <c r="AI71" s="106"/>
      <c r="AJ71" s="476"/>
      <c r="AL71" s="242"/>
      <c r="AM71" s="106"/>
      <c r="AN71" s="1780"/>
      <c r="AP71" s="26"/>
      <c r="AQ71" s="5933" t="s">
        <v>963</v>
      </c>
      <c r="AR71" s="242"/>
      <c r="AS71" s="201"/>
      <c r="AT71" s="106"/>
      <c r="AU71" s="476"/>
      <c r="AW71" s="242"/>
      <c r="AX71" s="106"/>
      <c r="AY71" s="1780"/>
      <c r="BA71" s="26"/>
      <c r="BB71" s="5933" t="s">
        <v>963</v>
      </c>
      <c r="BC71" s="242"/>
      <c r="BD71" s="201"/>
      <c r="BE71" s="106"/>
      <c r="BF71" s="476"/>
      <c r="BH71" s="242"/>
      <c r="BI71" s="106"/>
      <c r="BJ71" s="1780"/>
    </row>
    <row r="72" spans="1:62" x14ac:dyDescent="0.35">
      <c r="A72" s="9168"/>
      <c r="B72" s="5932"/>
      <c r="C72" s="5933" t="s">
        <v>964</v>
      </c>
      <c r="D72" s="60"/>
      <c r="F72" s="163"/>
      <c r="H72" s="242"/>
      <c r="I72" s="243"/>
      <c r="J72" s="476">
        <f t="shared" si="8"/>
        <v>0</v>
      </c>
      <c r="L72" s="242"/>
      <c r="M72" s="611"/>
      <c r="O72" s="791"/>
      <c r="P72" s="115"/>
      <c r="Q72" s="938"/>
      <c r="R72" s="782"/>
      <c r="S72" s="938"/>
      <c r="T72" s="791"/>
      <c r="U72" s="938"/>
      <c r="V72" s="648"/>
      <c r="X72" s="791"/>
      <c r="Y72" s="115"/>
      <c r="Z72" s="938"/>
      <c r="AA72" s="782"/>
      <c r="AB72" s="938"/>
      <c r="AC72" s="791"/>
      <c r="AD72" s="938"/>
      <c r="AE72" s="648"/>
      <c r="AG72" s="242"/>
      <c r="AH72" s="201"/>
      <c r="AI72" s="106"/>
      <c r="AJ72" s="476"/>
      <c r="AL72" s="242"/>
      <c r="AM72" s="106"/>
      <c r="AN72" s="66"/>
      <c r="AP72" s="26"/>
      <c r="AQ72" s="5933" t="s">
        <v>964</v>
      </c>
      <c r="AR72" s="242"/>
      <c r="AS72" s="201"/>
      <c r="AT72" s="106"/>
      <c r="AU72" s="476"/>
      <c r="AW72" s="242"/>
      <c r="AX72" s="106"/>
      <c r="AY72" s="66"/>
      <c r="BA72" s="26"/>
      <c r="BB72" s="5933" t="s">
        <v>964</v>
      </c>
      <c r="BC72" s="242"/>
      <c r="BD72" s="201"/>
      <c r="BE72" s="106"/>
      <c r="BF72" s="476"/>
      <c r="BH72" s="242"/>
      <c r="BI72" s="106"/>
      <c r="BJ72" s="66"/>
    </row>
    <row r="73" spans="1:62" x14ac:dyDescent="0.35">
      <c r="A73" s="9168"/>
      <c r="B73" s="5938"/>
      <c r="C73" s="5947" t="s">
        <v>978</v>
      </c>
      <c r="D73" s="87"/>
      <c r="F73" s="130"/>
      <c r="H73" s="242"/>
      <c r="I73" s="243"/>
      <c r="J73" s="476">
        <f t="shared" si="8"/>
        <v>0</v>
      </c>
      <c r="L73" s="242"/>
      <c r="M73" s="611"/>
      <c r="O73" s="791"/>
      <c r="P73" s="115"/>
      <c r="Q73" s="938"/>
      <c r="R73" s="782"/>
      <c r="S73" s="938"/>
      <c r="T73" s="791"/>
      <c r="U73" s="938"/>
      <c r="V73" s="5948"/>
      <c r="X73" s="791"/>
      <c r="Y73" s="115"/>
      <c r="Z73" s="938"/>
      <c r="AA73" s="782"/>
      <c r="AB73" s="938"/>
      <c r="AC73" s="791"/>
      <c r="AD73" s="938"/>
      <c r="AE73" s="5948"/>
      <c r="AG73" s="242"/>
      <c r="AH73" s="201"/>
      <c r="AI73" s="216"/>
      <c r="AJ73" s="476"/>
      <c r="AL73" s="242"/>
      <c r="AM73" s="216"/>
      <c r="AN73" s="92"/>
      <c r="AP73" s="24"/>
      <c r="AQ73" s="5947" t="s">
        <v>978</v>
      </c>
      <c r="AR73" s="242"/>
      <c r="AS73" s="201"/>
      <c r="AT73" s="216"/>
      <c r="AU73" s="476"/>
      <c r="AW73" s="242"/>
      <c r="AX73" s="216"/>
      <c r="AY73" s="92"/>
      <c r="BA73" s="24"/>
      <c r="BB73" s="5947" t="s">
        <v>978</v>
      </c>
      <c r="BC73" s="242"/>
      <c r="BD73" s="201"/>
      <c r="BE73" s="216"/>
      <c r="BF73" s="476"/>
      <c r="BH73" s="242"/>
      <c r="BI73" s="216"/>
      <c r="BJ73" s="92"/>
    </row>
    <row r="74" spans="1:62" x14ac:dyDescent="0.35">
      <c r="A74" s="9168"/>
      <c r="B74" s="271" t="s">
        <v>979</v>
      </c>
      <c r="C74" s="271"/>
      <c r="D74" s="140"/>
      <c r="E74" s="143"/>
      <c r="F74" s="227"/>
      <c r="G74" s="143"/>
      <c r="H74" s="102"/>
      <c r="I74" s="103"/>
      <c r="J74" s="228"/>
      <c r="K74" s="143"/>
      <c r="L74" s="102"/>
      <c r="M74" s="1659"/>
      <c r="N74" s="143"/>
      <c r="O74" s="773"/>
      <c r="P74" s="912"/>
      <c r="Q74" s="912"/>
      <c r="R74" s="776"/>
      <c r="S74" s="892"/>
      <c r="T74" s="773"/>
      <c r="U74" s="912"/>
      <c r="V74" s="910"/>
      <c r="W74" s="143"/>
      <c r="X74" s="773"/>
      <c r="Y74" s="912"/>
      <c r="Z74" s="912"/>
      <c r="AA74" s="776"/>
      <c r="AB74" s="892"/>
      <c r="AC74" s="773"/>
      <c r="AD74" s="912"/>
      <c r="AE74" s="910"/>
      <c r="AF74" s="143"/>
      <c r="AG74" s="102"/>
      <c r="AH74" s="103"/>
      <c r="AI74" s="106"/>
      <c r="AJ74" s="228"/>
      <c r="AK74" s="143"/>
      <c r="AL74" s="102"/>
      <c r="AM74" s="106"/>
      <c r="AN74" s="105"/>
      <c r="AP74" s="18"/>
      <c r="AQ74" s="271"/>
      <c r="AR74" s="102"/>
      <c r="AS74" s="103"/>
      <c r="AT74" s="106"/>
      <c r="AU74" s="228"/>
      <c r="AV74" s="143"/>
      <c r="AW74" s="102"/>
      <c r="AX74" s="106"/>
      <c r="AY74" s="105"/>
      <c r="BA74" s="18"/>
      <c r="BB74" s="271"/>
      <c r="BC74" s="102"/>
      <c r="BD74" s="103"/>
      <c r="BE74" s="106"/>
      <c r="BF74" s="228"/>
      <c r="BG74" s="143"/>
      <c r="BH74" s="102"/>
      <c r="BI74" s="106"/>
      <c r="BJ74" s="105"/>
    </row>
    <row r="75" spans="1:62" x14ac:dyDescent="0.35">
      <c r="A75" s="9168"/>
      <c r="B75" s="272"/>
      <c r="C75" s="272" t="s">
        <v>980</v>
      </c>
      <c r="D75" s="60"/>
      <c r="F75" s="155"/>
      <c r="H75" s="117"/>
      <c r="I75" s="115"/>
      <c r="J75" s="476">
        <f>IF(H75=0,0,I75/H75)</f>
        <v>0</v>
      </c>
      <c r="L75" s="117"/>
      <c r="M75" s="611"/>
      <c r="O75" s="785"/>
      <c r="P75" s="115"/>
      <c r="Q75" s="938"/>
      <c r="R75" s="782"/>
      <c r="S75" s="938"/>
      <c r="T75" s="791"/>
      <c r="U75" s="938"/>
      <c r="V75" s="3265"/>
      <c r="X75" s="785"/>
      <c r="Y75" s="115"/>
      <c r="Z75" s="938"/>
      <c r="AA75" s="782"/>
      <c r="AB75" s="938"/>
      <c r="AC75" s="791"/>
      <c r="AD75" s="938"/>
      <c r="AE75" s="3265"/>
      <c r="AG75" s="117"/>
      <c r="AH75" s="201"/>
      <c r="AI75" s="106"/>
      <c r="AJ75" s="476"/>
      <c r="AL75" s="117"/>
      <c r="AM75" s="106"/>
      <c r="AN75" s="66"/>
      <c r="AO75" s="143"/>
      <c r="AP75" s="26"/>
      <c r="AQ75" s="272" t="s">
        <v>980</v>
      </c>
      <c r="AR75" s="117"/>
      <c r="AS75" s="201"/>
      <c r="AT75" s="106"/>
      <c r="AU75" s="476"/>
      <c r="AW75" s="117"/>
      <c r="AX75" s="106"/>
      <c r="AY75" s="66"/>
      <c r="AZ75" s="143"/>
      <c r="BA75" s="26"/>
      <c r="BB75" s="272" t="s">
        <v>980</v>
      </c>
      <c r="BC75" s="117"/>
      <c r="BD75" s="201"/>
      <c r="BE75" s="106"/>
      <c r="BF75" s="476"/>
      <c r="BH75" s="117"/>
      <c r="BI75" s="106"/>
      <c r="BJ75" s="66"/>
    </row>
    <row r="76" spans="1:62" x14ac:dyDescent="0.35">
      <c r="A76" s="9168"/>
      <c r="B76" s="274"/>
      <c r="C76" s="5579" t="s">
        <v>1336</v>
      </c>
      <c r="D76" s="60"/>
      <c r="F76" s="163"/>
      <c r="H76" s="242"/>
      <c r="I76" s="243"/>
      <c r="J76" s="476"/>
      <c r="L76" s="242"/>
      <c r="M76" s="611"/>
      <c r="O76" s="791"/>
      <c r="P76" s="115"/>
      <c r="Q76" s="938"/>
      <c r="R76" s="782"/>
      <c r="S76" s="938"/>
      <c r="T76" s="791"/>
      <c r="U76" s="938"/>
      <c r="V76" s="3265"/>
      <c r="X76" s="791"/>
      <c r="Y76" s="115"/>
      <c r="Z76" s="938"/>
      <c r="AA76" s="782"/>
      <c r="AB76" s="938"/>
      <c r="AC76" s="791"/>
      <c r="AD76" s="938"/>
      <c r="AE76" s="3265"/>
      <c r="AG76" s="117"/>
      <c r="AH76" s="201"/>
      <c r="AI76" s="106"/>
      <c r="AJ76" s="476"/>
      <c r="AL76" s="117"/>
      <c r="AM76" s="106"/>
      <c r="AN76" s="66"/>
      <c r="AP76" s="26"/>
      <c r="AQ76" s="5579" t="s">
        <v>1336</v>
      </c>
      <c r="AR76" s="117"/>
      <c r="AS76" s="201"/>
      <c r="AT76" s="106"/>
      <c r="AU76" s="476"/>
      <c r="AW76" s="117"/>
      <c r="AX76" s="106"/>
      <c r="AY76" s="66"/>
      <c r="BA76" s="26"/>
      <c r="BB76" s="5579" t="s">
        <v>1336</v>
      </c>
      <c r="BC76" s="117"/>
      <c r="BD76" s="201"/>
      <c r="BE76" s="106"/>
      <c r="BF76" s="476"/>
      <c r="BH76" s="117"/>
      <c r="BI76" s="106"/>
      <c r="BJ76" s="66"/>
    </row>
    <row r="77" spans="1:62" x14ac:dyDescent="0.35">
      <c r="A77" s="9168"/>
      <c r="B77" s="274"/>
      <c r="C77" s="5579" t="s">
        <v>933</v>
      </c>
      <c r="D77" s="60"/>
      <c r="F77" s="163"/>
      <c r="H77" s="242"/>
      <c r="I77" s="243"/>
      <c r="J77" s="476"/>
      <c r="L77" s="242"/>
      <c r="M77" s="611"/>
      <c r="O77" s="791"/>
      <c r="P77" s="115"/>
      <c r="Q77" s="938"/>
      <c r="R77" s="782"/>
      <c r="S77" s="938"/>
      <c r="T77" s="791"/>
      <c r="U77" s="938"/>
      <c r="V77" s="3265"/>
      <c r="X77" s="791"/>
      <c r="Y77" s="115"/>
      <c r="Z77" s="938"/>
      <c r="AA77" s="782"/>
      <c r="AB77" s="938"/>
      <c r="AC77" s="791"/>
      <c r="AD77" s="938"/>
      <c r="AE77" s="3265"/>
      <c r="AG77" s="117"/>
      <c r="AH77" s="201"/>
      <c r="AI77" s="106"/>
      <c r="AJ77" s="476"/>
      <c r="AL77" s="117"/>
      <c r="AM77" s="106"/>
      <c r="AN77" s="66"/>
      <c r="AP77" s="26"/>
      <c r="AQ77" s="5579" t="s">
        <v>933</v>
      </c>
      <c r="AR77" s="117"/>
      <c r="AS77" s="201"/>
      <c r="AT77" s="106"/>
      <c r="AU77" s="476"/>
      <c r="AW77" s="117"/>
      <c r="AX77" s="106"/>
      <c r="AY77" s="66"/>
      <c r="BA77" s="26"/>
      <c r="BB77" s="5579" t="s">
        <v>933</v>
      </c>
      <c r="BC77" s="117"/>
      <c r="BD77" s="201"/>
      <c r="BE77" s="106"/>
      <c r="BF77" s="476"/>
      <c r="BH77" s="117"/>
      <c r="BI77" s="106"/>
      <c r="BJ77" s="66"/>
    </row>
    <row r="78" spans="1:62" x14ac:dyDescent="0.35">
      <c r="A78" s="9168"/>
      <c r="B78" s="277"/>
      <c r="C78" s="277" t="s">
        <v>981</v>
      </c>
      <c r="D78" s="87"/>
      <c r="F78" s="278"/>
      <c r="G78" s="279"/>
      <c r="H78" s="280"/>
      <c r="I78" s="281"/>
      <c r="J78" s="484"/>
      <c r="L78" s="280"/>
      <c r="M78" s="1663"/>
      <c r="O78" s="925"/>
      <c r="P78" s="132"/>
      <c r="Q78" s="5603"/>
      <c r="R78" s="798"/>
      <c r="S78" s="1664"/>
      <c r="T78" s="925"/>
      <c r="U78" s="5603"/>
      <c r="V78" s="3264"/>
      <c r="X78" s="925"/>
      <c r="Y78" s="132"/>
      <c r="Z78" s="5603"/>
      <c r="AA78" s="798"/>
      <c r="AB78" s="1664"/>
      <c r="AC78" s="925"/>
      <c r="AD78" s="5603"/>
      <c r="AE78" s="3264"/>
      <c r="AG78" s="283"/>
      <c r="AH78" s="201"/>
      <c r="AI78" s="3329"/>
      <c r="AJ78" s="484"/>
      <c r="AL78" s="283"/>
      <c r="AM78" s="3329"/>
      <c r="AN78" s="3395"/>
      <c r="AP78" s="24"/>
      <c r="AQ78" s="277" t="s">
        <v>981</v>
      </c>
      <c r="AR78" s="283"/>
      <c r="AS78" s="201"/>
      <c r="AT78" s="3329"/>
      <c r="AU78" s="484"/>
      <c r="AW78" s="283"/>
      <c r="AX78" s="3329"/>
      <c r="AY78" s="3395"/>
      <c r="BA78" s="24"/>
      <c r="BB78" s="277" t="s">
        <v>981</v>
      </c>
      <c r="BC78" s="283"/>
      <c r="BD78" s="201"/>
      <c r="BE78" s="3329"/>
      <c r="BF78" s="484"/>
      <c r="BH78" s="283"/>
      <c r="BI78" s="3329"/>
      <c r="BJ78" s="3395"/>
    </row>
    <row r="79" spans="1:62" ht="15.25" customHeight="1" x14ac:dyDescent="0.35">
      <c r="A79" s="9168"/>
      <c r="B79" s="139" t="s">
        <v>982</v>
      </c>
      <c r="C79" s="908"/>
      <c r="D79" s="140"/>
      <c r="E79" s="143"/>
      <c r="F79" s="1387"/>
      <c r="G79" s="290"/>
      <c r="H79" s="1388"/>
      <c r="I79" s="520"/>
      <c r="J79" s="293"/>
      <c r="L79" s="1388"/>
      <c r="M79" s="1659"/>
      <c r="N79" s="143"/>
      <c r="O79" s="773"/>
      <c r="P79" s="912"/>
      <c r="Q79" s="912"/>
      <c r="R79" s="776"/>
      <c r="S79" s="892"/>
      <c r="T79" s="773"/>
      <c r="U79" s="912"/>
      <c r="V79" s="910"/>
      <c r="W79" s="143"/>
      <c r="X79" s="773"/>
      <c r="Y79" s="912"/>
      <c r="Z79" s="912"/>
      <c r="AA79" s="776"/>
      <c r="AB79" s="892"/>
      <c r="AC79" s="773"/>
      <c r="AD79" s="912"/>
      <c r="AE79" s="910"/>
      <c r="AF79" s="143"/>
      <c r="AG79" s="291"/>
      <c r="AH79" s="292"/>
      <c r="AI79" s="106"/>
      <c r="AJ79" s="293"/>
      <c r="AL79" s="291"/>
      <c r="AM79" s="106"/>
      <c r="AN79" s="294"/>
      <c r="AP79" s="18"/>
      <c r="AQ79" s="908"/>
      <c r="AR79" s="1388"/>
      <c r="AS79" s="520"/>
      <c r="AT79" s="106"/>
      <c r="AU79" s="293"/>
      <c r="AW79" s="1388"/>
      <c r="AX79" s="106"/>
      <c r="AY79" s="5068"/>
      <c r="BA79" s="18"/>
      <c r="BB79" s="908"/>
      <c r="BC79" s="1388"/>
      <c r="BD79" s="520"/>
      <c r="BE79" s="106"/>
      <c r="BF79" s="293"/>
      <c r="BH79" s="1388"/>
      <c r="BI79" s="106"/>
      <c r="BJ79" s="5068"/>
    </row>
    <row r="80" spans="1:62" x14ac:dyDescent="0.35">
      <c r="A80" s="9168"/>
      <c r="B80" s="295"/>
      <c r="C80" s="296" t="s">
        <v>1286</v>
      </c>
      <c r="D80" s="60"/>
      <c r="F80" s="521"/>
      <c r="G80" s="272"/>
      <c r="H80" s="62">
        <v>112000500</v>
      </c>
      <c r="I80" s="63">
        <v>2688233.68</v>
      </c>
      <c r="J80" s="523">
        <f>IF(H80=0,0,I80/H80)</f>
        <v>2.4001979276878228E-2</v>
      </c>
      <c r="L80" s="5090">
        <v>75981000</v>
      </c>
      <c r="M80" s="5604">
        <v>11406588.699999999</v>
      </c>
      <c r="O80" s="780">
        <f>O40</f>
        <v>75981000</v>
      </c>
      <c r="P80" s="115">
        <f>P40</f>
        <v>11406588.699999999</v>
      </c>
      <c r="Q80" s="5934" t="s">
        <v>3545</v>
      </c>
      <c r="R80" s="782"/>
      <c r="S80" s="938"/>
      <c r="T80" s="785">
        <f>T40</f>
        <v>135329000</v>
      </c>
      <c r="U80" s="938"/>
      <c r="V80" s="1629">
        <f>V40</f>
        <v>26456528.120000001</v>
      </c>
      <c r="X80" s="780">
        <f>X40</f>
        <v>135329000</v>
      </c>
      <c r="Y80" s="115">
        <f>Y40</f>
        <v>133128426.28</v>
      </c>
      <c r="Z80" s="5934"/>
      <c r="AA80" s="782"/>
      <c r="AB80" s="938"/>
      <c r="AC80" s="785">
        <f>AC40</f>
        <v>167207800</v>
      </c>
      <c r="AD80" s="938"/>
      <c r="AE80" s="1629">
        <f>AE40</f>
        <v>66201617.079999998</v>
      </c>
      <c r="AG80" s="298"/>
      <c r="AH80" s="299"/>
      <c r="AI80" s="57"/>
      <c r="AJ80" s="5605"/>
      <c r="AL80" s="62"/>
      <c r="AM80" s="57"/>
      <c r="AN80" s="301"/>
      <c r="AO80" s="143"/>
      <c r="AP80" s="26"/>
      <c r="AQ80" s="296" t="s">
        <v>1286</v>
      </c>
      <c r="AR80" s="298"/>
      <c r="AS80" s="299"/>
      <c r="AT80" s="57"/>
      <c r="AU80" s="5605"/>
      <c r="AW80" s="62"/>
      <c r="AX80" s="57"/>
      <c r="AY80" s="301"/>
      <c r="AZ80" s="143"/>
      <c r="BA80" s="26"/>
      <c r="BB80" s="296" t="s">
        <v>1286</v>
      </c>
      <c r="BC80" s="298"/>
      <c r="BD80" s="299"/>
      <c r="BE80" s="57"/>
      <c r="BF80" s="5605"/>
      <c r="BH80" s="62"/>
      <c r="BI80" s="57"/>
      <c r="BJ80" s="301"/>
    </row>
    <row r="81" spans="1:62" x14ac:dyDescent="0.35">
      <c r="A81" s="9168"/>
      <c r="B81" s="295"/>
      <c r="C81" s="296" t="s">
        <v>1994</v>
      </c>
      <c r="D81" s="60"/>
      <c r="F81" s="61"/>
      <c r="G81" s="272"/>
      <c r="H81" s="62">
        <v>0</v>
      </c>
      <c r="I81" s="63">
        <v>0</v>
      </c>
      <c r="J81" s="523">
        <f>IF(H81=0,0,I81/H81)</f>
        <v>0</v>
      </c>
      <c r="L81" s="5090">
        <v>0</v>
      </c>
      <c r="M81" s="5606">
        <v>0</v>
      </c>
      <c r="O81" s="780">
        <f>O44</f>
        <v>0</v>
      </c>
      <c r="P81" s="115">
        <f>P44</f>
        <v>0</v>
      </c>
      <c r="Q81" s="938"/>
      <c r="R81" s="782"/>
      <c r="S81" s="938"/>
      <c r="T81" s="791">
        <f>T44</f>
        <v>0</v>
      </c>
      <c r="U81" s="938"/>
      <c r="V81" s="1629">
        <f>V44</f>
        <v>0</v>
      </c>
      <c r="X81" s="780">
        <f>X44</f>
        <v>0</v>
      </c>
      <c r="Y81" s="115">
        <f>Y44</f>
        <v>0</v>
      </c>
      <c r="Z81" s="938"/>
      <c r="AA81" s="782"/>
      <c r="AB81" s="938"/>
      <c r="AC81" s="791">
        <f>AC44</f>
        <v>0</v>
      </c>
      <c r="AD81" s="938"/>
      <c r="AE81" s="1629">
        <f>AE44</f>
        <v>0</v>
      </c>
      <c r="AG81" s="62"/>
      <c r="AH81" s="303"/>
      <c r="AI81" s="57"/>
      <c r="AJ81" s="523"/>
      <c r="AL81" s="304"/>
      <c r="AM81" s="57"/>
      <c r="AN81" s="301"/>
      <c r="AP81" s="26"/>
      <c r="AQ81" s="296" t="s">
        <v>1994</v>
      </c>
      <c r="AR81" s="62"/>
      <c r="AS81" s="303"/>
      <c r="AT81" s="57"/>
      <c r="AU81" s="523"/>
      <c r="AW81" s="304"/>
      <c r="AX81" s="57"/>
      <c r="AY81" s="301"/>
      <c r="BA81" s="26"/>
      <c r="BB81" s="296" t="s">
        <v>1994</v>
      </c>
      <c r="BC81" s="62"/>
      <c r="BD81" s="303"/>
      <c r="BE81" s="57"/>
      <c r="BF81" s="523"/>
      <c r="BH81" s="304"/>
      <c r="BI81" s="57"/>
      <c r="BJ81" s="301"/>
    </row>
    <row r="82" spans="1:62" x14ac:dyDescent="0.35">
      <c r="A82" s="9168"/>
      <c r="B82" s="2948"/>
      <c r="C82" s="296" t="s">
        <v>937</v>
      </c>
      <c r="D82" s="60"/>
      <c r="F82" s="61"/>
      <c r="G82" s="272"/>
      <c r="H82" s="5090">
        <v>2300000</v>
      </c>
      <c r="I82" s="5606">
        <v>0</v>
      </c>
      <c r="J82" s="523">
        <f>IF(H82=0,0,I82/H82)</f>
        <v>0</v>
      </c>
      <c r="L82" s="5090">
        <v>2300000</v>
      </c>
      <c r="M82" s="5606">
        <v>0</v>
      </c>
      <c r="O82" s="780">
        <f>O48</f>
        <v>7899761</v>
      </c>
      <c r="P82" s="115">
        <f>P48</f>
        <v>5568317.5</v>
      </c>
      <c r="Q82" s="938"/>
      <c r="R82" s="782"/>
      <c r="S82" s="938"/>
      <c r="T82" s="791">
        <f>T48</f>
        <v>0</v>
      </c>
      <c r="U82" s="938"/>
      <c r="V82" s="1629">
        <f>V48</f>
        <v>0</v>
      </c>
      <c r="X82" s="780">
        <f>X48</f>
        <v>0</v>
      </c>
      <c r="Y82" s="115">
        <f>Y48</f>
        <v>0</v>
      </c>
      <c r="Z82" s="938"/>
      <c r="AA82" s="782"/>
      <c r="AB82" s="938"/>
      <c r="AC82" s="791">
        <f>AC48</f>
        <v>0</v>
      </c>
      <c r="AD82" s="938"/>
      <c r="AE82" s="1629">
        <f>AE48</f>
        <v>0</v>
      </c>
      <c r="AG82" s="62">
        <f>AG40</f>
        <v>167207800</v>
      </c>
      <c r="AH82" s="72">
        <f>AH40</f>
        <v>66201617.079999998</v>
      </c>
      <c r="AI82" s="57"/>
      <c r="AJ82" s="476">
        <f>AH82/AG82</f>
        <v>0.39592421573634723</v>
      </c>
      <c r="AL82" s="62">
        <f>AL40</f>
        <v>155788000</v>
      </c>
      <c r="AM82" s="57"/>
      <c r="AN82" s="301">
        <f>AL82*AJ82</f>
        <v>61680241.721134059</v>
      </c>
      <c r="AP82" s="26"/>
      <c r="AQ82" s="296" t="s">
        <v>937</v>
      </c>
      <c r="AR82" s="62">
        <f>AR40</f>
        <v>0</v>
      </c>
      <c r="AS82" s="72">
        <f>AS40</f>
        <v>0</v>
      </c>
      <c r="AT82" s="57"/>
      <c r="AU82" s="476" t="e">
        <f>AS82/AR82</f>
        <v>#DIV/0!</v>
      </c>
      <c r="AW82" s="62">
        <f>AW40</f>
        <v>0</v>
      </c>
      <c r="AX82" s="57"/>
      <c r="AY82" s="301" t="e">
        <f>AW82*AU82</f>
        <v>#DIV/0!</v>
      </c>
      <c r="BA82" s="26"/>
      <c r="BB82" s="296" t="s">
        <v>937</v>
      </c>
      <c r="BC82" s="62">
        <f>BC40</f>
        <v>0</v>
      </c>
      <c r="BD82" s="72">
        <f>BD40</f>
        <v>0</v>
      </c>
      <c r="BE82" s="57"/>
      <c r="BF82" s="476" t="e">
        <f>BD82/BC82</f>
        <v>#DIV/0!</v>
      </c>
      <c r="BH82" s="62">
        <f>BH40</f>
        <v>51320633</v>
      </c>
      <c r="BI82" s="57"/>
      <c r="BJ82" s="301"/>
    </row>
    <row r="83" spans="1:62" x14ac:dyDescent="0.35">
      <c r="A83" s="9169"/>
      <c r="B83" s="2950"/>
      <c r="C83" s="2951" t="s">
        <v>977</v>
      </c>
      <c r="D83" s="87"/>
      <c r="F83" s="88"/>
      <c r="G83" s="274"/>
      <c r="H83" s="89"/>
      <c r="I83" s="90"/>
      <c r="J83" s="527">
        <f>IF(H83=0,0,I83/H83)</f>
        <v>0</v>
      </c>
      <c r="L83" s="89"/>
      <c r="M83" s="5949"/>
      <c r="O83" s="796"/>
      <c r="P83" s="132"/>
      <c r="Q83" s="5594"/>
      <c r="R83" s="798"/>
      <c r="S83" s="938"/>
      <c r="T83" s="796"/>
      <c r="U83" s="5594"/>
      <c r="V83" s="799"/>
      <c r="X83" s="796"/>
      <c r="Y83" s="132"/>
      <c r="Z83" s="5594"/>
      <c r="AA83" s="798"/>
      <c r="AB83" s="938"/>
      <c r="AC83" s="796"/>
      <c r="AD83" s="5594"/>
      <c r="AE83" s="799"/>
      <c r="AG83" s="89"/>
      <c r="AH83" s="308"/>
      <c r="AI83" s="216"/>
      <c r="AJ83" s="527"/>
      <c r="AL83" s="89"/>
      <c r="AM83" s="216"/>
      <c r="AN83" s="309"/>
      <c r="AP83" s="24"/>
      <c r="AQ83" s="2951" t="s">
        <v>977</v>
      </c>
      <c r="AR83" s="89"/>
      <c r="AS83" s="308"/>
      <c r="AT83" s="216"/>
      <c r="AU83" s="527"/>
      <c r="AW83" s="89"/>
      <c r="AX83" s="216"/>
      <c r="AY83" s="309"/>
      <c r="BA83" s="24"/>
      <c r="BB83" s="2951" t="s">
        <v>977</v>
      </c>
      <c r="BC83" s="89"/>
      <c r="BD83" s="308"/>
      <c r="BE83" s="216"/>
      <c r="BF83" s="527"/>
      <c r="BH83" s="89"/>
      <c r="BI83" s="216"/>
      <c r="BJ83" s="309"/>
    </row>
    <row r="84" spans="1:62" x14ac:dyDescent="0.35">
      <c r="A84" s="310"/>
      <c r="B84" s="310"/>
      <c r="F84" s="106"/>
      <c r="H84" s="106"/>
      <c r="I84" s="106"/>
      <c r="J84" s="558"/>
      <c r="L84" s="106"/>
      <c r="M84" s="312"/>
      <c r="O84" s="847"/>
      <c r="P84" s="847"/>
      <c r="Q84" s="1540"/>
      <c r="R84" s="937"/>
      <c r="S84" s="938"/>
      <c r="T84" s="847"/>
      <c r="U84" s="938"/>
      <c r="V84" s="847"/>
      <c r="X84" s="847"/>
      <c r="Y84" s="847"/>
      <c r="Z84" s="1540"/>
      <c r="AA84" s="937"/>
      <c r="AB84" s="938"/>
      <c r="AC84" s="847"/>
      <c r="AD84" s="938"/>
      <c r="AE84" s="847"/>
      <c r="AG84" s="106"/>
      <c r="AH84" s="106"/>
      <c r="AI84" s="106"/>
      <c r="AJ84" s="558"/>
      <c r="AL84" s="106"/>
      <c r="AM84" s="106"/>
      <c r="AN84" s="312"/>
      <c r="AR84" s="106"/>
      <c r="AS84" s="106"/>
      <c r="AT84" s="106"/>
      <c r="AU84" s="558"/>
      <c r="AW84" s="106"/>
      <c r="AX84" s="106"/>
      <c r="AY84" s="312"/>
      <c r="BC84" s="106"/>
      <c r="BD84" s="106"/>
      <c r="BE84" s="106"/>
      <c r="BF84" s="558"/>
      <c r="BH84" s="106"/>
      <c r="BI84" s="106"/>
      <c r="BJ84" s="312"/>
    </row>
    <row r="85" spans="1:62" x14ac:dyDescent="0.35">
      <c r="A85" s="9445" t="s">
        <v>1364</v>
      </c>
      <c r="B85" s="5607"/>
      <c r="C85" s="5608"/>
      <c r="D85" s="184"/>
      <c r="E85" s="5950"/>
      <c r="F85" s="5609"/>
      <c r="G85" s="1668"/>
      <c r="H85" s="5610"/>
      <c r="I85" s="5611"/>
      <c r="J85" s="293"/>
      <c r="K85" s="5950"/>
      <c r="L85" s="5610"/>
      <c r="M85" s="5951"/>
      <c r="O85" s="5610"/>
      <c r="P85" s="5611"/>
      <c r="Q85" s="5952"/>
      <c r="R85" s="5953"/>
      <c r="S85" s="5950"/>
      <c r="T85" s="5610"/>
      <c r="U85" s="5952"/>
      <c r="V85" s="5951"/>
      <c r="X85" s="5610"/>
      <c r="Y85" s="5611"/>
      <c r="Z85" s="5952"/>
      <c r="AA85" s="5953"/>
      <c r="AB85" s="5950"/>
      <c r="AC85" s="5610"/>
      <c r="AD85" s="5952"/>
      <c r="AE85" s="5951"/>
      <c r="AG85" s="320"/>
      <c r="AH85" s="321"/>
      <c r="AI85" s="322"/>
      <c r="AJ85" s="869"/>
      <c r="AL85" s="317"/>
      <c r="AM85" s="109"/>
      <c r="AN85" s="323"/>
      <c r="AQ85" s="8418"/>
      <c r="AR85" s="1389"/>
      <c r="AS85" s="7091"/>
      <c r="AT85" s="322"/>
      <c r="AU85" s="7763"/>
      <c r="AW85" s="1388"/>
      <c r="AX85" s="109"/>
      <c r="AY85" s="7091"/>
      <c r="BB85" s="8418"/>
      <c r="BC85" s="1389"/>
      <c r="BD85" s="7091"/>
      <c r="BE85" s="322"/>
      <c r="BF85" s="7763"/>
      <c r="BH85" s="1388"/>
      <c r="BI85" s="109"/>
      <c r="BJ85" s="7091"/>
    </row>
    <row r="86" spans="1:62" x14ac:dyDescent="0.35">
      <c r="A86" s="9446"/>
      <c r="B86" s="5612"/>
      <c r="C86" s="5613" t="s">
        <v>1366</v>
      </c>
      <c r="D86" s="197"/>
      <c r="E86" s="5950"/>
      <c r="F86" s="5614"/>
      <c r="G86" s="5954"/>
      <c r="H86" s="1690"/>
      <c r="I86" s="1691"/>
      <c r="J86" s="523">
        <f t="shared" ref="J86:J94" si="9">IF(H86=0,0,I86/H86)</f>
        <v>0</v>
      </c>
      <c r="K86" s="5950"/>
      <c r="L86" s="1690"/>
      <c r="M86" s="5955">
        <f t="shared" ref="M86:M94" si="10">L86*J86</f>
        <v>0</v>
      </c>
      <c r="O86" s="1690"/>
      <c r="P86" s="5615"/>
      <c r="Q86" s="5956"/>
      <c r="R86" s="5957"/>
      <c r="S86" s="5950"/>
      <c r="T86" s="1690"/>
      <c r="U86" s="5956"/>
      <c r="V86" s="5955"/>
      <c r="X86" s="1690"/>
      <c r="Y86" s="5615"/>
      <c r="Z86" s="5956"/>
      <c r="AA86" s="5957"/>
      <c r="AB86" s="5950"/>
      <c r="AC86" s="1690"/>
      <c r="AD86" s="5956"/>
      <c r="AE86" s="5955"/>
      <c r="AG86" s="330"/>
      <c r="AH86" s="331"/>
      <c r="AJ86" s="476" t="e">
        <f>AH86/AG86</f>
        <v>#DIV/0!</v>
      </c>
      <c r="AL86" s="330">
        <f>9573726+330500194*(4733726/(4733726+1163212))</f>
        <v>274880459.99361569</v>
      </c>
      <c r="AM86" s="4123"/>
      <c r="AN86" s="333" t="e">
        <f>AL86*AJ86</f>
        <v>#DIV/0!</v>
      </c>
      <c r="AQ86" s="8419" t="s">
        <v>1366</v>
      </c>
      <c r="AR86" s="809">
        <f>9573726+330500194*(4733726/(4733726+1163212))</f>
        <v>274880459.99361569</v>
      </c>
      <c r="AS86" s="331"/>
      <c r="AU86" s="476">
        <f>AS86/AR86</f>
        <v>0</v>
      </c>
      <c r="AW86" s="809">
        <f>3995514+365936516*(4733726/(4733726+1163212))</f>
        <v>297748509.22203153</v>
      </c>
      <c r="AX86" s="4123"/>
      <c r="AY86" s="331">
        <f>AW86*AU86</f>
        <v>0</v>
      </c>
      <c r="BB86" s="8419" t="s">
        <v>1366</v>
      </c>
      <c r="BC86" s="809">
        <f>9573726+330500194*(4733726/(4733726+1163212))</f>
        <v>274880459.99361569</v>
      </c>
      <c r="BD86" s="331"/>
      <c r="BF86" s="476">
        <f>BD86/BC86</f>
        <v>0</v>
      </c>
      <c r="BH86" s="809">
        <f>3995514+365936516*(4733726/(4733726+1163212))</f>
        <v>297748509.22203153</v>
      </c>
      <c r="BI86" s="4123"/>
      <c r="BJ86" s="331">
        <f>BH86*BF86</f>
        <v>0</v>
      </c>
    </row>
    <row r="87" spans="1:62" x14ac:dyDescent="0.35">
      <c r="A87" s="9446"/>
      <c r="B87" s="5616"/>
      <c r="C87" s="5613" t="s">
        <v>1367</v>
      </c>
      <c r="D87" s="197"/>
      <c r="E87" s="5950"/>
      <c r="F87" s="5617"/>
      <c r="G87" s="5954"/>
      <c r="H87" s="5618"/>
      <c r="I87" s="5619"/>
      <c r="J87" s="523">
        <f t="shared" si="9"/>
        <v>0</v>
      </c>
      <c r="K87" s="5950"/>
      <c r="L87" s="5618"/>
      <c r="M87" s="5955">
        <f t="shared" si="10"/>
        <v>0</v>
      </c>
      <c r="O87" s="5618"/>
      <c r="P87" s="5620"/>
      <c r="Q87" s="5958"/>
      <c r="R87" s="5959"/>
      <c r="S87" s="5950"/>
      <c r="T87" s="5618"/>
      <c r="U87" s="5958"/>
      <c r="V87" s="5955"/>
      <c r="X87" s="5618"/>
      <c r="Y87" s="5620"/>
      <c r="Z87" s="5958"/>
      <c r="AA87" s="5959"/>
      <c r="AB87" s="5950"/>
      <c r="AC87" s="5618"/>
      <c r="AD87" s="5958"/>
      <c r="AE87" s="5955"/>
      <c r="AG87" s="330"/>
      <c r="AH87" s="331"/>
      <c r="AI87" s="70"/>
      <c r="AJ87" s="476" t="e">
        <f>AH87/AG87</f>
        <v>#DIV/0!</v>
      </c>
      <c r="AL87" s="330">
        <f>2888074+117267747*(4733726/(4733726+1163212))</f>
        <v>97023942.977310255</v>
      </c>
      <c r="AM87" s="254"/>
      <c r="AN87" s="333" t="e">
        <f>AL87*AJ87</f>
        <v>#DIV/0!</v>
      </c>
      <c r="AQ87" s="8419" t="s">
        <v>1367</v>
      </c>
      <c r="AR87" s="809">
        <f>2888074+117267747*(4733726/(4733726+1163212))</f>
        <v>97023942.977310255</v>
      </c>
      <c r="AS87" s="331"/>
      <c r="AT87" s="70"/>
      <c r="AU87" s="476">
        <f>AS87/AR87</f>
        <v>0</v>
      </c>
      <c r="AW87" s="809">
        <f>3918434+100087539*(4733726/(4733726+1163212))</f>
        <v>84263010.395463884</v>
      </c>
      <c r="AX87" s="254"/>
      <c r="AY87" s="331">
        <f>AW87*AU87</f>
        <v>0</v>
      </c>
      <c r="BB87" s="8419" t="s">
        <v>1367</v>
      </c>
      <c r="BC87" s="809">
        <f>2888074+117267747*(4733726/(4733726+1163212))</f>
        <v>97023942.977310255</v>
      </c>
      <c r="BD87" s="331"/>
      <c r="BE87" s="70"/>
      <c r="BF87" s="476">
        <f>BD87/BC87</f>
        <v>0</v>
      </c>
      <c r="BH87" s="809">
        <f>3918434+100087539*(4733726/(4733726+1163212))</f>
        <v>84263010.395463884</v>
      </c>
      <c r="BI87" s="254"/>
      <c r="BJ87" s="331">
        <f>BH87*BF87</f>
        <v>0</v>
      </c>
    </row>
    <row r="88" spans="1:62" x14ac:dyDescent="0.35">
      <c r="A88" s="9446"/>
      <c r="B88" s="5612"/>
      <c r="C88" s="5613"/>
      <c r="D88" s="197"/>
      <c r="E88" s="5950"/>
      <c r="F88" s="5617"/>
      <c r="G88" s="5954"/>
      <c r="H88" s="5618"/>
      <c r="I88" s="5619"/>
      <c r="J88" s="523">
        <f t="shared" si="9"/>
        <v>0</v>
      </c>
      <c r="K88" s="5950"/>
      <c r="L88" s="5618"/>
      <c r="M88" s="5955">
        <f t="shared" si="10"/>
        <v>0</v>
      </c>
      <c r="O88" s="5618"/>
      <c r="P88" s="5620"/>
      <c r="Q88" s="5958"/>
      <c r="R88" s="5959"/>
      <c r="S88" s="5950"/>
      <c r="T88" s="5618"/>
      <c r="U88" s="5958"/>
      <c r="V88" s="5955"/>
      <c r="X88" s="5618"/>
      <c r="Y88" s="5620"/>
      <c r="Z88" s="5958"/>
      <c r="AA88" s="5959"/>
      <c r="AB88" s="5950"/>
      <c r="AC88" s="5618"/>
      <c r="AD88" s="5958"/>
      <c r="AE88" s="5955"/>
      <c r="AG88" s="330"/>
      <c r="AH88" s="331"/>
      <c r="AI88" s="106"/>
      <c r="AJ88" s="476" t="e">
        <f>AH88/AG88</f>
        <v>#DIV/0!</v>
      </c>
      <c r="AL88" s="330">
        <f>6685652+213232447*(4733726/(4733726+1163212))</f>
        <v>177856517.01630542</v>
      </c>
      <c r="AM88" s="106"/>
      <c r="AN88" s="333" t="e">
        <f>AL88*AJ88</f>
        <v>#DIV/0!</v>
      </c>
      <c r="AQ88" s="8419"/>
      <c r="AR88" s="809">
        <f>6685652+213232447*(4733726/(4733726+1163212))</f>
        <v>177856517.01630542</v>
      </c>
      <c r="AS88" s="331"/>
      <c r="AT88" s="106"/>
      <c r="AU88" s="476">
        <f>AS88/AR88</f>
        <v>0</v>
      </c>
      <c r="AW88" s="809">
        <f>6685652+213232447*(4733726/(4733726+1163212))</f>
        <v>177856517.01630542</v>
      </c>
      <c r="AX88" s="106"/>
      <c r="AY88" s="331">
        <f>AW88*AU88</f>
        <v>0</v>
      </c>
      <c r="BB88" s="8419"/>
      <c r="BC88" s="809">
        <f>6685652+213232447*(4733726/(4733726+1163212))</f>
        <v>177856517.01630542</v>
      </c>
      <c r="BD88" s="331"/>
      <c r="BE88" s="106"/>
      <c r="BF88" s="476">
        <f>BD88/BC88</f>
        <v>0</v>
      </c>
      <c r="BH88" s="809">
        <f>6685652+213232447*(4733726/(4733726+1163212))</f>
        <v>177856517.01630542</v>
      </c>
      <c r="BI88" s="106"/>
      <c r="BJ88" s="331">
        <f>BH88*BF88</f>
        <v>0</v>
      </c>
    </row>
    <row r="89" spans="1:62" x14ac:dyDescent="0.35">
      <c r="A89" s="9446"/>
      <c r="B89" s="5612"/>
      <c r="C89" s="5613"/>
      <c r="D89" s="197"/>
      <c r="E89" s="5950"/>
      <c r="F89" s="5617"/>
      <c r="G89" s="5954"/>
      <c r="H89" s="5618"/>
      <c r="I89" s="5619"/>
      <c r="J89" s="523">
        <f t="shared" si="9"/>
        <v>0</v>
      </c>
      <c r="K89" s="5950"/>
      <c r="L89" s="5618"/>
      <c r="M89" s="5955">
        <f t="shared" si="10"/>
        <v>0</v>
      </c>
      <c r="O89" s="5618"/>
      <c r="P89" s="5620"/>
      <c r="Q89" s="5958"/>
      <c r="R89" s="5959"/>
      <c r="S89" s="5950"/>
      <c r="T89" s="5618"/>
      <c r="U89" s="5958"/>
      <c r="V89" s="5955"/>
      <c r="X89" s="5618"/>
      <c r="Y89" s="5620"/>
      <c r="Z89" s="5958"/>
      <c r="AA89" s="5959"/>
      <c r="AB89" s="5950"/>
      <c r="AC89" s="5618"/>
      <c r="AD89" s="5958"/>
      <c r="AE89" s="5955"/>
      <c r="AG89" s="330"/>
      <c r="AH89" s="331"/>
      <c r="AI89" s="106"/>
      <c r="AJ89" s="476"/>
      <c r="AL89" s="330"/>
      <c r="AM89" s="106"/>
      <c r="AN89" s="333"/>
      <c r="AQ89" s="8419"/>
      <c r="AR89" s="330"/>
      <c r="AS89" s="331"/>
      <c r="AT89" s="106"/>
      <c r="AU89" s="476"/>
      <c r="AW89" s="330"/>
      <c r="AX89" s="106"/>
      <c r="AY89" s="331"/>
      <c r="BB89" s="8419"/>
      <c r="BC89" s="330"/>
      <c r="BD89" s="331"/>
      <c r="BE89" s="106"/>
      <c r="BF89" s="476"/>
      <c r="BH89" s="330"/>
      <c r="BI89" s="106"/>
      <c r="BJ89" s="331"/>
    </row>
    <row r="90" spans="1:62" x14ac:dyDescent="0.35">
      <c r="A90" s="9446"/>
      <c r="B90" s="5612"/>
      <c r="C90" s="5613"/>
      <c r="D90" s="197"/>
      <c r="E90" s="5950"/>
      <c r="F90" s="5617"/>
      <c r="G90" s="5954"/>
      <c r="H90" s="5618"/>
      <c r="I90" s="5619"/>
      <c r="J90" s="523">
        <f t="shared" si="9"/>
        <v>0</v>
      </c>
      <c r="K90" s="5950"/>
      <c r="L90" s="5618"/>
      <c r="M90" s="5955">
        <f t="shared" si="10"/>
        <v>0</v>
      </c>
      <c r="O90" s="5618"/>
      <c r="P90" s="5620"/>
      <c r="Q90" s="5958"/>
      <c r="R90" s="5959"/>
      <c r="S90" s="5950"/>
      <c r="T90" s="5618"/>
      <c r="U90" s="5958"/>
      <c r="V90" s="5955"/>
      <c r="X90" s="5618"/>
      <c r="Y90" s="5620"/>
      <c r="Z90" s="5958"/>
      <c r="AA90" s="5959"/>
      <c r="AB90" s="5950"/>
      <c r="AC90" s="5618"/>
      <c r="AD90" s="5958"/>
      <c r="AE90" s="5955"/>
      <c r="AG90" s="330"/>
      <c r="AH90" s="338"/>
      <c r="AI90" s="106"/>
      <c r="AJ90" s="476"/>
      <c r="AL90" s="330"/>
      <c r="AM90" s="106"/>
      <c r="AN90" s="333"/>
      <c r="AQ90" s="8419"/>
      <c r="AR90" s="330"/>
      <c r="AS90" s="338"/>
      <c r="AT90" s="106"/>
      <c r="AU90" s="476"/>
      <c r="AW90" s="330"/>
      <c r="AX90" s="106"/>
      <c r="AY90" s="338"/>
      <c r="BB90" s="8419"/>
      <c r="BC90" s="330"/>
      <c r="BD90" s="338"/>
      <c r="BE90" s="106"/>
      <c r="BF90" s="476"/>
      <c r="BH90" s="330"/>
      <c r="BI90" s="106"/>
      <c r="BJ90" s="338"/>
    </row>
    <row r="91" spans="1:62" x14ac:dyDescent="0.35">
      <c r="A91" s="9446"/>
      <c r="B91" s="5612"/>
      <c r="C91" s="5613" t="s">
        <v>1368</v>
      </c>
      <c r="D91" s="197"/>
      <c r="E91" s="5950"/>
      <c r="F91" s="5617"/>
      <c r="G91" s="5954"/>
      <c r="H91" s="5618"/>
      <c r="I91" s="5619"/>
      <c r="J91" s="523">
        <f t="shared" si="9"/>
        <v>0</v>
      </c>
      <c r="K91" s="5950"/>
      <c r="L91" s="5618"/>
      <c r="M91" s="5955">
        <f t="shared" si="10"/>
        <v>0</v>
      </c>
      <c r="O91" s="5618"/>
      <c r="P91" s="5620"/>
      <c r="Q91" s="5958"/>
      <c r="R91" s="5959"/>
      <c r="S91" s="5950"/>
      <c r="T91" s="5618"/>
      <c r="U91" s="5958"/>
      <c r="V91" s="5955"/>
      <c r="X91" s="5618"/>
      <c r="Y91" s="5620"/>
      <c r="Z91" s="5958"/>
      <c r="AA91" s="5959"/>
      <c r="AB91" s="5950"/>
      <c r="AC91" s="5618"/>
      <c r="AD91" s="5958"/>
      <c r="AE91" s="5955"/>
      <c r="AG91" s="339"/>
      <c r="AH91" s="340"/>
      <c r="AI91" s="106"/>
      <c r="AJ91" s="476"/>
      <c r="AL91" s="330"/>
      <c r="AM91" s="106"/>
      <c r="AN91" s="333"/>
      <c r="AQ91" s="8419" t="s">
        <v>1368</v>
      </c>
      <c r="AR91" s="339"/>
      <c r="AS91" s="340"/>
      <c r="AT91" s="106"/>
      <c r="AU91" s="476"/>
      <c r="AW91" s="330"/>
      <c r="AX91" s="106"/>
      <c r="AY91" s="340"/>
      <c r="BB91" s="8419" t="s">
        <v>1368</v>
      </c>
      <c r="BC91" s="339"/>
      <c r="BD91" s="340"/>
      <c r="BE91" s="106"/>
      <c r="BF91" s="476"/>
      <c r="BH91" s="330"/>
      <c r="BI91" s="106"/>
      <c r="BJ91" s="340"/>
    </row>
    <row r="92" spans="1:62" x14ac:dyDescent="0.35">
      <c r="A92" s="9446"/>
      <c r="B92" s="5612"/>
      <c r="C92" s="5613"/>
      <c r="D92" s="197"/>
      <c r="E92" s="5950"/>
      <c r="F92" s="5617"/>
      <c r="G92" s="5954"/>
      <c r="H92" s="5618"/>
      <c r="I92" s="5619"/>
      <c r="J92" s="523">
        <f t="shared" si="9"/>
        <v>0</v>
      </c>
      <c r="K92" s="5950"/>
      <c r="L92" s="5618"/>
      <c r="M92" s="5955">
        <f t="shared" si="10"/>
        <v>0</v>
      </c>
      <c r="O92" s="5618"/>
      <c r="P92" s="5620"/>
      <c r="Q92" s="5958"/>
      <c r="R92" s="5959"/>
      <c r="S92" s="5950"/>
      <c r="T92" s="5618"/>
      <c r="U92" s="5958"/>
      <c r="V92" s="5955"/>
      <c r="X92" s="5618"/>
      <c r="Y92" s="5620"/>
      <c r="Z92" s="5958"/>
      <c r="AA92" s="5959"/>
      <c r="AB92" s="5950"/>
      <c r="AC92" s="5618"/>
      <c r="AD92" s="5958"/>
      <c r="AE92" s="5955"/>
      <c r="AG92" s="339"/>
      <c r="AH92" s="340"/>
      <c r="AI92" s="106"/>
      <c r="AJ92" s="476"/>
      <c r="AL92" s="330"/>
      <c r="AM92" s="106"/>
      <c r="AN92" s="333"/>
      <c r="AQ92" s="8419"/>
      <c r="AR92" s="339"/>
      <c r="AS92" s="340"/>
      <c r="AT92" s="106"/>
      <c r="AU92" s="476"/>
      <c r="AW92" s="330"/>
      <c r="AX92" s="106"/>
      <c r="AY92" s="340"/>
      <c r="BB92" s="8419"/>
      <c r="BC92" s="339"/>
      <c r="BD92" s="340"/>
      <c r="BE92" s="106"/>
      <c r="BF92" s="476"/>
      <c r="BH92" s="330"/>
      <c r="BI92" s="106"/>
      <c r="BJ92" s="340"/>
    </row>
    <row r="93" spans="1:62" x14ac:dyDescent="0.35">
      <c r="A93" s="9446"/>
      <c r="B93" s="5612"/>
      <c r="C93" s="5613"/>
      <c r="D93" s="197"/>
      <c r="E93" s="5950"/>
      <c r="F93" s="5617"/>
      <c r="G93" s="5954"/>
      <c r="H93" s="5618"/>
      <c r="I93" s="5619"/>
      <c r="J93" s="523">
        <f t="shared" si="9"/>
        <v>0</v>
      </c>
      <c r="K93" s="5950"/>
      <c r="L93" s="5618"/>
      <c r="M93" s="5955">
        <f t="shared" si="10"/>
        <v>0</v>
      </c>
      <c r="O93" s="5618"/>
      <c r="P93" s="5620"/>
      <c r="Q93" s="5958"/>
      <c r="R93" s="5959"/>
      <c r="S93" s="5950"/>
      <c r="T93" s="5618"/>
      <c r="U93" s="5958"/>
      <c r="V93" s="5955"/>
      <c r="X93" s="5618"/>
      <c r="Y93" s="5620"/>
      <c r="Z93" s="5958"/>
      <c r="AA93" s="5959"/>
      <c r="AB93" s="5950"/>
      <c r="AC93" s="5618"/>
      <c r="AD93" s="5958"/>
      <c r="AE93" s="5955"/>
      <c r="AG93" s="339"/>
      <c r="AH93" s="340"/>
      <c r="AI93" s="106"/>
      <c r="AJ93" s="476"/>
      <c r="AL93" s="330"/>
      <c r="AM93" s="106"/>
      <c r="AN93" s="333"/>
      <c r="AQ93" s="8419"/>
      <c r="AR93" s="339"/>
      <c r="AS93" s="340"/>
      <c r="AT93" s="106"/>
      <c r="AU93" s="476"/>
      <c r="AW93" s="330"/>
      <c r="AX93" s="106"/>
      <c r="AY93" s="340"/>
      <c r="BB93" s="8419"/>
      <c r="BC93" s="339"/>
      <c r="BD93" s="340"/>
      <c r="BE93" s="106"/>
      <c r="BF93" s="476"/>
      <c r="BH93" s="330"/>
      <c r="BI93" s="106"/>
      <c r="BJ93" s="340"/>
    </row>
    <row r="94" spans="1:62" x14ac:dyDescent="0.35">
      <c r="A94" s="9447"/>
      <c r="B94" s="5621"/>
      <c r="C94" s="5622" t="s">
        <v>10</v>
      </c>
      <c r="D94" s="209"/>
      <c r="E94" s="5950"/>
      <c r="F94" s="5623"/>
      <c r="G94" s="5960"/>
      <c r="H94" s="5624"/>
      <c r="I94" s="5625"/>
      <c r="J94" s="527">
        <f t="shared" si="9"/>
        <v>0</v>
      </c>
      <c r="K94" s="5950"/>
      <c r="L94" s="5624"/>
      <c r="M94" s="5961">
        <f t="shared" si="10"/>
        <v>0</v>
      </c>
      <c r="O94" s="5624"/>
      <c r="P94" s="5626"/>
      <c r="Q94" s="5962"/>
      <c r="R94" s="5963"/>
      <c r="S94" s="5950"/>
      <c r="T94" s="5624"/>
      <c r="U94" s="5962"/>
      <c r="V94" s="5961"/>
      <c r="X94" s="5624"/>
      <c r="Y94" s="5626"/>
      <c r="Z94" s="5962"/>
      <c r="AA94" s="5963"/>
      <c r="AB94" s="5950"/>
      <c r="AC94" s="5624"/>
      <c r="AD94" s="5962"/>
      <c r="AE94" s="5961"/>
      <c r="AG94" s="345"/>
      <c r="AH94" s="346"/>
      <c r="AI94" s="216"/>
      <c r="AJ94" s="484"/>
      <c r="AL94" s="341"/>
      <c r="AM94" s="216"/>
      <c r="AN94" s="347"/>
      <c r="AQ94" s="8420" t="s">
        <v>10</v>
      </c>
      <c r="AR94" s="345"/>
      <c r="AS94" s="346"/>
      <c r="AT94" s="216"/>
      <c r="AU94" s="484"/>
      <c r="AW94" s="341"/>
      <c r="AX94" s="216"/>
      <c r="AY94" s="346"/>
      <c r="BB94" s="8420" t="s">
        <v>10</v>
      </c>
      <c r="BC94" s="345"/>
      <c r="BD94" s="346"/>
      <c r="BE94" s="216"/>
      <c r="BF94" s="484"/>
      <c r="BH94" s="341"/>
      <c r="BI94" s="216"/>
      <c r="BJ94" s="346"/>
    </row>
    <row r="95" spans="1:62" x14ac:dyDescent="0.35">
      <c r="A95" s="310"/>
      <c r="B95" s="310"/>
      <c r="F95" s="106"/>
      <c r="H95" s="106"/>
      <c r="I95" s="106"/>
      <c r="J95" s="558"/>
      <c r="L95" s="106"/>
      <c r="M95" s="312"/>
      <c r="O95" s="847"/>
      <c r="P95" s="847"/>
      <c r="R95" s="937"/>
      <c r="S95" s="938"/>
      <c r="T95" s="847"/>
      <c r="U95" s="938"/>
      <c r="V95" s="847"/>
      <c r="X95" s="847"/>
      <c r="Y95" s="847"/>
      <c r="AA95" s="937"/>
      <c r="AB95" s="938"/>
      <c r="AC95" s="847"/>
      <c r="AD95" s="938"/>
      <c r="AE95" s="847"/>
      <c r="AG95" s="106"/>
      <c r="AH95" s="106"/>
      <c r="AI95" s="106"/>
      <c r="AJ95" s="558"/>
      <c r="AL95" s="106"/>
      <c r="AM95" s="106"/>
      <c r="AN95" s="312"/>
      <c r="AR95" s="106"/>
      <c r="AS95" s="106"/>
      <c r="AT95" s="106"/>
      <c r="AU95" s="558"/>
      <c r="AW95" s="106"/>
      <c r="AX95" s="106"/>
      <c r="AY95" s="312"/>
      <c r="BC95" s="106"/>
      <c r="BD95" s="106"/>
      <c r="BE95" s="106"/>
      <c r="BF95" s="558"/>
      <c r="BH95" s="106"/>
      <c r="BI95" s="106"/>
      <c r="BJ95" s="312"/>
    </row>
    <row r="96" spans="1:62" x14ac:dyDescent="0.35">
      <c r="A96" s="9167" t="s">
        <v>988</v>
      </c>
      <c r="B96" s="139" t="s">
        <v>989</v>
      </c>
      <c r="C96" s="348"/>
      <c r="D96" s="49"/>
      <c r="E96" s="141"/>
      <c r="F96" s="227"/>
      <c r="G96" s="143"/>
      <c r="H96" s="102"/>
      <c r="I96" s="103"/>
      <c r="J96" s="228"/>
      <c r="K96" s="141"/>
      <c r="L96" s="102"/>
      <c r="M96" s="1659"/>
      <c r="N96" s="141"/>
      <c r="O96" s="773"/>
      <c r="P96" s="774"/>
      <c r="Q96" s="774"/>
      <c r="R96" s="776"/>
      <c r="S96" s="892"/>
      <c r="T96" s="773"/>
      <c r="U96" s="912"/>
      <c r="V96" s="776"/>
      <c r="W96" s="141"/>
      <c r="X96" s="773"/>
      <c r="Y96" s="774"/>
      <c r="Z96" s="774"/>
      <c r="AA96" s="776"/>
      <c r="AB96" s="892"/>
      <c r="AC96" s="773"/>
      <c r="AD96" s="912"/>
      <c r="AE96" s="776"/>
      <c r="AF96" s="141"/>
      <c r="AG96" s="102"/>
      <c r="AH96" s="103"/>
      <c r="AI96" s="103"/>
      <c r="AJ96" s="228"/>
      <c r="AK96" s="141"/>
      <c r="AL96" s="102"/>
      <c r="AM96" s="103"/>
      <c r="AN96" s="268"/>
      <c r="AQ96" s="18"/>
      <c r="AR96" s="102"/>
      <c r="AS96" s="103"/>
      <c r="AT96" s="103"/>
      <c r="AU96" s="228"/>
      <c r="AV96" s="141"/>
      <c r="AW96" s="102"/>
      <c r="AX96" s="103"/>
      <c r="AY96" s="268"/>
      <c r="BB96" s="18"/>
      <c r="BC96" s="102"/>
      <c r="BD96" s="103"/>
      <c r="BE96" s="103"/>
      <c r="BF96" s="228"/>
      <c r="BG96" s="141"/>
      <c r="BH96" s="102"/>
      <c r="BI96" s="103"/>
      <c r="BJ96" s="268"/>
    </row>
    <row r="97" spans="1:62" x14ac:dyDescent="0.35">
      <c r="A97" s="9168"/>
      <c r="B97" s="6082"/>
      <c r="C97"/>
      <c r="D97" s="110" t="s">
        <v>990</v>
      </c>
      <c r="F97" s="349">
        <f>SUM(F37:F48)-SUM(F50:F52)</f>
        <v>710841800</v>
      </c>
      <c r="G97" s="350"/>
      <c r="H97" s="351">
        <f>SUM(H37:H48)-SUM(H50:H52)</f>
        <v>903413631</v>
      </c>
      <c r="I97" s="352">
        <f>SUM(I37:I48)-SUM(I50:I52)</f>
        <v>716198072.15999997</v>
      </c>
      <c r="J97" s="246"/>
      <c r="K97" s="350"/>
      <c r="L97" s="351">
        <f>SUM(L37:L48)-SUM(L50:L52)</f>
        <v>828934265</v>
      </c>
      <c r="M97" s="353">
        <f>SUM(M37:M48)-SUM(M50:M52)</f>
        <v>728798226.96000004</v>
      </c>
      <c r="O97" s="866">
        <f>SUM(O37:O48)-SUM(O50:O52)</f>
        <v>828937365</v>
      </c>
      <c r="P97" s="847">
        <f>SUM(P37:P48)-SUM(P50:P52)</f>
        <v>730087863.05040014</v>
      </c>
      <c r="Q97" s="847"/>
      <c r="R97" s="890"/>
      <c r="S97" s="847"/>
      <c r="T97" s="866">
        <f>SUM(T37:T48)-SUM(T50:T52)</f>
        <v>986115199</v>
      </c>
      <c r="U97" s="847"/>
      <c r="V97" s="890">
        <f>SUM(V37:V48)-SUM(V50:V52)</f>
        <v>891339918.12</v>
      </c>
      <c r="X97" s="866">
        <f>SUM(X37:X48)-SUM(X50:X52)</f>
        <v>1012230006</v>
      </c>
      <c r="Y97" s="847">
        <f>SUM(Y37:Y48)-SUM(Y50:Y52)</f>
        <v>1006907162.520523</v>
      </c>
      <c r="Z97" s="847"/>
      <c r="AA97" s="890"/>
      <c r="AB97" s="847"/>
      <c r="AC97" s="866">
        <f>SUM(AC37:AC48)-SUM(AC50:AC52)</f>
        <v>1177808690</v>
      </c>
      <c r="AD97" s="847"/>
      <c r="AE97" s="890">
        <f>SUM(AE37:AE48)-SUM(AE50:AE52)</f>
        <v>1067958151.4101918</v>
      </c>
      <c r="AG97" s="354">
        <f>SUM(AG37:AG48)-SUM(AG50:AG52)</f>
        <v>1178806754</v>
      </c>
      <c r="AH97" s="355">
        <f>SUM(AH37:AH48)-SUM(AH50:AH52)</f>
        <v>1068916958.9900002</v>
      </c>
      <c r="AI97" s="352"/>
      <c r="AJ97" s="246"/>
      <c r="AK97" s="350"/>
      <c r="AL97" s="351">
        <f>SUM(AL38:AL48)-SUM(AL50:AL52)</f>
        <v>1399105036</v>
      </c>
      <c r="AM97" s="352"/>
      <c r="AN97" s="353">
        <f>SUM(AN38:AN48)-SUM(AN50:AN52)</f>
        <v>1296458222.8552775</v>
      </c>
      <c r="AO97" s="141"/>
      <c r="AQ97" s="26"/>
      <c r="AR97" s="354">
        <f>SUM(AR37:AR48)-SUM(AR50:AR52)-AR37-AR40-AR43</f>
        <v>1399105036</v>
      </c>
      <c r="AS97" s="355">
        <f>SUM(AS37:AS48)-SUM(AS50:AS52)-AS37-AS40-AS43</f>
        <v>1252634125.0480001</v>
      </c>
      <c r="AT97" s="352"/>
      <c r="AU97" s="246"/>
      <c r="AV97" s="350"/>
      <c r="AW97" s="351">
        <f>SUM(AW37:AW48)-SUM(AW50:AW52)-AW37-AW40-AW43</f>
        <v>1506265364</v>
      </c>
      <c r="AX97" s="352"/>
      <c r="AY97" s="353">
        <f>SUM(AY37:AY48)-SUM(AY50:AY52)-AY37-AY40-AY43</f>
        <v>1349740323.7810836</v>
      </c>
      <c r="AZ97" s="141"/>
      <c r="BB97" s="26"/>
      <c r="BC97" s="354">
        <f>SUM(BC37:BC48)-SUM(BC50:BC52)-BC37-BC40-BC43</f>
        <v>1506265364</v>
      </c>
      <c r="BD97" s="355">
        <f>SUM(BD37:BD48)-SUM(BD50:BD52)-BD37-BD40-BD43</f>
        <v>1469561290.5375569</v>
      </c>
      <c r="BE97" s="352"/>
      <c r="BF97" s="246"/>
      <c r="BG97" s="350"/>
      <c r="BH97" s="351">
        <f>SUM(BH37:BH48)-SUM(BH50:BH52)-BH37-BH40-BH43</f>
        <v>1622557424</v>
      </c>
      <c r="BI97" s="352"/>
      <c r="BJ97" s="353">
        <f>SUM(BJ37:BJ48)-SUM(BJ50:BJ52)-BJ37-BJ40-BJ43</f>
        <v>1547758140.6469378</v>
      </c>
    </row>
    <row r="98" spans="1:62" x14ac:dyDescent="0.35">
      <c r="A98" s="9168"/>
      <c r="B98" s="6082"/>
      <c r="C98"/>
      <c r="D98" s="110" t="s">
        <v>944</v>
      </c>
      <c r="F98" s="349">
        <f>SUM(F54:F64)</f>
        <v>2621455.2669427367</v>
      </c>
      <c r="G98" s="350"/>
      <c r="H98" s="351">
        <f>SUM(H54:H64)</f>
        <v>3900105.4033845812</v>
      </c>
      <c r="I98" s="352">
        <f>SUM(I54:I64)</f>
        <v>3900105.4033845812</v>
      </c>
      <c r="J98" s="246"/>
      <c r="K98" s="350"/>
      <c r="L98" s="351">
        <f>SUM(L54:L64)</f>
        <v>4030998</v>
      </c>
      <c r="M98" s="353">
        <f>SUM(M54:M64)</f>
        <v>4030998</v>
      </c>
      <c r="O98" s="866">
        <f>SUM(O54:O64)</f>
        <v>4030998</v>
      </c>
      <c r="P98" s="847">
        <f>SUM(P54:P64)</f>
        <v>4030998</v>
      </c>
      <c r="Q98" s="847"/>
      <c r="R98" s="890"/>
      <c r="S98" s="847"/>
      <c r="T98" s="866">
        <f>SUM(T54:T64)</f>
        <v>4487490</v>
      </c>
      <c r="U98" s="847"/>
      <c r="V98" s="890">
        <f>SUM(V54:V64)</f>
        <v>4487490</v>
      </c>
      <c r="X98" s="866">
        <f>SUM(X54:X64)</f>
        <v>4487490</v>
      </c>
      <c r="Y98" s="847">
        <f>SUM(Y54:Y64)</f>
        <v>4487490</v>
      </c>
      <c r="Z98" s="847"/>
      <c r="AA98" s="890"/>
      <c r="AB98" s="847"/>
      <c r="AC98" s="866">
        <f>SUM(AC54:AC64)</f>
        <v>5868523</v>
      </c>
      <c r="AD98" s="847"/>
      <c r="AE98" s="890">
        <f>SUM(AE54:AE64)</f>
        <v>5868523</v>
      </c>
      <c r="AG98" s="354">
        <f>SUM(AG54:AG64)</f>
        <v>5868523</v>
      </c>
      <c r="AH98" s="355">
        <f>SUM(AH54:AH64)</f>
        <v>5868523</v>
      </c>
      <c r="AI98" s="352"/>
      <c r="AJ98" s="246"/>
      <c r="AK98" s="350"/>
      <c r="AL98" s="351">
        <f>SUM(AL54:AL64)</f>
        <v>8593481</v>
      </c>
      <c r="AM98" s="352"/>
      <c r="AN98" s="353">
        <f>SUM(AN54:AN64)</f>
        <v>8593481</v>
      </c>
      <c r="AQ98" s="26"/>
      <c r="AR98" s="354">
        <f>SUM(AR54:AR64)</f>
        <v>8593481</v>
      </c>
      <c r="AS98" s="355">
        <f>SUM(AS54:AS64)</f>
        <v>8308275.6936232764</v>
      </c>
      <c r="AT98" s="352"/>
      <c r="AU98" s="246"/>
      <c r="AV98" s="350"/>
      <c r="AW98" s="351">
        <f>SUM(AW54:AW64)</f>
        <v>12837381</v>
      </c>
      <c r="AX98" s="352"/>
      <c r="AY98" s="353">
        <f>SUM(AY54:AY64)</f>
        <v>12411326.74082613</v>
      </c>
      <c r="BB98" s="26"/>
      <c r="BC98" s="354">
        <f>SUM(BC54:BC64)</f>
        <v>12837381</v>
      </c>
      <c r="BD98" s="355">
        <f>SUM(BD54:BD64)</f>
        <v>13336233.420924949</v>
      </c>
      <c r="BE98" s="352"/>
      <c r="BF98" s="246"/>
      <c r="BG98" s="350"/>
      <c r="BH98" s="351">
        <f>SUM(BH54:BH64)</f>
        <v>5944592</v>
      </c>
      <c r="BI98" s="352"/>
      <c r="BJ98" s="353">
        <f>SUM(BJ54:BJ64)</f>
        <v>6175595.0457623005</v>
      </c>
    </row>
    <row r="99" spans="1:62" x14ac:dyDescent="0.35">
      <c r="A99" s="9168"/>
      <c r="B99" s="6082"/>
      <c r="C99"/>
      <c r="D99" s="110" t="s">
        <v>991</v>
      </c>
      <c r="F99" s="349">
        <f>SUM(F66:F73)*F30</f>
        <v>0</v>
      </c>
      <c r="G99" s="350"/>
      <c r="H99" s="351">
        <f>SUM(H66:H73)*H30</f>
        <v>0</v>
      </c>
      <c r="I99" s="352">
        <f>SUM(I66:I73)*I30</f>
        <v>0</v>
      </c>
      <c r="J99" s="246"/>
      <c r="K99" s="350"/>
      <c r="L99" s="351">
        <f>SUM(L66:L73)*L30</f>
        <v>0</v>
      </c>
      <c r="M99" s="353">
        <f>SUM(M66:M73)*M30</f>
        <v>0</v>
      </c>
      <c r="O99" s="866">
        <f>SUM(O66:O73)*O30</f>
        <v>0</v>
      </c>
      <c r="P99" s="847">
        <f>SUM(P66:P73)*P30</f>
        <v>0</v>
      </c>
      <c r="Q99" s="847"/>
      <c r="R99" s="890"/>
      <c r="S99" s="847"/>
      <c r="T99" s="866">
        <f>SUM(T66:T73)*T30</f>
        <v>0</v>
      </c>
      <c r="U99" s="847"/>
      <c r="V99" s="890">
        <f>SUM(V66:V73)*V30</f>
        <v>0</v>
      </c>
      <c r="X99" s="866">
        <f>SUM(X66:X73)*X30</f>
        <v>0</v>
      </c>
      <c r="Y99" s="847">
        <f>SUM(Y66:Y73)*Y30</f>
        <v>0</v>
      </c>
      <c r="Z99" s="847"/>
      <c r="AA99" s="890"/>
      <c r="AB99" s="847"/>
      <c r="AC99" s="866">
        <f>SUM(AC66:AC73)*AC30</f>
        <v>0</v>
      </c>
      <c r="AD99" s="847"/>
      <c r="AE99" s="890">
        <f>SUM(AE66:AE73)*AE30</f>
        <v>0</v>
      </c>
      <c r="AG99" s="354">
        <f>SUM(AG66:AG73)*AG30</f>
        <v>0</v>
      </c>
      <c r="AH99" s="355">
        <f>SUM(AH66:AH73)*AH30</f>
        <v>0</v>
      </c>
      <c r="AI99" s="352"/>
      <c r="AJ99" s="246"/>
      <c r="AK99" s="350"/>
      <c r="AL99" s="351">
        <f>SUM(AL66:AL73)*AL30</f>
        <v>0</v>
      </c>
      <c r="AM99" s="352"/>
      <c r="AN99" s="353">
        <f>SUM(AN66:AN73)*AN30</f>
        <v>0</v>
      </c>
      <c r="AQ99" s="26"/>
      <c r="AR99" s="354">
        <f>SUM(AR66:AR73)*AR30</f>
        <v>0</v>
      </c>
      <c r="AS99" s="355">
        <f>SUM(AS66:AS73)*AS30</f>
        <v>0</v>
      </c>
      <c r="AT99" s="352"/>
      <c r="AU99" s="246"/>
      <c r="AV99" s="350"/>
      <c r="AW99" s="351">
        <f>SUM(AW66:AW73)*AW30</f>
        <v>0</v>
      </c>
      <c r="AX99" s="352"/>
      <c r="AY99" s="353">
        <f>SUM(AY66:AY73)*AY30</f>
        <v>0</v>
      </c>
      <c r="BB99" s="26"/>
      <c r="BC99" s="354">
        <f>SUM(BC66:BC73)*BC30</f>
        <v>0</v>
      </c>
      <c r="BD99" s="355">
        <f>SUM(BD66:BD73)*BD30</f>
        <v>0</v>
      </c>
      <c r="BE99" s="352"/>
      <c r="BF99" s="246"/>
      <c r="BG99" s="350"/>
      <c r="BH99" s="351">
        <f>SUM(BH66:BH73)*BH30</f>
        <v>0</v>
      </c>
      <c r="BI99" s="352"/>
      <c r="BJ99" s="353">
        <f>SUM(BJ66:BJ73)*BJ30</f>
        <v>0</v>
      </c>
    </row>
    <row r="100" spans="1:62" x14ac:dyDescent="0.35">
      <c r="A100" s="9168"/>
      <c r="B100" s="6082"/>
      <c r="C100"/>
      <c r="D100" s="110" t="s">
        <v>979</v>
      </c>
      <c r="F100" s="349">
        <f>SUM(F75:F78)</f>
        <v>0</v>
      </c>
      <c r="G100" s="350"/>
      <c r="H100" s="351">
        <f>SUM(H75:H78)</f>
        <v>0</v>
      </c>
      <c r="I100" s="352">
        <f>SUM(I75:I78)</f>
        <v>0</v>
      </c>
      <c r="J100" s="246"/>
      <c r="K100" s="350"/>
      <c r="L100" s="351">
        <f>SUM(L75:L78)</f>
        <v>0</v>
      </c>
      <c r="M100" s="353">
        <f>SUM(M75:M78)</f>
        <v>0</v>
      </c>
      <c r="O100" s="866">
        <f>SUM(O75:O78)</f>
        <v>0</v>
      </c>
      <c r="P100" s="847">
        <f>SUM(P75:P78)</f>
        <v>0</v>
      </c>
      <c r="Q100" s="847"/>
      <c r="R100" s="890"/>
      <c r="S100" s="847"/>
      <c r="T100" s="866">
        <f>SUM(T75:T78)</f>
        <v>0</v>
      </c>
      <c r="U100" s="847"/>
      <c r="V100" s="890">
        <f>SUM(V75:V78)</f>
        <v>0</v>
      </c>
      <c r="X100" s="866">
        <f>SUM(X75:X78)</f>
        <v>0</v>
      </c>
      <c r="Y100" s="847">
        <f>SUM(Y75:Y78)</f>
        <v>0</v>
      </c>
      <c r="Z100" s="847"/>
      <c r="AA100" s="890"/>
      <c r="AB100" s="847"/>
      <c r="AC100" s="866">
        <f>SUM(AC75:AC78)</f>
        <v>0</v>
      </c>
      <c r="AD100" s="847"/>
      <c r="AE100" s="890">
        <f>SUM(AE75:AE78)</f>
        <v>0</v>
      </c>
      <c r="AG100" s="354">
        <f>SUM(AG75:AG78)</f>
        <v>0</v>
      </c>
      <c r="AH100" s="355">
        <f>SUM(AH75:AH78)</f>
        <v>0</v>
      </c>
      <c r="AI100" s="352"/>
      <c r="AJ100" s="246"/>
      <c r="AK100" s="350"/>
      <c r="AL100" s="351">
        <f>SUM(AL75:AL78)</f>
        <v>0</v>
      </c>
      <c r="AM100" s="352"/>
      <c r="AN100" s="353">
        <f>SUM(AN75:AN78)</f>
        <v>0</v>
      </c>
      <c r="AQ100" s="26"/>
      <c r="AR100" s="354">
        <f>SUM(AR75:AR78)</f>
        <v>0</v>
      </c>
      <c r="AS100" s="355">
        <f>SUM(AS75:AS78)</f>
        <v>0</v>
      </c>
      <c r="AT100" s="352"/>
      <c r="AU100" s="246"/>
      <c r="AV100" s="350"/>
      <c r="AW100" s="351">
        <f>SUM(AW75:AW78)</f>
        <v>0</v>
      </c>
      <c r="AX100" s="352"/>
      <c r="AY100" s="353">
        <f>SUM(AY75:AY78)</f>
        <v>0</v>
      </c>
      <c r="BB100" s="26"/>
      <c r="BC100" s="354">
        <f>SUM(BC75:BC78)</f>
        <v>0</v>
      </c>
      <c r="BD100" s="355">
        <f>SUM(BD75:BD78)</f>
        <v>0</v>
      </c>
      <c r="BE100" s="352"/>
      <c r="BF100" s="246"/>
      <c r="BG100" s="350"/>
      <c r="BH100" s="351">
        <f>SUM(BH75:BH78)</f>
        <v>0</v>
      </c>
      <c r="BI100" s="352"/>
      <c r="BJ100" s="353">
        <f>SUM(BJ75:BJ78)</f>
        <v>0</v>
      </c>
    </row>
    <row r="101" spans="1:62" x14ac:dyDescent="0.35">
      <c r="A101" s="9168"/>
      <c r="B101" s="6082"/>
      <c r="C101"/>
      <c r="D101" s="356" t="s">
        <v>992</v>
      </c>
      <c r="E101" s="143"/>
      <c r="F101" s="357">
        <f>SUM(F97:F100)</f>
        <v>713463255.26694274</v>
      </c>
      <c r="G101" s="358"/>
      <c r="H101" s="359">
        <f>SUM(H97:H100)</f>
        <v>907313736.40338457</v>
      </c>
      <c r="I101" s="360">
        <f>SUM(I97:I100)</f>
        <v>720098177.56338453</v>
      </c>
      <c r="J101" s="361"/>
      <c r="K101" s="358"/>
      <c r="L101" s="359">
        <f>SUM(L97:L100)</f>
        <v>832965263</v>
      </c>
      <c r="M101" s="362">
        <f>SUM(M97:M100)</f>
        <v>732829224.96000004</v>
      </c>
      <c r="N101" s="143"/>
      <c r="O101" s="5964">
        <f>SUM(O97:O100)</f>
        <v>832968363</v>
      </c>
      <c r="P101" s="5965">
        <f>SUM(P97:P100)</f>
        <v>734118861.05040014</v>
      </c>
      <c r="Q101" s="847"/>
      <c r="R101" s="5966"/>
      <c r="S101" s="5965"/>
      <c r="T101" s="5964">
        <f>SUM(T97:T100)</f>
        <v>990602689</v>
      </c>
      <c r="U101" s="847"/>
      <c r="V101" s="5966">
        <f>SUM(V97:V100)</f>
        <v>895827408.12</v>
      </c>
      <c r="W101" s="143"/>
      <c r="X101" s="5964">
        <f>SUM(X97:X100)</f>
        <v>1016717496</v>
      </c>
      <c r="Y101" s="5965">
        <f>SUM(Y97:Y100)</f>
        <v>1011394652.520523</v>
      </c>
      <c r="Z101" s="847"/>
      <c r="AA101" s="5966"/>
      <c r="AB101" s="5965"/>
      <c r="AC101" s="5964">
        <f>SUM(AC97:AC100)</f>
        <v>1183677213</v>
      </c>
      <c r="AD101" s="847"/>
      <c r="AE101" s="5966">
        <f>SUM(AE97:AE100)</f>
        <v>1073826674.4101918</v>
      </c>
      <c r="AF101" s="143"/>
      <c r="AG101" s="363">
        <f>SUM(AG97:AG100)</f>
        <v>1184675277</v>
      </c>
      <c r="AH101" s="364">
        <f>SUM(AH97:AH100)</f>
        <v>1074785481.9900002</v>
      </c>
      <c r="AI101" s="360"/>
      <c r="AJ101" s="361"/>
      <c r="AK101" s="358"/>
      <c r="AL101" s="359">
        <f>SUM(AL97:AL100)</f>
        <v>1407698517</v>
      </c>
      <c r="AM101" s="360"/>
      <c r="AN101" s="362">
        <f>SUM(AN97:AN100)</f>
        <v>1305051703.8552775</v>
      </c>
      <c r="AQ101" s="26"/>
      <c r="AR101" s="363">
        <f>SUM(AR97:AR100)</f>
        <v>1407698517</v>
      </c>
      <c r="AS101" s="364">
        <f>SUM(AS97:AS100)</f>
        <v>1260942400.7416234</v>
      </c>
      <c r="AT101" s="360"/>
      <c r="AU101" s="361"/>
      <c r="AV101" s="358"/>
      <c r="AW101" s="359">
        <f>SUM(AW97:AW100)</f>
        <v>1519102745</v>
      </c>
      <c r="AX101" s="360"/>
      <c r="AY101" s="362">
        <f>SUM(AY97:AY100)</f>
        <v>1362151650.5219097</v>
      </c>
      <c r="BB101" s="26"/>
      <c r="BC101" s="363">
        <f>SUM(BC97:BC100)</f>
        <v>1519102745</v>
      </c>
      <c r="BD101" s="364">
        <f>SUM(BD97:BD100)</f>
        <v>1482897523.9584818</v>
      </c>
      <c r="BE101" s="360"/>
      <c r="BF101" s="361"/>
      <c r="BG101" s="358"/>
      <c r="BH101" s="359">
        <f>SUM(BH97:BH100)</f>
        <v>1628502016</v>
      </c>
      <c r="BI101" s="360"/>
      <c r="BJ101" s="362">
        <f>SUM(BJ97:BJ100)</f>
        <v>1553933735.6927001</v>
      </c>
    </row>
    <row r="102" spans="1:62" s="5628" customFormat="1" ht="15.5" x14ac:dyDescent="0.35">
      <c r="A102" s="9168"/>
      <c r="B102" s="5627"/>
      <c r="D102" s="5967" t="s">
        <v>993</v>
      </c>
      <c r="E102" s="5968"/>
      <c r="F102" s="559">
        <f>F101/(F18+F19+F20+F21)</f>
        <v>0.28247020954428015</v>
      </c>
      <c r="G102" s="560"/>
      <c r="H102" s="561">
        <f>H101/(H18+H19+H20+H21)</f>
        <v>0.22882160926950576</v>
      </c>
      <c r="I102" s="562">
        <f>I101/(I18+I19+I20+I21)</f>
        <v>0.20536680856815667</v>
      </c>
      <c r="J102" s="563"/>
      <c r="K102" s="560"/>
      <c r="L102" s="561">
        <f>L101/(L18+L19+L20+L21)</f>
        <v>0.17398833396458502</v>
      </c>
      <c r="M102" s="563">
        <f>M101/(M18+M19+M20+M21)</f>
        <v>0.20794436829201854</v>
      </c>
      <c r="N102" s="5968"/>
      <c r="O102" s="5969">
        <f>O101/(O18+O19+O20+O21)</f>
        <v>0.2049374739820396</v>
      </c>
      <c r="P102" s="5970">
        <f>P101/(P18+P19+P20+P21)</f>
        <v>0.19900752556328449</v>
      </c>
      <c r="Q102" s="5971"/>
      <c r="R102" s="5972"/>
      <c r="S102" s="5970"/>
      <c r="T102" s="5969">
        <f>T101/(T18+T19+T20+T21)</f>
        <v>0.21063656233387909</v>
      </c>
      <c r="U102" s="5971"/>
      <c r="V102" s="5973">
        <f>V101/(V18+V19+V20+V21)</f>
        <v>0.22443040017436791</v>
      </c>
      <c r="W102" s="5968"/>
      <c r="X102" s="5969">
        <f>X101/(X18+X19+X20+X21)</f>
        <v>0.21599657878523931</v>
      </c>
      <c r="Y102" s="5970">
        <f>Y101/(Y18+Y19+Y20+Y21)</f>
        <v>0.21932961475517163</v>
      </c>
      <c r="Z102" s="5971"/>
      <c r="AA102" s="5972"/>
      <c r="AB102" s="5970"/>
      <c r="AC102" s="5969">
        <f>AC101/(AC18+AC19+AC20+AC21)</f>
        <v>0.19302337018736854</v>
      </c>
      <c r="AD102" s="5971"/>
      <c r="AE102" s="5973">
        <f>AE101/(AE18+AE19+AE20+AE21)</f>
        <v>0.2178271127792637</v>
      </c>
      <c r="AF102" s="5968"/>
      <c r="AG102" s="561">
        <f>AG101/(AG18+AG19)</f>
        <v>0.17461370071193077</v>
      </c>
      <c r="AH102" s="562">
        <f>AH101/(AH18+AH20+AH21)</f>
        <v>0.24815217682217039</v>
      </c>
      <c r="AI102" s="562"/>
      <c r="AJ102" s="563"/>
      <c r="AK102" s="560"/>
      <c r="AL102" s="561">
        <f>AL101/(AL18+AL20+AL21)</f>
        <v>0.20052227393915265</v>
      </c>
      <c r="AM102" s="562"/>
      <c r="AN102" s="563">
        <f>AN101/(AN18+AN20+AN21)</f>
        <v>0.22173449337901219</v>
      </c>
      <c r="AO102" s="143"/>
      <c r="AQ102" s="8421"/>
      <c r="AR102" s="561">
        <f>AR101/(AR18+AR20+AR21)</f>
        <v>0.20052204542922078</v>
      </c>
      <c r="AS102" s="562">
        <f>AS101/(AS18+AS20+AS21)</f>
        <v>0.20887348713271722</v>
      </c>
      <c r="AT102" s="562"/>
      <c r="AU102" s="563"/>
      <c r="AV102" s="560"/>
      <c r="AW102" s="561">
        <f>AW101/(AW18+AW20+AW21)</f>
        <v>0.18120149639172184</v>
      </c>
      <c r="AX102" s="3412"/>
      <c r="AY102" s="563">
        <f>AY101/(AY18+AY20+AY21)</f>
        <v>0.190092420679946</v>
      </c>
      <c r="AZ102" s="143"/>
      <c r="BB102" s="8421"/>
      <c r="BC102" s="561">
        <f>BC101/(BC18+BC20+BC21)</f>
        <v>0.18120149639172184</v>
      </c>
      <c r="BD102" s="562">
        <f>BD101/(BD18+BD20+BD21)</f>
        <v>0.1960182316107496</v>
      </c>
      <c r="BE102" s="562"/>
      <c r="BF102" s="563"/>
      <c r="BG102" s="560"/>
      <c r="BH102" s="561">
        <f>BH101/(BH18+BH20+BH21)</f>
        <v>0.16246515917276055</v>
      </c>
      <c r="BI102" s="3412"/>
      <c r="BJ102" s="563">
        <f>BJ101/(BJ18+BJ20+BJ21)</f>
        <v>0.17769123393848374</v>
      </c>
    </row>
    <row r="103" spans="1:62" s="892" customFormat="1" ht="15.5" x14ac:dyDescent="0.35">
      <c r="A103" s="9168"/>
      <c r="B103" s="5629"/>
      <c r="C103" s="5630"/>
      <c r="D103" s="5631" t="s">
        <v>573</v>
      </c>
      <c r="E103" s="5974"/>
      <c r="F103" s="1713"/>
      <c r="G103" s="570"/>
      <c r="H103" s="566"/>
      <c r="I103" s="567"/>
      <c r="J103" s="569"/>
      <c r="K103" s="570"/>
      <c r="L103" s="571"/>
      <c r="M103" s="567"/>
      <c r="N103" s="2974"/>
      <c r="O103" s="566">
        <f>O38+O42+O46-O50+O54+O57+O60</f>
        <v>710500450</v>
      </c>
      <c r="P103" s="567">
        <f>P38+P42+P46-P50+P54+P57+P60</f>
        <v>682466197.53040004</v>
      </c>
      <c r="Q103" s="847"/>
      <c r="R103" s="5975"/>
      <c r="T103" s="566">
        <f>T38+T42+T46-T50+T54+T57+T60</f>
        <v>795993518</v>
      </c>
      <c r="U103" s="847"/>
      <c r="V103" s="5632">
        <f>V38+V42+V46-V50+V54+V57+V60</f>
        <v>812123483</v>
      </c>
      <c r="W103" s="2974"/>
      <c r="X103" s="566">
        <f>X38+X42+X46-X50+X54+X57+X60</f>
        <v>819894142</v>
      </c>
      <c r="Y103" s="567">
        <f>Y38+Y42+Y46-Y50+Y54+Y57+Y60</f>
        <v>811183502.41052294</v>
      </c>
      <c r="Z103" s="847"/>
      <c r="AA103" s="5975"/>
      <c r="AC103" s="566">
        <f>AC38+AC42+AC46-AC50+AC54+AC57+AC60</f>
        <v>896782823</v>
      </c>
      <c r="AD103" s="847"/>
      <c r="AE103" s="5632">
        <f>AE38+AE42+AE46-AE50+AE54+AE57+AE60</f>
        <v>890580230.15019166</v>
      </c>
      <c r="AF103" s="2974"/>
      <c r="AG103" s="381">
        <f>AG38</f>
        <v>683071490</v>
      </c>
      <c r="AH103" s="382">
        <f>AH38</f>
        <v>679077813.70000005</v>
      </c>
      <c r="AI103" s="956"/>
      <c r="AJ103" s="955"/>
      <c r="AK103" s="954"/>
      <c r="AL103" s="386">
        <f>AL38</f>
        <v>1096173672</v>
      </c>
      <c r="AM103" s="956"/>
      <c r="AN103" s="387">
        <f>AN38</f>
        <v>1089764734.0211213</v>
      </c>
      <c r="AO103" s="5968"/>
      <c r="AQ103" s="8422"/>
      <c r="AR103" s="381">
        <f>AR38+AR41+AR44+AR54+AR57+AR60</f>
        <v>1104767153</v>
      </c>
      <c r="AS103" s="382">
        <f>AS38+AS41+AS44+AS54+AS57+AS60</f>
        <v>1096203547.6916232</v>
      </c>
      <c r="AT103" s="956"/>
      <c r="AU103" s="955"/>
      <c r="AV103" s="954"/>
      <c r="AW103" s="386">
        <f>AW38+AW41+AW44+AW54+AW57+AW60</f>
        <v>1198711311</v>
      </c>
      <c r="AX103" s="8423"/>
      <c r="AY103" s="680">
        <f>AY38+AY41+AY44+AY54+AY57+AY60</f>
        <v>1190057314.9676609</v>
      </c>
      <c r="AZ103" s="5968"/>
      <c r="BB103" s="8422"/>
      <c r="BC103" s="381">
        <f>BC38+BC41+BC44+BC54+BC57+BC60</f>
        <v>1198711311</v>
      </c>
      <c r="BD103" s="382">
        <f>BD38+BD41+BD44+BD54+BD57+BD60</f>
        <v>1245292466.4149926</v>
      </c>
      <c r="BE103" s="956"/>
      <c r="BF103" s="955"/>
      <c r="BG103" s="954"/>
      <c r="BH103" s="386">
        <f>BH38+BH41+BH44+BH54+BH57+BH60</f>
        <v>1332348730</v>
      </c>
      <c r="BI103" s="8423"/>
      <c r="BJ103" s="680">
        <f>BJ38+BJ41+BJ44+BJ54+BJ57+BJ60</f>
        <v>1343025714.3052952</v>
      </c>
    </row>
    <row r="104" spans="1:62" s="5638" customFormat="1" x14ac:dyDescent="0.35">
      <c r="A104" s="9168"/>
      <c r="B104" s="5633"/>
      <c r="C104" s="5634"/>
      <c r="D104" s="5635" t="s">
        <v>575</v>
      </c>
      <c r="E104" s="5976"/>
      <c r="F104" s="3597"/>
      <c r="G104" s="3598"/>
      <c r="H104" s="3599"/>
      <c r="I104" s="3600"/>
      <c r="J104" s="3601"/>
      <c r="K104" s="3598"/>
      <c r="L104" s="5636"/>
      <c r="M104" s="3600"/>
      <c r="N104" s="5977"/>
      <c r="O104" s="5156">
        <f>(O101-O103)/(O19+O20+O21)</f>
        <v>9.5010017843289371E-2</v>
      </c>
      <c r="P104" s="3600">
        <f>(P101-P103)/(P19+P20+P21)</f>
        <v>5.1626850094952624E-2</v>
      </c>
      <c r="Q104" s="5978"/>
      <c r="R104" s="5979"/>
      <c r="S104" s="5980"/>
      <c r="T104" s="3599">
        <f>(T101-T103)/(T19+T20+T21)</f>
        <v>0.11576299506275653</v>
      </c>
      <c r="U104" s="847"/>
      <c r="V104" s="3602">
        <f>(V101-V103)/(V19+V20+V21)</f>
        <v>7.3618227897977132E-2</v>
      </c>
      <c r="W104" s="5977"/>
      <c r="X104" s="5156">
        <f>(X101-X103)/(X19+X20+X21)</f>
        <v>0.11708009874486944</v>
      </c>
      <c r="Y104" s="3600">
        <f>(Y101-Y103)/(Y19+Y20+Y21)</f>
        <v>0.12346518877035029</v>
      </c>
      <c r="Z104" s="5978"/>
      <c r="AA104" s="5979"/>
      <c r="AB104" s="5980"/>
      <c r="AC104" s="3599">
        <f>(AC101-AC103)/(AC19+AC20+AC21)</f>
        <v>9.9550432006662276E-2</v>
      </c>
      <c r="AD104" s="847"/>
      <c r="AE104" s="3602">
        <f>(AE101-AE103)/(AE19+AE20+AE21)</f>
        <v>0.13037255205042839</v>
      </c>
      <c r="AF104" s="5977"/>
      <c r="AG104" s="1222" t="e">
        <f>(AG101-AG103)/((AG20+AG21))</f>
        <v>#DIV/0!</v>
      </c>
      <c r="AH104" s="1218" t="e">
        <f>(AH101-AH103)/((AH20+AH21))</f>
        <v>#DIV/0!</v>
      </c>
      <c r="AI104" s="7733"/>
      <c r="AJ104" s="7734"/>
      <c r="AK104" s="7870"/>
      <c r="AL104" s="1211">
        <f>(AL101-AL103)/((AL20+AL21))</f>
        <v>0.10849575750990227</v>
      </c>
      <c r="AM104" s="7733"/>
      <c r="AN104" s="8424">
        <f>(AN101-AN103)/((AN20+AN21))</f>
        <v>0.16055219525006614</v>
      </c>
      <c r="AO104" s="2974"/>
      <c r="AQ104" s="8425"/>
      <c r="AR104" s="1222">
        <f>(AR101-AR103)/((AR20+AR21))</f>
        <v>0.10550287830393733</v>
      </c>
      <c r="AS104" s="1218">
        <f>(AS101-AS103)/((AS20+AS21))</f>
        <v>8.1324133484498115E-2</v>
      </c>
      <c r="AT104" s="7733"/>
      <c r="AU104" s="7734"/>
      <c r="AV104" s="7870"/>
      <c r="AW104" s="1211">
        <f>(AW101-AW103)/((AW20+AW21))</f>
        <v>8.3235850046762969E-2</v>
      </c>
      <c r="AX104" s="8426"/>
      <c r="AY104" s="7736">
        <f>(AY101-AY103)/((AY20+AY21))</f>
        <v>6.1861700691660006E-2</v>
      </c>
      <c r="AZ104" s="2974"/>
      <c r="BB104" s="8425"/>
      <c r="BC104" s="1222">
        <f>(BC101-BC103)/((BC20+BC21))</f>
        <v>8.3235850046762969E-2</v>
      </c>
      <c r="BD104" s="1218">
        <f>(BD101-BD103)/((BD20+BD21))</f>
        <v>8.3235850046762844E-2</v>
      </c>
      <c r="BE104" s="7733"/>
      <c r="BF104" s="7734"/>
      <c r="BG104" s="7870"/>
      <c r="BH104" s="1211">
        <f>(BH101-BH103)/((BH20+BH21))</f>
        <v>5.700517516168771E-2</v>
      </c>
      <c r="BI104" s="8426"/>
      <c r="BJ104" s="7736">
        <f>(BJ101-BJ103)/((BJ20+BJ21))</f>
        <v>5.6558837603698738E-2</v>
      </c>
    </row>
    <row r="105" spans="1:62" s="5638" customFormat="1" x14ac:dyDescent="0.35">
      <c r="A105" s="9168"/>
      <c r="B105" s="5633"/>
      <c r="C105" s="5634"/>
      <c r="D105" s="5635" t="s">
        <v>576</v>
      </c>
      <c r="E105" s="5976"/>
      <c r="F105" s="3597"/>
      <c r="G105" s="3598"/>
      <c r="H105" s="3599"/>
      <c r="I105" s="3600"/>
      <c r="J105" s="3601"/>
      <c r="K105" s="3598"/>
      <c r="L105" s="5636"/>
      <c r="M105" s="3600"/>
      <c r="N105" s="5977"/>
      <c r="O105" s="5156">
        <f>O103/O18</f>
        <v>0.25599007386056566</v>
      </c>
      <c r="P105" s="3600">
        <f>P103/P18</f>
        <v>0.2538558985011159</v>
      </c>
      <c r="Q105" s="5978"/>
      <c r="R105" s="5979"/>
      <c r="S105" s="5981"/>
      <c r="T105" s="3599">
        <f>T103/T18</f>
        <v>0.26341700906744325</v>
      </c>
      <c r="U105" s="847"/>
      <c r="V105" s="3602">
        <f>V103/V18</f>
        <v>0.28450040741830612</v>
      </c>
      <c r="W105" s="5977"/>
      <c r="X105" s="5156">
        <f>X103/X18</f>
        <v>0.27094981559814935</v>
      </c>
      <c r="Y105" s="3600">
        <f>Y103/Y18</f>
        <v>0.27132605358749134</v>
      </c>
      <c r="Z105" s="5978"/>
      <c r="AA105" s="5979"/>
      <c r="AB105" s="5981"/>
      <c r="AC105" s="3599">
        <f>AC103/AC18</f>
        <v>0.2758992194806793</v>
      </c>
      <c r="AD105" s="847"/>
      <c r="AE105" s="3602">
        <f>AE103/AE18</f>
        <v>0.25270709336414682</v>
      </c>
      <c r="AF105" s="5977"/>
      <c r="AG105" s="1222">
        <f>AG103/(AG18)</f>
        <v>0.17275996589595663</v>
      </c>
      <c r="AH105" s="1218">
        <f>AH103/(AH18)</f>
        <v>0.15678909003244532</v>
      </c>
      <c r="AI105" s="7733"/>
      <c r="AJ105" s="7734"/>
      <c r="AK105" s="7870"/>
      <c r="AL105" s="1211">
        <f>AL103/(AL18)</f>
        <v>0.26421136340201457</v>
      </c>
      <c r="AM105" s="7733"/>
      <c r="AN105" s="8424">
        <f>AN103/(AN18)</f>
        <v>0.23978622031554325</v>
      </c>
      <c r="AO105" s="5977"/>
      <c r="AQ105" s="8425"/>
      <c r="AR105" s="1222">
        <f>AR103/(AR18)</f>
        <v>0.26628214155626123</v>
      </c>
      <c r="AS105" s="1218">
        <f>AS103/(AS18)</f>
        <v>0.273288094689769</v>
      </c>
      <c r="AT105" s="7733"/>
      <c r="AU105" s="7734"/>
      <c r="AV105" s="7870"/>
      <c r="AW105" s="1211">
        <f>AW103/(AW18)</f>
        <v>0.26436524072072864</v>
      </c>
      <c r="AX105" s="8426"/>
      <c r="AY105" s="7736">
        <f>AY103/(AY18)</f>
        <v>0.27146625349480141</v>
      </c>
      <c r="AZ105" s="5977"/>
      <c r="BB105" s="8425"/>
      <c r="BC105" s="1222">
        <f>BC103/(BC18)</f>
        <v>0.26436524072072864</v>
      </c>
      <c r="BD105" s="1218">
        <f>BD103/(BD18)</f>
        <v>0.2643652407207287</v>
      </c>
      <c r="BE105" s="7733"/>
      <c r="BF105" s="7734"/>
      <c r="BG105" s="7870"/>
      <c r="BH105" s="1211">
        <f>BH103/(BH18)</f>
        <v>0.27593429222325772</v>
      </c>
      <c r="BI105" s="8426"/>
      <c r="BJ105" s="7736">
        <f>BJ103/(BJ18)</f>
        <v>0.2677412796934866</v>
      </c>
    </row>
    <row r="106" spans="1:62" s="5638" customFormat="1" x14ac:dyDescent="0.35">
      <c r="A106" s="9168"/>
      <c r="B106" s="5633"/>
      <c r="C106" s="5634"/>
      <c r="D106" s="5640"/>
      <c r="E106" s="5976"/>
      <c r="F106" s="3597"/>
      <c r="G106" s="3598"/>
      <c r="H106" s="3599"/>
      <c r="I106" s="3600"/>
      <c r="J106" s="3601"/>
      <c r="K106" s="3598"/>
      <c r="L106" s="5636"/>
      <c r="M106" s="3600"/>
      <c r="N106" s="5977"/>
      <c r="O106" s="5641"/>
      <c r="P106" s="3600"/>
      <c r="Q106" s="5978"/>
      <c r="R106" s="5979"/>
      <c r="S106" s="5981"/>
      <c r="T106" s="3599"/>
      <c r="U106" s="5982"/>
      <c r="V106" s="3602"/>
      <c r="W106" s="5977"/>
      <c r="X106" s="5641"/>
      <c r="Y106" s="3600"/>
      <c r="Z106" s="5978"/>
      <c r="AA106" s="5979"/>
      <c r="AB106" s="5981"/>
      <c r="AC106" s="3599"/>
      <c r="AD106" s="5982"/>
      <c r="AE106" s="3602"/>
      <c r="AF106" s="5977"/>
      <c r="AG106" s="8427"/>
      <c r="AH106" s="8428"/>
      <c r="AI106" s="8429"/>
      <c r="AJ106" s="8115"/>
      <c r="AK106" s="8430"/>
      <c r="AL106" s="8431"/>
      <c r="AM106" s="8429"/>
      <c r="AN106" s="8432"/>
      <c r="AO106" s="5977"/>
      <c r="AQ106" s="8425"/>
      <c r="AR106" s="8427"/>
      <c r="AS106" s="8428"/>
      <c r="AT106" s="8429"/>
      <c r="AU106" s="8115"/>
      <c r="AV106" s="8430"/>
      <c r="AW106" s="8431"/>
      <c r="AX106" s="8433"/>
      <c r="AY106" s="8434"/>
      <c r="AZ106" s="5977"/>
      <c r="BB106" s="8425"/>
      <c r="BC106" s="8427"/>
      <c r="BD106" s="8428"/>
      <c r="BE106" s="8429"/>
      <c r="BF106" s="8115"/>
      <c r="BG106" s="8430"/>
      <c r="BH106" s="8431"/>
      <c r="BI106" s="8433"/>
      <c r="BJ106" s="8434"/>
    </row>
    <row r="107" spans="1:62" s="5638" customFormat="1" x14ac:dyDescent="0.35">
      <c r="A107" s="9168"/>
      <c r="B107" s="5633"/>
      <c r="C107" s="5634"/>
      <c r="D107" s="5640" t="s">
        <v>577</v>
      </c>
      <c r="E107" s="5976"/>
      <c r="F107" s="3597">
        <f>F101/F12</f>
        <v>0.31663038888161482</v>
      </c>
      <c r="G107" s="3598"/>
      <c r="H107" s="3599">
        <f>H101/H12</f>
        <v>0.29785723355183141</v>
      </c>
      <c r="I107" s="3600">
        <f>I101/I12</f>
        <v>0.27204313470471647</v>
      </c>
      <c r="J107" s="3601"/>
      <c r="K107" s="3598"/>
      <c r="L107" s="5636">
        <f>L101/L12</f>
        <v>0.28111237168962666</v>
      </c>
      <c r="M107" s="3600">
        <f>M101/M12</f>
        <v>0.2447855622895623</v>
      </c>
      <c r="N107" s="5977"/>
      <c r="O107" s="5156">
        <f>O101/O12</f>
        <v>0.26769776417277286</v>
      </c>
      <c r="P107" s="3600">
        <f>P101/P12</f>
        <v>0.23736383246585624</v>
      </c>
      <c r="Q107" s="5978"/>
      <c r="R107" s="5979"/>
      <c r="S107" s="5981"/>
      <c r="T107" s="3599">
        <f>T101/T12</f>
        <v>0.27096741862246293</v>
      </c>
      <c r="U107" s="5982"/>
      <c r="V107" s="3602">
        <f>V101/V12</f>
        <v>0.24895712669245648</v>
      </c>
      <c r="W107" s="5977"/>
      <c r="X107" s="5156">
        <f>X101/X12</f>
        <v>0.27811080912522568</v>
      </c>
      <c r="Y107" s="3600">
        <f>Y101/Y12</f>
        <v>0.27054211762265218</v>
      </c>
      <c r="Z107" s="5978"/>
      <c r="AA107" s="5979"/>
      <c r="AB107" s="5981"/>
      <c r="AC107" s="3599">
        <f>AC101/AC12</f>
        <v>0.28477053673675595</v>
      </c>
      <c r="AD107" s="5982"/>
      <c r="AE107" s="3602">
        <f>AE101/AE12</f>
        <v>0.24759436722054484</v>
      </c>
      <c r="AF107" s="5977"/>
      <c r="AG107" s="1222">
        <f>AG101/AG12</f>
        <v>0.27622294916537682</v>
      </c>
      <c r="AH107" s="1218">
        <f>AH101/AH12</f>
        <v>0.2225728935422189</v>
      </c>
      <c r="AI107" s="7733"/>
      <c r="AJ107" s="7734"/>
      <c r="AK107" s="7870"/>
      <c r="AL107" s="1211">
        <f>AL101/AL12</f>
        <v>0.2138034336887065</v>
      </c>
      <c r="AM107" s="7733"/>
      <c r="AN107" s="8424">
        <f>AN101/AN12</f>
        <v>0.17604463260950268</v>
      </c>
      <c r="AO107" s="5977"/>
      <c r="AQ107" s="8425"/>
      <c r="AR107" s="1222">
        <f>AR101/AR12</f>
        <v>0.26945329893592934</v>
      </c>
      <c r="AS107" s="1218">
        <f>AS101/AS12</f>
        <v>0.24554405794045595</v>
      </c>
      <c r="AT107" s="7733"/>
      <c r="AU107" s="7734"/>
      <c r="AV107" s="7870"/>
      <c r="AW107" s="1211">
        <f>AW101/AW12</f>
        <v>0.25713074781225137</v>
      </c>
      <c r="AX107" s="8426"/>
      <c r="AY107" s="7736">
        <f>AY101/AY12</f>
        <v>0.23455929820607208</v>
      </c>
      <c r="AZ107" s="5977"/>
      <c r="BB107" s="8425"/>
      <c r="BC107" s="1222">
        <f>BC101/BC12</f>
        <v>0.25713074781225137</v>
      </c>
      <c r="BD107" s="1218">
        <f>BD101/BD12</f>
        <v>0.25732686483045825</v>
      </c>
      <c r="BE107" s="7733"/>
      <c r="BF107" s="7734"/>
      <c r="BG107" s="7870"/>
      <c r="BH107" s="1211">
        <f>BH101/BH12</f>
        <v>0.32984323422182615</v>
      </c>
      <c r="BI107" s="8426"/>
      <c r="BJ107" s="7736">
        <f>BJ101/BJ12</f>
        <v>0.32267023048909516</v>
      </c>
    </row>
    <row r="108" spans="1:62" s="892" customFormat="1" x14ac:dyDescent="0.35">
      <c r="A108" s="9168"/>
      <c r="B108" s="5642"/>
      <c r="C108" s="5643"/>
      <c r="D108" s="5644" t="s">
        <v>578</v>
      </c>
      <c r="E108" s="5983"/>
      <c r="F108" s="753"/>
      <c r="G108" s="1505"/>
      <c r="H108" s="746">
        <f>H101-SUM(H80:H83)</f>
        <v>793013236.40338457</v>
      </c>
      <c r="I108" s="5645">
        <f>I101-SUM(I80:I83)</f>
        <v>717409943.88338459</v>
      </c>
      <c r="J108" s="890"/>
      <c r="K108" s="1505"/>
      <c r="L108" s="4940">
        <f>L101-SUM(L80:L83)</f>
        <v>754684263</v>
      </c>
      <c r="M108" s="5645">
        <f>M101-SUM(M80:M83)</f>
        <v>721422636.25999999</v>
      </c>
      <c r="N108" s="2974"/>
      <c r="O108" s="746">
        <f>O101-SUM(O80:O83)</f>
        <v>749087602</v>
      </c>
      <c r="P108" s="5645">
        <f>P101-SUM(P80:P83)</f>
        <v>717143954.85040009</v>
      </c>
      <c r="Q108" s="5984"/>
      <c r="R108" s="5985"/>
      <c r="S108" s="5986"/>
      <c r="T108" s="746">
        <f>T101-SUM(T80:T83)</f>
        <v>855273689</v>
      </c>
      <c r="U108" s="5987"/>
      <c r="V108" s="749">
        <f>V101-SUM(V80:V83)</f>
        <v>869370880</v>
      </c>
      <c r="W108" s="2974"/>
      <c r="X108" s="746">
        <f>X101-SUM(X80:X83)</f>
        <v>881388496</v>
      </c>
      <c r="Y108" s="5645">
        <f>Y101-SUM(Y80:Y83)</f>
        <v>878266226.24052298</v>
      </c>
      <c r="Z108" s="5984"/>
      <c r="AA108" s="5985"/>
      <c r="AB108" s="5986"/>
      <c r="AC108" s="746">
        <f>AC101-SUM(AC80:AC83)</f>
        <v>1016469413</v>
      </c>
      <c r="AD108" s="5987"/>
      <c r="AE108" s="749">
        <f>AE101-SUM(AE80:AE83)</f>
        <v>1007625057.3301917</v>
      </c>
      <c r="AF108" s="2974"/>
      <c r="AG108" s="1227">
        <f>AG101-SUM(AG80:AG83)</f>
        <v>1017467477</v>
      </c>
      <c r="AH108" s="1205">
        <f>AH101-SUM(AH80:AH83)</f>
        <v>1008583864.9100002</v>
      </c>
      <c r="AI108" s="8435"/>
      <c r="AJ108" s="8436"/>
      <c r="AK108" s="8437"/>
      <c r="AL108" s="1204">
        <f>AL101-SUM(AL80:AL83)</f>
        <v>1251910517</v>
      </c>
      <c r="AM108" s="8435"/>
      <c r="AN108" s="8438">
        <f>AN101-SUM(AN80:AN83)</f>
        <v>1243371462.1341436</v>
      </c>
      <c r="AO108" s="5977"/>
      <c r="AQ108" s="8439"/>
      <c r="AR108" s="1227"/>
      <c r="AS108" s="1205"/>
      <c r="AT108" s="8435"/>
      <c r="AU108" s="8436"/>
      <c r="AV108" s="8437"/>
      <c r="AW108" s="1204"/>
      <c r="AX108" s="8440"/>
      <c r="AY108" s="8441"/>
      <c r="AZ108" s="5977"/>
      <c r="BB108" s="8439"/>
      <c r="BC108" s="1227"/>
      <c r="BD108" s="1205"/>
      <c r="BE108" s="8435"/>
      <c r="BF108" s="8436"/>
      <c r="BG108" s="8437"/>
      <c r="BH108" s="1204"/>
      <c r="BI108" s="8440"/>
      <c r="BJ108" s="8441"/>
    </row>
    <row r="109" spans="1:62" s="5638" customFormat="1" x14ac:dyDescent="0.35">
      <c r="A109" s="9168"/>
      <c r="B109" s="5633"/>
      <c r="C109" s="5634"/>
      <c r="D109" s="5640" t="s">
        <v>579</v>
      </c>
      <c r="E109" s="5976"/>
      <c r="F109" s="3597"/>
      <c r="G109" s="3598"/>
      <c r="H109" s="3599">
        <f>H108/H12</f>
        <v>0.26033412621021074</v>
      </c>
      <c r="I109" s="3600">
        <f>I108/I12</f>
        <v>0.2710275571905495</v>
      </c>
      <c r="J109" s="3601"/>
      <c r="K109" s="3598"/>
      <c r="L109" s="5636">
        <f>L108/L12</f>
        <v>0.25469379393407904</v>
      </c>
      <c r="M109" s="3600">
        <f>M108/M12</f>
        <v>0.24097544100395488</v>
      </c>
      <c r="N109" s="5977"/>
      <c r="O109" s="5156">
        <f>O108/O12</f>
        <v>0.24074032716287441</v>
      </c>
      <c r="P109" s="3600">
        <f>P108/P12</f>
        <v>0.2318753087333161</v>
      </c>
      <c r="Q109" s="5978"/>
      <c r="R109" s="5979"/>
      <c r="S109" s="5988"/>
      <c r="T109" s="3599">
        <f>T108/T12</f>
        <v>0.23394980277914545</v>
      </c>
      <c r="U109" s="5982"/>
      <c r="V109" s="3602">
        <f>V108/V12</f>
        <v>0.24160465995242225</v>
      </c>
      <c r="W109" s="5977"/>
      <c r="X109" s="5156">
        <f>X108/X12</f>
        <v>0.2410931932819082</v>
      </c>
      <c r="Y109" s="3600">
        <f>Y108/Y12</f>
        <v>0.2349310470363051</v>
      </c>
      <c r="Z109" s="5978"/>
      <c r="AA109" s="5979"/>
      <c r="AB109" s="5988"/>
      <c r="AC109" s="3599">
        <f>AC108/AC12</f>
        <v>0.24454347615839866</v>
      </c>
      <c r="AD109" s="5982"/>
      <c r="AE109" s="3602">
        <f>AE108/AE12</f>
        <v>0.23233012776690826</v>
      </c>
      <c r="AF109" s="5977"/>
      <c r="AG109" s="1222">
        <f>AG108/AG12</f>
        <v>0.23723620525660319</v>
      </c>
      <c r="AH109" s="1218">
        <f>AH108/AH12</f>
        <v>0.20886347364627106</v>
      </c>
      <c r="AI109" s="7733"/>
      <c r="AJ109" s="7734"/>
      <c r="AK109" s="7870"/>
      <c r="AL109" s="1211">
        <f>AL108/AL12</f>
        <v>0.19014211066729692</v>
      </c>
      <c r="AM109" s="7733"/>
      <c r="AN109" s="8424">
        <f>AN108/AN12</f>
        <v>0.1677242913839519</v>
      </c>
      <c r="AO109" s="2974"/>
      <c r="AQ109" s="8425"/>
      <c r="AR109" s="1222"/>
      <c r="AS109" s="1218"/>
      <c r="AT109" s="7733"/>
      <c r="AU109" s="7734"/>
      <c r="AV109" s="7870"/>
      <c r="AW109" s="1211"/>
      <c r="AX109" s="8426"/>
      <c r="AY109" s="7736"/>
      <c r="AZ109" s="2974"/>
      <c r="BB109" s="8425"/>
      <c r="BC109" s="1222"/>
      <c r="BD109" s="1218"/>
      <c r="BE109" s="7733"/>
      <c r="BF109" s="7734"/>
      <c r="BG109" s="7870"/>
      <c r="BH109" s="1211"/>
      <c r="BI109" s="8426"/>
      <c r="BJ109" s="7736"/>
    </row>
    <row r="110" spans="1:62" s="5638" customFormat="1" x14ac:dyDescent="0.35">
      <c r="A110" s="9168"/>
      <c r="B110" s="5633"/>
      <c r="C110" s="5634"/>
      <c r="D110" s="5635"/>
      <c r="E110" s="5976"/>
      <c r="F110" s="3597"/>
      <c r="G110" s="3598"/>
      <c r="H110" s="3599"/>
      <c r="I110" s="3600"/>
      <c r="J110" s="3601"/>
      <c r="K110" s="3598"/>
      <c r="L110" s="5636"/>
      <c r="M110" s="3600"/>
      <c r="N110" s="5977"/>
      <c r="O110" s="5641"/>
      <c r="P110" s="3600"/>
      <c r="Q110" s="5978"/>
      <c r="R110" s="5979"/>
      <c r="S110" s="5980"/>
      <c r="T110" s="3599"/>
      <c r="U110" s="5982"/>
      <c r="V110" s="3602"/>
      <c r="W110" s="5977"/>
      <c r="X110" s="5641"/>
      <c r="Y110" s="3600"/>
      <c r="Z110" s="5978"/>
      <c r="AA110" s="5979"/>
      <c r="AB110" s="5980"/>
      <c r="AC110" s="3599"/>
      <c r="AD110" s="5982"/>
      <c r="AE110" s="3602"/>
      <c r="AF110" s="5977"/>
      <c r="AG110" s="1222"/>
      <c r="AH110" s="1218"/>
      <c r="AI110" s="7733"/>
      <c r="AJ110" s="7734"/>
      <c r="AK110" s="7870"/>
      <c r="AL110" s="1211"/>
      <c r="AM110" s="7733"/>
      <c r="AN110" s="8424"/>
      <c r="AO110" s="5977"/>
      <c r="AQ110" s="8425"/>
      <c r="AR110" s="1222"/>
      <c r="AS110" s="1218"/>
      <c r="AT110" s="7733"/>
      <c r="AU110" s="7734"/>
      <c r="AV110" s="7870"/>
      <c r="AW110" s="1211"/>
      <c r="AX110" s="8426"/>
      <c r="AY110" s="7736"/>
      <c r="AZ110" s="5977"/>
      <c r="BB110" s="8425"/>
      <c r="BC110" s="1222"/>
      <c r="BD110" s="1218"/>
      <c r="BE110" s="7733"/>
      <c r="BF110" s="7734"/>
      <c r="BG110" s="7870"/>
      <c r="BH110" s="1211"/>
      <c r="BI110" s="8426"/>
      <c r="BJ110" s="7736"/>
    </row>
    <row r="111" spans="1:62" s="5638" customFormat="1" x14ac:dyDescent="0.35">
      <c r="A111" s="9168"/>
      <c r="B111" s="5633"/>
      <c r="C111" s="5634"/>
      <c r="D111" s="5635" t="s">
        <v>580</v>
      </c>
      <c r="E111" s="5989"/>
      <c r="F111" s="5648"/>
      <c r="G111" s="5990"/>
      <c r="H111" s="5649"/>
      <c r="I111" s="5650"/>
      <c r="J111" s="1514"/>
      <c r="K111" s="5990"/>
      <c r="L111" s="3209"/>
      <c r="M111" s="5650"/>
      <c r="N111" s="5977"/>
      <c r="O111" s="3207"/>
      <c r="P111" s="5650"/>
      <c r="Q111" s="5978"/>
      <c r="R111" s="5979"/>
      <c r="S111" s="5980"/>
      <c r="T111" s="5649"/>
      <c r="U111" s="5982"/>
      <c r="V111" s="5651"/>
      <c r="W111" s="5977"/>
      <c r="X111" s="3207"/>
      <c r="Y111" s="5650"/>
      <c r="Z111" s="5978"/>
      <c r="AA111" s="5979"/>
      <c r="AB111" s="5980"/>
      <c r="AC111" s="5649"/>
      <c r="AD111" s="5982"/>
      <c r="AE111" s="5651"/>
      <c r="AF111" s="5977"/>
      <c r="AG111" s="1222">
        <f>SUM(AG86:AG94)/AG101</f>
        <v>0</v>
      </c>
      <c r="AH111" s="1218">
        <f>SUM(AH86:AH94)/AH101</f>
        <v>0</v>
      </c>
      <c r="AI111" s="7733"/>
      <c r="AJ111" s="7734"/>
      <c r="AK111" s="7870"/>
      <c r="AL111" s="1211">
        <f>SUM(AL86:AL94)/AL101</f>
        <v>0.39053882159288472</v>
      </c>
      <c r="AM111" s="7733"/>
      <c r="AN111" s="8424" t="e">
        <f>SUM(AN86:AN94)/AN101</f>
        <v>#DIV/0!</v>
      </c>
      <c r="AO111" s="5977"/>
      <c r="AQ111" s="8425"/>
      <c r="AR111" s="1222">
        <f>SUM(AR86:AR94)/AR101</f>
        <v>0.39053882159288472</v>
      </c>
      <c r="AS111" s="1218">
        <f>SUM(AS86:AS94)/AS101</f>
        <v>0</v>
      </c>
      <c r="AT111" s="7733"/>
      <c r="AU111" s="7734"/>
      <c r="AV111" s="7870"/>
      <c r="AW111" s="1211">
        <f>SUM(AW86:AW94)/AW101</f>
        <v>0.36855179050696857</v>
      </c>
      <c r="AX111" s="8426"/>
      <c r="AY111" s="7736">
        <f>SUM(AY86:AY94)/AY101</f>
        <v>0</v>
      </c>
      <c r="AZ111" s="5977"/>
      <c r="BB111" s="8425"/>
      <c r="BC111" s="1222">
        <f>SUM(BC86:BC94)/BC101</f>
        <v>0.36189844419459027</v>
      </c>
      <c r="BD111" s="1218">
        <f>SUM(BD86:BD94)/BD101</f>
        <v>0</v>
      </c>
      <c r="BE111" s="7733"/>
      <c r="BF111" s="7734"/>
      <c r="BG111" s="7870"/>
      <c r="BH111" s="1211">
        <f>SUM(BH86:BH94)/BH101</f>
        <v>0.34379327205806842</v>
      </c>
      <c r="BI111" s="8426"/>
      <c r="BJ111" s="7736">
        <f>SUM(BJ86:BJ94)/BJ101</f>
        <v>0</v>
      </c>
    </row>
    <row r="112" spans="1:62" s="5638" customFormat="1" ht="12" x14ac:dyDescent="0.3">
      <c r="A112" s="9169"/>
      <c r="B112" s="5652"/>
      <c r="C112" s="5653"/>
      <c r="D112" s="5654" t="s">
        <v>581</v>
      </c>
      <c r="E112" s="5991"/>
      <c r="F112" s="5655"/>
      <c r="G112" s="5992"/>
      <c r="H112" s="5656"/>
      <c r="I112" s="5657"/>
      <c r="J112" s="5993"/>
      <c r="K112" s="5992"/>
      <c r="L112" s="3215"/>
      <c r="M112" s="5657"/>
      <c r="N112" s="5977"/>
      <c r="O112" s="436"/>
      <c r="P112" s="5657"/>
      <c r="Q112" s="5658"/>
      <c r="R112" s="5994"/>
      <c r="S112" s="5995"/>
      <c r="T112" s="5656"/>
      <c r="U112" s="5996"/>
      <c r="V112" s="5659"/>
      <c r="W112" s="5977"/>
      <c r="X112" s="436"/>
      <c r="Y112" s="5657"/>
      <c r="Z112" s="5658"/>
      <c r="AA112" s="5994"/>
      <c r="AB112" s="5995"/>
      <c r="AC112" s="5656"/>
      <c r="AD112" s="5996"/>
      <c r="AE112" s="5659"/>
      <c r="AF112" s="5977"/>
      <c r="AG112" s="441">
        <f>AG87/AG103</f>
        <v>0</v>
      </c>
      <c r="AH112" s="442">
        <f>AH87/AH103</f>
        <v>0</v>
      </c>
      <c r="AI112" s="4741"/>
      <c r="AJ112" s="5660"/>
      <c r="AK112" s="4740"/>
      <c r="AL112" s="446">
        <f>AL88/AL103</f>
        <v>0.16225213354358453</v>
      </c>
      <c r="AM112" s="4741"/>
      <c r="AN112" s="447" t="e">
        <f>AN87/AN103</f>
        <v>#DIV/0!</v>
      </c>
      <c r="AO112" s="5977"/>
      <c r="AQ112" s="8442"/>
      <c r="AR112" s="441">
        <f>AR87/AR103</f>
        <v>8.7822979452132799E-2</v>
      </c>
      <c r="AS112" s="442">
        <f>AS87/AS103</f>
        <v>0</v>
      </c>
      <c r="AT112" s="4741"/>
      <c r="AU112" s="5660"/>
      <c r="AV112" s="4740"/>
      <c r="AW112" s="446">
        <f>AW87/AW103</f>
        <v>7.0294665297826561E-2</v>
      </c>
      <c r="AX112" s="4741"/>
      <c r="AY112" s="3948">
        <f>AY87/AY103</f>
        <v>0</v>
      </c>
      <c r="AZ112" s="5977"/>
      <c r="BB112" s="8442"/>
      <c r="BC112" s="441">
        <f>BC87/BC103</f>
        <v>8.0940208110967138E-2</v>
      </c>
      <c r="BD112" s="442">
        <f>BD87/BD103</f>
        <v>0</v>
      </c>
      <c r="BE112" s="4741"/>
      <c r="BF112" s="5660"/>
      <c r="BG112" s="4740"/>
      <c r="BH112" s="446">
        <f>BH87/BH103</f>
        <v>6.3243960457307513E-2</v>
      </c>
      <c r="BI112" s="4741"/>
      <c r="BJ112" s="3948">
        <f>BJ87/BJ103</f>
        <v>0</v>
      </c>
    </row>
    <row r="113" spans="1:62" s="462" customFormat="1" ht="12" x14ac:dyDescent="0.3">
      <c r="C113" s="456"/>
      <c r="D113" s="5"/>
      <c r="E113" s="456"/>
      <c r="F113" s="456"/>
      <c r="G113" s="456"/>
      <c r="H113" s="459"/>
      <c r="I113" s="459"/>
      <c r="J113" s="7"/>
      <c r="K113" s="456"/>
      <c r="N113" s="456"/>
      <c r="W113" s="456"/>
      <c r="AF113" s="456"/>
      <c r="AG113" s="459"/>
      <c r="AH113" s="459"/>
      <c r="AI113" s="459"/>
      <c r="AJ113" s="7"/>
      <c r="AK113" s="456"/>
      <c r="AO113" s="5977"/>
      <c r="AQ113" s="456"/>
      <c r="AR113" s="459"/>
      <c r="AS113" s="459"/>
      <c r="AT113" s="459"/>
      <c r="AU113" s="7"/>
      <c r="AV113" s="456"/>
      <c r="AZ113" s="5977"/>
      <c r="BB113" s="456"/>
      <c r="BC113" s="459"/>
      <c r="BD113" s="459"/>
      <c r="BE113" s="459"/>
      <c r="BF113" s="7"/>
      <c r="BG113" s="456"/>
    </row>
    <row r="114" spans="1:62" s="462" customFormat="1" ht="12" x14ac:dyDescent="0.3">
      <c r="A114" s="576" t="s">
        <v>582</v>
      </c>
      <c r="B114" s="576"/>
      <c r="C114" s="456"/>
      <c r="D114" s="5"/>
      <c r="E114" s="456"/>
      <c r="F114" s="456"/>
      <c r="G114" s="456"/>
      <c r="H114" s="459"/>
      <c r="I114" s="459"/>
      <c r="J114" s="7"/>
      <c r="K114" s="456"/>
      <c r="N114" s="456"/>
      <c r="W114" s="456"/>
      <c r="AF114" s="456"/>
      <c r="AG114" s="459"/>
      <c r="AH114" s="459"/>
      <c r="AI114" s="459"/>
      <c r="AJ114" s="7"/>
      <c r="AK114" s="456"/>
      <c r="AO114" s="456"/>
      <c r="AQ114" s="456"/>
      <c r="AR114" s="459"/>
      <c r="AS114" s="459"/>
      <c r="AT114" s="459"/>
      <c r="AU114" s="7"/>
      <c r="AV114" s="456"/>
      <c r="AZ114" s="456"/>
      <c r="BB114" s="456"/>
      <c r="BC114" s="459"/>
      <c r="BD114" s="459"/>
      <c r="BE114" s="459"/>
      <c r="BF114" s="7"/>
      <c r="BG114" s="456"/>
    </row>
    <row r="115" spans="1:62" s="462" customFormat="1" ht="12" customHeight="1" x14ac:dyDescent="0.35">
      <c r="A115" s="463">
        <v>1</v>
      </c>
      <c r="B115" s="464" t="str">
        <f>AP13</f>
        <v>Appui budgétaire courant et dons investissement</v>
      </c>
      <c r="D115" s="465"/>
      <c r="E115" s="466"/>
      <c r="F115" s="466"/>
      <c r="G115" s="466"/>
      <c r="H115" s="466"/>
      <c r="I115" s="466"/>
      <c r="J115" s="467"/>
      <c r="K115" s="466"/>
      <c r="L115" s="466"/>
      <c r="M115" s="466"/>
      <c r="N115" s="456"/>
      <c r="O115" s="1"/>
      <c r="P115" s="1"/>
      <c r="Q115" s="1"/>
      <c r="R115" s="1"/>
      <c r="S115" s="1"/>
      <c r="T115" s="1"/>
      <c r="U115" s="1"/>
      <c r="V115" s="1"/>
      <c r="W115" s="456"/>
      <c r="X115" s="1"/>
      <c r="Y115" s="1"/>
      <c r="Z115" s="1"/>
      <c r="AA115" s="1"/>
      <c r="AB115" s="1"/>
      <c r="AC115" s="1"/>
      <c r="AD115" s="1"/>
      <c r="AE115" s="1"/>
      <c r="AF115" s="456"/>
      <c r="AG115" s="466"/>
      <c r="AH115" s="466"/>
      <c r="AI115" s="466"/>
      <c r="AJ115" s="467"/>
      <c r="AK115" s="466"/>
      <c r="AL115" s="466"/>
      <c r="AM115" s="466"/>
      <c r="AN115" s="466"/>
      <c r="AO115" s="456"/>
      <c r="AP115" s="577"/>
      <c r="AR115" s="466"/>
      <c r="AS115" s="466"/>
      <c r="AT115" s="466"/>
      <c r="AU115" s="467"/>
      <c r="AV115" s="466"/>
      <c r="AW115" s="466"/>
      <c r="AX115" s="466"/>
      <c r="AY115" s="466"/>
      <c r="AZ115" s="456"/>
      <c r="BA115" s="577"/>
      <c r="BC115" s="466"/>
      <c r="BD115" s="466"/>
      <c r="BE115" s="466"/>
      <c r="BF115" s="467"/>
      <c r="BG115" s="466"/>
      <c r="BH115" s="466"/>
      <c r="BI115" s="466"/>
      <c r="BJ115" s="466"/>
    </row>
    <row r="116" spans="1:62" s="462" customFormat="1" x14ac:dyDescent="0.35">
      <c r="A116" s="468">
        <v>2</v>
      </c>
      <c r="B116" s="469" t="str">
        <f>AP50</f>
        <v>Direction de l'emploi</v>
      </c>
      <c r="D116" s="5"/>
      <c r="E116" s="456"/>
      <c r="F116" s="456"/>
      <c r="G116" s="456"/>
      <c r="H116" s="459"/>
      <c r="I116" s="459"/>
      <c r="J116" s="7"/>
      <c r="K116" s="456"/>
      <c r="N116" s="456"/>
      <c r="O116" s="1"/>
      <c r="P116" s="1"/>
      <c r="Q116" s="1"/>
      <c r="R116" s="1"/>
      <c r="S116" s="1"/>
      <c r="T116" s="1"/>
      <c r="U116" s="1"/>
      <c r="V116" s="1"/>
      <c r="W116" s="456"/>
      <c r="X116" s="1"/>
      <c r="Y116" s="1"/>
      <c r="Z116" s="1"/>
      <c r="AA116" s="1"/>
      <c r="AB116" s="1"/>
      <c r="AC116" s="1"/>
      <c r="AD116" s="1"/>
      <c r="AE116" s="1"/>
      <c r="AF116" s="456"/>
      <c r="AG116" s="459"/>
      <c r="AH116" s="459"/>
      <c r="AI116" s="459"/>
      <c r="AJ116" s="7"/>
      <c r="AK116" s="456"/>
      <c r="AO116" s="456"/>
      <c r="AP116" s="577"/>
      <c r="AR116" s="459"/>
      <c r="AS116" s="459"/>
      <c r="AT116" s="459"/>
      <c r="AU116" s="7"/>
      <c r="AV116" s="456"/>
      <c r="AZ116" s="456"/>
      <c r="BA116" s="577"/>
      <c r="BC116" s="459"/>
      <c r="BD116" s="459"/>
      <c r="BE116" s="459"/>
      <c r="BF116" s="7"/>
      <c r="BG116" s="456"/>
    </row>
    <row r="117" spans="1:62" s="462" customFormat="1" x14ac:dyDescent="0.35">
      <c r="A117" s="463">
        <v>3</v>
      </c>
      <c r="B117" s="469" t="str">
        <f>AP54</f>
        <v>Ecoles de police</v>
      </c>
      <c r="D117" s="5"/>
      <c r="E117" s="456"/>
      <c r="F117" s="456"/>
      <c r="G117" s="456"/>
      <c r="H117" s="459"/>
      <c r="I117" s="459"/>
      <c r="J117" s="7"/>
      <c r="K117" s="456"/>
      <c r="N117" s="456"/>
      <c r="O117" s="1"/>
      <c r="P117" s="1"/>
      <c r="Q117" s="1"/>
      <c r="R117" s="1"/>
      <c r="S117" s="1"/>
      <c r="T117" s="1"/>
      <c r="U117" s="1"/>
      <c r="V117" s="1"/>
      <c r="W117" s="456"/>
      <c r="X117" s="1"/>
      <c r="Y117" s="1"/>
      <c r="Z117" s="1"/>
      <c r="AA117" s="1"/>
      <c r="AB117" s="1"/>
      <c r="AC117" s="1"/>
      <c r="AD117" s="1"/>
      <c r="AE117" s="1"/>
      <c r="AF117" s="456"/>
      <c r="AG117" s="459"/>
      <c r="AH117" s="459"/>
      <c r="AI117" s="459"/>
      <c r="AJ117" s="7"/>
      <c r="AK117" s="456"/>
      <c r="AO117" s="456"/>
      <c r="AP117" s="577"/>
      <c r="AR117" s="459"/>
      <c r="AS117" s="459"/>
      <c r="AT117" s="459"/>
      <c r="AU117" s="7"/>
      <c r="AV117" s="456"/>
      <c r="AZ117" s="456"/>
      <c r="BA117" s="577"/>
      <c r="BC117" s="459"/>
      <c r="BD117" s="459"/>
      <c r="BE117" s="459"/>
      <c r="BF117" s="7"/>
      <c r="BG117" s="456"/>
    </row>
    <row r="118" spans="1:62" s="462" customFormat="1" x14ac:dyDescent="0.35">
      <c r="A118" s="468">
        <v>4</v>
      </c>
      <c r="B118" s="469" t="str">
        <f>AP57</f>
        <v>Ecoles de la gendarmerie</v>
      </c>
      <c r="D118" s="5"/>
      <c r="E118" s="456"/>
      <c r="F118" s="456"/>
      <c r="G118" s="456"/>
      <c r="H118" s="459"/>
      <c r="I118" s="459"/>
      <c r="J118" s="7"/>
      <c r="K118" s="456"/>
      <c r="N118" s="456"/>
      <c r="O118" s="1"/>
      <c r="P118" s="1"/>
      <c r="Q118" s="1"/>
      <c r="R118" s="1"/>
      <c r="S118" s="1"/>
      <c r="T118" s="1"/>
      <c r="U118" s="1"/>
      <c r="V118" s="1"/>
      <c r="W118" s="456"/>
      <c r="X118" s="1"/>
      <c r="Y118" s="1"/>
      <c r="Z118" s="1"/>
      <c r="AA118" s="1"/>
      <c r="AB118" s="1"/>
      <c r="AC118" s="1"/>
      <c r="AD118" s="1"/>
      <c r="AE118" s="1"/>
      <c r="AF118" s="456"/>
      <c r="AG118" s="459"/>
      <c r="AH118" s="459"/>
      <c r="AI118" s="459"/>
      <c r="AJ118" s="7"/>
      <c r="AK118" s="456"/>
      <c r="AO118" s="456"/>
      <c r="AP118" s="577"/>
      <c r="AR118" s="459"/>
      <c r="AS118" s="459"/>
      <c r="AT118" s="459"/>
      <c r="AU118" s="7"/>
      <c r="AV118" s="456"/>
      <c r="AZ118" s="456"/>
      <c r="BA118" s="577"/>
      <c r="BC118" s="459"/>
      <c r="BD118" s="459"/>
      <c r="BE118" s="459"/>
      <c r="BF118" s="7"/>
      <c r="BG118" s="456"/>
    </row>
    <row r="119" spans="1:62" s="462" customFormat="1" x14ac:dyDescent="0.35">
      <c r="A119" s="463">
        <v>5</v>
      </c>
      <c r="B119" s="469" t="str">
        <f>AP60</f>
        <v>Académie militaire</v>
      </c>
      <c r="D119" s="5"/>
      <c r="E119" s="456"/>
      <c r="F119" s="456"/>
      <c r="G119" s="456"/>
      <c r="H119" s="459"/>
      <c r="I119" s="459"/>
      <c r="J119" s="7"/>
      <c r="K119" s="456"/>
      <c r="N119" s="456"/>
      <c r="O119" s="1"/>
      <c r="P119" s="1"/>
      <c r="Q119" s="1"/>
      <c r="R119" s="1"/>
      <c r="S119" s="1"/>
      <c r="T119" s="1"/>
      <c r="U119" s="1"/>
      <c r="V119" s="1"/>
      <c r="W119" s="456"/>
      <c r="X119" s="1"/>
      <c r="Y119" s="1"/>
      <c r="Z119" s="1"/>
      <c r="AA119" s="1"/>
      <c r="AB119" s="1"/>
      <c r="AC119" s="1"/>
      <c r="AD119" s="1"/>
      <c r="AE119" s="1"/>
      <c r="AF119" s="456"/>
      <c r="AO119" s="456"/>
      <c r="AP119" s="577"/>
      <c r="AZ119" s="456"/>
      <c r="BA119" s="577"/>
    </row>
    <row r="120" spans="1:62" s="462" customFormat="1" ht="12" x14ac:dyDescent="0.3">
      <c r="A120" s="468"/>
      <c r="B120" s="469"/>
      <c r="D120" s="5"/>
      <c r="E120" s="456"/>
      <c r="F120" s="456"/>
      <c r="G120" s="456"/>
      <c r="H120" s="459"/>
      <c r="I120" s="459"/>
      <c r="J120" s="7"/>
      <c r="K120" s="456"/>
      <c r="N120" s="456"/>
      <c r="W120" s="456"/>
      <c r="AF120" s="456"/>
      <c r="AO120" s="456"/>
      <c r="AP120" s="577"/>
      <c r="AZ120" s="456"/>
      <c r="BA120" s="577"/>
    </row>
    <row r="121" spans="1:62" s="462" customFormat="1" ht="12" x14ac:dyDescent="0.3">
      <c r="A121" s="468"/>
      <c r="B121" s="469"/>
      <c r="D121" s="5"/>
      <c r="E121" s="456"/>
      <c r="F121" s="456"/>
      <c r="G121" s="456"/>
      <c r="H121" s="459"/>
      <c r="I121" s="459"/>
      <c r="J121" s="7"/>
      <c r="K121" s="456"/>
      <c r="N121" s="456"/>
      <c r="W121" s="456"/>
      <c r="AF121" s="456"/>
      <c r="AO121" s="456"/>
      <c r="AP121" s="577"/>
      <c r="AZ121" s="456"/>
      <c r="BA121" s="577"/>
    </row>
    <row r="122" spans="1:62" s="462" customFormat="1" ht="12" x14ac:dyDescent="0.3">
      <c r="A122" s="468"/>
      <c r="B122" s="469"/>
      <c r="D122" s="5"/>
      <c r="E122" s="456"/>
      <c r="F122" s="456"/>
      <c r="G122" s="456"/>
      <c r="H122" s="459"/>
      <c r="I122" s="459"/>
      <c r="J122" s="7"/>
      <c r="K122" s="456"/>
      <c r="N122" s="456"/>
      <c r="W122" s="456"/>
      <c r="AF122" s="456"/>
      <c r="AO122" s="456"/>
      <c r="AP122" s="577"/>
      <c r="AZ122" s="456"/>
      <c r="BA122" s="577"/>
    </row>
    <row r="123" spans="1:62" s="462" customFormat="1" ht="12" x14ac:dyDescent="0.3">
      <c r="A123" s="468"/>
      <c r="B123" s="469"/>
      <c r="D123" s="5"/>
      <c r="E123" s="456"/>
      <c r="F123" s="456"/>
      <c r="G123" s="456"/>
      <c r="H123" s="459"/>
      <c r="I123" s="459"/>
      <c r="J123" s="7"/>
      <c r="K123" s="456"/>
      <c r="N123" s="456"/>
      <c r="W123" s="456"/>
      <c r="AF123" s="456"/>
      <c r="AO123" s="456"/>
      <c r="AP123" s="577"/>
      <c r="AZ123" s="456"/>
      <c r="BA123" s="577"/>
    </row>
    <row r="124" spans="1:62" s="462" customFormat="1" ht="12" x14ac:dyDescent="0.3">
      <c r="A124" s="468"/>
      <c r="B124" s="469"/>
      <c r="D124" s="5"/>
      <c r="E124" s="456"/>
      <c r="F124" s="456"/>
      <c r="G124" s="456"/>
      <c r="H124" s="459"/>
      <c r="I124" s="459"/>
      <c r="J124" s="7"/>
      <c r="K124" s="456"/>
      <c r="N124" s="456"/>
      <c r="W124" s="456"/>
      <c r="AF124" s="456"/>
      <c r="AO124" s="456"/>
      <c r="AP124" s="577"/>
      <c r="AZ124" s="456"/>
      <c r="BA124" s="577"/>
    </row>
    <row r="125" spans="1:62" s="462" customFormat="1" ht="12" x14ac:dyDescent="0.3">
      <c r="A125" s="468"/>
      <c r="B125" s="469"/>
      <c r="D125" s="5"/>
      <c r="E125" s="456"/>
      <c r="F125" s="456"/>
      <c r="G125" s="456"/>
      <c r="H125" s="459"/>
      <c r="I125" s="459"/>
      <c r="J125" s="7"/>
      <c r="K125" s="456"/>
      <c r="N125" s="456"/>
      <c r="W125" s="456"/>
      <c r="AF125" s="456"/>
      <c r="AO125" s="456"/>
      <c r="AP125" s="577"/>
      <c r="AZ125" s="456"/>
      <c r="BA125" s="577"/>
    </row>
    <row r="126" spans="1:62" s="462" customFormat="1" ht="12" x14ac:dyDescent="0.3">
      <c r="A126" s="468"/>
      <c r="B126" s="469"/>
      <c r="D126" s="5"/>
      <c r="E126" s="456"/>
      <c r="F126" s="456"/>
      <c r="G126" s="456"/>
      <c r="H126" s="459"/>
      <c r="I126" s="459"/>
      <c r="J126" s="7"/>
      <c r="K126" s="456"/>
      <c r="N126" s="456"/>
      <c r="W126" s="456"/>
      <c r="AF126" s="456"/>
      <c r="AG126" s="459"/>
      <c r="AH126" s="459"/>
      <c r="AI126" s="459"/>
      <c r="AJ126" s="7"/>
      <c r="AK126" s="456"/>
      <c r="AO126" s="456"/>
      <c r="AP126" s="577"/>
      <c r="AR126" s="459"/>
      <c r="AS126" s="459"/>
      <c r="AT126" s="459"/>
      <c r="AU126" s="7"/>
      <c r="AV126" s="456"/>
      <c r="AZ126" s="456"/>
      <c r="BA126" s="577"/>
      <c r="BC126" s="459"/>
      <c r="BD126" s="459"/>
      <c r="BE126" s="459"/>
      <c r="BF126" s="7"/>
      <c r="BG126" s="456"/>
    </row>
    <row r="127" spans="1:62" s="462" customFormat="1" ht="12" x14ac:dyDescent="0.3">
      <c r="A127" s="468"/>
      <c r="B127" s="469"/>
      <c r="D127" s="5"/>
      <c r="E127" s="456"/>
      <c r="F127" s="456"/>
      <c r="G127" s="456"/>
      <c r="H127" s="459"/>
      <c r="I127" s="459"/>
      <c r="J127" s="7"/>
      <c r="K127" s="456"/>
      <c r="N127" s="456"/>
      <c r="W127" s="456"/>
      <c r="AF127" s="456"/>
      <c r="AG127" s="459"/>
      <c r="AH127" s="459"/>
      <c r="AI127" s="459"/>
      <c r="AJ127" s="7"/>
      <c r="AK127" s="456"/>
      <c r="AO127" s="456"/>
      <c r="AP127" s="577"/>
      <c r="AR127" s="459"/>
      <c r="AS127" s="459"/>
      <c r="AT127" s="459"/>
      <c r="AU127" s="7"/>
      <c r="AV127" s="456"/>
      <c r="AZ127" s="456"/>
      <c r="BA127" s="577"/>
      <c r="BC127" s="459"/>
      <c r="BD127" s="459"/>
      <c r="BE127" s="459"/>
      <c r="BF127" s="7"/>
      <c r="BG127" s="456"/>
    </row>
    <row r="128" spans="1:62" s="462" customFormat="1" ht="12" x14ac:dyDescent="0.3">
      <c r="A128" s="468"/>
      <c r="B128" s="469"/>
      <c r="D128" s="5"/>
      <c r="E128" s="456"/>
      <c r="F128" s="456"/>
      <c r="G128" s="456"/>
      <c r="H128" s="459"/>
      <c r="I128" s="459"/>
      <c r="J128" s="7"/>
      <c r="K128" s="456"/>
      <c r="N128" s="456"/>
      <c r="W128" s="456"/>
      <c r="AF128" s="456"/>
      <c r="AG128" s="459"/>
      <c r="AH128" s="459"/>
      <c r="AI128" s="459"/>
      <c r="AJ128" s="7"/>
      <c r="AK128" s="456"/>
      <c r="AO128" s="456"/>
      <c r="AP128" s="577"/>
      <c r="AR128" s="459"/>
      <c r="AS128" s="459"/>
      <c r="AT128" s="459"/>
      <c r="AU128" s="7"/>
      <c r="AV128" s="456"/>
      <c r="AZ128" s="456"/>
      <c r="BA128" s="577"/>
      <c r="BC128" s="459"/>
      <c r="BD128" s="459"/>
      <c r="BE128" s="459"/>
      <c r="BF128" s="7"/>
      <c r="BG128" s="456"/>
    </row>
    <row r="129" spans="1:62" s="462" customFormat="1" x14ac:dyDescent="0.35">
      <c r="A129" s="455" t="s">
        <v>1002</v>
      </c>
      <c r="B129" s="455"/>
      <c r="C129" s="456"/>
      <c r="D129" s="5"/>
      <c r="E129" s="456"/>
      <c r="F129" s="456"/>
      <c r="G129" s="456"/>
      <c r="H129" s="459"/>
      <c r="I129" s="459"/>
      <c r="J129" s="7"/>
      <c r="K129" s="456"/>
      <c r="N129" s="456"/>
      <c r="W129" s="456"/>
      <c r="AF129" s="456"/>
      <c r="AG129" s="6"/>
      <c r="AH129" s="6"/>
      <c r="AI129" s="6"/>
      <c r="AJ129" s="7"/>
      <c r="AK129" s="1"/>
      <c r="AL129"/>
      <c r="AM129"/>
      <c r="AN129"/>
      <c r="AO129" s="456"/>
      <c r="AP129" s="577"/>
      <c r="AQ129" s="456"/>
      <c r="AR129" s="6"/>
      <c r="AS129" s="6"/>
      <c r="AT129" s="6"/>
      <c r="AU129" s="7"/>
      <c r="AV129" s="1"/>
      <c r="AW129"/>
      <c r="AX129"/>
      <c r="AY129"/>
      <c r="AZ129" s="456"/>
      <c r="BA129" s="577"/>
      <c r="BB129" s="456"/>
      <c r="BC129" s="6"/>
      <c r="BD129" s="6"/>
      <c r="BE129" s="6"/>
      <c r="BF129" s="7"/>
      <c r="BG129" s="1"/>
      <c r="BH129"/>
      <c r="BI129"/>
      <c r="BJ129"/>
    </row>
    <row r="130" spans="1:62" s="462" customFormat="1" ht="93" customHeight="1" x14ac:dyDescent="0.35">
      <c r="A130" s="9170" t="s">
        <v>3546</v>
      </c>
      <c r="B130" s="9171"/>
      <c r="C130" s="9171"/>
      <c r="D130" s="9171"/>
      <c r="E130" s="9171"/>
      <c r="F130" s="9171"/>
      <c r="G130" s="9171"/>
      <c r="H130" s="9171"/>
      <c r="I130" s="9171"/>
      <c r="J130" s="9171"/>
      <c r="K130" s="9171"/>
      <c r="L130" s="9171"/>
      <c r="M130" s="9172"/>
      <c r="N130" s="456"/>
      <c r="W130" s="456"/>
      <c r="AF130" s="456"/>
      <c r="AG130" s="6"/>
      <c r="AH130" s="6"/>
      <c r="AI130" s="6"/>
      <c r="AJ130" s="7"/>
      <c r="AK130" s="1"/>
      <c r="AL130"/>
      <c r="AM130"/>
      <c r="AN130"/>
      <c r="AO130" s="456"/>
      <c r="AP130" s="577"/>
      <c r="AR130" s="6"/>
      <c r="AS130" s="6"/>
      <c r="AT130" s="6"/>
      <c r="AU130" s="7"/>
      <c r="AV130" s="1"/>
      <c r="AW130"/>
      <c r="AX130"/>
      <c r="AY130"/>
      <c r="AZ130" s="456"/>
      <c r="BA130" s="577"/>
      <c r="BC130" s="6"/>
      <c r="BD130" s="6"/>
      <c r="BE130" s="6"/>
      <c r="BF130" s="7"/>
      <c r="BG130" s="1"/>
      <c r="BH130"/>
      <c r="BI130"/>
      <c r="BJ130"/>
    </row>
    <row r="131" spans="1:62" x14ac:dyDescent="0.35">
      <c r="AO131" s="456"/>
      <c r="AZ131" s="456"/>
    </row>
  </sheetData>
  <mergeCells count="65">
    <mergeCell ref="BC7:BD7"/>
    <mergeCell ref="BF7:BF8"/>
    <mergeCell ref="BH7:BJ7"/>
    <mergeCell ref="BC1:BJ1"/>
    <mergeCell ref="BA4:BA5"/>
    <mergeCell ref="BC4:BF4"/>
    <mergeCell ref="BH4:BJ4"/>
    <mergeCell ref="BC5:BF5"/>
    <mergeCell ref="BH5:BJ5"/>
    <mergeCell ref="AL7:AN7"/>
    <mergeCell ref="A10:A33"/>
    <mergeCell ref="O10:P10"/>
    <mergeCell ref="X10:Y10"/>
    <mergeCell ref="AG10:AH10"/>
    <mergeCell ref="X7:AA7"/>
    <mergeCell ref="AC7:AE7"/>
    <mergeCell ref="AG7:AH7"/>
    <mergeCell ref="AJ7:AJ8"/>
    <mergeCell ref="H7:I7"/>
    <mergeCell ref="J7:J8"/>
    <mergeCell ref="L7:M7"/>
    <mergeCell ref="O7:R7"/>
    <mergeCell ref="T7:V7"/>
    <mergeCell ref="A130:M130"/>
    <mergeCell ref="A35:A83"/>
    <mergeCell ref="H35:I35"/>
    <mergeCell ref="L35:M35"/>
    <mergeCell ref="O35:P35"/>
    <mergeCell ref="A96:A112"/>
    <mergeCell ref="X35:Y35"/>
    <mergeCell ref="AG35:AH35"/>
    <mergeCell ref="U39:U40"/>
    <mergeCell ref="AD39:AD40"/>
    <mergeCell ref="A85:A94"/>
    <mergeCell ref="AP4:AP5"/>
    <mergeCell ref="H5:J5"/>
    <mergeCell ref="L5:M5"/>
    <mergeCell ref="O5:R5"/>
    <mergeCell ref="T5:V5"/>
    <mergeCell ref="X5:AA5"/>
    <mergeCell ref="AC5:AE5"/>
    <mergeCell ref="AG5:AJ5"/>
    <mergeCell ref="AL5:AN5"/>
    <mergeCell ref="F1:M1"/>
    <mergeCell ref="O1:V1"/>
    <mergeCell ref="X1:AE1"/>
    <mergeCell ref="AG1:AN1"/>
    <mergeCell ref="H4:J4"/>
    <mergeCell ref="L4:M4"/>
    <mergeCell ref="O4:R4"/>
    <mergeCell ref="T4:V4"/>
    <mergeCell ref="X4:AA4"/>
    <mergeCell ref="AC4:AE4"/>
    <mergeCell ref="AG4:AJ4"/>
    <mergeCell ref="AL4:AN4"/>
    <mergeCell ref="AR1:AY1"/>
    <mergeCell ref="AR4:AU4"/>
    <mergeCell ref="AW4:AY4"/>
    <mergeCell ref="AR5:AU5"/>
    <mergeCell ref="AW5:AY5"/>
    <mergeCell ref="AR7:AS7"/>
    <mergeCell ref="AU7:AU8"/>
    <mergeCell ref="AW7:AY7"/>
    <mergeCell ref="AR10:AS10"/>
    <mergeCell ref="AR35:AS35"/>
  </mergeCells>
  <hyperlinks>
    <hyperlink ref="O37" r:id="rId1" xr:uid="{45D9B3F8-559F-4B46-B937-95B975C6F3CD}"/>
    <hyperlink ref="O41" r:id="rId2" xr:uid="{DE9E3168-E826-45C5-974D-F61B38105A93}"/>
    <hyperlink ref="O45" r:id="rId3" xr:uid="{EDBEF7C7-EEE8-4810-BAFE-A1C33E5DDF22}"/>
    <hyperlink ref="T37" r:id="rId4" xr:uid="{97C35A8C-BCD0-40CF-889F-3FC4C9F65B9C}"/>
    <hyperlink ref="U10" r:id="rId5" xr:uid="{15CD414D-51AB-4648-B179-37FA69CD420E}"/>
    <hyperlink ref="AD10" r:id="rId6" xr:uid="{CE3CE355-A2CE-4A09-8DD4-719C596021E4}"/>
    <hyperlink ref="Z10" r:id="rId7" xr:uid="{8DAB89BF-9E01-4960-8338-1816FAB2074B}"/>
    <hyperlink ref="AM11" r:id="rId8" xr:uid="{379145BB-6F09-497E-8318-8ADBE79AE2CE}"/>
    <hyperlink ref="AX11" r:id="rId9" xr:uid="{49B2FBD2-7333-4003-951E-21881FA1C0CD}"/>
    <hyperlink ref="AT10" r:id="rId10" xr:uid="{133CAF73-CE8E-47EC-902C-A29273B662B4}"/>
    <hyperlink ref="AR10" r:id="rId11" xr:uid="{6C05D9EC-8575-4EC1-9DEC-DC41D15352A9}"/>
    <hyperlink ref="AT35" r:id="rId12" xr:uid="{355F375B-2257-49CD-B43E-88265EAFA4D1}"/>
    <hyperlink ref="BI11" r:id="rId13" xr:uid="{3450BC0C-C498-4B88-96F9-02C2D9CED9D0}"/>
    <hyperlink ref="BE10" r:id="rId14" xr:uid="{16DB6AAB-399B-498E-8C02-A47C9811F450}"/>
    <hyperlink ref="BE35" r:id="rId15" xr:uid="{21FB8982-E086-4F91-91E1-3E2620F8DBF4}"/>
  </hyperlinks>
  <pageMargins left="0.23622047244094491" right="0.23622047244094491" top="0.35433070866141736" bottom="0.35433070866141736" header="0.31496062992125984" footer="0.31496062992125984"/>
  <pageSetup paperSize="9" scale="37" orientation="portrait" horizontalDpi="4294967293" r:id="rId16"/>
  <headerFooter>
    <oddFooter>&amp;R&amp;1#&amp;"Calibri"&amp;12&amp;K000000Official Use</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K123"/>
  <sheetViews>
    <sheetView topLeftCell="A20" zoomScale="78" zoomScaleNormal="81" workbookViewId="0">
      <pane xSplit="4" topLeftCell="Y1" activePane="topRight" state="frozen"/>
      <selection activeCell="A49" sqref="A49"/>
      <selection pane="topRight" activeCell="Y21" sqref="Y21"/>
    </sheetView>
  </sheetViews>
  <sheetFormatPr defaultColWidth="9"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11.6328125" style="1" customWidth="1"/>
    <col min="7" max="7" width="1.6328125" style="1" customWidth="1"/>
    <col min="8" max="9" width="10.453125" style="6" customWidth="1"/>
    <col min="10" max="10" width="10.453125" style="7" customWidth="1"/>
    <col min="11" max="11" width="1.6328125" style="1" customWidth="1"/>
    <col min="12" max="13" width="11.6328125" customWidth="1"/>
    <col min="14" max="14" width="2" style="1" customWidth="1"/>
    <col min="15" max="17" width="11.453125" style="1" customWidth="1"/>
    <col min="18" max="18" width="5.453125" style="456" customWidth="1"/>
    <col min="19" max="19" width="1.453125" style="1" customWidth="1"/>
    <col min="20" max="22" width="12.81640625" style="1" customWidth="1"/>
    <col min="23" max="23" width="2" style="1" customWidth="1"/>
    <col min="24" max="24" width="16.453125" style="1" bestFit="1" customWidth="1"/>
    <col min="25" max="25" width="15.36328125" style="1" customWidth="1"/>
    <col min="26" max="26" width="9.81640625" style="1" customWidth="1"/>
    <col min="27" max="27" width="5.453125" style="456" customWidth="1"/>
    <col min="28" max="28" width="1.453125" style="1" customWidth="1"/>
    <col min="29" max="29" width="21.453125" style="1" customWidth="1"/>
    <col min="30" max="30" width="11.1796875" style="1" customWidth="1"/>
    <col min="31" max="31" width="22.36328125" style="1" customWidth="1"/>
    <col min="32" max="32" width="2" style="1" customWidth="1"/>
    <col min="33" max="33" width="6.453125" customWidth="1"/>
    <col min="34" max="34" width="2" customWidth="1"/>
    <col min="35" max="35" width="27.36328125" style="1" bestFit="1" customWidth="1"/>
    <col min="36" max="36" width="16.36328125" style="1" customWidth="1"/>
    <col min="37" max="37" width="9.81640625" style="1" customWidth="1"/>
    <col min="38" max="38" width="1.453125" style="1" customWidth="1"/>
    <col min="39" max="39" width="24.81640625" style="1" bestFit="1" customWidth="1"/>
    <col min="40" max="40" width="8.1796875" style="1" customWidth="1"/>
    <col min="41" max="41" width="28.453125" style="1" bestFit="1" customWidth="1"/>
    <col min="42" max="42" width="2" style="1" customWidth="1"/>
    <col min="43" max="43" width="6.453125" customWidth="1"/>
    <col min="44" max="44" width="4.81640625" customWidth="1"/>
    <col min="45" max="45" width="16" style="1" customWidth="1"/>
    <col min="46" max="46" width="16.1796875" style="1" customWidth="1"/>
    <col min="47" max="47" width="9.81640625" style="1" customWidth="1"/>
    <col min="48" max="48" width="1.453125" style="1" customWidth="1"/>
    <col min="49" max="49" width="16.453125" style="1" bestFit="1" customWidth="1"/>
    <col min="50" max="50" width="8.1796875" style="1" customWidth="1"/>
    <col min="51" max="51" width="14.453125" style="1" customWidth="1"/>
    <col min="52" max="52" width="2" style="1" customWidth="1"/>
    <col min="53" max="53" width="16" style="1" customWidth="1"/>
    <col min="54" max="54" width="16.1796875" style="1" customWidth="1"/>
    <col min="55" max="55" width="14.36328125" style="1" customWidth="1"/>
    <col min="56" max="56" width="1.453125" style="1" customWidth="1"/>
    <col min="57" max="57" width="16.453125" style="1" bestFit="1" customWidth="1"/>
    <col min="58" max="58" width="13.81640625" style="1" customWidth="1"/>
    <col min="59" max="59" width="17" style="1" bestFit="1" customWidth="1"/>
    <col min="60" max="61" width="2" style="1" customWidth="1"/>
    <col min="62" max="62" width="6.453125" customWidth="1"/>
  </cols>
  <sheetData>
    <row r="1" spans="1:62" ht="31" x14ac:dyDescent="0.7">
      <c r="A1" s="7098" t="s">
        <v>3547</v>
      </c>
      <c r="F1" s="9118" t="s">
        <v>585</v>
      </c>
      <c r="G1" s="9119"/>
      <c r="H1" s="9119"/>
      <c r="I1" s="9119"/>
      <c r="J1" s="9119"/>
      <c r="K1" s="9119"/>
      <c r="L1" s="9119"/>
      <c r="M1" s="9120"/>
      <c r="O1" s="9121" t="s">
        <v>395</v>
      </c>
      <c r="P1" s="9122"/>
      <c r="Q1" s="9122"/>
      <c r="R1" s="9122"/>
      <c r="S1" s="9122"/>
      <c r="T1" s="9122"/>
      <c r="U1" s="9122"/>
      <c r="V1" s="9122"/>
      <c r="W1" s="1537"/>
      <c r="X1" s="9312" t="s">
        <v>396</v>
      </c>
      <c r="Y1" s="9313"/>
      <c r="Z1" s="9313"/>
      <c r="AA1" s="9313"/>
      <c r="AB1" s="9313"/>
      <c r="AC1" s="9313"/>
      <c r="AD1" s="9313"/>
      <c r="AE1" s="9313"/>
      <c r="AF1" s="1537"/>
      <c r="AG1" s="1537"/>
      <c r="AH1" s="1"/>
      <c r="AI1" s="9187" t="s">
        <v>397</v>
      </c>
      <c r="AJ1" s="9188"/>
      <c r="AK1" s="9188"/>
      <c r="AL1" s="9188"/>
      <c r="AM1" s="9188"/>
      <c r="AN1" s="9188"/>
      <c r="AO1" s="9188"/>
      <c r="AP1" s="1537"/>
      <c r="AQ1" s="1537"/>
      <c r="AS1" s="9195" t="s">
        <v>398</v>
      </c>
      <c r="AT1" s="9196"/>
      <c r="AU1" s="9196"/>
      <c r="AV1" s="9196"/>
      <c r="AW1" s="9196"/>
      <c r="AX1" s="9196"/>
      <c r="AY1" s="9196"/>
      <c r="AZ1" s="1537"/>
      <c r="BA1" s="9115" t="s">
        <v>399</v>
      </c>
      <c r="BB1" s="9116"/>
      <c r="BC1" s="9116"/>
      <c r="BD1" s="9116"/>
      <c r="BE1" s="9116"/>
      <c r="BF1" s="9116"/>
      <c r="BG1" s="9116"/>
      <c r="BH1" s="1537"/>
      <c r="BI1" s="1537"/>
      <c r="BJ1" s="1537"/>
    </row>
    <row r="2" spans="1:62" ht="21" x14ac:dyDescent="0.5">
      <c r="B2" s="1" t="s">
        <v>9</v>
      </c>
      <c r="C2" s="4" t="s">
        <v>50</v>
      </c>
      <c r="H2"/>
    </row>
    <row r="3" spans="1:62" ht="31" x14ac:dyDescent="0.7">
      <c r="W3" s="1537"/>
      <c r="AF3" s="1537"/>
      <c r="AG3" s="470"/>
      <c r="AH3" s="470"/>
      <c r="AP3" s="1537"/>
      <c r="AQ3" s="470"/>
      <c r="AZ3" s="1537"/>
      <c r="BH3" s="1537"/>
      <c r="BI3" s="1537"/>
      <c r="BJ3" s="470"/>
    </row>
    <row r="4" spans="1:62" s="8" customFormat="1" ht="15.25" customHeight="1" x14ac:dyDescent="0.35">
      <c r="D4" s="579"/>
      <c r="F4" s="8326" t="s">
        <v>400</v>
      </c>
      <c r="H4" s="9130" t="s">
        <v>401</v>
      </c>
      <c r="I4" s="9131"/>
      <c r="J4" s="9132"/>
      <c r="L4" s="9130" t="s">
        <v>402</v>
      </c>
      <c r="M4" s="9132"/>
      <c r="O4" s="9130" t="s">
        <v>3548</v>
      </c>
      <c r="P4" s="9131"/>
      <c r="Q4" s="9131"/>
      <c r="R4" s="9132"/>
      <c r="T4" s="9130"/>
      <c r="U4" s="9131"/>
      <c r="V4" s="9132"/>
      <c r="W4" s="4915"/>
      <c r="X4" s="9130" t="s">
        <v>3548</v>
      </c>
      <c r="Y4" s="9131"/>
      <c r="Z4" s="9131"/>
      <c r="AA4" s="9132"/>
      <c r="AC4" s="9130"/>
      <c r="AD4" s="9131"/>
      <c r="AE4" s="9132"/>
      <c r="AF4" s="4915"/>
      <c r="AG4" s="9180" t="s">
        <v>404</v>
      </c>
      <c r="AI4" s="9130" t="s">
        <v>3548</v>
      </c>
      <c r="AJ4" s="9131"/>
      <c r="AK4" s="9131"/>
      <c r="AM4" s="9130"/>
      <c r="AN4" s="9131"/>
      <c r="AO4" s="9132"/>
      <c r="AP4" s="4915"/>
      <c r="AQ4" s="9180" t="s">
        <v>404</v>
      </c>
      <c r="AS4" s="9130" t="s">
        <v>3548</v>
      </c>
      <c r="AT4" s="9131"/>
      <c r="AU4" s="9131"/>
      <c r="AW4" s="9130"/>
      <c r="AX4" s="9131"/>
      <c r="AY4" s="9132"/>
      <c r="AZ4" s="4915"/>
      <c r="BA4" s="9130" t="s">
        <v>3549</v>
      </c>
      <c r="BB4" s="9131"/>
      <c r="BC4" s="9131"/>
      <c r="BE4" s="9130" t="s">
        <v>3548</v>
      </c>
      <c r="BF4" s="9131"/>
      <c r="BG4" s="9131"/>
      <c r="BH4" s="4915"/>
      <c r="BI4" s="4915"/>
      <c r="BJ4" s="9180" t="s">
        <v>404</v>
      </c>
    </row>
    <row r="5" spans="1:62" x14ac:dyDescent="0.35">
      <c r="B5" s="1" t="s">
        <v>406</v>
      </c>
      <c r="C5" s="11">
        <v>2009</v>
      </c>
      <c r="F5" s="8324" t="s">
        <v>3550</v>
      </c>
      <c r="G5" s="12"/>
      <c r="H5" s="9138" t="s">
        <v>736</v>
      </c>
      <c r="I5" s="9139"/>
      <c r="J5" s="9140"/>
      <c r="K5" s="12"/>
      <c r="L5" s="9138" t="s">
        <v>737</v>
      </c>
      <c r="M5" s="9140"/>
      <c r="O5" s="9138" t="s">
        <v>737</v>
      </c>
      <c r="P5" s="9139"/>
      <c r="Q5" s="9139"/>
      <c r="R5" s="9140"/>
      <c r="T5" s="9138" t="s">
        <v>3242</v>
      </c>
      <c r="U5" s="9139"/>
      <c r="V5" s="9140"/>
      <c r="W5" s="4916"/>
      <c r="X5" s="9138" t="s">
        <v>3242</v>
      </c>
      <c r="Y5" s="9139"/>
      <c r="Z5" s="9139"/>
      <c r="AA5" s="9140"/>
      <c r="AC5" s="9138" t="s">
        <v>3243</v>
      </c>
      <c r="AD5" s="9139"/>
      <c r="AE5" s="9140"/>
      <c r="AF5" s="4916"/>
      <c r="AG5" s="9181"/>
      <c r="AI5" s="9138" t="s">
        <v>3243</v>
      </c>
      <c r="AJ5" s="9139"/>
      <c r="AK5" s="9140"/>
      <c r="AM5" s="9138" t="s">
        <v>2111</v>
      </c>
      <c r="AN5" s="9139"/>
      <c r="AO5" s="9140"/>
      <c r="AP5" s="4916"/>
      <c r="AQ5" s="9181"/>
      <c r="AS5" s="9138" t="s">
        <v>2111</v>
      </c>
      <c r="AT5" s="9139"/>
      <c r="AU5" s="9140"/>
      <c r="AW5" s="9138" t="s">
        <v>743</v>
      </c>
      <c r="AX5" s="9139"/>
      <c r="AY5" s="9140"/>
      <c r="AZ5" s="4916"/>
      <c r="BA5" s="9138" t="s">
        <v>743</v>
      </c>
      <c r="BB5" s="9139"/>
      <c r="BC5" s="9140"/>
      <c r="BE5" s="9138" t="s">
        <v>3078</v>
      </c>
      <c r="BF5" s="9139"/>
      <c r="BG5" s="9140"/>
      <c r="BH5" s="4916"/>
      <c r="BI5" s="4916"/>
      <c r="BJ5" s="9181"/>
    </row>
    <row r="6" spans="1:62" x14ac:dyDescent="0.35">
      <c r="C6"/>
      <c r="F6" s="6"/>
      <c r="L6" s="14"/>
      <c r="O6" s="14"/>
      <c r="P6"/>
      <c r="Q6"/>
      <c r="T6" s="14"/>
      <c r="U6" s="14"/>
      <c r="V6"/>
      <c r="W6"/>
      <c r="X6" s="14"/>
      <c r="Y6"/>
      <c r="Z6"/>
      <c r="AC6" s="14"/>
      <c r="AD6" s="14"/>
      <c r="AE6"/>
      <c r="AF6"/>
      <c r="AG6" s="6"/>
      <c r="AI6" s="14"/>
      <c r="AJ6"/>
      <c r="AK6"/>
      <c r="AM6" s="14"/>
      <c r="AN6" s="14"/>
      <c r="AO6"/>
      <c r="AP6"/>
      <c r="AQ6" s="6"/>
      <c r="AS6" s="14"/>
      <c r="AT6"/>
      <c r="AU6"/>
      <c r="AW6" s="14"/>
      <c r="AX6" s="14"/>
      <c r="AY6"/>
      <c r="AZ6"/>
      <c r="BA6" s="14"/>
      <c r="BB6"/>
      <c r="BC6"/>
      <c r="BE6" s="14"/>
      <c r="BF6" s="14"/>
      <c r="BG6"/>
      <c r="BH6"/>
      <c r="BI6"/>
      <c r="BJ6" s="6"/>
    </row>
    <row r="7" spans="1:62" ht="12.75" customHeight="1" x14ac:dyDescent="0.35">
      <c r="B7" s="1" t="s">
        <v>101</v>
      </c>
      <c r="C7" s="15" t="s">
        <v>3551</v>
      </c>
      <c r="D7" s="2" t="s">
        <v>417</v>
      </c>
      <c r="F7" s="8322" t="s">
        <v>3552</v>
      </c>
      <c r="H7" s="9173" t="s">
        <v>3552</v>
      </c>
      <c r="I7" s="9173"/>
      <c r="J7" s="9147" t="s">
        <v>419</v>
      </c>
      <c r="L7" s="9149" t="s">
        <v>3552</v>
      </c>
      <c r="M7" s="9151"/>
      <c r="O7" s="9149" t="s">
        <v>3552</v>
      </c>
      <c r="P7" s="9150"/>
      <c r="Q7" s="9150"/>
      <c r="R7" s="9151"/>
      <c r="T7" s="9149" t="s">
        <v>3552</v>
      </c>
      <c r="U7" s="9150"/>
      <c r="V7" s="9151"/>
      <c r="W7" s="4917"/>
      <c r="X7" s="9149" t="s">
        <v>3552</v>
      </c>
      <c r="Y7" s="9150"/>
      <c r="Z7" s="9150"/>
      <c r="AA7" s="9151"/>
      <c r="AC7" s="9149" t="s">
        <v>3552</v>
      </c>
      <c r="AD7" s="9150"/>
      <c r="AE7" s="9151"/>
      <c r="AF7" s="4917"/>
      <c r="AG7" s="18"/>
      <c r="AI7" s="9149" t="s">
        <v>3552</v>
      </c>
      <c r="AJ7" s="9150"/>
      <c r="AK7" s="9150"/>
      <c r="AM7" s="9149" t="s">
        <v>3552</v>
      </c>
      <c r="AN7" s="9150"/>
      <c r="AO7" s="9151"/>
      <c r="AP7" s="4917"/>
      <c r="AQ7" s="18"/>
      <c r="AS7" s="9149" t="s">
        <v>3552</v>
      </c>
      <c r="AT7" s="9150"/>
      <c r="AU7" s="9150"/>
      <c r="AW7" s="9149" t="s">
        <v>3552</v>
      </c>
      <c r="AX7" s="9150"/>
      <c r="AY7" s="9151"/>
      <c r="AZ7" s="4917"/>
      <c r="BA7" s="9149" t="s">
        <v>3552</v>
      </c>
      <c r="BB7" s="9150"/>
      <c r="BC7" s="9150"/>
      <c r="BE7" s="9149" t="s">
        <v>3552</v>
      </c>
      <c r="BF7" s="9150"/>
      <c r="BG7" s="9151"/>
      <c r="BH7" s="4917"/>
      <c r="BI7" s="4917"/>
      <c r="BJ7" s="18"/>
    </row>
    <row r="8" spans="1:62" x14ac:dyDescent="0.35">
      <c r="B8" s="1" t="s">
        <v>420</v>
      </c>
      <c r="C8" s="19" t="s">
        <v>747</v>
      </c>
      <c r="F8" s="20" t="s">
        <v>96</v>
      </c>
      <c r="H8" s="20" t="s">
        <v>423</v>
      </c>
      <c r="I8" s="20" t="s">
        <v>96</v>
      </c>
      <c r="J8" s="9148"/>
      <c r="L8" s="21" t="s">
        <v>2114</v>
      </c>
      <c r="M8" s="20" t="s">
        <v>96</v>
      </c>
      <c r="O8" s="4151" t="s">
        <v>3553</v>
      </c>
      <c r="P8" s="22" t="s">
        <v>96</v>
      </c>
      <c r="Q8" s="23"/>
      <c r="R8" s="5041"/>
      <c r="T8" s="21" t="s">
        <v>2114</v>
      </c>
      <c r="U8" s="21"/>
      <c r="V8" s="20" t="s">
        <v>96</v>
      </c>
      <c r="W8" s="4918"/>
      <c r="X8" s="4151" t="s">
        <v>2114</v>
      </c>
      <c r="Y8" s="22" t="s">
        <v>96</v>
      </c>
      <c r="Z8" s="23"/>
      <c r="AA8" s="5041"/>
      <c r="AC8" s="21" t="s">
        <v>2114</v>
      </c>
      <c r="AD8" s="21"/>
      <c r="AE8" s="20" t="s">
        <v>96</v>
      </c>
      <c r="AF8" s="4918"/>
      <c r="AG8" s="24"/>
      <c r="AI8" s="4151" t="s">
        <v>2114</v>
      </c>
      <c r="AJ8" s="22" t="s">
        <v>96</v>
      </c>
      <c r="AK8" s="23"/>
      <c r="AM8" s="21" t="s">
        <v>2114</v>
      </c>
      <c r="AN8" s="21"/>
      <c r="AO8" s="20" t="s">
        <v>96</v>
      </c>
      <c r="AP8" s="4918"/>
      <c r="AQ8" s="24"/>
      <c r="AS8" s="4151" t="s">
        <v>2114</v>
      </c>
      <c r="AT8" s="22" t="s">
        <v>96</v>
      </c>
      <c r="AU8" s="23"/>
      <c r="AW8" s="21" t="s">
        <v>2114</v>
      </c>
      <c r="AX8" s="21"/>
      <c r="AY8" s="20" t="s">
        <v>96</v>
      </c>
      <c r="AZ8" s="4918"/>
      <c r="BA8" s="4151" t="s">
        <v>2114</v>
      </c>
      <c r="BB8" s="22" t="s">
        <v>96</v>
      </c>
      <c r="BC8" s="23"/>
      <c r="BE8" s="21" t="s">
        <v>2114</v>
      </c>
      <c r="BF8" s="21"/>
      <c r="BG8" s="20" t="s">
        <v>96</v>
      </c>
      <c r="BH8" s="4918"/>
      <c r="BI8" s="4918"/>
      <c r="BJ8" s="24"/>
    </row>
    <row r="9" spans="1:62" x14ac:dyDescent="0.35">
      <c r="C9"/>
      <c r="E9"/>
      <c r="F9"/>
      <c r="G9"/>
      <c r="H9"/>
      <c r="I9"/>
      <c r="J9" s="25"/>
      <c r="K9"/>
      <c r="N9"/>
      <c r="O9"/>
      <c r="P9"/>
      <c r="Q9"/>
      <c r="R9" s="462"/>
      <c r="S9"/>
      <c r="T9"/>
      <c r="U9"/>
      <c r="V9"/>
      <c r="W9"/>
      <c r="X9"/>
      <c r="Y9"/>
      <c r="Z9"/>
      <c r="AA9" s="462"/>
      <c r="AB9"/>
      <c r="AC9"/>
      <c r="AD9"/>
      <c r="AE9"/>
      <c r="AF9"/>
      <c r="AI9"/>
      <c r="AJ9"/>
      <c r="AK9"/>
      <c r="AL9"/>
      <c r="AM9"/>
      <c r="AN9"/>
      <c r="AO9"/>
      <c r="AP9"/>
      <c r="AS9"/>
      <c r="AT9"/>
      <c r="AU9"/>
      <c r="AV9"/>
      <c r="AW9"/>
      <c r="AX9"/>
      <c r="AY9"/>
      <c r="AZ9"/>
      <c r="BA9"/>
      <c r="BB9"/>
      <c r="BC9"/>
      <c r="BD9"/>
      <c r="BE9"/>
      <c r="BF9"/>
      <c r="BG9"/>
      <c r="BH9"/>
      <c r="BI9"/>
    </row>
    <row r="10" spans="1:62" ht="33.25" customHeight="1" x14ac:dyDescent="0.35">
      <c r="A10" s="9167" t="s">
        <v>426</v>
      </c>
      <c r="B10" s="27"/>
      <c r="C10" s="28" t="s">
        <v>427</v>
      </c>
      <c r="D10" s="580" t="s">
        <v>428</v>
      </c>
      <c r="E10" s="30"/>
      <c r="F10" s="31"/>
      <c r="G10"/>
      <c r="H10" s="31" t="s">
        <v>3554</v>
      </c>
      <c r="I10" s="31" t="s">
        <v>3554</v>
      </c>
      <c r="J10" s="32"/>
      <c r="K10" s="33"/>
      <c r="L10" s="31" t="s">
        <v>3555</v>
      </c>
      <c r="M10" s="34" t="s">
        <v>593</v>
      </c>
      <c r="N10" s="33"/>
      <c r="O10" s="9155" t="s">
        <v>3556</v>
      </c>
      <c r="P10" s="9156"/>
      <c r="Q10" s="996" t="s">
        <v>3557</v>
      </c>
      <c r="R10" s="5042"/>
      <c r="S10" s="33"/>
      <c r="T10" s="31" t="s">
        <v>3555</v>
      </c>
      <c r="U10" s="727" t="s">
        <v>3558</v>
      </c>
      <c r="V10" s="36" t="s">
        <v>3559</v>
      </c>
      <c r="W10" s="1844"/>
      <c r="X10" s="850" t="s">
        <v>3555</v>
      </c>
      <c r="Y10" s="3651" t="s">
        <v>3560</v>
      </c>
      <c r="Z10" s="996" t="s">
        <v>3558</v>
      </c>
      <c r="AA10" s="5042"/>
      <c r="AB10" s="33"/>
      <c r="AC10" s="31" t="s">
        <v>3561</v>
      </c>
      <c r="AD10" s="727" t="s">
        <v>3558</v>
      </c>
      <c r="AE10" s="36" t="s">
        <v>3562</v>
      </c>
      <c r="AF10" s="1844"/>
      <c r="AG10" s="39"/>
      <c r="AI10" s="31" t="s">
        <v>3561</v>
      </c>
      <c r="AJ10" s="36" t="s">
        <v>3562</v>
      </c>
      <c r="AK10" s="727" t="s">
        <v>3558</v>
      </c>
      <c r="AL10" s="33"/>
      <c r="AM10" s="31" t="s">
        <v>3563</v>
      </c>
      <c r="AN10" s="727" t="s">
        <v>3564</v>
      </c>
      <c r="AO10" s="36" t="s">
        <v>3565</v>
      </c>
      <c r="AP10" s="1844"/>
      <c r="AQ10" s="39"/>
      <c r="AR10" s="5049" t="s">
        <v>3566</v>
      </c>
      <c r="AS10" s="31" t="s">
        <v>3563</v>
      </c>
      <c r="AT10" s="36" t="s">
        <v>3567</v>
      </c>
      <c r="AU10" s="727"/>
      <c r="AV10" s="33"/>
      <c r="AW10" s="36" t="s">
        <v>3567</v>
      </c>
      <c r="AX10" s="727"/>
      <c r="AY10" s="36" t="s">
        <v>3567</v>
      </c>
      <c r="AZ10" s="1844"/>
      <c r="BA10" s="9155" t="s">
        <v>3567</v>
      </c>
      <c r="BB10" s="9156"/>
      <c r="BC10" s="7393" t="s">
        <v>3568</v>
      </c>
      <c r="BD10" s="33"/>
      <c r="BE10" s="36" t="s">
        <v>3569</v>
      </c>
      <c r="BF10" s="7393" t="s">
        <v>3568</v>
      </c>
      <c r="BG10" s="36" t="s">
        <v>3569</v>
      </c>
      <c r="BH10" s="1844"/>
      <c r="BI10" s="1844"/>
      <c r="BJ10" s="39"/>
    </row>
    <row r="11" spans="1:62" ht="12.75" customHeight="1" x14ac:dyDescent="0.35">
      <c r="A11" s="9168"/>
      <c r="B11" s="40" t="s">
        <v>451</v>
      </c>
      <c r="C11" s="41"/>
      <c r="D11" s="585"/>
      <c r="E11" s="43"/>
      <c r="F11" s="44"/>
      <c r="G11"/>
      <c r="H11" s="45"/>
      <c r="I11" s="46"/>
      <c r="J11" s="47"/>
      <c r="K11" s="48"/>
      <c r="L11" s="45"/>
      <c r="M11" s="49"/>
      <c r="N11" s="50"/>
      <c r="O11" s="740"/>
      <c r="P11" s="5043" t="s">
        <v>3570</v>
      </c>
      <c r="Q11" s="348"/>
      <c r="R11" s="5044"/>
      <c r="S11" s="43"/>
      <c r="T11" s="154"/>
      <c r="U11" s="474"/>
      <c r="V11" s="348"/>
      <c r="W11" s="229"/>
      <c r="X11" s="740"/>
      <c r="Y11" s="5043"/>
      <c r="Z11" s="348"/>
      <c r="AA11" s="5044"/>
      <c r="AB11" s="43"/>
      <c r="AC11" s="154"/>
      <c r="AD11" s="474"/>
      <c r="AE11" s="348"/>
      <c r="AF11" s="229"/>
      <c r="AG11" s="18"/>
      <c r="AI11" s="740"/>
      <c r="AJ11" s="5043"/>
      <c r="AK11" s="474"/>
      <c r="AL11" s="43"/>
      <c r="AM11" s="154"/>
      <c r="AN11" s="474"/>
      <c r="AO11" s="348"/>
      <c r="AP11" s="229"/>
      <c r="AQ11" s="18"/>
      <c r="AR11" s="5049"/>
      <c r="AS11" s="7110" t="s">
        <v>3571</v>
      </c>
      <c r="AT11" s="7111" t="s">
        <v>3572</v>
      </c>
      <c r="AU11" s="474"/>
      <c r="AV11" s="43"/>
      <c r="AW11" s="154" t="s">
        <v>3573</v>
      </c>
      <c r="AX11" s="474"/>
      <c r="AY11" s="348"/>
      <c r="AZ11" s="229"/>
      <c r="BA11" s="7110" t="s">
        <v>3573</v>
      </c>
      <c r="BB11" s="7111" t="s">
        <v>3574</v>
      </c>
      <c r="BC11" s="474"/>
      <c r="BD11" s="43"/>
      <c r="BE11" s="154" t="s">
        <v>3575</v>
      </c>
      <c r="BF11" s="474"/>
      <c r="BG11" s="348"/>
      <c r="BH11" s="229"/>
      <c r="BI11" s="229"/>
      <c r="BJ11" s="18"/>
    </row>
    <row r="12" spans="1:62" x14ac:dyDescent="0.35">
      <c r="A12" s="9168"/>
      <c r="B12" s="58"/>
      <c r="C12" s="59" t="s">
        <v>456</v>
      </c>
      <c r="D12" s="197"/>
      <c r="F12" s="61"/>
      <c r="G12"/>
      <c r="H12" s="62">
        <v>363068</v>
      </c>
      <c r="I12" s="63">
        <v>441146</v>
      </c>
      <c r="J12" s="64">
        <f>IF(H12=0,0,I12/H12)</f>
        <v>1.2150506241255081</v>
      </c>
      <c r="K12" s="65"/>
      <c r="L12" s="62">
        <v>550584</v>
      </c>
      <c r="M12" s="66">
        <f>L12*J12</f>
        <v>668987.43283351872</v>
      </c>
      <c r="N12" s="5045"/>
      <c r="O12" s="62">
        <v>530697</v>
      </c>
      <c r="P12" s="671">
        <v>530189</v>
      </c>
      <c r="Q12" s="57" t="s">
        <v>1147</v>
      </c>
      <c r="R12" s="5046">
        <f>P12/O12</f>
        <v>0.99904276828397376</v>
      </c>
      <c r="S12" s="5047"/>
      <c r="T12" s="71">
        <v>666349</v>
      </c>
      <c r="U12" s="106" t="s">
        <v>3576</v>
      </c>
      <c r="V12" s="72">
        <v>653948</v>
      </c>
      <c r="W12" s="66"/>
      <c r="X12" s="71">
        <v>666349</v>
      </c>
      <c r="Y12" s="671">
        <v>634311</v>
      </c>
      <c r="Z12" s="57" t="s">
        <v>3577</v>
      </c>
      <c r="AA12" s="5046">
        <f>Y12/X12</f>
        <v>0.95192008992284827</v>
      </c>
      <c r="AB12" s="5047"/>
      <c r="AC12" s="71">
        <v>783291</v>
      </c>
      <c r="AD12" s="106" t="s">
        <v>3576</v>
      </c>
      <c r="AE12" s="72">
        <f>AC12*AA12</f>
        <v>745630.43915575778</v>
      </c>
      <c r="AF12" s="66"/>
      <c r="AG12" s="26"/>
      <c r="AI12" s="71">
        <v>783291</v>
      </c>
      <c r="AJ12" s="106">
        <v>745630.43915575778</v>
      </c>
      <c r="AK12" s="106" t="s">
        <v>3576</v>
      </c>
      <c r="AL12" s="5047"/>
      <c r="AM12" s="71">
        <v>980159</v>
      </c>
      <c r="AN12" s="106" t="s">
        <v>3578</v>
      </c>
      <c r="AO12" s="72">
        <v>953119</v>
      </c>
      <c r="AP12" s="66"/>
      <c r="AQ12" s="26"/>
      <c r="AR12" s="5049"/>
      <c r="AS12" s="71">
        <v>980157</v>
      </c>
      <c r="AT12" s="671">
        <v>918152</v>
      </c>
      <c r="AU12" s="106"/>
      <c r="AV12" s="7099"/>
      <c r="AW12" s="71">
        <v>1057500</v>
      </c>
      <c r="AX12" s="106" t="s">
        <v>3572</v>
      </c>
      <c r="AY12" s="72">
        <v>1005615</v>
      </c>
      <c r="AZ12" s="66"/>
      <c r="BA12" s="71">
        <v>1057500</v>
      </c>
      <c r="BB12" s="671">
        <v>1005615</v>
      </c>
      <c r="BC12" s="57" t="s">
        <v>3579</v>
      </c>
      <c r="BD12" s="5047"/>
      <c r="BE12" s="71">
        <v>1351523</v>
      </c>
      <c r="BF12" s="57" t="s">
        <v>3580</v>
      </c>
      <c r="BG12" s="72">
        <v>1098607</v>
      </c>
      <c r="BH12" s="66"/>
      <c r="BI12" s="66"/>
      <c r="BJ12" s="26"/>
    </row>
    <row r="13" spans="1:62" x14ac:dyDescent="0.35">
      <c r="A13" s="9168"/>
      <c r="B13" s="58"/>
      <c r="C13" s="59" t="s">
        <v>1041</v>
      </c>
      <c r="D13" s="197"/>
      <c r="F13" s="61"/>
      <c r="G13"/>
      <c r="H13" s="62">
        <v>240313</v>
      </c>
      <c r="I13" s="63">
        <v>79183</v>
      </c>
      <c r="J13" s="73">
        <f t="shared" ref="J13:J15" si="0">IF(H13=0,0,I13/H13)</f>
        <v>0.32949944447449786</v>
      </c>
      <c r="K13" s="65"/>
      <c r="L13" s="62">
        <v>132760</v>
      </c>
      <c r="M13" s="66">
        <f t="shared" ref="M13:M15" si="1">L13*J13</f>
        <v>43744.346248434333</v>
      </c>
      <c r="N13" s="67"/>
      <c r="O13" s="62">
        <v>110317</v>
      </c>
      <c r="P13" s="671">
        <v>79392</v>
      </c>
      <c r="Q13" s="106"/>
      <c r="R13" s="5046">
        <f t="shared" ref="R13:R15" si="2">P13/O13</f>
        <v>0.71967149215442772</v>
      </c>
      <c r="S13" s="5047"/>
      <c r="T13" s="71">
        <v>97132</v>
      </c>
      <c r="U13" s="106"/>
      <c r="V13" s="72">
        <v>130891</v>
      </c>
      <c r="W13" s="66"/>
      <c r="X13" s="71">
        <v>97132</v>
      </c>
      <c r="Y13" s="671">
        <v>131007</v>
      </c>
      <c r="Z13" s="106"/>
      <c r="AA13" s="5046">
        <f t="shared" ref="AA13" si="3">Y13/X13</f>
        <v>1.3487522134826833</v>
      </c>
      <c r="AB13" s="5047"/>
      <c r="AC13" s="71">
        <v>194726</v>
      </c>
      <c r="AD13" s="106"/>
      <c r="AE13" s="72">
        <f>AC13*AA13</f>
        <v>262637.12352262897</v>
      </c>
      <c r="AF13" s="66"/>
      <c r="AG13" s="26"/>
      <c r="AI13" s="71">
        <v>194726</v>
      </c>
      <c r="AJ13" s="106">
        <v>262637.12352262897</v>
      </c>
      <c r="AK13" s="106"/>
      <c r="AL13" s="5047"/>
      <c r="AM13" s="71">
        <v>147585</v>
      </c>
      <c r="AN13" s="106"/>
      <c r="AO13" s="72">
        <v>216856</v>
      </c>
      <c r="AP13" s="66"/>
      <c r="AQ13" s="26"/>
      <c r="AR13" s="5049"/>
      <c r="AS13" s="71">
        <v>147586</v>
      </c>
      <c r="AT13" s="671">
        <v>70155</v>
      </c>
      <c r="AU13" s="106"/>
      <c r="AV13" s="7099"/>
      <c r="AW13" s="71">
        <v>137081</v>
      </c>
      <c r="AX13" s="106" t="s">
        <v>3572</v>
      </c>
      <c r="AY13" s="72">
        <v>115136</v>
      </c>
      <c r="AZ13" s="66"/>
      <c r="BA13" s="71">
        <v>137081</v>
      </c>
      <c r="BB13" s="671">
        <v>115136</v>
      </c>
      <c r="BC13" s="106"/>
      <c r="BD13" s="5047"/>
      <c r="BE13" s="71">
        <v>175049</v>
      </c>
      <c r="BF13" s="106"/>
      <c r="BG13" s="72">
        <v>127113</v>
      </c>
      <c r="BH13" s="66"/>
      <c r="BI13" s="66"/>
      <c r="BJ13" s="26"/>
    </row>
    <row r="14" spans="1:62" x14ac:dyDescent="0.35">
      <c r="A14" s="9168"/>
      <c r="B14" s="75"/>
      <c r="C14" s="526"/>
      <c r="D14" s="197"/>
      <c r="F14" s="77"/>
      <c r="G14"/>
      <c r="H14" s="78"/>
      <c r="I14" s="79"/>
      <c r="J14" s="73"/>
      <c r="K14" s="80"/>
      <c r="L14" s="78"/>
      <c r="M14" s="66"/>
      <c r="N14" s="67"/>
      <c r="O14" s="78"/>
      <c r="P14" s="4874"/>
      <c r="Q14" s="106"/>
      <c r="R14" s="5046"/>
      <c r="S14" s="5047"/>
      <c r="T14" s="760"/>
      <c r="U14" s="106"/>
      <c r="V14" s="83"/>
      <c r="W14" s="66"/>
      <c r="X14" s="760"/>
      <c r="Y14" s="4874"/>
      <c r="Z14" s="106"/>
      <c r="AA14" s="5046"/>
      <c r="AB14" s="5047"/>
      <c r="AC14" s="760"/>
      <c r="AD14" s="106"/>
      <c r="AE14" s="83"/>
      <c r="AF14" s="66"/>
      <c r="AG14" s="26"/>
      <c r="AI14" s="760"/>
      <c r="AJ14" s="106"/>
      <c r="AK14" s="106"/>
      <c r="AL14" s="5047"/>
      <c r="AM14" s="760"/>
      <c r="AN14" s="106"/>
      <c r="AO14" s="83"/>
      <c r="AP14" s="66"/>
      <c r="AQ14" s="26"/>
      <c r="AR14" s="5049"/>
      <c r="AS14" s="760"/>
      <c r="AT14" s="4874"/>
      <c r="AU14" s="106"/>
      <c r="AV14" s="7099"/>
      <c r="AW14" s="760"/>
      <c r="AX14" s="106"/>
      <c r="AY14" s="83"/>
      <c r="AZ14" s="66"/>
      <c r="BA14" s="760"/>
      <c r="BB14" s="4874"/>
      <c r="BC14" s="106"/>
      <c r="BD14" s="5047"/>
      <c r="BE14" s="760"/>
      <c r="BF14" s="106"/>
      <c r="BG14" s="83"/>
      <c r="BH14" s="66"/>
      <c r="BI14" s="66"/>
      <c r="BJ14" s="26"/>
    </row>
    <row r="15" spans="1:62" x14ac:dyDescent="0.35">
      <c r="A15" s="9168"/>
      <c r="B15" s="85"/>
      <c r="C15" s="86" t="s">
        <v>466</v>
      </c>
      <c r="D15" s="209"/>
      <c r="F15" s="88"/>
      <c r="G15"/>
      <c r="H15" s="89">
        <f>SUM(H12:H13)</f>
        <v>603381</v>
      </c>
      <c r="I15" s="90">
        <f>SUM(I12:I13)</f>
        <v>520329</v>
      </c>
      <c r="J15" s="91">
        <f t="shared" si="0"/>
        <v>0.86235562604722393</v>
      </c>
      <c r="K15" s="80"/>
      <c r="L15" s="89">
        <f>SUM(L12:L13)</f>
        <v>683344</v>
      </c>
      <c r="M15" s="92">
        <f t="shared" si="1"/>
        <v>589285.54292561417</v>
      </c>
      <c r="N15" s="67"/>
      <c r="O15" s="89">
        <f>SUM(O12:O13)</f>
        <v>641014</v>
      </c>
      <c r="P15" s="672">
        <v>609580</v>
      </c>
      <c r="Q15" s="216"/>
      <c r="R15" s="5048">
        <f t="shared" si="2"/>
        <v>0.95096206947118156</v>
      </c>
      <c r="S15" s="5047"/>
      <c r="T15" s="768">
        <f>SUM(T12:T13)</f>
        <v>763481</v>
      </c>
      <c r="U15" s="216"/>
      <c r="V15" s="308">
        <f>SUM(V12:V13)</f>
        <v>784839</v>
      </c>
      <c r="W15" s="66"/>
      <c r="X15" s="768">
        <f>SUM(X12:X13)</f>
        <v>763481</v>
      </c>
      <c r="Y15" s="672">
        <f>SUM(Y12:Y13)</f>
        <v>765318</v>
      </c>
      <c r="Z15" s="216"/>
      <c r="AA15" s="5048">
        <f t="shared" ref="AA15" si="4">Y15/X15</f>
        <v>1.0024060847617688</v>
      </c>
      <c r="AB15" s="5047"/>
      <c r="AC15" s="768">
        <f>SUM(AC12:AC13)</f>
        <v>978017</v>
      </c>
      <c r="AD15" s="216"/>
      <c r="AE15" s="308">
        <f>SUM(AE12:AE13)</f>
        <v>1008267.5626783867</v>
      </c>
      <c r="AF15" s="66"/>
      <c r="AG15" s="24"/>
      <c r="AI15" s="768">
        <f>SUM(AI12:AI13)</f>
        <v>978017</v>
      </c>
      <c r="AJ15" s="216">
        <v>1008267.5626783867</v>
      </c>
      <c r="AK15" s="216"/>
      <c r="AL15" s="5047"/>
      <c r="AM15" s="768">
        <v>1127743</v>
      </c>
      <c r="AN15" s="216"/>
      <c r="AO15" s="308">
        <v>1130347</v>
      </c>
      <c r="AP15" s="66"/>
      <c r="AQ15" s="24"/>
      <c r="AR15" s="5049"/>
      <c r="AS15" s="768">
        <f>SUM(AS12:AS14)</f>
        <v>1127743</v>
      </c>
      <c r="AT15" s="672">
        <f>SUM(AT12:AT14)</f>
        <v>988307</v>
      </c>
      <c r="AU15" s="216"/>
      <c r="AV15" s="7099"/>
      <c r="AW15" s="768">
        <f>SUM(AW12:AW14)</f>
        <v>1194581</v>
      </c>
      <c r="AX15" s="216"/>
      <c r="AY15" s="308">
        <f>SUM(AY12:AY14)</f>
        <v>1120751</v>
      </c>
      <c r="AZ15" s="66"/>
      <c r="BA15" s="768">
        <f>SUM(BA12:BA14)</f>
        <v>1194581</v>
      </c>
      <c r="BB15" s="672">
        <f>SUM(BB12:BB14)</f>
        <v>1120751</v>
      </c>
      <c r="BC15" s="216"/>
      <c r="BD15" s="5047"/>
      <c r="BE15" s="768">
        <f>SUM(BE12:BE14)</f>
        <v>1526572</v>
      </c>
      <c r="BF15" s="216"/>
      <c r="BG15" s="308">
        <f>SUM(BG12:BG14)</f>
        <v>1225720</v>
      </c>
      <c r="BH15" s="66"/>
      <c r="BI15" s="66"/>
      <c r="BJ15" s="24"/>
    </row>
    <row r="16" spans="1:62" x14ac:dyDescent="0.35">
      <c r="A16" s="9168"/>
      <c r="B16" s="100" t="s">
        <v>468</v>
      </c>
      <c r="C16" s="49"/>
      <c r="D16" s="585"/>
      <c r="E16" s="43"/>
      <c r="F16" s="101"/>
      <c r="G16"/>
      <c r="H16" s="102"/>
      <c r="I16" s="103"/>
      <c r="J16" s="104"/>
      <c r="K16" s="43"/>
      <c r="L16" s="102"/>
      <c r="M16" s="105"/>
      <c r="N16" s="43"/>
      <c r="O16" s="777"/>
      <c r="P16" s="3724"/>
      <c r="Q16" s="57" t="s">
        <v>1825</v>
      </c>
      <c r="R16" s="5050"/>
      <c r="S16" s="43"/>
      <c r="T16" s="102"/>
      <c r="U16" s="103"/>
      <c r="V16" s="105"/>
      <c r="W16" s="66"/>
      <c r="X16" s="102"/>
      <c r="Y16" s="3724"/>
      <c r="Z16" s="57"/>
      <c r="AA16" s="5050"/>
      <c r="AB16" s="43"/>
      <c r="AC16" s="102"/>
      <c r="AD16" s="103"/>
      <c r="AE16" s="105" t="s">
        <v>3581</v>
      </c>
      <c r="AF16" s="66"/>
      <c r="AG16" s="18"/>
      <c r="AI16" s="102"/>
      <c r="AJ16" s="105" t="s">
        <v>3581</v>
      </c>
      <c r="AK16" s="103"/>
      <c r="AL16" s="43"/>
      <c r="AM16" s="102"/>
      <c r="AN16" s="103"/>
      <c r="AO16" s="105" t="s">
        <v>3581</v>
      </c>
      <c r="AP16" s="66"/>
      <c r="AQ16" s="18"/>
      <c r="AS16" s="102" t="s">
        <v>890</v>
      </c>
      <c r="AT16" s="103" t="s">
        <v>3582</v>
      </c>
      <c r="AU16" s="103"/>
      <c r="AV16" s="43"/>
      <c r="AW16" s="102" t="s">
        <v>3582</v>
      </c>
      <c r="AX16" s="103"/>
      <c r="AY16" s="105" t="s">
        <v>3582</v>
      </c>
      <c r="AZ16" s="66"/>
      <c r="BA16" s="102"/>
      <c r="BB16" s="103" t="s">
        <v>3582</v>
      </c>
      <c r="BC16" s="103"/>
      <c r="BD16" s="43"/>
      <c r="BE16" s="102"/>
      <c r="BF16" s="103"/>
      <c r="BG16" s="105" t="s">
        <v>3582</v>
      </c>
      <c r="BH16" s="66"/>
      <c r="BI16" s="66"/>
      <c r="BJ16" s="18"/>
    </row>
    <row r="17" spans="1:62" x14ac:dyDescent="0.35">
      <c r="A17" s="9168"/>
      <c r="B17" s="6082"/>
      <c r="C17" s="110" t="s">
        <v>470</v>
      </c>
      <c r="D17" s="197">
        <v>1</v>
      </c>
      <c r="F17" s="111"/>
      <c r="G17"/>
      <c r="H17" s="112">
        <f>453905-H21</f>
        <v>418333</v>
      </c>
      <c r="I17" s="113">
        <f>548058-I21</f>
        <v>459915.16047800001</v>
      </c>
      <c r="J17" s="64">
        <f t="shared" ref="J17:J23" si="5">IF(H17=0,0,I17/H17)</f>
        <v>1.099399666002921</v>
      </c>
      <c r="L17" s="112">
        <f>L23-L18-L21</f>
        <v>503795.16656100005</v>
      </c>
      <c r="M17" s="66">
        <f>L17*J17</f>
        <v>553872.2378510494</v>
      </c>
      <c r="O17" s="112">
        <f>537919-O21</f>
        <v>457559</v>
      </c>
      <c r="P17" s="113">
        <f>613943-P21</f>
        <v>498996</v>
      </c>
      <c r="R17" s="5046">
        <f>P17/O17</f>
        <v>1.0905609986908793</v>
      </c>
      <c r="S17" s="5047"/>
      <c r="T17" s="248">
        <f>698353-T21</f>
        <v>572856</v>
      </c>
      <c r="U17" s="106" t="s">
        <v>3583</v>
      </c>
      <c r="V17" s="1034">
        <f>698217-V21</f>
        <v>582043</v>
      </c>
      <c r="W17" s="66"/>
      <c r="X17" s="248">
        <f>698353-X21</f>
        <v>572856</v>
      </c>
      <c r="Y17" s="113">
        <f>727969-Y21</f>
        <v>595392</v>
      </c>
      <c r="Z17" s="70" t="s">
        <v>3577</v>
      </c>
      <c r="AA17" s="5046">
        <f>Y17/X17</f>
        <v>1.0393397293560684</v>
      </c>
      <c r="AB17" s="5047"/>
      <c r="AC17" s="248">
        <f>823279-AC21</f>
        <v>679760</v>
      </c>
      <c r="AD17" s="106" t="s">
        <v>3584</v>
      </c>
      <c r="AE17" s="1034">
        <f>AC17</f>
        <v>679760</v>
      </c>
      <c r="AF17" s="66"/>
      <c r="AG17" s="26" t="s">
        <v>3585</v>
      </c>
      <c r="AI17" s="248">
        <f>823279-AI21</f>
        <v>679760</v>
      </c>
      <c r="AJ17" s="1034">
        <v>679760</v>
      </c>
      <c r="AK17" s="106" t="s">
        <v>3584</v>
      </c>
      <c r="AL17" s="5047"/>
      <c r="AM17" s="248">
        <f>965740-AM21</f>
        <v>788421</v>
      </c>
      <c r="AN17" s="106" t="s">
        <v>3584</v>
      </c>
      <c r="AO17" s="1034">
        <f>998145-AO21</f>
        <v>830633</v>
      </c>
      <c r="AP17" s="66"/>
      <c r="AQ17" s="26" t="s">
        <v>3585</v>
      </c>
      <c r="AS17" s="248">
        <f>966318-AS21</f>
        <v>788999</v>
      </c>
      <c r="AT17" s="1033">
        <f>1061267-AT21</f>
        <v>870946</v>
      </c>
      <c r="AU17" s="106"/>
      <c r="AV17" s="7099"/>
      <c r="AW17" s="248">
        <f>1154651-AW21</f>
        <v>946426</v>
      </c>
      <c r="AX17" s="106"/>
      <c r="AY17" s="1034">
        <f>1165419-AY21</f>
        <v>941100</v>
      </c>
      <c r="AZ17" s="66"/>
      <c r="BA17" s="248">
        <f>1154651-BA21</f>
        <v>946426</v>
      </c>
      <c r="BB17" s="1033">
        <f>1165419-BB21</f>
        <v>941100</v>
      </c>
      <c r="BC17" s="57" t="s">
        <v>3579</v>
      </c>
      <c r="BD17" s="5047"/>
      <c r="BE17" s="248">
        <f>1370824-BE21</f>
        <v>1126828</v>
      </c>
      <c r="BF17" s="106"/>
      <c r="BG17" s="1034">
        <f>1413972-BG21</f>
        <v>1152428</v>
      </c>
      <c r="BH17" s="66"/>
      <c r="BI17" s="66"/>
      <c r="BJ17" s="26"/>
    </row>
    <row r="18" spans="1:62" x14ac:dyDescent="0.35">
      <c r="A18" s="9168"/>
      <c r="B18" s="6082"/>
      <c r="C18" s="110" t="s">
        <v>474</v>
      </c>
      <c r="D18" s="197">
        <v>2</v>
      </c>
      <c r="F18" s="122"/>
      <c r="G18"/>
      <c r="H18" s="114">
        <v>176630</v>
      </c>
      <c r="I18" s="123">
        <v>100224</v>
      </c>
      <c r="J18" s="64">
        <f t="shared" si="5"/>
        <v>0.56742342750382158</v>
      </c>
      <c r="L18" s="114">
        <v>192939.578825</v>
      </c>
      <c r="M18" s="66">
        <f t="shared" ref="M18:M21" si="6">L18*J18</f>
        <v>109478.43711802526</v>
      </c>
      <c r="O18" s="114"/>
      <c r="P18" s="113"/>
      <c r="Q18" s="106"/>
      <c r="R18" s="5046"/>
      <c r="S18" s="5047"/>
      <c r="T18" s="248"/>
      <c r="U18" s="106"/>
      <c r="V18" s="1034"/>
      <c r="W18" s="66"/>
      <c r="X18" s="248"/>
      <c r="Y18" s="113"/>
      <c r="Z18" s="106"/>
      <c r="AA18" s="5046"/>
      <c r="AB18" s="5047"/>
      <c r="AC18" s="248"/>
      <c r="AD18" s="106"/>
      <c r="AE18" s="1034"/>
      <c r="AF18" s="66"/>
      <c r="AG18" s="26" t="s">
        <v>785</v>
      </c>
      <c r="AI18" s="248"/>
      <c r="AJ18" s="1034"/>
      <c r="AK18" s="106"/>
      <c r="AL18" s="5047"/>
      <c r="AM18" s="248"/>
      <c r="AN18" s="106"/>
      <c r="AO18" s="1034"/>
      <c r="AP18" s="66"/>
      <c r="AQ18" s="26" t="s">
        <v>785</v>
      </c>
      <c r="AS18" s="248"/>
      <c r="AT18" s="1033"/>
      <c r="AU18" s="106"/>
      <c r="AV18" s="7099"/>
      <c r="AW18" s="248"/>
      <c r="AX18" s="106"/>
      <c r="AY18" s="1034"/>
      <c r="AZ18" s="66"/>
      <c r="BA18" s="248"/>
      <c r="BB18" s="1033"/>
      <c r="BC18" s="106"/>
      <c r="BD18" s="5047"/>
      <c r="BE18" s="248"/>
      <c r="BF18" s="106"/>
      <c r="BG18" s="1034"/>
      <c r="BH18" s="66"/>
      <c r="BI18" s="66"/>
      <c r="BJ18" s="26"/>
    </row>
    <row r="19" spans="1:62" x14ac:dyDescent="0.35">
      <c r="A19" s="9168"/>
      <c r="B19" s="6082"/>
      <c r="C19" s="110" t="s">
        <v>3586</v>
      </c>
      <c r="D19" s="197"/>
      <c r="F19" s="122"/>
      <c r="G19"/>
      <c r="H19" s="114"/>
      <c r="I19" s="123"/>
      <c r="J19" s="64"/>
      <c r="L19" s="114"/>
      <c r="M19" s="66"/>
      <c r="O19" s="114">
        <v>48778</v>
      </c>
      <c r="P19" s="113">
        <v>27620</v>
      </c>
      <c r="Q19" s="106"/>
      <c r="R19" s="5046">
        <f t="shared" ref="R19:R22" si="7">P19/O19</f>
        <v>0.56623887818278729</v>
      </c>
      <c r="S19" s="5047"/>
      <c r="T19" s="248">
        <v>50149</v>
      </c>
      <c r="U19" s="106"/>
      <c r="V19" s="1034">
        <v>44820</v>
      </c>
      <c r="W19" s="66"/>
      <c r="X19" s="248">
        <f>50149+1500</f>
        <v>51649</v>
      </c>
      <c r="Y19" s="113">
        <f>20995+1274</f>
        <v>22269</v>
      </c>
      <c r="Z19" s="106"/>
      <c r="AA19" s="5046">
        <f t="shared" ref="AA19:AA22" si="8">Y19/X19</f>
        <v>0.43116033224263778</v>
      </c>
      <c r="AB19" s="5047"/>
      <c r="AC19" s="248">
        <f>38581+3460</f>
        <v>42041</v>
      </c>
      <c r="AD19" s="106"/>
      <c r="AE19" s="1034">
        <f>AC19*AA19</f>
        <v>18126.411527812736</v>
      </c>
      <c r="AF19" s="66"/>
      <c r="AG19" s="26"/>
      <c r="AI19" s="248">
        <f>38581+3460</f>
        <v>42041</v>
      </c>
      <c r="AJ19" s="1034">
        <v>18126.411527812736</v>
      </c>
      <c r="AK19" s="106"/>
      <c r="AL19" s="5047"/>
      <c r="AM19" s="248">
        <v>135435</v>
      </c>
      <c r="AN19" s="106"/>
      <c r="AO19" s="1034">
        <v>103683</v>
      </c>
      <c r="AP19" s="66"/>
      <c r="AQ19" s="26"/>
      <c r="AS19" s="248">
        <v>134856</v>
      </c>
      <c r="AT19" s="1033">
        <v>78245</v>
      </c>
      <c r="AU19" s="106"/>
      <c r="AV19" s="7099"/>
      <c r="AW19" s="248">
        <v>112145</v>
      </c>
      <c r="AX19" s="106"/>
      <c r="AY19" s="1034">
        <v>103864</v>
      </c>
      <c r="AZ19" s="66"/>
      <c r="BA19" s="248">
        <v>112145</v>
      </c>
      <c r="BB19" s="1033">
        <v>103864</v>
      </c>
      <c r="BC19" s="106"/>
      <c r="BD19" s="5047"/>
      <c r="BE19" s="248">
        <v>137382</v>
      </c>
      <c r="BF19" s="106"/>
      <c r="BG19" s="1034">
        <v>160438</v>
      </c>
      <c r="BH19" s="66"/>
      <c r="BI19" s="66"/>
      <c r="BJ19" s="26"/>
    </row>
    <row r="20" spans="1:62" x14ac:dyDescent="0.35">
      <c r="A20" s="9168"/>
      <c r="B20" s="6082"/>
      <c r="C20" s="110" t="s">
        <v>3587</v>
      </c>
      <c r="D20" s="197"/>
      <c r="F20" s="122"/>
      <c r="G20"/>
      <c r="H20" s="114"/>
      <c r="I20" s="123"/>
      <c r="J20" s="64"/>
      <c r="L20" s="114"/>
      <c r="M20" s="66"/>
      <c r="O20" s="114">
        <v>147358</v>
      </c>
      <c r="P20" s="113">
        <v>123999</v>
      </c>
      <c r="Q20" s="106"/>
      <c r="R20" s="5046">
        <f t="shared" si="7"/>
        <v>0.84148129046268272</v>
      </c>
      <c r="S20" s="5047"/>
      <c r="T20" s="248">
        <v>173988</v>
      </c>
      <c r="U20" s="106"/>
      <c r="V20" s="1034">
        <v>172692</v>
      </c>
      <c r="W20" s="66"/>
      <c r="X20" s="248">
        <v>173988</v>
      </c>
      <c r="Y20" s="113">
        <v>145670</v>
      </c>
      <c r="Z20" s="106"/>
      <c r="AA20" s="5046">
        <f t="shared" si="8"/>
        <v>0.83724164884934593</v>
      </c>
      <c r="AB20" s="5047"/>
      <c r="AC20" s="248">
        <v>283891</v>
      </c>
      <c r="AD20" s="106"/>
      <c r="AE20" s="1034">
        <f>AC20*AA20</f>
        <v>237685.36893348966</v>
      </c>
      <c r="AF20" s="66"/>
      <c r="AG20" s="26"/>
      <c r="AI20" s="248">
        <v>283891</v>
      </c>
      <c r="AJ20" s="1034">
        <v>237685.36893348966</v>
      </c>
      <c r="AK20" s="106"/>
      <c r="AL20" s="5047"/>
      <c r="AM20" s="248">
        <v>218139</v>
      </c>
      <c r="AN20" s="106"/>
      <c r="AO20" s="1034">
        <v>208138</v>
      </c>
      <c r="AP20" s="66"/>
      <c r="AQ20" s="26"/>
      <c r="AS20" s="248">
        <v>218139</v>
      </c>
      <c r="AT20" s="1033">
        <v>149070</v>
      </c>
      <c r="AU20" s="106"/>
      <c r="AV20" s="7099"/>
      <c r="AW20" s="248">
        <v>195831</v>
      </c>
      <c r="AX20" s="106"/>
      <c r="AY20" s="1034">
        <v>177449</v>
      </c>
      <c r="AZ20" s="66"/>
      <c r="BA20" s="248">
        <v>195831</v>
      </c>
      <c r="BB20" s="1033">
        <v>177449</v>
      </c>
      <c r="BC20" s="106"/>
      <c r="BD20" s="5047"/>
      <c r="BE20" s="248">
        <v>333332</v>
      </c>
      <c r="BF20" s="106"/>
      <c r="BG20" s="1034">
        <v>206936</v>
      </c>
      <c r="BH20" s="66"/>
      <c r="BI20" s="66"/>
      <c r="BJ20" s="26"/>
    </row>
    <row r="21" spans="1:62" x14ac:dyDescent="0.35">
      <c r="A21" s="9168"/>
      <c r="B21" s="6082"/>
      <c r="C21" s="110" t="s">
        <v>3588</v>
      </c>
      <c r="D21" s="197"/>
      <c r="F21" s="122"/>
      <c r="H21" s="114">
        <v>35572</v>
      </c>
      <c r="I21" s="123">
        <v>88142.839521999995</v>
      </c>
      <c r="J21" s="64">
        <f t="shared" si="5"/>
        <v>2.4778713460586976</v>
      </c>
      <c r="L21" s="114">
        <v>106053.818</v>
      </c>
      <c r="M21" s="66">
        <f t="shared" si="6"/>
        <v>262787.71676232415</v>
      </c>
      <c r="O21" s="114">
        <v>80360</v>
      </c>
      <c r="P21" s="113">
        <v>114947</v>
      </c>
      <c r="Q21" s="106"/>
      <c r="R21" s="5046">
        <f t="shared" si="7"/>
        <v>1.4304006968641114</v>
      </c>
      <c r="S21" s="5047"/>
      <c r="T21" s="248">
        <v>125497</v>
      </c>
      <c r="U21" s="106"/>
      <c r="V21" s="1034">
        <v>116174</v>
      </c>
      <c r="W21" s="66"/>
      <c r="X21" s="248">
        <v>125497</v>
      </c>
      <c r="Y21" s="113">
        <v>132577</v>
      </c>
      <c r="Z21" s="106"/>
      <c r="AA21" s="5046">
        <f t="shared" si="8"/>
        <v>1.0564156912117422</v>
      </c>
      <c r="AB21" s="5047"/>
      <c r="AC21" s="248">
        <v>143519</v>
      </c>
      <c r="AD21" s="106"/>
      <c r="AE21" s="1034">
        <v>195197.93450599999</v>
      </c>
      <c r="AF21" s="66"/>
      <c r="AG21" s="26"/>
      <c r="AI21" s="248">
        <v>143519</v>
      </c>
      <c r="AJ21" s="1034">
        <v>195197.93450599999</v>
      </c>
      <c r="AK21" s="106"/>
      <c r="AL21" s="5047"/>
      <c r="AM21" s="248">
        <v>177319</v>
      </c>
      <c r="AN21" s="106"/>
      <c r="AO21" s="1034">
        <v>167512</v>
      </c>
      <c r="AP21" s="66"/>
      <c r="AQ21" s="26"/>
      <c r="AS21" s="248">
        <v>177319</v>
      </c>
      <c r="AT21" s="1033">
        <v>190321</v>
      </c>
      <c r="AU21" s="106"/>
      <c r="AV21" s="7099"/>
      <c r="AW21" s="248">
        <v>208225</v>
      </c>
      <c r="AX21" s="106"/>
      <c r="AY21" s="1034">
        <v>224319</v>
      </c>
      <c r="AZ21" s="66"/>
      <c r="BA21" s="248">
        <v>208225</v>
      </c>
      <c r="BB21" s="1033">
        <v>224319</v>
      </c>
      <c r="BC21" s="106"/>
      <c r="BD21" s="5047"/>
      <c r="BE21" s="248">
        <v>243996</v>
      </c>
      <c r="BF21" s="106"/>
      <c r="BG21" s="1034">
        <v>261544</v>
      </c>
      <c r="BH21" s="66"/>
      <c r="BI21" s="66"/>
      <c r="BJ21" s="26"/>
    </row>
    <row r="22" spans="1:62" x14ac:dyDescent="0.35">
      <c r="A22" s="9168"/>
      <c r="B22" s="6082"/>
      <c r="C22" s="110" t="s">
        <v>3589</v>
      </c>
      <c r="D22" s="197"/>
      <c r="F22" s="122"/>
      <c r="H22" s="114"/>
      <c r="I22" s="123"/>
      <c r="J22" s="64"/>
      <c r="L22" s="114"/>
      <c r="M22" s="66"/>
      <c r="O22" s="114">
        <v>2000</v>
      </c>
      <c r="P22" s="123">
        <v>767</v>
      </c>
      <c r="Q22" s="106"/>
      <c r="R22" s="5046">
        <f t="shared" si="7"/>
        <v>0.38350000000000001</v>
      </c>
      <c r="S22" s="5047"/>
      <c r="T22" s="248">
        <v>1500</v>
      </c>
      <c r="U22" s="106"/>
      <c r="V22" s="1034">
        <v>1500</v>
      </c>
      <c r="W22" s="66"/>
      <c r="X22" s="248"/>
      <c r="Y22" s="123"/>
      <c r="Z22" s="106"/>
      <c r="AA22" s="5046" t="e">
        <f t="shared" si="8"/>
        <v>#DIV/0!</v>
      </c>
      <c r="AB22" s="5047"/>
      <c r="AC22" s="248"/>
      <c r="AD22" s="106"/>
      <c r="AE22" s="1034"/>
      <c r="AF22" s="66"/>
      <c r="AG22" s="26"/>
      <c r="AI22" s="248"/>
      <c r="AJ22" s="1034"/>
      <c r="AK22" s="106"/>
      <c r="AL22" s="5047"/>
      <c r="AM22" s="248"/>
      <c r="AN22" s="106"/>
      <c r="AO22" s="1034"/>
      <c r="AP22" s="66"/>
      <c r="AQ22" s="26"/>
      <c r="AS22" s="248"/>
      <c r="AT22" s="1033"/>
      <c r="AU22" s="106"/>
      <c r="AV22" s="7099"/>
      <c r="AW22" s="248"/>
      <c r="AX22" s="106"/>
      <c r="AY22" s="1034"/>
      <c r="AZ22" s="66"/>
      <c r="BA22" s="248"/>
      <c r="BB22" s="1033"/>
      <c r="BC22" s="106"/>
      <c r="BD22" s="5047"/>
      <c r="BE22" s="248"/>
      <c r="BF22" s="106"/>
      <c r="BG22" s="1034"/>
      <c r="BH22" s="66"/>
      <c r="BI22" s="66"/>
      <c r="BJ22" s="26"/>
    </row>
    <row r="23" spans="1:62" x14ac:dyDescent="0.35">
      <c r="A23" s="9168"/>
      <c r="B23" s="128"/>
      <c r="C23" s="129" t="s">
        <v>479</v>
      </c>
      <c r="D23" s="209"/>
      <c r="F23" s="130"/>
      <c r="H23" s="131">
        <f>SUM(H17:H21)</f>
        <v>630535</v>
      </c>
      <c r="I23" s="132">
        <f>SUM(I17:I21)</f>
        <v>648282</v>
      </c>
      <c r="J23" s="133">
        <f t="shared" si="5"/>
        <v>1.0281459395592631</v>
      </c>
      <c r="L23" s="131">
        <v>802788.56338599999</v>
      </c>
      <c r="M23" s="92">
        <f>L23*J23</f>
        <v>825383.80176993005</v>
      </c>
      <c r="O23" s="131">
        <f>SUM(O17:O22)</f>
        <v>736055</v>
      </c>
      <c r="P23" s="132">
        <f>SUM(P17:P22)</f>
        <v>766329</v>
      </c>
      <c r="Q23" s="216"/>
      <c r="R23" s="5048">
        <f>P23/O23</f>
        <v>1.0411300785946702</v>
      </c>
      <c r="S23" s="5047"/>
      <c r="T23" s="211">
        <f>SUM(T17:T22)</f>
        <v>923990</v>
      </c>
      <c r="U23" s="98" t="s">
        <v>3590</v>
      </c>
      <c r="V23" s="485">
        <f>SUM(V17:V22)</f>
        <v>917229</v>
      </c>
      <c r="W23" s="66"/>
      <c r="X23" s="211">
        <f>SUM(X17:X22)</f>
        <v>923990</v>
      </c>
      <c r="Y23" s="132">
        <f>SUM(Y17:Y22)</f>
        <v>895908</v>
      </c>
      <c r="Z23" s="98"/>
      <c r="AA23" s="5048">
        <f>Y23/X23</f>
        <v>0.96960789618935272</v>
      </c>
      <c r="AB23" s="5047"/>
      <c r="AC23" s="211">
        <f>SUM(AC17:AC22)</f>
        <v>1149211</v>
      </c>
      <c r="AD23" s="98" t="s">
        <v>3590</v>
      </c>
      <c r="AE23" s="485">
        <f>SUM(AE17:AE22)</f>
        <v>1130769.7149673023</v>
      </c>
      <c r="AF23" s="66"/>
      <c r="AG23" s="24"/>
      <c r="AI23" s="211">
        <f>SUM(AI17:AI22)</f>
        <v>1149211</v>
      </c>
      <c r="AJ23" s="485">
        <v>1130769.7149673023</v>
      </c>
      <c r="AK23" s="98" t="s">
        <v>3590</v>
      </c>
      <c r="AL23" s="5047"/>
      <c r="AM23" s="211">
        <f>SUM(AM17:AM22)</f>
        <v>1319314</v>
      </c>
      <c r="AN23" s="98" t="s">
        <v>3590</v>
      </c>
      <c r="AO23" s="485">
        <f>SUM(AO17:AO22)</f>
        <v>1309966</v>
      </c>
      <c r="AP23" s="66"/>
      <c r="AQ23" s="24"/>
      <c r="AS23" s="211">
        <f>SUM(AS17:AS22)</f>
        <v>1319313</v>
      </c>
      <c r="AT23" s="212">
        <f>SUM(AT17:AT22)</f>
        <v>1288582</v>
      </c>
      <c r="AU23" s="98"/>
      <c r="AV23" s="7099"/>
      <c r="AW23" s="211">
        <f>SUM(AW17:AW22)</f>
        <v>1462627</v>
      </c>
      <c r="AX23" s="106"/>
      <c r="AY23" s="485">
        <f>SUM(AY17:AY22)</f>
        <v>1446732</v>
      </c>
      <c r="AZ23" s="66"/>
      <c r="BA23" s="211">
        <f>SUM(BA17:BA22)</f>
        <v>1462627</v>
      </c>
      <c r="BB23" s="212">
        <f>SUM(BB17:BB22)</f>
        <v>1446732</v>
      </c>
      <c r="BC23" s="98"/>
      <c r="BD23" s="5047"/>
      <c r="BE23" s="211">
        <f>SUM(BE17:BE22)</f>
        <v>1841538</v>
      </c>
      <c r="BF23" s="106"/>
      <c r="BG23" s="485">
        <f>SUM(BG17:BG22)</f>
        <v>1781346</v>
      </c>
      <c r="BH23" s="66"/>
      <c r="BI23" s="66"/>
      <c r="BJ23" s="24" t="s">
        <v>3591</v>
      </c>
    </row>
    <row r="24" spans="1:62" x14ac:dyDescent="0.35">
      <c r="A24" s="9168"/>
      <c r="B24" s="139" t="s">
        <v>480</v>
      </c>
      <c r="C24" s="49"/>
      <c r="D24" s="184"/>
      <c r="E24" s="141"/>
      <c r="F24" s="142"/>
      <c r="G24" s="143"/>
      <c r="H24" s="144"/>
      <c r="I24" s="145"/>
      <c r="J24" s="146"/>
      <c r="K24" s="141"/>
      <c r="L24" s="147"/>
      <c r="M24" s="148"/>
      <c r="N24" s="141"/>
      <c r="O24" s="147"/>
      <c r="P24" s="1149"/>
      <c r="Q24" s="1149"/>
      <c r="R24" s="899"/>
      <c r="S24" s="141"/>
      <c r="T24" s="147"/>
      <c r="U24" s="1006"/>
      <c r="V24" s="148"/>
      <c r="W24" s="157"/>
      <c r="X24" s="147"/>
      <c r="Y24" s="1149"/>
      <c r="Z24" s="1149"/>
      <c r="AA24" s="899"/>
      <c r="AB24" s="141"/>
      <c r="AC24" s="147"/>
      <c r="AD24" s="1006"/>
      <c r="AE24" s="148"/>
      <c r="AF24" s="157"/>
      <c r="AG24" s="18"/>
      <c r="AI24" s="147"/>
      <c r="AJ24" s="148"/>
      <c r="AK24" s="1006"/>
      <c r="AL24" s="141"/>
      <c r="AM24" s="147"/>
      <c r="AN24" s="1006"/>
      <c r="AO24" s="148"/>
      <c r="AP24" s="157"/>
      <c r="AQ24" s="18"/>
      <c r="AS24" s="3635" t="s">
        <v>890</v>
      </c>
      <c r="AT24" s="152" t="s">
        <v>3582</v>
      </c>
      <c r="AU24" s="1006"/>
      <c r="AV24" s="141"/>
      <c r="AW24" s="102" t="s">
        <v>3582</v>
      </c>
      <c r="AX24" s="103"/>
      <c r="AY24" s="105" t="s">
        <v>3582</v>
      </c>
      <c r="AZ24" s="157"/>
      <c r="BA24" s="3635" t="s">
        <v>3582</v>
      </c>
      <c r="BB24" s="152" t="s">
        <v>3582</v>
      </c>
      <c r="BC24" s="1006"/>
      <c r="BD24" s="141"/>
      <c r="BE24" s="102" t="s">
        <v>3582</v>
      </c>
      <c r="BF24" s="103"/>
      <c r="BG24" s="105" t="s">
        <v>3582</v>
      </c>
      <c r="BH24" s="157"/>
      <c r="BI24" s="157"/>
      <c r="BJ24" s="18"/>
    </row>
    <row r="25" spans="1:62" x14ac:dyDescent="0.35">
      <c r="A25" s="9168"/>
      <c r="B25" s="6082"/>
      <c r="C25" s="110" t="s">
        <v>483</v>
      </c>
      <c r="D25" s="197">
        <v>3</v>
      </c>
      <c r="F25" s="155"/>
      <c r="H25" s="117">
        <v>131066.83</v>
      </c>
      <c r="I25" s="115">
        <v>140493.03182599999</v>
      </c>
      <c r="J25" s="64">
        <f t="shared" ref="J25:J28" si="9">IF(H25=0,0,I25/H25)</f>
        <v>1.0719190494345519</v>
      </c>
      <c r="L25" s="156">
        <v>198012</v>
      </c>
      <c r="M25" s="157">
        <f t="shared" ref="M25:M28" si="10">L25*J25</f>
        <v>212252.83481663448</v>
      </c>
      <c r="O25" s="156">
        <v>163321</v>
      </c>
      <c r="P25" s="647">
        <v>196930</v>
      </c>
      <c r="Q25" s="4901" t="s">
        <v>1825</v>
      </c>
      <c r="R25" s="5046">
        <f>P25/O25</f>
        <v>1.2057849266169078</v>
      </c>
      <c r="S25" s="5047"/>
      <c r="T25" s="156">
        <v>228690</v>
      </c>
      <c r="U25" s="312"/>
      <c r="V25" s="1009">
        <v>222275</v>
      </c>
      <c r="W25" s="66"/>
      <c r="X25" s="156">
        <v>228690</v>
      </c>
      <c r="Y25" s="647">
        <v>226174</v>
      </c>
      <c r="Z25" s="70" t="s">
        <v>3577</v>
      </c>
      <c r="AA25" s="5046">
        <f>Y25/X25</f>
        <v>0.9889982071800254</v>
      </c>
      <c r="AB25" s="5047"/>
      <c r="AC25" s="156">
        <v>272269</v>
      </c>
      <c r="AD25" s="312"/>
      <c r="AE25" s="1009">
        <f>AC25*AA25</f>
        <v>269273.55287069833</v>
      </c>
      <c r="AF25" s="66"/>
      <c r="AG25" s="26" t="s">
        <v>3592</v>
      </c>
      <c r="AI25" s="156">
        <v>272269</v>
      </c>
      <c r="AJ25" s="66">
        <v>269273.55287069833</v>
      </c>
      <c r="AK25" s="312"/>
      <c r="AL25" s="5047"/>
      <c r="AM25" s="156">
        <v>309576</v>
      </c>
      <c r="AN25" s="312"/>
      <c r="AO25" s="1009">
        <v>315215</v>
      </c>
      <c r="AP25" s="66"/>
      <c r="AQ25" s="26"/>
      <c r="AS25" s="156">
        <v>317191</v>
      </c>
      <c r="AT25" s="647">
        <v>331358</v>
      </c>
      <c r="AU25" s="7100"/>
      <c r="AV25" s="7099"/>
      <c r="AW25" s="156">
        <v>402564</v>
      </c>
      <c r="AX25" s="312"/>
      <c r="AY25" s="1009">
        <v>398846</v>
      </c>
      <c r="AZ25" s="66"/>
      <c r="BA25" s="156">
        <v>402564</v>
      </c>
      <c r="BB25" s="647">
        <v>398846</v>
      </c>
      <c r="BC25" s="8876" t="s">
        <v>3593</v>
      </c>
      <c r="BD25" s="5047"/>
      <c r="BE25" s="156">
        <v>478057</v>
      </c>
      <c r="BF25" s="312"/>
      <c r="BG25" s="1009">
        <v>473624</v>
      </c>
      <c r="BH25" s="106"/>
      <c r="BI25" s="106"/>
      <c r="BJ25" s="1941" t="s">
        <v>3594</v>
      </c>
    </row>
    <row r="26" spans="1:62" x14ac:dyDescent="0.35">
      <c r="A26" s="9168"/>
      <c r="B26" s="6082"/>
      <c r="C26" s="110" t="s">
        <v>489</v>
      </c>
      <c r="D26" s="197"/>
      <c r="F26" s="155"/>
      <c r="H26" s="117"/>
      <c r="I26" s="115"/>
      <c r="J26" s="64">
        <f t="shared" si="9"/>
        <v>0</v>
      </c>
      <c r="L26" s="156"/>
      <c r="M26" s="157">
        <f t="shared" si="10"/>
        <v>0</v>
      </c>
      <c r="O26" s="156"/>
      <c r="P26" s="647"/>
      <c r="Q26" s="312"/>
      <c r="R26" s="5046"/>
      <c r="T26" s="156"/>
      <c r="U26" s="312"/>
      <c r="V26" s="1009"/>
      <c r="W26" s="157"/>
      <c r="X26" s="156"/>
      <c r="Y26" s="647"/>
      <c r="Z26" s="312"/>
      <c r="AA26" s="5046"/>
      <c r="AC26" s="156"/>
      <c r="AD26" s="312"/>
      <c r="AE26" s="1009"/>
      <c r="AF26" s="157"/>
      <c r="AG26" s="26"/>
      <c r="AI26" s="156"/>
      <c r="AJ26" s="157"/>
      <c r="AK26" s="312"/>
      <c r="AM26" s="156"/>
      <c r="AN26" s="312"/>
      <c r="AO26" s="1009"/>
      <c r="AP26" s="157"/>
      <c r="AQ26" s="26"/>
      <c r="AS26" s="156">
        <v>309576</v>
      </c>
      <c r="AT26" s="647">
        <v>316182</v>
      </c>
      <c r="AU26" s="7100">
        <f>AT26/AS26</f>
        <v>1.0213388634777889</v>
      </c>
      <c r="AW26" s="156">
        <v>393639</v>
      </c>
      <c r="AX26" s="312"/>
      <c r="AY26" s="1009">
        <v>387484</v>
      </c>
      <c r="AZ26" s="157"/>
      <c r="BA26" s="156">
        <v>393639</v>
      </c>
      <c r="BB26" s="647">
        <v>387484</v>
      </c>
      <c r="BC26" s="8876"/>
      <c r="BE26" s="156">
        <v>465696</v>
      </c>
      <c r="BF26" s="312"/>
      <c r="BG26" s="1009">
        <v>461263</v>
      </c>
      <c r="BH26" s="312"/>
      <c r="BI26" s="312"/>
      <c r="BJ26" s="7101" t="s">
        <v>3595</v>
      </c>
    </row>
    <row r="27" spans="1:62" x14ac:dyDescent="0.35">
      <c r="A27" s="9168"/>
      <c r="B27" s="6082"/>
      <c r="C27" s="110" t="s">
        <v>490</v>
      </c>
      <c r="D27" s="197">
        <v>4</v>
      </c>
      <c r="F27" s="155"/>
      <c r="H27" s="117">
        <v>19699.502453000001</v>
      </c>
      <c r="I27" s="115">
        <v>19581.009999999998</v>
      </c>
      <c r="J27" s="64">
        <f t="shared" si="9"/>
        <v>0.99398500275411994</v>
      </c>
      <c r="L27" s="156">
        <f>10422.618379+14362.77871</f>
        <v>24785.397088999998</v>
      </c>
      <c r="M27" s="157">
        <f t="shared" si="10"/>
        <v>24636.312993771618</v>
      </c>
      <c r="O27" s="156">
        <v>24881</v>
      </c>
      <c r="P27" s="647">
        <v>30981</v>
      </c>
      <c r="Q27" s="4901" t="s">
        <v>1825</v>
      </c>
      <c r="R27" s="5046">
        <f t="shared" ref="R27" si="11">P27/O27</f>
        <v>1.2451669948957036</v>
      </c>
      <c r="T27" s="156">
        <v>43148</v>
      </c>
      <c r="U27" s="2990" t="s">
        <v>3596</v>
      </c>
      <c r="V27" s="1009">
        <v>42145</v>
      </c>
      <c r="W27" s="157"/>
      <c r="X27" s="156">
        <v>43148</v>
      </c>
      <c r="Y27" s="647">
        <v>42145</v>
      </c>
      <c r="Z27" s="2990"/>
      <c r="AA27" s="5046">
        <f t="shared" ref="AA27" si="12">Y27/X27</f>
        <v>0.97675442662464074</v>
      </c>
      <c r="AC27" s="156">
        <v>50155.4</v>
      </c>
      <c r="AD27" s="2990"/>
      <c r="AE27" s="1009">
        <v>43145.905502000001</v>
      </c>
      <c r="AF27" s="157"/>
      <c r="AG27" s="26" t="s">
        <v>3597</v>
      </c>
      <c r="AI27" s="156">
        <v>50155.4</v>
      </c>
      <c r="AJ27" s="611">
        <v>43145.905502000001</v>
      </c>
      <c r="AK27" s="2990"/>
      <c r="AM27" s="156">
        <v>68601</v>
      </c>
      <c r="AN27" s="2990"/>
      <c r="AO27" s="1009">
        <v>68601</v>
      </c>
      <c r="AP27" s="157"/>
      <c r="AQ27" s="26"/>
      <c r="AS27" s="156">
        <v>68601</v>
      </c>
      <c r="AT27" s="647">
        <v>60986</v>
      </c>
      <c r="AU27" s="2990"/>
      <c r="AW27" s="156">
        <v>69714</v>
      </c>
      <c r="AX27" s="2990"/>
      <c r="AY27" s="1009">
        <v>72277</v>
      </c>
      <c r="AZ27" s="157"/>
      <c r="BA27" s="156">
        <v>69714</v>
      </c>
      <c r="BB27" s="647">
        <v>72277</v>
      </c>
      <c r="BC27" s="2990"/>
      <c r="BE27" s="156">
        <v>85919</v>
      </c>
      <c r="BF27" s="2990"/>
      <c r="BG27" s="1009">
        <v>86980</v>
      </c>
      <c r="BH27" s="312"/>
      <c r="BI27" s="312"/>
      <c r="BJ27" s="2990" t="s">
        <v>3598</v>
      </c>
    </row>
    <row r="28" spans="1:62" x14ac:dyDescent="0.35">
      <c r="A28" s="9168"/>
      <c r="B28" s="6082"/>
      <c r="C28" s="161" t="s">
        <v>497</v>
      </c>
      <c r="D28" s="610"/>
      <c r="F28" s="163"/>
      <c r="H28" s="164"/>
      <c r="I28" s="165"/>
      <c r="J28" s="64">
        <f t="shared" si="9"/>
        <v>0</v>
      </c>
      <c r="L28" s="166"/>
      <c r="M28" s="157">
        <f t="shared" si="10"/>
        <v>0</v>
      </c>
      <c r="O28" s="166"/>
      <c r="P28" s="647"/>
      <c r="Q28" s="312"/>
      <c r="R28" s="1616"/>
      <c r="T28" s="166"/>
      <c r="U28" s="312"/>
      <c r="V28" s="1795"/>
      <c r="W28" s="157"/>
      <c r="X28" s="166"/>
      <c r="Y28" s="647"/>
      <c r="Z28" s="312"/>
      <c r="AA28" s="1616"/>
      <c r="AC28" s="166"/>
      <c r="AD28" s="312"/>
      <c r="AE28" s="1795"/>
      <c r="AF28" s="157"/>
      <c r="AG28" s="26"/>
      <c r="AI28" s="166"/>
      <c r="AJ28" s="157"/>
      <c r="AK28" s="312"/>
      <c r="AM28" s="166"/>
      <c r="AN28" s="312"/>
      <c r="AO28" s="1795"/>
      <c r="AP28" s="157"/>
      <c r="AQ28" s="26"/>
      <c r="AS28" s="166"/>
      <c r="AT28" s="647"/>
      <c r="AU28" s="312"/>
      <c r="AW28" s="166"/>
      <c r="AX28" s="312"/>
      <c r="AY28" s="1795"/>
      <c r="AZ28" s="157"/>
      <c r="BA28" s="166"/>
      <c r="BB28" s="647"/>
      <c r="BC28" s="312"/>
      <c r="BE28" s="166"/>
      <c r="BF28" s="312"/>
      <c r="BG28" s="1795"/>
      <c r="BH28" s="157"/>
      <c r="BI28" s="157"/>
      <c r="BJ28" s="26"/>
    </row>
    <row r="29" spans="1:62" x14ac:dyDescent="0.35">
      <c r="A29" s="9168"/>
      <c r="B29" s="128"/>
      <c r="C29" s="129" t="s">
        <v>499</v>
      </c>
      <c r="D29" s="209"/>
      <c r="F29" s="169">
        <f>IF(F25=0,0,F27/F25)</f>
        <v>0</v>
      </c>
      <c r="G29" s="170"/>
      <c r="H29" s="171">
        <f t="shared" ref="H29:I29" si="13">IF(H25=0,0,H27/H25)</f>
        <v>0.15030120475943456</v>
      </c>
      <c r="I29" s="172">
        <f t="shared" si="13"/>
        <v>0.1393735315232644</v>
      </c>
      <c r="J29" s="173"/>
      <c r="K29" s="170"/>
      <c r="L29" s="174">
        <f>IF(L25=0,0,L27/L25)</f>
        <v>0.12517118704421953</v>
      </c>
      <c r="M29" s="175">
        <f>IF(M25=0,0,M27/M25)</f>
        <v>0.1160705957828783</v>
      </c>
      <c r="N29" s="176"/>
      <c r="O29" s="174">
        <f>IF(O25=0,0,O27/O25)</f>
        <v>0.15234415659957998</v>
      </c>
      <c r="P29" s="178">
        <f>IF(P25=0,0,P27/P25)</f>
        <v>0.15731985984867719</v>
      </c>
      <c r="Q29" s="178"/>
      <c r="R29" s="5051"/>
      <c r="S29" s="176"/>
      <c r="T29" s="174">
        <f>IF(T25=0,0,T27/T25)</f>
        <v>0.18867462503826141</v>
      </c>
      <c r="U29" s="178"/>
      <c r="V29" s="175">
        <f>IF(V25=0,0,V27/V25)</f>
        <v>0.18960746822629626</v>
      </c>
      <c r="W29" s="1020"/>
      <c r="X29" s="174">
        <f>IF(X25=0,0,X27/X25)</f>
        <v>0.18867462503826141</v>
      </c>
      <c r="Y29" s="178">
        <f>IF(Y25=0,0,Y27/Y25)</f>
        <v>0.18633883647103558</v>
      </c>
      <c r="Z29" s="178"/>
      <c r="AA29" s="5051"/>
      <c r="AB29" s="176"/>
      <c r="AC29" s="174">
        <f>IF(AC25=0,0,AC27/AC25)</f>
        <v>0.18421267202656197</v>
      </c>
      <c r="AD29" s="178"/>
      <c r="AE29" s="175">
        <f>IF(AE25=0,0,AE27/AE25)</f>
        <v>0.16023075806006878</v>
      </c>
      <c r="AF29" s="1020"/>
      <c r="AG29" s="24"/>
      <c r="AI29" s="174">
        <f>IF(AI25=0,0,AI27/AI25)</f>
        <v>0.18421267202656197</v>
      </c>
      <c r="AJ29" s="175">
        <f>IF(AJ25=0,0,AJ27/AJ25)</f>
        <v>0.16023075806006878</v>
      </c>
      <c r="AK29" s="178"/>
      <c r="AL29" s="176"/>
      <c r="AM29" s="174">
        <f>IF(AM25=0,0,AM27/AM25)</f>
        <v>0.22159663539809288</v>
      </c>
      <c r="AN29" s="178"/>
      <c r="AO29" s="175">
        <f>IF(AO25=0,0,AO27/AO25)</f>
        <v>0.21763240962517647</v>
      </c>
      <c r="AP29" s="1020"/>
      <c r="AQ29" s="24"/>
      <c r="AS29" s="495">
        <f>IF(AS25=0,0,AS27/AS25)</f>
        <v>0.2162766282775993</v>
      </c>
      <c r="AT29" s="498">
        <f>IF(AT25=0,0,AT27/AT25)</f>
        <v>0.18404867243283698</v>
      </c>
      <c r="AU29" s="498"/>
      <c r="AV29" s="176"/>
      <c r="AW29" s="495">
        <f>IF(AW25=0,0,AW27/AW25)</f>
        <v>0.17317494857960472</v>
      </c>
      <c r="AX29" s="498"/>
      <c r="AY29" s="496">
        <f>IF(AY25=0,0,AY27/AY25)</f>
        <v>0.18121530615826659</v>
      </c>
      <c r="AZ29" s="837"/>
      <c r="BA29" s="174">
        <f>IF(BA25=0,0,BA27/BA25)</f>
        <v>0.17317494857960472</v>
      </c>
      <c r="BB29" s="178">
        <f>IF(BB25=0,0,BB27/BB25)</f>
        <v>0.18121530615826659</v>
      </c>
      <c r="BC29" s="178"/>
      <c r="BD29" s="176"/>
      <c r="BE29" s="174">
        <f>IF(BE25=0,0,BE27/BE25)</f>
        <v>0.17972543023112306</v>
      </c>
      <c r="BF29" s="178"/>
      <c r="BG29" s="175">
        <f>IF(BG25=0,0,BG27/BG25)</f>
        <v>0.18364778811884533</v>
      </c>
      <c r="BH29" s="1020"/>
      <c r="BI29" s="1020"/>
      <c r="BJ29" s="24"/>
    </row>
    <row r="30" spans="1:62" x14ac:dyDescent="0.35">
      <c r="A30" s="9168"/>
      <c r="B30" s="139" t="s">
        <v>501</v>
      </c>
      <c r="C30" s="49"/>
      <c r="D30" s="184">
        <v>5</v>
      </c>
      <c r="F30" s="185"/>
      <c r="H30" s="186">
        <v>23339.986498999999</v>
      </c>
      <c r="I30" s="187">
        <v>14109.129652</v>
      </c>
      <c r="J30" s="188">
        <f>IF(H30=0,0,I30/H30)</f>
        <v>0.60450461925522125</v>
      </c>
      <c r="L30" s="186">
        <v>24369.265278999999</v>
      </c>
      <c r="M30" s="148">
        <f>L30*J30</f>
        <v>14731.333429011378</v>
      </c>
      <c r="O30" s="102"/>
      <c r="P30" s="4472" t="s">
        <v>3599</v>
      </c>
      <c r="Q30" s="4472"/>
      <c r="R30" s="5052"/>
      <c r="S30" s="5047"/>
      <c r="T30" s="777"/>
      <c r="U30" s="4472" t="s">
        <v>3600</v>
      </c>
      <c r="V30" s="105"/>
      <c r="W30" s="66"/>
      <c r="X30" s="777"/>
      <c r="Y30" s="4472"/>
      <c r="Z30" s="4472" t="s">
        <v>3600</v>
      </c>
      <c r="AA30" s="5052"/>
      <c r="AB30" s="5047"/>
      <c r="AC30" s="777"/>
      <c r="AD30" s="4472" t="s">
        <v>3601</v>
      </c>
      <c r="AE30" s="105"/>
      <c r="AF30" s="66"/>
      <c r="AG30" s="3315" t="s">
        <v>3602</v>
      </c>
      <c r="AI30" s="777"/>
      <c r="AJ30" s="105"/>
      <c r="AK30" s="4472" t="s">
        <v>3601</v>
      </c>
      <c r="AL30" s="5047"/>
      <c r="AM30" s="777"/>
      <c r="AN30" s="4472" t="s">
        <v>3396</v>
      </c>
      <c r="AO30" s="105"/>
      <c r="AP30" s="66"/>
      <c r="AQ30" s="3315"/>
      <c r="AS30" s="777"/>
      <c r="AT30" s="105"/>
      <c r="AU30" s="4472"/>
      <c r="AV30" s="7099"/>
      <c r="AW30" s="777"/>
      <c r="AX30" s="4472"/>
      <c r="AY30" s="105"/>
      <c r="AZ30" s="66"/>
      <c r="BA30" s="777"/>
      <c r="BB30" s="105"/>
      <c r="BC30" s="4472"/>
      <c r="BD30" s="5047"/>
      <c r="BE30" s="777"/>
      <c r="BF30" s="4472"/>
      <c r="BG30" s="105"/>
      <c r="BH30" s="66"/>
      <c r="BI30" s="66"/>
      <c r="BJ30" s="3315"/>
    </row>
    <row r="31" spans="1:62" x14ac:dyDescent="0.35">
      <c r="A31" s="9168"/>
      <c r="B31" s="196"/>
      <c r="C31" s="110" t="s">
        <v>3603</v>
      </c>
      <c r="D31" s="5053"/>
      <c r="F31" s="122"/>
      <c r="H31" s="198"/>
      <c r="I31" s="199"/>
      <c r="J31" s="64"/>
      <c r="L31" s="198"/>
      <c r="M31" s="157"/>
      <c r="O31" s="198">
        <v>22639.923682000001</v>
      </c>
      <c r="P31" s="656">
        <v>24369.265278999999</v>
      </c>
      <c r="Q31" s="2990" t="s">
        <v>3604</v>
      </c>
      <c r="R31" s="5046">
        <f>P31/O31</f>
        <v>1.0763846036448843</v>
      </c>
      <c r="S31" s="5047"/>
      <c r="T31" s="198">
        <v>29233.75</v>
      </c>
      <c r="U31" s="106" t="s">
        <v>3605</v>
      </c>
      <c r="V31" s="482">
        <v>28847.45</v>
      </c>
      <c r="W31" s="106"/>
      <c r="X31" s="198">
        <v>29233.75</v>
      </c>
      <c r="Y31" s="656">
        <v>28847.45</v>
      </c>
      <c r="Z31" s="2990" t="s">
        <v>3605</v>
      </c>
      <c r="AA31" s="5046">
        <f>Y31/X31</f>
        <v>0.98678582118270841</v>
      </c>
      <c r="AB31" s="5047"/>
      <c r="AC31" s="198">
        <v>38756.958547000002</v>
      </c>
      <c r="AD31" s="106"/>
      <c r="AE31" s="482"/>
      <c r="AF31" s="106"/>
      <c r="AG31" s="625"/>
      <c r="AI31" s="198">
        <v>38756.958547000002</v>
      </c>
      <c r="AJ31" s="482"/>
      <c r="AK31" s="106"/>
      <c r="AL31" s="5047"/>
      <c r="AM31" s="198">
        <v>32539</v>
      </c>
      <c r="AN31" s="106"/>
      <c r="AO31" s="482">
        <v>30531</v>
      </c>
      <c r="AP31" s="106"/>
      <c r="AQ31" s="625"/>
      <c r="AS31" s="198">
        <v>179959.249924</v>
      </c>
      <c r="AT31" s="482"/>
      <c r="AU31" s="106"/>
      <c r="AV31" s="7099"/>
      <c r="AW31" s="198">
        <v>219079.12755100001</v>
      </c>
      <c r="AX31" s="106"/>
      <c r="AY31" s="482"/>
      <c r="AZ31" s="106"/>
      <c r="BA31" s="198"/>
      <c r="BB31" s="482"/>
      <c r="BC31" s="106"/>
      <c r="BD31" s="5047"/>
      <c r="BE31" s="198"/>
      <c r="BF31" s="106"/>
      <c r="BG31" s="482"/>
      <c r="BH31" s="106"/>
      <c r="BI31" s="106"/>
      <c r="BJ31" s="625"/>
    </row>
    <row r="32" spans="1:62" x14ac:dyDescent="0.35">
      <c r="A32" s="9169"/>
      <c r="B32" s="207"/>
      <c r="C32" s="129" t="s">
        <v>1116</v>
      </c>
      <c r="D32" s="5054"/>
      <c r="F32" s="210"/>
      <c r="H32" s="211"/>
      <c r="I32" s="212"/>
      <c r="J32" s="133"/>
      <c r="L32" s="211"/>
      <c r="M32" s="213"/>
      <c r="O32" s="198"/>
      <c r="P32" s="656"/>
      <c r="Q32" s="2990"/>
      <c r="R32" s="5046"/>
      <c r="S32" s="5047"/>
      <c r="T32" s="211"/>
      <c r="U32" s="216"/>
      <c r="V32" s="485"/>
      <c r="W32" s="106"/>
      <c r="X32" s="211"/>
      <c r="Y32" s="656"/>
      <c r="Z32" s="2990"/>
      <c r="AA32" s="5046"/>
      <c r="AB32" s="5047"/>
      <c r="AC32" s="211"/>
      <c r="AD32" s="216"/>
      <c r="AE32" s="485"/>
      <c r="AF32" s="106"/>
      <c r="AG32" s="625"/>
      <c r="AI32" s="211"/>
      <c r="AJ32" s="485"/>
      <c r="AK32" s="216"/>
      <c r="AL32" s="5047"/>
      <c r="AM32" s="211"/>
      <c r="AN32" s="216"/>
      <c r="AO32" s="485"/>
      <c r="AP32" s="106"/>
      <c r="AQ32" s="625"/>
      <c r="AS32" s="211"/>
      <c r="AT32" s="485"/>
      <c r="AU32" s="216"/>
      <c r="AV32" s="7099"/>
      <c r="AW32" s="211"/>
      <c r="AX32" s="216"/>
      <c r="AY32" s="485"/>
      <c r="AZ32" s="106"/>
      <c r="BA32" s="211"/>
      <c r="BB32" s="485"/>
      <c r="BC32" s="216"/>
      <c r="BD32" s="5047"/>
      <c r="BE32" s="211"/>
      <c r="BF32" s="216"/>
      <c r="BG32" s="485"/>
      <c r="BH32" s="106"/>
      <c r="BI32" s="106"/>
      <c r="BJ32" s="625"/>
    </row>
    <row r="33" spans="1:62" x14ac:dyDescent="0.35">
      <c r="A33" s="220"/>
      <c r="B33" s="220"/>
      <c r="F33" s="106"/>
      <c r="H33" s="106"/>
      <c r="I33" s="106"/>
      <c r="J33" s="221"/>
      <c r="L33" s="106"/>
      <c r="O33" s="508"/>
      <c r="P33" s="5055"/>
      <c r="Q33" s="5055"/>
      <c r="R33" s="5056"/>
      <c r="T33" s="106"/>
      <c r="U33" s="106"/>
      <c r="V33"/>
      <c r="W33"/>
      <c r="X33" s="106"/>
      <c r="Y33" s="5055"/>
      <c r="Z33" s="5055"/>
      <c r="AA33" s="5056"/>
      <c r="AC33" s="106"/>
      <c r="AD33" s="106"/>
      <c r="AE33"/>
      <c r="AF33"/>
      <c r="AI33" s="106"/>
      <c r="AJ33"/>
      <c r="AK33" s="106"/>
      <c r="AM33" s="106"/>
      <c r="AN33" s="106"/>
      <c r="AO33"/>
      <c r="AP33"/>
      <c r="AS33" s="106"/>
      <c r="AT33"/>
      <c r="AU33" s="106"/>
      <c r="AW33" s="106"/>
      <c r="AX33" s="106"/>
      <c r="AY33"/>
      <c r="AZ33"/>
      <c r="BA33" s="106"/>
      <c r="BB33"/>
      <c r="BC33" s="106"/>
      <c r="BE33" s="106"/>
      <c r="BF33" s="106"/>
      <c r="BG33"/>
      <c r="BH33"/>
      <c r="BI33"/>
    </row>
    <row r="34" spans="1:62" ht="27.75" customHeight="1" x14ac:dyDescent="0.35">
      <c r="A34" s="9167" t="s">
        <v>503</v>
      </c>
      <c r="B34" s="27"/>
      <c r="C34" s="28" t="s">
        <v>427</v>
      </c>
      <c r="D34" s="585" t="s">
        <v>428</v>
      </c>
      <c r="E34" s="30"/>
      <c r="F34" s="222"/>
      <c r="G34" s="223"/>
      <c r="H34" s="222"/>
      <c r="I34" s="222"/>
      <c r="J34" s="224"/>
      <c r="K34" s="223"/>
      <c r="L34" s="222"/>
      <c r="M34" s="511"/>
      <c r="N34" s="30"/>
      <c r="O34" s="36" t="s">
        <v>3606</v>
      </c>
      <c r="P34" s="36" t="s">
        <v>3607</v>
      </c>
      <c r="Q34" s="727" t="s">
        <v>3558</v>
      </c>
      <c r="R34" s="5057"/>
      <c r="S34" s="30"/>
      <c r="T34" s="222"/>
      <c r="U34" s="1610"/>
      <c r="V34" s="34" t="s">
        <v>3608</v>
      </c>
      <c r="W34" s="893"/>
      <c r="X34" s="222"/>
      <c r="Y34" s="36" t="s">
        <v>3608</v>
      </c>
      <c r="Z34" s="727"/>
      <c r="AA34" s="5057"/>
      <c r="AB34" s="30"/>
      <c r="AC34" s="222"/>
      <c r="AD34" s="1610"/>
      <c r="AE34" s="34" t="s">
        <v>3608</v>
      </c>
      <c r="AF34" s="893"/>
      <c r="AG34" s="39"/>
      <c r="AI34" s="222"/>
      <c r="AJ34" s="34"/>
      <c r="AK34" s="1610"/>
      <c r="AL34" s="30"/>
      <c r="AM34" s="222"/>
      <c r="AN34" s="1610"/>
      <c r="AO34" s="34" t="s">
        <v>3609</v>
      </c>
      <c r="AP34" s="893"/>
      <c r="AQ34" s="39"/>
      <c r="AS34" s="8314" t="s">
        <v>3610</v>
      </c>
      <c r="AT34" s="36" t="s">
        <v>3610</v>
      </c>
      <c r="AU34" s="1610"/>
      <c r="AV34" s="30"/>
      <c r="AW34" s="9155" t="s">
        <v>3611</v>
      </c>
      <c r="AX34" s="9332"/>
      <c r="AY34" s="9156"/>
      <c r="AZ34" s="893"/>
      <c r="BA34" s="9155" t="s">
        <v>3612</v>
      </c>
      <c r="BB34" s="9156"/>
      <c r="BC34" s="1610"/>
      <c r="BD34" s="30"/>
      <c r="BE34" s="9155" t="s">
        <v>3613</v>
      </c>
      <c r="BF34" s="9332"/>
      <c r="BG34" s="9156"/>
      <c r="BH34" s="893"/>
      <c r="BI34" s="893"/>
      <c r="BJ34" s="39"/>
    </row>
    <row r="35" spans="1:62" x14ac:dyDescent="0.35">
      <c r="A35" s="9168"/>
      <c r="B35" s="141" t="s">
        <v>514</v>
      </c>
      <c r="C35"/>
      <c r="D35" s="184"/>
      <c r="E35" s="143"/>
      <c r="F35" s="227"/>
      <c r="G35" s="143"/>
      <c r="H35" s="102"/>
      <c r="I35" s="103" t="s">
        <v>3573</v>
      </c>
      <c r="J35" s="228"/>
      <c r="K35" s="143"/>
      <c r="L35" s="102"/>
      <c r="M35" s="229"/>
      <c r="N35" s="143"/>
      <c r="O35" s="102"/>
      <c r="P35"/>
      <c r="Q35" s="348"/>
      <c r="R35" s="5058"/>
      <c r="S35" s="143"/>
      <c r="T35" s="102"/>
      <c r="U35" s="231"/>
      <c r="V35" s="49" t="s">
        <v>3608</v>
      </c>
      <c r="W35" s="229"/>
      <c r="X35" s="102"/>
      <c r="Y35" t="s">
        <v>3608</v>
      </c>
      <c r="Z35" s="348"/>
      <c r="AA35" s="5058"/>
      <c r="AB35" s="143"/>
      <c r="AC35" s="230" t="s">
        <v>3614</v>
      </c>
      <c r="AD35" s="231"/>
      <c r="AE35" s="49" t="s">
        <v>3615</v>
      </c>
      <c r="AF35" s="229"/>
      <c r="AG35" s="18"/>
      <c r="AI35" s="102"/>
      <c r="AJ35" s="49" t="s">
        <v>3615</v>
      </c>
      <c r="AK35" s="231"/>
      <c r="AL35" s="143"/>
      <c r="AM35" s="230"/>
      <c r="AN35" s="231"/>
      <c r="AO35" s="49"/>
      <c r="AP35" s="229"/>
      <c r="AQ35" s="18"/>
      <c r="AS35" s="102"/>
      <c r="AT35" s="49"/>
      <c r="AU35" s="231"/>
      <c r="AV35" s="143"/>
      <c r="AW35" s="230"/>
      <c r="AX35" s="231"/>
      <c r="AY35" s="49"/>
      <c r="AZ35" s="229"/>
      <c r="BA35" s="102"/>
      <c r="BB35" s="49"/>
      <c r="BC35" s="3377"/>
      <c r="BD35" s="143"/>
      <c r="BE35" s="230"/>
      <c r="BF35" s="231"/>
      <c r="BG35" s="49"/>
      <c r="BH35" s="229"/>
      <c r="BI35" s="229"/>
      <c r="BJ35" s="18"/>
    </row>
    <row r="36" spans="1:62" ht="15" x14ac:dyDescent="0.35">
      <c r="A36" s="9168"/>
      <c r="B36" s="240"/>
      <c r="C36" s="240" t="s">
        <v>2148</v>
      </c>
      <c r="D36" s="197"/>
      <c r="F36" s="111"/>
      <c r="H36" s="112">
        <v>73305.521338000006</v>
      </c>
      <c r="I36" s="113">
        <v>77435.986659999995</v>
      </c>
      <c r="J36" s="64">
        <f t="shared" ref="J36:J40" si="14">IF(H36=0,0,I36/H36)</f>
        <v>1.056345896551981</v>
      </c>
      <c r="L36" s="112">
        <v>102592.069865</v>
      </c>
      <c r="M36" s="157">
        <f t="shared" ref="M36:M40" si="15">L36*J36</f>
        <v>108372.71202066689</v>
      </c>
      <c r="O36" s="248"/>
      <c r="P36" s="1033"/>
      <c r="Q36" s="4901"/>
      <c r="R36" s="5046"/>
      <c r="S36" s="5047"/>
      <c r="T36" s="112"/>
      <c r="U36" s="57" t="s">
        <v>3616</v>
      </c>
      <c r="V36" s="482"/>
      <c r="W36" s="66"/>
      <c r="X36" s="112"/>
      <c r="Y36" s="1033"/>
      <c r="Z36" s="2990" t="s">
        <v>3616</v>
      </c>
      <c r="AA36" s="5046"/>
      <c r="AB36" s="5047"/>
      <c r="AC36" s="112"/>
      <c r="AD36" s="57"/>
      <c r="AE36" s="482"/>
      <c r="AF36" s="66"/>
      <c r="AG36" s="26"/>
      <c r="AI36" s="112"/>
      <c r="AJ36" s="482"/>
      <c r="AK36" s="57"/>
      <c r="AL36" s="5047"/>
      <c r="AM36" s="9450" t="s">
        <v>3617</v>
      </c>
      <c r="AN36" s="9451"/>
      <c r="AO36" s="9452"/>
      <c r="AP36" s="66"/>
      <c r="AQ36" s="26"/>
      <c r="AS36" s="9450" t="s">
        <v>3617</v>
      </c>
      <c r="AT36" s="9451"/>
      <c r="AU36" s="9452"/>
      <c r="AV36" s="7099"/>
      <c r="AW36" s="9450" t="s">
        <v>3617</v>
      </c>
      <c r="AX36" s="9451"/>
      <c r="AY36" s="9452"/>
      <c r="AZ36" s="66"/>
      <c r="BA36" s="9450" t="s">
        <v>3617</v>
      </c>
      <c r="BB36" s="9451"/>
      <c r="BC36" s="9452"/>
      <c r="BD36" s="5047"/>
      <c r="BE36" s="9450" t="s">
        <v>3617</v>
      </c>
      <c r="BF36" s="9451"/>
      <c r="BG36" s="9452"/>
      <c r="BH36" s="66"/>
      <c r="BI36" s="66"/>
      <c r="BJ36" s="26"/>
    </row>
    <row r="37" spans="1:62" ht="29" x14ac:dyDescent="0.35">
      <c r="A37" s="9168"/>
      <c r="B37" s="240"/>
      <c r="C37" s="240" t="s">
        <v>11</v>
      </c>
      <c r="D37" s="197"/>
      <c r="F37" s="155"/>
      <c r="H37" s="117"/>
      <c r="I37" s="115"/>
      <c r="J37" s="64">
        <f t="shared" si="14"/>
        <v>0</v>
      </c>
      <c r="L37" s="117"/>
      <c r="M37" s="157">
        <f t="shared" si="15"/>
        <v>0</v>
      </c>
      <c r="O37" s="200">
        <f>81680.191632-O39</f>
        <v>78305.191632000002</v>
      </c>
      <c r="P37" s="1033">
        <f>102592.069865-P39</f>
        <v>100052.902865</v>
      </c>
      <c r="Q37" s="4901" t="s">
        <v>3618</v>
      </c>
      <c r="R37" s="5046">
        <f t="shared" ref="R37:R39" si="16">P37/O37</f>
        <v>1.2777301323161903</v>
      </c>
      <c r="T37" s="117">
        <f>90180.035819+ 14553</f>
        <v>104733.035819</v>
      </c>
      <c r="U37" s="57" t="s">
        <v>3619</v>
      </c>
      <c r="V37" s="482">
        <f>90662.818162+12927</f>
        <v>103589.818162</v>
      </c>
      <c r="W37" s="157"/>
      <c r="X37" s="117">
        <f>90180.035819+ 14553</f>
        <v>104733.035819</v>
      </c>
      <c r="Y37" s="1033">
        <f>90662.818162+12927</f>
        <v>103589.818162</v>
      </c>
      <c r="Z37" s="4901" t="s">
        <v>3619</v>
      </c>
      <c r="AA37" s="5046">
        <f t="shared" ref="AA37:AA39" si="17">Y37/X37</f>
        <v>0.98908445985490467</v>
      </c>
      <c r="AC37" s="117">
        <v>123888.296143</v>
      </c>
      <c r="AD37" s="57" t="s">
        <v>3600</v>
      </c>
      <c r="AE37" s="482">
        <f>76888.429987*AC37/(AC37+AC39)</f>
        <v>75331.79073783115</v>
      </c>
      <c r="AF37" s="157"/>
      <c r="AG37" s="26"/>
      <c r="AI37" s="117">
        <f>108379.29+15509</f>
        <v>123888.29</v>
      </c>
      <c r="AJ37" s="482">
        <v>75331.79073783115</v>
      </c>
      <c r="AK37" s="57"/>
      <c r="AM37" s="117">
        <f>191919.93-AM39-AM46-AM68</f>
        <v>81054.489999999991</v>
      </c>
      <c r="AN37" s="57"/>
      <c r="AO37" s="273"/>
      <c r="AP37" s="157"/>
      <c r="AQ37" s="26"/>
      <c r="AS37" s="117">
        <v>20437.64</v>
      </c>
      <c r="AT37" s="647">
        <f>13812.1*4/3</f>
        <v>18416.133333333335</v>
      </c>
      <c r="AU37" s="57" t="s">
        <v>3620</v>
      </c>
      <c r="AW37" s="117">
        <v>24186.81</v>
      </c>
      <c r="AX37" s="57" t="s">
        <v>3620</v>
      </c>
      <c r="AY37" s="647">
        <v>27255.18</v>
      </c>
      <c r="AZ37" s="157"/>
      <c r="BA37" s="117">
        <v>24186.81</v>
      </c>
      <c r="BB37" s="647">
        <v>27255.18</v>
      </c>
      <c r="BC37" s="237" t="s">
        <v>3620</v>
      </c>
      <c r="BE37" s="117">
        <v>25936.91</v>
      </c>
      <c r="BF37" s="57" t="s">
        <v>3620</v>
      </c>
      <c r="BG37" s="3254">
        <v>33449.78</v>
      </c>
      <c r="BH37" s="157"/>
      <c r="BI37" s="157"/>
      <c r="BJ37" s="26"/>
    </row>
    <row r="38" spans="1:62" x14ac:dyDescent="0.35">
      <c r="A38" s="9168"/>
      <c r="B38" s="241"/>
      <c r="C38" s="241"/>
      <c r="D38" s="197"/>
      <c r="F38" s="163"/>
      <c r="H38" s="242"/>
      <c r="I38" s="243"/>
      <c r="J38" s="64"/>
      <c r="L38" s="242"/>
      <c r="M38" s="157"/>
      <c r="O38" s="164"/>
      <c r="P38" s="199"/>
      <c r="Q38" s="4901"/>
      <c r="R38" s="5046"/>
      <c r="T38" s="242"/>
      <c r="U38" s="57"/>
      <c r="V38" s="482"/>
      <c r="W38" s="157"/>
      <c r="X38" s="242"/>
      <c r="Y38" s="199"/>
      <c r="Z38" s="4901"/>
      <c r="AA38" s="5046"/>
      <c r="AC38" s="242"/>
      <c r="AD38" s="57"/>
      <c r="AE38" s="482"/>
      <c r="AF38" s="157"/>
      <c r="AG38" s="26"/>
      <c r="AI38" s="242"/>
      <c r="AJ38" s="482"/>
      <c r="AK38" s="57"/>
      <c r="AM38" s="242"/>
      <c r="AN38" s="57"/>
      <c r="AO38" s="273"/>
      <c r="AP38" s="157"/>
      <c r="AQ38" s="26"/>
      <c r="AS38" s="242"/>
      <c r="AT38" s="647"/>
      <c r="AU38" s="57"/>
      <c r="AW38" s="242"/>
      <c r="AX38" s="57"/>
      <c r="AY38" s="647"/>
      <c r="AZ38" s="157"/>
      <c r="BA38" s="242">
        <v>18598.439999999999</v>
      </c>
      <c r="BB38" s="647">
        <v>16903.18</v>
      </c>
      <c r="BC38" s="237" t="s">
        <v>3621</v>
      </c>
      <c r="BE38" s="242">
        <v>19636.25</v>
      </c>
      <c r="BF38" s="57" t="s">
        <v>3621</v>
      </c>
      <c r="BG38" s="3254">
        <v>17833.330000000002</v>
      </c>
      <c r="BH38" s="157"/>
      <c r="BI38" s="157"/>
      <c r="BJ38" s="26"/>
    </row>
    <row r="39" spans="1:62" x14ac:dyDescent="0.35">
      <c r="A39" s="9168"/>
      <c r="B39" s="241"/>
      <c r="C39" s="241" t="s">
        <v>3622</v>
      </c>
      <c r="D39" s="197"/>
      <c r="F39" s="163"/>
      <c r="H39" s="242"/>
      <c r="I39" s="243"/>
      <c r="J39" s="64">
        <f t="shared" si="14"/>
        <v>0</v>
      </c>
      <c r="L39" s="242"/>
      <c r="M39" s="157">
        <f t="shared" si="15"/>
        <v>0</v>
      </c>
      <c r="O39" s="164">
        <v>3375</v>
      </c>
      <c r="P39" s="165">
        <v>2539.1669999999999</v>
      </c>
      <c r="Q39" s="2990" t="s">
        <v>3623</v>
      </c>
      <c r="R39" s="5046">
        <f t="shared" si="16"/>
        <v>0.75234577777777778</v>
      </c>
      <c r="T39" s="242">
        <v>3600</v>
      </c>
      <c r="U39" s="57" t="s">
        <v>3624</v>
      </c>
      <c r="V39" s="482">
        <v>3065</v>
      </c>
      <c r="W39" s="157"/>
      <c r="X39" s="242">
        <v>3600</v>
      </c>
      <c r="Y39" s="165">
        <v>3065</v>
      </c>
      <c r="Z39" s="2990" t="s">
        <v>3624</v>
      </c>
      <c r="AA39" s="5046">
        <f t="shared" si="17"/>
        <v>0.85138888888888886</v>
      </c>
      <c r="AC39" s="242">
        <v>2560</v>
      </c>
      <c r="AD39" s="57"/>
      <c r="AE39" s="482">
        <f>76888.429987*AC39/(AC39+AC37)</f>
        <v>1556.6392491688507</v>
      </c>
      <c r="AF39" s="157"/>
      <c r="AG39" s="26"/>
      <c r="AI39" s="242">
        <v>4050</v>
      </c>
      <c r="AJ39" s="482">
        <v>1556.6392491688507</v>
      </c>
      <c r="AK39" s="57"/>
      <c r="AM39" s="242">
        <v>16097</v>
      </c>
      <c r="AN39" s="57"/>
      <c r="AO39" s="273"/>
      <c r="AP39" s="157"/>
      <c r="AQ39" s="26"/>
      <c r="AS39" s="242">
        <v>11980</v>
      </c>
      <c r="AT39" s="647">
        <f>11203*4/3</f>
        <v>14937.333333333334</v>
      </c>
      <c r="AU39" s="57" t="s">
        <v>3621</v>
      </c>
      <c r="AW39" s="242">
        <v>18598.439999999999</v>
      </c>
      <c r="AX39" s="57" t="s">
        <v>3621</v>
      </c>
      <c r="AY39" s="647">
        <v>16903.18</v>
      </c>
      <c r="AZ39" s="157"/>
      <c r="BA39" s="242">
        <v>21400</v>
      </c>
      <c r="BB39" s="647">
        <v>6767.3</v>
      </c>
      <c r="BC39" s="237" t="s">
        <v>3625</v>
      </c>
      <c r="BE39" s="242">
        <v>9300</v>
      </c>
      <c r="BF39" s="57" t="s">
        <v>3626</v>
      </c>
      <c r="BG39" s="3254">
        <v>8755</v>
      </c>
      <c r="BH39" s="157"/>
      <c r="BI39" s="157"/>
      <c r="BJ39" s="26" t="s">
        <v>3627</v>
      </c>
    </row>
    <row r="40" spans="1:62" x14ac:dyDescent="0.35">
      <c r="A40" s="9168"/>
      <c r="B40" s="241"/>
      <c r="C40" s="241" t="s">
        <v>3628</v>
      </c>
      <c r="D40" s="197"/>
      <c r="F40" s="163"/>
      <c r="H40" s="242"/>
      <c r="I40" s="243"/>
      <c r="J40" s="64">
        <f t="shared" si="14"/>
        <v>0</v>
      </c>
      <c r="L40" s="242"/>
      <c r="M40" s="157">
        <f t="shared" si="15"/>
        <v>0</v>
      </c>
      <c r="O40" s="164">
        <v>5641.2844640000003</v>
      </c>
      <c r="P40" s="165">
        <v>5863.2870739999998</v>
      </c>
      <c r="Q40" s="2990" t="s">
        <v>3629</v>
      </c>
      <c r="R40" s="1616"/>
      <c r="T40" s="242">
        <v>6520.3365379999996</v>
      </c>
      <c r="U40" s="57" t="s">
        <v>3630</v>
      </c>
      <c r="V40" s="482">
        <v>7667.2036479999997</v>
      </c>
      <c r="W40" s="157"/>
      <c r="X40" s="242">
        <v>6520.3365379999996</v>
      </c>
      <c r="Y40" s="165">
        <v>7667.2036479999997</v>
      </c>
      <c r="Z40" s="2990" t="s">
        <v>3630</v>
      </c>
      <c r="AA40" s="1616"/>
      <c r="AC40" s="242">
        <v>19735.036435999999</v>
      </c>
      <c r="AD40" s="57"/>
      <c r="AE40" s="1780">
        <f>AC40</f>
        <v>19735.036435999999</v>
      </c>
      <c r="AF40" s="157"/>
      <c r="AG40" s="26"/>
      <c r="AI40" s="242">
        <v>19735.036435999999</v>
      </c>
      <c r="AJ40" s="1780">
        <v>19735.036435999999</v>
      </c>
      <c r="AK40" s="57"/>
      <c r="AM40" s="117">
        <v>20700</v>
      </c>
      <c r="AN40" s="57"/>
      <c r="AO40" s="273"/>
      <c r="AP40" s="157"/>
      <c r="AQ40" s="26"/>
      <c r="AS40" s="242">
        <v>20700</v>
      </c>
      <c r="AT40" s="647">
        <f>7541.22*4/3</f>
        <v>10054.960000000001</v>
      </c>
      <c r="AU40" s="57" t="s">
        <v>3625</v>
      </c>
      <c r="AW40" s="242">
        <v>21400</v>
      </c>
      <c r="AX40" s="57" t="s">
        <v>3626</v>
      </c>
      <c r="AY40" s="647">
        <v>6767.3</v>
      </c>
      <c r="AZ40" s="247"/>
      <c r="BA40" s="242"/>
      <c r="BB40" s="647"/>
      <c r="BC40" s="237"/>
      <c r="BE40" s="242"/>
      <c r="BF40" s="57"/>
      <c r="BG40" s="3254"/>
      <c r="BH40" s="157"/>
      <c r="BI40" s="157"/>
      <c r="BJ40" s="18"/>
    </row>
    <row r="41" spans="1:62" x14ac:dyDescent="0.35">
      <c r="A41" s="9168"/>
      <c r="B41" s="141" t="s">
        <v>531</v>
      </c>
      <c r="C41"/>
      <c r="D41" s="197"/>
      <c r="E41" s="143"/>
      <c r="F41" s="168"/>
      <c r="G41" s="143"/>
      <c r="H41" s="245"/>
      <c r="I41" s="106"/>
      <c r="J41" s="246"/>
      <c r="K41" s="143"/>
      <c r="L41" s="245"/>
      <c r="M41" s="247"/>
      <c r="N41" s="143"/>
      <c r="O41" s="245"/>
      <c r="P41" s="106"/>
      <c r="Q41" s="254"/>
      <c r="R41" s="889"/>
      <c r="S41" s="143"/>
      <c r="T41" s="245"/>
      <c r="U41" s="106"/>
      <c r="V41" s="66"/>
      <c r="W41" s="247"/>
      <c r="X41" s="245"/>
      <c r="Y41" s="106"/>
      <c r="Z41" s="254"/>
      <c r="AA41" s="889"/>
      <c r="AB41" s="143"/>
      <c r="AC41" s="245"/>
      <c r="AD41" s="106"/>
      <c r="AE41" s="66"/>
      <c r="AF41" s="247"/>
      <c r="AG41" s="18"/>
      <c r="AI41" s="245"/>
      <c r="AJ41" s="66"/>
      <c r="AK41" s="106"/>
      <c r="AL41" s="143"/>
      <c r="AM41" s="245"/>
      <c r="AN41" s="106"/>
      <c r="AO41" s="66"/>
      <c r="AP41" s="247"/>
      <c r="AQ41" s="18"/>
      <c r="AS41" s="245"/>
      <c r="AT41" s="167"/>
      <c r="AU41" s="106"/>
      <c r="AV41" s="143"/>
      <c r="AW41" s="245"/>
      <c r="AX41" s="106"/>
      <c r="AY41" s="66"/>
      <c r="AZ41" s="157"/>
      <c r="BA41" s="245"/>
      <c r="BB41" s="167"/>
      <c r="BC41" s="66"/>
      <c r="BD41" s="143"/>
      <c r="BE41" s="245"/>
      <c r="BF41" s="106"/>
      <c r="BG41" s="66"/>
      <c r="BH41" s="247"/>
      <c r="BI41" s="247"/>
      <c r="BJ41" s="26"/>
    </row>
    <row r="42" spans="1:62" x14ac:dyDescent="0.35">
      <c r="A42" s="9168"/>
      <c r="B42" s="240"/>
      <c r="C42" s="240" t="s">
        <v>532</v>
      </c>
      <c r="D42" s="197"/>
      <c r="F42" s="111"/>
      <c r="H42" s="112"/>
      <c r="I42" s="113"/>
      <c r="J42" s="64">
        <f t="shared" ref="J42:J44" si="18">IF(H42=0,0,I42/H42)</f>
        <v>0</v>
      </c>
      <c r="L42" s="112"/>
      <c r="M42" s="157">
        <f t="shared" ref="M42:M44" si="19">L42*J42</f>
        <v>0</v>
      </c>
      <c r="O42" s="248"/>
      <c r="P42" s="1033">
        <f t="shared" ref="P42:P44" si="20">O42*M42</f>
        <v>0</v>
      </c>
      <c r="Q42" s="312"/>
      <c r="R42" s="1616"/>
      <c r="T42" s="112"/>
      <c r="U42" s="106"/>
      <c r="V42" s="482"/>
      <c r="W42" s="157"/>
      <c r="X42" s="112"/>
      <c r="Y42" s="1033"/>
      <c r="Z42" s="312"/>
      <c r="AA42" s="1616"/>
      <c r="AC42" s="112"/>
      <c r="AD42" s="106"/>
      <c r="AE42" s="66"/>
      <c r="AF42" s="157"/>
      <c r="AG42" s="26"/>
      <c r="AI42" s="112"/>
      <c r="AJ42" s="66"/>
      <c r="AK42" s="106"/>
      <c r="AM42" s="112"/>
      <c r="AN42" s="106"/>
      <c r="AO42" s="66"/>
      <c r="AP42" s="157"/>
      <c r="AQ42" s="26"/>
      <c r="AS42" s="112"/>
      <c r="AT42" s="106"/>
      <c r="AU42" s="106"/>
      <c r="AW42" s="112"/>
      <c r="AX42" s="106"/>
      <c r="AY42" s="66"/>
      <c r="AZ42" s="157"/>
      <c r="BA42" s="112"/>
      <c r="BB42" s="113"/>
      <c r="BC42" s="66"/>
      <c r="BE42" s="112"/>
      <c r="BF42" s="106"/>
      <c r="BG42" s="3254"/>
      <c r="BH42" s="157"/>
      <c r="BI42" s="157"/>
      <c r="BJ42" s="26"/>
    </row>
    <row r="43" spans="1:62" x14ac:dyDescent="0.35">
      <c r="A43" s="9168"/>
      <c r="B43" s="240"/>
      <c r="C43" s="240" t="s">
        <v>533</v>
      </c>
      <c r="D43" s="197"/>
      <c r="F43" s="155"/>
      <c r="H43" s="117"/>
      <c r="I43" s="115"/>
      <c r="J43" s="64">
        <f t="shared" si="18"/>
        <v>0</v>
      </c>
      <c r="L43" s="117"/>
      <c r="M43" s="157">
        <f t="shared" si="19"/>
        <v>0</v>
      </c>
      <c r="O43" s="200"/>
      <c r="P43" s="204">
        <f t="shared" si="20"/>
        <v>0</v>
      </c>
      <c r="Q43" s="312"/>
      <c r="R43" s="1616"/>
      <c r="T43" s="117"/>
      <c r="U43" s="106"/>
      <c r="V43" s="482"/>
      <c r="W43" s="157"/>
      <c r="X43" s="117"/>
      <c r="Y43" s="204"/>
      <c r="Z43" s="312"/>
      <c r="AA43" s="1616"/>
      <c r="AC43" s="117"/>
      <c r="AD43" s="106"/>
      <c r="AE43" s="66"/>
      <c r="AF43" s="157"/>
      <c r="AG43" s="26"/>
      <c r="AI43" s="117"/>
      <c r="AJ43" s="66"/>
      <c r="AK43" s="106"/>
      <c r="AM43" s="117"/>
      <c r="AN43" s="106"/>
      <c r="AO43" s="66"/>
      <c r="AP43" s="157"/>
      <c r="AQ43" s="26"/>
      <c r="AS43" s="117"/>
      <c r="AT43" s="106"/>
      <c r="AU43" s="106"/>
      <c r="AW43" s="117"/>
      <c r="AX43" s="106"/>
      <c r="AY43" s="66"/>
      <c r="AZ43" s="157"/>
      <c r="BA43" s="117"/>
      <c r="BB43" s="115"/>
      <c r="BC43" s="66"/>
      <c r="BE43" s="117"/>
      <c r="BF43" s="106"/>
      <c r="BG43" s="3265"/>
      <c r="BH43" s="157"/>
      <c r="BI43" s="157"/>
      <c r="BJ43" s="24"/>
    </row>
    <row r="44" spans="1:62" x14ac:dyDescent="0.35">
      <c r="A44" s="9168"/>
      <c r="B44" s="250"/>
      <c r="C44" s="250" t="s">
        <v>534</v>
      </c>
      <c r="D44" s="209"/>
      <c r="F44" s="130"/>
      <c r="H44" s="242"/>
      <c r="I44" s="243"/>
      <c r="J44" s="64">
        <f t="shared" si="18"/>
        <v>0</v>
      </c>
      <c r="L44" s="131"/>
      <c r="M44" s="213">
        <f t="shared" si="19"/>
        <v>0</v>
      </c>
      <c r="O44" s="164"/>
      <c r="P44" s="165">
        <f t="shared" si="20"/>
        <v>0</v>
      </c>
      <c r="Q44" s="312"/>
      <c r="R44" s="1616"/>
      <c r="T44" s="131"/>
      <c r="U44" s="216"/>
      <c r="V44" s="485"/>
      <c r="W44" s="157"/>
      <c r="X44" s="131"/>
      <c r="Y44" s="165"/>
      <c r="Z44" s="312"/>
      <c r="AA44" s="1616"/>
      <c r="AC44" s="131"/>
      <c r="AD44" s="216"/>
      <c r="AE44" s="92"/>
      <c r="AF44" s="157"/>
      <c r="AG44" s="24"/>
      <c r="AI44" s="131"/>
      <c r="AJ44" s="92"/>
      <c r="AK44" s="216"/>
      <c r="AM44" s="131"/>
      <c r="AN44" s="216"/>
      <c r="AO44" s="92"/>
      <c r="AP44" s="157"/>
      <c r="AQ44" s="24"/>
      <c r="AS44" s="131"/>
      <c r="AT44" s="216"/>
      <c r="AU44" s="216"/>
      <c r="AW44" s="131"/>
      <c r="AX44" s="216"/>
      <c r="AY44" s="92"/>
      <c r="AZ44" s="247"/>
      <c r="BA44" s="131"/>
      <c r="BB44" s="132"/>
      <c r="BC44" s="92"/>
      <c r="BE44" s="131"/>
      <c r="BF44" s="216"/>
      <c r="BG44" s="3264"/>
      <c r="BH44" s="157"/>
      <c r="BI44" s="157"/>
      <c r="BJ44" s="26"/>
    </row>
    <row r="45" spans="1:62" x14ac:dyDescent="0.35">
      <c r="A45" s="9168"/>
      <c r="B45" s="141" t="s">
        <v>2147</v>
      </c>
      <c r="C45" s="141"/>
      <c r="D45" s="197"/>
      <c r="E45" s="143"/>
      <c r="F45" s="227"/>
      <c r="G45" s="143"/>
      <c r="H45" s="102"/>
      <c r="I45" s="103"/>
      <c r="J45" s="252"/>
      <c r="K45" s="143"/>
      <c r="L45" s="245" t="s">
        <v>3296</v>
      </c>
      <c r="M45" s="247"/>
      <c r="N45" s="143"/>
      <c r="O45" s="102" t="s">
        <v>3631</v>
      </c>
      <c r="P45" s="2909" t="s">
        <v>3632</v>
      </c>
      <c r="Q45" s="2909" t="s">
        <v>3633</v>
      </c>
      <c r="R45" s="5058"/>
      <c r="S45" s="356"/>
      <c r="T45" s="102" t="s">
        <v>3296</v>
      </c>
      <c r="U45" s="103" t="s">
        <v>3634</v>
      </c>
      <c r="V45" s="268"/>
      <c r="W45" s="247"/>
      <c r="X45" s="102" t="s">
        <v>3296</v>
      </c>
      <c r="Y45" s="2909"/>
      <c r="Z45" s="2909" t="s">
        <v>3634</v>
      </c>
      <c r="AA45" s="5058"/>
      <c r="AB45" s="356"/>
      <c r="AC45" s="102"/>
      <c r="AD45" s="103"/>
      <c r="AE45" s="268"/>
      <c r="AF45" s="247"/>
      <c r="AG45" s="26"/>
      <c r="AI45" s="102"/>
      <c r="AJ45" s="268"/>
      <c r="AK45" s="103"/>
      <c r="AL45" s="356"/>
      <c r="AM45" s="659" t="s">
        <v>3635</v>
      </c>
      <c r="AN45" s="103"/>
      <c r="AO45" s="268"/>
      <c r="AP45" s="247"/>
      <c r="AQ45" s="26"/>
      <c r="AS45" s="102"/>
      <c r="AT45" s="2909"/>
      <c r="AU45" s="103"/>
      <c r="AV45" s="356"/>
      <c r="AW45" s="659"/>
      <c r="AX45" s="103"/>
      <c r="AY45" s="268"/>
      <c r="AZ45" s="247"/>
      <c r="BA45" s="102"/>
      <c r="BB45" s="2909"/>
      <c r="BC45" s="105"/>
      <c r="BD45" s="356"/>
      <c r="BE45" s="659"/>
      <c r="BF45" s="103"/>
      <c r="BG45" s="268"/>
      <c r="BH45" s="247"/>
      <c r="BI45" s="247"/>
      <c r="BJ45" s="26"/>
    </row>
    <row r="46" spans="1:62" ht="16.5" customHeight="1" x14ac:dyDescent="0.35">
      <c r="A46" s="9168"/>
      <c r="B46" s="1653"/>
      <c r="C46" s="1653"/>
      <c r="D46" s="197"/>
      <c r="E46" s="143"/>
      <c r="F46" s="122"/>
      <c r="G46" s="143"/>
      <c r="H46" s="198"/>
      <c r="I46" s="199"/>
      <c r="J46" s="267"/>
      <c r="K46" s="143"/>
      <c r="L46" s="198"/>
      <c r="M46" s="247"/>
      <c r="N46" s="143"/>
      <c r="O46" s="198"/>
      <c r="P46" s="5059"/>
      <c r="Q46" s="254"/>
      <c r="R46" s="889"/>
      <c r="S46" s="356"/>
      <c r="T46" s="198"/>
      <c r="U46" s="106"/>
      <c r="V46" s="5059"/>
      <c r="W46" s="247"/>
      <c r="X46" s="198"/>
      <c r="Y46" s="5059"/>
      <c r="Z46" s="254"/>
      <c r="AA46" s="889"/>
      <c r="AB46" s="356"/>
      <c r="AC46" s="200">
        <v>41000</v>
      </c>
      <c r="AD46" s="57" t="s">
        <v>3636</v>
      </c>
      <c r="AE46" s="247">
        <v>41000</v>
      </c>
      <c r="AF46" s="247"/>
      <c r="AG46" s="26"/>
      <c r="AI46" s="198">
        <v>41000</v>
      </c>
      <c r="AJ46" s="247">
        <v>41000</v>
      </c>
      <c r="AK46" s="57" t="s">
        <v>3636</v>
      </c>
      <c r="AL46" s="356"/>
      <c r="AM46" s="200">
        <v>49173.83</v>
      </c>
      <c r="AN46" s="57" t="s">
        <v>3636</v>
      </c>
      <c r="AO46" s="247"/>
      <c r="AP46" s="247"/>
      <c r="AQ46" s="26" t="s">
        <v>1935</v>
      </c>
      <c r="AS46" s="198">
        <v>49173.83</v>
      </c>
      <c r="AT46" s="647">
        <f>38916.19*4/3</f>
        <v>51888.253333333334</v>
      </c>
      <c r="AU46" s="57" t="s">
        <v>3637</v>
      </c>
      <c r="AV46" s="356"/>
      <c r="AW46" s="200">
        <v>55866.85</v>
      </c>
      <c r="AX46" s="57" t="s">
        <v>3637</v>
      </c>
      <c r="AY46" s="273">
        <v>61597.11</v>
      </c>
      <c r="AZ46" s="66"/>
      <c r="BA46" s="198">
        <v>55866.85</v>
      </c>
      <c r="BB46" s="647">
        <v>61597.11</v>
      </c>
      <c r="BC46" s="237" t="s">
        <v>3637</v>
      </c>
      <c r="BD46" s="356"/>
      <c r="BE46" s="200">
        <v>84250.09</v>
      </c>
      <c r="BF46" s="57" t="s">
        <v>3637</v>
      </c>
      <c r="BG46" s="273">
        <v>88208.19</v>
      </c>
      <c r="BH46" s="247"/>
      <c r="BI46" s="247"/>
      <c r="BJ46" s="257"/>
    </row>
    <row r="47" spans="1:62" x14ac:dyDescent="0.35">
      <c r="A47" s="9168"/>
      <c r="B47" s="240"/>
      <c r="C47" s="240" t="s">
        <v>3638</v>
      </c>
      <c r="D47" s="197"/>
      <c r="F47" s="111"/>
      <c r="H47" s="112">
        <v>13178.518321</v>
      </c>
      <c r="I47" s="113">
        <v>13774.513709999999</v>
      </c>
      <c r="J47" s="64">
        <f t="shared" ref="J47:J57" si="21">IF(H47=0,0,I47/H47)</f>
        <v>1.0452247646118364</v>
      </c>
      <c r="L47" s="112">
        <v>19097.9041</v>
      </c>
      <c r="M47" s="157">
        <f t="shared" ref="M47:M57" si="22">L47*J47</f>
        <v>19961.602317501925</v>
      </c>
      <c r="O47" s="112">
        <v>17090.882573999999</v>
      </c>
      <c r="P47" s="647">
        <v>19097.9041</v>
      </c>
      <c r="Q47" s="4901" t="s">
        <v>3639</v>
      </c>
      <c r="R47" s="5046">
        <f>P47/O47</f>
        <v>1.1174322927625306</v>
      </c>
      <c r="S47" s="5060"/>
      <c r="T47" s="248">
        <v>21388</v>
      </c>
      <c r="U47" s="106"/>
      <c r="V47" s="233">
        <v>21388</v>
      </c>
      <c r="W47" s="66"/>
      <c r="X47" s="248">
        <v>21388</v>
      </c>
      <c r="Y47" s="647">
        <v>21388</v>
      </c>
      <c r="Z47" s="4901"/>
      <c r="AA47" s="5046">
        <f>Y47/X47</f>
        <v>1</v>
      </c>
      <c r="AB47" s="5060"/>
      <c r="AC47" s="200"/>
      <c r="AD47" s="106"/>
      <c r="AE47" s="66"/>
      <c r="AF47" s="66"/>
      <c r="AG47" s="257"/>
      <c r="AI47" s="248"/>
      <c r="AJ47" s="66"/>
      <c r="AK47" s="106"/>
      <c r="AL47" s="5060"/>
      <c r="AM47" s="200"/>
      <c r="AN47" s="106"/>
      <c r="AO47" s="66"/>
      <c r="AP47" s="66"/>
      <c r="AQ47" s="257"/>
      <c r="AS47" s="248"/>
      <c r="AT47" s="647"/>
      <c r="AU47" s="106"/>
      <c r="AV47" s="7102"/>
      <c r="AW47" s="200"/>
      <c r="AX47" s="106"/>
      <c r="AY47" s="273"/>
      <c r="AZ47" s="66"/>
      <c r="BA47" s="248"/>
      <c r="BB47" s="647"/>
      <c r="BC47" s="66"/>
      <c r="BD47" s="5060"/>
      <c r="BE47" s="200"/>
      <c r="BF47" s="106"/>
      <c r="BG47" s="273"/>
      <c r="BH47" s="66"/>
      <c r="BI47" s="66"/>
      <c r="BJ47" s="26"/>
    </row>
    <row r="48" spans="1:62" x14ac:dyDescent="0.35">
      <c r="A48" s="9168"/>
      <c r="B48" s="240"/>
      <c r="C48" s="240" t="s">
        <v>3640</v>
      </c>
      <c r="D48" s="197"/>
      <c r="F48" s="155"/>
      <c r="H48" s="117">
        <v>399.98</v>
      </c>
      <c r="I48" s="115">
        <v>397.559575</v>
      </c>
      <c r="J48" s="64">
        <f t="shared" si="21"/>
        <v>0.99394863493174657</v>
      </c>
      <c r="L48" s="117">
        <v>453.97980000000001</v>
      </c>
      <c r="M48" s="157">
        <f t="shared" si="22"/>
        <v>451.23260249658733</v>
      </c>
      <c r="O48" s="117">
        <v>453.97899999999998</v>
      </c>
      <c r="P48" s="649">
        <v>453.97980000000001</v>
      </c>
      <c r="Q48" s="4901" t="s">
        <v>3641</v>
      </c>
      <c r="R48" s="5046">
        <f>P48/O48</f>
        <v>1.0000017621960489</v>
      </c>
      <c r="S48" s="5060"/>
      <c r="T48" s="200">
        <v>460</v>
      </c>
      <c r="U48" s="106"/>
      <c r="V48" s="201">
        <v>415</v>
      </c>
      <c r="W48" s="66"/>
      <c r="X48" s="200">
        <v>460</v>
      </c>
      <c r="Y48" s="649">
        <v>415</v>
      </c>
      <c r="Z48" s="4901"/>
      <c r="AA48" s="5046">
        <f>Y48/X48</f>
        <v>0.90217391304347827</v>
      </c>
      <c r="AB48" s="5060"/>
      <c r="AC48" s="200"/>
      <c r="AD48" s="106"/>
      <c r="AE48" s="66"/>
      <c r="AF48" s="66"/>
      <c r="AG48" s="26"/>
      <c r="AI48" s="200"/>
      <c r="AJ48" s="66"/>
      <c r="AK48" s="106"/>
      <c r="AL48" s="5060"/>
      <c r="AM48" s="200"/>
      <c r="AN48" s="106"/>
      <c r="AO48" s="66"/>
      <c r="AP48" s="66"/>
      <c r="AQ48" s="26"/>
      <c r="AS48" s="200"/>
      <c r="AT48" s="647"/>
      <c r="AU48" s="106"/>
      <c r="AV48" s="7102"/>
      <c r="AW48" s="200"/>
      <c r="AX48" s="106"/>
      <c r="AY48" s="273"/>
      <c r="AZ48" s="66"/>
      <c r="BA48" s="200"/>
      <c r="BB48" s="647"/>
      <c r="BC48" s="66"/>
      <c r="BD48" s="5060"/>
      <c r="BE48" s="200"/>
      <c r="BF48" s="106"/>
      <c r="BG48" s="273"/>
      <c r="BH48" s="66"/>
      <c r="BI48" s="66"/>
      <c r="BJ48" s="26"/>
    </row>
    <row r="49" spans="1:62" x14ac:dyDescent="0.35">
      <c r="A49" s="9168"/>
      <c r="B49" s="240"/>
      <c r="C49" s="240" t="s">
        <v>3642</v>
      </c>
      <c r="D49" s="197"/>
      <c r="F49" s="155"/>
      <c r="H49" s="117">
        <v>350.12380000000002</v>
      </c>
      <c r="I49" s="115">
        <v>335.98609299999998</v>
      </c>
      <c r="J49" s="64">
        <f t="shared" si="21"/>
        <v>0.95962083411638954</v>
      </c>
      <c r="L49" s="117">
        <v>1003.626</v>
      </c>
      <c r="M49" s="157">
        <f t="shared" si="22"/>
        <v>963.10041926089559</v>
      </c>
      <c r="O49" s="117">
        <v>1003.625038</v>
      </c>
      <c r="P49" s="649">
        <v>1003.626</v>
      </c>
      <c r="Q49" s="4901" t="s">
        <v>3639</v>
      </c>
      <c r="R49" s="5046">
        <f t="shared" ref="R49:R59" si="23">P49/O49</f>
        <v>1.0000009585253093</v>
      </c>
      <c r="S49" s="5060"/>
      <c r="T49" s="200">
        <v>1005</v>
      </c>
      <c r="U49" s="106"/>
      <c r="V49" s="201">
        <v>780</v>
      </c>
      <c r="W49" s="66"/>
      <c r="X49" s="200">
        <v>1005</v>
      </c>
      <c r="Y49" s="649">
        <v>780</v>
      </c>
      <c r="Z49" s="4901"/>
      <c r="AA49" s="5046">
        <f t="shared" ref="AA49:AA57" si="24">Y49/X49</f>
        <v>0.77611940298507465</v>
      </c>
      <c r="AB49" s="5060"/>
      <c r="AC49" s="200"/>
      <c r="AD49" s="106"/>
      <c r="AE49" s="66"/>
      <c r="AF49" s="66"/>
      <c r="AG49" s="26"/>
      <c r="AI49" s="200"/>
      <c r="AJ49" s="66"/>
      <c r="AK49" s="106"/>
      <c r="AL49" s="5060"/>
      <c r="AM49" s="200"/>
      <c r="AN49" s="106"/>
      <c r="AO49" s="66"/>
      <c r="AP49" s="66"/>
      <c r="AQ49" s="26"/>
      <c r="AS49" s="200"/>
      <c r="AT49" s="647"/>
      <c r="AU49" s="106"/>
      <c r="AV49" s="7102"/>
      <c r="AW49" s="200"/>
      <c r="AX49" s="106"/>
      <c r="AY49" s="273"/>
      <c r="AZ49" s="66"/>
      <c r="BA49" s="200"/>
      <c r="BB49" s="647"/>
      <c r="BC49" s="66"/>
      <c r="BD49" s="5060"/>
      <c r="BE49" s="200"/>
      <c r="BF49" s="106"/>
      <c r="BG49" s="273"/>
      <c r="BH49" s="66"/>
      <c r="BI49" s="66"/>
      <c r="BJ49" s="26"/>
    </row>
    <row r="50" spans="1:62" x14ac:dyDescent="0.35">
      <c r="A50" s="9168"/>
      <c r="B50" s="240"/>
      <c r="C50" s="240" t="s">
        <v>3643</v>
      </c>
      <c r="D50" s="197"/>
      <c r="F50" s="155"/>
      <c r="H50" s="117">
        <v>100.88</v>
      </c>
      <c r="I50" s="115">
        <v>97.415087</v>
      </c>
      <c r="J50" s="64">
        <f t="shared" si="21"/>
        <v>0.96565312252180813</v>
      </c>
      <c r="L50" s="117">
        <v>125.3668</v>
      </c>
      <c r="M50" s="157">
        <f t="shared" si="22"/>
        <v>121.06084188056701</v>
      </c>
      <c r="O50" s="117">
        <v>125.366</v>
      </c>
      <c r="P50" s="649">
        <v>125.3668</v>
      </c>
      <c r="Q50" s="4901" t="s">
        <v>3639</v>
      </c>
      <c r="R50" s="5046">
        <f t="shared" si="23"/>
        <v>1.0000063813155082</v>
      </c>
      <c r="S50" s="5060"/>
      <c r="T50" s="200">
        <v>140</v>
      </c>
      <c r="U50" s="106"/>
      <c r="V50" s="201">
        <v>112</v>
      </c>
      <c r="W50" s="66"/>
      <c r="X50" s="200">
        <v>140</v>
      </c>
      <c r="Y50" s="649">
        <v>112</v>
      </c>
      <c r="Z50" s="4901"/>
      <c r="AA50" s="5046">
        <f t="shared" si="24"/>
        <v>0.8</v>
      </c>
      <c r="AB50" s="5060"/>
      <c r="AC50" s="200"/>
      <c r="AD50" s="106"/>
      <c r="AE50" s="66"/>
      <c r="AF50" s="66"/>
      <c r="AG50" s="26"/>
      <c r="AI50" s="200"/>
      <c r="AJ50" s="66"/>
      <c r="AK50" s="106"/>
      <c r="AL50" s="5060"/>
      <c r="AM50" s="200"/>
      <c r="AN50" s="106"/>
      <c r="AO50" s="66"/>
      <c r="AP50" s="66"/>
      <c r="AQ50" s="26"/>
      <c r="AS50" s="200"/>
      <c r="AT50" s="647"/>
      <c r="AU50" s="106"/>
      <c r="AV50" s="7102"/>
      <c r="AW50" s="200"/>
      <c r="AX50" s="106"/>
      <c r="AY50" s="273"/>
      <c r="AZ50" s="66"/>
      <c r="BA50" s="200"/>
      <c r="BB50" s="647"/>
      <c r="BC50" s="66"/>
      <c r="BD50" s="5060"/>
      <c r="BE50" s="200"/>
      <c r="BF50" s="106"/>
      <c r="BG50" s="273"/>
      <c r="BH50" s="66"/>
      <c r="BI50" s="66"/>
      <c r="BJ50" s="26"/>
    </row>
    <row r="51" spans="1:62" x14ac:dyDescent="0.35">
      <c r="A51" s="9168"/>
      <c r="B51" s="240"/>
      <c r="C51" s="240" t="s">
        <v>3644</v>
      </c>
      <c r="D51" s="197"/>
      <c r="F51" s="155"/>
      <c r="H51" s="117">
        <v>1915</v>
      </c>
      <c r="I51" s="115">
        <v>2986.2984999999999</v>
      </c>
      <c r="J51" s="64">
        <f t="shared" si="21"/>
        <v>1.5594248041775456</v>
      </c>
      <c r="L51" s="117">
        <v>2202.7179999999998</v>
      </c>
      <c r="M51" s="157">
        <f t="shared" si="22"/>
        <v>3434.9730858083544</v>
      </c>
      <c r="O51" s="117">
        <v>1934.15</v>
      </c>
      <c r="P51" s="649">
        <v>2202.7179999999998</v>
      </c>
      <c r="Q51" s="4901" t="s">
        <v>3639</v>
      </c>
      <c r="R51" s="5046">
        <f t="shared" si="23"/>
        <v>1.1388558281415608</v>
      </c>
      <c r="S51" s="5060"/>
      <c r="T51" s="200">
        <v>4430</v>
      </c>
      <c r="U51" s="106"/>
      <c r="V51" s="201">
        <v>3460</v>
      </c>
      <c r="W51" s="66"/>
      <c r="X51" s="200">
        <v>4430</v>
      </c>
      <c r="Y51" s="649">
        <v>3460</v>
      </c>
      <c r="Z51" s="4901"/>
      <c r="AA51" s="5046">
        <f t="shared" si="24"/>
        <v>0.78103837471783299</v>
      </c>
      <c r="AB51" s="5060"/>
      <c r="AC51" s="200"/>
      <c r="AD51" s="106"/>
      <c r="AE51" s="66"/>
      <c r="AF51" s="66"/>
      <c r="AG51" s="26"/>
      <c r="AI51" s="200"/>
      <c r="AJ51" s="66"/>
      <c r="AK51" s="106"/>
      <c r="AL51" s="5060"/>
      <c r="AM51" s="200"/>
      <c r="AN51" s="106"/>
      <c r="AO51" s="66"/>
      <c r="AP51" s="66"/>
      <c r="AQ51" s="26"/>
      <c r="AS51" s="200"/>
      <c r="AT51" s="647"/>
      <c r="AU51" s="106"/>
      <c r="AV51" s="7102"/>
      <c r="AW51" s="200"/>
      <c r="AX51" s="106"/>
      <c r="AY51" s="273"/>
      <c r="AZ51" s="66"/>
      <c r="BA51" s="200"/>
      <c r="BB51" s="647"/>
      <c r="BC51" s="66"/>
      <c r="BD51" s="5060"/>
      <c r="BE51" s="200"/>
      <c r="BF51" s="106"/>
      <c r="BG51" s="273"/>
      <c r="BH51" s="66"/>
      <c r="BI51" s="66"/>
      <c r="BJ51" s="26"/>
    </row>
    <row r="52" spans="1:62" x14ac:dyDescent="0.35">
      <c r="A52" s="9168"/>
      <c r="B52" s="240"/>
      <c r="C52" s="240" t="s">
        <v>3645</v>
      </c>
      <c r="D52" s="197"/>
      <c r="F52" s="155"/>
      <c r="H52" s="117">
        <v>3050</v>
      </c>
      <c r="I52" s="115">
        <v>3015.5740599999999</v>
      </c>
      <c r="J52" s="64">
        <f t="shared" si="21"/>
        <v>0.98871280655737703</v>
      </c>
      <c r="L52" s="117">
        <v>4772.7392989999998</v>
      </c>
      <c r="M52" s="157">
        <f t="shared" si="22"/>
        <v>4718.8684672809777</v>
      </c>
      <c r="O52" s="117">
        <v>4317.1314659999998</v>
      </c>
      <c r="P52" s="649">
        <v>4772.7392989999998</v>
      </c>
      <c r="Q52" s="4901" t="s">
        <v>3639</v>
      </c>
      <c r="R52" s="5046">
        <f t="shared" si="23"/>
        <v>1.1055348526187319</v>
      </c>
      <c r="S52" s="5060"/>
      <c r="T52" s="200">
        <v>5192</v>
      </c>
      <c r="U52" s="106"/>
      <c r="V52" s="201">
        <v>5192</v>
      </c>
      <c r="W52" s="66"/>
      <c r="X52" s="200">
        <v>5192</v>
      </c>
      <c r="Y52" s="649">
        <v>5192</v>
      </c>
      <c r="Z52" s="4901"/>
      <c r="AA52" s="5046">
        <f t="shared" si="24"/>
        <v>1</v>
      </c>
      <c r="AB52" s="5060"/>
      <c r="AC52" s="200"/>
      <c r="AD52" s="106"/>
      <c r="AE52" s="66"/>
      <c r="AF52" s="66"/>
      <c r="AG52" s="26"/>
      <c r="AI52" s="200"/>
      <c r="AJ52" s="66"/>
      <c r="AK52" s="106"/>
      <c r="AL52" s="5060"/>
      <c r="AM52" s="200"/>
      <c r="AN52" s="106"/>
      <c r="AO52" s="66"/>
      <c r="AP52" s="66"/>
      <c r="AQ52" s="26"/>
      <c r="AS52" s="200"/>
      <c r="AT52" s="647"/>
      <c r="AU52" s="106"/>
      <c r="AV52" s="7102"/>
      <c r="AW52" s="200"/>
      <c r="AX52" s="106"/>
      <c r="AY52" s="273"/>
      <c r="AZ52" s="66"/>
      <c r="BA52" s="200"/>
      <c r="BB52" s="647"/>
      <c r="BC52" s="66"/>
      <c r="BD52" s="5060"/>
      <c r="BE52" s="200"/>
      <c r="BF52" s="106"/>
      <c r="BG52" s="273"/>
      <c r="BH52" s="66"/>
      <c r="BI52" s="66"/>
      <c r="BJ52" s="26"/>
    </row>
    <row r="53" spans="1:62" x14ac:dyDescent="0.35">
      <c r="A53" s="9168"/>
      <c r="B53" s="240"/>
      <c r="C53" s="240" t="s">
        <v>3646</v>
      </c>
      <c r="D53" s="197"/>
      <c r="F53" s="155"/>
      <c r="H53" s="117">
        <v>81.2</v>
      </c>
      <c r="I53" s="115">
        <v>77.921211999999997</v>
      </c>
      <c r="J53" s="64">
        <f t="shared" si="21"/>
        <v>0.95962083743842352</v>
      </c>
      <c r="L53" s="117">
        <v>89.32</v>
      </c>
      <c r="M53" s="157">
        <f t="shared" si="22"/>
        <v>85.71333319999998</v>
      </c>
      <c r="O53" s="117">
        <v>89.32</v>
      </c>
      <c r="P53" s="649">
        <v>89.32</v>
      </c>
      <c r="Q53" s="4901" t="s">
        <v>3641</v>
      </c>
      <c r="R53" s="5046">
        <f t="shared" si="23"/>
        <v>1</v>
      </c>
      <c r="S53" s="5060"/>
      <c r="T53" s="200">
        <v>100</v>
      </c>
      <c r="U53" s="106"/>
      <c r="V53" s="201">
        <v>100</v>
      </c>
      <c r="W53" s="66"/>
      <c r="X53" s="200">
        <v>100</v>
      </c>
      <c r="Y53" s="649">
        <v>100</v>
      </c>
      <c r="Z53" s="4901"/>
      <c r="AA53" s="5046">
        <f t="shared" si="24"/>
        <v>1</v>
      </c>
      <c r="AB53" s="5060"/>
      <c r="AC53" s="200"/>
      <c r="AD53" s="106"/>
      <c r="AE53" s="66"/>
      <c r="AF53" s="66"/>
      <c r="AG53" s="26"/>
      <c r="AI53" s="200"/>
      <c r="AJ53" s="66"/>
      <c r="AK53" s="106"/>
      <c r="AL53" s="5060"/>
      <c r="AM53" s="200"/>
      <c r="AN53" s="106"/>
      <c r="AO53" s="66"/>
      <c r="AP53" s="66"/>
      <c r="AQ53" s="26"/>
      <c r="AS53" s="200"/>
      <c r="AT53" s="647"/>
      <c r="AU53" s="106"/>
      <c r="AV53" s="7102"/>
      <c r="AW53" s="200"/>
      <c r="AX53" s="106"/>
      <c r="AY53" s="273"/>
      <c r="AZ53" s="66"/>
      <c r="BA53" s="200"/>
      <c r="BB53" s="647"/>
      <c r="BC53" s="66"/>
      <c r="BD53" s="5060"/>
      <c r="BE53" s="200"/>
      <c r="BF53" s="106"/>
      <c r="BG53" s="273"/>
      <c r="BH53" s="66"/>
      <c r="BI53" s="66"/>
      <c r="BJ53" s="26"/>
    </row>
    <row r="54" spans="1:62" x14ac:dyDescent="0.35">
      <c r="A54" s="9168"/>
      <c r="B54" s="241"/>
      <c r="C54" s="241" t="s">
        <v>3647</v>
      </c>
      <c r="D54" s="197"/>
      <c r="F54" s="163"/>
      <c r="H54" s="242">
        <v>4400</v>
      </c>
      <c r="I54" s="243">
        <v>4316.6772190000002</v>
      </c>
      <c r="J54" s="64">
        <f t="shared" si="21"/>
        <v>0.98106300431818183</v>
      </c>
      <c r="L54" s="242">
        <v>5580.8249999999998</v>
      </c>
      <c r="M54" s="157">
        <f t="shared" si="22"/>
        <v>5475.1409410740171</v>
      </c>
      <c r="O54" s="242">
        <v>5040</v>
      </c>
      <c r="P54" s="638">
        <v>5580.8249999999998</v>
      </c>
      <c r="Q54" s="4901" t="s">
        <v>3639</v>
      </c>
      <c r="R54" s="5046">
        <f t="shared" si="23"/>
        <v>1.1073065476190476</v>
      </c>
      <c r="S54" s="5060"/>
      <c r="T54" s="164">
        <v>6246</v>
      </c>
      <c r="U54" s="106"/>
      <c r="V54" s="244">
        <v>6146</v>
      </c>
      <c r="W54" s="66"/>
      <c r="X54" s="164">
        <v>6246</v>
      </c>
      <c r="Y54" s="638">
        <v>6146</v>
      </c>
      <c r="Z54" s="4901"/>
      <c r="AA54" s="5046">
        <f t="shared" si="24"/>
        <v>0.98398975344220296</v>
      </c>
      <c r="AB54" s="5060"/>
      <c r="AC54" s="164"/>
      <c r="AD54" s="106"/>
      <c r="AE54" s="66"/>
      <c r="AF54" s="66"/>
      <c r="AG54" s="26"/>
      <c r="AI54" s="164"/>
      <c r="AJ54" s="66"/>
      <c r="AK54" s="106"/>
      <c r="AL54" s="5060"/>
      <c r="AM54" s="164"/>
      <c r="AN54" s="106"/>
      <c r="AO54" s="66"/>
      <c r="AP54" s="66"/>
      <c r="AQ54" s="26"/>
      <c r="AS54" s="164"/>
      <c r="AT54" s="647"/>
      <c r="AU54" s="106"/>
      <c r="AV54" s="7102"/>
      <c r="AW54" s="164"/>
      <c r="AX54" s="106"/>
      <c r="AY54" s="273"/>
      <c r="AZ54" s="66"/>
      <c r="BA54" s="164"/>
      <c r="BB54" s="647"/>
      <c r="BC54" s="66"/>
      <c r="BD54" s="5060"/>
      <c r="BE54" s="164"/>
      <c r="BF54" s="106"/>
      <c r="BG54" s="273"/>
      <c r="BH54" s="66"/>
      <c r="BI54" s="66"/>
      <c r="BJ54" s="26"/>
    </row>
    <row r="55" spans="1:62" x14ac:dyDescent="0.35">
      <c r="A55" s="9168"/>
      <c r="B55" s="241"/>
      <c r="C55" s="4067" t="s">
        <v>3648</v>
      </c>
      <c r="D55" s="197"/>
      <c r="F55" s="163"/>
      <c r="H55" s="242">
        <v>530</v>
      </c>
      <c r="I55" s="243">
        <v>508.599041</v>
      </c>
      <c r="J55" s="64">
        <f t="shared" si="21"/>
        <v>0.95962083207547166</v>
      </c>
      <c r="L55" s="242">
        <v>2221.6469999999999</v>
      </c>
      <c r="M55" s="157">
        <f t="shared" si="22"/>
        <v>2131.9387427179754</v>
      </c>
      <c r="O55" s="242">
        <v>1708.6130000000001</v>
      </c>
      <c r="P55" s="638">
        <v>2221.6469999999999</v>
      </c>
      <c r="Q55" s="4901" t="s">
        <v>3641</v>
      </c>
      <c r="R55" s="5046">
        <f t="shared" si="23"/>
        <v>1.3002634300453058</v>
      </c>
      <c r="S55" s="5060"/>
      <c r="T55" s="164">
        <v>2906</v>
      </c>
      <c r="U55" s="106"/>
      <c r="V55" s="244">
        <v>2856</v>
      </c>
      <c r="W55" s="66"/>
      <c r="X55" s="164">
        <v>2906</v>
      </c>
      <c r="Y55" s="638">
        <v>2856</v>
      </c>
      <c r="Z55" s="4901"/>
      <c r="AA55" s="5046">
        <f t="shared" si="24"/>
        <v>0.98279421885753615</v>
      </c>
      <c r="AB55" s="5060"/>
      <c r="AC55" s="164"/>
      <c r="AD55" s="106"/>
      <c r="AE55" s="66"/>
      <c r="AF55" s="66"/>
      <c r="AG55" s="26"/>
      <c r="AI55" s="164"/>
      <c r="AJ55" s="66"/>
      <c r="AK55" s="106"/>
      <c r="AL55" s="5060"/>
      <c r="AM55" s="164"/>
      <c r="AN55" s="106"/>
      <c r="AO55" s="66"/>
      <c r="AP55" s="66"/>
      <c r="AQ55" s="26"/>
      <c r="AS55" s="164"/>
      <c r="AT55" s="647"/>
      <c r="AU55" s="106"/>
      <c r="AV55" s="7102"/>
      <c r="AW55" s="164"/>
      <c r="AX55" s="106"/>
      <c r="AY55" s="273"/>
      <c r="AZ55" s="66"/>
      <c r="BA55" s="164"/>
      <c r="BB55" s="647"/>
      <c r="BC55" s="66"/>
      <c r="BD55" s="5060"/>
      <c r="BE55" s="164"/>
      <c r="BF55" s="106"/>
      <c r="BG55" s="273"/>
      <c r="BH55" s="66"/>
      <c r="BI55" s="66"/>
      <c r="BJ55" s="26"/>
    </row>
    <row r="56" spans="1:62" x14ac:dyDescent="0.35">
      <c r="A56" s="9168"/>
      <c r="B56" s="241"/>
      <c r="C56" s="4067" t="s">
        <v>3649</v>
      </c>
      <c r="D56" s="197"/>
      <c r="F56" s="163"/>
      <c r="H56" s="242">
        <v>170</v>
      </c>
      <c r="I56" s="243">
        <v>163.13554099999999</v>
      </c>
      <c r="J56" s="64">
        <f t="shared" si="21"/>
        <v>0.95962082941176463</v>
      </c>
      <c r="L56" s="242">
        <v>295.5</v>
      </c>
      <c r="M56" s="157">
        <f t="shared" si="22"/>
        <v>283.56795509117643</v>
      </c>
      <c r="O56" s="242">
        <v>295.5</v>
      </c>
      <c r="P56" s="638">
        <v>295.5</v>
      </c>
      <c r="Q56" s="4901" t="s">
        <v>3641</v>
      </c>
      <c r="R56" s="5046">
        <f t="shared" si="23"/>
        <v>1</v>
      </c>
      <c r="S56" s="5060"/>
      <c r="T56" s="164">
        <v>638</v>
      </c>
      <c r="U56" s="106"/>
      <c r="V56" s="244">
        <v>513</v>
      </c>
      <c r="W56" s="66"/>
      <c r="X56" s="164">
        <v>638</v>
      </c>
      <c r="Y56" s="638">
        <v>513</v>
      </c>
      <c r="Z56" s="4901"/>
      <c r="AA56" s="5046">
        <f t="shared" si="24"/>
        <v>0.8040752351097179</v>
      </c>
      <c r="AB56" s="5060"/>
      <c r="AC56" s="164"/>
      <c r="AD56" s="106"/>
      <c r="AE56" s="66"/>
      <c r="AF56" s="66"/>
      <c r="AG56" s="26"/>
      <c r="AI56" s="164"/>
      <c r="AJ56" s="66"/>
      <c r="AK56" s="106"/>
      <c r="AL56" s="5060"/>
      <c r="AM56" s="164"/>
      <c r="AN56" s="106"/>
      <c r="AO56" s="66"/>
      <c r="AP56" s="66"/>
      <c r="AQ56" s="26"/>
      <c r="AS56" s="164"/>
      <c r="AT56" s="647"/>
      <c r="AU56" s="106"/>
      <c r="AV56" s="7102"/>
      <c r="AW56" s="164"/>
      <c r="AX56" s="106"/>
      <c r="AY56" s="273"/>
      <c r="AZ56" s="66"/>
      <c r="BA56" s="164"/>
      <c r="BB56" s="647"/>
      <c r="BC56" s="66"/>
      <c r="BD56" s="5060"/>
      <c r="BE56" s="164"/>
      <c r="BF56" s="106"/>
      <c r="BG56" s="273"/>
      <c r="BH56" s="66"/>
      <c r="BI56" s="66"/>
      <c r="BJ56" s="26"/>
    </row>
    <row r="57" spans="1:62" x14ac:dyDescent="0.35">
      <c r="A57" s="9168"/>
      <c r="B57" s="241"/>
      <c r="C57" s="241" t="s">
        <v>3650</v>
      </c>
      <c r="D57" s="209"/>
      <c r="F57" s="130"/>
      <c r="H57" s="131">
        <v>500</v>
      </c>
      <c r="I57" s="243">
        <v>479.81041599999998</v>
      </c>
      <c r="J57" s="133">
        <f t="shared" si="21"/>
        <v>0.95962083199999992</v>
      </c>
      <c r="L57" s="242">
        <v>575</v>
      </c>
      <c r="M57" s="157">
        <f t="shared" si="22"/>
        <v>551.78197839999996</v>
      </c>
      <c r="O57" s="131">
        <v>575</v>
      </c>
      <c r="P57" s="3029">
        <v>575</v>
      </c>
      <c r="Q57" s="5061" t="s">
        <v>3641</v>
      </c>
      <c r="R57" s="5048">
        <f t="shared" si="23"/>
        <v>1</v>
      </c>
      <c r="S57" s="5060"/>
      <c r="T57" s="214">
        <v>650</v>
      </c>
      <c r="U57" s="216"/>
      <c r="V57" s="215">
        <v>520</v>
      </c>
      <c r="W57" s="66"/>
      <c r="X57" s="214">
        <v>650</v>
      </c>
      <c r="Y57" s="3029">
        <v>520</v>
      </c>
      <c r="Z57" s="5061"/>
      <c r="AA57" s="5048">
        <f t="shared" si="24"/>
        <v>0.8</v>
      </c>
      <c r="AB57" s="5060"/>
      <c r="AC57" s="214"/>
      <c r="AD57" s="216"/>
      <c r="AE57" s="92"/>
      <c r="AF57" s="66"/>
      <c r="AG57" s="26"/>
      <c r="AI57" s="214"/>
      <c r="AJ57" s="92"/>
      <c r="AK57" s="216"/>
      <c r="AL57" s="5060"/>
      <c r="AM57" s="214"/>
      <c r="AN57" s="216"/>
      <c r="AO57" s="92"/>
      <c r="AP57" s="66"/>
      <c r="AQ57" s="26"/>
      <c r="AS57" s="214"/>
      <c r="AT57" s="212"/>
      <c r="AU57" s="216"/>
      <c r="AV57" s="7102"/>
      <c r="AW57" s="214"/>
      <c r="AX57" s="216"/>
      <c r="AY57" s="485"/>
      <c r="AZ57" s="247"/>
      <c r="BA57" s="214"/>
      <c r="BB57" s="212"/>
      <c r="BC57" s="92"/>
      <c r="BD57" s="5060"/>
      <c r="BE57" s="214"/>
      <c r="BF57" s="216"/>
      <c r="BG57" s="485"/>
      <c r="BH57" s="66"/>
      <c r="BI57" s="66"/>
      <c r="BJ57" s="18"/>
    </row>
    <row r="58" spans="1:62" x14ac:dyDescent="0.35">
      <c r="A58" s="9168"/>
      <c r="B58" s="271" t="s">
        <v>540</v>
      </c>
      <c r="C58" s="271"/>
      <c r="D58" s="184"/>
      <c r="E58" s="141"/>
      <c r="F58" s="227"/>
      <c r="G58" s="141"/>
      <c r="H58" s="245"/>
      <c r="I58" s="106"/>
      <c r="J58" s="267"/>
      <c r="K58" s="141"/>
      <c r="L58" s="102" t="s">
        <v>3592</v>
      </c>
      <c r="M58" s="268"/>
      <c r="N58" s="141"/>
      <c r="O58" s="919"/>
      <c r="P58" s="5062"/>
      <c r="Q58" s="254"/>
      <c r="R58" s="5063"/>
      <c r="S58" s="141"/>
      <c r="T58" s="102" t="s">
        <v>3592</v>
      </c>
      <c r="U58" s="103"/>
      <c r="V58" s="268"/>
      <c r="W58" s="247"/>
      <c r="X58" s="102" t="s">
        <v>3592</v>
      </c>
      <c r="Y58" s="5062"/>
      <c r="Z58" s="254"/>
      <c r="AA58" s="5063"/>
      <c r="AB58" s="141"/>
      <c r="AC58" s="102" t="s">
        <v>3651</v>
      </c>
      <c r="AD58" s="103"/>
      <c r="AE58" s="268"/>
      <c r="AF58" s="247"/>
      <c r="AG58" s="18"/>
      <c r="AI58" s="102" t="s">
        <v>3651</v>
      </c>
      <c r="AJ58" s="268"/>
      <c r="AK58" s="103"/>
      <c r="AL58" s="141"/>
      <c r="AM58" s="659" t="s">
        <v>3635</v>
      </c>
      <c r="AN58" s="103"/>
      <c r="AO58" s="268"/>
      <c r="AP58" s="247"/>
      <c r="AQ58" s="18"/>
      <c r="AS58" s="102"/>
      <c r="AT58" s="2909"/>
      <c r="AU58" s="103"/>
      <c r="AV58" s="141"/>
      <c r="AW58" s="659"/>
      <c r="AX58" s="103"/>
      <c r="AY58" s="268"/>
      <c r="AZ58" s="157"/>
      <c r="BA58" s="102"/>
      <c r="BB58" s="2909"/>
      <c r="BC58" s="105"/>
      <c r="BD58" s="141"/>
      <c r="BE58" s="659"/>
      <c r="BF58" s="103"/>
      <c r="BG58" s="268"/>
      <c r="BH58" s="247"/>
      <c r="BI58" s="247"/>
      <c r="BJ58" s="26"/>
    </row>
    <row r="59" spans="1:62" x14ac:dyDescent="0.35">
      <c r="A59" s="9168"/>
      <c r="B59" s="240"/>
      <c r="C59" s="240" t="s">
        <v>2148</v>
      </c>
      <c r="D59" s="197"/>
      <c r="F59" s="111"/>
      <c r="H59" s="112">
        <v>44768.842628999999</v>
      </c>
      <c r="I59" s="113">
        <v>55897.075983000002</v>
      </c>
      <c r="J59" s="64">
        <f t="shared" ref="J59:J66" si="25">IF(H59=0,0,I59/H59)</f>
        <v>1.2485709413178228</v>
      </c>
      <c r="L59" s="112">
        <v>77860.511893000003</v>
      </c>
      <c r="M59" s="157">
        <f t="shared" ref="M59:M68" si="26">L59*J59</f>
        <v>97214.372625730553</v>
      </c>
      <c r="O59" s="112">
        <v>57879.358270999997</v>
      </c>
      <c r="P59" s="647">
        <v>77860.511893000003</v>
      </c>
      <c r="Q59" s="57" t="s">
        <v>3618</v>
      </c>
      <c r="R59" s="5046">
        <f t="shared" si="23"/>
        <v>1.3452207180398441</v>
      </c>
      <c r="S59" s="5047"/>
      <c r="T59" s="198">
        <v>90180.035818999997</v>
      </c>
      <c r="U59" s="57" t="s">
        <v>1706</v>
      </c>
      <c r="V59" s="482">
        <v>90622.818161999996</v>
      </c>
      <c r="W59" s="157"/>
      <c r="X59" s="198">
        <v>90180.035818999997</v>
      </c>
      <c r="Y59" s="647">
        <v>90622.818161999996</v>
      </c>
      <c r="Z59" s="57" t="s">
        <v>1706</v>
      </c>
      <c r="AA59" s="5046">
        <f t="shared" ref="AA59" si="27">Y59/X59</f>
        <v>1.0049099818932063</v>
      </c>
      <c r="AB59" s="5047"/>
      <c r="AC59" s="198">
        <v>108379.296143</v>
      </c>
      <c r="AD59" s="57" t="s">
        <v>3652</v>
      </c>
      <c r="AE59" s="66">
        <f>AC59*AE37/AC37</f>
        <v>65901.353974018755</v>
      </c>
      <c r="AF59" s="157"/>
      <c r="AG59" s="26"/>
      <c r="AI59" s="198">
        <v>108379.296143</v>
      </c>
      <c r="AJ59" s="66">
        <v>65901.353974018755</v>
      </c>
      <c r="AK59" s="57" t="s">
        <v>3652</v>
      </c>
      <c r="AL59" s="5047"/>
      <c r="AM59" s="198">
        <v>19900</v>
      </c>
      <c r="AN59" s="57"/>
      <c r="AO59" s="66"/>
      <c r="AP59" s="157"/>
      <c r="AQ59" s="26" t="s">
        <v>3653</v>
      </c>
      <c r="AS59" s="198">
        <f>AS37</f>
        <v>20437.64</v>
      </c>
      <c r="AT59" s="647">
        <f t="shared" ref="AT59" si="28">AY59/AW59*AS59</f>
        <v>23030.385444595628</v>
      </c>
      <c r="AU59" s="57"/>
      <c r="AV59" s="7099"/>
      <c r="AW59" s="198">
        <f>AW37</f>
        <v>24186.81</v>
      </c>
      <c r="AX59" s="57"/>
      <c r="AY59" s="273">
        <f>AY37</f>
        <v>27255.18</v>
      </c>
      <c r="AZ59" s="157"/>
      <c r="BA59" s="198">
        <f>BA37</f>
        <v>24186.81</v>
      </c>
      <c r="BB59" s="647">
        <f>BB37</f>
        <v>27255.18</v>
      </c>
      <c r="BC59" s="237"/>
      <c r="BD59" s="5047"/>
      <c r="BE59" s="198">
        <f>BE37</f>
        <v>25936.91</v>
      </c>
      <c r="BF59" s="57"/>
      <c r="BG59" s="273">
        <f>BG37</f>
        <v>33449.78</v>
      </c>
      <c r="BH59" s="157"/>
      <c r="BI59" s="157"/>
      <c r="BJ59" s="26"/>
    </row>
    <row r="60" spans="1:62" x14ac:dyDescent="0.35">
      <c r="A60" s="9168"/>
      <c r="B60" s="240"/>
      <c r="C60" s="240" t="s">
        <v>533</v>
      </c>
      <c r="D60" s="197"/>
      <c r="F60" s="155"/>
      <c r="H60" s="117"/>
      <c r="I60" s="115"/>
      <c r="J60" s="64">
        <f t="shared" si="25"/>
        <v>0</v>
      </c>
      <c r="L60" s="117"/>
      <c r="M60" s="157">
        <f t="shared" si="26"/>
        <v>0</v>
      </c>
      <c r="O60" s="117"/>
      <c r="P60" s="649"/>
      <c r="Q60" s="312"/>
      <c r="R60" s="1616"/>
      <c r="T60" s="117"/>
      <c r="U60" s="106"/>
      <c r="V60" s="273"/>
      <c r="W60" s="157"/>
      <c r="X60" s="117"/>
      <c r="Y60" s="649"/>
      <c r="Z60" s="312"/>
      <c r="AA60" s="1616"/>
      <c r="AC60" s="117"/>
      <c r="AD60" s="106"/>
      <c r="AE60" s="66"/>
      <c r="AF60" s="157"/>
      <c r="AG60" s="26"/>
      <c r="AI60" s="117"/>
      <c r="AJ60" s="66"/>
      <c r="AK60" s="106"/>
      <c r="AM60" s="117"/>
      <c r="AN60" s="106"/>
      <c r="AO60" s="66"/>
      <c r="AP60" s="157"/>
      <c r="AQ60" s="26"/>
      <c r="AS60" s="117"/>
      <c r="AT60" s="106"/>
      <c r="AU60" s="106"/>
      <c r="AW60" s="117"/>
      <c r="AX60" s="106"/>
      <c r="AY60" s="66"/>
      <c r="AZ60" s="157"/>
      <c r="BA60" s="117"/>
      <c r="BB60" s="647"/>
      <c r="BC60" s="66"/>
      <c r="BE60" s="117"/>
      <c r="BF60" s="106"/>
      <c r="BG60" s="273"/>
      <c r="BH60" s="157"/>
      <c r="BI60" s="157"/>
      <c r="BJ60" s="26"/>
    </row>
    <row r="61" spans="1:62" x14ac:dyDescent="0.35">
      <c r="A61" s="9168"/>
      <c r="B61" s="240"/>
      <c r="C61" s="240" t="s">
        <v>534</v>
      </c>
      <c r="D61" s="197"/>
      <c r="F61" s="163"/>
      <c r="H61" s="242"/>
      <c r="I61" s="243"/>
      <c r="J61" s="64">
        <f t="shared" si="25"/>
        <v>0</v>
      </c>
      <c r="L61" s="242"/>
      <c r="M61" s="157">
        <f t="shared" si="26"/>
        <v>0</v>
      </c>
      <c r="O61" s="242"/>
      <c r="P61" s="638"/>
      <c r="Q61" s="312"/>
      <c r="R61" s="1616"/>
      <c r="T61" s="117"/>
      <c r="U61" s="106"/>
      <c r="V61" s="276"/>
      <c r="W61" s="157"/>
      <c r="X61" s="117"/>
      <c r="Y61" s="638"/>
      <c r="Z61" s="312"/>
      <c r="AA61" s="1616"/>
      <c r="AC61" s="117"/>
      <c r="AD61" s="106"/>
      <c r="AE61" s="66"/>
      <c r="AF61" s="157"/>
      <c r="AG61" s="26"/>
      <c r="AI61" s="117"/>
      <c r="AJ61" s="66"/>
      <c r="AK61" s="106"/>
      <c r="AM61" s="117"/>
      <c r="AN61" s="106"/>
      <c r="AO61" s="66"/>
      <c r="AP61" s="157"/>
      <c r="AQ61" s="26"/>
      <c r="AS61" s="117"/>
      <c r="AT61" s="106"/>
      <c r="AU61" s="106"/>
      <c r="AW61" s="117"/>
      <c r="AX61" s="106"/>
      <c r="AY61" s="66"/>
      <c r="AZ61" s="157"/>
      <c r="BA61" s="117"/>
      <c r="BB61" s="647"/>
      <c r="BC61" s="66"/>
      <c r="BE61" s="117"/>
      <c r="BF61" s="106"/>
      <c r="BG61" s="273"/>
      <c r="BH61" s="157"/>
      <c r="BI61" s="157"/>
      <c r="BJ61" s="26"/>
    </row>
    <row r="62" spans="1:62" x14ac:dyDescent="0.35">
      <c r="A62" s="9168"/>
      <c r="B62" s="240"/>
      <c r="C62" s="240" t="s">
        <v>536</v>
      </c>
      <c r="D62" s="197"/>
      <c r="F62" s="163"/>
      <c r="H62" s="242"/>
      <c r="I62" s="243"/>
      <c r="J62" s="64">
        <f t="shared" si="25"/>
        <v>0</v>
      </c>
      <c r="L62" s="242"/>
      <c r="M62" s="157">
        <f t="shared" si="26"/>
        <v>0</v>
      </c>
      <c r="O62" s="242"/>
      <c r="P62" s="638"/>
      <c r="Q62" s="312"/>
      <c r="R62" s="1616"/>
      <c r="T62" s="242"/>
      <c r="U62" s="106"/>
      <c r="V62" s="276"/>
      <c r="W62" s="157"/>
      <c r="X62" s="242"/>
      <c r="Y62" s="638"/>
      <c r="Z62" s="312"/>
      <c r="AA62" s="1616"/>
      <c r="AC62" s="242"/>
      <c r="AD62" s="106"/>
      <c r="AE62" s="66"/>
      <c r="AF62" s="157"/>
      <c r="AG62" s="26"/>
      <c r="AI62" s="242"/>
      <c r="AJ62" s="66"/>
      <c r="AK62" s="106"/>
      <c r="AM62" s="242"/>
      <c r="AN62" s="106"/>
      <c r="AO62" s="66"/>
      <c r="AP62" s="157"/>
      <c r="AQ62" s="26"/>
      <c r="AS62" s="242"/>
      <c r="AT62" s="106"/>
      <c r="AU62" s="106"/>
      <c r="AW62" s="242"/>
      <c r="AX62" s="106"/>
      <c r="AY62" s="66"/>
      <c r="AZ62" s="157"/>
      <c r="BA62" s="242"/>
      <c r="BB62" s="647"/>
      <c r="BC62" s="66"/>
      <c r="BE62" s="242"/>
      <c r="BF62" s="106"/>
      <c r="BG62" s="273"/>
      <c r="BH62" s="157"/>
      <c r="BI62" s="157"/>
      <c r="BJ62" s="26"/>
    </row>
    <row r="63" spans="1:62" x14ac:dyDescent="0.35">
      <c r="A63" s="9168"/>
      <c r="B63" s="240"/>
      <c r="C63" s="240" t="s">
        <v>537</v>
      </c>
      <c r="D63" s="197"/>
      <c r="F63" s="163"/>
      <c r="H63" s="242"/>
      <c r="I63" s="243"/>
      <c r="J63" s="64">
        <f t="shared" si="25"/>
        <v>0</v>
      </c>
      <c r="L63" s="242"/>
      <c r="M63" s="157">
        <f t="shared" si="26"/>
        <v>0</v>
      </c>
      <c r="O63" s="242"/>
      <c r="P63" s="638"/>
      <c r="Q63" s="312"/>
      <c r="R63" s="1616"/>
      <c r="T63" s="242"/>
      <c r="U63" s="106"/>
      <c r="V63" s="276"/>
      <c r="W63" s="157"/>
      <c r="X63" s="242"/>
      <c r="Y63" s="638"/>
      <c r="Z63" s="312"/>
      <c r="AA63" s="1616"/>
      <c r="AC63" s="242"/>
      <c r="AD63" s="106"/>
      <c r="AE63" s="66"/>
      <c r="AF63" s="157"/>
      <c r="AG63" s="26"/>
      <c r="AI63" s="242"/>
      <c r="AJ63" s="66"/>
      <c r="AK63" s="106"/>
      <c r="AM63" s="242"/>
      <c r="AN63" s="106"/>
      <c r="AO63" s="66"/>
      <c r="AP63" s="157"/>
      <c r="AQ63" s="26"/>
      <c r="AS63" s="242"/>
      <c r="AT63" s="106"/>
      <c r="AU63" s="106"/>
      <c r="AW63" s="242"/>
      <c r="AX63" s="106"/>
      <c r="AY63" s="66"/>
      <c r="AZ63" s="157"/>
      <c r="BA63" s="242"/>
      <c r="BB63" s="647"/>
      <c r="BC63" s="66"/>
      <c r="BE63" s="242"/>
      <c r="BF63" s="106"/>
      <c r="BG63" s="273"/>
      <c r="BH63" s="157"/>
      <c r="BI63" s="157"/>
      <c r="BJ63" s="26"/>
    </row>
    <row r="64" spans="1:62" x14ac:dyDescent="0.35">
      <c r="A64" s="9168"/>
      <c r="B64" s="240"/>
      <c r="C64" s="240" t="s">
        <v>538</v>
      </c>
      <c r="D64" s="197"/>
      <c r="F64" s="163"/>
      <c r="H64" s="242"/>
      <c r="I64" s="243"/>
      <c r="J64" s="64"/>
      <c r="L64" s="242"/>
      <c r="M64" s="157">
        <f t="shared" si="26"/>
        <v>0</v>
      </c>
      <c r="O64" s="242"/>
      <c r="P64" s="638"/>
      <c r="Q64" s="312"/>
      <c r="R64" s="1616"/>
      <c r="T64" s="242"/>
      <c r="U64" s="106"/>
      <c r="V64" s="276"/>
      <c r="W64" s="157"/>
      <c r="X64" s="242"/>
      <c r="Y64" s="638"/>
      <c r="Z64" s="312"/>
      <c r="AA64" s="1616"/>
      <c r="AC64" s="242"/>
      <c r="AD64" s="106"/>
      <c r="AE64" s="66"/>
      <c r="AF64" s="157"/>
      <c r="AG64" s="26"/>
      <c r="AI64" s="242"/>
      <c r="AJ64" s="66"/>
      <c r="AK64" s="106"/>
      <c r="AM64" s="242"/>
      <c r="AN64" s="106"/>
      <c r="AO64" s="66"/>
      <c r="AP64" s="157"/>
      <c r="AQ64" s="26"/>
      <c r="AS64" s="242"/>
      <c r="AT64" s="106"/>
      <c r="AU64" s="106"/>
      <c r="AW64" s="242"/>
      <c r="AX64" s="106"/>
      <c r="AY64" s="66"/>
      <c r="AZ64" s="157"/>
      <c r="BA64" s="242"/>
      <c r="BB64" s="647"/>
      <c r="BC64" s="66"/>
      <c r="BE64" s="242"/>
      <c r="BF64" s="106"/>
      <c r="BG64" s="273"/>
      <c r="BH64" s="157"/>
      <c r="BI64" s="157"/>
      <c r="BJ64" s="26"/>
    </row>
    <row r="65" spans="1:62" x14ac:dyDescent="0.35">
      <c r="A65" s="9168"/>
      <c r="B65" s="240"/>
      <c r="C65" s="240" t="s">
        <v>539</v>
      </c>
      <c r="D65" s="197"/>
      <c r="F65" s="163"/>
      <c r="H65" s="242"/>
      <c r="I65" s="243"/>
      <c r="J65" s="64">
        <f t="shared" si="25"/>
        <v>0</v>
      </c>
      <c r="L65" s="242"/>
      <c r="M65" s="157">
        <f t="shared" si="26"/>
        <v>0</v>
      </c>
      <c r="O65" s="242"/>
      <c r="P65" s="638"/>
      <c r="Q65" s="312"/>
      <c r="R65" s="1616"/>
      <c r="T65" s="242"/>
      <c r="U65" s="106"/>
      <c r="V65" s="276"/>
      <c r="W65" s="157"/>
      <c r="X65" s="242"/>
      <c r="Y65" s="638"/>
      <c r="Z65" s="312"/>
      <c r="AA65" s="1616"/>
      <c r="AC65" s="242"/>
      <c r="AD65" s="106"/>
      <c r="AE65" s="66"/>
      <c r="AF65" s="157"/>
      <c r="AG65" s="26"/>
      <c r="AI65" s="242"/>
      <c r="AJ65" s="66"/>
      <c r="AK65" s="106"/>
      <c r="AM65" s="242"/>
      <c r="AN65" s="106"/>
      <c r="AO65" s="66"/>
      <c r="AP65" s="157"/>
      <c r="AQ65" s="26"/>
      <c r="AS65" s="242"/>
      <c r="AT65" s="106"/>
      <c r="AU65" s="106"/>
      <c r="AW65" s="242"/>
      <c r="AX65" s="106"/>
      <c r="AY65" s="66"/>
      <c r="AZ65" s="157"/>
      <c r="BA65" s="242"/>
      <c r="BB65" s="647"/>
      <c r="BC65" s="66"/>
      <c r="BE65" s="242"/>
      <c r="BF65" s="106"/>
      <c r="BG65" s="273"/>
      <c r="BH65" s="157"/>
      <c r="BI65" s="157"/>
      <c r="BJ65" s="24"/>
    </row>
    <row r="66" spans="1:62" x14ac:dyDescent="0.35">
      <c r="A66" s="9168"/>
      <c r="B66" s="250"/>
      <c r="C66" s="250" t="s">
        <v>704</v>
      </c>
      <c r="D66" s="209"/>
      <c r="F66" s="130"/>
      <c r="H66" s="242"/>
      <c r="I66" s="243"/>
      <c r="J66" s="64">
        <f t="shared" si="25"/>
        <v>0</v>
      </c>
      <c r="L66" s="242"/>
      <c r="M66" s="157">
        <f t="shared" si="26"/>
        <v>0</v>
      </c>
      <c r="O66" s="242"/>
      <c r="P66" s="638"/>
      <c r="Q66" s="312"/>
      <c r="R66" s="1616"/>
      <c r="T66" s="242"/>
      <c r="U66" s="106"/>
      <c r="V66" s="658"/>
      <c r="W66" s="157"/>
      <c r="X66" s="242"/>
      <c r="Y66" s="638"/>
      <c r="Z66" s="312"/>
      <c r="AA66" s="1616"/>
      <c r="AC66" s="131"/>
      <c r="AD66" s="216"/>
      <c r="AE66" s="92"/>
      <c r="AF66" s="157"/>
      <c r="AG66" s="24"/>
      <c r="AI66" s="242"/>
      <c r="AJ66" s="92"/>
      <c r="AK66" s="216"/>
      <c r="AM66" s="131"/>
      <c r="AN66" s="216"/>
      <c r="AO66" s="92"/>
      <c r="AP66" s="157"/>
      <c r="AQ66" s="24"/>
      <c r="AS66" s="242"/>
      <c r="AT66" s="216"/>
      <c r="AU66" s="216"/>
      <c r="AW66" s="131"/>
      <c r="AX66" s="216"/>
      <c r="AY66" s="92"/>
      <c r="AZ66" s="247"/>
      <c r="BA66" s="242"/>
      <c r="BB66" s="3391"/>
      <c r="BC66" s="92"/>
      <c r="BE66" s="131"/>
      <c r="BF66" s="216"/>
      <c r="BG66" s="658"/>
      <c r="BH66" s="157"/>
      <c r="BI66" s="157"/>
      <c r="BJ66" s="18"/>
    </row>
    <row r="67" spans="1:62" x14ac:dyDescent="0.35">
      <c r="A67" s="9168"/>
      <c r="B67" s="271" t="s">
        <v>552</v>
      </c>
      <c r="C67" s="271"/>
      <c r="D67" s="184"/>
      <c r="E67" s="143"/>
      <c r="F67" s="227"/>
      <c r="G67" s="143"/>
      <c r="H67" s="102"/>
      <c r="I67" s="103"/>
      <c r="J67" s="228"/>
      <c r="K67" s="143"/>
      <c r="L67" s="102" t="s">
        <v>3602</v>
      </c>
      <c r="M67" s="268"/>
      <c r="N67" s="143"/>
      <c r="O67" s="777" t="s">
        <v>3602</v>
      </c>
      <c r="P67" s="3724"/>
      <c r="Q67" s="2909"/>
      <c r="R67" s="5058"/>
      <c r="S67" s="143"/>
      <c r="T67" s="102" t="s">
        <v>3602</v>
      </c>
      <c r="U67" s="103"/>
      <c r="V67" s="268"/>
      <c r="W67" s="247"/>
      <c r="X67" s="102" t="s">
        <v>3602</v>
      </c>
      <c r="Y67" s="3724"/>
      <c r="Z67" s="2909"/>
      <c r="AA67" s="5058"/>
      <c r="AB67" s="143"/>
      <c r="AC67" s="245"/>
      <c r="AD67" s="106"/>
      <c r="AE67" s="247"/>
      <c r="AF67" s="247"/>
      <c r="AG67" s="18"/>
      <c r="AI67" s="102"/>
      <c r="AJ67" s="247"/>
      <c r="AK67" s="106"/>
      <c r="AL67" s="143"/>
      <c r="AM67" s="659" t="s">
        <v>3635</v>
      </c>
      <c r="AN67" s="106"/>
      <c r="AO67" s="247"/>
      <c r="AP67" s="247"/>
      <c r="AQ67" s="18"/>
      <c r="AS67" s="102"/>
      <c r="AT67" s="7103" t="s">
        <v>3654</v>
      </c>
      <c r="AU67" s="106"/>
      <c r="AV67" s="143"/>
      <c r="AW67" s="659"/>
      <c r="AX67" s="106"/>
      <c r="AY67" s="247"/>
      <c r="AZ67" s="157"/>
      <c r="BA67" s="102"/>
      <c r="BB67" s="106"/>
      <c r="BC67" s="247"/>
      <c r="BD67" s="143"/>
      <c r="BE67" s="659"/>
      <c r="BF67" s="106"/>
      <c r="BG67" s="247"/>
      <c r="BH67" s="247"/>
      <c r="BI67" s="247"/>
      <c r="BJ67" s="26"/>
    </row>
    <row r="68" spans="1:62" x14ac:dyDescent="0.35">
      <c r="A68" s="9168"/>
      <c r="B68" s="272"/>
      <c r="C68" s="272" t="s">
        <v>980</v>
      </c>
      <c r="D68" s="197"/>
      <c r="F68" s="155"/>
      <c r="H68" s="117">
        <v>8133.9946890000001</v>
      </c>
      <c r="I68" s="115">
        <v>7279.9069939999999</v>
      </c>
      <c r="J68" s="64">
        <f t="shared" ref="J68" si="29">IF(H68=0,0,I68/H68)</f>
        <v>0.89499775600357534</v>
      </c>
      <c r="L68" s="117">
        <v>8232.3316149999991</v>
      </c>
      <c r="M68" s="157">
        <f t="shared" si="26"/>
        <v>7367.9183221022886</v>
      </c>
      <c r="O68" s="117">
        <v>8232.3316149999991</v>
      </c>
      <c r="P68" s="649">
        <v>8232.3316149999991</v>
      </c>
      <c r="Q68" s="4901" t="s">
        <v>3655</v>
      </c>
      <c r="R68" s="5046">
        <f t="shared" ref="R68" si="30">P68/O68</f>
        <v>1</v>
      </c>
      <c r="S68" s="5047"/>
      <c r="T68" s="200">
        <v>7698.5</v>
      </c>
      <c r="U68" s="106" t="s">
        <v>892</v>
      </c>
      <c r="V68" s="273">
        <v>7698.5</v>
      </c>
      <c r="W68" s="157"/>
      <c r="X68" s="200">
        <v>7698.5</v>
      </c>
      <c r="Y68" s="649">
        <v>7698.5</v>
      </c>
      <c r="Z68" s="4901" t="s">
        <v>892</v>
      </c>
      <c r="AA68" s="5046">
        <f t="shared" ref="AA68" si="31">Y68/X68</f>
        <v>1</v>
      </c>
      <c r="AB68" s="5047"/>
      <c r="AC68" s="200">
        <v>9077.1042720000005</v>
      </c>
      <c r="AD68" s="57" t="s">
        <v>1847</v>
      </c>
      <c r="AE68" s="66">
        <f>AC68*AA68</f>
        <v>9077.1042720000005</v>
      </c>
      <c r="AF68" s="157"/>
      <c r="AG68" s="26"/>
      <c r="AI68" s="200">
        <v>9077.1042720000005</v>
      </c>
      <c r="AJ68" s="66">
        <v>9077.1042720000005</v>
      </c>
      <c r="AK68" s="57" t="s">
        <v>1847</v>
      </c>
      <c r="AL68" s="5047"/>
      <c r="AM68" s="200">
        <v>45594.61</v>
      </c>
      <c r="AN68" s="57"/>
      <c r="AO68" s="66"/>
      <c r="AP68" s="157"/>
      <c r="AQ68" s="26"/>
      <c r="AS68" s="5833">
        <v>98086.19</v>
      </c>
      <c r="AT68" s="7104">
        <f>AS68*(AT26/AS26)</f>
        <v>100179.23781746646</v>
      </c>
      <c r="AU68" s="57" t="s">
        <v>3620</v>
      </c>
      <c r="AV68" s="7099"/>
      <c r="AW68" s="200">
        <v>87876.78</v>
      </c>
      <c r="AX68" s="57" t="s">
        <v>3620</v>
      </c>
      <c r="AY68" s="273">
        <v>136960.88</v>
      </c>
      <c r="AZ68" s="157"/>
      <c r="BA68" s="5833">
        <v>87876.78</v>
      </c>
      <c r="BB68" s="647">
        <v>136960.88</v>
      </c>
      <c r="BC68" s="237" t="s">
        <v>3620</v>
      </c>
      <c r="BD68" s="5047"/>
      <c r="BE68" s="200">
        <v>151706.35</v>
      </c>
      <c r="BF68" s="57" t="s">
        <v>3620</v>
      </c>
      <c r="BG68" s="273">
        <v>167600.51</v>
      </c>
      <c r="BH68" s="157"/>
      <c r="BI68" s="157"/>
      <c r="BJ68" s="26"/>
    </row>
    <row r="69" spans="1:62" x14ac:dyDescent="0.35">
      <c r="A69" s="9168"/>
      <c r="B69" s="274"/>
      <c r="C69" s="274"/>
      <c r="D69" s="197"/>
      <c r="F69" s="163"/>
      <c r="H69" s="242"/>
      <c r="I69" s="243"/>
      <c r="J69" s="64"/>
      <c r="L69" s="242"/>
      <c r="M69" s="157"/>
      <c r="O69" s="242"/>
      <c r="P69" s="638"/>
      <c r="Q69" s="4901"/>
      <c r="R69" s="5046"/>
      <c r="S69" s="5047"/>
      <c r="T69" s="164"/>
      <c r="U69" s="106"/>
      <c r="V69" s="276"/>
      <c r="W69" s="157"/>
      <c r="X69" s="164"/>
      <c r="Y69" s="638"/>
      <c r="Z69" s="4901"/>
      <c r="AA69" s="5046"/>
      <c r="AB69" s="5047"/>
      <c r="AC69" s="164"/>
      <c r="AD69" s="57"/>
      <c r="AE69" s="66"/>
      <c r="AF69" s="157"/>
      <c r="AG69" s="26"/>
      <c r="AI69" s="164"/>
      <c r="AJ69" s="66"/>
      <c r="AK69" s="57"/>
      <c r="AL69" s="5047"/>
      <c r="AM69" s="164"/>
      <c r="AN69" s="57"/>
      <c r="AO69" s="66"/>
      <c r="AP69" s="157"/>
      <c r="AQ69" s="26"/>
      <c r="AS69" s="164">
        <v>9080.56</v>
      </c>
      <c r="AT69" s="647">
        <f>9688.31*4/3</f>
        <v>12917.746666666666</v>
      </c>
      <c r="AU69" s="57" t="s">
        <v>3621</v>
      </c>
      <c r="AV69" s="7099"/>
      <c r="AW69" s="164">
        <v>9535.01</v>
      </c>
      <c r="AX69" s="57" t="s">
        <v>3621</v>
      </c>
      <c r="AY69" s="273">
        <v>9564.08</v>
      </c>
      <c r="AZ69" s="3558"/>
      <c r="BA69" s="164">
        <v>9535.01</v>
      </c>
      <c r="BB69" s="647">
        <v>9564.08</v>
      </c>
      <c r="BC69" s="237" t="s">
        <v>3621</v>
      </c>
      <c r="BD69" s="5047"/>
      <c r="BE69" s="164">
        <v>10011.76</v>
      </c>
      <c r="BF69" s="57" t="s">
        <v>3621</v>
      </c>
      <c r="BG69" s="273">
        <v>11917.11</v>
      </c>
      <c r="BH69" s="157"/>
      <c r="BI69" s="157"/>
      <c r="BJ69" s="24"/>
    </row>
    <row r="70" spans="1:62" ht="15.25" customHeight="1" x14ac:dyDescent="0.35">
      <c r="A70" s="9168"/>
      <c r="B70" s="277"/>
      <c r="C70" s="277" t="s">
        <v>555</v>
      </c>
      <c r="D70" s="209"/>
      <c r="F70" s="665"/>
      <c r="G70" s="666"/>
      <c r="H70" s="283"/>
      <c r="I70" s="667"/>
      <c r="J70" s="133"/>
      <c r="L70" s="283"/>
      <c r="M70" s="668"/>
      <c r="O70" s="283"/>
      <c r="P70" s="5064"/>
      <c r="Q70" s="4084"/>
      <c r="R70" s="4948"/>
      <c r="T70" s="3284"/>
      <c r="U70" s="284"/>
      <c r="V70" s="285"/>
      <c r="W70" s="5065"/>
      <c r="X70" s="3284"/>
      <c r="Y70" s="5064"/>
      <c r="Z70" s="4084"/>
      <c r="AA70" s="4948"/>
      <c r="AC70" s="3284"/>
      <c r="AD70" s="284"/>
      <c r="AE70" s="1800"/>
      <c r="AF70" s="5065"/>
      <c r="AG70" s="24"/>
      <c r="AI70" s="3284"/>
      <c r="AJ70" s="1800"/>
      <c r="AK70" s="284"/>
      <c r="AM70" s="3284"/>
      <c r="AN70" s="284"/>
      <c r="AO70" s="1800"/>
      <c r="AP70" s="5065"/>
      <c r="AQ70" s="24"/>
      <c r="AS70" s="3284"/>
      <c r="AT70" s="212"/>
      <c r="AU70" s="3329"/>
      <c r="AW70" s="3284"/>
      <c r="AX70" s="3329"/>
      <c r="AY70" s="485"/>
      <c r="AZ70" s="247"/>
      <c r="BA70" s="3284"/>
      <c r="BB70" s="212"/>
      <c r="BC70" s="1800"/>
      <c r="BE70" s="3284"/>
      <c r="BF70" s="284"/>
      <c r="BG70" s="485"/>
      <c r="BH70" s="5065"/>
      <c r="BI70" s="5065"/>
      <c r="BJ70" s="18"/>
    </row>
    <row r="71" spans="1:62" x14ac:dyDescent="0.35">
      <c r="A71" s="9168"/>
      <c r="B71" s="287" t="s">
        <v>556</v>
      </c>
      <c r="C71" s="288"/>
      <c r="D71" s="184"/>
      <c r="E71" s="143"/>
      <c r="F71" s="289"/>
      <c r="G71" s="290"/>
      <c r="H71" s="291"/>
      <c r="I71" s="292"/>
      <c r="J71" s="293"/>
      <c r="L71" s="291" t="s">
        <v>3656</v>
      </c>
      <c r="M71" s="268"/>
      <c r="N71" s="143"/>
      <c r="O71" s="5066"/>
      <c r="P71" s="5067"/>
      <c r="Q71" s="254" t="s">
        <v>3618</v>
      </c>
      <c r="R71" s="889"/>
      <c r="S71" s="143"/>
      <c r="T71" s="1388"/>
      <c r="U71" s="103"/>
      <c r="V71" s="5068"/>
      <c r="W71" s="247"/>
      <c r="X71" s="1388"/>
      <c r="Y71" s="5067"/>
      <c r="Z71" s="254"/>
      <c r="AA71" s="889"/>
      <c r="AB71" s="143"/>
      <c r="AC71" s="1388"/>
      <c r="AD71" s="103"/>
      <c r="AE71" s="5068"/>
      <c r="AF71" s="247"/>
      <c r="AG71" s="18"/>
      <c r="AI71" s="1388"/>
      <c r="AJ71" s="5068"/>
      <c r="AK71" s="103"/>
      <c r="AL71" s="143"/>
      <c r="AN71" s="103"/>
      <c r="AO71" s="5068"/>
      <c r="AP71" s="247"/>
      <c r="AQ71" s="18"/>
      <c r="AS71" s="1388"/>
      <c r="AT71" s="5068"/>
      <c r="AU71" s="103"/>
      <c r="AV71" s="143"/>
      <c r="AX71" s="103"/>
      <c r="AY71" s="5068"/>
      <c r="AZ71" s="157"/>
      <c r="BA71" s="1388"/>
      <c r="BB71" s="5068"/>
      <c r="BC71" s="105"/>
      <c r="BD71" s="143"/>
      <c r="BE71" s="7234"/>
      <c r="BF71" s="103"/>
      <c r="BG71" s="5068"/>
      <c r="BH71" s="247"/>
      <c r="BI71" s="247"/>
      <c r="BJ71" s="26"/>
    </row>
    <row r="72" spans="1:62" x14ac:dyDescent="0.35">
      <c r="A72" s="9168"/>
      <c r="B72" s="302"/>
      <c r="C72" s="59" t="s">
        <v>2148</v>
      </c>
      <c r="D72" s="197">
        <v>6</v>
      </c>
      <c r="F72" s="521"/>
      <c r="G72" s="272"/>
      <c r="H72" s="304">
        <v>4834.2622840000004</v>
      </c>
      <c r="I72" s="522">
        <v>6935.7071699999997</v>
      </c>
      <c r="J72" s="297">
        <f t="shared" ref="J72:J75" si="32">IF(H72=0,0,I72/H72)</f>
        <v>1.434698153005717</v>
      </c>
      <c r="L72" s="304">
        <v>5863.2870739999998</v>
      </c>
      <c r="M72" s="157">
        <f t="shared" ref="M72:M75" si="33">L72*J72</f>
        <v>8412.0471356100952</v>
      </c>
      <c r="O72" s="62">
        <f>O40</f>
        <v>5641.2844640000003</v>
      </c>
      <c r="P72" s="671">
        <f>P40</f>
        <v>5863.2870739999998</v>
      </c>
      <c r="Q72" s="490" t="s">
        <v>3657</v>
      </c>
      <c r="R72" s="5046">
        <f t="shared" ref="R72" si="34">P72/O72</f>
        <v>1.0393532025227081</v>
      </c>
      <c r="S72" s="5047"/>
      <c r="T72" s="1050">
        <f>T40</f>
        <v>6520.3365379999996</v>
      </c>
      <c r="U72" s="332"/>
      <c r="V72" s="1051">
        <f>V40</f>
        <v>7667.2036479999997</v>
      </c>
      <c r="W72" s="157"/>
      <c r="X72" s="1050">
        <f>X40</f>
        <v>6520.3365379999996</v>
      </c>
      <c r="Y72" s="671">
        <f>Y40</f>
        <v>7667.2036479999997</v>
      </c>
      <c r="Z72" s="490"/>
      <c r="AA72" s="5046">
        <f t="shared" ref="AA72" si="35">Y72/X72</f>
        <v>1.1758907846728692</v>
      </c>
      <c r="AB72" s="5047"/>
      <c r="AC72" s="71">
        <f>AC40</f>
        <v>19735.036435999999</v>
      </c>
      <c r="AD72" s="106"/>
      <c r="AE72" s="998">
        <f>AE40</f>
        <v>19735.036435999999</v>
      </c>
      <c r="AF72" s="157"/>
      <c r="AG72" s="26" t="s">
        <v>2150</v>
      </c>
      <c r="AI72" s="1050">
        <f>AI40</f>
        <v>19735.036435999999</v>
      </c>
      <c r="AJ72" s="998">
        <v>19735.036435999999</v>
      </c>
      <c r="AK72" s="106"/>
      <c r="AL72" s="5047"/>
      <c r="AM72" s="71">
        <v>18000</v>
      </c>
      <c r="AN72" s="106"/>
      <c r="AO72" s="998"/>
      <c r="AP72" s="157"/>
      <c r="AQ72" s="26" t="s">
        <v>2150</v>
      </c>
      <c r="AS72" s="1050"/>
      <c r="AT72" s="998"/>
      <c r="AU72" s="106"/>
      <c r="AV72" s="7099"/>
      <c r="AW72" s="71"/>
      <c r="AX72" s="106"/>
      <c r="AY72" s="998"/>
      <c r="AZ72" s="157"/>
      <c r="BA72" s="1050"/>
      <c r="BB72" s="998"/>
      <c r="BC72" s="66"/>
      <c r="BD72" s="5047"/>
      <c r="BE72" s="71"/>
      <c r="BF72" s="106"/>
      <c r="BG72" s="998"/>
      <c r="BH72" s="157"/>
      <c r="BI72" s="157"/>
      <c r="BJ72" s="26"/>
    </row>
    <row r="73" spans="1:62" x14ac:dyDescent="0.35">
      <c r="A73" s="9168"/>
      <c r="B73" s="302"/>
      <c r="C73" s="59" t="s">
        <v>533</v>
      </c>
      <c r="D73" s="197"/>
      <c r="F73" s="61"/>
      <c r="G73" s="272"/>
      <c r="H73" s="62"/>
      <c r="I73" s="63"/>
      <c r="J73" s="297">
        <f t="shared" si="32"/>
        <v>0</v>
      </c>
      <c r="L73" s="62"/>
      <c r="M73" s="157">
        <f t="shared" si="33"/>
        <v>0</v>
      </c>
      <c r="O73" s="62"/>
      <c r="P73" s="671"/>
      <c r="Q73" s="312"/>
      <c r="R73" s="1616"/>
      <c r="T73" s="71"/>
      <c r="U73" s="106"/>
      <c r="V73" s="998"/>
      <c r="W73" s="157"/>
      <c r="X73" s="71"/>
      <c r="Y73" s="671"/>
      <c r="Z73" s="312"/>
      <c r="AA73" s="1616"/>
      <c r="AC73" s="71"/>
      <c r="AD73" s="106"/>
      <c r="AE73" s="998"/>
      <c r="AF73" s="157"/>
      <c r="AG73" s="26"/>
      <c r="AI73" s="71"/>
      <c r="AJ73" s="998"/>
      <c r="AK73" s="106"/>
      <c r="AM73" s="71"/>
      <c r="AN73" s="106"/>
      <c r="AO73" s="998"/>
      <c r="AP73" s="157"/>
      <c r="AQ73" s="26"/>
      <c r="AS73" s="71"/>
      <c r="AT73" s="998"/>
      <c r="AU73" s="106"/>
      <c r="AW73" s="71"/>
      <c r="AX73" s="106"/>
      <c r="AY73" s="998"/>
      <c r="AZ73" s="157"/>
      <c r="BA73" s="71"/>
      <c r="BB73" s="998"/>
      <c r="BC73" s="66"/>
      <c r="BE73" s="71"/>
      <c r="BF73" s="106"/>
      <c r="BG73" s="998"/>
      <c r="BH73" s="157"/>
      <c r="BI73" s="157"/>
      <c r="BJ73" s="26"/>
    </row>
    <row r="74" spans="1:62" x14ac:dyDescent="0.35">
      <c r="A74" s="9169"/>
      <c r="B74" s="305"/>
      <c r="C74" s="59" t="s">
        <v>534</v>
      </c>
      <c r="D74" s="197"/>
      <c r="F74" s="61"/>
      <c r="G74" s="272"/>
      <c r="H74" s="62"/>
      <c r="I74" s="63"/>
      <c r="J74" s="297">
        <f t="shared" si="32"/>
        <v>0</v>
      </c>
      <c r="L74" s="62"/>
      <c r="M74" s="157">
        <f t="shared" si="33"/>
        <v>0</v>
      </c>
      <c r="O74" s="62"/>
      <c r="P74" s="671"/>
      <c r="Q74" s="312"/>
      <c r="R74" s="1616"/>
      <c r="T74" s="71"/>
      <c r="U74" s="106"/>
      <c r="V74" s="998"/>
      <c r="W74" s="157"/>
      <c r="X74" s="71"/>
      <c r="Y74" s="671"/>
      <c r="Z74" s="312"/>
      <c r="AA74" s="1616"/>
      <c r="AC74" s="71"/>
      <c r="AD74" s="106"/>
      <c r="AE74" s="998"/>
      <c r="AF74" s="157"/>
      <c r="AG74" s="26"/>
      <c r="AI74" s="71"/>
      <c r="AJ74" s="998"/>
      <c r="AK74" s="106"/>
      <c r="AM74" s="71"/>
      <c r="AN74" s="106"/>
      <c r="AO74" s="998"/>
      <c r="AP74" s="157"/>
      <c r="AQ74" s="26"/>
      <c r="AS74" s="71"/>
      <c r="AT74" s="998"/>
      <c r="AU74" s="106"/>
      <c r="AW74" s="71"/>
      <c r="AX74" s="106"/>
      <c r="AY74" s="998"/>
      <c r="AZ74" s="157"/>
      <c r="BA74" s="71"/>
      <c r="BB74" s="998"/>
      <c r="BC74" s="66"/>
      <c r="BE74" s="71"/>
      <c r="BF74" s="106"/>
      <c r="BG74" s="998"/>
      <c r="BH74" s="157"/>
      <c r="BI74" s="157"/>
      <c r="BJ74" s="24"/>
    </row>
    <row r="75" spans="1:62" x14ac:dyDescent="0.35">
      <c r="A75" s="310"/>
      <c r="B75" s="306"/>
      <c r="C75" s="86" t="s">
        <v>536</v>
      </c>
      <c r="D75" s="209"/>
      <c r="F75" s="88"/>
      <c r="G75" s="274"/>
      <c r="H75" s="89"/>
      <c r="I75" s="90"/>
      <c r="J75" s="307">
        <f t="shared" si="32"/>
        <v>0</v>
      </c>
      <c r="L75" s="89"/>
      <c r="M75" s="213">
        <f t="shared" si="33"/>
        <v>0</v>
      </c>
      <c r="O75" s="89"/>
      <c r="P75" s="672"/>
      <c r="Q75" s="3054"/>
      <c r="R75" s="4948"/>
      <c r="T75" s="768"/>
      <c r="U75" s="216"/>
      <c r="V75" s="1002"/>
      <c r="W75" s="157"/>
      <c r="X75" s="768"/>
      <c r="Y75" s="672"/>
      <c r="Z75" s="3054"/>
      <c r="AA75" s="4948"/>
      <c r="AC75" s="768"/>
      <c r="AD75" s="216"/>
      <c r="AE75" s="1002"/>
      <c r="AF75" s="157"/>
      <c r="AG75" s="24"/>
      <c r="AI75" s="768"/>
      <c r="AJ75" s="1002"/>
      <c r="AK75" s="216"/>
      <c r="AM75" s="768"/>
      <c r="AN75" s="216"/>
      <c r="AO75" s="1002"/>
      <c r="AP75" s="157"/>
      <c r="AQ75" s="24"/>
      <c r="AS75" s="768"/>
      <c r="AT75" s="1002"/>
      <c r="AU75" s="216"/>
      <c r="AW75" s="768"/>
      <c r="AX75" s="216"/>
      <c r="AY75" s="1002"/>
      <c r="AZ75" s="312"/>
      <c r="BA75" s="768"/>
      <c r="BB75" s="1002"/>
      <c r="BC75" s="92"/>
      <c r="BE75" s="768"/>
      <c r="BF75" s="216"/>
      <c r="BG75" s="1002"/>
      <c r="BH75" s="157"/>
      <c r="BI75" s="157"/>
    </row>
    <row r="76" spans="1:62" x14ac:dyDescent="0.35">
      <c r="A76" s="9159" t="s">
        <v>559</v>
      </c>
      <c r="B76" s="310"/>
      <c r="F76" s="106"/>
      <c r="H76" s="106"/>
      <c r="I76" s="106"/>
      <c r="J76" s="311"/>
      <c r="L76" s="106"/>
      <c r="M76" s="312"/>
      <c r="O76" s="106"/>
      <c r="P76" s="312"/>
      <c r="Q76" s="312"/>
      <c r="T76" s="106"/>
      <c r="U76" s="106"/>
      <c r="V76" s="312"/>
      <c r="W76" s="312"/>
      <c r="X76" s="106"/>
      <c r="Y76" s="312"/>
      <c r="Z76" s="312"/>
      <c r="AC76" s="106"/>
      <c r="AD76" s="106"/>
      <c r="AE76" s="312"/>
      <c r="AF76" s="312"/>
      <c r="AI76" s="106"/>
      <c r="AJ76" s="312"/>
      <c r="AK76" s="106"/>
      <c r="AM76" s="106"/>
      <c r="AN76" s="106"/>
      <c r="AO76" s="312"/>
      <c r="AP76" s="312"/>
      <c r="AS76" s="313" t="s">
        <v>3658</v>
      </c>
      <c r="AT76" s="312"/>
      <c r="AU76" s="106"/>
      <c r="AW76" s="106"/>
      <c r="AX76" s="106"/>
      <c r="AY76" s="312"/>
      <c r="BA76" s="313"/>
      <c r="BB76" s="312"/>
      <c r="BC76" s="106"/>
      <c r="BE76" s="106"/>
      <c r="BF76" s="106"/>
      <c r="BG76" s="312"/>
      <c r="BH76" s="312"/>
      <c r="BI76" s="312"/>
    </row>
    <row r="77" spans="1:62" x14ac:dyDescent="0.35">
      <c r="A77" s="9160"/>
      <c r="B77" s="939" t="s">
        <v>560</v>
      </c>
      <c r="C77" s="940"/>
      <c r="D77" s="184"/>
      <c r="F77" s="316"/>
      <c r="G77" s="290"/>
      <c r="H77" s="317"/>
      <c r="I77" s="1687"/>
      <c r="J77" s="293"/>
      <c r="L77" s="317"/>
      <c r="M77" s="268"/>
      <c r="O77" s="317"/>
      <c r="P77" s="1687"/>
      <c r="Q77" s="103"/>
      <c r="R77" s="293"/>
      <c r="T77" s="317"/>
      <c r="U77" s="348"/>
      <c r="V77" s="318"/>
      <c r="X77" s="317"/>
      <c r="Y77" s="1687"/>
      <c r="Z77" s="103"/>
      <c r="AA77" s="293"/>
      <c r="AC77" s="317"/>
      <c r="AD77" s="348"/>
      <c r="AE77" s="318"/>
      <c r="AI77" s="317"/>
      <c r="AJ77" s="318"/>
      <c r="AK77" s="348"/>
      <c r="AM77" s="317"/>
      <c r="AN77" s="348"/>
      <c r="AO77" s="318"/>
      <c r="AS77" s="317">
        <v>34102</v>
      </c>
      <c r="AT77" s="318"/>
      <c r="AU77" s="348" t="s">
        <v>3659</v>
      </c>
      <c r="AW77" s="317">
        <v>35197</v>
      </c>
      <c r="AX77" s="348"/>
      <c r="AY77" s="318"/>
      <c r="BA77" s="317">
        <v>35197</v>
      </c>
      <c r="BB77" s="318"/>
      <c r="BC77" s="348" t="s">
        <v>3659</v>
      </c>
      <c r="BE77" s="317">
        <v>35197</v>
      </c>
      <c r="BF77" s="348"/>
      <c r="BG77" s="318"/>
    </row>
    <row r="78" spans="1:62" x14ac:dyDescent="0.35">
      <c r="A78" s="9160"/>
      <c r="B78" s="944"/>
      <c r="C78" s="945"/>
      <c r="D78" s="197"/>
      <c r="F78" s="327"/>
      <c r="G78" s="272"/>
      <c r="H78" s="325"/>
      <c r="I78" s="946"/>
      <c r="J78" s="297">
        <f t="shared" ref="J78:J86" si="36">IF(H78=0,0,I78/H78)</f>
        <v>0</v>
      </c>
      <c r="L78" s="325"/>
      <c r="M78" s="157">
        <f t="shared" ref="M78:M86" si="37">L78*J78</f>
        <v>0</v>
      </c>
      <c r="O78" s="330"/>
      <c r="P78" s="947"/>
      <c r="Q78" s="332"/>
      <c r="R78" s="297"/>
      <c r="T78" s="330"/>
      <c r="U78"/>
      <c r="V78" s="328"/>
      <c r="X78" s="330"/>
      <c r="Y78" s="947"/>
      <c r="Z78" s="332"/>
      <c r="AA78" s="297"/>
      <c r="AC78" s="330"/>
      <c r="AD78"/>
      <c r="AE78" s="328"/>
      <c r="AI78" s="330"/>
      <c r="AJ78" s="328"/>
      <c r="AK78"/>
      <c r="AM78" s="330"/>
      <c r="AN78"/>
      <c r="AO78" s="328"/>
      <c r="AS78" s="330"/>
      <c r="AT78" s="328"/>
      <c r="AU78"/>
      <c r="AW78" s="330"/>
      <c r="AX78"/>
      <c r="AY78" s="328"/>
      <c r="BA78" s="330"/>
      <c r="BB78" s="328"/>
      <c r="BC78"/>
      <c r="BE78" s="330"/>
      <c r="BF78"/>
      <c r="BG78" s="328"/>
    </row>
    <row r="79" spans="1:62" x14ac:dyDescent="0.35">
      <c r="A79" s="9160"/>
      <c r="B79" s="944"/>
      <c r="C79" s="945"/>
      <c r="D79" s="197"/>
      <c r="F79" s="336"/>
      <c r="G79" s="272"/>
      <c r="H79" s="330"/>
      <c r="I79" s="948"/>
      <c r="J79" s="297">
        <f t="shared" si="36"/>
        <v>0</v>
      </c>
      <c r="L79" s="330"/>
      <c r="M79" s="157">
        <f t="shared" si="37"/>
        <v>0</v>
      </c>
      <c r="O79" s="330"/>
      <c r="P79" s="338"/>
      <c r="Q79" s="106"/>
      <c r="R79" s="297"/>
      <c r="T79" s="330"/>
      <c r="U79"/>
      <c r="V79" s="4100"/>
      <c r="X79" s="330"/>
      <c r="Y79" s="338"/>
      <c r="Z79" s="106"/>
      <c r="AA79" s="297"/>
      <c r="AC79" s="330"/>
      <c r="AD79"/>
      <c r="AE79" s="4100"/>
      <c r="AI79" s="330"/>
      <c r="AJ79" s="4100"/>
      <c r="AK79"/>
      <c r="AM79" s="330"/>
      <c r="AN79"/>
      <c r="AO79" s="4100"/>
      <c r="AS79" s="330"/>
      <c r="AT79" s="4100"/>
      <c r="AU79"/>
      <c r="AW79" s="330"/>
      <c r="AX79"/>
      <c r="AY79" s="4100"/>
      <c r="BA79" s="330"/>
      <c r="BB79" s="4100"/>
      <c r="BC79"/>
      <c r="BE79" s="330"/>
      <c r="BF79"/>
      <c r="BG79" s="4100"/>
    </row>
    <row r="80" spans="1:62" x14ac:dyDescent="0.35">
      <c r="A80" s="9160"/>
      <c r="B80" s="944"/>
      <c r="C80" s="945"/>
      <c r="D80" s="197"/>
      <c r="F80" s="336"/>
      <c r="G80" s="272"/>
      <c r="H80" s="330"/>
      <c r="I80" s="948"/>
      <c r="J80" s="297">
        <f t="shared" si="36"/>
        <v>0</v>
      </c>
      <c r="L80" s="330"/>
      <c r="M80" s="157">
        <f t="shared" si="37"/>
        <v>0</v>
      </c>
      <c r="O80" s="330"/>
      <c r="P80" s="331"/>
      <c r="Q80" s="106"/>
      <c r="R80" s="297"/>
      <c r="T80" s="330"/>
      <c r="U80"/>
      <c r="V80" s="337"/>
      <c r="X80" s="330"/>
      <c r="Y80" s="331"/>
      <c r="Z80" s="106"/>
      <c r="AA80" s="297"/>
      <c r="AC80" s="330"/>
      <c r="AD80"/>
      <c r="AE80" s="337"/>
      <c r="AI80" s="330"/>
      <c r="AJ80" s="337"/>
      <c r="AK80"/>
      <c r="AM80" s="330"/>
      <c r="AN80"/>
      <c r="AO80" s="337"/>
      <c r="AS80" s="330"/>
      <c r="AT80" s="337"/>
      <c r="AU80"/>
      <c r="AW80" s="330"/>
      <c r="AX80"/>
      <c r="AY80" s="337"/>
      <c r="BA80" s="330"/>
      <c r="BB80" s="337"/>
      <c r="BC80"/>
      <c r="BE80" s="330"/>
      <c r="BF80"/>
      <c r="BG80" s="337"/>
    </row>
    <row r="81" spans="1:63" x14ac:dyDescent="0.35">
      <c r="A81" s="9160"/>
      <c r="B81" s="944"/>
      <c r="C81" s="945"/>
      <c r="D81" s="197"/>
      <c r="F81" s="336"/>
      <c r="G81" s="272"/>
      <c r="H81" s="330"/>
      <c r="I81" s="948"/>
      <c r="J81" s="297">
        <f t="shared" si="36"/>
        <v>0</v>
      </c>
      <c r="L81" s="330"/>
      <c r="M81" s="157">
        <f t="shared" si="37"/>
        <v>0</v>
      </c>
      <c r="O81" s="330"/>
      <c r="P81" s="331"/>
      <c r="Q81" s="106"/>
      <c r="R81" s="297"/>
      <c r="T81" s="330"/>
      <c r="U81"/>
      <c r="V81" s="337"/>
      <c r="X81" s="330"/>
      <c r="Y81" s="331"/>
      <c r="Z81" s="106"/>
      <c r="AA81" s="297"/>
      <c r="AC81" s="330"/>
      <c r="AD81"/>
      <c r="AE81" s="337"/>
      <c r="AI81" s="330"/>
      <c r="AJ81" s="337"/>
      <c r="AK81"/>
      <c r="AM81" s="330"/>
      <c r="AN81"/>
      <c r="AO81" s="337"/>
      <c r="AS81" s="330"/>
      <c r="AT81" s="337"/>
      <c r="AU81"/>
      <c r="AW81" s="330"/>
      <c r="AX81"/>
      <c r="AY81" s="337"/>
      <c r="BA81" s="330"/>
      <c r="BB81" s="337"/>
      <c r="BC81"/>
      <c r="BE81" s="330"/>
      <c r="BF81"/>
      <c r="BG81" s="337"/>
    </row>
    <row r="82" spans="1:63" x14ac:dyDescent="0.35">
      <c r="A82" s="9160"/>
      <c r="B82" s="944"/>
      <c r="C82" s="945"/>
      <c r="D82" s="197"/>
      <c r="F82" s="336"/>
      <c r="G82" s="272"/>
      <c r="H82" s="330"/>
      <c r="I82" s="948"/>
      <c r="J82" s="297">
        <f t="shared" si="36"/>
        <v>0</v>
      </c>
      <c r="L82" s="330"/>
      <c r="M82" s="157">
        <f t="shared" si="37"/>
        <v>0</v>
      </c>
      <c r="O82" s="330"/>
      <c r="P82" s="331"/>
      <c r="Q82" s="106"/>
      <c r="R82" s="297"/>
      <c r="T82" s="330"/>
      <c r="U82"/>
      <c r="V82" s="337"/>
      <c r="X82" s="330"/>
      <c r="Y82" s="331"/>
      <c r="Z82" s="106"/>
      <c r="AA82" s="297"/>
      <c r="AC82" s="330"/>
      <c r="AD82"/>
      <c r="AE82" s="337"/>
      <c r="AI82" s="330"/>
      <c r="AJ82" s="337"/>
      <c r="AK82"/>
      <c r="AM82" s="330"/>
      <c r="AN82"/>
      <c r="AO82" s="337"/>
      <c r="AS82" s="330"/>
      <c r="AT82" s="337"/>
      <c r="AU82"/>
      <c r="AW82" s="330"/>
      <c r="AX82"/>
      <c r="AY82" s="337"/>
      <c r="BA82" s="330"/>
      <c r="BB82" s="337"/>
      <c r="BC82"/>
      <c r="BE82" s="330"/>
      <c r="BF82"/>
      <c r="BG82" s="337"/>
    </row>
    <row r="83" spans="1:63" x14ac:dyDescent="0.35">
      <c r="A83" s="9160"/>
      <c r="B83" s="944"/>
      <c r="C83" s="945"/>
      <c r="D83" s="197"/>
      <c r="F83" s="336"/>
      <c r="G83" s="272"/>
      <c r="H83" s="330"/>
      <c r="I83" s="948"/>
      <c r="J83" s="297">
        <f t="shared" si="36"/>
        <v>0</v>
      </c>
      <c r="L83" s="330"/>
      <c r="M83" s="157">
        <f t="shared" si="37"/>
        <v>0</v>
      </c>
      <c r="O83" s="330"/>
      <c r="P83" s="331"/>
      <c r="Q83" s="106"/>
      <c r="R83" s="297"/>
      <c r="T83" s="330"/>
      <c r="U83"/>
      <c r="V83" s="337"/>
      <c r="X83" s="330"/>
      <c r="Y83" s="331"/>
      <c r="Z83" s="106"/>
      <c r="AA83" s="297"/>
      <c r="AC83" s="330"/>
      <c r="AD83"/>
      <c r="AE83" s="337"/>
      <c r="AI83" s="330"/>
      <c r="AJ83" s="337"/>
      <c r="AK83"/>
      <c r="AM83" s="330"/>
      <c r="AN83"/>
      <c r="AO83" s="337"/>
      <c r="AS83" s="330"/>
      <c r="AT83" s="337"/>
      <c r="AU83"/>
      <c r="AW83" s="330"/>
      <c r="AX83"/>
      <c r="AY83" s="337"/>
      <c r="BA83" s="330"/>
      <c r="BB83" s="337"/>
      <c r="BC83"/>
      <c r="BE83" s="330"/>
      <c r="BF83"/>
      <c r="BG83" s="337"/>
    </row>
    <row r="84" spans="1:63" x14ac:dyDescent="0.35">
      <c r="A84" s="9160"/>
      <c r="B84" s="944"/>
      <c r="C84" s="945"/>
      <c r="D84" s="197"/>
      <c r="F84" s="336"/>
      <c r="G84" s="272"/>
      <c r="H84" s="330"/>
      <c r="I84" s="948"/>
      <c r="J84" s="297">
        <f t="shared" si="36"/>
        <v>0</v>
      </c>
      <c r="L84" s="330"/>
      <c r="M84" s="157">
        <f t="shared" si="37"/>
        <v>0</v>
      </c>
      <c r="O84" s="330"/>
      <c r="P84" s="331"/>
      <c r="Q84" s="106"/>
      <c r="R84" s="297"/>
      <c r="T84" s="330"/>
      <c r="U84"/>
      <c r="V84" s="337"/>
      <c r="X84" s="330"/>
      <c r="Y84" s="331"/>
      <c r="Z84" s="106"/>
      <c r="AA84" s="297"/>
      <c r="AC84" s="330"/>
      <c r="AD84"/>
      <c r="AE84" s="337"/>
      <c r="AI84" s="330"/>
      <c r="AJ84" s="337"/>
      <c r="AK84"/>
      <c r="AM84" s="330"/>
      <c r="AN84"/>
      <c r="AO84" s="337"/>
      <c r="AS84" s="330"/>
      <c r="AT84" s="337"/>
      <c r="AU84"/>
      <c r="AW84" s="330"/>
      <c r="AX84"/>
      <c r="AY84" s="337"/>
      <c r="BA84" s="330"/>
      <c r="BB84" s="337"/>
      <c r="BC84"/>
      <c r="BE84" s="330"/>
      <c r="BF84"/>
      <c r="BG84" s="337"/>
    </row>
    <row r="85" spans="1:63" x14ac:dyDescent="0.35">
      <c r="A85" s="9161"/>
      <c r="B85" s="944"/>
      <c r="C85" s="945"/>
      <c r="D85" s="197"/>
      <c r="F85" s="336"/>
      <c r="G85" s="272"/>
      <c r="H85" s="330"/>
      <c r="I85" s="948"/>
      <c r="J85" s="297">
        <f t="shared" si="36"/>
        <v>0</v>
      </c>
      <c r="L85" s="330"/>
      <c r="M85" s="157">
        <f t="shared" si="37"/>
        <v>0</v>
      </c>
      <c r="O85" s="330"/>
      <c r="P85" s="331"/>
      <c r="Q85" s="106"/>
      <c r="R85" s="297"/>
      <c r="T85" s="330"/>
      <c r="U85"/>
      <c r="V85" s="337"/>
      <c r="X85" s="330"/>
      <c r="Y85" s="331"/>
      <c r="Z85" s="106"/>
      <c r="AA85" s="297"/>
      <c r="AC85" s="330"/>
      <c r="AD85"/>
      <c r="AE85" s="337"/>
      <c r="AI85" s="330"/>
      <c r="AJ85" s="337"/>
      <c r="AK85"/>
      <c r="AM85" s="330"/>
      <c r="AN85"/>
      <c r="AO85" s="337"/>
      <c r="AS85" s="330"/>
      <c r="AT85" s="337"/>
      <c r="AU85"/>
      <c r="AW85" s="330"/>
      <c r="AX85"/>
      <c r="AY85" s="337"/>
      <c r="BA85" s="330"/>
      <c r="BB85" s="337"/>
      <c r="BC85"/>
      <c r="BE85" s="330"/>
      <c r="BF85"/>
      <c r="BG85" s="337"/>
    </row>
    <row r="86" spans="1:63" x14ac:dyDescent="0.35">
      <c r="A86" s="310"/>
      <c r="B86" s="949"/>
      <c r="C86" s="950"/>
      <c r="D86" s="209"/>
      <c r="F86" s="343"/>
      <c r="G86" s="274"/>
      <c r="H86" s="341"/>
      <c r="I86" s="951"/>
      <c r="J86" s="307">
        <f t="shared" si="36"/>
        <v>0</v>
      </c>
      <c r="L86" s="341"/>
      <c r="M86" s="213">
        <f t="shared" si="37"/>
        <v>0</v>
      </c>
      <c r="O86" s="341"/>
      <c r="P86" s="952"/>
      <c r="Q86" s="216"/>
      <c r="R86" s="307"/>
      <c r="T86" s="341"/>
      <c r="U86" s="1696"/>
      <c r="V86" s="342"/>
      <c r="X86" s="341"/>
      <c r="Y86" s="952"/>
      <c r="Z86" s="216"/>
      <c r="AA86" s="307"/>
      <c r="AC86" s="341"/>
      <c r="AD86" s="1696"/>
      <c r="AE86" s="342"/>
      <c r="AI86" s="341"/>
      <c r="AJ86" s="342"/>
      <c r="AK86" s="1696"/>
      <c r="AM86" s="341"/>
      <c r="AN86" s="1696"/>
      <c r="AO86" s="342"/>
      <c r="AS86" s="341"/>
      <c r="AT86" s="342"/>
      <c r="AU86" s="1696"/>
      <c r="AW86" s="341"/>
      <c r="AX86" s="1696"/>
      <c r="AY86" s="342"/>
      <c r="AZ86" s="312"/>
      <c r="BA86" s="341"/>
      <c r="BB86" s="342"/>
      <c r="BC86" s="1696"/>
      <c r="BE86" s="341"/>
      <c r="BF86" s="1696"/>
      <c r="BG86" s="342"/>
    </row>
    <row r="87" spans="1:63" x14ac:dyDescent="0.35">
      <c r="A87" s="9167" t="s">
        <v>566</v>
      </c>
      <c r="B87" s="310"/>
      <c r="F87" s="106"/>
      <c r="H87" s="106"/>
      <c r="I87" s="106"/>
      <c r="J87" s="311"/>
      <c r="L87" s="106"/>
      <c r="M87" s="312"/>
      <c r="O87" s="106"/>
      <c r="P87" s="312"/>
      <c r="Q87" s="312"/>
      <c r="T87" s="106"/>
      <c r="U87" s="106"/>
      <c r="V87" s="312"/>
      <c r="W87" s="312"/>
      <c r="X87" s="106"/>
      <c r="Y87" s="312"/>
      <c r="Z87" s="312"/>
      <c r="AC87" s="106"/>
      <c r="AD87" s="106"/>
      <c r="AE87" s="312"/>
      <c r="AF87" s="312"/>
      <c r="AI87" s="106"/>
      <c r="AJ87" s="312"/>
      <c r="AK87" s="106"/>
      <c r="AM87" s="106"/>
      <c r="AN87" s="106"/>
      <c r="AO87" s="312"/>
      <c r="AP87" s="312"/>
      <c r="AS87" s="106"/>
      <c r="AT87" s="312"/>
      <c r="AU87" s="106"/>
      <c r="AW87" s="106"/>
      <c r="AX87" s="106"/>
      <c r="AY87" s="312"/>
      <c r="AZ87" s="254"/>
      <c r="BA87" s="106"/>
      <c r="BB87" s="312"/>
      <c r="BC87" s="106"/>
      <c r="BE87" s="106"/>
      <c r="BF87" s="106"/>
      <c r="BG87" s="312"/>
      <c r="BH87" s="312"/>
      <c r="BI87" s="312"/>
    </row>
    <row r="88" spans="1:63" x14ac:dyDescent="0.35">
      <c r="A88" s="9168"/>
      <c r="B88" s="139" t="s">
        <v>567</v>
      </c>
      <c r="C88" s="348"/>
      <c r="D88" s="49"/>
      <c r="E88" s="141"/>
      <c r="F88" s="227"/>
      <c r="G88" s="141"/>
      <c r="H88" s="102"/>
      <c r="I88" s="103"/>
      <c r="J88" s="228"/>
      <c r="K88" s="141"/>
      <c r="L88" s="102"/>
      <c r="M88" s="268"/>
      <c r="N88" s="141"/>
      <c r="O88" s="102"/>
      <c r="P88" s="2909"/>
      <c r="Q88" s="2909"/>
      <c r="R88" s="899"/>
      <c r="S88" s="141"/>
      <c r="T88" s="102"/>
      <c r="U88" s="103"/>
      <c r="V88" s="268"/>
      <c r="W88" s="254"/>
      <c r="X88" s="102"/>
      <c r="Y88" s="2909"/>
      <c r="Z88" s="2909"/>
      <c r="AA88" s="899"/>
      <c r="AB88" s="141"/>
      <c r="AC88" s="102"/>
      <c r="AD88" s="103"/>
      <c r="AE88" s="268"/>
      <c r="AF88" s="254"/>
      <c r="AI88" s="102"/>
      <c r="AJ88" s="268"/>
      <c r="AK88" s="103"/>
      <c r="AL88" s="141"/>
      <c r="AM88" s="102"/>
      <c r="AN88" s="103"/>
      <c r="AO88" s="268"/>
      <c r="AP88" s="254"/>
      <c r="AS88" s="102"/>
      <c r="AT88" s="268"/>
      <c r="AU88" s="103"/>
      <c r="AV88" s="141"/>
      <c r="AW88" s="102"/>
      <c r="AX88" s="103"/>
      <c r="AY88" s="268"/>
      <c r="AZ88" s="352"/>
      <c r="BA88" s="102"/>
      <c r="BB88" s="268"/>
      <c r="BC88" s="103"/>
      <c r="BD88" s="141"/>
      <c r="BE88" s="102"/>
      <c r="BF88" s="103"/>
      <c r="BG88" s="268"/>
      <c r="BH88" s="254"/>
      <c r="BI88" s="254"/>
    </row>
    <row r="89" spans="1:63" x14ac:dyDescent="0.35">
      <c r="A89" s="9168"/>
      <c r="B89" s="6082"/>
      <c r="C89"/>
      <c r="D89" s="110" t="s">
        <v>568</v>
      </c>
      <c r="F89" s="349">
        <f>SUM(F36:F40)-SUM(F42:F44)</f>
        <v>0</v>
      </c>
      <c r="G89" s="350"/>
      <c r="H89" s="351">
        <f>SUM(H36:H40)-SUM(H42:H44)</f>
        <v>73305.521338000006</v>
      </c>
      <c r="I89" s="352">
        <f>SUM(I36:I40)-SUM(I42:I44)</f>
        <v>77435.986659999995</v>
      </c>
      <c r="J89" s="246"/>
      <c r="K89" s="350"/>
      <c r="L89" s="351">
        <f>SUM(L36:L40)-SUM(L42:L44)</f>
        <v>102592.069865</v>
      </c>
      <c r="M89" s="353">
        <f>SUM(M36:M40)-SUM(M42:M44)</f>
        <v>108372.71202066689</v>
      </c>
      <c r="O89" s="351">
        <f>SUM(O36:O40)-SUM(O42:O44)</f>
        <v>87321.476095999999</v>
      </c>
      <c r="P89" s="352">
        <f>SUM(P36:P40)-SUM(P42:P44)</f>
        <v>108455.35693899999</v>
      </c>
      <c r="Q89" s="352"/>
      <c r="R89" s="1616"/>
      <c r="T89" s="351">
        <f>SUM(T36:T40)-SUM(T42:T44)</f>
        <v>114853.372357</v>
      </c>
      <c r="U89" s="352"/>
      <c r="V89" s="353">
        <f>SUM(V36:V40)-SUM(V42:V44)</f>
        <v>114322.02180999999</v>
      </c>
      <c r="W89" s="352"/>
      <c r="X89" s="351">
        <f>SUM(X36:X40)-SUM(X42:X44)</f>
        <v>114853.372357</v>
      </c>
      <c r="Y89" s="352">
        <f>SUM(Y36:Y40)-SUM(Y42:Y44)</f>
        <v>114322.02180999999</v>
      </c>
      <c r="Z89" s="352"/>
      <c r="AA89" s="1616"/>
      <c r="AC89" s="351">
        <f>SUM(AC36:AC40)-SUM(AC42:AC44)</f>
        <v>146183.33257900001</v>
      </c>
      <c r="AD89" s="352"/>
      <c r="AE89" s="353">
        <f>SUM(AE36:AE40)-SUM(AE42:AE44)</f>
        <v>96623.466422999991</v>
      </c>
      <c r="AF89" s="352"/>
      <c r="AI89" s="351">
        <f>SUM(AI36:AI40)-SUM(AI42:AI44)</f>
        <v>147673.326436</v>
      </c>
      <c r="AJ89" s="353">
        <f>SUM(AJ36:AJ40)-SUM(AJ42:AJ44)</f>
        <v>96623.466422999991</v>
      </c>
      <c r="AK89" s="352"/>
      <c r="AM89" s="351">
        <f>SUM(AM36:AM40)-SUM(AM42:AM44)</f>
        <v>117851.48999999999</v>
      </c>
      <c r="AN89" s="352"/>
      <c r="AO89" s="353">
        <f>SUM(AO36:AO40)-SUM(AO42:AO44)</f>
        <v>0</v>
      </c>
      <c r="AP89" s="352"/>
      <c r="AS89" s="351">
        <f>SUM(AS37:AS40)-SUM(AS42:AS44)</f>
        <v>53117.64</v>
      </c>
      <c r="AT89" s="353">
        <f>SUM(AT37:AT40)-SUM(AT42:AT44)</f>
        <v>43408.426666666666</v>
      </c>
      <c r="AU89" s="352"/>
      <c r="AW89" s="351">
        <f>SUM(AW37:AW40)-SUM(AW42:AW44)</f>
        <v>64185.25</v>
      </c>
      <c r="AX89" s="352"/>
      <c r="AY89" s="353">
        <f>SUM(AY37:AY40)-SUM(AY42:AY44)</f>
        <v>50925.66</v>
      </c>
      <c r="AZ89" s="352"/>
      <c r="BA89" s="351">
        <f>SUM(BA37:BA39)-SUM(BA42:BA44)</f>
        <v>64185.25</v>
      </c>
      <c r="BB89" s="353">
        <f>SUM(BB37:BB39)-SUM(BB42:BB44)</f>
        <v>50925.66</v>
      </c>
      <c r="BC89" s="352"/>
      <c r="BE89" s="351">
        <f>SUM(BE37:BE39)-SUM(BE42:BE44)</f>
        <v>54873.16</v>
      </c>
      <c r="BF89" s="352"/>
      <c r="BG89" s="353">
        <f>SUM(BG37:BG39)-SUM(BG42:BG44)</f>
        <v>60038.11</v>
      </c>
      <c r="BH89" s="352"/>
      <c r="BI89" s="352"/>
    </row>
    <row r="90" spans="1:63" x14ac:dyDescent="0.35">
      <c r="A90" s="9168"/>
      <c r="B90" s="6082"/>
      <c r="C90"/>
      <c r="D90" s="110" t="str">
        <f>B45</f>
        <v>Subvented organizations</v>
      </c>
      <c r="F90" s="349">
        <f>SUM(F46:F57)</f>
        <v>0</v>
      </c>
      <c r="G90" s="350"/>
      <c r="H90" s="351">
        <f>SUM(H46:H57)</f>
        <v>24675.702120999998</v>
      </c>
      <c r="I90" s="352">
        <f>SUM(I46:I57)</f>
        <v>26153.490453999999</v>
      </c>
      <c r="J90" s="246"/>
      <c r="K90" s="350"/>
      <c r="L90" s="351">
        <f>SUM(L46:L57)</f>
        <v>36418.625998999996</v>
      </c>
      <c r="M90" s="353">
        <f>SUM(M46:M57)</f>
        <v>38178.980684712478</v>
      </c>
      <c r="O90" s="351">
        <f>SUM(O46:O57)</f>
        <v>32633.567078</v>
      </c>
      <c r="P90" s="352">
        <f>SUM(P46:P57)</f>
        <v>36418.625998999996</v>
      </c>
      <c r="Q90" s="352"/>
      <c r="R90" s="1616"/>
      <c r="T90" s="351">
        <f>SUM(T46:T57)</f>
        <v>43155</v>
      </c>
      <c r="U90" s="352"/>
      <c r="V90" s="353">
        <f>SUM(V46:V57)</f>
        <v>41482</v>
      </c>
      <c r="W90" s="352"/>
      <c r="X90" s="351">
        <f>SUM(X46:X57)</f>
        <v>43155</v>
      </c>
      <c r="Y90" s="352">
        <f>SUM(Y46:Y57)</f>
        <v>41482</v>
      </c>
      <c r="Z90" s="352"/>
      <c r="AA90" s="1616"/>
      <c r="AC90" s="351">
        <f>SUM(AC46:AC57)</f>
        <v>41000</v>
      </c>
      <c r="AD90" s="352"/>
      <c r="AE90" s="353">
        <f>SUM(AE46:AE57)</f>
        <v>41000</v>
      </c>
      <c r="AF90" s="352"/>
      <c r="AI90" s="351">
        <f>SUM(AI46:AI57)</f>
        <v>41000</v>
      </c>
      <c r="AJ90" s="353">
        <f>SUM(AJ46:AJ57)</f>
        <v>41000</v>
      </c>
      <c r="AK90" s="352"/>
      <c r="AM90" s="351">
        <f>SUM(AM46:AM57)</f>
        <v>49173.83</v>
      </c>
      <c r="AN90" s="352"/>
      <c r="AO90" s="353">
        <f>SUM(AO46:AO57)</f>
        <v>0</v>
      </c>
      <c r="AP90" s="352"/>
      <c r="AS90" s="351">
        <f>SUM(AS46:AS57)</f>
        <v>49173.83</v>
      </c>
      <c r="AT90" s="353">
        <f>SUM(AT46:AT57)</f>
        <v>51888.253333333334</v>
      </c>
      <c r="AU90" s="352"/>
      <c r="AW90" s="351">
        <f>SUM(AW46:AW57)</f>
        <v>55866.85</v>
      </c>
      <c r="AX90" s="352"/>
      <c r="AY90" s="353">
        <f>SUM(AY46:AY57)</f>
        <v>61597.11</v>
      </c>
      <c r="AZ90" s="352"/>
      <c r="BA90" s="351">
        <f>SUM(BA46:BA57)</f>
        <v>55866.85</v>
      </c>
      <c r="BB90" s="353">
        <f>SUM(BB46:BB57)</f>
        <v>61597.11</v>
      </c>
      <c r="BC90" s="352"/>
      <c r="BE90" s="351">
        <f>SUM(BE46:BE57)</f>
        <v>84250.09</v>
      </c>
      <c r="BF90" s="352"/>
      <c r="BG90" s="353">
        <f>SUM(BG46:BG57)</f>
        <v>88208.19</v>
      </c>
      <c r="BH90" s="352"/>
      <c r="BI90" s="352"/>
      <c r="BJ90" t="s">
        <v>3660</v>
      </c>
    </row>
    <row r="91" spans="1:63" x14ac:dyDescent="0.35">
      <c r="A91" s="9168"/>
      <c r="B91" s="6082"/>
      <c r="C91"/>
      <c r="D91" s="110" t="s">
        <v>570</v>
      </c>
      <c r="F91" s="349">
        <f>SUM(F59:F66)*F29</f>
        <v>0</v>
      </c>
      <c r="G91" s="350"/>
      <c r="H91" s="351">
        <f>SUM(H59:H66)*H29</f>
        <v>6728.8109828242314</v>
      </c>
      <c r="I91" s="352">
        <f>SUM(I59:I66)*I29</f>
        <v>7790.5728815749562</v>
      </c>
      <c r="J91" s="246"/>
      <c r="K91" s="350"/>
      <c r="L91" s="351">
        <f>SUM(L59:L66)*L29</f>
        <v>9745.8926975173836</v>
      </c>
      <c r="M91" s="353">
        <f>SUM(M59:M66)*M29</f>
        <v>11283.730149327281</v>
      </c>
      <c r="O91" s="351">
        <f>SUM(O59:O66)*O29</f>
        <v>8817.5820203204185</v>
      </c>
      <c r="P91" s="352">
        <f>SUM(P59:P66)*P29</f>
        <v>12249.004818753025</v>
      </c>
      <c r="Q91" s="352"/>
      <c r="R91" s="1616"/>
      <c r="T91" s="351">
        <f>SUM(T59:T66)*T29</f>
        <v>17014.684444086808</v>
      </c>
      <c r="U91" s="352"/>
      <c r="V91" s="353">
        <f>SUM(V59:V66)*V29</f>
        <v>17182.763115228838</v>
      </c>
      <c r="W91" s="352"/>
      <c r="X91" s="351">
        <f>SUM(X59:X66)*X29</f>
        <v>17014.684444086808</v>
      </c>
      <c r="Y91" s="352">
        <f>SUM(Y59:Y66)*Y29</f>
        <v>16886.550494033312</v>
      </c>
      <c r="Z91" s="352"/>
      <c r="AA91" s="1616"/>
      <c r="AC91" s="351">
        <f>SUM(AC59:AC66)*AC29</f>
        <v>19964.839734860092</v>
      </c>
      <c r="AD91" s="352"/>
      <c r="AE91" s="353">
        <f>SUM(AE59:AE66)*AE29</f>
        <v>10559.423904441952</v>
      </c>
      <c r="AF91" s="352"/>
      <c r="AI91" s="351">
        <f>SUM(AI59:AI66)*AI29</f>
        <v>19964.839734860092</v>
      </c>
      <c r="AJ91" s="353">
        <f>SUM(AJ59:AJ66)*AJ29</f>
        <v>10559.423904441952</v>
      </c>
      <c r="AK91" s="352"/>
      <c r="AM91" s="351">
        <f>SUM(AM59:AM66)*AM29</f>
        <v>4409.7730444220479</v>
      </c>
      <c r="AN91" s="352"/>
      <c r="AO91" s="353">
        <f>SUM(AO59:AO66)*AO29</f>
        <v>0</v>
      </c>
      <c r="AP91" s="352"/>
      <c r="AS91" s="351">
        <f>(SUM(AS59:AS66)+AS68)*AS29</f>
        <v>25633.934322947374</v>
      </c>
      <c r="AT91" s="353">
        <f>(SUM(AT59:AT66)+AT68)*AT29</f>
        <v>22676.567592332518</v>
      </c>
      <c r="AU91" s="352"/>
      <c r="AW91" s="351">
        <f>(SUM(AW59:AW66)+AW68)*AW29</f>
        <v>19406.606435895905</v>
      </c>
      <c r="AX91" s="352"/>
      <c r="AY91" s="353">
        <f>(SUM(AY59:AY66)+AY68)*AY29</f>
        <v>29758.463589004274</v>
      </c>
      <c r="AZ91" s="352"/>
      <c r="BA91" s="351">
        <f>(SUM(BA59:BA66)+BA68)*BA29</f>
        <v>19406.606435895905</v>
      </c>
      <c r="BB91" s="353">
        <f>(SUM(BB59:BB66)+BB68)*BB29</f>
        <v>29758.463589004274</v>
      </c>
      <c r="BC91" s="352"/>
      <c r="BE91" s="351">
        <f>(SUM(BE59:BE66)+BE68)*BE29</f>
        <v>31927.011331159254</v>
      </c>
      <c r="BF91" s="352"/>
      <c r="BG91" s="353">
        <f>(SUM(BG59:BG66)+BG68)*BG29</f>
        <v>36922.441059152407</v>
      </c>
      <c r="BH91" s="352"/>
      <c r="BI91" s="352"/>
    </row>
    <row r="92" spans="1:63" x14ac:dyDescent="0.35">
      <c r="A92" s="9168"/>
      <c r="B92" s="6082"/>
      <c r="C92"/>
      <c r="D92" s="110" t="s">
        <v>552</v>
      </c>
      <c r="F92" s="349">
        <f>F68</f>
        <v>0</v>
      </c>
      <c r="G92" s="350"/>
      <c r="H92" s="351">
        <f>H68</f>
        <v>8133.9946890000001</v>
      </c>
      <c r="I92" s="352">
        <f t="shared" ref="I92" si="38">I68</f>
        <v>7279.9069939999999</v>
      </c>
      <c r="J92" s="246"/>
      <c r="K92" s="350"/>
      <c r="L92" s="351">
        <f t="shared" ref="L92:M92" si="39">L68</f>
        <v>8232.3316149999991</v>
      </c>
      <c r="M92" s="353">
        <f t="shared" si="39"/>
        <v>7367.9183221022886</v>
      </c>
      <c r="O92" s="351">
        <f t="shared" ref="O92:P92" si="40">O68</f>
        <v>8232.3316149999991</v>
      </c>
      <c r="P92" s="352">
        <f t="shared" si="40"/>
        <v>8232.3316149999991</v>
      </c>
      <c r="Q92" s="352"/>
      <c r="R92" s="1616"/>
      <c r="T92" s="351">
        <f t="shared" ref="T92" si="41">T68</f>
        <v>7698.5</v>
      </c>
      <c r="U92" s="352"/>
      <c r="V92" s="353">
        <f t="shared" ref="V92" si="42">V68</f>
        <v>7698.5</v>
      </c>
      <c r="W92" s="352"/>
      <c r="X92" s="351">
        <f t="shared" ref="X92:Y92" si="43">X68</f>
        <v>7698.5</v>
      </c>
      <c r="Y92" s="352">
        <f t="shared" si="43"/>
        <v>7698.5</v>
      </c>
      <c r="Z92" s="352"/>
      <c r="AA92" s="1616"/>
      <c r="AC92" s="351">
        <f t="shared" ref="AC92" si="44">AC68</f>
        <v>9077.1042720000005</v>
      </c>
      <c r="AD92" s="352"/>
      <c r="AE92" s="353">
        <f t="shared" ref="AE92" si="45">AE68</f>
        <v>9077.1042720000005</v>
      </c>
      <c r="AF92" s="352"/>
      <c r="AI92" s="351">
        <f t="shared" ref="AI92:AJ92" si="46">AI68</f>
        <v>9077.1042720000005</v>
      </c>
      <c r="AJ92" s="353">
        <f t="shared" si="46"/>
        <v>9077.1042720000005</v>
      </c>
      <c r="AK92" s="352"/>
      <c r="AM92" s="351">
        <f t="shared" ref="AM92" si="47">AM68</f>
        <v>45594.61</v>
      </c>
      <c r="AN92" s="352"/>
      <c r="AO92" s="353">
        <f t="shared" ref="AO92" si="48">AO68</f>
        <v>0</v>
      </c>
      <c r="AP92" s="352"/>
      <c r="AS92" s="351">
        <f>SUM(AS68:AS69)</f>
        <v>107166.75</v>
      </c>
      <c r="AT92" s="353">
        <f>SUM(AT68:AT69)</f>
        <v>113096.98448413314</v>
      </c>
      <c r="AU92" s="352"/>
      <c r="AW92" s="351">
        <f>SUM(AW68:AW69)</f>
        <v>97411.79</v>
      </c>
      <c r="AX92" s="352"/>
      <c r="AY92" s="353">
        <f>SUM(AY68:AY69)</f>
        <v>146524.96</v>
      </c>
      <c r="AZ92" s="360"/>
      <c r="BA92" s="351">
        <f>SUM(BA68:BA69)</f>
        <v>97411.79</v>
      </c>
      <c r="BB92" s="353">
        <f>SUM(BB68:BB69)</f>
        <v>146524.96</v>
      </c>
      <c r="BC92" s="352"/>
      <c r="BE92" s="351">
        <f>SUM(BE68:BE69)</f>
        <v>161718.11000000002</v>
      </c>
      <c r="BF92" s="352"/>
      <c r="BG92" s="353">
        <f>SUM(BG68:BG69)</f>
        <v>179517.62</v>
      </c>
      <c r="BH92" s="352"/>
      <c r="BI92" s="352"/>
    </row>
    <row r="93" spans="1:63" ht="15.5" x14ac:dyDescent="0.35">
      <c r="A93" s="9168"/>
      <c r="B93" s="6082"/>
      <c r="C93"/>
      <c r="D93" s="356" t="s">
        <v>571</v>
      </c>
      <c r="E93" s="143"/>
      <c r="F93" s="357">
        <f t="shared" ref="F93" si="49">SUM(F89:F92)</f>
        <v>0</v>
      </c>
      <c r="G93" s="358"/>
      <c r="H93" s="359">
        <f t="shared" ref="H93:I93" si="50">SUM(H89:H92)</f>
        <v>112844.02913082423</v>
      </c>
      <c r="I93" s="360">
        <f t="shared" si="50"/>
        <v>118659.95698957496</v>
      </c>
      <c r="J93" s="361"/>
      <c r="K93" s="358"/>
      <c r="L93" s="359">
        <f t="shared" ref="L93:M93" si="51">SUM(L89:L92)</f>
        <v>156988.92017651739</v>
      </c>
      <c r="M93" s="362">
        <f t="shared" si="51"/>
        <v>165203.34117680893</v>
      </c>
      <c r="N93" s="143"/>
      <c r="O93" s="359">
        <f t="shared" ref="O93:P93" si="52">SUM(O89:O92)</f>
        <v>137004.9568093204</v>
      </c>
      <c r="P93" s="360">
        <f t="shared" si="52"/>
        <v>165355.31937175302</v>
      </c>
      <c r="Q93" s="360"/>
      <c r="R93" s="889"/>
      <c r="S93" s="143"/>
      <c r="T93" s="359">
        <f t="shared" ref="T93" si="53">SUM(T89:T92)</f>
        <v>182721.55680108682</v>
      </c>
      <c r="U93" s="360"/>
      <c r="V93" s="362">
        <f t="shared" ref="V93" si="54">SUM(V89:V92)</f>
        <v>180685.28492522886</v>
      </c>
      <c r="W93" s="360"/>
      <c r="X93" s="359">
        <f t="shared" ref="X93:Y93" si="55">SUM(X89:X92)</f>
        <v>182721.55680108682</v>
      </c>
      <c r="Y93" s="360">
        <f t="shared" si="55"/>
        <v>180389.07230403333</v>
      </c>
      <c r="Z93" s="360"/>
      <c r="AA93" s="889"/>
      <c r="AB93" s="143"/>
      <c r="AC93" s="359">
        <f t="shared" ref="AC93" si="56">SUM(AC89:AC92)</f>
        <v>216225.27658586009</v>
      </c>
      <c r="AD93" s="360"/>
      <c r="AE93" s="362">
        <f t="shared" ref="AE93" si="57">SUM(AE89:AE92)</f>
        <v>157259.99459944191</v>
      </c>
      <c r="AF93" s="360"/>
      <c r="AI93" s="359">
        <f t="shared" ref="AI93:AJ93" si="58">SUM(AI89:AI92)</f>
        <v>217715.27044286008</v>
      </c>
      <c r="AJ93" s="362">
        <f t="shared" si="58"/>
        <v>157259.99459944191</v>
      </c>
      <c r="AK93" s="360"/>
      <c r="AL93" s="143"/>
      <c r="AM93" s="359">
        <f t="shared" ref="AM93" si="59">SUM(AM89:AM92)</f>
        <v>217029.70304442203</v>
      </c>
      <c r="AN93" s="360"/>
      <c r="AO93" s="362">
        <f t="shared" ref="AO93" si="60">SUM(AO89:AO92)</f>
        <v>0</v>
      </c>
      <c r="AP93" s="360"/>
      <c r="AS93" s="359">
        <f>SUM(AS89:AS92)</f>
        <v>235092.15432294738</v>
      </c>
      <c r="AT93" s="362">
        <f>SUM(AT89:AT92)</f>
        <v>231070.23207646565</v>
      </c>
      <c r="AU93" s="360"/>
      <c r="AV93" s="143"/>
      <c r="AW93" s="359">
        <f>SUM(AW89:AW92)</f>
        <v>236870.49643589591</v>
      </c>
      <c r="AX93" s="360"/>
      <c r="AY93" s="362">
        <f>SUM(AY89:AY92)</f>
        <v>288806.19358900428</v>
      </c>
      <c r="AZ93" s="562"/>
      <c r="BA93" s="359">
        <f>SUM(BA89:BA92)</f>
        <v>236870.49643589591</v>
      </c>
      <c r="BB93" s="362">
        <f>SUM(BB89:BB92)</f>
        <v>288806.19358900428</v>
      </c>
      <c r="BC93" s="360"/>
      <c r="BD93" s="143"/>
      <c r="BE93" s="359">
        <f>SUM(BE89:BE92)</f>
        <v>332768.37133115926</v>
      </c>
      <c r="BF93" s="360"/>
      <c r="BG93" s="362">
        <f>SUM(BG89:BG92)</f>
        <v>364686.3610591524</v>
      </c>
      <c r="BH93" s="360"/>
      <c r="BI93" s="360"/>
    </row>
    <row r="94" spans="1:63" ht="15.5" x14ac:dyDescent="0.35">
      <c r="A94" s="9168"/>
      <c r="B94" s="6082"/>
      <c r="C94"/>
      <c r="D94" s="356" t="s">
        <v>572</v>
      </c>
      <c r="F94" s="366" t="e">
        <f>F93/(F17+F18+F19+F20)</f>
        <v>#DIV/0!</v>
      </c>
      <c r="G94" s="367"/>
      <c r="H94" s="368">
        <f>H93/(H17+H18+H19+H20)</f>
        <v>0.18966562480494456</v>
      </c>
      <c r="I94" s="369">
        <f>I93/(I17+I18+I19+I20)</f>
        <v>0.21184013788344197</v>
      </c>
      <c r="J94" s="370"/>
      <c r="K94" s="367"/>
      <c r="L94" s="368">
        <f>L93/(L17+L18+L19+L20)</f>
        <v>0.22532092911419754</v>
      </c>
      <c r="M94" s="370">
        <f>M93/(M17+M18+M19+M20)</f>
        <v>0.24904375228759765</v>
      </c>
      <c r="O94" s="368">
        <f>O93/(O17+O18+O19+O20)</f>
        <v>0.20958544399042428</v>
      </c>
      <c r="P94" s="369">
        <f>P93/(P17+P18+P19+P20)</f>
        <v>0.25415233182719893</v>
      </c>
      <c r="Q94" s="369"/>
      <c r="R94" s="1616"/>
      <c r="T94" s="368">
        <f>T93/(T17+T18+T19+T20)</f>
        <v>0.22926369089952711</v>
      </c>
      <c r="U94" s="369"/>
      <c r="V94" s="370">
        <f>V93/(V17+V18+V19+V20)</f>
        <v>0.22598230881581488</v>
      </c>
      <c r="W94" s="369"/>
      <c r="X94" s="368">
        <f>X93/(X17+X18+X19+X20)</f>
        <v>0.2288330101842932</v>
      </c>
      <c r="Y94" s="369">
        <f>Y93/(Y17+Y18+Y19+Y20)</f>
        <v>0.2363182843406508</v>
      </c>
      <c r="Z94" s="369"/>
      <c r="AA94" s="1616"/>
      <c r="AC94" s="368">
        <f>AC93/(AC17+AC18+AC19+AC20)</f>
        <v>0.21500148811550662</v>
      </c>
      <c r="AD94" s="369"/>
      <c r="AE94" s="370">
        <f>AE93/(AE17+AE18+AE19+AE20)</f>
        <v>0.16808971570508649</v>
      </c>
      <c r="AF94" s="369"/>
      <c r="AI94" s="368">
        <f>AI93/(AI17+AI18+AI19+AI20)</f>
        <v>0.21648304892835987</v>
      </c>
      <c r="AJ94" s="370">
        <f>AJ93/(AJ17+AJ18+AJ19+AJ20)</f>
        <v>0.16808971570508649</v>
      </c>
      <c r="AK94" s="369"/>
      <c r="AM94" s="368">
        <f>AM93/(AM17+AM18+AM19+AM20)</f>
        <v>0.19004435487407742</v>
      </c>
      <c r="AN94" s="369"/>
      <c r="AO94" s="370">
        <f>AO93/(AO17+AO18+AO19+AO20)</f>
        <v>0</v>
      </c>
      <c r="AP94" s="369"/>
      <c r="AS94" s="561">
        <f>AS93/(AS17+AS18+AS19+AS20)</f>
        <v>0.20586111163714291</v>
      </c>
      <c r="AT94" s="563">
        <f>AT93/(AT17+AT18+AT19+AT20)</f>
        <v>0.21039646502649703</v>
      </c>
      <c r="AU94" s="562"/>
      <c r="AW94" s="561">
        <f>AW93/(AW17+AW18+AW19+AW20)</f>
        <v>0.18883140846068158</v>
      </c>
      <c r="AX94" s="562"/>
      <c r="AY94" s="563">
        <f>AY93/(AY17+AY18+AY19+AY20)</f>
        <v>0.23625909867532846</v>
      </c>
      <c r="AZ94" s="3622"/>
      <c r="BA94" s="368">
        <f t="shared" ref="BA94" si="61">BA93/(BA17+BA18+BA19+BA20)</f>
        <v>0.18883140846068158</v>
      </c>
      <c r="BB94" s="370">
        <f>BB93/(BB17+BB18+BB19+BB20)</f>
        <v>0.23625909867532846</v>
      </c>
      <c r="BC94" s="369"/>
      <c r="BE94" s="368">
        <f t="shared" ref="BE94" si="62">BE93/(BE17+BE18+BE19+BE20)</f>
        <v>0.20830023331540531</v>
      </c>
      <c r="BF94" s="369"/>
      <c r="BG94" s="370">
        <f t="shared" ref="BG94" si="63">BG93/(BG17+BG18+BG19+BG20)</f>
        <v>0.23995649502971597</v>
      </c>
      <c r="BH94" s="369"/>
      <c r="BI94" s="369"/>
      <c r="BK94" s="972"/>
    </row>
    <row r="95" spans="1:63" s="972" customFormat="1" x14ac:dyDescent="0.35">
      <c r="A95" s="9168"/>
      <c r="B95" s="5026"/>
      <c r="C95" s="5027"/>
      <c r="D95" s="5028" t="s">
        <v>573</v>
      </c>
      <c r="E95" s="5029"/>
      <c r="F95" s="5030"/>
      <c r="G95" s="5031"/>
      <c r="H95" s="5032"/>
      <c r="I95" s="5033"/>
      <c r="J95" s="5034"/>
      <c r="K95" s="5031"/>
      <c r="L95" s="5035"/>
      <c r="M95" s="5036"/>
      <c r="N95" s="2746"/>
      <c r="O95" s="5032">
        <f>O37+SUM(O46:O57)+O68+O91</f>
        <v>127988.67234532042</v>
      </c>
      <c r="P95" s="5033">
        <f>P37+SUM(P46:P57)+P68+P91</f>
        <v>156952.86529775301</v>
      </c>
      <c r="Q95" s="5037"/>
      <c r="R95" s="5034"/>
      <c r="S95" s="2746"/>
      <c r="T95" s="5032">
        <f>T37+SUM(T46:T57)+T68+T91</f>
        <v>172601.22026308678</v>
      </c>
      <c r="U95" s="5037"/>
      <c r="V95" s="5036">
        <f>V37+SUM(V46:V57)+V68+V91</f>
        <v>169953.08127722883</v>
      </c>
      <c r="W95" s="1820"/>
      <c r="X95" s="5032">
        <f>X37+SUM(X46:X57)+X68+X91</f>
        <v>172601.22026308678</v>
      </c>
      <c r="Y95" s="5033">
        <f>Y37+SUM(Y46:Y57)+Y68+Y91</f>
        <v>169656.8686560333</v>
      </c>
      <c r="Z95" s="5037"/>
      <c r="AA95" s="5034"/>
      <c r="AB95" s="2746"/>
      <c r="AC95" s="5032">
        <f>AC37+SUM(AC46:AC57)+AC68+AC91</f>
        <v>193930.2401498601</v>
      </c>
      <c r="AD95" s="5037"/>
      <c r="AE95" s="5036">
        <f>AE37+SUM(AE46:AE57)+AE68+AE91</f>
        <v>135968.31891427311</v>
      </c>
      <c r="AF95" s="1820"/>
      <c r="AG95"/>
      <c r="AH95"/>
      <c r="AI95" s="5032">
        <f>AI37+SUM(AI46:AI57)+AI68+AI91</f>
        <v>193930.23400686006</v>
      </c>
      <c r="AJ95" s="5036">
        <f>AJ37+SUM(AJ46:AJ57)+AJ68+AJ91</f>
        <v>135968.31891427311</v>
      </c>
      <c r="AK95" s="5037"/>
      <c r="AL95" s="2746"/>
      <c r="AM95" s="5032">
        <f>AM37+SUM(AM46:AM57)+AM68+AM91</f>
        <v>180232.70304442203</v>
      </c>
      <c r="AN95" s="5037"/>
      <c r="AO95" s="5036">
        <f>AO37+SUM(AO46:AO57)+AO68+AO91</f>
        <v>0</v>
      </c>
      <c r="AP95" s="1820"/>
      <c r="AQ95"/>
      <c r="AR95"/>
      <c r="AS95" s="5032">
        <f>AS37+SUM(AS46:AS57)+AS68+AS69+AS91</f>
        <v>202412.15432294738</v>
      </c>
      <c r="AT95" s="5036">
        <f>AT37+SUM(AT46:AT57)+AT68+AT69+AT91</f>
        <v>206077.93874313234</v>
      </c>
      <c r="AU95" s="7069"/>
      <c r="AV95" s="2746"/>
      <c r="AW95" s="5032">
        <f>AW37+SUM(AW46:AW57)+AW68+AW69+AW91</f>
        <v>196872.05643589591</v>
      </c>
      <c r="AX95" s="7069"/>
      <c r="AY95" s="5036">
        <f>AY37+SUM(AY46:AY57)+AY68+AY69+AY91</f>
        <v>265135.7135890043</v>
      </c>
      <c r="AZ95" s="5415"/>
      <c r="BA95" s="5032">
        <f>BA37+SUM(BA46:BA57)+BA68+BA69+BA91</f>
        <v>196872.05643589591</v>
      </c>
      <c r="BB95" s="5036">
        <f>BB37+SUM(BB46:BB57)+BB68+BB69+BB91</f>
        <v>265135.7135890043</v>
      </c>
      <c r="BC95" s="5037"/>
      <c r="BD95" s="2746"/>
      <c r="BE95" s="5032">
        <f>BE37+SUM(BE46:BE57)+BE68+BE69+BE91</f>
        <v>303832.12133115926</v>
      </c>
      <c r="BF95" s="5037"/>
      <c r="BG95" s="5036">
        <f>BG37+SUM(BG46:BG57)+BG68+BG69+BG91</f>
        <v>338098.03105915239</v>
      </c>
      <c r="BH95" s="1820"/>
      <c r="BI95" s="1820"/>
      <c r="BK95"/>
    </row>
    <row r="96" spans="1:63" x14ac:dyDescent="0.35">
      <c r="A96" s="9168"/>
      <c r="B96" s="959"/>
      <c r="C96" s="960"/>
      <c r="D96" s="389" t="s">
        <v>574</v>
      </c>
      <c r="E96" s="961"/>
      <c r="F96" s="962"/>
      <c r="G96" s="1467"/>
      <c r="H96" s="964"/>
      <c r="I96" s="965"/>
      <c r="J96" s="1470"/>
      <c r="K96" s="1467"/>
      <c r="L96" s="964"/>
      <c r="M96" s="967"/>
      <c r="N96" s="1467"/>
      <c r="O96" s="964">
        <f>O39+O40</f>
        <v>9016.2844640000003</v>
      </c>
      <c r="P96" s="965">
        <f>P39+P40</f>
        <v>8402.4540739999993</v>
      </c>
      <c r="Q96" s="1472"/>
      <c r="R96" s="1470"/>
      <c r="S96" s="1467"/>
      <c r="T96" s="969">
        <f>T39+T40</f>
        <v>10120.336538</v>
      </c>
      <c r="U96" s="1474"/>
      <c r="V96" s="967">
        <f>V39+V40</f>
        <v>10732.203647999999</v>
      </c>
      <c r="W96" s="1476"/>
      <c r="X96" s="964">
        <f>X39+X40</f>
        <v>10120.336538</v>
      </c>
      <c r="Y96" s="965">
        <f>Y39+Y40</f>
        <v>10732.203647999999</v>
      </c>
      <c r="Z96" s="1472"/>
      <c r="AA96" s="1470"/>
      <c r="AB96" s="1467"/>
      <c r="AC96" s="969">
        <f>AC39+AC40</f>
        <v>22295.036435999999</v>
      </c>
      <c r="AD96" s="1474"/>
      <c r="AE96" s="967">
        <f>AE39+AE40</f>
        <v>21291.675685168848</v>
      </c>
      <c r="AF96" s="1477"/>
      <c r="AG96" s="972"/>
      <c r="AH96" s="972"/>
      <c r="AI96" s="969">
        <f>AI39+AI40</f>
        <v>23785.036435999999</v>
      </c>
      <c r="AJ96" s="967">
        <f>AJ39+AJ40</f>
        <v>21291.675685168848</v>
      </c>
      <c r="AK96" s="1474"/>
      <c r="AL96" s="1467"/>
      <c r="AM96" s="969">
        <f>AM39+AM40</f>
        <v>36797</v>
      </c>
      <c r="AN96" s="1474"/>
      <c r="AO96" s="967">
        <f>AO39+AO40</f>
        <v>0</v>
      </c>
      <c r="AP96" s="1477"/>
      <c r="AQ96" s="972"/>
      <c r="AR96" s="972"/>
      <c r="AS96" s="7105">
        <f>AS39+AS40</f>
        <v>32680</v>
      </c>
      <c r="AT96" s="7106">
        <f>AT39+AT40</f>
        <v>24992.293333333335</v>
      </c>
      <c r="AU96" s="7035"/>
      <c r="AV96" s="7107"/>
      <c r="AW96" s="7105">
        <f>AW39+AW40</f>
        <v>39998.44</v>
      </c>
      <c r="AX96" s="7035"/>
      <c r="AY96" s="7106">
        <f>AY39+AY40</f>
        <v>23670.48</v>
      </c>
      <c r="AZ96"/>
      <c r="BA96" s="7105">
        <f>BA38+BA39</f>
        <v>39998.44</v>
      </c>
      <c r="BB96" s="7106">
        <f>BB38+BB39</f>
        <v>23670.48</v>
      </c>
      <c r="BC96" s="8207"/>
      <c r="BD96" s="8877"/>
      <c r="BE96" s="7105">
        <f>BE38+BE39</f>
        <v>28936.25</v>
      </c>
      <c r="BF96" s="8207"/>
      <c r="BG96" s="7106">
        <f>BG38+BG39</f>
        <v>26588.33</v>
      </c>
      <c r="BH96" s="1477"/>
      <c r="BI96" s="1477"/>
    </row>
    <row r="97" spans="1:63" x14ac:dyDescent="0.35">
      <c r="A97" s="9168"/>
      <c r="B97" s="371"/>
      <c r="C97" s="372"/>
      <c r="D97" s="296" t="s">
        <v>575</v>
      </c>
      <c r="E97" s="374"/>
      <c r="F97" s="1054"/>
      <c r="G97" s="1055"/>
      <c r="H97" s="1056"/>
      <c r="I97" s="953"/>
      <c r="J97" s="1057"/>
      <c r="K97" s="1055"/>
      <c r="L97" s="1203"/>
      <c r="M97" s="1058"/>
      <c r="O97" s="1056">
        <f>(O93-O95)/(O18+O19+O20)</f>
        <v>4.5969554105314586E-2</v>
      </c>
      <c r="P97" s="953">
        <f>(P93-P95)/(P18+P19+P20)</f>
        <v>5.5418213245041904E-2</v>
      </c>
      <c r="Q97" s="1820"/>
      <c r="R97" s="1057"/>
      <c r="T97" s="1056">
        <f>(T93-T95)/(T18+T19+T20)</f>
        <v>4.5152458264365244E-2</v>
      </c>
      <c r="U97"/>
      <c r="V97" s="1058">
        <f>(V93-V95)/(V18+V19+V20)</f>
        <v>4.9340742800397332E-2</v>
      </c>
      <c r="W97"/>
      <c r="X97" s="1056">
        <f>(X93-X95)/(X18+X19+X20)</f>
        <v>4.4852291680885815E-2</v>
      </c>
      <c r="Y97" s="953">
        <f>(Y93-Y95)/(Y18+Y19+Y20)</f>
        <v>6.3905368306349478E-2</v>
      </c>
      <c r="Z97" s="1820"/>
      <c r="AA97" s="1057"/>
      <c r="AC97" s="1056">
        <f>(AC93-AC95)/(AC18+AC19+AC20)</f>
        <v>6.8403950627738283E-2</v>
      </c>
      <c r="AD97"/>
      <c r="AE97" s="1058">
        <f>(AE93-AE95)/(AE18+AE19+AE20)</f>
        <v>8.3231802877778996E-2</v>
      </c>
      <c r="AF97"/>
      <c r="AI97" s="1056">
        <f>(AI93-AI95)/(AI18+AI19+AI20)</f>
        <v>7.2975456340586456E-2</v>
      </c>
      <c r="AJ97" s="1058">
        <f>(AJ93-AJ95)/(AJ18+AJ19+AJ20)</f>
        <v>8.3231802877778996E-2</v>
      </c>
      <c r="AK97"/>
      <c r="AM97" s="1056">
        <f>(AM93-AM95)/(AM18+AM19+AM20)</f>
        <v>0.10407156634820433</v>
      </c>
      <c r="AN97"/>
      <c r="AO97" s="1058">
        <f>(AO93-AO95)/(AO18+AO19+AO20)</f>
        <v>0</v>
      </c>
      <c r="AP97"/>
      <c r="AS97" s="1056">
        <f>AS96/(AS18+AS19+AS20)</f>
        <v>9.2579215003045362E-2</v>
      </c>
      <c r="AT97" s="1058">
        <f>AT96/(AT18+AT19+AT20)</f>
        <v>0.10994564077748206</v>
      </c>
      <c r="AU97"/>
      <c r="AW97" s="1056">
        <f>AW96/(AW18+AW19+AW20)</f>
        <v>0.12987518507935683</v>
      </c>
      <c r="AX97"/>
      <c r="AY97" s="1058">
        <f>AY96/(AY18+AY19+AY20)</f>
        <v>8.4142858666325412E-2</v>
      </c>
      <c r="AZ97"/>
      <c r="BA97" s="1056">
        <f>BA96/(BA18+BA19+BA20)</f>
        <v>0.12987518507935683</v>
      </c>
      <c r="BB97" s="1058">
        <f>BB96/(BB18+BB19+BB20)</f>
        <v>8.4142858666325412E-2</v>
      </c>
      <c r="BC97"/>
      <c r="BE97" s="1056">
        <f>BE96/(BE18+BE19+BE20)</f>
        <v>6.1473102563339946E-2</v>
      </c>
      <c r="BF97"/>
      <c r="BG97" s="1058">
        <f>BG96/(BG18+BG19+BG20)</f>
        <v>7.2374011225617499E-2</v>
      </c>
      <c r="BH97"/>
      <c r="BI97"/>
    </row>
    <row r="98" spans="1:63" x14ac:dyDescent="0.35">
      <c r="A98" s="9168"/>
      <c r="B98" s="371"/>
      <c r="C98" s="372"/>
      <c r="D98" s="296" t="s">
        <v>576</v>
      </c>
      <c r="E98" s="374"/>
      <c r="F98" s="1054"/>
      <c r="G98" s="1055"/>
      <c r="H98" s="1056"/>
      <c r="I98" s="953"/>
      <c r="J98" s="1057"/>
      <c r="K98" s="1055"/>
      <c r="L98" s="1203"/>
      <c r="M98" s="1058"/>
      <c r="O98" s="1056">
        <f>O95/O17</f>
        <v>0.27972058760798152</v>
      </c>
      <c r="P98" s="953">
        <f>P95/P17</f>
        <v>0.31453732153715264</v>
      </c>
      <c r="Q98" s="1820"/>
      <c r="R98" s="1057"/>
      <c r="T98" s="1056">
        <f>T95/T17</f>
        <v>0.30129948933604045</v>
      </c>
      <c r="U98"/>
      <c r="V98" s="1058">
        <f>V95/V17</f>
        <v>0.29199403012703329</v>
      </c>
      <c r="W98"/>
      <c r="X98" s="1056">
        <f>X95/X17</f>
        <v>0.30129948933604045</v>
      </c>
      <c r="Y98" s="953">
        <f>Y95/Y17</f>
        <v>0.28494986270563477</v>
      </c>
      <c r="Z98" s="1820"/>
      <c r="AA98" s="1057"/>
      <c r="AC98" s="1056">
        <f>AC95/AC17</f>
        <v>0.28529222100426638</v>
      </c>
      <c r="AD98"/>
      <c r="AE98" s="1058">
        <f>AE95/AE17</f>
        <v>0.20002400687635799</v>
      </c>
      <c r="AF98"/>
      <c r="AI98" s="1056">
        <f>AI95/AI17</f>
        <v>0.28529221196725324</v>
      </c>
      <c r="AJ98" s="1058">
        <f>AJ95/AJ17</f>
        <v>0.20002400687635799</v>
      </c>
      <c r="AK98"/>
      <c r="AM98" s="1056">
        <f>AM95/AM17</f>
        <v>0.22859957185871765</v>
      </c>
      <c r="AN98"/>
      <c r="AO98" s="1058">
        <f>AO95/AO17</f>
        <v>0</v>
      </c>
      <c r="AP98"/>
      <c r="AS98" s="1056">
        <f>AS95/AS17</f>
        <v>0.25654297955123817</v>
      </c>
      <c r="AT98" s="1058">
        <f>AT95/AT17</f>
        <v>0.23661391032639492</v>
      </c>
      <c r="AU98"/>
      <c r="AW98" s="1056">
        <f>AW95/AW17</f>
        <v>0.20801632292001268</v>
      </c>
      <c r="AX98"/>
      <c r="AY98" s="1058">
        <f>AY95/AY17</f>
        <v>0.28172958621719724</v>
      </c>
      <c r="AZ98"/>
      <c r="BA98" s="1056">
        <f>BA95/BA17</f>
        <v>0.20801632292001268</v>
      </c>
      <c r="BB98" s="1058">
        <f>BB95/BB17</f>
        <v>0.28172958621719724</v>
      </c>
      <c r="BC98"/>
      <c r="BE98" s="1056">
        <f>BE95/BE17</f>
        <v>0.26963487003443226</v>
      </c>
      <c r="BF98"/>
      <c r="BG98" s="1058">
        <f>BG95/BG17</f>
        <v>0.29337887578152594</v>
      </c>
      <c r="BH98"/>
      <c r="BI98"/>
    </row>
    <row r="99" spans="1:63" x14ac:dyDescent="0.35">
      <c r="A99" s="9168"/>
      <c r="B99" s="371"/>
      <c r="C99" s="372"/>
      <c r="D99" s="296"/>
      <c r="E99" s="374"/>
      <c r="F99" s="1054"/>
      <c r="G99" s="1055"/>
      <c r="H99" s="1056"/>
      <c r="I99" s="953"/>
      <c r="J99" s="1057"/>
      <c r="K99" s="1055"/>
      <c r="L99" s="1203"/>
      <c r="M99" s="1058"/>
      <c r="O99" s="1056"/>
      <c r="P99" s="953"/>
      <c r="Q99" s="1820"/>
      <c r="R99" s="1057"/>
      <c r="T99" s="1056"/>
      <c r="U99"/>
      <c r="V99" s="1058"/>
      <c r="W99"/>
      <c r="X99" s="1056"/>
      <c r="Y99" s="953"/>
      <c r="Z99" s="1820"/>
      <c r="AA99" s="1057"/>
      <c r="AC99" s="1056"/>
      <c r="AD99"/>
      <c r="AE99" s="1058"/>
      <c r="AF99"/>
      <c r="AI99" s="1056"/>
      <c r="AJ99" s="1058"/>
      <c r="AK99"/>
      <c r="AM99" s="1056"/>
      <c r="AN99"/>
      <c r="AO99" s="1058"/>
      <c r="AP99"/>
      <c r="AS99" s="1056"/>
      <c r="AT99" s="1058"/>
      <c r="AU99"/>
      <c r="AW99" s="1056"/>
      <c r="AX99"/>
      <c r="AY99" s="1058"/>
      <c r="AZ99"/>
      <c r="BA99" s="1056"/>
      <c r="BB99" s="1058"/>
      <c r="BC99"/>
      <c r="BE99" s="1056"/>
      <c r="BF99"/>
      <c r="BG99" s="1058"/>
      <c r="BH99"/>
      <c r="BI99"/>
    </row>
    <row r="100" spans="1:63" x14ac:dyDescent="0.35">
      <c r="A100" s="9168"/>
      <c r="B100" s="371"/>
      <c r="C100" s="372"/>
      <c r="D100" s="296" t="s">
        <v>577</v>
      </c>
      <c r="E100" s="374"/>
      <c r="F100" s="1054"/>
      <c r="G100" s="1055"/>
      <c r="H100" s="1056">
        <f>H93/H12</f>
        <v>0.31080687124952966</v>
      </c>
      <c r="I100" s="953">
        <f>I93/I12</f>
        <v>0.26898114680757607</v>
      </c>
      <c r="J100" s="1057"/>
      <c r="K100" s="1055"/>
      <c r="L100" s="1203">
        <f>L93/L12</f>
        <v>0.28513164235887239</v>
      </c>
      <c r="M100" s="1058">
        <f>M93/M12</f>
        <v>0.24694535811694493</v>
      </c>
      <c r="O100" s="1056">
        <f>O93/O12</f>
        <v>0.25816041321002453</v>
      </c>
      <c r="P100" s="953">
        <f>P93/P12</f>
        <v>0.31187995105849614</v>
      </c>
      <c r="Q100" s="1820"/>
      <c r="R100" s="1057"/>
      <c r="T100" s="1056">
        <f>T93/T12</f>
        <v>0.27421299769503188</v>
      </c>
      <c r="U100"/>
      <c r="V100" s="1058">
        <f>V93/V12</f>
        <v>0.27629916281604783</v>
      </c>
      <c r="W100"/>
      <c r="X100" s="1056">
        <f>X93/X12</f>
        <v>0.27421299769503188</v>
      </c>
      <c r="Y100" s="953">
        <f>Y93/Y12</f>
        <v>0.28438584906147507</v>
      </c>
      <c r="Z100" s="1820"/>
      <c r="AA100" s="1057"/>
      <c r="AC100" s="1056">
        <f>AC93/AC12</f>
        <v>0.27604718627669678</v>
      </c>
      <c r="AD100"/>
      <c r="AE100" s="1058">
        <f>AE93/AE12</f>
        <v>0.21090876437059086</v>
      </c>
      <c r="AF100"/>
      <c r="AI100" s="1056">
        <f>AI93/AI12</f>
        <v>0.27794940889511061</v>
      </c>
      <c r="AJ100" s="1058">
        <f>AJ93/AJ12</f>
        <v>0.21090876437059086</v>
      </c>
      <c r="AK100"/>
      <c r="AM100" s="1056">
        <f>AM93/AM12</f>
        <v>0.22142295591268563</v>
      </c>
      <c r="AN100"/>
      <c r="AO100" s="1058">
        <f>AO93/AO12</f>
        <v>0</v>
      </c>
      <c r="AP100"/>
      <c r="AS100" s="1056">
        <f>AS93/AS12</f>
        <v>0.23985152819695965</v>
      </c>
      <c r="AT100" s="1058">
        <f>AT93/AT12</f>
        <v>0.25166882180343303</v>
      </c>
      <c r="AU100"/>
      <c r="AW100" s="1056">
        <f>AW93/AW12</f>
        <v>0.22399101317815215</v>
      </c>
      <c r="AX100"/>
      <c r="AY100" s="1058">
        <f>AY93/AY12</f>
        <v>0.28719360151648921</v>
      </c>
      <c r="AZ100"/>
      <c r="BA100" s="1056">
        <f>BA93/BA12</f>
        <v>0.22399101317815215</v>
      </c>
      <c r="BB100" s="1058">
        <f>BB93/BB12</f>
        <v>0.28719360151648921</v>
      </c>
      <c r="BC100"/>
      <c r="BE100" s="1056">
        <f>BE93/BE12</f>
        <v>0.24621732026103829</v>
      </c>
      <c r="BF100"/>
      <c r="BG100" s="1058">
        <f>BG93/BG12</f>
        <v>0.33195342926010157</v>
      </c>
      <c r="BH100"/>
      <c r="BI100"/>
    </row>
    <row r="101" spans="1:63" x14ac:dyDescent="0.35">
      <c r="A101" s="9168"/>
      <c r="B101" s="58"/>
      <c r="C101" s="390"/>
      <c r="D101" s="59" t="s">
        <v>578</v>
      </c>
      <c r="E101" s="424"/>
      <c r="F101" s="981"/>
      <c r="G101" s="982"/>
      <c r="H101" s="983">
        <f t="shared" ref="H101:I101" si="64">H93-H72</f>
        <v>108009.76684682423</v>
      </c>
      <c r="I101" s="979">
        <f t="shared" si="64"/>
        <v>111724.24981957496</v>
      </c>
      <c r="J101" s="246"/>
      <c r="K101" s="982"/>
      <c r="L101" s="986">
        <f t="shared" ref="L101:M101" si="65">L93-L72</f>
        <v>151125.6331025174</v>
      </c>
      <c r="M101" s="984">
        <f t="shared" si="65"/>
        <v>156791.29404119882</v>
      </c>
      <c r="O101" s="983">
        <f>O93-O72</f>
        <v>131363.6723453204</v>
      </c>
      <c r="P101" s="979">
        <f>P93-P72</f>
        <v>159492.03229775303</v>
      </c>
      <c r="Q101" s="985"/>
      <c r="R101" s="246"/>
      <c r="T101" s="983">
        <f>T93-T72</f>
        <v>176201.22026308681</v>
      </c>
      <c r="U101"/>
      <c r="V101" s="984">
        <f>V93-V72</f>
        <v>173018.08127722886</v>
      </c>
      <c r="W101"/>
      <c r="X101" s="983">
        <f>X93-X72</f>
        <v>176201.22026308681</v>
      </c>
      <c r="Y101" s="979">
        <f>Y93-Y72</f>
        <v>172721.86865603333</v>
      </c>
      <c r="Z101" s="985"/>
      <c r="AA101" s="246"/>
      <c r="AC101" s="983">
        <f>AC93-AC72</f>
        <v>196490.2401498601</v>
      </c>
      <c r="AD101"/>
      <c r="AE101" s="984">
        <f>AE93-AE72</f>
        <v>137524.95816344192</v>
      </c>
      <c r="AF101"/>
      <c r="AI101" s="983">
        <f>AI93-AI72</f>
        <v>197980.23400686009</v>
      </c>
      <c r="AJ101" s="984">
        <f>AJ93-AJ72</f>
        <v>137524.95816344192</v>
      </c>
      <c r="AK101"/>
      <c r="AM101" s="983">
        <f>AM93-AM72</f>
        <v>199029.70304442203</v>
      </c>
      <c r="AN101"/>
      <c r="AO101" s="984">
        <f>AO93-AO72</f>
        <v>0</v>
      </c>
      <c r="AP101"/>
      <c r="AS101" s="7108" t="s">
        <v>126</v>
      </c>
      <c r="AT101" s="7109" t="s">
        <v>126</v>
      </c>
      <c r="AU101" s="6042"/>
      <c r="AV101" s="176"/>
      <c r="AW101" s="7108" t="s">
        <v>126</v>
      </c>
      <c r="AX101" s="6042"/>
      <c r="AY101" s="7109" t="s">
        <v>126</v>
      </c>
      <c r="AZ101"/>
      <c r="BA101" s="7108" t="s">
        <v>126</v>
      </c>
      <c r="BB101" s="7109" t="s">
        <v>126</v>
      </c>
      <c r="BC101" s="6042"/>
      <c r="BD101" s="176"/>
      <c r="BE101" s="7108" t="s">
        <v>126</v>
      </c>
      <c r="BF101" s="6042"/>
      <c r="BG101" s="7109" t="s">
        <v>126</v>
      </c>
      <c r="BH101"/>
      <c r="BI101"/>
    </row>
    <row r="102" spans="1:63" x14ac:dyDescent="0.35">
      <c r="A102" s="9168"/>
      <c r="B102" s="371"/>
      <c r="C102" s="372"/>
      <c r="D102" s="296" t="s">
        <v>579</v>
      </c>
      <c r="E102" s="374"/>
      <c r="F102" s="1054"/>
      <c r="G102" s="1055"/>
      <c r="H102" s="1056">
        <f>H101/H12</f>
        <v>0.29749183857245537</v>
      </c>
      <c r="I102" s="953">
        <f>I101/I12</f>
        <v>0.253259124687915</v>
      </c>
      <c r="J102" s="1057"/>
      <c r="K102" s="1055"/>
      <c r="L102" s="1203">
        <f>L101/L12</f>
        <v>0.27448242793564182</v>
      </c>
      <c r="M102" s="1058">
        <f>M101/M12</f>
        <v>0.23437106042052844</v>
      </c>
      <c r="O102" s="1056">
        <f>O101/O12</f>
        <v>0.24753045965083731</v>
      </c>
      <c r="P102" s="953">
        <f>P101/P12</f>
        <v>0.30082108889047687</v>
      </c>
      <c r="Q102" s="1820"/>
      <c r="R102" s="1057"/>
      <c r="T102" s="1056">
        <f>T101/T12</f>
        <v>0.26442783025574707</v>
      </c>
      <c r="U102"/>
      <c r="V102" s="1058">
        <f>V101/V12</f>
        <v>0.26457467761538972</v>
      </c>
      <c r="W102"/>
      <c r="X102" s="1056">
        <f>X101/X12</f>
        <v>0.26442783025574707</v>
      </c>
      <c r="Y102" s="953">
        <f>Y101/Y12</f>
        <v>0.27229839724682897</v>
      </c>
      <c r="Z102" s="1820"/>
      <c r="AA102" s="1057"/>
      <c r="AC102" s="1056">
        <f>AC101/AC12</f>
        <v>0.25085216113789138</v>
      </c>
      <c r="AD102"/>
      <c r="AE102" s="1058">
        <f>AE101/AE12</f>
        <v>0.18444118016313141</v>
      </c>
      <c r="AF102"/>
      <c r="AI102" s="1056">
        <f>AI101/AI12</f>
        <v>0.25275438375630527</v>
      </c>
      <c r="AJ102" s="1058">
        <f>AJ101/AJ12</f>
        <v>0.18444118016313141</v>
      </c>
      <c r="AK102"/>
      <c r="AM102" s="1056">
        <f>AM101/AM12</f>
        <v>0.20305858849882727</v>
      </c>
      <c r="AN102"/>
      <c r="AO102" s="1058">
        <f>AO101/AO12</f>
        <v>0</v>
      </c>
      <c r="AP102"/>
      <c r="AS102" s="7108" t="s">
        <v>126</v>
      </c>
      <c r="AT102" s="1058" t="s">
        <v>126</v>
      </c>
      <c r="AU102" s="6042"/>
      <c r="AV102" s="176"/>
      <c r="AW102" s="1056" t="s">
        <v>126</v>
      </c>
      <c r="AX102" s="6042"/>
      <c r="AY102" s="1058" t="s">
        <v>126</v>
      </c>
      <c r="AZ102"/>
      <c r="BA102" s="7108" t="s">
        <v>126</v>
      </c>
      <c r="BB102" s="1058" t="s">
        <v>126</v>
      </c>
      <c r="BC102" s="6042"/>
      <c r="BD102" s="176"/>
      <c r="BE102" s="1056" t="s">
        <v>126</v>
      </c>
      <c r="BF102" s="6042"/>
      <c r="BG102" s="1058" t="s">
        <v>126</v>
      </c>
      <c r="BH102"/>
      <c r="BI102"/>
    </row>
    <row r="103" spans="1:63" x14ac:dyDescent="0.35">
      <c r="A103" s="9168"/>
      <c r="B103" s="371"/>
      <c r="C103" s="372"/>
      <c r="D103" s="296"/>
      <c r="E103" s="374"/>
      <c r="F103" s="1054"/>
      <c r="G103" s="1055"/>
      <c r="H103" s="1056"/>
      <c r="I103" s="953"/>
      <c r="J103" s="1057"/>
      <c r="K103" s="1055"/>
      <c r="L103" s="1203"/>
      <c r="M103" s="1058"/>
      <c r="O103" s="1056"/>
      <c r="P103" s="953"/>
      <c r="Q103" s="1820"/>
      <c r="R103" s="1057"/>
      <c r="T103" s="1056"/>
      <c r="U103"/>
      <c r="V103" s="1058"/>
      <c r="W103"/>
      <c r="X103" s="1056"/>
      <c r="Y103" s="953"/>
      <c r="Z103" s="1820"/>
      <c r="AA103" s="1057"/>
      <c r="AC103" s="1056"/>
      <c r="AD103"/>
      <c r="AE103" s="1058"/>
      <c r="AF103"/>
      <c r="AI103" s="1056"/>
      <c r="AJ103" s="1058"/>
      <c r="AK103"/>
      <c r="AM103" s="1056"/>
      <c r="AN103"/>
      <c r="AO103" s="1058"/>
      <c r="AP103"/>
      <c r="AS103" s="1056"/>
      <c r="AT103" s="1058"/>
      <c r="AU103"/>
      <c r="AW103" s="1056"/>
      <c r="AX103"/>
      <c r="AY103" s="1058"/>
      <c r="AZ103" s="985"/>
      <c r="BA103" s="1056"/>
      <c r="BB103" s="1058"/>
      <c r="BC103"/>
      <c r="BE103" s="1056"/>
      <c r="BF103"/>
      <c r="BG103" s="1058"/>
      <c r="BH103"/>
      <c r="BI103"/>
    </row>
    <row r="104" spans="1:63" ht="15.5" x14ac:dyDescent="0.35">
      <c r="A104" s="9169"/>
      <c r="B104" s="4906"/>
      <c r="C104" s="4907"/>
      <c r="D104" s="980" t="s">
        <v>580</v>
      </c>
      <c r="F104" s="4908"/>
      <c r="G104" s="1060"/>
      <c r="H104" s="3295"/>
      <c r="I104" s="3296"/>
      <c r="J104" s="1057"/>
      <c r="K104" s="1060"/>
      <c r="L104" s="3297"/>
      <c r="M104" s="5038"/>
      <c r="O104" s="3295"/>
      <c r="P104" s="3296"/>
      <c r="Q104" s="1820"/>
      <c r="R104" s="1057"/>
      <c r="T104" s="3295"/>
      <c r="U104"/>
      <c r="V104" s="5038"/>
      <c r="W104" s="985"/>
      <c r="X104" s="3295"/>
      <c r="Y104" s="3296"/>
      <c r="Z104" s="1820"/>
      <c r="AA104" s="1057"/>
      <c r="AC104" s="3295"/>
      <c r="AD104"/>
      <c r="AE104" s="5038"/>
      <c r="AF104" s="985"/>
      <c r="AI104" s="3295"/>
      <c r="AJ104" s="5038"/>
      <c r="AK104"/>
      <c r="AM104" s="3295"/>
      <c r="AN104"/>
      <c r="AO104" s="5038"/>
      <c r="AP104" s="985"/>
      <c r="AS104" s="3295"/>
      <c r="AT104" s="5038"/>
      <c r="AU104"/>
      <c r="AW104" s="3295"/>
      <c r="AX104"/>
      <c r="AY104" s="5038"/>
      <c r="AZ104" s="3622"/>
      <c r="BA104" s="3295"/>
      <c r="BB104" s="5038"/>
      <c r="BC104"/>
      <c r="BE104" s="3295"/>
      <c r="BF104"/>
      <c r="BG104" s="5038"/>
      <c r="BH104" s="985"/>
      <c r="BI104" s="985"/>
      <c r="BK104" s="449"/>
    </row>
    <row r="105" spans="1:63" s="449" customFormat="1" ht="15.5" x14ac:dyDescent="0.35">
      <c r="B105" s="85"/>
      <c r="C105" s="432"/>
      <c r="D105" s="86" t="s">
        <v>581</v>
      </c>
      <c r="E105" s="3659"/>
      <c r="F105" s="4909"/>
      <c r="G105" s="460"/>
      <c r="H105" s="5039"/>
      <c r="I105" s="4911"/>
      <c r="J105" s="3514"/>
      <c r="K105" s="460"/>
      <c r="L105" s="4910"/>
      <c r="M105" s="5040"/>
      <c r="N105" s="1"/>
      <c r="O105" s="1996"/>
      <c r="P105" s="1997"/>
      <c r="Q105" s="1534"/>
      <c r="R105" s="706"/>
      <c r="S105" s="1"/>
      <c r="T105" s="1996"/>
      <c r="U105" s="5069"/>
      <c r="V105" s="3435"/>
      <c r="W105" s="1820"/>
      <c r="X105" s="1996"/>
      <c r="Y105" s="1997"/>
      <c r="Z105" s="1534"/>
      <c r="AA105" s="706"/>
      <c r="AB105" s="1"/>
      <c r="AC105" s="1996"/>
      <c r="AD105" s="5069"/>
      <c r="AE105" s="3435"/>
      <c r="AF105" s="1820"/>
      <c r="AG105"/>
      <c r="AH105"/>
      <c r="AI105" s="1996"/>
      <c r="AJ105" s="3435"/>
      <c r="AK105" s="5069"/>
      <c r="AL105" s="1"/>
      <c r="AM105" s="1996"/>
      <c r="AN105" s="5069"/>
      <c r="AO105" s="3435"/>
      <c r="AP105" s="1820"/>
      <c r="AQ105"/>
      <c r="AR105"/>
      <c r="AS105" s="1996"/>
      <c r="AT105" s="3435"/>
      <c r="AU105" s="5069"/>
      <c r="AV105" s="1"/>
      <c r="AW105" s="1996"/>
      <c r="AX105" s="5069"/>
      <c r="AY105" s="3435"/>
      <c r="AZ105" s="1536"/>
      <c r="BA105" s="1996"/>
      <c r="BB105" s="3435"/>
      <c r="BC105" s="5069"/>
      <c r="BD105" s="1"/>
      <c r="BE105" s="1996"/>
      <c r="BF105" s="5069"/>
      <c r="BG105" s="3435"/>
      <c r="BH105" s="1820"/>
      <c r="BI105" s="1820"/>
      <c r="BK105" s="462"/>
    </row>
    <row r="106" spans="1:63" s="462" customFormat="1" ht="15.25" customHeight="1" x14ac:dyDescent="0.35">
      <c r="A106" s="455" t="s">
        <v>582</v>
      </c>
      <c r="B106" s="449"/>
      <c r="C106" s="450"/>
      <c r="D106" s="450"/>
      <c r="E106" s="450"/>
      <c r="F106" s="451"/>
      <c r="G106" s="450"/>
      <c r="H106" s="451"/>
      <c r="I106" s="451"/>
      <c r="J106" s="452"/>
      <c r="K106" s="450"/>
      <c r="L106" s="451"/>
      <c r="M106" s="451"/>
      <c r="N106" s="453"/>
      <c r="O106" s="451">
        <f t="shared" ref="O106:P106" si="66">((O93-O95)/O93)</f>
        <v>6.5809914283237139E-2</v>
      </c>
      <c r="P106" s="451">
        <f t="shared" si="66"/>
        <v>5.0814537481612854E-2</v>
      </c>
      <c r="Q106" s="454"/>
      <c r="R106" s="454"/>
      <c r="S106" s="454"/>
      <c r="T106" s="451">
        <f t="shared" ref="T106" si="67">((T93-T95)/T93)</f>
        <v>5.5386658887857272E-2</v>
      </c>
      <c r="U106" s="454"/>
      <c r="V106" s="451">
        <f t="shared" ref="V106" si="68">((V93-V95)/V93)</f>
        <v>5.9397220157918353E-2</v>
      </c>
      <c r="W106" s="454"/>
      <c r="X106" s="451">
        <f t="shared" ref="X106:Y106" si="69">((X93-X95)/X93)</f>
        <v>5.5386658887857272E-2</v>
      </c>
      <c r="Y106" s="451">
        <f t="shared" si="69"/>
        <v>5.9494754925684387E-2</v>
      </c>
      <c r="Z106" s="454"/>
      <c r="AA106" s="454"/>
      <c r="AB106" s="454"/>
      <c r="AC106" s="451">
        <f t="shared" ref="AC106" si="70">((AC93-AC95)/AC93)</f>
        <v>0.10311022276411307</v>
      </c>
      <c r="AD106" s="454"/>
      <c r="AE106" s="451">
        <f>((AE93-AE95)/AE93)</f>
        <v>0.13539155803356714</v>
      </c>
      <c r="AF106" s="1536"/>
      <c r="AG106" s="449"/>
      <c r="AH106" s="449"/>
      <c r="AI106" s="451">
        <f t="shared" ref="AI106" si="71">((AI93-AI95)/AI93)</f>
        <v>0.10924836088721883</v>
      </c>
      <c r="AJ106" s="451">
        <f>((AJ93-AJ95)/AJ93)</f>
        <v>0.13539155803356714</v>
      </c>
      <c r="AK106" s="454"/>
      <c r="AL106" s="454"/>
      <c r="AM106" s="451">
        <f t="shared" ref="AM106" si="72">((AM93-AM95)/AM93)</f>
        <v>0.16954822074501169</v>
      </c>
      <c r="AN106" s="454"/>
      <c r="AO106" s="451" t="e">
        <f>((AO93-AO95)/AO93)</f>
        <v>#DIV/0!</v>
      </c>
      <c r="AP106" s="1536"/>
      <c r="AQ106" s="449"/>
      <c r="AR106" s="449"/>
      <c r="AS106" s="451">
        <f t="shared" ref="AS106" si="73">((AS93-AS95)/AS93)</f>
        <v>0.1390093178316249</v>
      </c>
      <c r="AT106" s="451">
        <f>((AT93-AT95)/AT93)</f>
        <v>0.10815886195614703</v>
      </c>
      <c r="AU106" s="454"/>
      <c r="AV106" s="454"/>
      <c r="AW106" s="451">
        <f t="shared" ref="AW106" si="74">((AW93-AW95)/AW93)</f>
        <v>0.16886206007857441</v>
      </c>
      <c r="AX106" s="454"/>
      <c r="AY106" s="451">
        <f>((AY93-AY95)/AY93)</f>
        <v>8.1959738140813851E-2</v>
      </c>
      <c r="AZ106" s="461"/>
      <c r="BA106" s="451">
        <f t="shared" ref="BA106" si="75">((BA93-BA95)/BA93)</f>
        <v>0.16886206007857441</v>
      </c>
      <c r="BB106" s="451">
        <f>((BB93-BB95)/BB93)</f>
        <v>8.1959738140813851E-2</v>
      </c>
      <c r="BC106" s="454"/>
      <c r="BD106" s="454"/>
      <c r="BE106" s="451">
        <f t="shared" ref="BE106" si="76">((BE93-BE95)/BE93)</f>
        <v>8.695613072915416E-2</v>
      </c>
      <c r="BF106" s="454"/>
      <c r="BG106" s="451">
        <f>((BG93-BG95)/BG93)</f>
        <v>7.2907387934059237E-2</v>
      </c>
      <c r="BH106" s="1536"/>
      <c r="BI106" s="1536"/>
      <c r="BJ106"/>
    </row>
    <row r="107" spans="1:63" s="462" customFormat="1" ht="12" customHeight="1" x14ac:dyDescent="0.35">
      <c r="A107" s="463">
        <v>1</v>
      </c>
      <c r="B107" s="455"/>
      <c r="C107" s="456"/>
      <c r="D107" s="456"/>
      <c r="E107" s="457"/>
      <c r="F107" s="458"/>
      <c r="G107" s="456"/>
      <c r="H107" s="458"/>
      <c r="I107" s="458"/>
      <c r="J107" s="459"/>
      <c r="K107" s="456"/>
      <c r="L107" s="458"/>
      <c r="M107" s="458"/>
      <c r="N107" s="460"/>
      <c r="O107" s="458" t="str">
        <f>IF(O95+O96=O93,"ok","erreur total")</f>
        <v>ok</v>
      </c>
      <c r="P107" s="458" t="str">
        <f>IF(P95+P96=P93,"ok","erreur total")</f>
        <v>ok</v>
      </c>
      <c r="Q107" s="461"/>
      <c r="R107" s="461"/>
      <c r="S107" s="461"/>
      <c r="T107" s="458" t="str">
        <f>IF(T95+T96=T93,"ok","erreur total")</f>
        <v>ok</v>
      </c>
      <c r="U107" s="458"/>
      <c r="V107" s="458" t="str">
        <f>IF(V95+V96=V93,"ok","erreur total")</f>
        <v>ok</v>
      </c>
      <c r="W107" s="461"/>
      <c r="X107" s="458" t="str">
        <f>IF(X95+X96=X93,"ok","erreur total")</f>
        <v>ok</v>
      </c>
      <c r="Y107" s="458" t="str">
        <f>IF(Y95+Y96=Y93,"ok","erreur total")</f>
        <v>ok</v>
      </c>
      <c r="Z107" s="461"/>
      <c r="AA107" s="461"/>
      <c r="AB107" s="461"/>
      <c r="AC107" s="458" t="str">
        <f>IF(AC95+AC96=AC93,"ok","erreur total")</f>
        <v>ok</v>
      </c>
      <c r="AD107" s="458"/>
      <c r="AE107" s="458" t="str">
        <f>IF(AE95+AE96=AE93,"ok","erreur total")</f>
        <v>ok</v>
      </c>
      <c r="AF107" s="461"/>
      <c r="AG107"/>
      <c r="AI107" s="458" t="str">
        <f>IF(AI95+AI96=AI93,"ok","erreur total")</f>
        <v>ok</v>
      </c>
      <c r="AJ107" s="458" t="str">
        <f>IF(AJ95+AJ96=AJ93,"ok","erreur total")</f>
        <v>ok</v>
      </c>
      <c r="AK107" s="458"/>
      <c r="AL107" s="461"/>
      <c r="AM107" s="458" t="str">
        <f>IF(AM95+AM96=AM93,"ok","erreur total")</f>
        <v>ok</v>
      </c>
      <c r="AN107" s="458"/>
      <c r="AO107" s="458" t="str">
        <f>IF(AO95+AO96=AO93,"ok","erreur total")</f>
        <v>ok</v>
      </c>
      <c r="AP107" s="461"/>
      <c r="AQ107"/>
      <c r="AS107" s="458" t="str">
        <f>IF(AS95+AS96=AS93,"ok","erreur total")</f>
        <v>ok</v>
      </c>
      <c r="AT107" s="458" t="str">
        <f>IF(AT95+AT96=AT93,"ok","erreur total")</f>
        <v>ok</v>
      </c>
      <c r="AU107" s="458"/>
      <c r="AV107" s="461"/>
      <c r="AW107" s="458" t="str">
        <f>IF(AW95+AW96=AW93,"ok","erreur total")</f>
        <v>ok</v>
      </c>
      <c r="AX107" s="458"/>
      <c r="AY107" s="458" t="str">
        <f>IF(AY95+AY96=AY93,"ok","erreur total")</f>
        <v>ok</v>
      </c>
      <c r="AZ107" s="456"/>
      <c r="BA107" s="458" t="str">
        <f>IF(BA95+BA96=BA93,"ok","erreur total")</f>
        <v>ok</v>
      </c>
      <c r="BB107" s="458" t="str">
        <f>IF(BB95+BB96=BB93,"ok","erreur total")</f>
        <v>ok</v>
      </c>
      <c r="BC107" s="458"/>
      <c r="BD107" s="461"/>
      <c r="BE107" s="458" t="str">
        <f>IF(BE95+BE96=BE93,"ok","erreur total")</f>
        <v>ok</v>
      </c>
      <c r="BF107" s="458"/>
      <c r="BG107" s="458" t="str">
        <f>IF(BG95+BG96=BG93,"ok","erreur total")</f>
        <v>ok</v>
      </c>
      <c r="BH107" s="461"/>
      <c r="BI107" s="461"/>
      <c r="BJ107" s="577"/>
    </row>
    <row r="108" spans="1:63" s="462" customFormat="1" ht="12" x14ac:dyDescent="0.3">
      <c r="A108" s="468">
        <v>2</v>
      </c>
      <c r="B108" s="464" t="str">
        <f>AG17</f>
        <v>Total Statutory + voted</v>
      </c>
      <c r="D108" s="709"/>
      <c r="E108" s="466"/>
      <c r="F108" s="466"/>
      <c r="G108" s="466"/>
      <c r="H108" s="466"/>
      <c r="I108" s="466"/>
      <c r="J108" s="467"/>
      <c r="K108" s="466"/>
      <c r="L108" s="466"/>
      <c r="M108" s="466"/>
      <c r="N108" s="456"/>
      <c r="O108" s="456"/>
      <c r="P108" s="456"/>
      <c r="Q108" s="456"/>
      <c r="R108" s="456"/>
      <c r="S108" s="456"/>
      <c r="T108" s="456"/>
      <c r="U108" s="456"/>
      <c r="V108" s="456"/>
      <c r="W108" s="456"/>
      <c r="X108" s="456"/>
      <c r="Y108" s="456"/>
      <c r="Z108" s="456"/>
      <c r="AA108" s="456"/>
      <c r="AB108" s="456"/>
      <c r="AC108" s="456"/>
      <c r="AD108" s="456"/>
      <c r="AE108" s="456"/>
      <c r="AF108" s="456"/>
      <c r="AG108" s="577"/>
      <c r="AI108" s="456"/>
      <c r="AJ108" s="456"/>
      <c r="AK108" s="456"/>
      <c r="AL108" s="456"/>
      <c r="AM108" s="456"/>
      <c r="AN108" s="456"/>
      <c r="AO108" s="456"/>
      <c r="AP108" s="456"/>
      <c r="AQ108" s="577"/>
      <c r="AS108" s="456"/>
      <c r="AT108" s="456"/>
      <c r="AU108" s="456"/>
      <c r="AV108" s="456"/>
      <c r="AW108" s="456"/>
      <c r="AX108" s="456"/>
      <c r="AY108" s="456"/>
      <c r="AZ108" s="456"/>
      <c r="BA108" s="456"/>
      <c r="BB108" s="456"/>
      <c r="BC108" s="456"/>
      <c r="BD108" s="456"/>
      <c r="BE108" s="456"/>
      <c r="BF108" s="456"/>
      <c r="BG108" s="456"/>
      <c r="BH108" s="456"/>
      <c r="BI108" s="456"/>
      <c r="BJ108" s="577"/>
    </row>
    <row r="109" spans="1:63" s="462" customFormat="1" ht="12" x14ac:dyDescent="0.3">
      <c r="A109" s="463">
        <v>3</v>
      </c>
      <c r="B109" s="469" t="str">
        <f>AG18</f>
        <v>Development expenditures</v>
      </c>
      <c r="D109" s="2"/>
      <c r="E109" s="456"/>
      <c r="F109" s="456"/>
      <c r="G109" s="456"/>
      <c r="H109" s="459"/>
      <c r="I109" s="459"/>
      <c r="J109" s="7"/>
      <c r="K109" s="456"/>
      <c r="N109" s="456"/>
      <c r="O109" s="456"/>
      <c r="P109" s="456"/>
      <c r="Q109" s="456"/>
      <c r="R109" s="456"/>
      <c r="S109" s="456"/>
      <c r="T109" s="456"/>
      <c r="U109" s="456"/>
      <c r="V109" s="456"/>
      <c r="W109" s="456"/>
      <c r="X109" s="456"/>
      <c r="Y109" s="456"/>
      <c r="Z109" s="456"/>
      <c r="AA109" s="456"/>
      <c r="AB109" s="456"/>
      <c r="AC109" s="456"/>
      <c r="AD109" s="456"/>
      <c r="AE109" s="456"/>
      <c r="AF109" s="456"/>
      <c r="AG109" s="577"/>
      <c r="AI109" s="456"/>
      <c r="AJ109" s="456"/>
      <c r="AK109" s="456"/>
      <c r="AL109" s="456"/>
      <c r="AM109" s="456"/>
      <c r="AN109" s="456"/>
      <c r="AO109" s="456"/>
      <c r="AP109" s="456"/>
      <c r="AQ109" s="577"/>
      <c r="AS109" s="456"/>
      <c r="AT109" s="456"/>
      <c r="AU109" s="456"/>
      <c r="AV109" s="456"/>
      <c r="AW109" s="456"/>
      <c r="AX109" s="456"/>
      <c r="AY109" s="456"/>
      <c r="AZ109" s="456"/>
      <c r="BA109" s="456"/>
      <c r="BB109" s="456"/>
      <c r="BC109" s="456"/>
      <c r="BD109" s="456"/>
      <c r="BE109" s="456"/>
      <c r="BF109" s="456"/>
      <c r="BG109" s="456"/>
      <c r="BH109" s="456"/>
      <c r="BI109" s="456"/>
      <c r="BJ109" s="577"/>
    </row>
    <row r="110" spans="1:63" s="462" customFormat="1" ht="12" x14ac:dyDescent="0.3">
      <c r="A110" s="468">
        <v>4</v>
      </c>
      <c r="B110" s="469" t="str">
        <f>AG25</f>
        <v>Annex 3</v>
      </c>
      <c r="D110" s="2"/>
      <c r="E110" s="456"/>
      <c r="F110" s="456"/>
      <c r="G110" s="456"/>
      <c r="H110" s="459"/>
      <c r="I110" s="459"/>
      <c r="J110" s="7"/>
      <c r="K110" s="456"/>
      <c r="N110" s="456"/>
      <c r="O110" s="456"/>
      <c r="P110" s="456"/>
      <c r="Q110" s="456"/>
      <c r="R110" s="456"/>
      <c r="S110" s="456"/>
      <c r="T110" s="456"/>
      <c r="U110" s="456"/>
      <c r="V110" s="456"/>
      <c r="W110" s="456"/>
      <c r="X110" s="456"/>
      <c r="Y110" s="456"/>
      <c r="Z110" s="456"/>
      <c r="AA110" s="456"/>
      <c r="AB110" s="456"/>
      <c r="AC110" s="456"/>
      <c r="AD110" s="456"/>
      <c r="AE110" s="456"/>
      <c r="AF110" s="456"/>
      <c r="AG110" s="577"/>
      <c r="AI110" s="456"/>
      <c r="AJ110" s="456"/>
      <c r="AK110" s="456"/>
      <c r="AL110" s="456"/>
      <c r="AM110" s="456"/>
      <c r="AN110" s="456"/>
      <c r="AO110" s="456"/>
      <c r="AP110" s="456"/>
      <c r="AQ110" s="577"/>
      <c r="AS110" s="456"/>
      <c r="AT110" s="456"/>
      <c r="AU110" s="456"/>
      <c r="AV110" s="456"/>
      <c r="AW110" s="456"/>
      <c r="AX110" s="456"/>
      <c r="AY110" s="456"/>
      <c r="AZ110" s="456"/>
      <c r="BA110" s="456"/>
      <c r="BB110" s="456"/>
      <c r="BC110" s="456"/>
      <c r="BD110" s="456"/>
      <c r="BE110" s="456"/>
      <c r="BF110" s="456"/>
      <c r="BG110" s="456"/>
      <c r="BH110" s="456"/>
      <c r="BI110" s="456"/>
      <c r="BJ110" s="577"/>
    </row>
    <row r="111" spans="1:63" s="462" customFormat="1" ht="12" x14ac:dyDescent="0.3">
      <c r="A111" s="463">
        <v>5</v>
      </c>
      <c r="B111" s="469" t="str">
        <f>AG27</f>
        <v>pensions &amp; gratuities; Annex 4</v>
      </c>
      <c r="D111" s="2"/>
      <c r="E111" s="456"/>
      <c r="F111" s="456"/>
      <c r="G111" s="456"/>
      <c r="H111" s="459"/>
      <c r="I111" s="459"/>
      <c r="J111" s="7"/>
      <c r="K111" s="456"/>
      <c r="N111" s="456"/>
      <c r="O111" s="456"/>
      <c r="P111" s="456"/>
      <c r="Q111" s="456"/>
      <c r="R111" s="456"/>
      <c r="S111" s="456"/>
      <c r="T111" s="456"/>
      <c r="U111" s="456"/>
      <c r="V111" s="456"/>
      <c r="W111" s="456"/>
      <c r="X111" s="456"/>
      <c r="Y111" s="456"/>
      <c r="Z111" s="456"/>
      <c r="AA111" s="456"/>
      <c r="AB111" s="456"/>
      <c r="AC111" s="456"/>
      <c r="AD111" s="456"/>
      <c r="AE111" s="456"/>
      <c r="AF111" s="456"/>
      <c r="AG111" s="577"/>
      <c r="AI111" s="456"/>
      <c r="AJ111" s="456"/>
      <c r="AK111" s="456"/>
      <c r="AL111" s="456"/>
      <c r="AM111" s="456"/>
      <c r="AN111" s="456"/>
      <c r="AO111" s="456"/>
      <c r="AP111" s="456"/>
      <c r="AQ111" s="577"/>
      <c r="AS111" s="456"/>
      <c r="AT111" s="456"/>
      <c r="AU111" s="456"/>
      <c r="AV111" s="456"/>
      <c r="AW111" s="456"/>
      <c r="AX111" s="456"/>
      <c r="AY111" s="456"/>
      <c r="AZ111" s="456"/>
      <c r="BA111" s="456"/>
      <c r="BB111" s="456"/>
      <c r="BC111" s="456"/>
      <c r="BD111" s="456"/>
      <c r="BE111" s="456"/>
      <c r="BF111" s="456"/>
      <c r="BG111" s="456"/>
      <c r="BH111" s="456"/>
      <c r="BI111" s="456"/>
      <c r="BJ111" s="577"/>
    </row>
    <row r="112" spans="1:63" s="462" customFormat="1" ht="12" x14ac:dyDescent="0.3">
      <c r="A112" s="468">
        <v>6</v>
      </c>
      <c r="B112" s="469" t="str">
        <f>AG30</f>
        <v>Table 4</v>
      </c>
      <c r="D112" s="2"/>
      <c r="E112" s="456"/>
      <c r="F112" s="456"/>
      <c r="G112" s="456"/>
      <c r="H112" s="459"/>
      <c r="I112" s="459"/>
      <c r="J112" s="7"/>
      <c r="K112" s="456"/>
      <c r="N112" s="456"/>
      <c r="O112" s="456"/>
      <c r="P112" s="456"/>
      <c r="Q112" s="456"/>
      <c r="R112" s="456"/>
      <c r="S112" s="456"/>
      <c r="T112" s="456"/>
      <c r="U112" s="456"/>
      <c r="V112" s="456"/>
      <c r="W112" s="456"/>
      <c r="X112" s="456"/>
      <c r="Y112" s="456"/>
      <c r="Z112" s="456"/>
      <c r="AA112" s="456"/>
      <c r="AB112" s="456"/>
      <c r="AC112" s="456"/>
      <c r="AD112" s="456"/>
      <c r="AE112" s="456"/>
      <c r="AF112" s="456"/>
      <c r="AG112" s="577"/>
      <c r="AI112" s="456"/>
      <c r="AJ112" s="456"/>
      <c r="AK112" s="456"/>
      <c r="AL112" s="456"/>
      <c r="AM112" s="456"/>
      <c r="AN112" s="456"/>
      <c r="AO112" s="456"/>
      <c r="AP112" s="456"/>
      <c r="AQ112" s="577"/>
      <c r="AS112" s="456"/>
      <c r="AT112" s="456"/>
      <c r="AU112" s="456"/>
      <c r="AV112" s="456"/>
      <c r="AW112" s="456"/>
      <c r="AX112" s="456"/>
      <c r="AY112" s="456"/>
      <c r="AZ112" s="456"/>
      <c r="BA112" s="456"/>
      <c r="BB112" s="456"/>
      <c r="BC112" s="456"/>
      <c r="BD112" s="456"/>
      <c r="BE112" s="456"/>
      <c r="BF112" s="456"/>
      <c r="BG112" s="456"/>
      <c r="BH112" s="456"/>
      <c r="BI112" s="456"/>
      <c r="BJ112" s="577"/>
    </row>
    <row r="113" spans="1:63" s="462" customFormat="1" ht="12" x14ac:dyDescent="0.3">
      <c r="A113" s="468"/>
      <c r="B113" s="469" t="str">
        <f>AG72</f>
        <v xml:space="preserve">Development part 1 </v>
      </c>
      <c r="D113" s="2"/>
      <c r="E113" s="456"/>
      <c r="F113" s="456"/>
      <c r="G113" s="456"/>
      <c r="H113" s="459"/>
      <c r="I113" s="459"/>
      <c r="J113" s="7"/>
      <c r="K113" s="456"/>
      <c r="N113" s="456"/>
      <c r="O113" s="456"/>
      <c r="P113" s="456"/>
      <c r="Q113" s="456"/>
      <c r="R113" s="456"/>
      <c r="S113" s="456"/>
      <c r="T113" s="456"/>
      <c r="U113" s="456"/>
      <c r="V113" s="456"/>
      <c r="W113" s="456"/>
      <c r="X113" s="456"/>
      <c r="Y113" s="456"/>
      <c r="Z113" s="456"/>
      <c r="AA113" s="456"/>
      <c r="AB113" s="456"/>
      <c r="AC113" s="456"/>
      <c r="AD113" s="456"/>
      <c r="AE113" s="456"/>
      <c r="AF113" s="456"/>
      <c r="AG113" s="577"/>
      <c r="AI113" s="456"/>
      <c r="AJ113" s="456"/>
      <c r="AK113" s="456"/>
      <c r="AL113" s="456"/>
      <c r="AM113" s="456"/>
      <c r="AN113" s="456"/>
      <c r="AO113" s="456"/>
      <c r="AP113" s="456"/>
      <c r="AQ113" s="577"/>
      <c r="AS113" s="456"/>
      <c r="AT113" s="456"/>
      <c r="AU113" s="456"/>
      <c r="AV113" s="456"/>
      <c r="AW113" s="456"/>
      <c r="AX113" s="456"/>
      <c r="AY113" s="456"/>
      <c r="AZ113" s="456"/>
      <c r="BA113" s="456"/>
      <c r="BB113" s="456"/>
      <c r="BC113" s="456"/>
      <c r="BD113" s="456"/>
      <c r="BE113" s="456"/>
      <c r="BF113" s="456"/>
      <c r="BG113" s="456"/>
      <c r="BH113" s="456"/>
      <c r="BI113" s="456"/>
      <c r="BJ113" s="577"/>
    </row>
    <row r="114" spans="1:63" s="462" customFormat="1" ht="12" x14ac:dyDescent="0.3">
      <c r="A114" s="468"/>
      <c r="B114" s="469"/>
      <c r="D114" s="2"/>
      <c r="E114" s="456"/>
      <c r="F114" s="456"/>
      <c r="G114" s="456"/>
      <c r="H114" s="459"/>
      <c r="I114" s="459"/>
      <c r="J114" s="7"/>
      <c r="K114" s="456"/>
      <c r="N114" s="456"/>
      <c r="O114" s="456"/>
      <c r="P114" s="456"/>
      <c r="Q114" s="456"/>
      <c r="R114" s="456"/>
      <c r="S114" s="456"/>
      <c r="T114" s="456"/>
      <c r="U114" s="456"/>
      <c r="V114" s="456"/>
      <c r="W114" s="456"/>
      <c r="X114" s="456"/>
      <c r="Y114" s="456"/>
      <c r="Z114" s="456"/>
      <c r="AA114" s="456"/>
      <c r="AB114" s="456"/>
      <c r="AC114" s="456"/>
      <c r="AD114" s="456"/>
      <c r="AE114" s="456"/>
      <c r="AF114" s="456"/>
      <c r="AG114" s="577"/>
      <c r="AI114" s="456"/>
      <c r="AJ114" s="456"/>
      <c r="AK114" s="456"/>
      <c r="AL114" s="456"/>
      <c r="AM114" s="456"/>
      <c r="AN114" s="456"/>
      <c r="AO114" s="456"/>
      <c r="AP114" s="456"/>
      <c r="AQ114" s="577"/>
      <c r="AS114" s="456"/>
      <c r="AT114" s="456"/>
      <c r="AU114" s="456"/>
      <c r="AV114" s="456"/>
      <c r="AW114" s="456"/>
      <c r="AX114" s="456"/>
      <c r="AY114" s="456"/>
      <c r="AZ114" s="456"/>
      <c r="BA114" s="456"/>
      <c r="BB114" s="456"/>
      <c r="BC114" s="456"/>
      <c r="BD114" s="456"/>
      <c r="BE114" s="456"/>
      <c r="BF114" s="456"/>
      <c r="BG114" s="456"/>
      <c r="BH114" s="456"/>
      <c r="BI114" s="456"/>
      <c r="BJ114" s="577"/>
    </row>
    <row r="115" spans="1:63" s="462" customFormat="1" ht="12" x14ac:dyDescent="0.3">
      <c r="A115" s="468"/>
      <c r="B115" s="469"/>
      <c r="D115" s="2"/>
      <c r="E115" s="456"/>
      <c r="F115" s="456"/>
      <c r="G115" s="456"/>
      <c r="H115" s="459"/>
      <c r="I115" s="459"/>
      <c r="J115" s="7"/>
      <c r="K115" s="456"/>
      <c r="N115" s="456"/>
      <c r="O115" s="456"/>
      <c r="P115" s="456"/>
      <c r="Q115" s="456"/>
      <c r="R115" s="456"/>
      <c r="S115" s="456"/>
      <c r="T115" s="456"/>
      <c r="U115" s="456"/>
      <c r="V115" s="456"/>
      <c r="W115" s="456"/>
      <c r="X115" s="456"/>
      <c r="Y115" s="456"/>
      <c r="Z115" s="456"/>
      <c r="AA115" s="456"/>
      <c r="AB115" s="456"/>
      <c r="AC115" s="456"/>
      <c r="AD115" s="456"/>
      <c r="AE115" s="456"/>
      <c r="AF115" s="456"/>
      <c r="AG115" s="577"/>
      <c r="AI115" s="456"/>
      <c r="AJ115" s="456"/>
      <c r="AK115" s="456"/>
      <c r="AL115" s="456"/>
      <c r="AM115" s="456"/>
      <c r="AN115" s="456"/>
      <c r="AO115" s="456"/>
      <c r="AP115" s="456"/>
      <c r="AQ115" s="577"/>
      <c r="AS115" s="456"/>
      <c r="AT115" s="456"/>
      <c r="AU115" s="456"/>
      <c r="AV115" s="456"/>
      <c r="AW115" s="456"/>
      <c r="AX115" s="456"/>
      <c r="AY115" s="456"/>
      <c r="AZ115" s="456"/>
      <c r="BA115" s="456"/>
      <c r="BB115" s="456"/>
      <c r="BC115" s="456"/>
      <c r="BD115" s="456"/>
      <c r="BE115" s="456"/>
      <c r="BF115" s="456"/>
      <c r="BG115" s="456"/>
      <c r="BH115" s="456"/>
      <c r="BI115" s="456"/>
      <c r="BJ115" s="577"/>
    </row>
    <row r="116" spans="1:63" s="462" customFormat="1" ht="12" x14ac:dyDescent="0.3">
      <c r="A116" s="468"/>
      <c r="B116" s="469"/>
      <c r="D116" s="2"/>
      <c r="E116" s="456"/>
      <c r="F116" s="456"/>
      <c r="G116" s="456"/>
      <c r="H116" s="459"/>
      <c r="I116" s="459"/>
      <c r="J116" s="7"/>
      <c r="K116" s="456"/>
      <c r="N116" s="456"/>
      <c r="O116" s="456"/>
      <c r="P116" s="456"/>
      <c r="Q116" s="456"/>
      <c r="R116" s="456"/>
      <c r="S116" s="456"/>
      <c r="T116" s="456"/>
      <c r="U116" s="456"/>
      <c r="V116" s="456"/>
      <c r="W116" s="456"/>
      <c r="X116" s="456"/>
      <c r="Y116" s="456"/>
      <c r="Z116" s="456"/>
      <c r="AA116" s="456"/>
      <c r="AB116" s="456"/>
      <c r="AC116" s="456"/>
      <c r="AD116" s="456"/>
      <c r="AE116" s="456"/>
      <c r="AF116" s="456"/>
      <c r="AG116" s="577"/>
      <c r="AI116" s="456"/>
      <c r="AJ116" s="456"/>
      <c r="AK116" s="456"/>
      <c r="AL116" s="456"/>
      <c r="AM116" s="456"/>
      <c r="AN116" s="456"/>
      <c r="AO116" s="456"/>
      <c r="AP116" s="456"/>
      <c r="AQ116" s="577"/>
      <c r="AS116" s="456"/>
      <c r="AT116" s="456"/>
      <c r="AU116" s="456"/>
      <c r="AV116" s="456"/>
      <c r="AW116" s="456"/>
      <c r="AX116" s="456"/>
      <c r="AY116" s="456"/>
      <c r="AZ116" s="456"/>
      <c r="BA116" s="456"/>
      <c r="BB116" s="456"/>
      <c r="BC116" s="456"/>
      <c r="BD116" s="456"/>
      <c r="BE116" s="456"/>
      <c r="BF116" s="456"/>
      <c r="BG116" s="456"/>
      <c r="BH116" s="456"/>
      <c r="BI116" s="456"/>
      <c r="BJ116" s="577"/>
    </row>
    <row r="117" spans="1:63" s="462" customFormat="1" ht="12" x14ac:dyDescent="0.3">
      <c r="A117" s="468"/>
      <c r="B117" s="469"/>
      <c r="D117" s="2"/>
      <c r="E117" s="456"/>
      <c r="F117" s="456"/>
      <c r="G117" s="456"/>
      <c r="H117" s="459"/>
      <c r="I117" s="459"/>
      <c r="J117" s="7"/>
      <c r="K117" s="456"/>
      <c r="N117" s="456"/>
      <c r="O117" s="456"/>
      <c r="P117" s="456"/>
      <c r="Q117" s="456"/>
      <c r="R117" s="456"/>
      <c r="S117" s="456"/>
      <c r="T117" s="456"/>
      <c r="U117" s="456"/>
      <c r="V117" s="456"/>
      <c r="W117" s="456"/>
      <c r="X117" s="456"/>
      <c r="Y117" s="456"/>
      <c r="Z117" s="456"/>
      <c r="AA117" s="456"/>
      <c r="AB117" s="456"/>
      <c r="AC117" s="456"/>
      <c r="AD117" s="456"/>
      <c r="AE117" s="456"/>
      <c r="AF117" s="456"/>
      <c r="AG117" s="577"/>
      <c r="AI117" s="456"/>
      <c r="AJ117" s="456"/>
      <c r="AK117" s="456"/>
      <c r="AL117" s="456"/>
      <c r="AM117" s="456"/>
      <c r="AN117" s="456"/>
      <c r="AO117" s="456"/>
      <c r="AP117" s="456"/>
      <c r="AQ117" s="577"/>
      <c r="AS117" s="456"/>
      <c r="AT117" s="456"/>
      <c r="AU117" s="456"/>
      <c r="AV117" s="456"/>
      <c r="AW117" s="456"/>
      <c r="AX117" s="456"/>
      <c r="AY117" s="456"/>
      <c r="AZ117" s="456"/>
      <c r="BA117" s="456"/>
      <c r="BB117" s="456"/>
      <c r="BC117" s="456"/>
      <c r="BD117" s="456"/>
      <c r="BE117" s="456"/>
      <c r="BF117" s="456"/>
      <c r="BG117" s="456"/>
      <c r="BH117" s="456"/>
      <c r="BI117" s="456"/>
      <c r="BJ117" s="577"/>
    </row>
    <row r="118" spans="1:63" s="462" customFormat="1" ht="12" x14ac:dyDescent="0.3">
      <c r="A118" s="468"/>
      <c r="B118" s="469"/>
      <c r="D118" s="2"/>
      <c r="E118" s="456"/>
      <c r="F118" s="456"/>
      <c r="G118" s="456"/>
      <c r="H118" s="459"/>
      <c r="I118" s="459"/>
      <c r="J118" s="7"/>
      <c r="K118" s="456"/>
      <c r="N118" s="456"/>
      <c r="O118" s="456"/>
      <c r="P118" s="456"/>
      <c r="Q118" s="456"/>
      <c r="R118" s="456"/>
      <c r="S118" s="456"/>
      <c r="T118" s="456"/>
      <c r="U118" s="456"/>
      <c r="V118" s="456"/>
      <c r="W118" s="456"/>
      <c r="X118" s="456"/>
      <c r="Y118" s="456"/>
      <c r="Z118" s="456"/>
      <c r="AA118" s="456"/>
      <c r="AB118" s="456"/>
      <c r="AC118" s="456"/>
      <c r="AD118" s="456"/>
      <c r="AE118" s="456"/>
      <c r="AF118" s="456"/>
      <c r="AG118" s="577"/>
      <c r="AI118" s="456"/>
      <c r="AJ118" s="456"/>
      <c r="AK118" s="456"/>
      <c r="AL118" s="456"/>
      <c r="AM118" s="456"/>
      <c r="AN118" s="456"/>
      <c r="AO118" s="456"/>
      <c r="AP118" s="456"/>
      <c r="AQ118" s="577"/>
      <c r="AS118" s="456"/>
      <c r="AT118" s="456"/>
      <c r="AU118" s="456"/>
      <c r="AV118" s="456"/>
      <c r="AW118" s="456"/>
      <c r="AX118" s="456"/>
      <c r="AY118" s="456"/>
      <c r="AZ118" s="456"/>
      <c r="BA118" s="456"/>
      <c r="BB118" s="456"/>
      <c r="BC118" s="456"/>
      <c r="BD118" s="456"/>
      <c r="BE118" s="456"/>
      <c r="BF118" s="456"/>
      <c r="BG118" s="456"/>
      <c r="BH118" s="456"/>
      <c r="BI118" s="456"/>
      <c r="BJ118" s="577"/>
    </row>
    <row r="119" spans="1:63" s="462" customFormat="1" ht="12" x14ac:dyDescent="0.3">
      <c r="A119" s="468"/>
      <c r="B119" s="469"/>
      <c r="D119" s="2"/>
      <c r="E119" s="456"/>
      <c r="F119" s="456"/>
      <c r="G119" s="456"/>
      <c r="H119" s="459"/>
      <c r="I119" s="459"/>
      <c r="J119" s="7"/>
      <c r="K119" s="456"/>
      <c r="N119" s="456"/>
      <c r="O119" s="456"/>
      <c r="P119" s="456"/>
      <c r="Q119" s="456"/>
      <c r="R119" s="456"/>
      <c r="S119" s="456"/>
      <c r="T119" s="456"/>
      <c r="U119" s="456"/>
      <c r="V119" s="456"/>
      <c r="W119" s="456"/>
      <c r="X119" s="456"/>
      <c r="Y119" s="456"/>
      <c r="Z119" s="456"/>
      <c r="AA119" s="456"/>
      <c r="AB119" s="456"/>
      <c r="AC119" s="456"/>
      <c r="AD119" s="456"/>
      <c r="AE119" s="456"/>
      <c r="AF119" s="456"/>
      <c r="AG119" s="577"/>
      <c r="AI119" s="456"/>
      <c r="AJ119" s="456"/>
      <c r="AK119" s="456"/>
      <c r="AL119" s="456"/>
      <c r="AM119" s="456"/>
      <c r="AN119" s="456"/>
      <c r="AO119" s="456"/>
      <c r="AP119" s="456"/>
      <c r="AQ119" s="577"/>
      <c r="AS119" s="456"/>
      <c r="AT119" s="456"/>
      <c r="AU119" s="456"/>
      <c r="AV119" s="456"/>
      <c r="AW119" s="456"/>
      <c r="AX119" s="456"/>
      <c r="AY119" s="456"/>
      <c r="AZ119" s="456"/>
      <c r="BA119" s="456"/>
      <c r="BB119" s="456"/>
      <c r="BC119" s="456"/>
      <c r="BD119" s="456"/>
      <c r="BE119" s="456"/>
      <c r="BF119" s="456"/>
      <c r="BG119" s="456"/>
      <c r="BH119" s="456"/>
      <c r="BI119" s="456"/>
      <c r="BJ119" s="577"/>
    </row>
    <row r="120" spans="1:63" s="462" customFormat="1" ht="12" x14ac:dyDescent="0.3">
      <c r="A120" s="468"/>
      <c r="B120" s="469"/>
      <c r="D120" s="2"/>
      <c r="E120" s="456"/>
      <c r="F120" s="456"/>
      <c r="G120" s="456"/>
      <c r="H120" s="459"/>
      <c r="I120" s="459"/>
      <c r="J120" s="7"/>
      <c r="K120" s="456"/>
      <c r="N120" s="456"/>
      <c r="O120" s="456"/>
      <c r="P120" s="456"/>
      <c r="Q120" s="456"/>
      <c r="R120" s="456"/>
      <c r="S120" s="456"/>
      <c r="T120" s="456"/>
      <c r="U120" s="456"/>
      <c r="V120" s="456"/>
      <c r="W120" s="456"/>
      <c r="X120" s="456"/>
      <c r="Y120" s="456"/>
      <c r="Z120" s="456"/>
      <c r="AA120" s="456"/>
      <c r="AB120" s="456"/>
      <c r="AC120" s="456"/>
      <c r="AD120" s="456"/>
      <c r="AE120" s="456"/>
      <c r="AF120" s="456"/>
      <c r="AG120" s="577"/>
      <c r="AI120" s="456"/>
      <c r="AJ120" s="456"/>
      <c r="AK120" s="456"/>
      <c r="AL120" s="456"/>
      <c r="AM120" s="456"/>
      <c r="AN120" s="456"/>
      <c r="AO120" s="456"/>
      <c r="AP120" s="456"/>
      <c r="AQ120" s="577"/>
      <c r="AS120" s="456"/>
      <c r="AT120" s="456"/>
      <c r="AU120" s="456"/>
      <c r="AV120" s="456"/>
      <c r="AW120" s="456"/>
      <c r="AX120" s="456"/>
      <c r="AY120" s="456"/>
      <c r="AZ120" s="456"/>
      <c r="BA120" s="456"/>
      <c r="BB120" s="456"/>
      <c r="BC120" s="456"/>
      <c r="BD120" s="456"/>
      <c r="BE120" s="456"/>
      <c r="BF120" s="456"/>
      <c r="BG120" s="456"/>
      <c r="BH120" s="456"/>
      <c r="BI120" s="456"/>
      <c r="BJ120" s="577"/>
    </row>
    <row r="121" spans="1:63" s="462" customFormat="1" ht="12" x14ac:dyDescent="0.3">
      <c r="A121" s="455" t="s">
        <v>583</v>
      </c>
      <c r="B121" s="469"/>
      <c r="D121" s="2"/>
      <c r="E121" s="456"/>
      <c r="F121" s="456"/>
      <c r="G121" s="456"/>
      <c r="H121" s="459"/>
      <c r="I121" s="459"/>
      <c r="J121" s="7"/>
      <c r="K121" s="456"/>
      <c r="N121" s="456"/>
      <c r="O121" s="456"/>
      <c r="P121" s="456"/>
      <c r="Q121" s="456"/>
      <c r="R121" s="456"/>
      <c r="S121" s="456"/>
      <c r="T121" s="456"/>
      <c r="U121" s="456"/>
      <c r="V121" s="456"/>
      <c r="W121" s="456"/>
      <c r="X121" s="456"/>
      <c r="Y121" s="456"/>
      <c r="Z121" s="456"/>
      <c r="AA121" s="456"/>
      <c r="AB121" s="456"/>
      <c r="AC121" s="456"/>
      <c r="AD121" s="456"/>
      <c r="AE121" s="456"/>
      <c r="AF121" s="456"/>
      <c r="AG121" s="577"/>
      <c r="AI121" s="456"/>
      <c r="AJ121" s="456"/>
      <c r="AK121" s="456"/>
      <c r="AL121" s="456"/>
      <c r="AM121" s="456"/>
      <c r="AN121" s="456"/>
      <c r="AO121" s="456"/>
      <c r="AP121" s="456"/>
      <c r="AQ121" s="577"/>
      <c r="AS121" s="456"/>
      <c r="AT121" s="456"/>
      <c r="AU121" s="456"/>
      <c r="AV121" s="456"/>
      <c r="AW121" s="456"/>
      <c r="AX121" s="456"/>
      <c r="AY121" s="456"/>
      <c r="AZ121" s="456"/>
      <c r="BA121" s="456"/>
      <c r="BB121" s="456"/>
      <c r="BC121" s="456"/>
      <c r="BD121" s="456"/>
      <c r="BE121" s="456"/>
      <c r="BF121" s="456"/>
      <c r="BG121" s="456"/>
      <c r="BH121" s="456"/>
      <c r="BI121" s="456"/>
      <c r="BJ121" s="577"/>
    </row>
    <row r="122" spans="1:63" s="462" customFormat="1" ht="93" customHeight="1" x14ac:dyDescent="0.35">
      <c r="A122" s="8352"/>
      <c r="B122" s="455"/>
      <c r="C122" s="456"/>
      <c r="D122" s="2"/>
      <c r="E122" s="456"/>
      <c r="F122" s="456"/>
      <c r="G122" s="456"/>
      <c r="H122" s="459"/>
      <c r="I122" s="459"/>
      <c r="J122" s="7"/>
      <c r="K122" s="456"/>
      <c r="N122" s="456"/>
      <c r="O122" s="456"/>
      <c r="P122" s="456"/>
      <c r="Q122" s="456"/>
      <c r="R122" s="456"/>
      <c r="S122" s="456"/>
      <c r="T122" s="456"/>
      <c r="U122" s="456"/>
      <c r="V122" s="456"/>
      <c r="W122" s="456"/>
      <c r="X122" s="456"/>
      <c r="Y122" s="456"/>
      <c r="Z122" s="456"/>
      <c r="AA122" s="456"/>
      <c r="AB122" s="456"/>
      <c r="AC122" s="456"/>
      <c r="AD122" s="456"/>
      <c r="AE122" s="456"/>
      <c r="AF122" s="456"/>
      <c r="AG122" s="577"/>
      <c r="AI122" s="456"/>
      <c r="AJ122" s="456"/>
      <c r="AK122" s="456"/>
      <c r="AL122" s="456"/>
      <c r="AM122" s="456"/>
      <c r="AN122" s="456"/>
      <c r="AO122" s="456"/>
      <c r="AP122" s="456"/>
      <c r="AQ122" s="577"/>
      <c r="AS122" s="456"/>
      <c r="AT122" s="456"/>
      <c r="AU122" s="456"/>
      <c r="AV122" s="456"/>
      <c r="AW122" s="456"/>
      <c r="AX122" s="456"/>
      <c r="AY122" s="456"/>
      <c r="AZ122" s="456"/>
      <c r="BA122" s="456"/>
      <c r="BB122" s="456"/>
      <c r="BC122" s="456"/>
      <c r="BD122" s="456"/>
      <c r="BE122" s="456"/>
      <c r="BF122" s="456"/>
      <c r="BG122" s="456"/>
      <c r="BH122" s="456"/>
      <c r="BI122" s="456"/>
      <c r="BJ122" s="577"/>
      <c r="BK122"/>
    </row>
    <row r="123" spans="1:63" x14ac:dyDescent="0.35">
      <c r="B123" s="8353"/>
      <c r="C123" s="8353"/>
      <c r="D123" s="8353"/>
      <c r="E123" s="8353"/>
      <c r="F123" s="8353"/>
      <c r="G123" s="8353"/>
      <c r="H123" s="8353"/>
      <c r="I123" s="8353"/>
      <c r="J123" s="8353"/>
      <c r="K123" s="8353"/>
      <c r="L123" s="8353"/>
      <c r="M123" s="8354"/>
      <c r="N123" s="456"/>
      <c r="O123" s="456"/>
      <c r="P123" s="456"/>
      <c r="Q123" s="456"/>
      <c r="S123" s="456"/>
      <c r="T123" s="456"/>
      <c r="U123" s="456"/>
      <c r="V123" s="456"/>
      <c r="W123" s="456"/>
      <c r="X123" s="456"/>
      <c r="Y123" s="456"/>
      <c r="Z123" s="456"/>
      <c r="AB123" s="456"/>
      <c r="AC123" s="456"/>
      <c r="AD123" s="456"/>
      <c r="AE123" s="456"/>
      <c r="AF123" s="456"/>
      <c r="AG123" s="577"/>
      <c r="AH123" s="462"/>
      <c r="AI123" s="456"/>
      <c r="AJ123" s="456"/>
      <c r="AK123" s="456"/>
      <c r="AL123" s="456"/>
      <c r="AM123" s="456"/>
      <c r="AN123" s="456"/>
      <c r="AO123" s="456"/>
      <c r="AP123" s="456"/>
      <c r="AQ123" s="577"/>
      <c r="AR123" s="462"/>
      <c r="AS123" s="456"/>
      <c r="AT123" s="456"/>
      <c r="AU123" s="456"/>
      <c r="AV123" s="456"/>
      <c r="AW123" s="456"/>
      <c r="AX123" s="456"/>
      <c r="AY123" s="456"/>
      <c r="BA123" s="456"/>
      <c r="BB123" s="456"/>
      <c r="BC123" s="456"/>
      <c r="BD123" s="456"/>
      <c r="BE123" s="456"/>
      <c r="BF123" s="456"/>
      <c r="BG123" s="456"/>
      <c r="BH123" s="456"/>
      <c r="BI123" s="456"/>
    </row>
  </sheetData>
  <mergeCells count="60">
    <mergeCell ref="BA36:BC36"/>
    <mergeCell ref="BE36:BG36"/>
    <mergeCell ref="BA7:BC7"/>
    <mergeCell ref="BE7:BG7"/>
    <mergeCell ref="BA10:BB10"/>
    <mergeCell ref="BA34:BB34"/>
    <mergeCell ref="BE34:BG34"/>
    <mergeCell ref="AS7:AU7"/>
    <mergeCell ref="AW7:AY7"/>
    <mergeCell ref="AW34:AY34"/>
    <mergeCell ref="AS36:AU36"/>
    <mergeCell ref="AW36:AY36"/>
    <mergeCell ref="AS1:AY1"/>
    <mergeCell ref="AS4:AU4"/>
    <mergeCell ref="AW4:AY4"/>
    <mergeCell ref="BJ4:BJ5"/>
    <mergeCell ref="AS5:AU5"/>
    <mergeCell ref="AW5:AY5"/>
    <mergeCell ref="BA1:BG1"/>
    <mergeCell ref="BA4:BC4"/>
    <mergeCell ref="BE4:BG4"/>
    <mergeCell ref="BA5:BC5"/>
    <mergeCell ref="BE5:BG5"/>
    <mergeCell ref="F1:M1"/>
    <mergeCell ref="O1:V1"/>
    <mergeCell ref="X1:AE1"/>
    <mergeCell ref="AI1:AO1"/>
    <mergeCell ref="H4:J4"/>
    <mergeCell ref="L4:M4"/>
    <mergeCell ref="O4:R4"/>
    <mergeCell ref="T4:V4"/>
    <mergeCell ref="X4:AA4"/>
    <mergeCell ref="AC4:AE4"/>
    <mergeCell ref="AQ4:AQ5"/>
    <mergeCell ref="H5:J5"/>
    <mergeCell ref="L5:M5"/>
    <mergeCell ref="O5:R5"/>
    <mergeCell ref="T5:V5"/>
    <mergeCell ref="X5:AA5"/>
    <mergeCell ref="AC5:AE5"/>
    <mergeCell ref="AI5:AK5"/>
    <mergeCell ref="AM5:AO5"/>
    <mergeCell ref="AM4:AO4"/>
    <mergeCell ref="AG4:AG5"/>
    <mergeCell ref="AI4:AK4"/>
    <mergeCell ref="A76:A85"/>
    <mergeCell ref="A87:A104"/>
    <mergeCell ref="AM7:AO7"/>
    <mergeCell ref="A10:A32"/>
    <mergeCell ref="O10:P10"/>
    <mergeCell ref="A34:A74"/>
    <mergeCell ref="AM36:AO36"/>
    <mergeCell ref="X7:AA7"/>
    <mergeCell ref="AC7:AE7"/>
    <mergeCell ref="AI7:AK7"/>
    <mergeCell ref="H7:I7"/>
    <mergeCell ref="J7:J8"/>
    <mergeCell ref="L7:M7"/>
    <mergeCell ref="O7:R7"/>
    <mergeCell ref="T7:V7"/>
  </mergeCells>
  <hyperlinks>
    <hyperlink ref="U10" r:id="rId1" xr:uid="{00000000-0004-0000-1900-000000000000}"/>
    <hyperlink ref="Q10" r:id="rId2" xr:uid="{00000000-0004-0000-1900-000001000000}"/>
    <hyperlink ref="Q34" r:id="rId3" xr:uid="{00000000-0004-0000-1900-000002000000}"/>
    <hyperlink ref="AD10" r:id="rId4" xr:uid="{00000000-0004-0000-1900-000003000000}"/>
    <hyperlink ref="Z10" r:id="rId5" display="http://www.finance.gov.mw/" xr:uid="{00000000-0004-0000-1900-000004000000}"/>
    <hyperlink ref="Z34" r:id="rId6" display="http://www.finance.gov.mw/index.php/documents/cat_view/97-budget-documents" xr:uid="{00000000-0004-0000-1900-000005000000}"/>
    <hyperlink ref="AK10" r:id="rId7" xr:uid="{00000000-0004-0000-1900-000006000000}"/>
    <hyperlink ref="AN10" r:id="rId8" xr:uid="{00000000-0004-0000-1900-000007000000}"/>
    <hyperlink ref="BF10" r:id="rId9" xr:uid="{815F6DAE-0A4A-4AC7-92DE-AD1FB2E6190B}"/>
    <hyperlink ref="BC10" r:id="rId10" xr:uid="{E1B56EA3-FAF9-46BD-BBEC-4155D27E5819}"/>
  </hyperlinks>
  <pageMargins left="0.23622047244094491" right="0.23622047244094491" top="0.35433070866141736" bottom="0.35433070866141736" header="0.31496062992125984" footer="0.31496062992125984"/>
  <pageSetup paperSize="9" scale="41" orientation="portrait" horizontalDpi="4294967293" r:id="rId11"/>
  <headerFooter>
    <oddFooter>&amp;R&amp;1#&amp;"Calibri"&amp;12&amp;K000000Official Use</oddFooter>
  </headerFooter>
  <legacyDrawing r:id="rId1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O133"/>
  <sheetViews>
    <sheetView topLeftCell="A20" zoomScale="72" zoomScaleNormal="80" workbookViewId="0">
      <pane xSplit="4" topLeftCell="Y1" activePane="topRight" state="frozen"/>
      <selection pane="topRight" activeCell="Y23" sqref="Y23"/>
    </sheetView>
  </sheetViews>
  <sheetFormatPr defaultColWidth="9" defaultRowHeight="14.5" x14ac:dyDescent="0.35"/>
  <cols>
    <col min="1" max="1" width="6.6328125" customWidth="1"/>
    <col min="2" max="2" width="19.453125" customWidth="1"/>
    <col min="3" max="3" width="37.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6" width="21.6328125" customWidth="1"/>
    <col min="17" max="17" width="2" customWidth="1"/>
    <col min="18" max="18" width="20.1796875" customWidth="1"/>
    <col min="19" max="19" width="19.6328125" customWidth="1"/>
    <col min="20" max="20" width="22.36328125" customWidth="1"/>
    <col min="21" max="21" width="7.453125" customWidth="1"/>
    <col min="22" max="22" width="1.453125" customWidth="1"/>
    <col min="23" max="23" width="21" customWidth="1"/>
    <col min="24" max="24" width="16" customWidth="1"/>
    <col min="25" max="25" width="21" customWidth="1"/>
    <col min="26" max="26" width="1.6328125" style="1" customWidth="1"/>
    <col min="27" max="27" width="20.1796875" customWidth="1"/>
    <col min="28" max="28" width="19.6328125" customWidth="1"/>
    <col min="29" max="29" width="12.453125" customWidth="1"/>
    <col min="30" max="30" width="7.453125" customWidth="1"/>
    <col min="31" max="31" width="1.453125" customWidth="1"/>
    <col min="32" max="32" width="21" customWidth="1"/>
    <col min="33" max="33" width="7.36328125" customWidth="1"/>
    <col min="34" max="34" width="21" customWidth="1"/>
    <col min="35" max="35" width="2.1796875" style="1" customWidth="1"/>
    <col min="36" max="36" width="10.36328125" customWidth="1"/>
    <col min="37" max="37" width="2.36328125" customWidth="1"/>
    <col min="38" max="38" width="21" customWidth="1"/>
    <col min="39" max="39" width="24" customWidth="1"/>
    <col min="40" max="40" width="16.453125" customWidth="1"/>
    <col min="41" max="42" width="3.453125" customWidth="1"/>
    <col min="43" max="44" width="21" customWidth="1"/>
    <col min="45" max="45" width="48.36328125" bestFit="1" customWidth="1"/>
    <col min="46" max="46" width="1.453125" customWidth="1"/>
    <col min="47" max="47" width="2.453125" customWidth="1"/>
    <col min="48" max="48" width="37.453125" style="1" customWidth="1"/>
    <col min="49" max="49" width="21.453125" customWidth="1"/>
    <col min="50" max="50" width="24" bestFit="1" customWidth="1"/>
    <col min="51" max="51" width="21.453125" customWidth="1"/>
    <col min="52" max="52" width="10.1796875" customWidth="1"/>
    <col min="53" max="53" width="3.453125" customWidth="1"/>
    <col min="54" max="54" width="25" customWidth="1"/>
    <col min="55" max="55" width="21" customWidth="1"/>
    <col min="56" max="56" width="24.6328125" customWidth="1"/>
    <col min="57" max="57" width="2.1796875" customWidth="1"/>
    <col min="59" max="59" width="37.453125" style="1" customWidth="1"/>
    <col min="60" max="60" width="25.1796875" customWidth="1"/>
    <col min="61" max="62" width="21.453125" customWidth="1"/>
    <col min="63" max="63" width="10.1796875" customWidth="1"/>
    <col min="64" max="64" width="3.453125" customWidth="1"/>
    <col min="65" max="65" width="25" customWidth="1"/>
    <col min="66" max="66" width="21" customWidth="1"/>
    <col min="67" max="67" width="24.6328125" customWidth="1"/>
  </cols>
  <sheetData>
    <row r="1" spans="1:67" ht="31" x14ac:dyDescent="0.7">
      <c r="F1" s="9118" t="s">
        <v>823</v>
      </c>
      <c r="G1" s="9119"/>
      <c r="H1" s="9119"/>
      <c r="I1" s="9119"/>
      <c r="J1" s="9119"/>
      <c r="K1" s="9119"/>
      <c r="L1" s="9119"/>
      <c r="M1" s="9119"/>
      <c r="N1" s="9119"/>
      <c r="O1" s="9119"/>
      <c r="P1" s="9120"/>
      <c r="R1" s="9121" t="s">
        <v>824</v>
      </c>
      <c r="S1" s="9122"/>
      <c r="T1" s="9122"/>
      <c r="U1" s="9122"/>
      <c r="V1" s="9122"/>
      <c r="W1" s="9122"/>
      <c r="X1" s="9122"/>
      <c r="Y1" s="9122"/>
      <c r="Z1"/>
      <c r="AA1" s="9207" t="s">
        <v>825</v>
      </c>
      <c r="AB1" s="9208"/>
      <c r="AC1" s="9208"/>
      <c r="AD1" s="9208"/>
      <c r="AE1" s="9208"/>
      <c r="AF1" s="9208"/>
      <c r="AG1" s="9208"/>
      <c r="AH1" s="9208"/>
      <c r="AI1"/>
      <c r="AL1" s="9453" t="s">
        <v>826</v>
      </c>
      <c r="AM1" s="9454"/>
      <c r="AN1" s="9454"/>
      <c r="AO1" s="9454"/>
      <c r="AP1" s="9454"/>
      <c r="AQ1" s="9454"/>
      <c r="AR1" s="9454"/>
      <c r="AS1" s="9454"/>
      <c r="AW1" s="9453" t="s">
        <v>827</v>
      </c>
      <c r="AX1" s="9454"/>
      <c r="AY1" s="9454"/>
      <c r="AZ1" s="9454"/>
      <c r="BA1" s="9454"/>
      <c r="BB1" s="9454"/>
      <c r="BC1" s="9454"/>
      <c r="BD1" s="9454"/>
      <c r="BH1" s="9453" t="s">
        <v>828</v>
      </c>
      <c r="BI1" s="9454"/>
      <c r="BJ1" s="9454"/>
      <c r="BK1" s="9454"/>
      <c r="BL1" s="9454"/>
      <c r="BM1" s="9454"/>
      <c r="BN1" s="9454"/>
      <c r="BO1" s="9454"/>
    </row>
    <row r="2" spans="1:67" ht="21" x14ac:dyDescent="0.5">
      <c r="B2" s="1" t="s">
        <v>829</v>
      </c>
      <c r="C2" s="4" t="s">
        <v>51</v>
      </c>
      <c r="H2"/>
      <c r="AT2" s="1"/>
      <c r="AV2" s="4" t="s">
        <v>51</v>
      </c>
      <c r="BG2" s="4" t="s">
        <v>51</v>
      </c>
    </row>
    <row r="3" spans="1:67" x14ac:dyDescent="0.35">
      <c r="AT3" s="1"/>
    </row>
    <row r="4" spans="1:67" s="8" customFormat="1" ht="15.25" customHeight="1" x14ac:dyDescent="0.35">
      <c r="D4" s="471"/>
      <c r="F4" s="8326" t="s">
        <v>830</v>
      </c>
      <c r="H4" s="9130" t="s">
        <v>831</v>
      </c>
      <c r="I4" s="9131"/>
      <c r="J4" s="9132"/>
      <c r="L4" s="9130" t="s">
        <v>3661</v>
      </c>
      <c r="M4" s="9132"/>
      <c r="O4" s="9130" t="s">
        <v>832</v>
      </c>
      <c r="P4" s="9132"/>
      <c r="R4" s="9333" t="s">
        <v>3662</v>
      </c>
      <c r="S4" s="9333"/>
      <c r="T4" s="9333"/>
      <c r="U4" s="9333"/>
      <c r="W4" s="9333" t="s">
        <v>832</v>
      </c>
      <c r="X4" s="9333"/>
      <c r="Y4" s="9333"/>
      <c r="AA4" s="9333" t="s">
        <v>3662</v>
      </c>
      <c r="AB4" s="9333"/>
      <c r="AC4" s="9333"/>
      <c r="AD4" s="9333"/>
      <c r="AF4" s="9333" t="s">
        <v>832</v>
      </c>
      <c r="AG4" s="9333"/>
      <c r="AH4" s="9333"/>
      <c r="AJ4" s="9180" t="s">
        <v>404</v>
      </c>
      <c r="AL4" s="9333" t="s">
        <v>3662</v>
      </c>
      <c r="AM4" s="9333"/>
      <c r="AN4" s="9333"/>
      <c r="AO4" s="9333"/>
      <c r="AQ4" s="9333" t="s">
        <v>832</v>
      </c>
      <c r="AR4" s="9333"/>
      <c r="AS4" s="9333"/>
      <c r="AU4" s="9180" t="s">
        <v>404</v>
      </c>
      <c r="AW4" s="9333" t="s">
        <v>3662</v>
      </c>
      <c r="AX4" s="9333"/>
      <c r="AY4" s="9333"/>
      <c r="AZ4" s="9333"/>
      <c r="BB4" s="9333" t="s">
        <v>832</v>
      </c>
      <c r="BC4" s="9333"/>
      <c r="BD4" s="9333"/>
      <c r="BF4" s="9180" t="s">
        <v>404</v>
      </c>
      <c r="BH4" s="9333" t="s">
        <v>3662</v>
      </c>
      <c r="BI4" s="9333"/>
      <c r="BJ4" s="9333"/>
      <c r="BK4" s="9333"/>
      <c r="BM4" s="9333" t="s">
        <v>832</v>
      </c>
      <c r="BN4" s="9333"/>
      <c r="BO4" s="9333"/>
    </row>
    <row r="5" spans="1:67" x14ac:dyDescent="0.35">
      <c r="B5" s="1" t="s">
        <v>835</v>
      </c>
      <c r="C5" s="11">
        <v>2006</v>
      </c>
      <c r="F5" s="8324">
        <v>2011</v>
      </c>
      <c r="G5" s="12"/>
      <c r="H5" s="9138">
        <v>2013</v>
      </c>
      <c r="I5" s="9139"/>
      <c r="J5" s="9140"/>
      <c r="K5" s="12"/>
      <c r="L5" s="9138">
        <v>2014</v>
      </c>
      <c r="M5" s="9140"/>
      <c r="O5" s="9138">
        <v>2015</v>
      </c>
      <c r="P5" s="9140"/>
      <c r="Q5" s="7678"/>
      <c r="R5" s="9234">
        <v>2015</v>
      </c>
      <c r="S5" s="9234"/>
      <c r="T5" s="9234"/>
      <c r="U5" s="9234"/>
      <c r="V5" s="7678"/>
      <c r="W5" s="9234">
        <v>2016</v>
      </c>
      <c r="X5" s="9234"/>
      <c r="Y5" s="9234"/>
      <c r="AA5" s="9234">
        <v>2016</v>
      </c>
      <c r="AB5" s="9234"/>
      <c r="AC5" s="9234"/>
      <c r="AD5" s="9234"/>
      <c r="AE5" s="7678"/>
      <c r="AF5" s="9234">
        <v>2017</v>
      </c>
      <c r="AG5" s="9234"/>
      <c r="AH5" s="9234"/>
      <c r="AJ5" s="9181"/>
      <c r="AL5" s="9234">
        <v>2017</v>
      </c>
      <c r="AM5" s="9234"/>
      <c r="AN5" s="9234"/>
      <c r="AO5" s="9234"/>
      <c r="AP5" s="7678"/>
      <c r="AQ5" s="9234">
        <v>2018</v>
      </c>
      <c r="AR5" s="9234"/>
      <c r="AS5" s="9234"/>
      <c r="AT5" s="1"/>
      <c r="AU5" s="9181"/>
      <c r="AV5" s="11">
        <v>2006</v>
      </c>
      <c r="AW5" s="9234">
        <v>2018</v>
      </c>
      <c r="AX5" s="9234"/>
      <c r="AY5" s="9234"/>
      <c r="AZ5" s="9234"/>
      <c r="BA5" s="7678"/>
      <c r="BB5" s="9234">
        <v>2019</v>
      </c>
      <c r="BC5" s="9234"/>
      <c r="BD5" s="9234"/>
      <c r="BF5" s="9181"/>
      <c r="BG5" s="11"/>
      <c r="BH5" s="9234">
        <v>2019</v>
      </c>
      <c r="BI5" s="9234"/>
      <c r="BJ5" s="9234"/>
      <c r="BK5" s="9234"/>
      <c r="BL5" s="7678"/>
      <c r="BM5" s="9234">
        <v>2020</v>
      </c>
      <c r="BN5" s="9234"/>
      <c r="BO5" s="9234"/>
    </row>
    <row r="6" spans="1:67" x14ac:dyDescent="0.35">
      <c r="C6"/>
      <c r="F6" s="6"/>
      <c r="L6" s="14"/>
      <c r="O6" s="14"/>
      <c r="AJ6" s="6"/>
      <c r="AT6" s="1"/>
      <c r="AU6" s="6"/>
      <c r="AV6"/>
      <c r="BF6" s="6"/>
      <c r="BG6"/>
    </row>
    <row r="7" spans="1:67" ht="12.75" customHeight="1" x14ac:dyDescent="0.35">
      <c r="B7" s="1" t="s">
        <v>836</v>
      </c>
      <c r="C7" s="15" t="s">
        <v>3663</v>
      </c>
      <c r="D7" s="5" t="s">
        <v>417</v>
      </c>
      <c r="F7" s="8322" t="s">
        <v>837</v>
      </c>
      <c r="H7" s="9173" t="s">
        <v>837</v>
      </c>
      <c r="I7" s="9173"/>
      <c r="J7" s="9147" t="s">
        <v>839</v>
      </c>
      <c r="L7" s="9149" t="s">
        <v>837</v>
      </c>
      <c r="M7" s="9151"/>
      <c r="O7" s="9149" t="s">
        <v>837</v>
      </c>
      <c r="P7" s="9151"/>
      <c r="Q7" s="5157"/>
      <c r="R7" s="9232" t="s">
        <v>837</v>
      </c>
      <c r="S7" s="9232"/>
      <c r="T7" s="9232"/>
      <c r="U7" s="9232"/>
      <c r="V7" s="5157"/>
      <c r="W7" s="9232" t="s">
        <v>837</v>
      </c>
      <c r="X7" s="9232"/>
      <c r="Y7" s="9232"/>
      <c r="AA7" s="9232" t="s">
        <v>837</v>
      </c>
      <c r="AB7" s="9232"/>
      <c r="AC7" s="9232"/>
      <c r="AD7" s="9232"/>
      <c r="AE7" s="5157"/>
      <c r="AF7" s="9232" t="s">
        <v>837</v>
      </c>
      <c r="AG7" s="9232"/>
      <c r="AH7" s="9232"/>
      <c r="AJ7" s="18"/>
      <c r="AL7" s="9232" t="s">
        <v>837</v>
      </c>
      <c r="AM7" s="9232"/>
      <c r="AN7" s="9232"/>
      <c r="AO7" s="9232"/>
      <c r="AP7" s="5157"/>
      <c r="AQ7" s="9232" t="s">
        <v>837</v>
      </c>
      <c r="AR7" s="9232"/>
      <c r="AS7" s="9232"/>
      <c r="AT7" s="1"/>
      <c r="AU7" s="18"/>
      <c r="AV7" s="15" t="s">
        <v>3663</v>
      </c>
      <c r="AW7" s="9232" t="s">
        <v>837</v>
      </c>
      <c r="AX7" s="9232"/>
      <c r="AY7" s="9232"/>
      <c r="AZ7" s="9232"/>
      <c r="BA7" s="5157"/>
      <c r="BB7" s="9232" t="s">
        <v>837</v>
      </c>
      <c r="BC7" s="9232"/>
      <c r="BD7" s="9232"/>
      <c r="BF7" s="18"/>
      <c r="BG7" s="15" t="s">
        <v>3663</v>
      </c>
      <c r="BH7" s="9232" t="s">
        <v>837</v>
      </c>
      <c r="BI7" s="9232"/>
      <c r="BJ7" s="9232"/>
      <c r="BK7" s="9232"/>
      <c r="BL7" s="5157"/>
      <c r="BM7" s="9232" t="s">
        <v>837</v>
      </c>
      <c r="BN7" s="9232"/>
      <c r="BO7" s="9232"/>
    </row>
    <row r="8" spans="1:67" ht="58" x14ac:dyDescent="0.35">
      <c r="B8" s="1" t="s">
        <v>841</v>
      </c>
      <c r="C8" s="19" t="s">
        <v>1121</v>
      </c>
      <c r="F8" s="20" t="s">
        <v>843</v>
      </c>
      <c r="H8" s="21" t="s">
        <v>844</v>
      </c>
      <c r="I8" s="20" t="s">
        <v>843</v>
      </c>
      <c r="J8" s="9148"/>
      <c r="L8" s="21" t="s">
        <v>844</v>
      </c>
      <c r="M8" s="20" t="s">
        <v>843</v>
      </c>
      <c r="O8" s="21" t="s">
        <v>844</v>
      </c>
      <c r="P8" s="20" t="s">
        <v>843</v>
      </c>
      <c r="Q8" s="6"/>
      <c r="R8" s="22" t="s">
        <v>424</v>
      </c>
      <c r="S8" s="22" t="s">
        <v>845</v>
      </c>
      <c r="T8" s="22" t="s">
        <v>3664</v>
      </c>
      <c r="U8" s="20" t="s">
        <v>3665</v>
      </c>
      <c r="V8" s="6"/>
      <c r="W8" s="1987" t="s">
        <v>424</v>
      </c>
      <c r="X8" s="1987" t="s">
        <v>846</v>
      </c>
      <c r="Y8" s="1987" t="s">
        <v>1373</v>
      </c>
      <c r="AA8" s="22" t="s">
        <v>424</v>
      </c>
      <c r="AB8" s="22" t="s">
        <v>1373</v>
      </c>
      <c r="AC8" s="22" t="s">
        <v>846</v>
      </c>
      <c r="AD8" s="6" t="s">
        <v>3665</v>
      </c>
      <c r="AE8" s="6"/>
      <c r="AF8" s="1987" t="s">
        <v>424</v>
      </c>
      <c r="AG8" s="1987" t="s">
        <v>846</v>
      </c>
      <c r="AH8" s="1987" t="s">
        <v>1373</v>
      </c>
      <c r="AJ8" s="24"/>
      <c r="AL8" s="22" t="s">
        <v>424</v>
      </c>
      <c r="AM8" s="22" t="s">
        <v>1373</v>
      </c>
      <c r="AN8" s="22" t="s">
        <v>846</v>
      </c>
      <c r="AO8" s="6" t="s">
        <v>3665</v>
      </c>
      <c r="AP8" s="6"/>
      <c r="AQ8" s="1987" t="s">
        <v>424</v>
      </c>
      <c r="AR8" s="1987" t="s">
        <v>846</v>
      </c>
      <c r="AS8" s="1987" t="s">
        <v>1373</v>
      </c>
      <c r="AT8" s="1"/>
      <c r="AU8" s="24"/>
      <c r="AV8" s="19" t="s">
        <v>1121</v>
      </c>
      <c r="AW8" s="21" t="s">
        <v>424</v>
      </c>
      <c r="AX8" s="1987" t="s">
        <v>1373</v>
      </c>
      <c r="AY8" s="1987" t="s">
        <v>846</v>
      </c>
      <c r="AZ8" s="7211" t="s">
        <v>3665</v>
      </c>
      <c r="BA8" s="6"/>
      <c r="BB8" s="1987" t="s">
        <v>424</v>
      </c>
      <c r="BC8" s="1987" t="s">
        <v>846</v>
      </c>
      <c r="BD8" s="1987" t="s">
        <v>1373</v>
      </c>
      <c r="BF8" s="24"/>
      <c r="BG8" s="19" t="s">
        <v>1121</v>
      </c>
      <c r="BH8" s="21" t="s">
        <v>424</v>
      </c>
      <c r="BI8" s="1987" t="s">
        <v>1373</v>
      </c>
      <c r="BJ8" s="1987" t="s">
        <v>846</v>
      </c>
      <c r="BK8" s="7211" t="s">
        <v>3665</v>
      </c>
      <c r="BL8" s="6"/>
      <c r="BM8" s="1987" t="s">
        <v>424</v>
      </c>
      <c r="BN8" s="1987" t="s">
        <v>846</v>
      </c>
      <c r="BO8" s="1987" t="s">
        <v>1373</v>
      </c>
    </row>
    <row r="9" spans="1:67" ht="29" x14ac:dyDescent="0.35">
      <c r="C9"/>
      <c r="E9"/>
      <c r="F9"/>
      <c r="G9"/>
      <c r="H9"/>
      <c r="I9"/>
      <c r="J9" s="25"/>
      <c r="K9"/>
      <c r="N9"/>
      <c r="Z9"/>
      <c r="AI9"/>
      <c r="AQ9" s="652" t="s">
        <v>3666</v>
      </c>
      <c r="AS9" s="652" t="s">
        <v>3667</v>
      </c>
      <c r="AV9"/>
      <c r="BB9" s="3220" t="s">
        <v>3666</v>
      </c>
      <c r="BD9" s="3220" t="s">
        <v>3667</v>
      </c>
      <c r="BG9"/>
      <c r="BM9" s="3220" t="s">
        <v>3666</v>
      </c>
      <c r="BO9" s="3220" t="s">
        <v>3667</v>
      </c>
    </row>
    <row r="10" spans="1:67" ht="33.25" customHeight="1" x14ac:dyDescent="0.35">
      <c r="A10" s="9167" t="s">
        <v>854</v>
      </c>
      <c r="B10" s="27"/>
      <c r="C10" s="28" t="s">
        <v>427</v>
      </c>
      <c r="D10" s="29" t="s">
        <v>428</v>
      </c>
      <c r="E10" s="30"/>
      <c r="F10" s="31" t="s">
        <v>1126</v>
      </c>
      <c r="G10"/>
      <c r="H10" s="31" t="s">
        <v>1126</v>
      </c>
      <c r="I10" s="31" t="s">
        <v>1126</v>
      </c>
      <c r="J10" s="32"/>
      <c r="K10" s="33"/>
      <c r="L10" s="31" t="s">
        <v>3668</v>
      </c>
      <c r="M10" s="34" t="s">
        <v>857</v>
      </c>
      <c r="N10" s="33"/>
      <c r="O10" s="31" t="s">
        <v>3668</v>
      </c>
      <c r="P10" s="34" t="s">
        <v>857</v>
      </c>
      <c r="Q10" s="1541"/>
      <c r="R10" s="9155" t="s">
        <v>3669</v>
      </c>
      <c r="S10" s="9156"/>
      <c r="T10" s="34"/>
      <c r="U10" s="5158"/>
      <c r="V10" s="1541"/>
      <c r="W10" s="36" t="s">
        <v>3670</v>
      </c>
      <c r="X10" s="3936"/>
      <c r="Y10" s="36" t="s">
        <v>3670</v>
      </c>
      <c r="Z10" s="33"/>
      <c r="AA10" s="850" t="s">
        <v>3670</v>
      </c>
      <c r="AB10" s="3651" t="s">
        <v>3670</v>
      </c>
      <c r="AC10" s="5159" t="s">
        <v>3671</v>
      </c>
      <c r="AD10" s="32"/>
      <c r="AE10" s="1541"/>
      <c r="AF10" s="31" t="s">
        <v>3672</v>
      </c>
      <c r="AG10" s="1541"/>
      <c r="AH10" s="31" t="s">
        <v>3670</v>
      </c>
      <c r="AI10" s="33"/>
      <c r="AJ10" s="39"/>
      <c r="AL10" s="850" t="s">
        <v>3672</v>
      </c>
      <c r="AM10" s="3651" t="s">
        <v>3672</v>
      </c>
      <c r="AN10" s="581" t="s">
        <v>3671</v>
      </c>
      <c r="AO10" s="32"/>
      <c r="AP10" s="1541"/>
      <c r="AQ10" s="31" t="s">
        <v>3673</v>
      </c>
      <c r="AR10" s="1541"/>
      <c r="AS10" s="31" t="s">
        <v>3673</v>
      </c>
      <c r="AT10" s="33"/>
      <c r="AU10" s="39"/>
      <c r="AV10" s="28" t="s">
        <v>427</v>
      </c>
      <c r="AW10" s="850" t="s">
        <v>3673</v>
      </c>
      <c r="AX10" s="3651" t="s">
        <v>3673</v>
      </c>
      <c r="AY10" s="473" t="s">
        <v>3671</v>
      </c>
      <c r="AZ10" s="32"/>
      <c r="BA10" s="1541"/>
      <c r="BB10" s="31" t="s">
        <v>3674</v>
      </c>
      <c r="BC10" s="1541"/>
      <c r="BD10" s="31" t="s">
        <v>3674</v>
      </c>
      <c r="BF10" s="39"/>
      <c r="BG10" s="28" t="s">
        <v>427</v>
      </c>
      <c r="BH10" s="850" t="s">
        <v>3674</v>
      </c>
      <c r="BI10" s="850" t="s">
        <v>3674</v>
      </c>
      <c r="BJ10" s="581" t="s">
        <v>3671</v>
      </c>
      <c r="BK10" s="32"/>
      <c r="BL10" s="1541"/>
      <c r="BM10" s="31" t="s">
        <v>3675</v>
      </c>
      <c r="BN10" s="1541"/>
      <c r="BO10" s="31" t="s">
        <v>3675</v>
      </c>
    </row>
    <row r="11" spans="1:67" ht="12.75" customHeight="1" x14ac:dyDescent="0.35">
      <c r="A11" s="9168"/>
      <c r="B11" s="5160" t="s">
        <v>870</v>
      </c>
      <c r="C11" s="5161"/>
      <c r="D11" s="42"/>
      <c r="E11" s="43"/>
      <c r="F11" s="5162"/>
      <c r="G11"/>
      <c r="H11" s="5163"/>
      <c r="I11" s="5164"/>
      <c r="J11" s="47"/>
      <c r="K11" s="48"/>
      <c r="L11" s="5165"/>
      <c r="M11" s="49"/>
      <c r="N11" s="50"/>
      <c r="O11" s="5165"/>
      <c r="P11" s="49"/>
      <c r="R11" s="5165"/>
      <c r="S11" s="5164"/>
      <c r="T11" s="348"/>
      <c r="U11" s="49"/>
      <c r="W11" s="5166"/>
      <c r="X11" s="5167"/>
      <c r="Y11" s="5168"/>
      <c r="Z11" s="43"/>
      <c r="AA11" s="5169" t="s">
        <v>3676</v>
      </c>
      <c r="AB11" s="5170" t="s">
        <v>3677</v>
      </c>
      <c r="AC11" s="5171"/>
      <c r="AD11" s="5172"/>
      <c r="AE11" s="1114"/>
      <c r="AF11" s="5169" t="s">
        <v>3676</v>
      </c>
      <c r="AG11" s="5171"/>
      <c r="AH11" s="5173" t="s">
        <v>3678</v>
      </c>
      <c r="AI11" s="50"/>
      <c r="AJ11" s="18"/>
      <c r="AL11" s="5169" t="s">
        <v>3676</v>
      </c>
      <c r="AM11" s="5170" t="s">
        <v>3679</v>
      </c>
      <c r="AN11" s="5171"/>
      <c r="AO11" s="5172"/>
      <c r="AP11" s="1114"/>
      <c r="AQ11" s="5169" t="s">
        <v>3676</v>
      </c>
      <c r="AR11" s="5171"/>
      <c r="AS11" s="5173" t="s">
        <v>3678</v>
      </c>
      <c r="AT11" s="50"/>
      <c r="AU11" s="18"/>
      <c r="AV11" s="5161"/>
      <c r="AW11" s="5169" t="s">
        <v>3676</v>
      </c>
      <c r="AX11" s="5170" t="s">
        <v>3680</v>
      </c>
      <c r="AY11" s="5171"/>
      <c r="AZ11" s="5172"/>
      <c r="BA11" s="1114"/>
      <c r="BB11" s="5169" t="s">
        <v>3676</v>
      </c>
      <c r="BC11" s="5171"/>
      <c r="BD11" s="5173" t="s">
        <v>3681</v>
      </c>
      <c r="BF11" s="18"/>
      <c r="BG11" s="5161"/>
      <c r="BH11" s="5169" t="s">
        <v>3676</v>
      </c>
      <c r="BI11" s="5170" t="s">
        <v>3680</v>
      </c>
      <c r="BJ11" s="5171"/>
      <c r="BK11" s="5172"/>
      <c r="BL11" s="1114"/>
      <c r="BM11" s="5169" t="s">
        <v>3676</v>
      </c>
      <c r="BN11" s="5171"/>
      <c r="BO11" s="5173" t="s">
        <v>3681</v>
      </c>
    </row>
    <row r="12" spans="1:67" x14ac:dyDescent="0.35">
      <c r="A12" s="9168"/>
      <c r="B12" s="4771"/>
      <c r="C12" s="4772" t="s">
        <v>872</v>
      </c>
      <c r="D12" s="60"/>
      <c r="F12" s="4819"/>
      <c r="G12"/>
      <c r="H12" s="4820">
        <v>1117857026000</v>
      </c>
      <c r="I12" s="4821">
        <v>1039338255969</v>
      </c>
      <c r="J12" s="64">
        <f>IF(H12=0,0,I12/H12)</f>
        <v>0.92975955940272459</v>
      </c>
      <c r="K12" s="65"/>
      <c r="L12" s="4820">
        <v>999049834000</v>
      </c>
      <c r="M12" s="66">
        <f>L12*J12</f>
        <v>928876133481.2052</v>
      </c>
      <c r="N12" s="67"/>
      <c r="O12" s="4820">
        <v>1102402428000</v>
      </c>
      <c r="P12" s="66">
        <f>O12*J12</f>
        <v>1024969195741.7738</v>
      </c>
      <c r="Q12" s="106"/>
      <c r="R12" s="5174">
        <v>1156277000000</v>
      </c>
      <c r="S12" s="5175">
        <v>1237626000000</v>
      </c>
      <c r="T12" s="106" t="s">
        <v>1327</v>
      </c>
      <c r="U12" s="66"/>
      <c r="V12" s="106"/>
      <c r="W12" s="5174">
        <v>1357115000000</v>
      </c>
      <c r="X12" s="259" t="s">
        <v>1327</v>
      </c>
      <c r="Y12" s="5176">
        <v>1368201000000</v>
      </c>
      <c r="AA12" s="4820">
        <v>1357115000000</v>
      </c>
      <c r="AB12" s="4821">
        <v>1368201000000</v>
      </c>
      <c r="AC12" s="106" t="s">
        <v>3682</v>
      </c>
      <c r="AD12" s="66"/>
      <c r="AE12" s="106"/>
      <c r="AF12" s="4820">
        <f>1600810000000+17845000000</f>
        <v>1618655000000</v>
      </c>
      <c r="AG12" s="106" t="s">
        <v>3683</v>
      </c>
      <c r="AH12" s="5177">
        <v>1579302000000</v>
      </c>
      <c r="AI12" s="67"/>
      <c r="AJ12" s="26"/>
      <c r="AL12" s="5178">
        <v>1618655000000</v>
      </c>
      <c r="AM12" s="5179">
        <v>1579302000000</v>
      </c>
      <c r="AN12" s="106" t="s">
        <v>3683</v>
      </c>
      <c r="AO12" s="66"/>
      <c r="AP12" s="106"/>
      <c r="AQ12" s="3043">
        <f>1834498624000</f>
        <v>1834498624000</v>
      </c>
      <c r="AR12" s="313" t="s">
        <v>3684</v>
      </c>
      <c r="AS12" s="5180">
        <f>1258.205*1000000000</f>
        <v>1258205000000</v>
      </c>
      <c r="AT12" s="67"/>
      <c r="AU12" s="26"/>
      <c r="AV12" s="4772" t="s">
        <v>872</v>
      </c>
      <c r="AW12" s="117">
        <f>1741649000000+18995000000</f>
        <v>1760644000000</v>
      </c>
      <c r="AX12" s="115">
        <f>1258205000000+18993000000</f>
        <v>1277198000000</v>
      </c>
      <c r="AY12" s="254" t="s">
        <v>3685</v>
      </c>
      <c r="AZ12" s="6651">
        <f>AX12/AW12</f>
        <v>0.725415245785065</v>
      </c>
      <c r="BA12" s="106"/>
      <c r="BB12" s="117">
        <f>1909338000000+17839000000</f>
        <v>1927177000000</v>
      </c>
      <c r="BC12" s="313" t="s">
        <v>3686</v>
      </c>
      <c r="BD12" s="3265">
        <f>1641701000000+1410000000</f>
        <v>1643111000000</v>
      </c>
      <c r="BF12" s="26"/>
      <c r="BG12" s="4772" t="s">
        <v>872</v>
      </c>
      <c r="BH12" s="117">
        <f>1909338000000+17839000000</f>
        <v>1927177000000</v>
      </c>
      <c r="BI12" s="115">
        <f>1641701000000+1410000000</f>
        <v>1643111000000</v>
      </c>
      <c r="BJ12" s="254" t="s">
        <v>3687</v>
      </c>
      <c r="BK12" s="8743">
        <f>BI12/BH12</f>
        <v>0.85259994281791451</v>
      </c>
      <c r="BL12" s="106"/>
      <c r="BM12" s="117">
        <f>(1631.969+14.5)*1000000000</f>
        <v>1646469000000</v>
      </c>
      <c r="BN12" s="313" t="s">
        <v>3688</v>
      </c>
      <c r="BO12" s="3265">
        <f>(1636.3+18.229)*1000000000</f>
        <v>1654529000000</v>
      </c>
    </row>
    <row r="13" spans="1:67" x14ac:dyDescent="0.35">
      <c r="A13" s="9168"/>
      <c r="B13" s="4771"/>
      <c r="C13" s="4772" t="s">
        <v>878</v>
      </c>
      <c r="D13" s="60"/>
      <c r="F13" s="4819"/>
      <c r="G13"/>
      <c r="H13" s="4820">
        <f>198546000000+45800000000+120372000000</f>
        <v>364718000000</v>
      </c>
      <c r="I13" s="4821">
        <v>363728000000</v>
      </c>
      <c r="J13" s="73">
        <f t="shared" ref="J13:J16" si="0">IF(H13=0,0,I13/H13)</f>
        <v>0.99728557405995866</v>
      </c>
      <c r="K13" s="65"/>
      <c r="L13" s="4820">
        <f>L16-L12</f>
        <v>559768861000</v>
      </c>
      <c r="M13" s="66">
        <f>L13*J13</f>
        <v>558249409883.27417</v>
      </c>
      <c r="N13" s="67"/>
      <c r="O13" s="4820">
        <f>163053075000+355935701000</f>
        <v>518988776000</v>
      </c>
      <c r="P13" s="66">
        <f t="shared" ref="P13:P16" si="1">O13*J13</f>
        <v>517580019403.83527</v>
      </c>
      <c r="Q13" s="106"/>
      <c r="R13" s="5174"/>
      <c r="S13" s="5175"/>
      <c r="T13" s="57"/>
      <c r="U13" s="66"/>
      <c r="V13" s="106"/>
      <c r="W13" s="5174"/>
      <c r="X13" s="259"/>
      <c r="Y13" s="5176"/>
      <c r="AA13" s="4820"/>
      <c r="AB13" s="4821"/>
      <c r="AC13" s="57"/>
      <c r="AD13" s="66"/>
      <c r="AE13" s="106"/>
      <c r="AF13" s="4820"/>
      <c r="AG13" s="106"/>
      <c r="AH13" s="5177"/>
      <c r="AI13" s="67"/>
      <c r="AJ13" s="26"/>
      <c r="AL13" s="5178"/>
      <c r="AM13" s="5181"/>
      <c r="AN13" s="57"/>
      <c r="AO13" s="66"/>
      <c r="AP13" s="106"/>
      <c r="AQ13" s="5178"/>
      <c r="AR13" s="106"/>
      <c r="AS13" s="5182"/>
      <c r="AT13" s="67"/>
      <c r="AU13" s="26"/>
      <c r="AV13" s="4772" t="s">
        <v>878</v>
      </c>
      <c r="AW13" s="117"/>
      <c r="AX13" s="115"/>
      <c r="AY13" s="254"/>
      <c r="AZ13" s="6651"/>
      <c r="BA13" s="106"/>
      <c r="BB13" s="117"/>
      <c r="BC13" s="106"/>
      <c r="BD13" s="3265"/>
      <c r="BF13" s="26"/>
      <c r="BG13" s="4772" t="s">
        <v>878</v>
      </c>
      <c r="BH13" s="117"/>
      <c r="BI13" s="115"/>
      <c r="BJ13" s="254"/>
      <c r="BK13" s="8743"/>
      <c r="BL13" s="106"/>
      <c r="BM13" s="117"/>
      <c r="BN13" s="106"/>
      <c r="BO13" s="3265"/>
    </row>
    <row r="14" spans="1:67" x14ac:dyDescent="0.35">
      <c r="A14" s="9168"/>
      <c r="B14" s="4779"/>
      <c r="C14" s="4780" t="s">
        <v>3689</v>
      </c>
      <c r="D14" s="60"/>
      <c r="F14" s="5183"/>
      <c r="G14"/>
      <c r="H14" s="5184"/>
      <c r="I14" s="5185"/>
      <c r="J14" s="73"/>
      <c r="K14" s="80"/>
      <c r="L14" s="5184"/>
      <c r="M14" s="66"/>
      <c r="N14" s="67"/>
      <c r="O14" s="5184"/>
      <c r="P14" s="66"/>
      <c r="Q14" s="106"/>
      <c r="R14" s="5174">
        <v>128300000000</v>
      </c>
      <c r="S14" s="5175">
        <v>138416000000</v>
      </c>
      <c r="T14" s="106" t="s">
        <v>3690</v>
      </c>
      <c r="U14" s="66"/>
      <c r="V14" s="106"/>
      <c r="W14" s="5186">
        <v>121499000000</v>
      </c>
      <c r="X14" s="259"/>
      <c r="Y14" s="5187">
        <v>85213000000</v>
      </c>
      <c r="AA14" s="4820">
        <v>121499000000</v>
      </c>
      <c r="AB14" s="4821">
        <v>85213000000</v>
      </c>
      <c r="AC14" s="106" t="s">
        <v>3691</v>
      </c>
      <c r="AD14" s="66"/>
      <c r="AE14" s="106"/>
      <c r="AF14" s="5184">
        <f>207058000000+17845000000</f>
        <v>224903000000</v>
      </c>
      <c r="AG14" s="106" t="s">
        <v>3692</v>
      </c>
      <c r="AH14" s="5188">
        <f>137739000000+18229000000</f>
        <v>155968000000</v>
      </c>
      <c r="AI14" s="67"/>
      <c r="AJ14" s="26"/>
      <c r="AL14" s="5178">
        <v>224903000000</v>
      </c>
      <c r="AM14" s="5189">
        <f>137739000000+137739000000</f>
        <v>275478000000</v>
      </c>
      <c r="AN14" s="106" t="s">
        <v>3692</v>
      </c>
      <c r="AO14" s="66"/>
      <c r="AP14" s="106"/>
      <c r="AQ14" s="5190"/>
      <c r="AR14" s="106"/>
      <c r="AS14" s="5191">
        <f>147.553*1000000000</f>
        <v>147553000000</v>
      </c>
      <c r="AT14" s="67"/>
      <c r="AU14" s="26"/>
      <c r="AV14" s="4780" t="s">
        <v>3689</v>
      </c>
      <c r="AW14" s="117">
        <v>121291000000</v>
      </c>
      <c r="AX14" s="115">
        <v>147553000000</v>
      </c>
      <c r="AY14" s="254"/>
      <c r="AZ14" s="6651">
        <f t="shared" ref="AZ14:AZ27" si="2">AX14/AW14</f>
        <v>1.2165205992200576</v>
      </c>
      <c r="BA14" s="106"/>
      <c r="BB14" s="117">
        <f>189151000000</f>
        <v>189151000000</v>
      </c>
      <c r="BC14" s="106"/>
      <c r="BD14" s="3265">
        <v>367814000000</v>
      </c>
      <c r="BF14" s="26"/>
      <c r="BG14" s="4780" t="s">
        <v>3689</v>
      </c>
      <c r="BH14" s="117">
        <f>189151000000</f>
        <v>189151000000</v>
      </c>
      <c r="BI14" s="115">
        <v>367814000000</v>
      </c>
      <c r="BJ14" s="254" t="s">
        <v>3687</v>
      </c>
      <c r="BK14" s="8743">
        <f>BI14/BH14</f>
        <v>1.9445522360442187</v>
      </c>
      <c r="BL14" s="106"/>
      <c r="BM14" s="117">
        <f>250.167*1000000000</f>
        <v>250167000000</v>
      </c>
      <c r="BN14" s="313" t="s">
        <v>3688</v>
      </c>
      <c r="BO14" s="3265">
        <f>48.853*1000000000</f>
        <v>48853000000</v>
      </c>
    </row>
    <row r="15" spans="1:67" x14ac:dyDescent="0.35">
      <c r="A15" s="9168"/>
      <c r="B15" s="4779"/>
      <c r="C15" s="4780" t="s">
        <v>3693</v>
      </c>
      <c r="D15" s="60"/>
      <c r="F15" s="5183"/>
      <c r="G15"/>
      <c r="H15" s="5184"/>
      <c r="I15" s="5185"/>
      <c r="J15" s="73"/>
      <c r="K15" s="80"/>
      <c r="L15" s="5184"/>
      <c r="M15" s="66"/>
      <c r="N15" s="67"/>
      <c r="O15" s="5184"/>
      <c r="P15" s="66"/>
      <c r="Q15" s="106"/>
      <c r="R15" s="5192">
        <v>271188547000</v>
      </c>
      <c r="S15" s="5193">
        <f>R15</f>
        <v>271188547000</v>
      </c>
      <c r="T15" s="57" t="s">
        <v>3694</v>
      </c>
      <c r="U15" s="66"/>
      <c r="V15" s="106"/>
      <c r="W15" s="5192">
        <f>202500000000+110992880000</f>
        <v>313492880000</v>
      </c>
      <c r="X15" s="57" t="s">
        <v>3694</v>
      </c>
      <c r="Y15" s="5194">
        <f>W15</f>
        <v>313492880000</v>
      </c>
      <c r="AA15" s="5192">
        <f>202500000000+110992880000</f>
        <v>313492880000</v>
      </c>
      <c r="AB15" s="5193">
        <f>AA15</f>
        <v>313492880000</v>
      </c>
      <c r="AC15" s="57" t="s">
        <v>3694</v>
      </c>
      <c r="AD15" s="66"/>
      <c r="AE15" s="106"/>
      <c r="AF15" s="5192">
        <v>285130000000</v>
      </c>
      <c r="AG15" s="57" t="s">
        <v>3695</v>
      </c>
      <c r="AH15" s="5194">
        <f>AF15</f>
        <v>285130000000</v>
      </c>
      <c r="AI15" s="67"/>
      <c r="AJ15" s="26"/>
      <c r="AL15" s="5195">
        <v>285130000000</v>
      </c>
      <c r="AM15" s="5196">
        <f>AL15</f>
        <v>285130000000</v>
      </c>
      <c r="AN15" s="57" t="s">
        <v>3695</v>
      </c>
      <c r="AO15" s="66"/>
      <c r="AP15" s="106"/>
      <c r="AQ15" s="5195"/>
      <c r="AR15" s="57"/>
      <c r="AS15" s="5197">
        <f>(95.549+38.902)*1000000000</f>
        <v>134451000000.00002</v>
      </c>
      <c r="AT15" s="67"/>
      <c r="AU15" s="26"/>
      <c r="AV15" s="4780" t="s">
        <v>3693</v>
      </c>
      <c r="AW15" s="117">
        <f>80972000000+169028888888</f>
        <v>250000888888</v>
      </c>
      <c r="AX15" s="115">
        <f>38902000000+95549000000</f>
        <v>134451000000</v>
      </c>
      <c r="AY15" s="254"/>
      <c r="AZ15" s="6651">
        <f t="shared" si="2"/>
        <v>0.53780208781671102</v>
      </c>
      <c r="BA15" s="106"/>
      <c r="BB15" s="242">
        <f>146845000000+89267000000</f>
        <v>236112000000</v>
      </c>
      <c r="BC15" s="57"/>
      <c r="BD15" s="3272">
        <f>79027000000+104364000000</f>
        <v>183391000000</v>
      </c>
      <c r="BF15" s="26"/>
      <c r="BG15" s="4780" t="s">
        <v>3693</v>
      </c>
      <c r="BH15" s="242">
        <f>146845000000+89267000000</f>
        <v>236112000000</v>
      </c>
      <c r="BI15" s="115">
        <f>79027000000+104364000000</f>
        <v>183391000000</v>
      </c>
      <c r="BJ15" s="254" t="s">
        <v>3687</v>
      </c>
      <c r="BK15" s="8743">
        <f>BI15/BH15</f>
        <v>0.77671189943755503</v>
      </c>
      <c r="BL15" s="106"/>
      <c r="BM15" s="242">
        <f>163.4*1000000000</f>
        <v>163400000000</v>
      </c>
      <c r="BN15" s="313" t="s">
        <v>3688</v>
      </c>
      <c r="BO15" s="3272">
        <f>74.6*1000000000</f>
        <v>74600000000</v>
      </c>
    </row>
    <row r="16" spans="1:67" x14ac:dyDescent="0.35">
      <c r="A16" s="9168"/>
      <c r="B16" s="4785"/>
      <c r="C16" s="4786" t="s">
        <v>882</v>
      </c>
      <c r="D16" s="87"/>
      <c r="F16" s="4824"/>
      <c r="G16"/>
      <c r="H16" s="4825">
        <f>SUM(H12:H13)</f>
        <v>1482575026000</v>
      </c>
      <c r="I16" s="4826">
        <f>SUM(I12:I13)</f>
        <v>1403066255969</v>
      </c>
      <c r="J16" s="91">
        <f t="shared" si="0"/>
        <v>0.94637116595339166</v>
      </c>
      <c r="K16" s="80"/>
      <c r="L16" s="4825">
        <v>1558818695000</v>
      </c>
      <c r="M16" s="92">
        <f>SUM(M12:M13)</f>
        <v>1487125543364.4795</v>
      </c>
      <c r="N16" s="67"/>
      <c r="O16" s="4825">
        <f>SUM(O12:O13)</f>
        <v>1621391204000</v>
      </c>
      <c r="P16" s="92">
        <f t="shared" si="1"/>
        <v>1534437884196.0535</v>
      </c>
      <c r="Q16" s="106"/>
      <c r="R16" s="5198">
        <f>SUM(R12:R15)</f>
        <v>1555765547000</v>
      </c>
      <c r="S16" s="5199">
        <f>SUM(S12:S15)</f>
        <v>1647230547000</v>
      </c>
      <c r="T16" s="106"/>
      <c r="U16" s="66"/>
      <c r="V16" s="106"/>
      <c r="W16" s="5198">
        <f>SUM(W12:W15)</f>
        <v>1792106880000</v>
      </c>
      <c r="X16" s="259"/>
      <c r="Y16" s="5200">
        <f>SUM(Y12:Y15)</f>
        <v>1766906880000</v>
      </c>
      <c r="AA16" s="4825">
        <f>SUM(AA12:AA15)</f>
        <v>1792106880000</v>
      </c>
      <c r="AB16" s="4826">
        <f>SUM(AB12:AB15)</f>
        <v>1766906880000</v>
      </c>
      <c r="AC16" s="106"/>
      <c r="AD16" s="66"/>
      <c r="AE16" s="106"/>
      <c r="AF16" s="4825">
        <f>SUM(AF12:AF15)</f>
        <v>2128688000000</v>
      </c>
      <c r="AG16" s="106"/>
      <c r="AH16" s="5201">
        <f>SUM(AH12:AH15)</f>
        <v>2020400000000</v>
      </c>
      <c r="AI16" s="67"/>
      <c r="AJ16" s="24"/>
      <c r="AL16" s="5202">
        <v>2128688000000</v>
      </c>
      <c r="AM16" s="5203">
        <f>SUM(AM12:AM15)</f>
        <v>2139910000000</v>
      </c>
      <c r="AN16" s="106"/>
      <c r="AO16" s="66"/>
      <c r="AP16" s="106"/>
      <c r="AQ16" s="3304">
        <v>1957625872000</v>
      </c>
      <c r="AR16" s="106"/>
      <c r="AS16" s="5204">
        <f>SUM(AS12:AS15)+(18.993+65.24+6.697)*1000000000</f>
        <v>1631139000000</v>
      </c>
      <c r="AT16" s="67"/>
      <c r="AU16" s="24" t="s">
        <v>3696</v>
      </c>
      <c r="AV16" s="4786" t="s">
        <v>882</v>
      </c>
      <c r="AW16" s="131">
        <f>SUM(AW12:AW15)</f>
        <v>2131935888888</v>
      </c>
      <c r="AX16" s="132">
        <f>SUM(AX12:AX15)</f>
        <v>1559202000000</v>
      </c>
      <c r="AY16" s="627"/>
      <c r="AZ16" s="7212">
        <f t="shared" si="2"/>
        <v>0.73135501312530871</v>
      </c>
      <c r="BA16" s="106"/>
      <c r="BB16" s="131">
        <f>SUM(BB12:BB15)</f>
        <v>2352440000000</v>
      </c>
      <c r="BC16" s="800"/>
      <c r="BD16" s="658">
        <f>SUM(BD12:BD15)</f>
        <v>2194316000000</v>
      </c>
      <c r="BF16" s="24" t="s">
        <v>3696</v>
      </c>
      <c r="BG16" s="4786" t="s">
        <v>882</v>
      </c>
      <c r="BH16" s="131">
        <f>SUM(BH12:BH15)</f>
        <v>2352440000000</v>
      </c>
      <c r="BI16" s="132">
        <f>SUM(BI12:BI15)</f>
        <v>2194316000000</v>
      </c>
      <c r="BJ16" s="627"/>
      <c r="BK16" s="8878">
        <f>BI16/BH16</f>
        <v>0.93278298277533112</v>
      </c>
      <c r="BL16" s="106"/>
      <c r="BM16" s="131">
        <f>SUM(BM12:BM15)</f>
        <v>2060036000000</v>
      </c>
      <c r="BN16" s="800"/>
      <c r="BO16" s="658">
        <f>SUM(BO12:BO15)</f>
        <v>1777982000000</v>
      </c>
    </row>
    <row r="17" spans="1:67" x14ac:dyDescent="0.35">
      <c r="A17" s="9168"/>
      <c r="B17" s="100" t="s">
        <v>883</v>
      </c>
      <c r="C17" s="49"/>
      <c r="D17" s="42"/>
      <c r="E17" s="43"/>
      <c r="F17" s="101"/>
      <c r="G17"/>
      <c r="H17" s="102"/>
      <c r="I17" s="103"/>
      <c r="J17" s="104"/>
      <c r="K17" s="43"/>
      <c r="L17" s="102"/>
      <c r="M17" s="105"/>
      <c r="N17" s="43"/>
      <c r="O17" s="102"/>
      <c r="P17" s="105"/>
      <c r="Q17" s="106"/>
      <c r="R17" s="102"/>
      <c r="S17" s="103"/>
      <c r="T17" s="106"/>
      <c r="U17" s="66"/>
      <c r="V17" s="106"/>
      <c r="W17" s="102"/>
      <c r="X17" s="106"/>
      <c r="Y17" s="105"/>
      <c r="Z17" s="43"/>
      <c r="AA17" s="3250" t="s">
        <v>3697</v>
      </c>
      <c r="AB17" s="3268" t="s">
        <v>3698</v>
      </c>
      <c r="AC17" s="3252" t="s">
        <v>3699</v>
      </c>
      <c r="AD17" s="3270"/>
      <c r="AE17" s="3251"/>
      <c r="AF17" s="3250"/>
      <c r="AG17" s="3252" t="s">
        <v>3699</v>
      </c>
      <c r="AH17" s="5205"/>
      <c r="AI17" s="43"/>
      <c r="AJ17" s="18"/>
      <c r="AL17" s="3250"/>
      <c r="AM17" s="3268" t="s">
        <v>3698</v>
      </c>
      <c r="AN17" s="3252" t="s">
        <v>3699</v>
      </c>
      <c r="AO17" s="3270"/>
      <c r="AP17" s="3251"/>
      <c r="AQ17" s="3250"/>
      <c r="AR17" s="3252" t="s">
        <v>3699</v>
      </c>
      <c r="AS17" s="5205"/>
      <c r="AT17" s="43"/>
      <c r="AU17" s="18"/>
      <c r="AV17" s="49"/>
      <c r="AW17" s="3250"/>
      <c r="AX17" s="3268" t="s">
        <v>3698</v>
      </c>
      <c r="AY17" s="5858"/>
      <c r="AZ17" s="7213"/>
      <c r="BA17" s="3251"/>
      <c r="BB17" s="3250"/>
      <c r="BC17" s="1108"/>
      <c r="BD17" s="5205"/>
      <c r="BF17" s="18"/>
      <c r="BG17" s="49"/>
      <c r="BH17" s="3250"/>
      <c r="BI17" s="3268" t="s">
        <v>3698</v>
      </c>
      <c r="BJ17" s="5858"/>
      <c r="BK17" s="7213"/>
      <c r="BL17" s="3251"/>
      <c r="BM17" s="3250"/>
      <c r="BN17" s="1108"/>
      <c r="BO17" s="5205"/>
    </row>
    <row r="18" spans="1:67" x14ac:dyDescent="0.35">
      <c r="A18" s="9168"/>
      <c r="B18" s="6082"/>
      <c r="C18" s="110" t="s">
        <v>885</v>
      </c>
      <c r="D18" s="60"/>
      <c r="F18" s="111">
        <f>F23-F19-F22</f>
        <v>720851938041</v>
      </c>
      <c r="G18"/>
      <c r="H18" s="112">
        <f t="shared" ref="H18:I18" si="3">H23-H19-H22</f>
        <v>869995734000</v>
      </c>
      <c r="I18" s="113">
        <f t="shared" si="3"/>
        <v>833387485363</v>
      </c>
      <c r="J18" s="64">
        <f t="shared" ref="J18:J23" si="4">IF(H18=0,0,I18/H18)</f>
        <v>0.95792134696030595</v>
      </c>
      <c r="L18" s="112">
        <f t="shared" ref="L18" si="5">L23-L19-L22</f>
        <v>895264132000</v>
      </c>
      <c r="M18" s="66">
        <f t="shared" ref="M18:M22" si="6">L18*J18</f>
        <v>857592623210.68909</v>
      </c>
      <c r="O18" s="112">
        <f t="shared" ref="O18" si="7">O23-O19-O22</f>
        <v>892449892000</v>
      </c>
      <c r="P18" s="66">
        <f t="shared" ref="P18:P23" si="8">O18*J18</f>
        <v>854896802639.2196</v>
      </c>
      <c r="Q18" s="106"/>
      <c r="R18" s="262">
        <f>1506088761000-R19-R21-R22</f>
        <v>1176561531000</v>
      </c>
      <c r="S18" s="1351">
        <f>1413960136000-S19-S21-S22</f>
        <v>1289355342758</v>
      </c>
      <c r="T18" s="106" t="s">
        <v>887</v>
      </c>
      <c r="U18" s="66"/>
      <c r="V18" s="106"/>
      <c r="W18" s="262">
        <f>1797259139000-W19-W21-W22</f>
        <v>1378613010000</v>
      </c>
      <c r="X18" s="106" t="s">
        <v>887</v>
      </c>
      <c r="Y18" s="5206">
        <f>1702579416000-Y19-Y21-Y22</f>
        <v>1312369401000</v>
      </c>
      <c r="AA18" s="112">
        <f>1713574109000-AA19-AA21-AA22</f>
        <v>1294927980000</v>
      </c>
      <c r="AB18" s="113">
        <f>1633972005000-AB19-AB21-AB22</f>
        <v>1243761990000</v>
      </c>
      <c r="AC18" s="106" t="s">
        <v>3700</v>
      </c>
      <c r="AD18" s="66"/>
      <c r="AE18" s="106"/>
      <c r="AF18" s="112">
        <f>1943204356000-AF19-AF21-AF22</f>
        <v>1405144487000</v>
      </c>
      <c r="AG18" s="106" t="s">
        <v>3701</v>
      </c>
      <c r="AH18" s="3254">
        <f>1793111027000-AH19-AH21-AH22</f>
        <v>1308688395000</v>
      </c>
      <c r="AJ18" s="26"/>
      <c r="AL18" s="112">
        <v>1405144487000</v>
      </c>
      <c r="AM18" s="113">
        <f>1633972005000-AM19-AM21-AM22</f>
        <v>1243761990000</v>
      </c>
      <c r="AN18" s="106" t="s">
        <v>3700</v>
      </c>
      <c r="AO18" s="66"/>
      <c r="AP18" s="106"/>
      <c r="AQ18" s="3306">
        <v>1364465453000</v>
      </c>
      <c r="AR18" s="106" t="s">
        <v>3702</v>
      </c>
      <c r="AS18" s="5207">
        <f>1174.106*1000000000</f>
        <v>1174106000000</v>
      </c>
      <c r="AT18" s="1"/>
      <c r="AU18" s="26"/>
      <c r="AV18" s="110" t="s">
        <v>885</v>
      </c>
      <c r="AW18" s="112">
        <f>1295173000000-AW21</f>
        <v>1216836000000</v>
      </c>
      <c r="AX18" s="113">
        <f>1174106000000-AX21</f>
        <v>1102808000000</v>
      </c>
      <c r="AY18" s="254" t="s">
        <v>3703</v>
      </c>
      <c r="AZ18" s="6651">
        <f t="shared" si="2"/>
        <v>0.90629139834784633</v>
      </c>
      <c r="BA18" s="106"/>
      <c r="BB18" s="112">
        <f>1415363000000-BB21</f>
        <v>1314307000000</v>
      </c>
      <c r="BC18" s="106" t="s">
        <v>3704</v>
      </c>
      <c r="BD18" s="3254">
        <f>1318849000000-BD21</f>
        <v>1225298000000</v>
      </c>
      <c r="BF18" s="26"/>
      <c r="BG18" s="110" t="s">
        <v>885</v>
      </c>
      <c r="BH18" s="112">
        <f>1415363000000-BH21</f>
        <v>1314307000000</v>
      </c>
      <c r="BI18" s="113">
        <f>1318849000000-BI21</f>
        <v>1225298000000</v>
      </c>
      <c r="BJ18" s="254" t="s">
        <v>3705</v>
      </c>
      <c r="BK18" s="8743">
        <f>BI18/BH18</f>
        <v>0.93227685769002222</v>
      </c>
      <c r="BL18" s="106"/>
      <c r="BM18" s="112">
        <f>1000000000*(1741.894)-BM21</f>
        <v>1621471000000</v>
      </c>
      <c r="BN18" s="313" t="s">
        <v>3688</v>
      </c>
      <c r="BO18" s="3254">
        <f>1000000000*(1611.602)-BO21</f>
        <v>1496895000000</v>
      </c>
    </row>
    <row r="19" spans="1:67" x14ac:dyDescent="0.35">
      <c r="A19" s="9168"/>
      <c r="B19" s="6082"/>
      <c r="C19" s="121" t="s">
        <v>3706</v>
      </c>
      <c r="D19" s="60"/>
      <c r="F19" s="111">
        <v>439201406531</v>
      </c>
      <c r="G19"/>
      <c r="H19" s="112">
        <v>425228516000</v>
      </c>
      <c r="I19" s="113">
        <v>392580862158</v>
      </c>
      <c r="J19" s="3165">
        <f t="shared" si="4"/>
        <v>0.92322327263207349</v>
      </c>
      <c r="K19" s="374"/>
      <c r="L19" s="112">
        <v>694104853000</v>
      </c>
      <c r="M19" s="66">
        <f t="shared" si="6"/>
        <v>640813753936.46423</v>
      </c>
      <c r="O19" s="112">
        <v>643141535000</v>
      </c>
      <c r="P19" s="66">
        <f t="shared" si="8"/>
        <v>593763232708.31519</v>
      </c>
      <c r="Q19" s="106"/>
      <c r="R19" s="262">
        <f>133411564000+9409490000</f>
        <v>142821054000</v>
      </c>
      <c r="S19" s="1351">
        <f>116245403000+8172740000</f>
        <v>124418143000</v>
      </c>
      <c r="T19" s="106"/>
      <c r="U19" s="66"/>
      <c r="V19" s="106"/>
      <c r="W19" s="262">
        <f>226386666000+9021697000</f>
        <v>235408363000</v>
      </c>
      <c r="X19" s="106"/>
      <c r="Y19" s="5206">
        <f>222060543000+8138882000</f>
        <v>230199425000</v>
      </c>
      <c r="AA19" s="112">
        <f>226386666000+9021697000</f>
        <v>235408363000</v>
      </c>
      <c r="AB19" s="113">
        <f>222060543000+8138882000</f>
        <v>230199425000</v>
      </c>
      <c r="AC19" s="106" t="s">
        <v>3707</v>
      </c>
      <c r="AD19" s="66"/>
      <c r="AE19" s="106"/>
      <c r="AF19" s="112">
        <f>285512194000+11400000000</f>
        <v>296912194000</v>
      </c>
      <c r="AG19" s="106" t="s">
        <v>3708</v>
      </c>
      <c r="AH19" s="3254">
        <f>270271579000+5673168000</f>
        <v>275944747000</v>
      </c>
      <c r="AJ19" s="26"/>
      <c r="AL19" s="112">
        <v>296912194000</v>
      </c>
      <c r="AM19" s="113">
        <f>222060543000+8138882000</f>
        <v>230199425000</v>
      </c>
      <c r="AN19" s="106" t="s">
        <v>3707</v>
      </c>
      <c r="AO19" s="66"/>
      <c r="AP19" s="106"/>
      <c r="AQ19" s="3306">
        <f>966313485000-AQ22</f>
        <v>635312485000</v>
      </c>
      <c r="AR19" s="253" t="s">
        <v>3709</v>
      </c>
      <c r="AS19" s="5207">
        <f>310.067*1000000000</f>
        <v>310067000000</v>
      </c>
      <c r="AT19" s="1"/>
      <c r="AU19" s="26"/>
      <c r="AV19" s="110" t="s">
        <v>3706</v>
      </c>
      <c r="AW19" s="112">
        <f>912478000000</f>
        <v>912478000000</v>
      </c>
      <c r="AX19" s="113">
        <f>614931000000</f>
        <v>614931000000</v>
      </c>
      <c r="AY19" s="106"/>
      <c r="AZ19" s="6651">
        <f t="shared" si="2"/>
        <v>0.67391323407249271</v>
      </c>
      <c r="BA19" s="106"/>
      <c r="BB19" s="112">
        <v>845793000000</v>
      </c>
      <c r="BC19" s="253"/>
      <c r="BD19" s="3254">
        <v>675284000000</v>
      </c>
      <c r="BF19" s="26"/>
      <c r="BG19" s="110" t="s">
        <v>3706</v>
      </c>
      <c r="BH19" s="112">
        <v>845793000000</v>
      </c>
      <c r="BI19" s="113">
        <v>675284000000</v>
      </c>
      <c r="BJ19" s="254" t="s">
        <v>3705</v>
      </c>
      <c r="BK19" s="8743">
        <f>BI19/BH19</f>
        <v>0.79840339184646836</v>
      </c>
      <c r="BL19" s="106"/>
      <c r="BM19" s="112">
        <f>911.59*1000000000-BM20</f>
        <v>635990000000</v>
      </c>
      <c r="BN19" s="313" t="s">
        <v>3688</v>
      </c>
      <c r="BO19" s="3254">
        <f>655.71*1000000000-BO20</f>
        <v>485910000000</v>
      </c>
    </row>
    <row r="20" spans="1:67" x14ac:dyDescent="0.35">
      <c r="A20" s="9168"/>
      <c r="B20" s="6082"/>
      <c r="C20" s="121" t="s">
        <v>1330</v>
      </c>
      <c r="D20" s="60"/>
      <c r="F20" s="122"/>
      <c r="G20"/>
      <c r="H20" s="114"/>
      <c r="I20" s="123"/>
      <c r="J20" s="64"/>
      <c r="L20" s="114"/>
      <c r="M20" s="66"/>
      <c r="O20" s="114"/>
      <c r="P20" s="66"/>
      <c r="Q20" s="106"/>
      <c r="R20" s="5208">
        <f>R15</f>
        <v>271188547000</v>
      </c>
      <c r="S20" s="5209">
        <f>R20</f>
        <v>271188547000</v>
      </c>
      <c r="T20" s="5210" t="s">
        <v>3710</v>
      </c>
      <c r="U20" s="66"/>
      <c r="V20" s="106"/>
      <c r="W20" s="5208">
        <f>W15</f>
        <v>313492880000</v>
      </c>
      <c r="X20" s="5210" t="s">
        <v>3710</v>
      </c>
      <c r="Y20" s="5211">
        <f>W20</f>
        <v>313492880000</v>
      </c>
      <c r="AA20" s="5208"/>
      <c r="AB20" s="5209"/>
      <c r="AC20" s="5210"/>
      <c r="AD20" s="66"/>
      <c r="AE20" s="106"/>
      <c r="AF20" s="5208"/>
      <c r="AG20" s="5210"/>
      <c r="AH20" s="5211"/>
      <c r="AJ20" s="26"/>
      <c r="AL20" s="5208"/>
      <c r="AM20" s="5209"/>
      <c r="AN20" s="5210"/>
      <c r="AO20" s="66"/>
      <c r="AP20" s="106"/>
      <c r="AQ20" s="5208"/>
      <c r="AR20" s="5210"/>
      <c r="AS20" s="5212">
        <f>134.451*1000000000</f>
        <v>134451000000</v>
      </c>
      <c r="AT20" s="1"/>
      <c r="AU20" s="26" t="s">
        <v>3711</v>
      </c>
      <c r="AV20" s="110" t="s">
        <v>1330</v>
      </c>
      <c r="AW20" s="112"/>
      <c r="AX20" s="113"/>
      <c r="AY20" s="5210"/>
      <c r="AZ20" s="6651"/>
      <c r="BA20" s="106"/>
      <c r="BB20" s="5208"/>
      <c r="BC20" s="5210"/>
      <c r="BD20" s="7214"/>
      <c r="BF20" s="26" t="s">
        <v>3711</v>
      </c>
      <c r="BG20" s="110" t="s">
        <v>1330</v>
      </c>
      <c r="BH20" s="5208"/>
      <c r="BI20" s="113"/>
      <c r="BJ20" s="5210"/>
      <c r="BK20" s="8743"/>
      <c r="BL20" s="106"/>
      <c r="BM20" s="114">
        <v>275600000000</v>
      </c>
      <c r="BN20" s="313" t="s">
        <v>3688</v>
      </c>
      <c r="BO20" s="3257">
        <v>169800000000</v>
      </c>
    </row>
    <row r="21" spans="1:67" x14ac:dyDescent="0.35">
      <c r="A21" s="9168"/>
      <c r="B21" s="6082"/>
      <c r="C21" s="121" t="s">
        <v>1331</v>
      </c>
      <c r="D21" s="60"/>
      <c r="F21" s="122"/>
      <c r="G21"/>
      <c r="H21" s="114"/>
      <c r="I21" s="123"/>
      <c r="J21" s="64"/>
      <c r="L21" s="114"/>
      <c r="M21" s="66"/>
      <c r="O21" s="114"/>
      <c r="P21" s="66"/>
      <c r="Q21" s="106"/>
      <c r="R21" s="3956"/>
      <c r="S21" s="3952"/>
      <c r="T21" s="106"/>
      <c r="U21" s="66"/>
      <c r="V21" s="106"/>
      <c r="W21" s="3956"/>
      <c r="X21" s="106"/>
      <c r="Y21" s="5213"/>
      <c r="AA21" s="114"/>
      <c r="AB21" s="123"/>
      <c r="AC21" s="106"/>
      <c r="AD21" s="66"/>
      <c r="AE21" s="106"/>
      <c r="AF21" s="114"/>
      <c r="AG21" s="106"/>
      <c r="AH21" s="3257"/>
      <c r="AJ21" s="26"/>
      <c r="AL21" s="114"/>
      <c r="AM21" s="123"/>
      <c r="AN21" s="106"/>
      <c r="AO21" s="66"/>
      <c r="AP21" s="106"/>
      <c r="AQ21" s="114"/>
      <c r="AR21" s="106"/>
      <c r="AS21" s="3257"/>
      <c r="AT21" s="1"/>
      <c r="AU21" s="26"/>
      <c r="AV21" s="110" t="s">
        <v>1331</v>
      </c>
      <c r="AW21" s="112">
        <v>78337000000</v>
      </c>
      <c r="AX21" s="113">
        <v>71298000000</v>
      </c>
      <c r="AY21" s="106"/>
      <c r="AZ21" s="6651">
        <f t="shared" si="2"/>
        <v>0.91014463152788594</v>
      </c>
      <c r="BA21" s="106"/>
      <c r="BB21" s="114">
        <v>101056000000</v>
      </c>
      <c r="BC21" s="106"/>
      <c r="BD21" s="3257">
        <v>93551000000</v>
      </c>
      <c r="BF21" s="26"/>
      <c r="BG21" s="110" t="s">
        <v>1331</v>
      </c>
      <c r="BH21" s="114">
        <v>101056000000</v>
      </c>
      <c r="BI21" s="113">
        <v>93551000000</v>
      </c>
      <c r="BJ21" s="254" t="s">
        <v>3705</v>
      </c>
      <c r="BK21" s="8743">
        <f>BI21/BH21</f>
        <v>0.92573424635845469</v>
      </c>
      <c r="BL21" s="106"/>
      <c r="BM21" s="114">
        <f>120.423*1000000000</f>
        <v>120423000000</v>
      </c>
      <c r="BN21" s="313" t="s">
        <v>3688</v>
      </c>
      <c r="BO21" s="3257">
        <f>114.707*1000000000</f>
        <v>114707000000</v>
      </c>
    </row>
    <row r="22" spans="1:67" x14ac:dyDescent="0.35">
      <c r="A22" s="9168"/>
      <c r="B22" s="6082"/>
      <c r="C22" s="110" t="s">
        <v>1169</v>
      </c>
      <c r="D22" s="60"/>
      <c r="F22" s="163">
        <v>100987839930</v>
      </c>
      <c r="G22" s="1569"/>
      <c r="H22" s="242">
        <v>177081000000</v>
      </c>
      <c r="I22" s="243">
        <v>172864513379</v>
      </c>
      <c r="J22" s="3025">
        <f t="shared" si="4"/>
        <v>0.97618893827683373</v>
      </c>
      <c r="K22" s="274"/>
      <c r="L22" s="242">
        <v>157292000000</v>
      </c>
      <c r="M22" s="66">
        <f t="shared" si="6"/>
        <v>153546710479.43973</v>
      </c>
      <c r="O22" s="242">
        <v>157170000000</v>
      </c>
      <c r="P22" s="66">
        <f t="shared" si="8"/>
        <v>153427615428.96997</v>
      </c>
      <c r="Q22" s="106"/>
      <c r="R22" s="3327">
        <v>186706176000</v>
      </c>
      <c r="S22" s="3985">
        <v>186650242</v>
      </c>
      <c r="T22" s="106"/>
      <c r="U22" s="66"/>
      <c r="V22" s="106"/>
      <c r="W22" s="3327">
        <v>183237766000</v>
      </c>
      <c r="X22" s="106"/>
      <c r="Y22" s="5214">
        <v>160010590000</v>
      </c>
      <c r="AA22" s="242">
        <v>183237766000</v>
      </c>
      <c r="AB22" s="243">
        <v>160010590000</v>
      </c>
      <c r="AC22" s="106" t="s">
        <v>3712</v>
      </c>
      <c r="AD22" s="66"/>
      <c r="AE22" s="106"/>
      <c r="AF22" s="242">
        <f>241147675000</f>
        <v>241147675000</v>
      </c>
      <c r="AG22" s="106" t="s">
        <v>3713</v>
      </c>
      <c r="AH22" s="3272">
        <v>208477885000</v>
      </c>
      <c r="AJ22" s="26"/>
      <c r="AL22" s="242">
        <v>241147675000</v>
      </c>
      <c r="AM22" s="243">
        <v>160010590000</v>
      </c>
      <c r="AN22" s="106" t="s">
        <v>3712</v>
      </c>
      <c r="AO22" s="66"/>
      <c r="AP22" s="106"/>
      <c r="AQ22" s="5215">
        <v>331001000000</v>
      </c>
      <c r="AR22" s="253" t="s">
        <v>3714</v>
      </c>
      <c r="AS22" s="3272"/>
      <c r="AT22" s="1"/>
      <c r="AU22" s="26"/>
      <c r="AV22" s="110" t="s">
        <v>1169</v>
      </c>
      <c r="AW22" s="112"/>
      <c r="AX22" s="113"/>
      <c r="AY22" s="106"/>
      <c r="AZ22" s="6651"/>
      <c r="BA22" s="106"/>
      <c r="BB22" s="164"/>
      <c r="BC22" s="253"/>
      <c r="BD22" s="276"/>
      <c r="BF22" s="26"/>
      <c r="BG22" s="110" t="s">
        <v>1169</v>
      </c>
      <c r="BH22" s="164"/>
      <c r="BI22" s="113"/>
      <c r="BJ22" s="106"/>
      <c r="BK22" s="8743"/>
      <c r="BL22" s="106"/>
      <c r="BM22" s="164"/>
      <c r="BN22" s="253"/>
      <c r="BO22" s="276"/>
    </row>
    <row r="23" spans="1:67" x14ac:dyDescent="0.35">
      <c r="A23" s="9168"/>
      <c r="B23" s="128"/>
      <c r="C23" s="129" t="s">
        <v>903</v>
      </c>
      <c r="D23" s="87"/>
      <c r="F23" s="130">
        <v>1261041184502</v>
      </c>
      <c r="G23" s="235"/>
      <c r="H23" s="131">
        <v>1472305250000</v>
      </c>
      <c r="I23" s="131">
        <v>1398832860900</v>
      </c>
      <c r="J23" s="133">
        <f t="shared" si="4"/>
        <v>0.95009704061029465</v>
      </c>
      <c r="L23" s="131">
        <v>1746660985000</v>
      </c>
      <c r="M23" s="92">
        <f>SUM(M18:M22)</f>
        <v>1651953087626.593</v>
      </c>
      <c r="O23" s="131">
        <v>1692761427000</v>
      </c>
      <c r="P23" s="92">
        <f t="shared" si="8"/>
        <v>1608287622251.9592</v>
      </c>
      <c r="Q23" s="106"/>
      <c r="R23" s="5216">
        <f>SUM(R18:R22)</f>
        <v>1777277308000</v>
      </c>
      <c r="S23" s="5216">
        <f>SUM(S18:S22)</f>
        <v>1685148683000</v>
      </c>
      <c r="T23" s="106"/>
      <c r="U23" s="66"/>
      <c r="V23" s="106"/>
      <c r="W23" s="5216">
        <f>SUM(W18:W22)</f>
        <v>2110752019000</v>
      </c>
      <c r="X23" s="106"/>
      <c r="Y23" s="5217">
        <f>SUM(Y18:Y22)</f>
        <v>2016072296000</v>
      </c>
      <c r="AA23" s="131">
        <f>SUM(AA18:AA22)</f>
        <v>1713574109000</v>
      </c>
      <c r="AB23" s="131">
        <f>SUM(AB18:AB22)</f>
        <v>1633972005000</v>
      </c>
      <c r="AC23" s="106"/>
      <c r="AD23" s="66"/>
      <c r="AE23" s="106"/>
      <c r="AF23" s="131">
        <f>SUM(AF18:AF22)</f>
        <v>1943204356000</v>
      </c>
      <c r="AG23" s="106"/>
      <c r="AH23" s="130">
        <f>SUM(AH18:AH22)</f>
        <v>1793111027000</v>
      </c>
      <c r="AJ23" s="24"/>
      <c r="AL23" s="131">
        <v>1943204356000</v>
      </c>
      <c r="AM23" s="131">
        <f>SUM(AM18:AM22)</f>
        <v>1633972005000</v>
      </c>
      <c r="AN23" s="106"/>
      <c r="AO23" s="66"/>
      <c r="AP23" s="106"/>
      <c r="AQ23" s="3304">
        <v>2330778938000</v>
      </c>
      <c r="AR23" s="253" t="s">
        <v>3715</v>
      </c>
      <c r="AS23" s="5218">
        <f>1860.646*1000000000</f>
        <v>1860646000000</v>
      </c>
      <c r="AT23" s="1"/>
      <c r="AU23" s="24" t="s">
        <v>3716</v>
      </c>
      <c r="AV23" s="129" t="s">
        <v>903</v>
      </c>
      <c r="AW23" s="131">
        <f>SUM(AW18:AW21)</f>
        <v>2207651000000</v>
      </c>
      <c r="AX23" s="132">
        <f>SUM(AX18:AX21)</f>
        <v>1789037000000</v>
      </c>
      <c r="AY23" s="216"/>
      <c r="AZ23" s="7212">
        <f t="shared" si="2"/>
        <v>0.8103803545034971</v>
      </c>
      <c r="BA23" s="106"/>
      <c r="BB23" s="214">
        <f>SUM(BB18:BB22)</f>
        <v>2261156000000</v>
      </c>
      <c r="BC23" s="265"/>
      <c r="BD23" s="658">
        <f>SUM(BD18:BD22)</f>
        <v>1994133000000</v>
      </c>
      <c r="BF23" s="24" t="s">
        <v>3716</v>
      </c>
      <c r="BG23" s="129" t="s">
        <v>903</v>
      </c>
      <c r="BH23" s="214">
        <f>SUM(BH18:BH22)</f>
        <v>2261156000000</v>
      </c>
      <c r="BI23" s="132">
        <f>SUM(BI18:BI21)</f>
        <v>1994133000000</v>
      </c>
      <c r="BJ23" s="216"/>
      <c r="BK23" s="8878">
        <f>BI23/BH23</f>
        <v>0.88190863434455646</v>
      </c>
      <c r="BL23" s="106"/>
      <c r="BM23" s="214">
        <f>SUM(BM18:BM22)</f>
        <v>2653484000000</v>
      </c>
      <c r="BN23" s="265"/>
      <c r="BO23" s="658">
        <f>SUM(BO18:BO22)</f>
        <v>2267312000000</v>
      </c>
    </row>
    <row r="24" spans="1:67" x14ac:dyDescent="0.35">
      <c r="A24" s="9168"/>
      <c r="B24" s="139" t="s">
        <v>904</v>
      </c>
      <c r="C24" s="49"/>
      <c r="D24" s="140"/>
      <c r="E24" s="141"/>
      <c r="F24" s="1578"/>
      <c r="G24" s="1579"/>
      <c r="H24" s="1580"/>
      <c r="I24" s="150"/>
      <c r="J24" s="146"/>
      <c r="K24" s="141"/>
      <c r="L24" s="147"/>
      <c r="M24" s="148"/>
      <c r="N24" s="141"/>
      <c r="O24" s="147"/>
      <c r="P24" s="148"/>
      <c r="Q24" s="312"/>
      <c r="R24" s="147"/>
      <c r="S24" s="150"/>
      <c r="T24" s="312"/>
      <c r="U24" s="157"/>
      <c r="V24" s="312"/>
      <c r="W24" s="1580"/>
      <c r="X24" s="312"/>
      <c r="Y24" s="5219"/>
      <c r="Z24" s="141"/>
      <c r="AA24" s="147"/>
      <c r="AB24" s="150"/>
      <c r="AC24" s="312"/>
      <c r="AD24" s="157"/>
      <c r="AE24" s="312"/>
      <c r="AF24" s="1580"/>
      <c r="AG24" s="312"/>
      <c r="AH24" s="5219"/>
      <c r="AI24" s="141"/>
      <c r="AJ24" s="18"/>
      <c r="AL24" s="147"/>
      <c r="AM24" s="150"/>
      <c r="AN24" s="312"/>
      <c r="AO24" s="157"/>
      <c r="AP24" s="312"/>
      <c r="AQ24" s="1580"/>
      <c r="AR24" s="312"/>
      <c r="AS24" s="5219"/>
      <c r="AT24" s="141"/>
      <c r="AU24" s="18"/>
      <c r="AV24" s="49"/>
      <c r="AW24" s="7215"/>
      <c r="AX24" s="7216"/>
      <c r="AY24" s="312"/>
      <c r="AZ24" s="7217"/>
      <c r="BA24" s="312"/>
      <c r="BB24" s="1580"/>
      <c r="BC24" s="152"/>
      <c r="BD24" s="5219"/>
      <c r="BF24" s="18"/>
      <c r="BG24" s="49"/>
      <c r="BH24" s="7215"/>
      <c r="BI24" s="7216"/>
      <c r="BJ24" s="312"/>
      <c r="BK24" s="7217"/>
      <c r="BL24" s="312"/>
      <c r="BM24" s="1580"/>
      <c r="BN24" s="152"/>
      <c r="BO24" s="5219"/>
    </row>
    <row r="25" spans="1:67" ht="24.25" customHeight="1" x14ac:dyDescent="0.35">
      <c r="A25" s="9168"/>
      <c r="B25" s="6082"/>
      <c r="C25" s="110" t="s">
        <v>905</v>
      </c>
      <c r="D25" s="60"/>
      <c r="F25" s="155">
        <v>266518700163</v>
      </c>
      <c r="G25" s="235"/>
      <c r="H25" s="117">
        <v>311840950000</v>
      </c>
      <c r="I25" s="115">
        <v>294238126226</v>
      </c>
      <c r="J25" s="64">
        <f t="shared" ref="J25:J28" si="9">IF(H25=0,0,I25/H25)</f>
        <v>0.9435519171744442</v>
      </c>
      <c r="L25" s="156">
        <v>332202754000</v>
      </c>
      <c r="M25" s="157">
        <f>L25*J25</f>
        <v>313450545427.33026</v>
      </c>
      <c r="O25" s="156">
        <v>349795175000</v>
      </c>
      <c r="P25" s="157">
        <f t="shared" ref="P25:P28" si="10">O25*J25</f>
        <v>330049907989.62024</v>
      </c>
      <c r="Q25" s="312"/>
      <c r="R25" s="156">
        <f>179406438000+6794282000+82524229000+2927000+98333107000</f>
        <v>367060983000</v>
      </c>
      <c r="S25" s="115">
        <f>175926833000+6621767000+77546434000+2807894000+97667006000</f>
        <v>360569934000</v>
      </c>
      <c r="T25" s="312"/>
      <c r="U25" s="157"/>
      <c r="V25" s="312"/>
      <c r="W25" s="117">
        <f>208930247000+6418277000+82728988000+112955360000</f>
        <v>411032872000</v>
      </c>
      <c r="X25" s="312"/>
      <c r="Y25" s="3265">
        <f>205883089000+6221518000+73105152000+108937825000</f>
        <v>394147584000</v>
      </c>
      <c r="AA25" s="156">
        <f>208930247000+6418277000+82728988000+112955360000</f>
        <v>411032872000</v>
      </c>
      <c r="AB25" s="115">
        <f>205883089000+6221518000+73105152000+108937825000</f>
        <v>394147584000</v>
      </c>
      <c r="AC25" s="312" t="s">
        <v>887</v>
      </c>
      <c r="AD25" s="157"/>
      <c r="AE25" s="312"/>
      <c r="AF25" s="117">
        <f>239672152000+4365801000+101754605000+116150559000</f>
        <v>461943117000</v>
      </c>
      <c r="AG25" s="312" t="s">
        <v>505</v>
      </c>
      <c r="AH25" s="3265">
        <f>230466447000+3362633000+85397042000+106980894000</f>
        <v>426207016000</v>
      </c>
      <c r="AJ25" s="26"/>
      <c r="AL25" s="156">
        <v>461943117000</v>
      </c>
      <c r="AM25" s="115">
        <f>205883089000+6221518000+73105152000+108937825000</f>
        <v>394147584000</v>
      </c>
      <c r="AN25" s="312" t="s">
        <v>887</v>
      </c>
      <c r="AO25" s="157"/>
      <c r="AP25" s="312"/>
      <c r="AQ25" s="3043">
        <v>518838052000</v>
      </c>
      <c r="AR25" s="2669" t="s">
        <v>3717</v>
      </c>
      <c r="AS25" s="5180">
        <f>471.037*1000000000</f>
        <v>471037000000</v>
      </c>
      <c r="AT25" s="1"/>
      <c r="AU25" s="26"/>
      <c r="AV25" s="110" t="s">
        <v>905</v>
      </c>
      <c r="AW25" s="117">
        <v>516409000000</v>
      </c>
      <c r="AX25" s="115">
        <v>471037000000</v>
      </c>
      <c r="AY25" s="5062" t="s">
        <v>3703</v>
      </c>
      <c r="AZ25" s="6651">
        <f t="shared" si="2"/>
        <v>0.91213940887939593</v>
      </c>
      <c r="BA25" s="312"/>
      <c r="BB25" s="200">
        <v>595600000000</v>
      </c>
      <c r="BC25" s="106" t="s">
        <v>3704</v>
      </c>
      <c r="BD25" s="273">
        <v>516679000000</v>
      </c>
      <c r="BF25" s="26"/>
      <c r="BG25" s="110" t="s">
        <v>905</v>
      </c>
      <c r="BH25" s="200">
        <v>595600000000</v>
      </c>
      <c r="BI25" s="115">
        <v>516679000000</v>
      </c>
      <c r="BJ25" s="254" t="s">
        <v>3705</v>
      </c>
      <c r="BK25" s="8743">
        <f>BI25/BH25</f>
        <v>0.86749328408327742</v>
      </c>
      <c r="BL25" s="312"/>
      <c r="BM25" s="200">
        <f>687.368*1000000000</f>
        <v>687368000000</v>
      </c>
      <c r="BN25" s="106" t="s">
        <v>3704</v>
      </c>
      <c r="BO25" s="273">
        <f>620.022*1000000000</f>
        <v>620022000000</v>
      </c>
    </row>
    <row r="26" spans="1:67" ht="29" x14ac:dyDescent="0.35">
      <c r="A26" s="9168"/>
      <c r="B26" s="6082"/>
      <c r="C26" s="110" t="s">
        <v>907</v>
      </c>
      <c r="D26" s="60">
        <v>1</v>
      </c>
      <c r="F26" s="155">
        <v>154923633119</v>
      </c>
      <c r="G26" s="235"/>
      <c r="H26" s="117">
        <v>180005145000</v>
      </c>
      <c r="I26" s="115">
        <v>168549921951</v>
      </c>
      <c r="J26" s="64">
        <f t="shared" si="9"/>
        <v>0.93636169094500044</v>
      </c>
      <c r="L26" s="156">
        <v>189490018000</v>
      </c>
      <c r="M26" s="157">
        <f>L26*J26</f>
        <v>177431193671.67856</v>
      </c>
      <c r="O26" s="156">
        <v>185544224000</v>
      </c>
      <c r="P26" s="157">
        <f t="shared" si="10"/>
        <v>173736503329.71793</v>
      </c>
      <c r="Q26" s="312"/>
      <c r="R26" s="156"/>
      <c r="S26" s="115"/>
      <c r="T26" s="312"/>
      <c r="U26" s="157"/>
      <c r="V26" s="312"/>
      <c r="W26" s="117"/>
      <c r="X26" s="312"/>
      <c r="Y26" s="3265"/>
      <c r="AA26" s="156"/>
      <c r="AB26" s="115"/>
      <c r="AC26" s="4901" t="s">
        <v>3718</v>
      </c>
      <c r="AD26" s="157"/>
      <c r="AE26" s="312"/>
      <c r="AF26" s="117"/>
      <c r="AG26" s="312"/>
      <c r="AH26" s="3265"/>
      <c r="AI26" s="70"/>
      <c r="AJ26" s="26" t="s">
        <v>3719</v>
      </c>
      <c r="AL26" s="156"/>
      <c r="AM26" s="115"/>
      <c r="AN26" s="4901" t="s">
        <v>3718</v>
      </c>
      <c r="AO26" s="157"/>
      <c r="AP26" s="312"/>
      <c r="AQ26" s="117"/>
      <c r="AR26" s="312"/>
      <c r="AS26" s="3265"/>
      <c r="AT26" s="1"/>
      <c r="AU26" s="26"/>
      <c r="AV26" s="110" t="s">
        <v>907</v>
      </c>
      <c r="AW26" s="117"/>
      <c r="AX26" s="115"/>
      <c r="AY26" s="2990"/>
      <c r="AZ26" s="6651"/>
      <c r="BA26" s="312"/>
      <c r="BB26" s="117"/>
      <c r="BC26" s="312"/>
      <c r="BD26" s="3265"/>
      <c r="BF26" s="26"/>
      <c r="BG26" s="110" t="s">
        <v>907</v>
      </c>
      <c r="BH26" s="117"/>
      <c r="BI26" s="115"/>
      <c r="BJ26" s="2990"/>
      <c r="BK26" s="8743"/>
      <c r="BL26" s="312"/>
      <c r="BM26" s="117"/>
      <c r="BN26" s="312"/>
      <c r="BO26" s="3265"/>
    </row>
    <row r="27" spans="1:67" x14ac:dyDescent="0.35">
      <c r="A27" s="9168"/>
      <c r="B27" s="6082"/>
      <c r="C27" s="110" t="s">
        <v>908</v>
      </c>
      <c r="D27" s="60">
        <v>2</v>
      </c>
      <c r="F27" s="155">
        <v>11197192000</v>
      </c>
      <c r="G27" s="235"/>
      <c r="H27" s="117">
        <v>16283644000</v>
      </c>
      <c r="I27" s="115">
        <v>16283644000</v>
      </c>
      <c r="J27" s="64">
        <f t="shared" si="9"/>
        <v>1</v>
      </c>
      <c r="L27" s="156">
        <v>21829416000</v>
      </c>
      <c r="M27" s="157">
        <f t="shared" ref="M27" si="11">L27*J27</f>
        <v>21829416000</v>
      </c>
      <c r="O27" s="156">
        <v>26000000000</v>
      </c>
      <c r="P27" s="157">
        <f t="shared" si="10"/>
        <v>26000000000</v>
      </c>
      <c r="Q27" s="312"/>
      <c r="R27" s="156"/>
      <c r="S27" s="115"/>
      <c r="T27" s="312"/>
      <c r="U27" s="157"/>
      <c r="V27" s="312"/>
      <c r="W27" s="117"/>
      <c r="X27" s="312"/>
      <c r="Y27" s="3265"/>
      <c r="AA27" s="166">
        <v>34156477000</v>
      </c>
      <c r="AB27" s="165">
        <v>34156477000</v>
      </c>
      <c r="AC27" s="2990" t="s">
        <v>3720</v>
      </c>
      <c r="AD27" s="157"/>
      <c r="AE27" s="312"/>
      <c r="AF27" s="164">
        <v>37508640000</v>
      </c>
      <c r="AG27" s="312"/>
      <c r="AH27" s="276">
        <v>37508640000</v>
      </c>
      <c r="AJ27" s="26" t="s">
        <v>3721</v>
      </c>
      <c r="AL27" s="166">
        <v>37508640000</v>
      </c>
      <c r="AM27" s="165">
        <v>34156477000</v>
      </c>
      <c r="AN27" s="2990" t="s">
        <v>3720</v>
      </c>
      <c r="AO27" s="157"/>
      <c r="AP27" s="312"/>
      <c r="AQ27" s="164"/>
      <c r="AR27" s="312"/>
      <c r="AS27" s="3265"/>
      <c r="AT27" s="1"/>
      <c r="AU27" s="26" t="s">
        <v>3722</v>
      </c>
      <c r="AV27" s="110" t="s">
        <v>908</v>
      </c>
      <c r="AW27" s="7218">
        <v>40000000000</v>
      </c>
      <c r="AX27" s="638">
        <v>53373000000</v>
      </c>
      <c r="AY27" s="2990" t="s">
        <v>3723</v>
      </c>
      <c r="AZ27" s="6651">
        <f t="shared" si="2"/>
        <v>1.334325</v>
      </c>
      <c r="BA27" s="312"/>
      <c r="BB27" s="7219"/>
      <c r="BC27" s="2990" t="s">
        <v>3724</v>
      </c>
      <c r="BD27" s="7220"/>
      <c r="BF27" s="26" t="s">
        <v>3722</v>
      </c>
      <c r="BG27" s="110" t="s">
        <v>908</v>
      </c>
      <c r="BH27" s="7219"/>
      <c r="BI27" s="7219"/>
      <c r="BJ27" s="2990" t="s">
        <v>3724</v>
      </c>
      <c r="BK27" s="8743"/>
      <c r="BL27" s="312"/>
      <c r="BM27" s="7219"/>
      <c r="BN27" s="2990" t="s">
        <v>3724</v>
      </c>
      <c r="BO27" s="7220"/>
    </row>
    <row r="28" spans="1:67" x14ac:dyDescent="0.35">
      <c r="A28" s="9168"/>
      <c r="B28" s="6082"/>
      <c r="C28" s="161" t="s">
        <v>910</v>
      </c>
      <c r="D28" s="162"/>
      <c r="F28" s="163"/>
      <c r="G28" s="235"/>
      <c r="H28" s="164"/>
      <c r="I28" s="165"/>
      <c r="J28" s="64">
        <f t="shared" si="9"/>
        <v>0</v>
      </c>
      <c r="L28" s="166"/>
      <c r="M28" s="157"/>
      <c r="O28" s="166"/>
      <c r="P28" s="157">
        <f t="shared" si="10"/>
        <v>0</v>
      </c>
      <c r="Q28" s="312"/>
      <c r="R28" s="166"/>
      <c r="S28" s="165"/>
      <c r="T28" s="312"/>
      <c r="U28" s="157"/>
      <c r="V28" s="312"/>
      <c r="W28" s="164"/>
      <c r="X28" s="312"/>
      <c r="Y28" s="276"/>
      <c r="AA28" s="166"/>
      <c r="AB28" s="165"/>
      <c r="AC28" s="2990"/>
      <c r="AD28" s="157"/>
      <c r="AE28" s="312"/>
      <c r="AF28" s="164"/>
      <c r="AG28" s="312"/>
      <c r="AH28" s="276"/>
      <c r="AJ28" s="26"/>
      <c r="AL28" s="166"/>
      <c r="AM28" s="165"/>
      <c r="AN28" s="2990"/>
      <c r="AO28" s="157"/>
      <c r="AP28" s="312"/>
      <c r="AQ28" s="164"/>
      <c r="AR28" s="312"/>
      <c r="AS28" s="276"/>
      <c r="AT28" s="1"/>
      <c r="AU28" s="26"/>
      <c r="AV28" s="161" t="s">
        <v>910</v>
      </c>
      <c r="AW28" s="117"/>
      <c r="AX28" s="649"/>
      <c r="AY28" s="2990"/>
      <c r="AZ28" s="7217"/>
      <c r="BA28" s="312"/>
      <c r="BB28" s="164"/>
      <c r="BC28" s="312"/>
      <c r="BD28" s="276"/>
      <c r="BF28" s="26"/>
      <c r="BG28" s="161" t="s">
        <v>910</v>
      </c>
      <c r="BH28" s="164"/>
      <c r="BI28" s="649"/>
      <c r="BJ28" s="2990"/>
      <c r="BK28" s="7217"/>
      <c r="BL28" s="312"/>
      <c r="BM28" s="164"/>
      <c r="BN28" s="312"/>
      <c r="BO28" s="276"/>
    </row>
    <row r="29" spans="1:67" x14ac:dyDescent="0.35">
      <c r="A29" s="9168"/>
      <c r="B29" s="128"/>
      <c r="C29" s="129" t="s">
        <v>914</v>
      </c>
      <c r="D29" s="87"/>
      <c r="F29" s="169">
        <f>F27/F26</f>
        <v>7.2275557799494725E-2</v>
      </c>
      <c r="G29" s="170"/>
      <c r="H29" s="171">
        <f t="shared" ref="H29:I29" si="12">H27/H26</f>
        <v>9.0462103180439651E-2</v>
      </c>
      <c r="I29" s="172">
        <f t="shared" si="12"/>
        <v>9.6610213825752467E-2</v>
      </c>
      <c r="J29" s="173"/>
      <c r="K29" s="170"/>
      <c r="L29" s="174">
        <f t="shared" ref="L29:M29" si="13">L27/L26</f>
        <v>0.11520087564718053</v>
      </c>
      <c r="M29" s="175">
        <f t="shared" si="13"/>
        <v>0.12303031698244386</v>
      </c>
      <c r="N29" s="176"/>
      <c r="O29" s="174">
        <f>O27/O26</f>
        <v>0.14012831787207777</v>
      </c>
      <c r="P29" s="175">
        <f t="shared" ref="P29" si="14">P27/P26</f>
        <v>0.14965191253249227</v>
      </c>
      <c r="Q29" s="1022"/>
      <c r="R29" s="174"/>
      <c r="S29" s="172"/>
      <c r="T29" s="178"/>
      <c r="U29" s="175"/>
      <c r="V29" s="1022"/>
      <c r="W29" s="171"/>
      <c r="X29" s="178"/>
      <c r="Y29" s="3049"/>
      <c r="Z29" s="176"/>
      <c r="AA29" s="1339">
        <f>AA27/AA25</f>
        <v>8.3099137141517967E-2</v>
      </c>
      <c r="AB29" s="172">
        <f>AB27/AB25</f>
        <v>8.6659105336543182E-2</v>
      </c>
      <c r="AC29" s="178"/>
      <c r="AD29" s="175"/>
      <c r="AE29" s="1022"/>
      <c r="AF29" s="171">
        <f>AF27/AF25</f>
        <v>8.1197529781572658E-2</v>
      </c>
      <c r="AG29" s="178"/>
      <c r="AH29" s="5220">
        <f>AH27/AH25</f>
        <v>8.8005684073487897E-2</v>
      </c>
      <c r="AI29" s="176"/>
      <c r="AJ29" s="24"/>
      <c r="AL29" s="1339">
        <v>8.1197529781572658E-2</v>
      </c>
      <c r="AM29" s="172">
        <f>AM27/AM25</f>
        <v>8.6659105336543182E-2</v>
      </c>
      <c r="AN29" s="178"/>
      <c r="AO29" s="175"/>
      <c r="AP29" s="1022"/>
      <c r="AQ29" s="1135">
        <f>AL29</f>
        <v>8.1197529781572658E-2</v>
      </c>
      <c r="AR29" s="5493" t="s">
        <v>3725</v>
      </c>
      <c r="AS29" s="3760">
        <f>AM29</f>
        <v>8.6659105336543182E-2</v>
      </c>
      <c r="AT29" s="176"/>
      <c r="AU29" s="24"/>
      <c r="AV29" s="129" t="s">
        <v>914</v>
      </c>
      <c r="AW29" s="6561">
        <f>AW27/AW25</f>
        <v>7.7457983884866452E-2</v>
      </c>
      <c r="AX29" s="493">
        <f>AX27/AX25</f>
        <v>0.11330957016115507</v>
      </c>
      <c r="AY29" s="498"/>
      <c r="AZ29" s="7221"/>
      <c r="BA29" s="5341"/>
      <c r="BB29" s="6005">
        <f>AW29</f>
        <v>7.7457983884866452E-2</v>
      </c>
      <c r="BC29" s="6009" t="s">
        <v>3726</v>
      </c>
      <c r="BD29" s="6010">
        <f>AX29</f>
        <v>0.11330957016115507</v>
      </c>
      <c r="BF29" s="24"/>
      <c r="BG29" s="129" t="s">
        <v>914</v>
      </c>
      <c r="BH29" s="1135">
        <f>AW29</f>
        <v>7.7457983884866452E-2</v>
      </c>
      <c r="BI29" s="172">
        <f>BH29</f>
        <v>7.7457983884866452E-2</v>
      </c>
      <c r="BJ29" s="178"/>
      <c r="BK29" s="8879"/>
      <c r="BL29" s="1022"/>
      <c r="BM29" s="1135">
        <f>BH29</f>
        <v>7.7457983884866452E-2</v>
      </c>
      <c r="BN29" s="5493" t="s">
        <v>3726</v>
      </c>
      <c r="BO29" s="3760">
        <f>BI29</f>
        <v>7.7457983884866452E-2</v>
      </c>
    </row>
    <row r="30" spans="1:67" x14ac:dyDescent="0.35">
      <c r="A30" s="9169"/>
      <c r="B30" s="499" t="s">
        <v>915</v>
      </c>
      <c r="C30" s="500"/>
      <c r="D30" s="501"/>
      <c r="F30" s="502"/>
      <c r="H30" s="503"/>
      <c r="I30" s="504"/>
      <c r="J30" s="3050">
        <f>IF(H30=0,0,I30/H30)</f>
        <v>0</v>
      </c>
      <c r="L30" s="503"/>
      <c r="M30" s="506"/>
      <c r="O30" s="503"/>
      <c r="P30" s="506">
        <f t="shared" ref="P30" si="15">O30*J30</f>
        <v>0</v>
      </c>
      <c r="Q30" s="312"/>
      <c r="R30" s="503"/>
      <c r="S30" s="504"/>
      <c r="T30" s="3052"/>
      <c r="U30" s="506"/>
      <c r="V30" s="312"/>
      <c r="W30" s="503"/>
      <c r="X30" s="3052"/>
      <c r="Y30" s="5221"/>
      <c r="AA30" s="503"/>
      <c r="AB30" s="504"/>
      <c r="AC30" s="3052"/>
      <c r="AD30" s="506"/>
      <c r="AE30" s="312"/>
      <c r="AF30" s="503"/>
      <c r="AG30" s="3052"/>
      <c r="AH30" s="5221"/>
      <c r="AJ30" s="509"/>
      <c r="AL30" s="503"/>
      <c r="AM30" s="504"/>
      <c r="AN30" s="3052"/>
      <c r="AO30" s="506"/>
      <c r="AP30" s="312"/>
      <c r="AQ30" s="503"/>
      <c r="AR30" s="3052"/>
      <c r="AS30" s="5221"/>
      <c r="AT30" s="1"/>
      <c r="AU30" s="509"/>
      <c r="AV30" s="500"/>
      <c r="AW30" s="503"/>
      <c r="AX30" s="504"/>
      <c r="AY30" s="3052"/>
      <c r="AZ30" s="7222"/>
      <c r="BA30" s="312"/>
      <c r="BB30" s="503"/>
      <c r="BC30" s="3052"/>
      <c r="BD30" s="5221"/>
      <c r="BF30" s="509"/>
      <c r="BG30" s="500"/>
      <c r="BH30" s="503"/>
      <c r="BI30" s="504"/>
      <c r="BJ30" s="3052"/>
      <c r="BK30" s="7222"/>
      <c r="BL30" s="312"/>
      <c r="BM30" s="503"/>
      <c r="BN30" s="3052"/>
      <c r="BO30" s="5221"/>
    </row>
    <row r="31" spans="1:67" x14ac:dyDescent="0.35">
      <c r="A31" s="220"/>
      <c r="B31" s="220"/>
      <c r="F31" s="106"/>
      <c r="H31" s="106"/>
      <c r="I31" s="106"/>
      <c r="J31" s="221"/>
      <c r="L31" s="106"/>
      <c r="O31" s="106"/>
      <c r="R31" s="106"/>
      <c r="S31" s="106"/>
      <c r="W31" s="106"/>
      <c r="Y31" s="106"/>
      <c r="AA31" s="106"/>
      <c r="AB31" s="106"/>
      <c r="AF31" s="106"/>
      <c r="AH31" s="106"/>
      <c r="AL31" s="106"/>
      <c r="AM31" s="106"/>
      <c r="AQ31" s="106"/>
      <c r="AS31" s="106"/>
      <c r="AT31" s="1"/>
      <c r="AW31" s="106"/>
      <c r="AX31" s="106"/>
      <c r="BB31" s="106"/>
      <c r="BD31" s="106"/>
      <c r="BH31" s="106"/>
      <c r="BI31" s="106"/>
      <c r="BM31" s="106"/>
      <c r="BO31" s="106"/>
    </row>
    <row r="32" spans="1:67" ht="27.75" customHeight="1" x14ac:dyDescent="0.35">
      <c r="A32" s="9167" t="s">
        <v>916</v>
      </c>
      <c r="B32" s="27"/>
      <c r="C32" s="28" t="s">
        <v>427</v>
      </c>
      <c r="D32" s="42" t="s">
        <v>428</v>
      </c>
      <c r="E32" s="30"/>
      <c r="F32" s="31" t="s">
        <v>1126</v>
      </c>
      <c r="G32" s="510"/>
      <c r="H32" s="31" t="s">
        <v>1126</v>
      </c>
      <c r="I32" s="31" t="s">
        <v>1126</v>
      </c>
      <c r="J32" s="224"/>
      <c r="K32" s="223"/>
      <c r="L32" s="31" t="s">
        <v>1126</v>
      </c>
      <c r="M32" s="34" t="s">
        <v>857</v>
      </c>
      <c r="N32" s="30"/>
      <c r="O32" s="31" t="s">
        <v>1126</v>
      </c>
      <c r="P32" s="34" t="s">
        <v>857</v>
      </c>
      <c r="Q32" s="1540"/>
      <c r="R32" s="36"/>
      <c r="S32" s="36"/>
      <c r="T32" s="5222"/>
      <c r="U32" s="3936"/>
      <c r="V32" s="1540"/>
      <c r="W32" s="36"/>
      <c r="X32" s="5222"/>
      <c r="Y32" s="36"/>
      <c r="Z32" s="30"/>
      <c r="AA32" s="36"/>
      <c r="AB32" s="36"/>
      <c r="AC32" s="5222"/>
      <c r="AD32" s="3936"/>
      <c r="AE32" s="1540"/>
      <c r="AF32" s="36"/>
      <c r="AG32" s="5222"/>
      <c r="AH32" s="36"/>
      <c r="AI32" s="30"/>
      <c r="AJ32" s="39"/>
      <c r="AL32" s="36"/>
      <c r="AM32" s="36"/>
      <c r="AN32" s="5222"/>
      <c r="AO32" s="3936"/>
      <c r="AP32" s="1540"/>
      <c r="AQ32" s="36"/>
      <c r="AR32" s="5222"/>
      <c r="AS32" s="36"/>
      <c r="AT32" s="30"/>
      <c r="AU32" s="39"/>
      <c r="AV32" s="28" t="s">
        <v>427</v>
      </c>
      <c r="AW32" s="36"/>
      <c r="AX32" s="36"/>
      <c r="AY32" s="5222"/>
      <c r="AZ32" s="851"/>
      <c r="BA32" s="1540"/>
      <c r="BB32" s="36"/>
      <c r="BC32" s="5222"/>
      <c r="BD32" s="36"/>
      <c r="BF32" s="39"/>
      <c r="BG32" s="28" t="s">
        <v>427</v>
      </c>
      <c r="BH32" s="36"/>
      <c r="BI32" s="36"/>
      <c r="BJ32" s="5222"/>
      <c r="BK32" s="851"/>
      <c r="BL32" s="1540"/>
      <c r="BM32" s="36"/>
      <c r="BN32" s="5222"/>
      <c r="BO32" s="36"/>
    </row>
    <row r="33" spans="1:67" x14ac:dyDescent="0.35">
      <c r="A33" s="9168"/>
      <c r="B33" s="141" t="s">
        <v>925</v>
      </c>
      <c r="C33"/>
      <c r="D33" s="140"/>
      <c r="E33" s="143"/>
      <c r="F33" s="3778" t="s">
        <v>3727</v>
      </c>
      <c r="G33" s="143"/>
      <c r="H33" s="3778" t="s">
        <v>3727</v>
      </c>
      <c r="I33" s="3778" t="s">
        <v>3727</v>
      </c>
      <c r="J33" s="228"/>
      <c r="K33" s="143"/>
      <c r="L33" s="3778" t="s">
        <v>3727</v>
      </c>
      <c r="M33" s="229"/>
      <c r="N33" s="143"/>
      <c r="O33" s="3778" t="s">
        <v>3727</v>
      </c>
      <c r="P33" s="229"/>
      <c r="R33" s="102"/>
      <c r="S33" s="103"/>
      <c r="T33" s="348"/>
      <c r="U33" s="49"/>
      <c r="W33" s="102"/>
      <c r="X33" s="348"/>
      <c r="Y33" s="105"/>
      <c r="Z33" s="143"/>
      <c r="AA33" s="102"/>
      <c r="AB33" s="103"/>
      <c r="AC33" s="348"/>
      <c r="AD33" s="49"/>
      <c r="AF33" s="102"/>
      <c r="AG33" s="348"/>
      <c r="AH33" s="105"/>
      <c r="AI33" s="143"/>
      <c r="AJ33" s="18"/>
      <c r="AL33" s="102"/>
      <c r="AM33" s="103"/>
      <c r="AN33" s="348"/>
      <c r="AO33" s="49"/>
      <c r="AQ33" s="102"/>
      <c r="AR33" s="348"/>
      <c r="AS33" s="105"/>
      <c r="AT33" s="143"/>
      <c r="AU33" s="18"/>
      <c r="AV33" s="18"/>
      <c r="AW33" s="102"/>
      <c r="AX33" s="103"/>
      <c r="AY33" s="348"/>
      <c r="AZ33" s="49"/>
      <c r="BB33" s="102"/>
      <c r="BC33" s="348"/>
      <c r="BD33" s="105"/>
      <c r="BF33" s="18"/>
      <c r="BG33" s="18"/>
      <c r="BH33" s="102"/>
      <c r="BI33" s="103"/>
      <c r="BJ33" s="348"/>
      <c r="BK33" s="49"/>
      <c r="BM33" s="102"/>
      <c r="BN33" s="348"/>
      <c r="BO33" s="105"/>
    </row>
    <row r="34" spans="1:67" x14ac:dyDescent="0.35">
      <c r="A34" s="9168"/>
      <c r="B34" s="232"/>
      <c r="C34" s="232" t="s">
        <v>3728</v>
      </c>
      <c r="D34" s="60"/>
      <c r="F34" s="111">
        <v>68794264650</v>
      </c>
      <c r="H34" s="112">
        <v>29652252000</v>
      </c>
      <c r="I34" s="113">
        <v>29026177984</v>
      </c>
      <c r="J34" s="64">
        <f>IF(H34=0,0,I34/H34)</f>
        <v>0.97888612251103224</v>
      </c>
      <c r="L34" s="112">
        <v>42182564000</v>
      </c>
      <c r="M34" s="157">
        <f t="shared" ref="M34:M36" si="16">L34*J34</f>
        <v>41291926511.533455</v>
      </c>
      <c r="O34" s="112">
        <v>53474288000</v>
      </c>
      <c r="P34" s="157">
        <f t="shared" ref="P34:P38" si="17">O34*J34</f>
        <v>52345238434.358223</v>
      </c>
      <c r="Q34" s="312"/>
      <c r="R34" s="112">
        <f>277812485000-R35</f>
        <v>262778165000</v>
      </c>
      <c r="S34" s="115">
        <f>294299750000-S35</f>
        <v>292504210000</v>
      </c>
      <c r="T34" s="2990" t="s">
        <v>3729</v>
      </c>
      <c r="U34" s="157"/>
      <c r="V34" s="312"/>
      <c r="W34" s="112">
        <f>323325000000-W35</f>
        <v>319542055000</v>
      </c>
      <c r="X34" s="2990" t="s">
        <v>3730</v>
      </c>
      <c r="Y34" s="3254">
        <f>303585000000-Y35</f>
        <v>299802062000</v>
      </c>
      <c r="AA34" s="112">
        <v>323325000000</v>
      </c>
      <c r="AB34" s="115">
        <v>303585000000</v>
      </c>
      <c r="AC34" s="2990" t="s">
        <v>3730</v>
      </c>
      <c r="AD34" s="157"/>
      <c r="AE34" s="312"/>
      <c r="AF34" s="112">
        <v>340011000000</v>
      </c>
      <c r="AG34" s="2990" t="s">
        <v>3731</v>
      </c>
      <c r="AH34" s="3254">
        <v>320992000000</v>
      </c>
      <c r="AJ34" s="26"/>
      <c r="AL34" s="112">
        <v>340011000000</v>
      </c>
      <c r="AM34" s="5179">
        <f>266689557*1000</f>
        <v>266689557000</v>
      </c>
      <c r="AN34" s="2990" t="s">
        <v>3732</v>
      </c>
      <c r="AO34" s="157"/>
      <c r="AP34" s="312"/>
      <c r="AQ34" s="3306">
        <f>300713588*1000</f>
        <v>300713588000</v>
      </c>
      <c r="AR34" s="2990" t="s">
        <v>3732</v>
      </c>
      <c r="AS34" s="5207">
        <f>273348660*1000</f>
        <v>273348660000</v>
      </c>
      <c r="AT34" s="1"/>
      <c r="AU34" s="26" t="s">
        <v>3733</v>
      </c>
      <c r="AV34" s="7223" t="s">
        <v>3734</v>
      </c>
      <c r="AW34" s="112">
        <v>374991774000</v>
      </c>
      <c r="AX34" s="113">
        <v>341915129000</v>
      </c>
      <c r="AY34" s="2990" t="s">
        <v>3735</v>
      </c>
      <c r="AZ34" s="6651">
        <f>AX34/AW34</f>
        <v>0.91179367843946357</v>
      </c>
      <c r="BA34" s="312"/>
      <c r="BB34" s="647">
        <v>383019116000</v>
      </c>
      <c r="BC34" s="2990" t="s">
        <v>3736</v>
      </c>
      <c r="BD34" s="1034">
        <v>363593950000</v>
      </c>
      <c r="BF34" s="26" t="s">
        <v>3733</v>
      </c>
      <c r="BG34" s="7223" t="s">
        <v>3734</v>
      </c>
      <c r="BH34" s="647">
        <v>383019116000</v>
      </c>
      <c r="BI34" s="113">
        <v>363593950000</v>
      </c>
      <c r="BJ34" s="2990" t="s">
        <v>3737</v>
      </c>
      <c r="BK34" s="8743">
        <f>BI34/BH34</f>
        <v>0.94928408220753135</v>
      </c>
      <c r="BL34" s="312"/>
      <c r="BM34" s="647">
        <v>436087358000</v>
      </c>
      <c r="BN34" s="2990" t="s">
        <v>3738</v>
      </c>
      <c r="BO34" s="1034">
        <v>401945333000</v>
      </c>
    </row>
    <row r="35" spans="1:67" x14ac:dyDescent="0.35">
      <c r="A35" s="9168"/>
      <c r="B35" s="232"/>
      <c r="C35" s="232"/>
      <c r="D35" s="60"/>
      <c r="F35" s="111"/>
      <c r="H35" s="112"/>
      <c r="I35" s="113"/>
      <c r="J35" s="64"/>
      <c r="L35" s="112"/>
      <c r="M35" s="157"/>
      <c r="O35" s="112"/>
      <c r="P35" s="157"/>
      <c r="Q35" s="312"/>
      <c r="R35" s="112">
        <f>14400500000+633820000</f>
        <v>15034320000</v>
      </c>
      <c r="S35" s="115">
        <f>1258966000+536574000</f>
        <v>1795540000</v>
      </c>
      <c r="T35" s="2990" t="s">
        <v>3739</v>
      </c>
      <c r="U35" s="157"/>
      <c r="V35" s="312"/>
      <c r="W35" s="112">
        <f>1636882000+2146063000</f>
        <v>3782945000</v>
      </c>
      <c r="X35" s="2990"/>
      <c r="Y35" s="3254">
        <f>1636877000+2146061000</f>
        <v>3782938000</v>
      </c>
      <c r="AA35" s="112"/>
      <c r="AB35" s="115"/>
      <c r="AC35" s="2990"/>
      <c r="AD35" s="157"/>
      <c r="AE35" s="312"/>
      <c r="AF35" s="112"/>
      <c r="AG35" s="2990"/>
      <c r="AH35" s="3254"/>
      <c r="AJ35" s="26"/>
      <c r="AL35" s="112"/>
      <c r="AM35" s="115"/>
      <c r="AN35" s="2990"/>
      <c r="AO35" s="157"/>
      <c r="AP35" s="312"/>
      <c r="AQ35" s="112"/>
      <c r="AR35" s="2990"/>
      <c r="AS35" s="3254"/>
      <c r="AT35" s="1"/>
      <c r="AU35" s="26"/>
      <c r="AV35" s="7223"/>
      <c r="AW35" s="112"/>
      <c r="AX35" s="115"/>
      <c r="AY35" s="2990"/>
      <c r="AZ35" s="6651"/>
      <c r="BA35" s="312"/>
      <c r="BB35" s="248"/>
      <c r="BC35" s="2990"/>
      <c r="BD35" s="1034"/>
      <c r="BF35" s="26"/>
      <c r="BG35" s="7223"/>
      <c r="BH35" s="248"/>
      <c r="BI35" s="115"/>
      <c r="BJ35" s="2990"/>
      <c r="BK35" s="8743"/>
      <c r="BL35" s="312"/>
      <c r="BM35" s="248"/>
      <c r="BN35" s="2990"/>
      <c r="BO35" s="1034"/>
    </row>
    <row r="36" spans="1:67" x14ac:dyDescent="0.35">
      <c r="A36" s="9168"/>
      <c r="B36" s="232"/>
      <c r="C36" s="232" t="s">
        <v>3740</v>
      </c>
      <c r="D36" s="60"/>
      <c r="F36" s="155">
        <v>8042403591</v>
      </c>
      <c r="H36" s="117">
        <v>5948126000</v>
      </c>
      <c r="I36" s="115">
        <v>5024808830</v>
      </c>
      <c r="J36" s="64">
        <f>IF(H36=0,0,I36/H36)</f>
        <v>0.84477175332197063</v>
      </c>
      <c r="L36" s="117">
        <v>9014352000</v>
      </c>
      <c r="M36" s="157">
        <f t="shared" si="16"/>
        <v>7615069944.1014128</v>
      </c>
      <c r="O36" s="117">
        <v>23102859000</v>
      </c>
      <c r="P36" s="157">
        <f t="shared" si="17"/>
        <v>19516642704.180267</v>
      </c>
      <c r="Q36" s="312"/>
      <c r="R36" s="117"/>
      <c r="S36" s="115"/>
      <c r="T36" s="5223"/>
      <c r="U36" s="157"/>
      <c r="V36" s="312"/>
      <c r="W36" s="117"/>
      <c r="X36" s="312"/>
      <c r="Y36" s="3265"/>
      <c r="AA36" s="117"/>
      <c r="AB36" s="115"/>
      <c r="AC36" s="5223"/>
      <c r="AD36" s="157"/>
      <c r="AE36" s="312"/>
      <c r="AF36" s="117"/>
      <c r="AG36" s="312"/>
      <c r="AH36" s="3265"/>
      <c r="AJ36" s="26"/>
      <c r="AL36" s="117"/>
      <c r="AM36" s="115"/>
      <c r="AN36" s="5223"/>
      <c r="AO36" s="157"/>
      <c r="AP36" s="312"/>
      <c r="AQ36" s="117"/>
      <c r="AR36" s="312"/>
      <c r="AS36" s="3265"/>
      <c r="AT36" s="1"/>
      <c r="AU36" s="26"/>
      <c r="AV36" s="7223" t="s">
        <v>3741</v>
      </c>
      <c r="AW36" s="117"/>
      <c r="AX36" s="115"/>
      <c r="AY36" s="5223"/>
      <c r="AZ36" s="6651"/>
      <c r="BA36" s="312"/>
      <c r="BB36" s="200"/>
      <c r="BC36" s="312"/>
      <c r="BD36" s="273"/>
      <c r="BF36" s="26"/>
      <c r="BG36" s="7223" t="s">
        <v>3741</v>
      </c>
      <c r="BH36" s="200"/>
      <c r="BI36" s="115"/>
      <c r="BJ36" s="5223"/>
      <c r="BK36" s="8743"/>
      <c r="BL36" s="312"/>
      <c r="BM36" s="200"/>
      <c r="BN36" s="312"/>
      <c r="BO36" s="273"/>
    </row>
    <row r="37" spans="1:67" x14ac:dyDescent="0.35">
      <c r="A37" s="9168"/>
      <c r="B37" s="232"/>
      <c r="C37" s="232" t="s">
        <v>937</v>
      </c>
      <c r="D37" s="60"/>
      <c r="F37" s="163"/>
      <c r="H37" s="242"/>
      <c r="I37" s="243"/>
      <c r="J37" s="64">
        <f>IF(H37=0,0,I37/H37)</f>
        <v>0</v>
      </c>
      <c r="L37" s="242"/>
      <c r="M37" s="157"/>
      <c r="O37" s="242"/>
      <c r="P37" s="157">
        <f t="shared" si="17"/>
        <v>0</v>
      </c>
      <c r="Q37" s="312"/>
      <c r="R37" s="242"/>
      <c r="S37" s="243"/>
      <c r="T37" s="490"/>
      <c r="U37" s="157"/>
      <c r="V37" s="312"/>
      <c r="W37" s="242"/>
      <c r="X37" s="312"/>
      <c r="Y37" s="3272"/>
      <c r="AA37" s="242"/>
      <c r="AB37" s="243"/>
      <c r="AC37" s="490"/>
      <c r="AD37" s="157"/>
      <c r="AE37" s="312"/>
      <c r="AF37" s="242"/>
      <c r="AG37" s="312"/>
      <c r="AH37" s="3272"/>
      <c r="AJ37" s="26"/>
      <c r="AL37" s="242"/>
      <c r="AM37" s="5224">
        <f>63625120*1000</f>
        <v>63625120000</v>
      </c>
      <c r="AN37" s="490" t="s">
        <v>3742</v>
      </c>
      <c r="AO37" s="157"/>
      <c r="AP37" s="312"/>
      <c r="AQ37" s="5215">
        <f>69610256*1000</f>
        <v>69610256000</v>
      </c>
      <c r="AR37" s="490" t="s">
        <v>3742</v>
      </c>
      <c r="AS37" s="5191">
        <f>56399892*1000</f>
        <v>56399892000</v>
      </c>
      <c r="AT37" s="1"/>
      <c r="AU37" s="26"/>
      <c r="AV37" s="7223" t="s">
        <v>1286</v>
      </c>
      <c r="AW37" s="242">
        <v>7500000000</v>
      </c>
      <c r="AX37" s="638">
        <v>190000000</v>
      </c>
      <c r="AY37" s="2990" t="s">
        <v>3743</v>
      </c>
      <c r="AZ37" s="6651">
        <f>AX37/AW37</f>
        <v>2.5333333333333333E-2</v>
      </c>
      <c r="BA37" s="312"/>
      <c r="BB37" s="647">
        <v>0</v>
      </c>
      <c r="BC37" s="490" t="s">
        <v>3744</v>
      </c>
      <c r="BD37" s="276">
        <v>0</v>
      </c>
      <c r="BF37" s="26"/>
      <c r="BG37" s="7223" t="s">
        <v>1286</v>
      </c>
      <c r="BH37" s="647">
        <v>0</v>
      </c>
      <c r="BI37" s="638"/>
      <c r="BJ37" s="2990" t="s">
        <v>3743</v>
      </c>
      <c r="BK37" s="8743"/>
      <c r="BL37" s="312"/>
      <c r="BM37" s="647">
        <v>0</v>
      </c>
      <c r="BN37" s="490" t="s">
        <v>3744</v>
      </c>
      <c r="BO37" s="276">
        <v>0</v>
      </c>
    </row>
    <row r="38" spans="1:67" x14ac:dyDescent="0.35">
      <c r="A38" s="9168"/>
      <c r="B38" s="232"/>
      <c r="C38" s="232" t="s">
        <v>937</v>
      </c>
      <c r="D38" s="60"/>
      <c r="F38" s="163"/>
      <c r="H38" s="242"/>
      <c r="I38" s="243"/>
      <c r="J38" s="64">
        <f>IF(H38=0,0,I38/H38)</f>
        <v>0</v>
      </c>
      <c r="L38" s="242"/>
      <c r="M38" s="157"/>
      <c r="O38" s="242"/>
      <c r="P38" s="157">
        <f t="shared" si="17"/>
        <v>0</v>
      </c>
      <c r="Q38" s="312"/>
      <c r="R38" s="242"/>
      <c r="S38" s="243"/>
      <c r="T38" s="490"/>
      <c r="U38" s="157"/>
      <c r="V38" s="312"/>
      <c r="W38" s="242"/>
      <c r="X38" s="312"/>
      <c r="Y38" s="3272"/>
      <c r="AA38" s="242"/>
      <c r="AB38" s="243"/>
      <c r="AC38" s="490"/>
      <c r="AD38" s="157"/>
      <c r="AE38" s="312"/>
      <c r="AF38" s="242"/>
      <c r="AG38" s="312"/>
      <c r="AH38" s="3272"/>
      <c r="AJ38" s="26"/>
      <c r="AL38" s="242"/>
      <c r="AM38" s="243"/>
      <c r="AN38" s="490"/>
      <c r="AO38" s="157"/>
      <c r="AP38" s="312"/>
      <c r="AQ38" s="242"/>
      <c r="AR38" s="312"/>
      <c r="AS38" s="3272"/>
      <c r="AT38" s="1"/>
      <c r="AU38" s="26"/>
      <c r="AV38" s="7223" t="s">
        <v>937</v>
      </c>
      <c r="AW38" s="242">
        <v>5000000000</v>
      </c>
      <c r="AX38" s="243">
        <v>3295000000</v>
      </c>
      <c r="AY38" s="490"/>
      <c r="AZ38" s="6651">
        <f>AX38/AW38</f>
        <v>0.65900000000000003</v>
      </c>
      <c r="BA38" s="312"/>
      <c r="BB38" s="164"/>
      <c r="BC38" s="312"/>
      <c r="BD38" s="276"/>
      <c r="BF38" s="26"/>
      <c r="BG38" s="7223" t="s">
        <v>937</v>
      </c>
      <c r="BH38" s="164"/>
      <c r="BI38" s="243"/>
      <c r="BJ38" s="490"/>
      <c r="BK38" s="8743"/>
      <c r="BL38" s="312"/>
      <c r="BM38" s="164"/>
      <c r="BN38" s="312"/>
      <c r="BO38" s="276"/>
    </row>
    <row r="39" spans="1:67" x14ac:dyDescent="0.35">
      <c r="A39" s="9168"/>
      <c r="B39" s="141" t="s">
        <v>940</v>
      </c>
      <c r="C39"/>
      <c r="D39" s="60"/>
      <c r="E39" s="143"/>
      <c r="F39" s="168"/>
      <c r="G39" s="143"/>
      <c r="H39" s="245"/>
      <c r="I39" s="106"/>
      <c r="J39" s="246"/>
      <c r="K39" s="143"/>
      <c r="L39" s="245"/>
      <c r="M39" s="247"/>
      <c r="N39" s="143"/>
      <c r="O39" s="245"/>
      <c r="P39" s="247"/>
      <c r="Q39" s="254"/>
      <c r="R39" s="245"/>
      <c r="S39" s="106"/>
      <c r="T39" s="254"/>
      <c r="U39" s="247"/>
      <c r="V39" s="254"/>
      <c r="W39" s="245"/>
      <c r="X39" s="254"/>
      <c r="Y39" s="66"/>
      <c r="Z39" s="143"/>
      <c r="AA39" s="245"/>
      <c r="AB39" s="106"/>
      <c r="AC39" s="254"/>
      <c r="AD39" s="247"/>
      <c r="AE39" s="254"/>
      <c r="AF39" s="245"/>
      <c r="AG39" s="254"/>
      <c r="AH39" s="66"/>
      <c r="AI39" s="143"/>
      <c r="AJ39" s="26"/>
      <c r="AL39" s="245"/>
      <c r="AM39" s="106"/>
      <c r="AN39" s="254"/>
      <c r="AO39" s="247"/>
      <c r="AP39" s="254"/>
      <c r="AQ39" s="245"/>
      <c r="AR39" s="254"/>
      <c r="AS39" s="66"/>
      <c r="AT39" s="143"/>
      <c r="AU39" s="26"/>
      <c r="AV39" s="26"/>
      <c r="AW39" s="245"/>
      <c r="AX39" s="106"/>
      <c r="AY39" s="254"/>
      <c r="AZ39" s="247"/>
      <c r="BA39" s="254"/>
      <c r="BB39" s="245"/>
      <c r="BC39" s="254"/>
      <c r="BD39" s="66"/>
      <c r="BF39" s="26"/>
      <c r="BG39" s="26"/>
      <c r="BH39" s="245"/>
      <c r="BI39" s="106"/>
      <c r="BJ39" s="254"/>
      <c r="BK39" s="247"/>
      <c r="BL39" s="254"/>
      <c r="BM39" s="245"/>
      <c r="BN39" s="254"/>
      <c r="BO39" s="66"/>
    </row>
    <row r="40" spans="1:67" x14ac:dyDescent="0.35">
      <c r="A40" s="9168"/>
      <c r="B40" s="232"/>
      <c r="C40" s="232" t="s">
        <v>941</v>
      </c>
      <c r="D40" s="60"/>
      <c r="F40" s="111"/>
      <c r="H40" s="112"/>
      <c r="I40" s="113"/>
      <c r="J40" s="64">
        <f>IF(H40=0,0,I40/H40)</f>
        <v>0</v>
      </c>
      <c r="L40" s="112"/>
      <c r="M40" s="157"/>
      <c r="O40" s="112"/>
      <c r="P40" s="157">
        <f>O40*J40</f>
        <v>0</v>
      </c>
      <c r="Q40" s="312"/>
      <c r="R40" s="112"/>
      <c r="S40" s="113"/>
      <c r="T40" s="312"/>
      <c r="U40" s="157"/>
      <c r="V40" s="312"/>
      <c r="W40" s="112"/>
      <c r="X40" s="312"/>
      <c r="Y40" s="3254"/>
      <c r="AA40" s="112"/>
      <c r="AB40" s="113"/>
      <c r="AC40" s="312"/>
      <c r="AD40" s="157"/>
      <c r="AE40" s="312"/>
      <c r="AF40" s="112"/>
      <c r="AG40" s="312"/>
      <c r="AH40" s="3254"/>
      <c r="AJ40" s="26"/>
      <c r="AL40" s="112"/>
      <c r="AM40" s="113"/>
      <c r="AN40" s="312"/>
      <c r="AO40" s="157"/>
      <c r="AP40" s="312"/>
      <c r="AQ40" s="112"/>
      <c r="AR40" s="312"/>
      <c r="AS40" s="3254"/>
      <c r="AT40" s="1"/>
      <c r="AU40" s="26"/>
      <c r="AV40" s="7223" t="s">
        <v>941</v>
      </c>
      <c r="AW40" s="112"/>
      <c r="AX40" s="113"/>
      <c r="AY40" s="2990"/>
      <c r="AZ40" s="7217"/>
      <c r="BA40" s="312"/>
      <c r="BB40" s="248"/>
      <c r="BC40" s="312"/>
      <c r="BD40" s="1034"/>
      <c r="BF40" s="26"/>
      <c r="BG40" s="7223" t="s">
        <v>941</v>
      </c>
      <c r="BH40" s="248"/>
      <c r="BI40" s="113"/>
      <c r="BJ40" s="2990"/>
      <c r="BK40" s="7217"/>
      <c r="BL40" s="312"/>
      <c r="BM40" s="248"/>
      <c r="BN40" s="312"/>
      <c r="BO40" s="1034"/>
    </row>
    <row r="41" spans="1:67" x14ac:dyDescent="0.35">
      <c r="A41" s="9168"/>
      <c r="B41" s="232"/>
      <c r="C41" s="232" t="s">
        <v>942</v>
      </c>
      <c r="D41" s="60"/>
      <c r="F41" s="155"/>
      <c r="H41" s="117"/>
      <c r="I41" s="115"/>
      <c r="J41" s="64">
        <f>IF(H41=0,0,I41/H41)</f>
        <v>0</v>
      </c>
      <c r="L41" s="117"/>
      <c r="M41" s="157"/>
      <c r="O41" s="117"/>
      <c r="P41" s="157">
        <f t="shared" ref="P41:P42" si="18">O41*J41</f>
        <v>0</v>
      </c>
      <c r="Q41" s="312"/>
      <c r="R41" s="117"/>
      <c r="S41" s="115"/>
      <c r="T41" s="312"/>
      <c r="U41" s="157"/>
      <c r="V41" s="312"/>
      <c r="W41" s="117"/>
      <c r="X41" s="312"/>
      <c r="Y41" s="3265"/>
      <c r="AA41" s="117"/>
      <c r="AB41" s="115"/>
      <c r="AC41" s="312"/>
      <c r="AD41" s="157"/>
      <c r="AE41" s="312"/>
      <c r="AF41" s="117"/>
      <c r="AG41" s="312"/>
      <c r="AH41" s="3265"/>
      <c r="AJ41" s="26"/>
      <c r="AL41" s="117"/>
      <c r="AM41" s="115"/>
      <c r="AN41" s="312"/>
      <c r="AO41" s="157"/>
      <c r="AP41" s="312"/>
      <c r="AQ41" s="117"/>
      <c r="AR41" s="312"/>
      <c r="AS41" s="3265"/>
      <c r="AT41" s="1"/>
      <c r="AU41" s="26"/>
      <c r="AV41" s="7223" t="s">
        <v>942</v>
      </c>
      <c r="AW41" s="117"/>
      <c r="AX41" s="115"/>
      <c r="AY41" s="312"/>
      <c r="AZ41" s="7217"/>
      <c r="BA41" s="312"/>
      <c r="BB41" s="117"/>
      <c r="BC41" s="312"/>
      <c r="BD41" s="3265"/>
      <c r="BF41" s="26"/>
      <c r="BG41" s="7223" t="s">
        <v>942</v>
      </c>
      <c r="BH41" s="117"/>
      <c r="BI41" s="115"/>
      <c r="BJ41" s="312"/>
      <c r="BK41" s="7217"/>
      <c r="BL41" s="312"/>
      <c r="BM41" s="117"/>
      <c r="BN41" s="312"/>
      <c r="BO41" s="3265"/>
    </row>
    <row r="42" spans="1:67" x14ac:dyDescent="0.35">
      <c r="A42" s="9168"/>
      <c r="B42" s="1662"/>
      <c r="C42" s="1662" t="s">
        <v>943</v>
      </c>
      <c r="D42" s="87"/>
      <c r="F42" s="130"/>
      <c r="H42" s="242"/>
      <c r="I42" s="243"/>
      <c r="J42" s="64">
        <f>IF(H42=0,0,I42/H42)</f>
        <v>0</v>
      </c>
      <c r="L42" s="131"/>
      <c r="M42" s="213"/>
      <c r="O42" s="131"/>
      <c r="P42" s="213">
        <f t="shared" si="18"/>
        <v>0</v>
      </c>
      <c r="Q42" s="312"/>
      <c r="R42" s="131"/>
      <c r="S42" s="132"/>
      <c r="T42" s="3054"/>
      <c r="U42" s="213"/>
      <c r="V42" s="312"/>
      <c r="W42" s="131"/>
      <c r="X42" s="3054"/>
      <c r="Y42" s="3264"/>
      <c r="AA42" s="131"/>
      <c r="AB42" s="132"/>
      <c r="AC42" s="3054"/>
      <c r="AD42" s="213"/>
      <c r="AE42" s="312"/>
      <c r="AF42" s="131"/>
      <c r="AG42" s="3054"/>
      <c r="AH42" s="3264"/>
      <c r="AJ42" s="24"/>
      <c r="AL42" s="131"/>
      <c r="AM42" s="132"/>
      <c r="AN42" s="3054"/>
      <c r="AO42" s="213"/>
      <c r="AP42" s="312"/>
      <c r="AQ42" s="131"/>
      <c r="AR42" s="3054"/>
      <c r="AS42" s="3264"/>
      <c r="AT42" s="1"/>
      <c r="AU42" s="24"/>
      <c r="AV42" s="7224" t="s">
        <v>943</v>
      </c>
      <c r="AW42" s="131"/>
      <c r="AX42" s="132"/>
      <c r="AY42" s="3054"/>
      <c r="AZ42" s="7225"/>
      <c r="BA42" s="312"/>
      <c r="BB42" s="131"/>
      <c r="BC42" s="3054"/>
      <c r="BD42" s="3264"/>
      <c r="BF42" s="24"/>
      <c r="BG42" s="7224" t="s">
        <v>943</v>
      </c>
      <c r="BH42" s="131"/>
      <c r="BI42" s="132"/>
      <c r="BJ42" s="3054"/>
      <c r="BK42" s="7225"/>
      <c r="BL42" s="312"/>
      <c r="BM42" s="131"/>
      <c r="BN42" s="3054"/>
      <c r="BO42" s="3264"/>
    </row>
    <row r="43" spans="1:67" x14ac:dyDescent="0.35">
      <c r="A43" s="9168"/>
      <c r="B43" s="141" t="s">
        <v>3745</v>
      </c>
      <c r="C43" s="141"/>
      <c r="D43" s="60"/>
      <c r="E43" s="143"/>
      <c r="F43" s="227"/>
      <c r="G43" s="143"/>
      <c r="H43" s="102"/>
      <c r="I43" s="103"/>
      <c r="J43" s="252"/>
      <c r="K43" s="143"/>
      <c r="L43" s="245"/>
      <c r="M43" s="247"/>
      <c r="N43" s="143"/>
      <c r="O43" s="245"/>
      <c r="P43" s="247"/>
      <c r="Q43" s="254"/>
      <c r="R43" s="102"/>
      <c r="S43" s="103"/>
      <c r="T43" s="2909"/>
      <c r="U43" s="268"/>
      <c r="V43" s="254"/>
      <c r="W43" s="106"/>
      <c r="X43" s="254"/>
      <c r="Y43" s="106"/>
      <c r="Z43" s="143"/>
      <c r="AA43" s="102"/>
      <c r="AB43" s="103"/>
      <c r="AC43" s="2909"/>
      <c r="AD43" s="268"/>
      <c r="AE43" s="254"/>
      <c r="AF43" s="106"/>
      <c r="AG43" s="254"/>
      <c r="AH43" s="106"/>
      <c r="AI43" s="143"/>
      <c r="AJ43" s="26"/>
      <c r="AL43" s="102"/>
      <c r="AM43" s="103"/>
      <c r="AN43" s="2909"/>
      <c r="AO43" s="268"/>
      <c r="AP43" s="254"/>
      <c r="AQ43" s="106"/>
      <c r="AR43" s="254"/>
      <c r="AS43" s="106"/>
      <c r="AT43" s="143"/>
      <c r="AU43" s="26"/>
      <c r="AV43" s="7226"/>
      <c r="AW43" s="253" t="s">
        <v>3746</v>
      </c>
      <c r="AX43" s="103"/>
      <c r="AY43" s="2909"/>
      <c r="AZ43" s="268"/>
      <c r="BA43" s="254"/>
      <c r="BB43" s="106"/>
      <c r="BC43" s="253" t="s">
        <v>3747</v>
      </c>
      <c r="BD43" s="106"/>
      <c r="BF43" s="26"/>
      <c r="BG43" s="7226"/>
      <c r="BH43" s="253" t="s">
        <v>3746</v>
      </c>
      <c r="BI43" s="103"/>
      <c r="BJ43" s="2909"/>
      <c r="BK43" s="268"/>
      <c r="BL43" s="254"/>
      <c r="BM43" s="106"/>
      <c r="BN43" s="253" t="s">
        <v>3747</v>
      </c>
      <c r="BO43" s="106"/>
    </row>
    <row r="44" spans="1:67" ht="17.5" customHeight="1" x14ac:dyDescent="0.35">
      <c r="A44" s="9168"/>
      <c r="B44" s="232"/>
      <c r="C44" s="1620" t="s">
        <v>3748</v>
      </c>
      <c r="D44" s="60"/>
      <c r="F44" s="111">
        <v>303113581</v>
      </c>
      <c r="H44" s="112">
        <v>187469000</v>
      </c>
      <c r="I44" s="113">
        <v>185028704</v>
      </c>
      <c r="J44" s="64">
        <f>IF(H44=0,0,I44/H44)</f>
        <v>0.98698293584539309</v>
      </c>
      <c r="L44" s="112">
        <v>206362000</v>
      </c>
      <c r="M44" s="157">
        <f>L44*J44</f>
        <v>203675772.60692701</v>
      </c>
      <c r="O44" s="112">
        <v>192654000</v>
      </c>
      <c r="P44" s="157"/>
      <c r="Q44" s="312"/>
      <c r="R44" s="112"/>
      <c r="S44" s="113"/>
      <c r="T44" s="312"/>
      <c r="U44" s="157"/>
      <c r="V44" s="312"/>
      <c r="W44" s="113"/>
      <c r="X44" s="312"/>
      <c r="Y44" s="113"/>
      <c r="AA44" s="112"/>
      <c r="AB44" s="113"/>
      <c r="AC44" s="312"/>
      <c r="AD44" s="157"/>
      <c r="AE44" s="312"/>
      <c r="AF44" s="113"/>
      <c r="AG44" s="312"/>
      <c r="AH44" s="113"/>
      <c r="AJ44" s="257"/>
      <c r="AL44" s="112"/>
      <c r="AM44" s="113"/>
      <c r="AN44" s="312"/>
      <c r="AO44" s="157"/>
      <c r="AP44" s="312"/>
      <c r="AQ44" s="113"/>
      <c r="AR44" s="312"/>
      <c r="AS44" s="113"/>
      <c r="AT44" s="1"/>
      <c r="AU44" s="257"/>
      <c r="AV44" s="1621" t="s">
        <v>3748</v>
      </c>
      <c r="AW44" s="233"/>
      <c r="AX44" s="113"/>
      <c r="AY44" s="312"/>
      <c r="AZ44" s="7217"/>
      <c r="BA44" s="312"/>
      <c r="BB44" s="113"/>
      <c r="BC44" s="312"/>
      <c r="BD44" s="113"/>
      <c r="BF44" s="257"/>
      <c r="BG44" s="1621" t="s">
        <v>3748</v>
      </c>
      <c r="BH44" s="233"/>
      <c r="BI44" s="113"/>
      <c r="BJ44" s="312"/>
      <c r="BK44" s="7217"/>
      <c r="BL44" s="312"/>
      <c r="BM44" s="113"/>
      <c r="BN44" s="312"/>
      <c r="BO44" s="113"/>
    </row>
    <row r="45" spans="1:67" ht="17.5" customHeight="1" x14ac:dyDescent="0.35">
      <c r="A45" s="9168"/>
      <c r="B45" s="232"/>
      <c r="C45" s="1620" t="s">
        <v>3749</v>
      </c>
      <c r="D45" s="60"/>
      <c r="F45" s="111">
        <v>668667091</v>
      </c>
      <c r="H45" s="112">
        <v>940255000</v>
      </c>
      <c r="I45" s="113">
        <v>927073263</v>
      </c>
      <c r="J45" s="64">
        <f>IF(H45=0,0,I45/H45)</f>
        <v>0.9859806786456865</v>
      </c>
      <c r="L45" s="112">
        <v>1141066000</v>
      </c>
      <c r="M45" s="157">
        <f>L45*J45</f>
        <v>1125069029.0595188</v>
      </c>
      <c r="O45" s="112">
        <v>1198179000</v>
      </c>
      <c r="P45" s="157">
        <f>O45*J45</f>
        <v>1181381343.55901</v>
      </c>
      <c r="Q45" s="312"/>
      <c r="R45" s="112"/>
      <c r="S45" s="113"/>
      <c r="T45" s="312"/>
      <c r="U45" s="157"/>
      <c r="V45" s="312"/>
      <c r="W45" s="113"/>
      <c r="X45" s="312"/>
      <c r="Y45" s="113"/>
      <c r="AA45" s="112"/>
      <c r="AB45" s="113"/>
      <c r="AC45" s="312"/>
      <c r="AD45" s="157"/>
      <c r="AE45" s="312"/>
      <c r="AF45" s="113"/>
      <c r="AG45" s="312"/>
      <c r="AH45" s="113"/>
      <c r="AJ45" s="257"/>
      <c r="AL45" s="112"/>
      <c r="AM45" s="113"/>
      <c r="AN45" s="312"/>
      <c r="AO45" s="157"/>
      <c r="AP45" s="312"/>
      <c r="AQ45" s="113"/>
      <c r="AR45" s="312"/>
      <c r="AS45" s="113"/>
      <c r="AT45" s="1"/>
      <c r="AU45" s="257"/>
      <c r="AV45" s="1621" t="s">
        <v>3749</v>
      </c>
      <c r="AW45" s="233"/>
      <c r="AX45" s="113"/>
      <c r="AY45" s="312"/>
      <c r="AZ45" s="7217"/>
      <c r="BA45" s="312"/>
      <c r="BB45" s="113"/>
      <c r="BC45" s="312"/>
      <c r="BD45" s="113"/>
      <c r="BF45" s="257"/>
      <c r="BG45" s="1621" t="s">
        <v>3749</v>
      </c>
      <c r="BH45" s="233"/>
      <c r="BI45" s="113"/>
      <c r="BJ45" s="312"/>
      <c r="BK45" s="7217"/>
      <c r="BL45" s="312"/>
      <c r="BM45" s="113"/>
      <c r="BN45" s="312"/>
      <c r="BO45" s="113"/>
    </row>
    <row r="46" spans="1:67" x14ac:dyDescent="0.35">
      <c r="A46" s="9168"/>
      <c r="B46" s="232"/>
      <c r="C46" s="1620" t="s">
        <v>3750</v>
      </c>
      <c r="D46" s="60"/>
      <c r="F46" s="155">
        <v>670176700</v>
      </c>
      <c r="H46" s="117">
        <v>829582000</v>
      </c>
      <c r="I46" s="115">
        <v>829570215</v>
      </c>
      <c r="J46" s="64">
        <f t="shared" ref="J46:J64" si="19">IF(H46=0,0,I46/H46)</f>
        <v>0.9999857940504977</v>
      </c>
      <c r="L46" s="117">
        <v>992048000</v>
      </c>
      <c r="M46" s="157">
        <f>L46*J46</f>
        <v>992033907.01620817</v>
      </c>
      <c r="O46" s="117">
        <v>1109739000</v>
      </c>
      <c r="P46" s="157">
        <f t="shared" ref="P46:P71" si="20">O46*J46</f>
        <v>1109723235.1038053</v>
      </c>
      <c r="Q46" s="312"/>
      <c r="R46" s="117"/>
      <c r="S46" s="115"/>
      <c r="T46" s="312"/>
      <c r="U46" s="157"/>
      <c r="V46" s="312"/>
      <c r="W46" s="115"/>
      <c r="X46" s="312"/>
      <c r="Y46" s="115"/>
      <c r="AA46" s="117"/>
      <c r="AB46" s="115"/>
      <c r="AC46" s="312"/>
      <c r="AD46" s="157"/>
      <c r="AE46" s="312"/>
      <c r="AF46" s="115"/>
      <c r="AG46" s="312"/>
      <c r="AH46" s="115"/>
      <c r="AJ46" s="26"/>
      <c r="AL46" s="117"/>
      <c r="AM46" s="115"/>
      <c r="AN46" s="312"/>
      <c r="AO46" s="157"/>
      <c r="AP46" s="312"/>
      <c r="AQ46" s="115"/>
      <c r="AR46" s="312"/>
      <c r="AS46" s="115"/>
      <c r="AT46" s="1"/>
      <c r="AU46" s="26"/>
      <c r="AV46" s="1621" t="s">
        <v>3750</v>
      </c>
      <c r="AW46" s="201"/>
      <c r="AX46" s="115"/>
      <c r="AY46" s="312"/>
      <c r="AZ46" s="7217"/>
      <c r="BA46" s="312"/>
      <c r="BB46" s="115"/>
      <c r="BC46" s="312"/>
      <c r="BD46" s="115"/>
      <c r="BF46" s="26"/>
      <c r="BG46" s="1621" t="s">
        <v>3750</v>
      </c>
      <c r="BH46" s="201"/>
      <c r="BI46" s="115"/>
      <c r="BJ46" s="312"/>
      <c r="BK46" s="7217"/>
      <c r="BL46" s="312"/>
      <c r="BM46" s="115"/>
      <c r="BN46" s="312"/>
      <c r="BO46" s="115"/>
    </row>
    <row r="47" spans="1:67" x14ac:dyDescent="0.35">
      <c r="A47" s="9168"/>
      <c r="B47" s="232"/>
      <c r="C47" s="1620" t="s">
        <v>3751</v>
      </c>
      <c r="D47" s="60"/>
      <c r="F47" s="155">
        <v>1093904926</v>
      </c>
      <c r="H47" s="117">
        <v>1520663000</v>
      </c>
      <c r="I47" s="115">
        <v>1461731325</v>
      </c>
      <c r="J47" s="64">
        <f t="shared" si="19"/>
        <v>0.96124606503873644</v>
      </c>
      <c r="L47" s="117">
        <v>1628039000</v>
      </c>
      <c r="M47" s="157">
        <f t="shared" ref="M47:M68" si="21">L47*J47</f>
        <v>1564946082.4795995</v>
      </c>
      <c r="O47" s="117">
        <v>1657943000</v>
      </c>
      <c r="P47" s="157">
        <f t="shared" si="20"/>
        <v>1593691184.8085177</v>
      </c>
      <c r="Q47" s="312"/>
      <c r="R47" s="117"/>
      <c r="S47" s="115"/>
      <c r="T47" s="312"/>
      <c r="U47" s="157"/>
      <c r="V47" s="312"/>
      <c r="W47" s="115"/>
      <c r="X47" s="312"/>
      <c r="Y47" s="115"/>
      <c r="AA47" s="117"/>
      <c r="AB47" s="115"/>
      <c r="AC47" s="312"/>
      <c r="AD47" s="157"/>
      <c r="AE47" s="312"/>
      <c r="AF47" s="115"/>
      <c r="AG47" s="312"/>
      <c r="AH47" s="115"/>
      <c r="AJ47" s="26"/>
      <c r="AL47" s="117"/>
      <c r="AM47" s="115"/>
      <c r="AN47" s="312"/>
      <c r="AO47" s="157"/>
      <c r="AP47" s="312"/>
      <c r="AQ47" s="115"/>
      <c r="AR47" s="312"/>
      <c r="AS47" s="115"/>
      <c r="AT47" s="1"/>
      <c r="AU47" s="26"/>
      <c r="AV47" s="1621" t="s">
        <v>3751</v>
      </c>
      <c r="AW47" s="201"/>
      <c r="AX47" s="115"/>
      <c r="AY47" s="312"/>
      <c r="AZ47" s="7217"/>
      <c r="BA47" s="312"/>
      <c r="BB47" s="115"/>
      <c r="BC47" s="312"/>
      <c r="BD47" s="115"/>
      <c r="BF47" s="26"/>
      <c r="BG47" s="1621" t="s">
        <v>3751</v>
      </c>
      <c r="BH47" s="201"/>
      <c r="BI47" s="115"/>
      <c r="BJ47" s="312"/>
      <c r="BK47" s="7217"/>
      <c r="BL47" s="312"/>
      <c r="BM47" s="115"/>
      <c r="BN47" s="312"/>
      <c r="BO47" s="115"/>
    </row>
    <row r="48" spans="1:67" x14ac:dyDescent="0.35">
      <c r="A48" s="9168"/>
      <c r="B48" s="232"/>
      <c r="C48" s="1620" t="s">
        <v>3752</v>
      </c>
      <c r="D48" s="60"/>
      <c r="F48" s="155">
        <v>11964432272</v>
      </c>
      <c r="H48" s="117"/>
      <c r="I48" s="115"/>
      <c r="J48" s="64">
        <f t="shared" si="19"/>
        <v>0</v>
      </c>
      <c r="L48" s="117"/>
      <c r="M48" s="157">
        <f t="shared" si="21"/>
        <v>0</v>
      </c>
      <c r="O48" s="117"/>
      <c r="P48" s="157">
        <f t="shared" si="20"/>
        <v>0</v>
      </c>
      <c r="Q48" s="312"/>
      <c r="R48" s="117"/>
      <c r="S48" s="115"/>
      <c r="T48" s="312"/>
      <c r="U48" s="157"/>
      <c r="V48" s="312"/>
      <c r="W48" s="115"/>
      <c r="X48" s="312"/>
      <c r="Y48" s="115"/>
      <c r="AA48" s="117"/>
      <c r="AB48" s="115"/>
      <c r="AC48" s="312"/>
      <c r="AD48" s="157"/>
      <c r="AE48" s="312"/>
      <c r="AF48" s="115"/>
      <c r="AG48" s="312"/>
      <c r="AH48" s="115"/>
      <c r="AJ48" s="26"/>
      <c r="AL48" s="117"/>
      <c r="AM48" s="115"/>
      <c r="AN48" s="312"/>
      <c r="AO48" s="157"/>
      <c r="AP48" s="312"/>
      <c r="AQ48" s="115"/>
      <c r="AR48" s="312"/>
      <c r="AS48" s="115"/>
      <c r="AT48" s="1"/>
      <c r="AU48" s="26"/>
      <c r="AV48" s="1621" t="s">
        <v>3752</v>
      </c>
      <c r="AW48" s="201"/>
      <c r="AX48" s="115"/>
      <c r="AY48" s="312"/>
      <c r="AZ48" s="7217"/>
      <c r="BA48" s="312"/>
      <c r="BB48" s="115"/>
      <c r="BC48" s="312"/>
      <c r="BD48" s="115"/>
      <c r="BF48" s="26"/>
      <c r="BG48" s="1621" t="s">
        <v>3752</v>
      </c>
      <c r="BH48" s="201"/>
      <c r="BI48" s="115"/>
      <c r="BJ48" s="312"/>
      <c r="BK48" s="7217"/>
      <c r="BL48" s="312"/>
      <c r="BM48" s="115"/>
      <c r="BN48" s="312"/>
      <c r="BO48" s="115"/>
    </row>
    <row r="49" spans="1:67" x14ac:dyDescent="0.35">
      <c r="A49" s="9168"/>
      <c r="B49" s="232"/>
      <c r="C49" s="1620" t="s">
        <v>3753</v>
      </c>
      <c r="D49" s="60"/>
      <c r="F49" s="155">
        <v>25835593463</v>
      </c>
      <c r="H49" s="117">
        <v>27017671000</v>
      </c>
      <c r="I49" s="115">
        <v>25771305539</v>
      </c>
      <c r="J49" s="64">
        <f t="shared" si="19"/>
        <v>0.95386850846618121</v>
      </c>
      <c r="L49" s="117">
        <v>25887001000</v>
      </c>
      <c r="M49" s="157">
        <f t="shared" si="21"/>
        <v>24692795032.532543</v>
      </c>
      <c r="O49" s="117">
        <v>26845817000</v>
      </c>
      <c r="P49" s="157">
        <f t="shared" si="20"/>
        <v>25607379420.34605</v>
      </c>
      <c r="Q49" s="312"/>
      <c r="R49" s="117"/>
      <c r="S49" s="115"/>
      <c r="T49" s="312"/>
      <c r="U49" s="157"/>
      <c r="V49" s="312"/>
      <c r="W49" s="115"/>
      <c r="X49" s="312"/>
      <c r="Y49" s="115"/>
      <c r="AA49" s="117"/>
      <c r="AB49" s="115"/>
      <c r="AC49" s="312"/>
      <c r="AD49" s="157"/>
      <c r="AE49" s="312"/>
      <c r="AF49" s="115"/>
      <c r="AG49" s="312"/>
      <c r="AH49" s="115"/>
      <c r="AJ49" s="26"/>
      <c r="AL49" s="117"/>
      <c r="AM49" s="115"/>
      <c r="AN49" s="312"/>
      <c r="AO49" s="157"/>
      <c r="AP49" s="312"/>
      <c r="AQ49" s="115"/>
      <c r="AR49" s="312"/>
      <c r="AS49" s="115"/>
      <c r="AT49" s="1"/>
      <c r="AU49" s="26"/>
      <c r="AV49" s="1621" t="s">
        <v>3753</v>
      </c>
      <c r="AW49" s="201"/>
      <c r="AX49" s="115"/>
      <c r="AY49" s="312"/>
      <c r="AZ49" s="7217"/>
      <c r="BA49" s="312"/>
      <c r="BB49" s="115"/>
      <c r="BC49" s="312"/>
      <c r="BD49" s="115"/>
      <c r="BF49" s="26"/>
      <c r="BG49" s="1621" t="s">
        <v>3753</v>
      </c>
      <c r="BH49" s="201"/>
      <c r="BI49" s="115"/>
      <c r="BJ49" s="312"/>
      <c r="BK49" s="7217"/>
      <c r="BL49" s="312"/>
      <c r="BM49" s="115"/>
      <c r="BN49" s="312"/>
      <c r="BO49" s="115"/>
    </row>
    <row r="50" spans="1:67" x14ac:dyDescent="0.35">
      <c r="A50" s="9168"/>
      <c r="B50" s="232"/>
      <c r="C50" s="1620" t="s">
        <v>3754</v>
      </c>
      <c r="D50" s="60"/>
      <c r="F50" s="155">
        <v>243185727</v>
      </c>
      <c r="H50" s="117">
        <v>173779000</v>
      </c>
      <c r="I50" s="115">
        <v>172631469</v>
      </c>
      <c r="J50" s="64">
        <f t="shared" si="19"/>
        <v>0.99339660718498779</v>
      </c>
      <c r="L50" s="117">
        <v>279300000</v>
      </c>
      <c r="M50" s="157">
        <f t="shared" si="21"/>
        <v>277455672.38676709</v>
      </c>
      <c r="O50" s="117">
        <v>202031000</v>
      </c>
      <c r="P50" s="157">
        <f t="shared" si="20"/>
        <v>200696909.94619027</v>
      </c>
      <c r="Q50" s="312"/>
      <c r="R50" s="117"/>
      <c r="S50" s="115"/>
      <c r="T50" s="312"/>
      <c r="U50" s="157"/>
      <c r="V50" s="312"/>
      <c r="W50" s="115"/>
      <c r="X50" s="312"/>
      <c r="Y50" s="115"/>
      <c r="AA50" s="117"/>
      <c r="AB50" s="115"/>
      <c r="AC50" s="312"/>
      <c r="AD50" s="157"/>
      <c r="AE50" s="312"/>
      <c r="AF50" s="115"/>
      <c r="AG50" s="312"/>
      <c r="AH50" s="115"/>
      <c r="AJ50" s="26"/>
      <c r="AL50" s="117"/>
      <c r="AM50" s="115"/>
      <c r="AN50" s="312"/>
      <c r="AO50" s="157"/>
      <c r="AP50" s="312"/>
      <c r="AQ50" s="115"/>
      <c r="AR50" s="312"/>
      <c r="AS50" s="115"/>
      <c r="AT50" s="1"/>
      <c r="AU50" s="26"/>
      <c r="AV50" s="1621" t="s">
        <v>3754</v>
      </c>
      <c r="AW50" s="201"/>
      <c r="AX50" s="115"/>
      <c r="AY50" s="312"/>
      <c r="AZ50" s="7217"/>
      <c r="BA50" s="312"/>
      <c r="BB50" s="115"/>
      <c r="BC50" s="312"/>
      <c r="BD50" s="115"/>
      <c r="BF50" s="26"/>
      <c r="BG50" s="1621" t="s">
        <v>3754</v>
      </c>
      <c r="BH50" s="201"/>
      <c r="BI50" s="115"/>
      <c r="BJ50" s="312"/>
      <c r="BK50" s="7217"/>
      <c r="BL50" s="312"/>
      <c r="BM50" s="115"/>
      <c r="BN50" s="312"/>
      <c r="BO50" s="115"/>
    </row>
    <row r="51" spans="1:67" x14ac:dyDescent="0.35">
      <c r="A51" s="9168"/>
      <c r="B51" s="232"/>
      <c r="C51" s="1620" t="s">
        <v>3755</v>
      </c>
      <c r="D51" s="60"/>
      <c r="F51" s="155">
        <v>586263707</v>
      </c>
      <c r="H51" s="117">
        <v>2217064000</v>
      </c>
      <c r="I51" s="115">
        <v>2135125485</v>
      </c>
      <c r="J51" s="64">
        <f t="shared" si="19"/>
        <v>0.96304188106432653</v>
      </c>
      <c r="L51" s="117">
        <v>2225018000</v>
      </c>
      <c r="M51" s="157">
        <f t="shared" si="21"/>
        <v>2142785520.1219857</v>
      </c>
      <c r="O51" s="117">
        <v>2403181000</v>
      </c>
      <c r="P51" s="157">
        <f t="shared" si="20"/>
        <v>2314363950.7780495</v>
      </c>
      <c r="Q51" s="312"/>
      <c r="R51" s="117"/>
      <c r="S51" s="115"/>
      <c r="T51" s="312"/>
      <c r="U51" s="157"/>
      <c r="V51" s="312"/>
      <c r="W51" s="115"/>
      <c r="X51" s="312"/>
      <c r="Y51" s="115"/>
      <c r="AA51" s="117"/>
      <c r="AB51" s="115"/>
      <c r="AC51" s="312"/>
      <c r="AD51" s="157"/>
      <c r="AE51" s="312"/>
      <c r="AF51" s="115"/>
      <c r="AG51" s="312"/>
      <c r="AH51" s="115"/>
      <c r="AJ51" s="26"/>
      <c r="AL51" s="117"/>
      <c r="AM51" s="115"/>
      <c r="AN51" s="312"/>
      <c r="AO51" s="157"/>
      <c r="AP51" s="312"/>
      <c r="AQ51" s="115"/>
      <c r="AR51" s="312"/>
      <c r="AS51" s="115"/>
      <c r="AT51" s="1"/>
      <c r="AU51" s="26"/>
      <c r="AV51" s="1621" t="s">
        <v>3755</v>
      </c>
      <c r="AW51" s="201"/>
      <c r="AX51" s="115"/>
      <c r="AY51" s="312"/>
      <c r="AZ51" s="7217"/>
      <c r="BA51" s="312"/>
      <c r="BB51" s="115"/>
      <c r="BC51" s="312"/>
      <c r="BD51" s="115"/>
      <c r="BF51" s="26"/>
      <c r="BG51" s="1621" t="s">
        <v>3755</v>
      </c>
      <c r="BH51" s="201"/>
      <c r="BI51" s="115"/>
      <c r="BJ51" s="312"/>
      <c r="BK51" s="7217"/>
      <c r="BL51" s="312"/>
      <c r="BM51" s="115"/>
      <c r="BN51" s="312"/>
      <c r="BO51" s="115"/>
    </row>
    <row r="52" spans="1:67" x14ac:dyDescent="0.35">
      <c r="A52" s="9168"/>
      <c r="B52" s="232"/>
      <c r="C52" s="1620" t="s">
        <v>3756</v>
      </c>
      <c r="D52" s="60"/>
      <c r="F52" s="155">
        <v>68014668</v>
      </c>
      <c r="H52" s="117">
        <v>75973000</v>
      </c>
      <c r="I52" s="115">
        <v>75818778</v>
      </c>
      <c r="J52" s="64">
        <f t="shared" si="19"/>
        <v>0.99797004198860118</v>
      </c>
      <c r="L52" s="117"/>
      <c r="M52" s="157">
        <f t="shared" si="21"/>
        <v>0</v>
      </c>
      <c r="O52" s="117"/>
      <c r="P52" s="157">
        <f t="shared" si="20"/>
        <v>0</v>
      </c>
      <c r="Q52" s="312"/>
      <c r="R52" s="117"/>
      <c r="S52" s="115"/>
      <c r="T52" s="312"/>
      <c r="U52" s="157"/>
      <c r="V52" s="312"/>
      <c r="W52" s="115"/>
      <c r="X52" s="312"/>
      <c r="Y52" s="115"/>
      <c r="AA52" s="117"/>
      <c r="AB52" s="115"/>
      <c r="AC52" s="312"/>
      <c r="AD52" s="157"/>
      <c r="AE52" s="312"/>
      <c r="AF52" s="115"/>
      <c r="AG52" s="312"/>
      <c r="AH52" s="115"/>
      <c r="AJ52" s="26"/>
      <c r="AL52" s="117"/>
      <c r="AM52" s="115"/>
      <c r="AN52" s="312"/>
      <c r="AO52" s="157"/>
      <c r="AP52" s="312"/>
      <c r="AQ52" s="115"/>
      <c r="AR52" s="312"/>
      <c r="AS52" s="115"/>
      <c r="AT52" s="1"/>
      <c r="AU52" s="26"/>
      <c r="AV52" s="1621" t="s">
        <v>3756</v>
      </c>
      <c r="AW52" s="201"/>
      <c r="AX52" s="115"/>
      <c r="AY52" s="312"/>
      <c r="AZ52" s="7217"/>
      <c r="BA52" s="312"/>
      <c r="BB52" s="115"/>
      <c r="BC52" s="312"/>
      <c r="BD52" s="115"/>
      <c r="BF52" s="26"/>
      <c r="BG52" s="1621" t="s">
        <v>3756</v>
      </c>
      <c r="BH52" s="201"/>
      <c r="BI52" s="115"/>
      <c r="BJ52" s="312"/>
      <c r="BK52" s="7217"/>
      <c r="BL52" s="312"/>
      <c r="BM52" s="115"/>
      <c r="BN52" s="312"/>
      <c r="BO52" s="115"/>
    </row>
    <row r="53" spans="1:67" x14ac:dyDescent="0.35">
      <c r="A53" s="9168"/>
      <c r="B53" s="232"/>
      <c r="C53" s="1620" t="s">
        <v>3757</v>
      </c>
      <c r="D53" s="60"/>
      <c r="F53" s="155">
        <v>0</v>
      </c>
      <c r="H53" s="117">
        <v>121983000</v>
      </c>
      <c r="I53" s="115">
        <v>109627703</v>
      </c>
      <c r="J53" s="64">
        <f t="shared" si="19"/>
        <v>0.89871296000262335</v>
      </c>
      <c r="L53" s="117">
        <v>312242000</v>
      </c>
      <c r="M53" s="157">
        <f t="shared" si="21"/>
        <v>280615932.0571391</v>
      </c>
      <c r="O53" s="117">
        <v>312840000</v>
      </c>
      <c r="P53" s="157">
        <f t="shared" si="20"/>
        <v>281153362.40722066</v>
      </c>
      <c r="Q53" s="312"/>
      <c r="R53" s="117"/>
      <c r="S53" s="115"/>
      <c r="T53" s="312"/>
      <c r="U53" s="157"/>
      <c r="V53" s="312"/>
      <c r="W53" s="115"/>
      <c r="X53" s="312"/>
      <c r="Y53" s="115"/>
      <c r="AA53" s="117"/>
      <c r="AB53" s="115"/>
      <c r="AC53" s="312"/>
      <c r="AD53" s="157"/>
      <c r="AE53" s="312"/>
      <c r="AF53" s="115"/>
      <c r="AG53" s="312"/>
      <c r="AH53" s="115"/>
      <c r="AJ53" s="26"/>
      <c r="AL53" s="117"/>
      <c r="AM53" s="115"/>
      <c r="AN53" s="312"/>
      <c r="AO53" s="157"/>
      <c r="AP53" s="312"/>
      <c r="AQ53" s="115"/>
      <c r="AR53" s="312"/>
      <c r="AS53" s="115"/>
      <c r="AT53" s="1"/>
      <c r="AU53" s="26"/>
      <c r="AV53" s="1621" t="s">
        <v>3757</v>
      </c>
      <c r="AW53" s="201"/>
      <c r="AX53" s="115"/>
      <c r="AY53" s="312"/>
      <c r="AZ53" s="7217"/>
      <c r="BA53" s="312"/>
      <c r="BB53" s="115"/>
      <c r="BC53" s="312"/>
      <c r="BD53" s="115"/>
      <c r="BF53" s="26"/>
      <c r="BG53" s="1621" t="s">
        <v>3757</v>
      </c>
      <c r="BH53" s="201"/>
      <c r="BI53" s="115"/>
      <c r="BJ53" s="312"/>
      <c r="BK53" s="7217"/>
      <c r="BL53" s="312"/>
      <c r="BM53" s="115"/>
      <c r="BN53" s="312"/>
      <c r="BO53" s="115"/>
    </row>
    <row r="54" spans="1:67" x14ac:dyDescent="0.35">
      <c r="A54" s="9168"/>
      <c r="B54" s="232"/>
      <c r="C54" s="1620" t="s">
        <v>3758</v>
      </c>
      <c r="D54" s="60"/>
      <c r="F54" s="155">
        <v>63368230</v>
      </c>
      <c r="H54" s="117">
        <v>69767000</v>
      </c>
      <c r="I54" s="115">
        <v>69738281</v>
      </c>
      <c r="J54" s="64">
        <f t="shared" si="19"/>
        <v>0.99958835839293647</v>
      </c>
      <c r="L54" s="117"/>
      <c r="M54" s="157">
        <f t="shared" si="21"/>
        <v>0</v>
      </c>
      <c r="O54" s="117"/>
      <c r="P54" s="157">
        <f t="shared" si="20"/>
        <v>0</v>
      </c>
      <c r="Q54" s="312"/>
      <c r="R54" s="117"/>
      <c r="S54" s="115"/>
      <c r="T54" s="312"/>
      <c r="U54" s="157"/>
      <c r="V54" s="312"/>
      <c r="W54" s="115"/>
      <c r="X54" s="312"/>
      <c r="Y54" s="115"/>
      <c r="AA54" s="117"/>
      <c r="AB54" s="115"/>
      <c r="AC54" s="312"/>
      <c r="AD54" s="157"/>
      <c r="AE54" s="312"/>
      <c r="AF54" s="115"/>
      <c r="AG54" s="312"/>
      <c r="AH54" s="115"/>
      <c r="AJ54" s="26"/>
      <c r="AL54" s="117"/>
      <c r="AM54" s="115"/>
      <c r="AN54" s="312"/>
      <c r="AO54" s="157"/>
      <c r="AP54" s="312"/>
      <c r="AQ54" s="115"/>
      <c r="AR54" s="312"/>
      <c r="AS54" s="115"/>
      <c r="AT54" s="1"/>
      <c r="AU54" s="26"/>
      <c r="AV54" s="1621" t="s">
        <v>3758</v>
      </c>
      <c r="AW54" s="201"/>
      <c r="AX54" s="115"/>
      <c r="AY54" s="312"/>
      <c r="AZ54" s="7217"/>
      <c r="BA54" s="312"/>
      <c r="BB54" s="115"/>
      <c r="BC54" s="312"/>
      <c r="BD54" s="115"/>
      <c r="BF54" s="26"/>
      <c r="BG54" s="1621" t="s">
        <v>3758</v>
      </c>
      <c r="BH54" s="201"/>
      <c r="BI54" s="115"/>
      <c r="BJ54" s="312"/>
      <c r="BK54" s="7217"/>
      <c r="BL54" s="312"/>
      <c r="BM54" s="115"/>
      <c r="BN54" s="312"/>
      <c r="BO54" s="115"/>
    </row>
    <row r="55" spans="1:67" x14ac:dyDescent="0.35">
      <c r="A55" s="9168"/>
      <c r="B55" s="232"/>
      <c r="C55" s="1620" t="s">
        <v>3759</v>
      </c>
      <c r="D55" s="60"/>
      <c r="F55" s="155">
        <v>1891831505</v>
      </c>
      <c r="H55" s="117">
        <v>2237595000</v>
      </c>
      <c r="I55" s="115">
        <v>1800193970</v>
      </c>
      <c r="J55" s="64">
        <f t="shared" si="19"/>
        <v>0.80452180577807875</v>
      </c>
      <c r="L55" s="117">
        <v>2171476000</v>
      </c>
      <c r="M55" s="157">
        <f t="shared" si="21"/>
        <v>1746999792.7237594</v>
      </c>
      <c r="O55" s="117">
        <v>2303741000</v>
      </c>
      <c r="P55" s="157">
        <f t="shared" si="20"/>
        <v>1853409869.3649969</v>
      </c>
      <c r="Q55" s="312"/>
      <c r="R55" s="117"/>
      <c r="S55" s="115"/>
      <c r="T55" s="312"/>
      <c r="U55" s="157"/>
      <c r="V55" s="312"/>
      <c r="W55" s="115"/>
      <c r="X55" s="312"/>
      <c r="Y55" s="115"/>
      <c r="AA55" s="117"/>
      <c r="AB55" s="115"/>
      <c r="AC55" s="312"/>
      <c r="AD55" s="157"/>
      <c r="AE55" s="312"/>
      <c r="AF55" s="115"/>
      <c r="AG55" s="312"/>
      <c r="AH55" s="115"/>
      <c r="AJ55" s="26"/>
      <c r="AL55" s="117"/>
      <c r="AM55" s="115"/>
      <c r="AN55" s="312"/>
      <c r="AO55" s="157"/>
      <c r="AP55" s="312"/>
      <c r="AQ55" s="115"/>
      <c r="AR55" s="312"/>
      <c r="AS55" s="115"/>
      <c r="AT55" s="1"/>
      <c r="AU55" s="26"/>
      <c r="AV55" s="1621" t="s">
        <v>3759</v>
      </c>
      <c r="AW55" s="201"/>
      <c r="AX55" s="115"/>
      <c r="AY55" s="312"/>
      <c r="AZ55" s="7217"/>
      <c r="BA55" s="312"/>
      <c r="BB55" s="115"/>
      <c r="BC55" s="312"/>
      <c r="BD55" s="115"/>
      <c r="BF55" s="26"/>
      <c r="BG55" s="1621" t="s">
        <v>3759</v>
      </c>
      <c r="BH55" s="201"/>
      <c r="BI55" s="115"/>
      <c r="BJ55" s="312"/>
      <c r="BK55" s="7217"/>
      <c r="BL55" s="312"/>
      <c r="BM55" s="115"/>
      <c r="BN55" s="312"/>
      <c r="BO55" s="115"/>
    </row>
    <row r="56" spans="1:67" x14ac:dyDescent="0.35">
      <c r="A56" s="9168"/>
      <c r="B56" s="232"/>
      <c r="C56" s="1620" t="s">
        <v>3760</v>
      </c>
      <c r="D56" s="60"/>
      <c r="F56" s="155">
        <v>60973227</v>
      </c>
      <c r="H56" s="117">
        <v>66800000</v>
      </c>
      <c r="I56" s="115">
        <v>66682611</v>
      </c>
      <c r="J56" s="64">
        <f t="shared" si="19"/>
        <v>0.99824267964071856</v>
      </c>
      <c r="L56" s="117"/>
      <c r="M56" s="157">
        <f t="shared" si="21"/>
        <v>0</v>
      </c>
      <c r="O56" s="117"/>
      <c r="P56" s="157">
        <f t="shared" si="20"/>
        <v>0</v>
      </c>
      <c r="Q56" s="312"/>
      <c r="R56" s="117"/>
      <c r="S56" s="115"/>
      <c r="T56" s="312"/>
      <c r="U56" s="157"/>
      <c r="V56" s="312"/>
      <c r="W56" s="115"/>
      <c r="X56" s="312"/>
      <c r="Y56" s="115"/>
      <c r="AA56" s="117"/>
      <c r="AB56" s="115"/>
      <c r="AC56" s="312"/>
      <c r="AD56" s="157"/>
      <c r="AE56" s="312"/>
      <c r="AF56" s="115"/>
      <c r="AG56" s="312"/>
      <c r="AH56" s="115"/>
      <c r="AJ56" s="26"/>
      <c r="AL56" s="117"/>
      <c r="AM56" s="115"/>
      <c r="AN56" s="312"/>
      <c r="AO56" s="157"/>
      <c r="AP56" s="312"/>
      <c r="AQ56" s="115"/>
      <c r="AR56" s="312"/>
      <c r="AS56" s="115"/>
      <c r="AT56" s="1"/>
      <c r="AU56" s="26"/>
      <c r="AV56" s="1621" t="s">
        <v>3760</v>
      </c>
      <c r="AW56" s="201"/>
      <c r="AX56" s="115"/>
      <c r="AY56" s="312"/>
      <c r="AZ56" s="7217"/>
      <c r="BA56" s="312"/>
      <c r="BB56" s="115"/>
      <c r="BC56" s="312"/>
      <c r="BD56" s="115"/>
      <c r="BF56" s="26"/>
      <c r="BG56" s="1621" t="s">
        <v>3760</v>
      </c>
      <c r="BH56" s="201"/>
      <c r="BI56" s="115"/>
      <c r="BJ56" s="312"/>
      <c r="BK56" s="7217"/>
      <c r="BL56" s="312"/>
      <c r="BM56" s="115"/>
      <c r="BN56" s="312"/>
      <c r="BO56" s="115"/>
    </row>
    <row r="57" spans="1:67" x14ac:dyDescent="0.35">
      <c r="A57" s="9168"/>
      <c r="B57" s="232"/>
      <c r="C57" s="1620" t="s">
        <v>3761</v>
      </c>
      <c r="D57" s="60"/>
      <c r="F57" s="155"/>
      <c r="H57" s="117">
        <v>1113952000</v>
      </c>
      <c r="I57" s="115">
        <v>1061087437</v>
      </c>
      <c r="J57" s="64">
        <f t="shared" si="19"/>
        <v>0.95254323076757352</v>
      </c>
      <c r="L57" s="117">
        <v>2845276000</v>
      </c>
      <c r="M57" s="157">
        <f t="shared" si="21"/>
        <v>2710248393.4654384</v>
      </c>
      <c r="O57" s="117">
        <v>2963828000</v>
      </c>
      <c r="P57" s="157">
        <f t="shared" si="20"/>
        <v>2823174298.5593958</v>
      </c>
      <c r="Q57" s="312"/>
      <c r="R57" s="117"/>
      <c r="S57" s="115"/>
      <c r="T57" s="312"/>
      <c r="U57" s="157"/>
      <c r="V57" s="312"/>
      <c r="W57" s="115"/>
      <c r="X57" s="312"/>
      <c r="Y57" s="115"/>
      <c r="AA57" s="117"/>
      <c r="AB57" s="115"/>
      <c r="AC57" s="312"/>
      <c r="AD57" s="157"/>
      <c r="AE57" s="312"/>
      <c r="AF57" s="115"/>
      <c r="AG57" s="312"/>
      <c r="AH57" s="115"/>
      <c r="AJ57" s="26"/>
      <c r="AL57" s="117"/>
      <c r="AM57" s="115"/>
      <c r="AN57" s="312"/>
      <c r="AO57" s="157"/>
      <c r="AP57" s="312"/>
      <c r="AQ57" s="115"/>
      <c r="AR57" s="312"/>
      <c r="AS57" s="115"/>
      <c r="AT57" s="1"/>
      <c r="AU57" s="26"/>
      <c r="AV57" s="1621" t="s">
        <v>3761</v>
      </c>
      <c r="AW57" s="201"/>
      <c r="AX57" s="115"/>
      <c r="AY57" s="312"/>
      <c r="AZ57" s="7217"/>
      <c r="BA57" s="312"/>
      <c r="BB57" s="115"/>
      <c r="BC57" s="312"/>
      <c r="BD57" s="115"/>
      <c r="BF57" s="26"/>
      <c r="BG57" s="1621" t="s">
        <v>3761</v>
      </c>
      <c r="BH57" s="201"/>
      <c r="BI57" s="115"/>
      <c r="BJ57" s="312"/>
      <c r="BK57" s="7217"/>
      <c r="BL57" s="312"/>
      <c r="BM57" s="115"/>
      <c r="BN57" s="312"/>
      <c r="BO57" s="115"/>
    </row>
    <row r="58" spans="1:67" x14ac:dyDescent="0.35">
      <c r="A58" s="9168"/>
      <c r="B58" s="232"/>
      <c r="C58" s="1620" t="s">
        <v>3762</v>
      </c>
      <c r="D58" s="60"/>
      <c r="F58" s="155">
        <v>337876558</v>
      </c>
      <c r="H58" s="117">
        <v>469139000</v>
      </c>
      <c r="I58" s="115">
        <v>450970928</v>
      </c>
      <c r="J58" s="64">
        <f t="shared" si="19"/>
        <v>0.96127358416162378</v>
      </c>
      <c r="L58" s="117">
        <v>465663000</v>
      </c>
      <c r="M58" s="157">
        <f t="shared" si="21"/>
        <v>447629541.02145422</v>
      </c>
      <c r="O58" s="117">
        <v>452508000</v>
      </c>
      <c r="P58" s="157">
        <f t="shared" si="20"/>
        <v>434983987.02180803</v>
      </c>
      <c r="Q58" s="312"/>
      <c r="R58" s="117"/>
      <c r="S58" s="115"/>
      <c r="T58" s="312"/>
      <c r="U58" s="157"/>
      <c r="V58" s="312"/>
      <c r="W58" s="115"/>
      <c r="X58" s="312"/>
      <c r="Y58" s="115"/>
      <c r="AA58" s="117"/>
      <c r="AB58" s="115"/>
      <c r="AC58" s="312"/>
      <c r="AD58" s="157"/>
      <c r="AE58" s="312"/>
      <c r="AF58" s="115"/>
      <c r="AG58" s="312"/>
      <c r="AH58" s="115"/>
      <c r="AJ58" s="26"/>
      <c r="AL58" s="117"/>
      <c r="AM58" s="115"/>
      <c r="AN58" s="312"/>
      <c r="AO58" s="157"/>
      <c r="AP58" s="312"/>
      <c r="AQ58" s="115"/>
      <c r="AR58" s="312"/>
      <c r="AS58" s="115"/>
      <c r="AT58" s="1"/>
      <c r="AU58" s="26"/>
      <c r="AV58" s="1621" t="s">
        <v>3762</v>
      </c>
      <c r="AW58" s="201"/>
      <c r="AX58" s="115"/>
      <c r="AY58" s="312"/>
      <c r="AZ58" s="7217"/>
      <c r="BA58" s="312"/>
      <c r="BB58" s="115"/>
      <c r="BC58" s="312"/>
      <c r="BD58" s="115"/>
      <c r="BF58" s="26"/>
      <c r="BG58" s="1621" t="s">
        <v>3762</v>
      </c>
      <c r="BH58" s="201"/>
      <c r="BI58" s="115"/>
      <c r="BJ58" s="312"/>
      <c r="BK58" s="7217"/>
      <c r="BL58" s="312"/>
      <c r="BM58" s="115"/>
      <c r="BN58" s="312"/>
      <c r="BO58" s="115"/>
    </row>
    <row r="59" spans="1:67" x14ac:dyDescent="0.35">
      <c r="A59" s="9168"/>
      <c r="B59" s="232"/>
      <c r="C59" s="1620" t="s">
        <v>3763</v>
      </c>
      <c r="D59" s="60"/>
      <c r="F59" s="155"/>
      <c r="H59" s="117">
        <v>1495869000</v>
      </c>
      <c r="I59" s="115">
        <v>1436070169</v>
      </c>
      <c r="J59" s="64">
        <f t="shared" si="19"/>
        <v>0.96002401881448174</v>
      </c>
      <c r="L59" s="117">
        <v>4663048000</v>
      </c>
      <c r="M59" s="157">
        <f t="shared" si="21"/>
        <v>4476638080.8848314</v>
      </c>
      <c r="O59" s="117">
        <v>5149903000</v>
      </c>
      <c r="P59" s="157">
        <f t="shared" si="20"/>
        <v>4944030574.5647564</v>
      </c>
      <c r="Q59" s="312"/>
      <c r="R59" s="117"/>
      <c r="S59" s="115"/>
      <c r="T59" s="312"/>
      <c r="U59" s="157"/>
      <c r="V59" s="312"/>
      <c r="W59" s="115"/>
      <c r="X59" s="312"/>
      <c r="Y59" s="115"/>
      <c r="AA59" s="117"/>
      <c r="AB59" s="115"/>
      <c r="AC59" s="312"/>
      <c r="AD59" s="157"/>
      <c r="AE59" s="312"/>
      <c r="AF59" s="115"/>
      <c r="AG59" s="312"/>
      <c r="AH59" s="115"/>
      <c r="AJ59" s="26"/>
      <c r="AL59" s="117"/>
      <c r="AM59" s="115"/>
      <c r="AN59" s="312"/>
      <c r="AO59" s="157"/>
      <c r="AP59" s="312"/>
      <c r="AQ59" s="115"/>
      <c r="AR59" s="312"/>
      <c r="AS59" s="115"/>
      <c r="AT59" s="1"/>
      <c r="AU59" s="26"/>
      <c r="AV59" s="1621" t="s">
        <v>3763</v>
      </c>
      <c r="AW59" s="201"/>
      <c r="AX59" s="115"/>
      <c r="AY59" s="312"/>
      <c r="AZ59" s="7217"/>
      <c r="BA59" s="312"/>
      <c r="BB59" s="115"/>
      <c r="BC59" s="312"/>
      <c r="BD59" s="115"/>
      <c r="BF59" s="26"/>
      <c r="BG59" s="1621" t="s">
        <v>3763</v>
      </c>
      <c r="BH59" s="201"/>
      <c r="BI59" s="115"/>
      <c r="BJ59" s="312"/>
      <c r="BK59" s="7217"/>
      <c r="BL59" s="312"/>
      <c r="BM59" s="115"/>
      <c r="BN59" s="312"/>
      <c r="BO59" s="115"/>
    </row>
    <row r="60" spans="1:67" x14ac:dyDescent="0.35">
      <c r="A60" s="9168"/>
      <c r="B60" s="232"/>
      <c r="C60" s="1620" t="s">
        <v>3764</v>
      </c>
      <c r="D60" s="60"/>
      <c r="F60" s="155">
        <v>301237681</v>
      </c>
      <c r="H60" s="117">
        <v>245939000</v>
      </c>
      <c r="I60" s="115">
        <v>232208265</v>
      </c>
      <c r="J60" s="64">
        <f t="shared" si="19"/>
        <v>0.94417016008034516</v>
      </c>
      <c r="L60" s="117"/>
      <c r="M60" s="157">
        <f t="shared" si="21"/>
        <v>0</v>
      </c>
      <c r="O60" s="117"/>
      <c r="P60" s="157">
        <f t="shared" si="20"/>
        <v>0</v>
      </c>
      <c r="Q60" s="312"/>
      <c r="R60" s="117"/>
      <c r="S60" s="115"/>
      <c r="T60" s="312"/>
      <c r="U60" s="157"/>
      <c r="V60" s="312"/>
      <c r="W60" s="115"/>
      <c r="X60" s="312"/>
      <c r="Y60" s="115"/>
      <c r="AA60" s="117"/>
      <c r="AB60" s="115"/>
      <c r="AC60" s="312"/>
      <c r="AD60" s="157"/>
      <c r="AE60" s="312"/>
      <c r="AF60" s="115"/>
      <c r="AG60" s="312"/>
      <c r="AH60" s="115"/>
      <c r="AJ60" s="26"/>
      <c r="AL60" s="117"/>
      <c r="AM60" s="115"/>
      <c r="AN60" s="312"/>
      <c r="AO60" s="157"/>
      <c r="AP60" s="312"/>
      <c r="AQ60" s="115"/>
      <c r="AR60" s="312"/>
      <c r="AS60" s="115"/>
      <c r="AT60" s="1"/>
      <c r="AU60" s="26"/>
      <c r="AV60" s="1621" t="s">
        <v>3764</v>
      </c>
      <c r="AW60" s="201"/>
      <c r="AX60" s="115"/>
      <c r="AY60" s="312"/>
      <c r="AZ60" s="7217"/>
      <c r="BA60" s="312"/>
      <c r="BB60" s="115"/>
      <c r="BC60" s="312"/>
      <c r="BD60" s="115"/>
      <c r="BF60" s="26"/>
      <c r="BG60" s="1621" t="s">
        <v>3764</v>
      </c>
      <c r="BH60" s="201"/>
      <c r="BI60" s="115"/>
      <c r="BJ60" s="312"/>
      <c r="BK60" s="7217"/>
      <c r="BL60" s="312"/>
      <c r="BM60" s="115"/>
      <c r="BN60" s="312"/>
      <c r="BO60" s="115"/>
    </row>
    <row r="61" spans="1:67" x14ac:dyDescent="0.35">
      <c r="A61" s="9168"/>
      <c r="B61" s="232"/>
      <c r="C61" s="1620" t="s">
        <v>3765</v>
      </c>
      <c r="D61" s="60"/>
      <c r="F61" s="155">
        <v>187075325</v>
      </c>
      <c r="H61" s="117">
        <v>204140000</v>
      </c>
      <c r="I61" s="115">
        <v>169053910</v>
      </c>
      <c r="J61" s="64">
        <f t="shared" si="19"/>
        <v>0.8281273145880278</v>
      </c>
      <c r="L61" s="117">
        <v>194575000</v>
      </c>
      <c r="M61" s="157">
        <f t="shared" si="21"/>
        <v>161132872.23596552</v>
      </c>
      <c r="O61" s="117">
        <v>221163000</v>
      </c>
      <c r="P61" s="157">
        <f t="shared" si="20"/>
        <v>183151121.276232</v>
      </c>
      <c r="Q61" s="312"/>
      <c r="R61" s="117"/>
      <c r="S61" s="115"/>
      <c r="T61" s="312"/>
      <c r="U61" s="157"/>
      <c r="V61" s="312"/>
      <c r="W61" s="115"/>
      <c r="X61" s="312"/>
      <c r="Y61" s="115"/>
      <c r="AA61" s="117"/>
      <c r="AB61" s="115"/>
      <c r="AC61" s="312"/>
      <c r="AD61" s="157"/>
      <c r="AE61" s="312"/>
      <c r="AF61" s="115"/>
      <c r="AG61" s="312"/>
      <c r="AH61" s="115"/>
      <c r="AJ61" s="26"/>
      <c r="AL61" s="117"/>
      <c r="AM61" s="115"/>
      <c r="AN61" s="312"/>
      <c r="AO61" s="157"/>
      <c r="AP61" s="312"/>
      <c r="AQ61" s="115"/>
      <c r="AR61" s="312"/>
      <c r="AS61" s="115"/>
      <c r="AT61" s="1"/>
      <c r="AU61" s="26"/>
      <c r="AV61" s="1621" t="s">
        <v>3765</v>
      </c>
      <c r="AW61" s="201"/>
      <c r="AX61" s="115"/>
      <c r="AY61" s="312"/>
      <c r="AZ61" s="7217"/>
      <c r="BA61" s="312"/>
      <c r="BB61" s="115"/>
      <c r="BC61" s="312"/>
      <c r="BD61" s="115"/>
      <c r="BF61" s="26"/>
      <c r="BG61" s="1621" t="s">
        <v>3765</v>
      </c>
      <c r="BH61" s="201"/>
      <c r="BI61" s="115"/>
      <c r="BJ61" s="312"/>
      <c r="BK61" s="7217"/>
      <c r="BL61" s="312"/>
      <c r="BM61" s="115"/>
      <c r="BN61" s="312"/>
      <c r="BO61" s="115"/>
    </row>
    <row r="62" spans="1:67" x14ac:dyDescent="0.35">
      <c r="A62" s="9168"/>
      <c r="B62" s="232"/>
      <c r="C62" s="1620" t="s">
        <v>3766</v>
      </c>
      <c r="D62" s="60"/>
      <c r="F62" s="155"/>
      <c r="H62" s="117">
        <v>1601489000</v>
      </c>
      <c r="I62" s="115">
        <v>1516672722</v>
      </c>
      <c r="J62" s="64">
        <f t="shared" si="19"/>
        <v>0.94703911297548715</v>
      </c>
      <c r="L62" s="117">
        <v>4175229000</v>
      </c>
      <c r="M62" s="157">
        <f t="shared" si="21"/>
        <v>3954105168.6295304</v>
      </c>
      <c r="O62" s="117">
        <v>4728264000</v>
      </c>
      <c r="P62" s="157">
        <f t="shared" si="20"/>
        <v>4477850944.4739285</v>
      </c>
      <c r="Q62" s="312"/>
      <c r="R62" s="117"/>
      <c r="S62" s="115"/>
      <c r="T62" s="312"/>
      <c r="U62" s="157"/>
      <c r="V62" s="312"/>
      <c r="W62" s="115"/>
      <c r="X62" s="312"/>
      <c r="Y62" s="115"/>
      <c r="AA62" s="117"/>
      <c r="AB62" s="115"/>
      <c r="AC62" s="312"/>
      <c r="AD62" s="157"/>
      <c r="AE62" s="312"/>
      <c r="AF62" s="115"/>
      <c r="AG62" s="312"/>
      <c r="AH62" s="115"/>
      <c r="AJ62" s="26"/>
      <c r="AL62" s="117"/>
      <c r="AM62" s="115"/>
      <c r="AN62" s="312"/>
      <c r="AO62" s="157"/>
      <c r="AP62" s="312"/>
      <c r="AQ62" s="115"/>
      <c r="AR62" s="312"/>
      <c r="AS62" s="115"/>
      <c r="AT62" s="1"/>
      <c r="AU62" s="26"/>
      <c r="AV62" s="1621" t="s">
        <v>3766</v>
      </c>
      <c r="AW62" s="201"/>
      <c r="AX62" s="115"/>
      <c r="AY62" s="312"/>
      <c r="AZ62" s="7217"/>
      <c r="BA62" s="312"/>
      <c r="BB62" s="115"/>
      <c r="BC62" s="312"/>
      <c r="BD62" s="115"/>
      <c r="BF62" s="26"/>
      <c r="BG62" s="1621" t="s">
        <v>3766</v>
      </c>
      <c r="BH62" s="201"/>
      <c r="BI62" s="115"/>
      <c r="BJ62" s="312"/>
      <c r="BK62" s="7217"/>
      <c r="BL62" s="312"/>
      <c r="BM62" s="115"/>
      <c r="BN62" s="312"/>
      <c r="BO62" s="115"/>
    </row>
    <row r="63" spans="1:67" x14ac:dyDescent="0.35">
      <c r="A63" s="9168"/>
      <c r="B63" s="232"/>
      <c r="C63" s="1620" t="s">
        <v>3767</v>
      </c>
      <c r="D63" s="60"/>
      <c r="F63" s="155">
        <v>292394745</v>
      </c>
      <c r="H63" s="117">
        <v>206050000</v>
      </c>
      <c r="I63" s="115">
        <v>196049032</v>
      </c>
      <c r="J63" s="64">
        <f t="shared" si="19"/>
        <v>0.95146339238049016</v>
      </c>
      <c r="L63" s="117">
        <v>257113000</v>
      </c>
      <c r="M63" s="157">
        <f t="shared" si="21"/>
        <v>244633607.20512497</v>
      </c>
      <c r="O63" s="117">
        <v>246652000</v>
      </c>
      <c r="P63" s="157">
        <f t="shared" si="20"/>
        <v>234680348.65743265</v>
      </c>
      <c r="Q63" s="312"/>
      <c r="R63" s="117"/>
      <c r="S63" s="115"/>
      <c r="T63" s="312"/>
      <c r="U63" s="157"/>
      <c r="V63" s="312"/>
      <c r="W63" s="115"/>
      <c r="X63" s="312"/>
      <c r="Y63" s="115"/>
      <c r="AA63" s="117"/>
      <c r="AB63" s="115"/>
      <c r="AC63" s="312"/>
      <c r="AD63" s="157"/>
      <c r="AE63" s="312"/>
      <c r="AF63" s="115"/>
      <c r="AG63" s="312"/>
      <c r="AH63" s="115"/>
      <c r="AJ63" s="26"/>
      <c r="AL63" s="117"/>
      <c r="AM63" s="115"/>
      <c r="AN63" s="312"/>
      <c r="AO63" s="157"/>
      <c r="AP63" s="312"/>
      <c r="AQ63" s="115"/>
      <c r="AR63" s="312"/>
      <c r="AS63" s="115"/>
      <c r="AT63" s="1"/>
      <c r="AU63" s="26"/>
      <c r="AV63" s="1621" t="s">
        <v>3767</v>
      </c>
      <c r="AW63" s="201"/>
      <c r="AX63" s="115"/>
      <c r="AY63" s="312"/>
      <c r="AZ63" s="7217"/>
      <c r="BA63" s="312"/>
      <c r="BB63" s="115"/>
      <c r="BC63" s="312"/>
      <c r="BD63" s="115"/>
      <c r="BF63" s="26"/>
      <c r="BG63" s="1621" t="s">
        <v>3767</v>
      </c>
      <c r="BH63" s="201"/>
      <c r="BI63" s="115"/>
      <c r="BJ63" s="312"/>
      <c r="BK63" s="7217"/>
      <c r="BL63" s="312"/>
      <c r="BM63" s="115"/>
      <c r="BN63" s="312"/>
      <c r="BO63" s="115"/>
    </row>
    <row r="64" spans="1:67" x14ac:dyDescent="0.35">
      <c r="A64" s="9168"/>
      <c r="B64" s="232"/>
      <c r="C64" s="1620" t="s">
        <v>3768</v>
      </c>
      <c r="D64" s="60"/>
      <c r="F64" s="155"/>
      <c r="H64" s="117">
        <v>14388089000</v>
      </c>
      <c r="I64" s="115">
        <v>13876903310</v>
      </c>
      <c r="J64" s="64">
        <f t="shared" si="19"/>
        <v>0.96447160634049456</v>
      </c>
      <c r="L64" s="117">
        <v>6905973000</v>
      </c>
      <c r="M64" s="157">
        <f t="shared" si="21"/>
        <v>6660614872.6540842</v>
      </c>
      <c r="O64" s="117">
        <v>5479547000</v>
      </c>
      <c r="P64" s="157">
        <f t="shared" si="20"/>
        <v>5284867497.1082382</v>
      </c>
      <c r="Q64" s="312"/>
      <c r="R64" s="117"/>
      <c r="S64" s="115"/>
      <c r="T64" s="312"/>
      <c r="U64" s="157"/>
      <c r="V64" s="312"/>
      <c r="W64" s="115"/>
      <c r="X64" s="312"/>
      <c r="Y64" s="115"/>
      <c r="AA64" s="117"/>
      <c r="AB64" s="115"/>
      <c r="AC64" s="312"/>
      <c r="AD64" s="157"/>
      <c r="AE64" s="312"/>
      <c r="AF64" s="115"/>
      <c r="AG64" s="312"/>
      <c r="AH64" s="115"/>
      <c r="AJ64" s="26"/>
      <c r="AL64" s="117"/>
      <c r="AM64" s="115"/>
      <c r="AN64" s="312"/>
      <c r="AO64" s="157"/>
      <c r="AP64" s="312"/>
      <c r="AQ64" s="115"/>
      <c r="AR64" s="312"/>
      <c r="AS64" s="115"/>
      <c r="AT64" s="1"/>
      <c r="AU64" s="26"/>
      <c r="AV64" s="1621" t="s">
        <v>3768</v>
      </c>
      <c r="AW64" s="201"/>
      <c r="AX64" s="115"/>
      <c r="AY64" s="312"/>
      <c r="AZ64" s="7217"/>
      <c r="BA64" s="312"/>
      <c r="BB64" s="115"/>
      <c r="BC64" s="312"/>
      <c r="BD64" s="115"/>
      <c r="BF64" s="26"/>
      <c r="BG64" s="1621" t="s">
        <v>3768</v>
      </c>
      <c r="BH64" s="201"/>
      <c r="BI64" s="115"/>
      <c r="BJ64" s="312"/>
      <c r="BK64" s="7217"/>
      <c r="BL64" s="312"/>
      <c r="BM64" s="115"/>
      <c r="BN64" s="312"/>
      <c r="BO64" s="115"/>
    </row>
    <row r="65" spans="1:67" x14ac:dyDescent="0.35">
      <c r="A65" s="9168"/>
      <c r="B65" s="232"/>
      <c r="C65" s="1620" t="s">
        <v>3769</v>
      </c>
      <c r="D65" s="60"/>
      <c r="F65" s="155"/>
      <c r="H65" s="117"/>
      <c r="I65" s="115"/>
      <c r="J65" s="1171">
        <f>J64</f>
        <v>0.96447160634049456</v>
      </c>
      <c r="L65" s="117">
        <v>302921000</v>
      </c>
      <c r="M65" s="157">
        <f t="shared" si="21"/>
        <v>292158703.46426892</v>
      </c>
      <c r="O65" s="117">
        <v>411645000</v>
      </c>
      <c r="P65" s="157">
        <f t="shared" si="20"/>
        <v>397019914.39203286</v>
      </c>
      <c r="Q65" s="312"/>
      <c r="R65" s="117"/>
      <c r="S65" s="115"/>
      <c r="T65" s="312"/>
      <c r="U65" s="157"/>
      <c r="V65" s="312"/>
      <c r="W65" s="115"/>
      <c r="X65" s="312"/>
      <c r="Y65" s="115"/>
      <c r="AA65" s="117"/>
      <c r="AB65" s="115"/>
      <c r="AC65" s="312"/>
      <c r="AD65" s="157"/>
      <c r="AE65" s="312"/>
      <c r="AF65" s="115"/>
      <c r="AG65" s="312"/>
      <c r="AH65" s="115"/>
      <c r="AJ65" s="26"/>
      <c r="AL65" s="117"/>
      <c r="AM65" s="115"/>
      <c r="AN65" s="312"/>
      <c r="AO65" s="157"/>
      <c r="AP65" s="312"/>
      <c r="AQ65" s="115"/>
      <c r="AR65" s="312"/>
      <c r="AS65" s="115"/>
      <c r="AT65" s="1"/>
      <c r="AU65" s="26"/>
      <c r="AV65" s="1621" t="s">
        <v>3769</v>
      </c>
      <c r="AW65" s="201"/>
      <c r="AX65" s="115"/>
      <c r="AY65" s="312"/>
      <c r="AZ65" s="7217"/>
      <c r="BA65" s="312"/>
      <c r="BB65" s="115"/>
      <c r="BC65" s="312"/>
      <c r="BD65" s="115"/>
      <c r="BF65" s="26"/>
      <c r="BG65" s="1621" t="s">
        <v>3769</v>
      </c>
      <c r="BH65" s="201"/>
      <c r="BI65" s="115"/>
      <c r="BJ65" s="312"/>
      <c r="BK65" s="7217"/>
      <c r="BL65" s="312"/>
      <c r="BM65" s="115"/>
      <c r="BN65" s="312"/>
      <c r="BO65" s="115"/>
    </row>
    <row r="66" spans="1:67" x14ac:dyDescent="0.35">
      <c r="A66" s="9168"/>
      <c r="B66" s="232"/>
      <c r="C66" s="1620" t="s">
        <v>3770</v>
      </c>
      <c r="D66" s="60"/>
      <c r="F66" s="155"/>
      <c r="H66" s="117"/>
      <c r="I66" s="115"/>
      <c r="J66" s="1171"/>
      <c r="L66" s="117"/>
      <c r="M66" s="157"/>
      <c r="O66" s="117"/>
      <c r="P66" s="157"/>
      <c r="Q66" s="312"/>
      <c r="R66" s="117"/>
      <c r="S66" s="115"/>
      <c r="T66" s="312"/>
      <c r="U66" s="157"/>
      <c r="V66" s="312"/>
      <c r="W66" s="115"/>
      <c r="X66" s="312"/>
      <c r="Y66" s="115"/>
      <c r="AA66" s="117"/>
      <c r="AB66" s="115"/>
      <c r="AC66" s="312"/>
      <c r="AD66" s="157"/>
      <c r="AE66" s="312"/>
      <c r="AF66" s="115"/>
      <c r="AG66" s="312"/>
      <c r="AH66" s="115"/>
      <c r="AJ66" s="26"/>
      <c r="AL66" s="117"/>
      <c r="AM66" s="115"/>
      <c r="AN66" s="312"/>
      <c r="AO66" s="157"/>
      <c r="AP66" s="312"/>
      <c r="AQ66" s="115"/>
      <c r="AR66" s="312"/>
      <c r="AS66" s="115"/>
      <c r="AT66" s="1"/>
      <c r="AU66" s="26"/>
      <c r="AV66" s="1621" t="s">
        <v>3770</v>
      </c>
      <c r="AW66" s="201"/>
      <c r="AX66" s="115"/>
      <c r="AY66" s="312"/>
      <c r="AZ66" s="7217"/>
      <c r="BA66" s="312"/>
      <c r="BB66" s="115"/>
      <c r="BC66" s="312"/>
      <c r="BD66" s="115"/>
      <c r="BF66" s="26"/>
      <c r="BG66" s="1621" t="s">
        <v>3770</v>
      </c>
      <c r="BH66" s="201"/>
      <c r="BI66" s="115"/>
      <c r="BJ66" s="312"/>
      <c r="BK66" s="7217"/>
      <c r="BL66" s="312"/>
      <c r="BM66" s="115"/>
      <c r="BN66" s="312"/>
      <c r="BO66" s="115"/>
    </row>
    <row r="67" spans="1:67" x14ac:dyDescent="0.35">
      <c r="A67" s="9168"/>
      <c r="B67" s="232"/>
      <c r="C67" s="1620" t="s">
        <v>3771</v>
      </c>
      <c r="D67" s="60"/>
      <c r="F67" s="155"/>
      <c r="H67" s="117"/>
      <c r="I67" s="115"/>
      <c r="J67" s="1171"/>
      <c r="L67" s="117"/>
      <c r="M67" s="157"/>
      <c r="O67" s="117"/>
      <c r="P67" s="157"/>
      <c r="Q67" s="312"/>
      <c r="R67" s="117"/>
      <c r="S67" s="115"/>
      <c r="T67" s="312"/>
      <c r="U67" s="157"/>
      <c r="V67" s="312"/>
      <c r="W67" s="115"/>
      <c r="X67" s="312"/>
      <c r="Y67" s="115"/>
      <c r="AA67" s="117"/>
      <c r="AB67" s="115"/>
      <c r="AC67" s="312"/>
      <c r="AD67" s="157"/>
      <c r="AE67" s="312"/>
      <c r="AF67" s="115"/>
      <c r="AG67" s="312"/>
      <c r="AH67" s="115"/>
      <c r="AJ67" s="26"/>
      <c r="AL67" s="117"/>
      <c r="AM67" s="115"/>
      <c r="AN67" s="312"/>
      <c r="AO67" s="157"/>
      <c r="AP67" s="312"/>
      <c r="AQ67" s="115"/>
      <c r="AR67" s="312"/>
      <c r="AS67" s="115"/>
      <c r="AT67" s="1"/>
      <c r="AU67" s="26"/>
      <c r="AV67" s="1621" t="s">
        <v>3771</v>
      </c>
      <c r="AW67" s="201"/>
      <c r="AX67" s="115"/>
      <c r="AY67" s="312"/>
      <c r="AZ67" s="7217"/>
      <c r="BA67" s="312"/>
      <c r="BB67" s="115"/>
      <c r="BC67" s="312"/>
      <c r="BD67" s="115"/>
      <c r="BF67" s="26"/>
      <c r="BG67" s="1621" t="s">
        <v>3771</v>
      </c>
      <c r="BH67" s="201"/>
      <c r="BI67" s="115"/>
      <c r="BJ67" s="312"/>
      <c r="BK67" s="7217"/>
      <c r="BL67" s="312"/>
      <c r="BM67" s="115"/>
      <c r="BN67" s="312"/>
      <c r="BO67" s="115"/>
    </row>
    <row r="68" spans="1:67" x14ac:dyDescent="0.35">
      <c r="A68" s="9168"/>
      <c r="B68" s="232"/>
      <c r="C68" s="1620" t="s">
        <v>3772</v>
      </c>
      <c r="D68" s="60"/>
      <c r="F68" s="155">
        <v>603150331</v>
      </c>
      <c r="H68" s="117">
        <v>380264000</v>
      </c>
      <c r="I68" s="115">
        <v>368101492</v>
      </c>
      <c r="J68" s="64">
        <f t="shared" ref="J68:J71" si="22">IF(H68=0,0,I68/H68)</f>
        <v>0.96801562072665304</v>
      </c>
      <c r="L68" s="117">
        <v>534810000</v>
      </c>
      <c r="M68" s="157">
        <f t="shared" si="21"/>
        <v>517704434.1208213</v>
      </c>
      <c r="O68" s="117">
        <v>517798000</v>
      </c>
      <c r="P68" s="157">
        <f t="shared" si="20"/>
        <v>501236552.38101947</v>
      </c>
      <c r="Q68" s="312"/>
      <c r="R68" s="117"/>
      <c r="S68" s="115"/>
      <c r="T68" s="312"/>
      <c r="U68" s="157"/>
      <c r="V68" s="312"/>
      <c r="W68" s="115"/>
      <c r="X68" s="312"/>
      <c r="Y68" s="115"/>
      <c r="AA68" s="117"/>
      <c r="AB68" s="115"/>
      <c r="AC68" s="312"/>
      <c r="AD68" s="157"/>
      <c r="AE68" s="312"/>
      <c r="AF68" s="115"/>
      <c r="AG68" s="312"/>
      <c r="AH68" s="115"/>
      <c r="AJ68" s="26"/>
      <c r="AL68" s="117"/>
      <c r="AM68" s="115"/>
      <c r="AN68" s="312"/>
      <c r="AO68" s="157"/>
      <c r="AP68" s="312"/>
      <c r="AQ68" s="115"/>
      <c r="AR68" s="312"/>
      <c r="AS68" s="115"/>
      <c r="AT68" s="1"/>
      <c r="AU68" s="26"/>
      <c r="AV68" s="1621" t="s">
        <v>3772</v>
      </c>
      <c r="AW68" s="201"/>
      <c r="AX68" s="115"/>
      <c r="AY68" s="312"/>
      <c r="AZ68" s="7217"/>
      <c r="BA68" s="312"/>
      <c r="BB68" s="115"/>
      <c r="BC68" s="312"/>
      <c r="BD68" s="115"/>
      <c r="BF68" s="26"/>
      <c r="BG68" s="1621" t="s">
        <v>3772</v>
      </c>
      <c r="BH68" s="201"/>
      <c r="BI68" s="115"/>
      <c r="BJ68" s="312"/>
      <c r="BK68" s="7217"/>
      <c r="BL68" s="312"/>
      <c r="BM68" s="115"/>
      <c r="BN68" s="312"/>
      <c r="BO68" s="115"/>
    </row>
    <row r="69" spans="1:67" x14ac:dyDescent="0.35">
      <c r="A69" s="9168"/>
      <c r="B69" s="1654"/>
      <c r="C69" s="4957" t="s">
        <v>3773</v>
      </c>
      <c r="D69" s="60"/>
      <c r="F69" s="163"/>
      <c r="H69" s="242"/>
      <c r="I69" s="243"/>
      <c r="J69" s="64"/>
      <c r="L69" s="242"/>
      <c r="M69" s="157"/>
      <c r="O69" s="242"/>
      <c r="P69" s="157"/>
      <c r="Q69" s="312"/>
      <c r="R69" s="242"/>
      <c r="S69" s="243"/>
      <c r="T69" s="312"/>
      <c r="U69" s="157"/>
      <c r="V69" s="312"/>
      <c r="W69" s="243"/>
      <c r="X69" s="312"/>
      <c r="Y69" s="243"/>
      <c r="AA69" s="242"/>
      <c r="AB69" s="243"/>
      <c r="AC69" s="312"/>
      <c r="AD69" s="157"/>
      <c r="AE69" s="312"/>
      <c r="AF69" s="243"/>
      <c r="AG69" s="312"/>
      <c r="AH69" s="243"/>
      <c r="AJ69" s="26"/>
      <c r="AL69" s="242"/>
      <c r="AM69" s="243"/>
      <c r="AN69" s="312"/>
      <c r="AO69" s="157"/>
      <c r="AP69" s="312"/>
      <c r="AQ69" s="243"/>
      <c r="AR69" s="312"/>
      <c r="AS69" s="243"/>
      <c r="AT69" s="1"/>
      <c r="AU69" s="26"/>
      <c r="AV69" s="7227" t="s">
        <v>3773</v>
      </c>
      <c r="AW69" s="244"/>
      <c r="AX69" s="243"/>
      <c r="AY69" s="312"/>
      <c r="AZ69" s="7217"/>
      <c r="BA69" s="312"/>
      <c r="BB69" s="243"/>
      <c r="BC69" s="312"/>
      <c r="BD69" s="243"/>
      <c r="BF69" s="26"/>
      <c r="BG69" s="7227" t="s">
        <v>3773</v>
      </c>
      <c r="BH69" s="244"/>
      <c r="BI69" s="243"/>
      <c r="BJ69" s="312"/>
      <c r="BK69" s="7217"/>
      <c r="BL69" s="312"/>
      <c r="BM69" s="243"/>
      <c r="BN69" s="312"/>
      <c r="BO69" s="243"/>
    </row>
    <row r="70" spans="1:67" x14ac:dyDescent="0.35">
      <c r="A70" s="9168"/>
      <c r="B70" s="1654"/>
      <c r="C70" s="4957" t="s">
        <v>3774</v>
      </c>
      <c r="D70" s="60"/>
      <c r="F70" s="163"/>
      <c r="H70" s="242"/>
      <c r="I70" s="243"/>
      <c r="J70" s="64"/>
      <c r="L70" s="242"/>
      <c r="M70" s="157"/>
      <c r="O70" s="242"/>
      <c r="P70" s="157"/>
      <c r="Q70" s="312"/>
      <c r="R70" s="242"/>
      <c r="S70" s="243"/>
      <c r="T70" s="312"/>
      <c r="U70" s="157"/>
      <c r="V70" s="312"/>
      <c r="W70" s="243"/>
      <c r="X70" s="312"/>
      <c r="Y70" s="243"/>
      <c r="AA70" s="242"/>
      <c r="AB70" s="243"/>
      <c r="AC70" s="312"/>
      <c r="AD70" s="157"/>
      <c r="AE70" s="312"/>
      <c r="AF70" s="243"/>
      <c r="AG70" s="312"/>
      <c r="AH70" s="243"/>
      <c r="AJ70" s="26"/>
      <c r="AL70" s="242"/>
      <c r="AM70" s="243"/>
      <c r="AN70" s="312"/>
      <c r="AO70" s="157"/>
      <c r="AP70" s="312"/>
      <c r="AQ70" s="243"/>
      <c r="AR70" s="312"/>
      <c r="AS70" s="243"/>
      <c r="AT70" s="1"/>
      <c r="AU70" s="26"/>
      <c r="AV70" s="7227" t="s">
        <v>3774</v>
      </c>
      <c r="AW70" s="244"/>
      <c r="AX70" s="243"/>
      <c r="AY70" s="312"/>
      <c r="AZ70" s="7217"/>
      <c r="BA70" s="312"/>
      <c r="BB70" s="243"/>
      <c r="BC70" s="312"/>
      <c r="BD70" s="243"/>
      <c r="BF70" s="26"/>
      <c r="BG70" s="7227" t="s">
        <v>3774</v>
      </c>
      <c r="BH70" s="244"/>
      <c r="BI70" s="243"/>
      <c r="BJ70" s="312"/>
      <c r="BK70" s="7217"/>
      <c r="BL70" s="312"/>
      <c r="BM70" s="243"/>
      <c r="BN70" s="312"/>
      <c r="BO70" s="243"/>
    </row>
    <row r="71" spans="1:67" x14ac:dyDescent="0.35">
      <c r="A71" s="9168"/>
      <c r="B71" s="1654"/>
      <c r="C71" s="4957" t="s">
        <v>964</v>
      </c>
      <c r="D71" s="87"/>
      <c r="F71" s="130"/>
      <c r="H71" s="131"/>
      <c r="I71" s="132"/>
      <c r="J71" s="133">
        <f t="shared" si="22"/>
        <v>0</v>
      </c>
      <c r="L71" s="242"/>
      <c r="M71" s="157"/>
      <c r="O71" s="242"/>
      <c r="P71" s="157">
        <f t="shared" si="20"/>
        <v>0</v>
      </c>
      <c r="Q71" s="312"/>
      <c r="R71" s="131"/>
      <c r="S71" s="132"/>
      <c r="T71" s="3054"/>
      <c r="U71" s="213"/>
      <c r="V71" s="312"/>
      <c r="W71" s="243"/>
      <c r="X71" s="312"/>
      <c r="Y71" s="243"/>
      <c r="AA71" s="131"/>
      <c r="AB71" s="132"/>
      <c r="AC71" s="3054"/>
      <c r="AD71" s="213"/>
      <c r="AE71" s="312"/>
      <c r="AF71" s="243"/>
      <c r="AG71" s="312"/>
      <c r="AH71" s="243"/>
      <c r="AJ71" s="26"/>
      <c r="AL71" s="131"/>
      <c r="AM71" s="132"/>
      <c r="AN71" s="3054"/>
      <c r="AO71" s="213"/>
      <c r="AP71" s="312"/>
      <c r="AQ71" s="243"/>
      <c r="AR71" s="312"/>
      <c r="AS71" s="243"/>
      <c r="AT71" s="1"/>
      <c r="AU71" s="26"/>
      <c r="AV71" s="7228" t="s">
        <v>964</v>
      </c>
      <c r="AW71" s="244"/>
      <c r="AX71" s="132"/>
      <c r="AY71" s="3054"/>
      <c r="AZ71" s="7225"/>
      <c r="BA71" s="312"/>
      <c r="BB71" s="243"/>
      <c r="BC71" s="312"/>
      <c r="BD71" s="243"/>
      <c r="BF71" s="26"/>
      <c r="BG71" s="7228" t="s">
        <v>964</v>
      </c>
      <c r="BH71" s="244"/>
      <c r="BI71" s="132"/>
      <c r="BJ71" s="3054"/>
      <c r="BK71" s="7225"/>
      <c r="BL71" s="312"/>
      <c r="BM71" s="243"/>
      <c r="BN71" s="312"/>
      <c r="BO71" s="243"/>
    </row>
    <row r="72" spans="1:67" x14ac:dyDescent="0.35">
      <c r="A72" s="9168"/>
      <c r="B72" s="271" t="s">
        <v>965</v>
      </c>
      <c r="C72" s="271"/>
      <c r="D72" s="140"/>
      <c r="E72" s="141"/>
      <c r="F72" s="227"/>
      <c r="G72" s="141"/>
      <c r="H72" s="245"/>
      <c r="I72" s="106"/>
      <c r="J72" s="267"/>
      <c r="K72" s="141"/>
      <c r="L72" s="102"/>
      <c r="M72" s="268"/>
      <c r="N72" s="141"/>
      <c r="O72" s="102"/>
      <c r="P72" s="268"/>
      <c r="Q72" s="254"/>
      <c r="R72" s="102"/>
      <c r="S72" s="103"/>
      <c r="T72" s="2909"/>
      <c r="U72" s="268"/>
      <c r="V72" s="254"/>
      <c r="W72" s="102"/>
      <c r="X72" s="2909"/>
      <c r="Y72" s="105"/>
      <c r="Z72" s="141"/>
      <c r="AA72" s="102"/>
      <c r="AB72" s="103"/>
      <c r="AC72" s="2909"/>
      <c r="AD72" s="268"/>
      <c r="AE72" s="254"/>
      <c r="AF72" s="102"/>
      <c r="AG72" s="2909"/>
      <c r="AH72" s="105"/>
      <c r="AI72" s="141"/>
      <c r="AJ72" s="18"/>
      <c r="AL72" s="102"/>
      <c r="AM72" s="103"/>
      <c r="AN72" s="2909"/>
      <c r="AO72" s="268"/>
      <c r="AP72" s="254"/>
      <c r="AQ72" s="102"/>
      <c r="AR72" s="2909"/>
      <c r="AS72" s="105"/>
      <c r="AT72" s="141"/>
      <c r="AU72" s="18"/>
      <c r="AV72" s="271"/>
      <c r="AW72" s="102"/>
      <c r="AX72" s="103"/>
      <c r="AY72" s="2909"/>
      <c r="AZ72" s="268"/>
      <c r="BA72" s="254"/>
      <c r="BB72" s="102"/>
      <c r="BC72" s="2909"/>
      <c r="BD72" s="105"/>
      <c r="BF72" s="18"/>
      <c r="BG72" s="271"/>
      <c r="BH72" s="102"/>
      <c r="BI72" s="103"/>
      <c r="BJ72" s="2909"/>
      <c r="BK72" s="268"/>
      <c r="BL72" s="254"/>
      <c r="BM72" s="102"/>
      <c r="BN72" s="4472" t="s">
        <v>3775</v>
      </c>
      <c r="BO72" s="105"/>
    </row>
    <row r="73" spans="1:67" x14ac:dyDescent="0.35">
      <c r="A73" s="9168"/>
      <c r="B73" s="232"/>
      <c r="C73" s="232" t="s">
        <v>3728</v>
      </c>
      <c r="D73" s="60"/>
      <c r="F73" s="111">
        <v>1669195277</v>
      </c>
      <c r="H73" s="112">
        <v>1888527000</v>
      </c>
      <c r="I73" s="113">
        <v>1693218923</v>
      </c>
      <c r="J73" s="64">
        <f t="shared" ref="J73:J80" si="23">IF(H73=0,0,I73/H73)</f>
        <v>0.89658179258226123</v>
      </c>
      <c r="L73" s="112">
        <v>1888527000</v>
      </c>
      <c r="M73" s="157">
        <v>1693218923</v>
      </c>
      <c r="O73" s="112">
        <v>1944457000</v>
      </c>
      <c r="P73" s="157">
        <f t="shared" ref="P73:P82" si="24">O73*J73</f>
        <v>1743364742.6591258</v>
      </c>
      <c r="Q73" s="312"/>
      <c r="R73" s="112"/>
      <c r="S73" s="113"/>
      <c r="T73" s="312"/>
      <c r="U73" s="157"/>
      <c r="V73" s="312"/>
      <c r="W73" s="112"/>
      <c r="X73" s="312"/>
      <c r="Y73" s="3254"/>
      <c r="AA73" s="112"/>
      <c r="AB73" s="1351"/>
      <c r="AC73" s="2990"/>
      <c r="AD73" s="157"/>
      <c r="AE73" s="312"/>
      <c r="AF73" s="112"/>
      <c r="AG73" s="2990"/>
      <c r="AH73" s="5206"/>
      <c r="AJ73" s="26"/>
      <c r="AL73" s="112"/>
      <c r="AM73" s="1351"/>
      <c r="AN73" s="2990"/>
      <c r="AO73" s="157"/>
      <c r="AP73" s="312"/>
      <c r="AQ73" s="112"/>
      <c r="AR73" s="2990"/>
      <c r="AS73" s="5206"/>
      <c r="AT73" s="1"/>
      <c r="AU73" s="26"/>
      <c r="AV73" s="232" t="s">
        <v>3728</v>
      </c>
      <c r="AW73" s="112">
        <v>201136399000</v>
      </c>
      <c r="AX73" s="113">
        <v>192239254000</v>
      </c>
      <c r="AY73" s="2990" t="s">
        <v>3776</v>
      </c>
      <c r="AZ73" s="7229">
        <f>AX73/AW73</f>
        <v>0.95576561455691567</v>
      </c>
      <c r="BA73" s="312"/>
      <c r="BB73" s="1805">
        <f>AW73*BB34/AW34</f>
        <v>205442068551.62451</v>
      </c>
      <c r="BC73" s="2990" t="s">
        <v>3777</v>
      </c>
      <c r="BD73" s="7230">
        <f>AX73*BD34/AX34</f>
        <v>204428010867.32053</v>
      </c>
      <c r="BF73" s="26"/>
      <c r="BG73" s="232" t="s">
        <v>3728</v>
      </c>
      <c r="BH73" s="1805">
        <f>BB73*BH34/BB34</f>
        <v>205442068551.62451</v>
      </c>
      <c r="BI73" s="113">
        <v>192239254000</v>
      </c>
      <c r="BJ73" s="2990"/>
      <c r="BK73" s="8880">
        <f>BI73/BH73</f>
        <v>0.93573461051718898</v>
      </c>
      <c r="BL73" s="312"/>
      <c r="BM73" s="1805">
        <v>254361105000</v>
      </c>
      <c r="BN73" t="s">
        <v>3778</v>
      </c>
      <c r="BO73" s="7230">
        <v>244192144000</v>
      </c>
    </row>
    <row r="74" spans="1:67" x14ac:dyDescent="0.35">
      <c r="A74" s="9168"/>
      <c r="B74" s="232"/>
      <c r="C74" s="232" t="s">
        <v>3740</v>
      </c>
      <c r="D74" s="60"/>
      <c r="F74" s="155">
        <v>1239160077</v>
      </c>
      <c r="H74" s="117">
        <v>1236934000</v>
      </c>
      <c r="I74" s="115">
        <v>1160373426</v>
      </c>
      <c r="J74" s="64">
        <f t="shared" si="23"/>
        <v>0.93810456014629717</v>
      </c>
      <c r="L74" s="117">
        <v>1378573000</v>
      </c>
      <c r="M74" s="157">
        <f t="shared" ref="M74:M79" si="25">L74*J74</f>
        <v>1293245617.7945614</v>
      </c>
      <c r="O74" s="117">
        <v>1232428000</v>
      </c>
      <c r="P74" s="157">
        <f t="shared" si="24"/>
        <v>1156146326.8519807</v>
      </c>
      <c r="Q74" s="312"/>
      <c r="R74" s="117"/>
      <c r="S74" s="115"/>
      <c r="T74" s="312"/>
      <c r="U74" s="157"/>
      <c r="V74" s="312"/>
      <c r="W74" s="117"/>
      <c r="X74" s="312"/>
      <c r="Y74" s="3265"/>
      <c r="AA74" s="117"/>
      <c r="AB74" s="1351"/>
      <c r="AC74" s="2990"/>
      <c r="AD74" s="157"/>
      <c r="AE74" s="312"/>
      <c r="AF74" s="117"/>
      <c r="AG74" s="2990"/>
      <c r="AH74" s="5206"/>
      <c r="AJ74" s="26"/>
      <c r="AL74" s="117"/>
      <c r="AM74" s="1351"/>
      <c r="AN74" s="2990"/>
      <c r="AO74" s="157"/>
      <c r="AP74" s="312"/>
      <c r="AQ74" s="117"/>
      <c r="AR74" s="2990"/>
      <c r="AS74" s="5206"/>
      <c r="AT74" s="1"/>
      <c r="AU74" s="26"/>
      <c r="AV74" s="232"/>
      <c r="AW74" s="117"/>
      <c r="AX74" s="1351"/>
      <c r="AY74" s="2990"/>
      <c r="AZ74" s="157"/>
      <c r="BA74" s="312"/>
      <c r="BB74" s="117"/>
      <c r="BC74" s="2990"/>
      <c r="BD74" s="5206"/>
      <c r="BF74" s="26"/>
      <c r="BG74" s="232"/>
      <c r="BH74" s="117"/>
      <c r="BI74" s="1351"/>
      <c r="BJ74" s="2990"/>
      <c r="BK74" s="157"/>
      <c r="BL74" s="312"/>
      <c r="BM74" s="117">
        <v>6580764000</v>
      </c>
      <c r="BN74" s="2990" t="s">
        <v>3779</v>
      </c>
      <c r="BO74" s="3254">
        <v>1556817000</v>
      </c>
    </row>
    <row r="75" spans="1:67" x14ac:dyDescent="0.35">
      <c r="A75" s="9168"/>
      <c r="B75" s="232"/>
      <c r="C75" s="232" t="s">
        <v>3780</v>
      </c>
      <c r="D75" s="60"/>
      <c r="F75" s="163">
        <v>4314404171</v>
      </c>
      <c r="H75" s="242">
        <v>5187031000</v>
      </c>
      <c r="I75" s="243">
        <v>5030451023</v>
      </c>
      <c r="J75" s="64">
        <f t="shared" si="23"/>
        <v>0.96981317886860519</v>
      </c>
      <c r="L75" s="242">
        <v>7119610000</v>
      </c>
      <c r="M75" s="157">
        <f t="shared" si="25"/>
        <v>6904691606.4047098</v>
      </c>
      <c r="O75" s="242">
        <v>6380724000</v>
      </c>
      <c r="P75" s="157">
        <f t="shared" si="24"/>
        <v>6188110225.9232016</v>
      </c>
      <c r="Q75" s="312"/>
      <c r="R75" s="242"/>
      <c r="S75" s="243"/>
      <c r="T75" s="312"/>
      <c r="U75" s="157"/>
      <c r="V75" s="312"/>
      <c r="W75" s="242"/>
      <c r="X75" s="312"/>
      <c r="Y75" s="3272"/>
      <c r="AA75" s="242"/>
      <c r="AB75" s="243"/>
      <c r="AC75" s="312"/>
      <c r="AD75" s="157"/>
      <c r="AE75" s="312"/>
      <c r="AF75" s="242"/>
      <c r="AG75" s="312"/>
      <c r="AH75" s="3272"/>
      <c r="AJ75" s="26"/>
      <c r="AL75" s="242"/>
      <c r="AM75" s="243"/>
      <c r="AN75" s="312"/>
      <c r="AO75" s="157"/>
      <c r="AP75" s="312"/>
      <c r="AQ75" s="242"/>
      <c r="AR75" s="312"/>
      <c r="AS75" s="3272"/>
      <c r="AT75" s="1"/>
      <c r="AU75" s="26"/>
      <c r="AV75" s="232"/>
      <c r="AW75" s="242"/>
      <c r="AX75" s="243"/>
      <c r="AY75" s="312"/>
      <c r="AZ75" s="157"/>
      <c r="BA75" s="312"/>
      <c r="BB75" s="242"/>
      <c r="BC75" s="312"/>
      <c r="BD75" s="3272"/>
      <c r="BF75" s="26"/>
      <c r="BG75" s="232"/>
      <c r="BH75" s="242"/>
      <c r="BI75" s="243"/>
      <c r="BJ75" s="312"/>
      <c r="BK75" s="157"/>
      <c r="BL75" s="312"/>
      <c r="BM75" s="242"/>
      <c r="BN75" s="312"/>
      <c r="BO75" s="3272"/>
    </row>
    <row r="76" spans="1:67" x14ac:dyDescent="0.35">
      <c r="A76" s="9168"/>
      <c r="B76" s="232"/>
      <c r="C76" s="232" t="s">
        <v>3781</v>
      </c>
      <c r="D76" s="60"/>
      <c r="F76" s="163">
        <v>18669917506</v>
      </c>
      <c r="H76" s="242">
        <v>22456504000</v>
      </c>
      <c r="I76" s="243">
        <v>19176247626</v>
      </c>
      <c r="J76" s="64">
        <f t="shared" si="23"/>
        <v>0.85392844879149488</v>
      </c>
      <c r="L76" s="242">
        <v>22641018000</v>
      </c>
      <c r="M76" s="157">
        <f t="shared" si="25"/>
        <v>19333809379.800312</v>
      </c>
      <c r="O76" s="242">
        <v>19347659000</v>
      </c>
      <c r="P76" s="157">
        <f t="shared" si="24"/>
        <v>16521516437.616804</v>
      </c>
      <c r="Q76" s="312"/>
      <c r="R76" s="242"/>
      <c r="S76" s="243"/>
      <c r="T76" s="312"/>
      <c r="U76" s="157"/>
      <c r="V76" s="312"/>
      <c r="W76" s="242"/>
      <c r="X76" s="312"/>
      <c r="Y76" s="3272"/>
      <c r="AA76" s="242"/>
      <c r="AB76" s="243"/>
      <c r="AC76" s="312"/>
      <c r="AD76" s="157"/>
      <c r="AE76" s="312"/>
      <c r="AF76" s="242"/>
      <c r="AG76" s="312"/>
      <c r="AH76" s="3272"/>
      <c r="AJ76" s="26"/>
      <c r="AL76" s="242"/>
      <c r="AM76" s="243"/>
      <c r="AN76" s="312"/>
      <c r="AO76" s="157"/>
      <c r="AP76" s="312"/>
      <c r="AQ76" s="242"/>
      <c r="AR76" s="312"/>
      <c r="AS76" s="3272"/>
      <c r="AT76" s="1"/>
      <c r="AU76" s="26"/>
      <c r="AV76" s="232"/>
      <c r="AW76" s="242"/>
      <c r="AX76" s="243"/>
      <c r="AY76" s="312"/>
      <c r="AZ76" s="157"/>
      <c r="BA76" s="312"/>
      <c r="BB76" s="242"/>
      <c r="BC76" s="312"/>
      <c r="BD76" s="3272"/>
      <c r="BF76" s="26"/>
      <c r="BG76" s="232"/>
      <c r="BH76" s="242"/>
      <c r="BI76" s="243"/>
      <c r="BJ76" s="312"/>
      <c r="BK76" s="157"/>
      <c r="BL76" s="312"/>
      <c r="BM76" s="242"/>
      <c r="BN76" s="312"/>
      <c r="BO76" s="3272"/>
    </row>
    <row r="77" spans="1:67" x14ac:dyDescent="0.35">
      <c r="A77" s="9168"/>
      <c r="B77" s="232"/>
      <c r="C77" s="232" t="s">
        <v>962</v>
      </c>
      <c r="D77" s="60"/>
      <c r="F77" s="163"/>
      <c r="H77" s="242"/>
      <c r="I77" s="243"/>
      <c r="J77" s="64">
        <f t="shared" si="23"/>
        <v>0</v>
      </c>
      <c r="L77" s="242"/>
      <c r="M77" s="157">
        <f t="shared" si="25"/>
        <v>0</v>
      </c>
      <c r="O77" s="242"/>
      <c r="P77" s="157">
        <f t="shared" si="24"/>
        <v>0</v>
      </c>
      <c r="Q77" s="312"/>
      <c r="R77" s="242"/>
      <c r="S77" s="243"/>
      <c r="T77" s="312"/>
      <c r="U77" s="157"/>
      <c r="V77" s="312"/>
      <c r="W77" s="242"/>
      <c r="X77" s="312"/>
      <c r="Y77" s="3272"/>
      <c r="AA77" s="242"/>
      <c r="AB77" s="243"/>
      <c r="AC77" s="312"/>
      <c r="AD77" s="157"/>
      <c r="AE77" s="312"/>
      <c r="AF77" s="242"/>
      <c r="AG77" s="312"/>
      <c r="AH77" s="3272"/>
      <c r="AJ77" s="26"/>
      <c r="AL77" s="242"/>
      <c r="AM77" s="243"/>
      <c r="AN77" s="312"/>
      <c r="AO77" s="157"/>
      <c r="AP77" s="312"/>
      <c r="AQ77" s="242"/>
      <c r="AR77" s="312"/>
      <c r="AS77" s="3272"/>
      <c r="AT77" s="1"/>
      <c r="AU77" s="26"/>
      <c r="AV77" s="232" t="s">
        <v>962</v>
      </c>
      <c r="AW77" s="242"/>
      <c r="AX77" s="243"/>
      <c r="AY77" s="312"/>
      <c r="AZ77" s="157"/>
      <c r="BA77" s="312"/>
      <c r="BB77" s="242"/>
      <c r="BC77" s="312"/>
      <c r="BD77" s="3272"/>
      <c r="BF77" s="26"/>
      <c r="BG77" s="232" t="s">
        <v>962</v>
      </c>
      <c r="BH77" s="242"/>
      <c r="BI77" s="243"/>
      <c r="BJ77" s="312"/>
      <c r="BK77" s="157"/>
      <c r="BL77" s="312"/>
      <c r="BM77" s="242"/>
      <c r="BN77" s="312"/>
      <c r="BO77" s="3272"/>
    </row>
    <row r="78" spans="1:67" x14ac:dyDescent="0.35">
      <c r="A78" s="9168"/>
      <c r="B78" s="232"/>
      <c r="C78" s="232" t="s">
        <v>963</v>
      </c>
      <c r="D78" s="60"/>
      <c r="F78" s="163"/>
      <c r="H78" s="242"/>
      <c r="I78" s="243"/>
      <c r="J78" s="64"/>
      <c r="L78" s="242"/>
      <c r="M78" s="157">
        <f t="shared" si="25"/>
        <v>0</v>
      </c>
      <c r="O78" s="242"/>
      <c r="P78" s="157"/>
      <c r="Q78" s="312"/>
      <c r="R78" s="242"/>
      <c r="S78" s="243"/>
      <c r="T78" s="312"/>
      <c r="U78" s="157"/>
      <c r="V78" s="312"/>
      <c r="W78" s="242"/>
      <c r="X78" s="312"/>
      <c r="Y78" s="3272"/>
      <c r="AA78" s="242"/>
      <c r="AB78" s="243"/>
      <c r="AC78" s="312"/>
      <c r="AD78" s="157"/>
      <c r="AE78" s="312"/>
      <c r="AF78" s="242"/>
      <c r="AG78" s="312"/>
      <c r="AH78" s="3272"/>
      <c r="AJ78" s="26"/>
      <c r="AL78" s="242"/>
      <c r="AM78" s="243"/>
      <c r="AN78" s="312"/>
      <c r="AO78" s="157"/>
      <c r="AP78" s="312"/>
      <c r="AQ78" s="242"/>
      <c r="AR78" s="312"/>
      <c r="AS78" s="3272"/>
      <c r="AT78" s="1"/>
      <c r="AU78" s="26"/>
      <c r="AV78" s="232" t="s">
        <v>963</v>
      </c>
      <c r="AW78" s="242"/>
      <c r="AX78" s="243"/>
      <c r="AY78" s="312"/>
      <c r="AZ78" s="157"/>
      <c r="BA78" s="312"/>
      <c r="BB78" s="242"/>
      <c r="BC78" s="312"/>
      <c r="BD78" s="3272"/>
      <c r="BF78" s="26"/>
      <c r="BG78" s="232" t="s">
        <v>963</v>
      </c>
      <c r="BH78" s="242"/>
      <c r="BI78" s="243"/>
      <c r="BJ78" s="312"/>
      <c r="BK78" s="157"/>
      <c r="BL78" s="312"/>
      <c r="BM78" s="242"/>
      <c r="BN78" s="312"/>
      <c r="BO78" s="3272"/>
    </row>
    <row r="79" spans="1:67" x14ac:dyDescent="0.35">
      <c r="A79" s="9168"/>
      <c r="B79" s="232"/>
      <c r="C79" s="232" t="s">
        <v>964</v>
      </c>
      <c r="D79" s="60"/>
      <c r="F79" s="163"/>
      <c r="H79" s="242"/>
      <c r="I79" s="243"/>
      <c r="J79" s="64">
        <f t="shared" si="23"/>
        <v>0</v>
      </c>
      <c r="L79" s="242"/>
      <c r="M79" s="157">
        <f t="shared" si="25"/>
        <v>0</v>
      </c>
      <c r="O79" s="242"/>
      <c r="P79" s="157">
        <f t="shared" si="24"/>
        <v>0</v>
      </c>
      <c r="Q79" s="312"/>
      <c r="R79" s="242"/>
      <c r="S79" s="243"/>
      <c r="T79" s="312"/>
      <c r="U79" s="157"/>
      <c r="V79" s="312"/>
      <c r="W79" s="242"/>
      <c r="X79" s="312"/>
      <c r="Y79" s="3272"/>
      <c r="AA79" s="242"/>
      <c r="AB79" s="243"/>
      <c r="AC79" s="312"/>
      <c r="AD79" s="157"/>
      <c r="AE79" s="312"/>
      <c r="AF79" s="242"/>
      <c r="AG79" s="312"/>
      <c r="AH79" s="3272"/>
      <c r="AJ79" s="26"/>
      <c r="AL79" s="242"/>
      <c r="AM79" s="243"/>
      <c r="AN79" s="312"/>
      <c r="AO79" s="157"/>
      <c r="AP79" s="312"/>
      <c r="AQ79" s="242"/>
      <c r="AR79" s="312"/>
      <c r="AS79" s="3272"/>
      <c r="AT79" s="1"/>
      <c r="AU79" s="26"/>
      <c r="AV79" s="232" t="s">
        <v>964</v>
      </c>
      <c r="AW79" s="242"/>
      <c r="AX79" s="243"/>
      <c r="AY79" s="312"/>
      <c r="AZ79" s="157"/>
      <c r="BA79" s="312"/>
      <c r="BB79" s="242"/>
      <c r="BC79" s="312"/>
      <c r="BD79" s="3272"/>
      <c r="BF79" s="26"/>
      <c r="BG79" s="232" t="s">
        <v>964</v>
      </c>
      <c r="BH79" s="242"/>
      <c r="BI79" s="243"/>
      <c r="BJ79" s="312"/>
      <c r="BK79" s="157"/>
      <c r="BL79" s="312"/>
      <c r="BM79" s="242"/>
      <c r="BN79" s="312"/>
      <c r="BO79" s="3272"/>
    </row>
    <row r="80" spans="1:67" x14ac:dyDescent="0.35">
      <c r="A80" s="9168"/>
      <c r="B80" s="1662"/>
      <c r="C80" s="1662" t="s">
        <v>978</v>
      </c>
      <c r="D80" s="87"/>
      <c r="F80" s="130"/>
      <c r="H80" s="242"/>
      <c r="I80" s="243"/>
      <c r="J80" s="64">
        <f t="shared" si="23"/>
        <v>0</v>
      </c>
      <c r="L80" s="242"/>
      <c r="M80" s="157"/>
      <c r="O80" s="242"/>
      <c r="P80" s="157">
        <f t="shared" si="24"/>
        <v>0</v>
      </c>
      <c r="Q80" s="312"/>
      <c r="R80" s="131"/>
      <c r="S80" s="132"/>
      <c r="T80" s="3054"/>
      <c r="U80" s="213"/>
      <c r="V80" s="312"/>
      <c r="W80" s="131"/>
      <c r="X80" s="3054"/>
      <c r="Y80" s="3264"/>
      <c r="AA80" s="131"/>
      <c r="AB80" s="132"/>
      <c r="AC80" s="3054"/>
      <c r="AD80" s="213"/>
      <c r="AE80" s="312"/>
      <c r="AF80" s="131"/>
      <c r="AG80" s="3054"/>
      <c r="AH80" s="3264"/>
      <c r="AJ80" s="24"/>
      <c r="AL80" s="131"/>
      <c r="AM80" s="132"/>
      <c r="AN80" s="3054"/>
      <c r="AO80" s="213"/>
      <c r="AP80" s="312"/>
      <c r="AQ80" s="131"/>
      <c r="AR80" s="3054"/>
      <c r="AS80" s="3264"/>
      <c r="AT80" s="1"/>
      <c r="AU80" s="24"/>
      <c r="AV80" s="1662" t="s">
        <v>978</v>
      </c>
      <c r="AW80" s="131"/>
      <c r="AX80" s="132"/>
      <c r="AY80" s="3054"/>
      <c r="AZ80" s="213"/>
      <c r="BA80" s="312"/>
      <c r="BB80" s="131"/>
      <c r="BC80" s="3054"/>
      <c r="BD80" s="3264"/>
      <c r="BF80" s="24"/>
      <c r="BG80" s="1662" t="s">
        <v>978</v>
      </c>
      <c r="BH80" s="131"/>
      <c r="BI80" s="132"/>
      <c r="BJ80" s="3054"/>
      <c r="BK80" s="213"/>
      <c r="BL80" s="312"/>
      <c r="BM80" s="131"/>
      <c r="BN80" s="3054"/>
      <c r="BO80" s="3264"/>
    </row>
    <row r="81" spans="1:67" x14ac:dyDescent="0.35">
      <c r="A81" s="9168"/>
      <c r="B81" s="271" t="s">
        <v>3782</v>
      </c>
      <c r="C81" s="271"/>
      <c r="D81" s="140"/>
      <c r="E81" s="143"/>
      <c r="F81" s="227"/>
      <c r="G81" s="143"/>
      <c r="H81" s="102"/>
      <c r="I81" s="103"/>
      <c r="J81" s="228"/>
      <c r="K81" s="143"/>
      <c r="L81" s="102"/>
      <c r="M81" s="268"/>
      <c r="N81" s="143"/>
      <c r="O81" s="102"/>
      <c r="P81" s="268"/>
      <c r="Q81" s="254"/>
      <c r="R81" s="102"/>
      <c r="S81" s="103"/>
      <c r="T81" s="2909"/>
      <c r="U81" s="268"/>
      <c r="V81" s="254"/>
      <c r="W81" s="102"/>
      <c r="X81" s="2909"/>
      <c r="Y81" s="105"/>
      <c r="Z81" s="143"/>
      <c r="AA81" s="102"/>
      <c r="AB81" s="103"/>
      <c r="AC81" s="2909"/>
      <c r="AD81" s="268"/>
      <c r="AE81" s="254"/>
      <c r="AF81" s="102"/>
      <c r="AG81" s="2909"/>
      <c r="AH81" s="105"/>
      <c r="AI81" s="143"/>
      <c r="AJ81" s="18"/>
      <c r="AL81" s="102"/>
      <c r="AM81" s="103"/>
      <c r="AN81" s="2909"/>
      <c r="AO81" s="268"/>
      <c r="AP81" s="254"/>
      <c r="AQ81" s="102"/>
      <c r="AR81" s="2909"/>
      <c r="AS81" s="105"/>
      <c r="AT81" s="143"/>
      <c r="AU81" s="18"/>
      <c r="AV81" s="271"/>
      <c r="AW81" s="102"/>
      <c r="AX81" s="103"/>
      <c r="AY81" s="2909"/>
      <c r="AZ81" s="268"/>
      <c r="BA81" s="254"/>
      <c r="BB81" s="102"/>
      <c r="BC81" s="2909"/>
      <c r="BD81" s="105"/>
      <c r="BF81" s="18"/>
      <c r="BG81" s="271"/>
      <c r="BH81" s="102"/>
      <c r="BI81" s="103"/>
      <c r="BJ81" s="2909"/>
      <c r="BK81" s="268"/>
      <c r="BL81" s="254"/>
      <c r="BM81" s="102"/>
      <c r="BN81" s="2909"/>
      <c r="BO81" s="105"/>
    </row>
    <row r="82" spans="1:67" x14ac:dyDescent="0.35">
      <c r="A82" s="9168"/>
      <c r="B82" s="272"/>
      <c r="C82" s="272" t="s">
        <v>980</v>
      </c>
      <c r="D82" s="60"/>
      <c r="F82" s="155">
        <v>129786740395</v>
      </c>
      <c r="H82" s="117">
        <v>155896878000</v>
      </c>
      <c r="I82" s="115">
        <v>150719129170</v>
      </c>
      <c r="J82" s="64">
        <f t="shared" ref="J82" si="26">IF(H82=0,0,I82/H82)</f>
        <v>0.96678734753110318</v>
      </c>
      <c r="L82" s="117">
        <v>175284919000</v>
      </c>
      <c r="M82" s="157">
        <f t="shared" ref="M82" si="27">L82*J82</f>
        <v>169463241902.21426</v>
      </c>
      <c r="O82" s="117">
        <v>179648342000</v>
      </c>
      <c r="P82" s="157">
        <f t="shared" si="24"/>
        <v>173681744050.54047</v>
      </c>
      <c r="Q82" s="312"/>
      <c r="R82" s="117"/>
      <c r="S82" s="115"/>
      <c r="T82" s="312"/>
      <c r="U82" s="157"/>
      <c r="V82" s="312"/>
      <c r="W82" s="117"/>
      <c r="X82" s="312"/>
      <c r="Y82" s="3265"/>
      <c r="AA82" s="117"/>
      <c r="AB82" s="115"/>
      <c r="AC82" s="312"/>
      <c r="AD82" s="157"/>
      <c r="AE82" s="312"/>
      <c r="AF82" s="117"/>
      <c r="AG82" s="312"/>
      <c r="AH82" s="3265"/>
      <c r="AJ82" s="26"/>
      <c r="AL82" s="117"/>
      <c r="AM82" s="115"/>
      <c r="AN82" s="312"/>
      <c r="AO82" s="157"/>
      <c r="AP82" s="312"/>
      <c r="AQ82" s="117"/>
      <c r="AR82" s="312"/>
      <c r="AS82" s="3265"/>
      <c r="AT82" s="1"/>
      <c r="AU82" s="26"/>
      <c r="AV82" s="272" t="s">
        <v>980</v>
      </c>
      <c r="AW82" s="117"/>
      <c r="AX82" s="115"/>
      <c r="AY82" s="312"/>
      <c r="AZ82" s="157"/>
      <c r="BA82" s="312"/>
      <c r="BB82" s="117"/>
      <c r="BC82" s="312"/>
      <c r="BD82" s="3265"/>
      <c r="BF82" s="26"/>
      <c r="BG82" s="272" t="s">
        <v>980</v>
      </c>
      <c r="BH82" s="117"/>
      <c r="BI82" s="115"/>
      <c r="BJ82" s="312"/>
      <c r="BK82" s="157"/>
      <c r="BL82" s="312"/>
      <c r="BM82" s="117"/>
      <c r="BN82" s="312"/>
      <c r="BO82" s="3265"/>
    </row>
    <row r="83" spans="1:67" x14ac:dyDescent="0.35">
      <c r="A83" s="9168"/>
      <c r="B83" s="277"/>
      <c r="C83" s="277" t="s">
        <v>981</v>
      </c>
      <c r="D83" s="87"/>
      <c r="F83" s="278"/>
      <c r="G83" s="279"/>
      <c r="H83" s="280"/>
      <c r="I83" s="281"/>
      <c r="J83" s="133"/>
      <c r="L83" s="280"/>
      <c r="M83" s="282"/>
      <c r="O83" s="280"/>
      <c r="P83" s="282"/>
      <c r="Q83" s="2926"/>
      <c r="R83" s="280"/>
      <c r="S83" s="281"/>
      <c r="T83" s="2913"/>
      <c r="U83" s="282"/>
      <c r="V83" s="2926"/>
      <c r="W83" s="280"/>
      <c r="X83" s="2913"/>
      <c r="Y83" s="5225"/>
      <c r="AA83" s="280"/>
      <c r="AB83" s="281"/>
      <c r="AC83" s="2913"/>
      <c r="AD83" s="282"/>
      <c r="AE83" s="2926"/>
      <c r="AF83" s="280"/>
      <c r="AG83" s="2913"/>
      <c r="AH83" s="5225"/>
      <c r="AJ83" s="24"/>
      <c r="AL83" s="280"/>
      <c r="AM83" s="281"/>
      <c r="AN83" s="2913"/>
      <c r="AO83" s="282"/>
      <c r="AP83" s="2926"/>
      <c r="AQ83" s="280"/>
      <c r="AR83" s="2913"/>
      <c r="AS83" s="5225"/>
      <c r="AT83" s="1"/>
      <c r="AU83" s="24"/>
      <c r="AV83" s="277" t="s">
        <v>981</v>
      </c>
      <c r="AW83" s="7231"/>
      <c r="AX83" s="7232"/>
      <c r="AY83" s="2913"/>
      <c r="AZ83" s="282"/>
      <c r="BA83" s="5348"/>
      <c r="BB83" s="7231"/>
      <c r="BC83" s="2913"/>
      <c r="BD83" s="7233"/>
      <c r="BF83" s="24"/>
      <c r="BG83" s="277" t="s">
        <v>981</v>
      </c>
      <c r="BH83" s="8881"/>
      <c r="BI83" s="3089"/>
      <c r="BJ83" s="3086"/>
      <c r="BK83" s="3805"/>
      <c r="BL83" s="8381"/>
      <c r="BM83" s="8881"/>
      <c r="BN83" s="3086"/>
      <c r="BO83" s="8882"/>
    </row>
    <row r="84" spans="1:67" ht="15.25" customHeight="1" x14ac:dyDescent="0.35">
      <c r="A84" s="9168"/>
      <c r="B84" s="5226" t="s">
        <v>982</v>
      </c>
      <c r="C84" s="5227"/>
      <c r="D84" s="140"/>
      <c r="E84" s="143"/>
      <c r="F84" s="5228"/>
      <c r="G84" s="290"/>
      <c r="H84" s="5229"/>
      <c r="I84" s="5230"/>
      <c r="J84" s="293"/>
      <c r="L84" s="5229"/>
      <c r="M84" s="268"/>
      <c r="N84" s="143"/>
      <c r="O84" s="5229"/>
      <c r="P84" s="268"/>
      <c r="Q84" s="254"/>
      <c r="R84" s="5229"/>
      <c r="S84" s="5230"/>
      <c r="T84" s="2909"/>
      <c r="U84" s="268"/>
      <c r="V84" s="254"/>
      <c r="W84" s="5229"/>
      <c r="X84" s="2909"/>
      <c r="Y84" s="5231"/>
      <c r="Z84" s="143"/>
      <c r="AA84" s="5229"/>
      <c r="AB84" s="5230"/>
      <c r="AC84" s="2909"/>
      <c r="AD84" s="268"/>
      <c r="AE84" s="254"/>
      <c r="AF84" s="5229"/>
      <c r="AG84" s="2909"/>
      <c r="AH84" s="5231"/>
      <c r="AI84" s="143"/>
      <c r="AJ84" s="18"/>
      <c r="AL84" s="5229"/>
      <c r="AM84" s="5230"/>
      <c r="AN84" s="2909"/>
      <c r="AO84" s="268"/>
      <c r="AP84" s="254"/>
      <c r="AQ84" s="5229"/>
      <c r="AR84" s="2909"/>
      <c r="AS84" s="5231"/>
      <c r="AT84" s="143"/>
      <c r="AU84" s="18"/>
      <c r="AV84" s="908"/>
      <c r="AW84" s="1388"/>
      <c r="AX84" s="520"/>
      <c r="AY84" s="2909"/>
      <c r="AZ84" s="268"/>
      <c r="BA84" s="254"/>
      <c r="BB84" s="1388"/>
      <c r="BC84" s="2909"/>
      <c r="BD84" s="5068"/>
      <c r="BF84" s="18"/>
      <c r="BG84" s="908"/>
      <c r="BH84" s="1388"/>
      <c r="BI84" s="520"/>
      <c r="BJ84" s="2909"/>
      <c r="BK84" s="268"/>
      <c r="BL84" s="254"/>
      <c r="BM84" s="1388"/>
      <c r="BN84" s="2909"/>
      <c r="BO84" s="5068"/>
    </row>
    <row r="85" spans="1:67" x14ac:dyDescent="0.35">
      <c r="A85" s="9168"/>
      <c r="B85" s="5232"/>
      <c r="C85" s="4830" t="s">
        <v>3728</v>
      </c>
      <c r="D85" s="60"/>
      <c r="F85" s="4815">
        <v>30566703245</v>
      </c>
      <c r="G85" s="272"/>
      <c r="H85" s="4816">
        <v>1535760000</v>
      </c>
      <c r="I85" s="4817">
        <v>1329368921.2350001</v>
      </c>
      <c r="J85" s="297">
        <f t="shared" ref="J85:J88" si="28">IF(H85=0,0,I85/H85)</f>
        <v>0.86560980962845768</v>
      </c>
      <c r="L85" s="4816">
        <v>9435742000</v>
      </c>
      <c r="M85" s="157">
        <f t="shared" ref="M85" si="29">L85*J85</f>
        <v>8167670836.3232422</v>
      </c>
      <c r="O85" s="5174">
        <v>14666258000</v>
      </c>
      <c r="P85" s="157">
        <f t="shared" ref="P85:P88" si="30">O85*J85</f>
        <v>12695256795.341845</v>
      </c>
      <c r="Q85" s="312"/>
      <c r="R85" s="5174"/>
      <c r="S85" s="4817"/>
      <c r="T85" s="312"/>
      <c r="U85" s="157"/>
      <c r="V85" s="312"/>
      <c r="W85" s="4816"/>
      <c r="X85" s="312"/>
      <c r="Y85" s="5233"/>
      <c r="AA85" s="5174"/>
      <c r="AB85" s="4817"/>
      <c r="AC85" s="312"/>
      <c r="AD85" s="157"/>
      <c r="AE85" s="312"/>
      <c r="AF85" s="4816"/>
      <c r="AG85" s="312"/>
      <c r="AH85" s="5233"/>
      <c r="AJ85" s="26"/>
      <c r="AL85" s="5174"/>
      <c r="AM85" s="4817"/>
      <c r="AN85" s="312"/>
      <c r="AO85" s="157"/>
      <c r="AP85" s="312"/>
      <c r="AQ85" s="4816"/>
      <c r="AR85" s="312"/>
      <c r="AS85" s="5233"/>
      <c r="AT85" s="1"/>
      <c r="AU85" s="26"/>
      <c r="AV85" s="4830" t="s">
        <v>3728</v>
      </c>
      <c r="AW85" s="4816"/>
      <c r="AX85" s="4817"/>
      <c r="AY85" s="312"/>
      <c r="AZ85" s="157"/>
      <c r="BA85" s="312"/>
      <c r="BB85" s="4816"/>
      <c r="BC85" s="312"/>
      <c r="BD85" s="5233"/>
      <c r="BF85" s="26"/>
      <c r="BG85" s="4830" t="s">
        <v>3728</v>
      </c>
      <c r="BH85" s="4816"/>
      <c r="BI85" s="4817"/>
      <c r="BJ85" s="312"/>
      <c r="BK85" s="157"/>
      <c r="BL85" s="312"/>
      <c r="BM85" s="4816"/>
      <c r="BN85" s="312"/>
      <c r="BO85" s="5233"/>
    </row>
    <row r="86" spans="1:67" x14ac:dyDescent="0.35">
      <c r="A86" s="9168"/>
      <c r="B86" s="5232"/>
      <c r="C86" s="4830" t="s">
        <v>3740</v>
      </c>
      <c r="D86" s="60"/>
      <c r="F86" s="5234">
        <v>1853137862</v>
      </c>
      <c r="G86" s="272"/>
      <c r="H86" s="4820"/>
      <c r="I86" s="4821"/>
      <c r="J86" s="3823">
        <f>J85</f>
        <v>0.86560980962845768</v>
      </c>
      <c r="L86" s="4820"/>
      <c r="M86" s="157"/>
      <c r="O86" s="5174">
        <v>10000000000</v>
      </c>
      <c r="P86" s="157">
        <f t="shared" si="30"/>
        <v>8656098096.2845764</v>
      </c>
      <c r="Q86" s="312"/>
      <c r="R86" s="5174"/>
      <c r="S86" s="4821"/>
      <c r="T86" s="312"/>
      <c r="U86" s="157"/>
      <c r="V86" s="312"/>
      <c r="W86" s="4820"/>
      <c r="X86" s="312"/>
      <c r="Y86" s="5177"/>
      <c r="AA86" s="5174"/>
      <c r="AB86" s="4821"/>
      <c r="AC86" s="312"/>
      <c r="AD86" s="157"/>
      <c r="AE86" s="312"/>
      <c r="AF86" s="4820"/>
      <c r="AG86" s="312"/>
      <c r="AH86" s="5177"/>
      <c r="AJ86" s="26"/>
      <c r="AL86" s="5174"/>
      <c r="AM86" s="4821"/>
      <c r="AN86" s="312"/>
      <c r="AO86" s="157"/>
      <c r="AP86" s="312"/>
      <c r="AQ86" s="4820"/>
      <c r="AR86" s="312"/>
      <c r="AS86" s="5177"/>
      <c r="AT86" s="1"/>
      <c r="AU86" s="26"/>
      <c r="AV86" s="4830" t="s">
        <v>3740</v>
      </c>
      <c r="AW86" s="4820"/>
      <c r="AX86" s="4821"/>
      <c r="AY86" s="312"/>
      <c r="AZ86" s="157"/>
      <c r="BA86" s="312"/>
      <c r="BB86" s="4820"/>
      <c r="BC86" s="312"/>
      <c r="BD86" s="5177"/>
      <c r="BF86" s="26"/>
      <c r="BG86" s="4830" t="s">
        <v>3740</v>
      </c>
      <c r="BH86" s="4820"/>
      <c r="BI86" s="4821"/>
      <c r="BJ86" s="312"/>
      <c r="BK86" s="157"/>
      <c r="BL86" s="312"/>
      <c r="BM86" s="4820"/>
      <c r="BN86" s="312"/>
      <c r="BO86" s="5177"/>
    </row>
    <row r="87" spans="1:67" x14ac:dyDescent="0.35">
      <c r="A87" s="9168"/>
      <c r="B87" s="5235"/>
      <c r="C87" s="4830" t="s">
        <v>3782</v>
      </c>
      <c r="D87" s="60"/>
      <c r="F87" s="5234">
        <v>2148179594</v>
      </c>
      <c r="G87" s="272"/>
      <c r="H87" s="4820"/>
      <c r="I87" s="4821"/>
      <c r="J87" s="3823">
        <f>J85</f>
        <v>0.86560980962845768</v>
      </c>
      <c r="L87" s="4820"/>
      <c r="M87" s="157"/>
      <c r="O87" s="5174">
        <v>199000000</v>
      </c>
      <c r="P87" s="157">
        <f t="shared" si="30"/>
        <v>172256352.11606309</v>
      </c>
      <c r="Q87" s="312"/>
      <c r="R87" s="5174"/>
      <c r="S87" s="4821"/>
      <c r="T87" s="312"/>
      <c r="U87" s="157"/>
      <c r="V87" s="312"/>
      <c r="W87" s="4820"/>
      <c r="X87" s="312"/>
      <c r="Y87" s="5177"/>
      <c r="AA87" s="5174"/>
      <c r="AB87" s="4821"/>
      <c r="AC87" s="312"/>
      <c r="AD87" s="157"/>
      <c r="AE87" s="312"/>
      <c r="AF87" s="4820"/>
      <c r="AG87" s="312"/>
      <c r="AH87" s="5177"/>
      <c r="AJ87" s="26"/>
      <c r="AL87" s="5174"/>
      <c r="AM87" s="4821"/>
      <c r="AN87" s="312"/>
      <c r="AO87" s="157"/>
      <c r="AP87" s="312"/>
      <c r="AQ87" s="4820"/>
      <c r="AR87" s="312"/>
      <c r="AS87" s="5177"/>
      <c r="AT87" s="1"/>
      <c r="AU87" s="26"/>
      <c r="AV87" s="4830" t="s">
        <v>3782</v>
      </c>
      <c r="AW87" s="4820"/>
      <c r="AX87" s="4821"/>
      <c r="AY87" s="312"/>
      <c r="AZ87" s="157"/>
      <c r="BA87" s="312"/>
      <c r="BB87" s="4820"/>
      <c r="BC87" s="312"/>
      <c r="BD87" s="5177"/>
      <c r="BF87" s="26"/>
      <c r="BG87" s="4830" t="s">
        <v>3782</v>
      </c>
      <c r="BH87" s="4820"/>
      <c r="BI87" s="4821"/>
      <c r="BJ87" s="312"/>
      <c r="BK87" s="157"/>
      <c r="BL87" s="312"/>
      <c r="BM87" s="4820"/>
      <c r="BN87" s="312"/>
      <c r="BO87" s="5177"/>
    </row>
    <row r="88" spans="1:67" x14ac:dyDescent="0.35">
      <c r="A88" s="9169"/>
      <c r="B88" s="5236"/>
      <c r="C88" s="5237"/>
      <c r="D88" s="87"/>
      <c r="F88" s="4824"/>
      <c r="G88" s="274"/>
      <c r="H88" s="4825"/>
      <c r="I88" s="4826"/>
      <c r="J88" s="307">
        <f t="shared" si="28"/>
        <v>0</v>
      </c>
      <c r="L88" s="4825"/>
      <c r="M88" s="213"/>
      <c r="O88" s="4825"/>
      <c r="P88" s="213">
        <f t="shared" si="30"/>
        <v>0</v>
      </c>
      <c r="Q88" s="312"/>
      <c r="R88" s="4825"/>
      <c r="S88" s="4826"/>
      <c r="T88" s="3054"/>
      <c r="U88" s="213"/>
      <c r="V88" s="312"/>
      <c r="W88" s="4825"/>
      <c r="X88" s="3054"/>
      <c r="Y88" s="5201"/>
      <c r="AA88" s="4825"/>
      <c r="AB88" s="4826"/>
      <c r="AC88" s="3054"/>
      <c r="AD88" s="213"/>
      <c r="AE88" s="312"/>
      <c r="AF88" s="4825"/>
      <c r="AG88" s="3054"/>
      <c r="AH88" s="5201"/>
      <c r="AJ88" s="24"/>
      <c r="AL88" s="4825"/>
      <c r="AM88" s="4826"/>
      <c r="AN88" s="3054"/>
      <c r="AO88" s="213"/>
      <c r="AP88" s="312"/>
      <c r="AQ88" s="4825"/>
      <c r="AR88" s="3054"/>
      <c r="AS88" s="5201"/>
      <c r="AT88" s="1"/>
      <c r="AU88" s="24"/>
      <c r="AV88" s="5237"/>
      <c r="AW88" s="4825"/>
      <c r="AX88" s="4826"/>
      <c r="AY88" s="3054"/>
      <c r="AZ88" s="213"/>
      <c r="BA88" s="312"/>
      <c r="BB88" s="4825"/>
      <c r="BC88" s="3054"/>
      <c r="BD88" s="5201"/>
      <c r="BF88" s="24"/>
      <c r="BG88" s="5237"/>
      <c r="BH88" s="4825"/>
      <c r="BI88" s="4826"/>
      <c r="BJ88" s="3054"/>
      <c r="BK88" s="213"/>
      <c r="BL88" s="312"/>
      <c r="BM88" s="4825"/>
      <c r="BN88" s="3054"/>
      <c r="BO88" s="5201"/>
    </row>
    <row r="89" spans="1:67" x14ac:dyDescent="0.35">
      <c r="A89" s="5238"/>
      <c r="B89" s="1"/>
      <c r="F89" s="106"/>
      <c r="H89" s="106"/>
      <c r="I89" s="106"/>
      <c r="J89" s="311"/>
      <c r="L89" s="106"/>
      <c r="M89" s="312"/>
      <c r="O89" s="106"/>
      <c r="P89" s="312"/>
      <c r="Q89" s="312"/>
      <c r="R89" s="106"/>
      <c r="S89" s="106"/>
      <c r="T89" s="312"/>
      <c r="U89" s="312"/>
      <c r="V89" s="312"/>
      <c r="W89" s="106"/>
      <c r="X89" s="312"/>
      <c r="Y89" s="106"/>
      <c r="AA89" s="106"/>
      <c r="AB89" s="106"/>
      <c r="AC89" s="312"/>
      <c r="AD89" s="312"/>
      <c r="AE89" s="312"/>
      <c r="AF89" s="106"/>
      <c r="AG89" s="312"/>
      <c r="AH89" s="106"/>
      <c r="AL89" s="106"/>
      <c r="AM89" s="106"/>
      <c r="AN89" s="312"/>
      <c r="AO89" s="312"/>
      <c r="AP89" s="312"/>
      <c r="AQ89" s="106"/>
      <c r="AR89" s="312"/>
      <c r="AS89" s="106"/>
      <c r="AT89" s="1"/>
      <c r="AW89" s="106"/>
      <c r="AX89" s="106"/>
      <c r="AY89" s="312"/>
      <c r="AZ89" s="312"/>
      <c r="BA89" s="312"/>
      <c r="BB89" s="106"/>
      <c r="BC89" s="312"/>
      <c r="BD89" s="106"/>
      <c r="BH89" s="106"/>
      <c r="BI89" s="106"/>
      <c r="BJ89" s="312"/>
      <c r="BK89" s="312"/>
      <c r="BL89" s="312"/>
      <c r="BM89" s="106"/>
      <c r="BN89" s="312"/>
      <c r="BO89" s="106"/>
    </row>
    <row r="90" spans="1:67" ht="15.25" customHeight="1" x14ac:dyDescent="0.35">
      <c r="A90" s="5238"/>
      <c r="B90" s="5239"/>
      <c r="C90" s="5240"/>
      <c r="D90" s="140"/>
      <c r="E90" s="143"/>
      <c r="F90" s="316"/>
      <c r="G90" s="290"/>
      <c r="H90" s="317"/>
      <c r="I90" s="1687"/>
      <c r="J90" s="293"/>
      <c r="L90" s="317"/>
      <c r="M90" s="268"/>
      <c r="N90" s="143"/>
      <c r="O90" s="317"/>
      <c r="P90" s="268"/>
      <c r="Q90" s="254"/>
      <c r="R90" s="317"/>
      <c r="S90" s="1687"/>
      <c r="T90" s="2909"/>
      <c r="U90" s="268"/>
      <c r="V90" s="254"/>
      <c r="W90" s="317"/>
      <c r="X90" s="2909"/>
      <c r="Y90" s="318"/>
      <c r="Z90" s="143"/>
      <c r="AA90" s="317"/>
      <c r="AB90" s="1687"/>
      <c r="AC90" s="2909"/>
      <c r="AD90" s="268"/>
      <c r="AE90" s="254"/>
      <c r="AF90" s="317"/>
      <c r="AG90" s="2909"/>
      <c r="AH90" s="318"/>
      <c r="AI90" s="143"/>
      <c r="AJ90" s="18"/>
      <c r="AL90" s="317"/>
      <c r="AM90" s="1687"/>
      <c r="AN90" s="2909"/>
      <c r="AO90" s="268"/>
      <c r="AP90" s="254"/>
      <c r="AQ90" s="317"/>
      <c r="AR90" s="2909"/>
      <c r="AS90" s="318"/>
      <c r="AT90" s="143"/>
      <c r="AU90" s="18"/>
      <c r="AV90" s="5240"/>
      <c r="AW90" s="317"/>
      <c r="AX90" s="1687"/>
      <c r="AY90" s="2909"/>
      <c r="AZ90" s="268"/>
      <c r="BA90" s="254"/>
      <c r="BB90" s="317"/>
      <c r="BC90" s="2909"/>
      <c r="BD90" s="318"/>
      <c r="BF90" s="18"/>
      <c r="BG90" s="5240"/>
      <c r="BH90" s="317"/>
      <c r="BI90" s="1687"/>
      <c r="BJ90" s="2909"/>
      <c r="BK90" s="268"/>
      <c r="BL90" s="254"/>
      <c r="BM90" s="317"/>
      <c r="BN90" s="2909"/>
      <c r="BO90" s="318"/>
    </row>
    <row r="91" spans="1:67" x14ac:dyDescent="0.35">
      <c r="A91" s="5238"/>
      <c r="B91" s="5241"/>
      <c r="C91" s="5242" t="s">
        <v>1746</v>
      </c>
      <c r="D91" s="60"/>
      <c r="F91" s="327"/>
      <c r="G91" s="272"/>
      <c r="H91" s="325"/>
      <c r="I91" s="946"/>
      <c r="J91" s="297"/>
      <c r="L91" s="325"/>
      <c r="M91" s="157"/>
      <c r="O91" s="5243"/>
      <c r="P91" s="157"/>
      <c r="Q91" s="312"/>
      <c r="R91" s="5243"/>
      <c r="S91" s="946"/>
      <c r="T91" s="312"/>
      <c r="U91" s="157"/>
      <c r="V91" s="312"/>
      <c r="W91" s="325"/>
      <c r="X91" s="312"/>
      <c r="Y91" s="2932"/>
      <c r="AA91" s="5243"/>
      <c r="AB91" s="946"/>
      <c r="AC91" s="312"/>
      <c r="AD91" s="157"/>
      <c r="AE91" s="312"/>
      <c r="AF91" s="325"/>
      <c r="AG91" s="312"/>
      <c r="AH91" s="2932"/>
      <c r="AJ91" s="26"/>
      <c r="AL91" s="5243"/>
      <c r="AM91" s="946"/>
      <c r="AN91" s="312"/>
      <c r="AO91" s="157"/>
      <c r="AP91" s="312"/>
      <c r="AQ91" s="325"/>
      <c r="AR91" s="312"/>
      <c r="AS91" s="2932"/>
      <c r="AT91" s="1"/>
      <c r="AU91" s="26"/>
      <c r="AV91" s="5242" t="s">
        <v>1746</v>
      </c>
      <c r="AW91" s="330">
        <v>157543044000</v>
      </c>
      <c r="AX91" s="948">
        <v>153808470</v>
      </c>
      <c r="AY91" s="4901" t="s">
        <v>3783</v>
      </c>
      <c r="AZ91" s="157"/>
      <c r="BA91" s="312"/>
      <c r="BB91" s="325">
        <v>164148788000</v>
      </c>
      <c r="BC91" s="312" t="s">
        <v>3784</v>
      </c>
      <c r="BD91" s="2932">
        <v>160221999000</v>
      </c>
      <c r="BF91" s="26"/>
      <c r="BG91" s="5242" t="s">
        <v>1746</v>
      </c>
      <c r="BH91" s="325">
        <v>164148788000</v>
      </c>
      <c r="BI91" s="948">
        <v>160221538000</v>
      </c>
      <c r="BJ91" s="4901" t="s">
        <v>3784</v>
      </c>
      <c r="BK91" s="157"/>
      <c r="BL91" s="312"/>
      <c r="BM91" s="325">
        <v>203450666000</v>
      </c>
      <c r="BN91" s="312" t="s">
        <v>3785</v>
      </c>
      <c r="BO91" s="2932">
        <v>199397434000</v>
      </c>
    </row>
    <row r="92" spans="1:67" x14ac:dyDescent="0.35">
      <c r="A92" s="5238"/>
      <c r="B92" s="5241"/>
      <c r="C92" s="5242"/>
      <c r="D92" s="60"/>
      <c r="F92" s="5244"/>
      <c r="G92" s="272"/>
      <c r="H92" s="330"/>
      <c r="I92" s="948"/>
      <c r="J92" s="3823"/>
      <c r="L92" s="330"/>
      <c r="M92" s="157"/>
      <c r="O92" s="5243"/>
      <c r="P92" s="157"/>
      <c r="Q92" s="312"/>
      <c r="R92" s="5243"/>
      <c r="S92" s="948"/>
      <c r="T92" s="312"/>
      <c r="U92" s="157"/>
      <c r="V92" s="312"/>
      <c r="W92" s="330"/>
      <c r="X92" s="312"/>
      <c r="Y92" s="2933"/>
      <c r="AA92" s="5243"/>
      <c r="AB92" s="948"/>
      <c r="AC92" s="312"/>
      <c r="AD92" s="157"/>
      <c r="AE92" s="312"/>
      <c r="AF92" s="330"/>
      <c r="AG92" s="312"/>
      <c r="AH92" s="2933"/>
      <c r="AJ92" s="26"/>
      <c r="AL92" s="5243"/>
      <c r="AM92" s="948"/>
      <c r="AN92" s="312"/>
      <c r="AO92" s="157"/>
      <c r="AP92" s="312"/>
      <c r="AQ92" s="330"/>
      <c r="AR92" s="312"/>
      <c r="AS92" s="2933"/>
      <c r="AT92" s="1"/>
      <c r="AU92" s="26"/>
      <c r="AV92" s="5242"/>
      <c r="AW92" s="330"/>
      <c r="AX92" s="948"/>
      <c r="AY92" s="312"/>
      <c r="AZ92" s="157"/>
      <c r="BA92" s="312"/>
      <c r="BB92" s="330"/>
      <c r="BC92" s="312"/>
      <c r="BD92" s="2933"/>
      <c r="BF92" s="26"/>
      <c r="BG92" s="5242"/>
      <c r="BH92" s="330"/>
      <c r="BI92" s="948"/>
      <c r="BJ92" s="312"/>
      <c r="BK92" s="157"/>
      <c r="BL92" s="312"/>
      <c r="BM92" s="330"/>
      <c r="BN92" s="312"/>
      <c r="BO92" s="2933"/>
    </row>
    <row r="93" spans="1:67" x14ac:dyDescent="0.35">
      <c r="A93" s="5238"/>
      <c r="B93" s="5245"/>
      <c r="C93" s="5242"/>
      <c r="D93" s="60"/>
      <c r="F93" s="5244"/>
      <c r="G93" s="272"/>
      <c r="H93" s="330"/>
      <c r="I93" s="948"/>
      <c r="J93" s="3823"/>
      <c r="L93" s="330"/>
      <c r="M93" s="157"/>
      <c r="O93" s="5243"/>
      <c r="P93" s="157"/>
      <c r="Q93" s="312"/>
      <c r="R93" s="5243"/>
      <c r="S93" s="948"/>
      <c r="T93" s="312"/>
      <c r="U93" s="157"/>
      <c r="V93" s="312"/>
      <c r="W93" s="330"/>
      <c r="X93" s="312"/>
      <c r="Y93" s="2933"/>
      <c r="AA93" s="5243"/>
      <c r="AB93" s="948"/>
      <c r="AC93" s="312"/>
      <c r="AD93" s="157"/>
      <c r="AE93" s="312"/>
      <c r="AF93" s="330"/>
      <c r="AG93" s="312"/>
      <c r="AH93" s="2933"/>
      <c r="AJ93" s="26"/>
      <c r="AL93" s="5243"/>
      <c r="AM93" s="948"/>
      <c r="AN93" s="312"/>
      <c r="AO93" s="157"/>
      <c r="AP93" s="312"/>
      <c r="AQ93" s="330"/>
      <c r="AR93" s="312"/>
      <c r="AS93" s="2933"/>
      <c r="AT93" s="1"/>
      <c r="AU93" s="26"/>
      <c r="AV93" s="5242"/>
      <c r="AW93" s="330"/>
      <c r="AX93" s="948"/>
      <c r="AY93" s="312"/>
      <c r="AZ93" s="157"/>
      <c r="BA93" s="312"/>
      <c r="BB93" s="330"/>
      <c r="BC93" s="312"/>
      <c r="BD93" s="2933"/>
      <c r="BF93" s="26"/>
      <c r="BG93" s="5242"/>
      <c r="BH93" s="330"/>
      <c r="BI93" s="948"/>
      <c r="BJ93" s="312"/>
      <c r="BK93" s="157"/>
      <c r="BL93" s="312"/>
      <c r="BM93" s="330"/>
      <c r="BN93" s="312"/>
      <c r="BO93" s="2933"/>
    </row>
    <row r="94" spans="1:67" x14ac:dyDescent="0.35">
      <c r="A94" s="5238"/>
      <c r="B94" s="5246"/>
      <c r="C94" s="950"/>
      <c r="D94" s="87"/>
      <c r="F94" s="343"/>
      <c r="G94" s="274"/>
      <c r="H94" s="341"/>
      <c r="I94" s="951"/>
      <c r="J94" s="307"/>
      <c r="L94" s="341"/>
      <c r="M94" s="213"/>
      <c r="O94" s="341"/>
      <c r="P94" s="213"/>
      <c r="Q94" s="312"/>
      <c r="R94" s="341"/>
      <c r="S94" s="951"/>
      <c r="T94" s="3054"/>
      <c r="U94" s="213"/>
      <c r="V94" s="312"/>
      <c r="W94" s="341"/>
      <c r="X94" s="3054"/>
      <c r="Y94" s="2938"/>
      <c r="AA94" s="341"/>
      <c r="AB94" s="951"/>
      <c r="AC94" s="3054"/>
      <c r="AD94" s="213"/>
      <c r="AE94" s="312"/>
      <c r="AF94" s="341"/>
      <c r="AG94" s="3054"/>
      <c r="AH94" s="2938"/>
      <c r="AJ94" s="24"/>
      <c r="AL94" s="341"/>
      <c r="AM94" s="951"/>
      <c r="AN94" s="3054"/>
      <c r="AO94" s="213"/>
      <c r="AP94" s="312"/>
      <c r="AQ94" s="341"/>
      <c r="AR94" s="3054"/>
      <c r="AS94" s="2938"/>
      <c r="AT94" s="1"/>
      <c r="AU94" s="24"/>
      <c r="AV94" s="950"/>
      <c r="AW94" s="341"/>
      <c r="AX94" s="951"/>
      <c r="AY94" s="3054"/>
      <c r="AZ94" s="213"/>
      <c r="BA94" s="312"/>
      <c r="BB94" s="341"/>
      <c r="BC94" s="3054"/>
      <c r="BD94" s="2938"/>
      <c r="BF94" s="24"/>
      <c r="BG94" s="950"/>
      <c r="BH94" s="341"/>
      <c r="BI94" s="951"/>
      <c r="BJ94" s="3054"/>
      <c r="BK94" s="213"/>
      <c r="BL94" s="312"/>
      <c r="BM94" s="341"/>
      <c r="BN94" s="3054"/>
      <c r="BO94" s="2938"/>
    </row>
    <row r="95" spans="1:67" x14ac:dyDescent="0.35">
      <c r="A95" s="310"/>
      <c r="B95" s="310"/>
      <c r="F95" s="106"/>
      <c r="H95" s="106"/>
      <c r="I95" s="106"/>
      <c r="J95" s="311"/>
      <c r="L95" s="106"/>
      <c r="M95" s="312"/>
      <c r="O95" s="106"/>
      <c r="P95" s="312"/>
      <c r="Q95" s="312"/>
      <c r="R95" s="106"/>
      <c r="S95" s="106"/>
      <c r="T95" s="312"/>
      <c r="U95" s="312"/>
      <c r="V95" s="312"/>
      <c r="W95" s="106"/>
      <c r="X95" s="312"/>
      <c r="Y95" s="106"/>
      <c r="AA95" s="106"/>
      <c r="AB95" s="106"/>
      <c r="AC95" s="312"/>
      <c r="AD95" s="312"/>
      <c r="AE95" s="312"/>
      <c r="AF95" s="106"/>
      <c r="AG95" s="312"/>
      <c r="AH95" s="106"/>
      <c r="AL95" s="106"/>
      <c r="AM95" s="106"/>
      <c r="AN95" s="312"/>
      <c r="AO95" s="312"/>
      <c r="AP95" s="312"/>
      <c r="AQ95" s="106"/>
      <c r="AR95" s="312"/>
      <c r="AS95" s="106"/>
      <c r="AT95" s="1"/>
      <c r="AW95" s="106"/>
      <c r="AX95" s="106"/>
      <c r="AY95" s="312"/>
      <c r="AZ95" s="312"/>
      <c r="BA95" s="312"/>
      <c r="BB95" s="106"/>
      <c r="BC95" s="312"/>
      <c r="BD95" s="106"/>
      <c r="BH95" s="106"/>
      <c r="BI95" s="106"/>
      <c r="BJ95" s="312"/>
      <c r="BK95" s="312"/>
      <c r="BL95" s="312"/>
      <c r="BM95" s="106"/>
      <c r="BN95" s="312"/>
      <c r="BO95" s="106"/>
    </row>
    <row r="96" spans="1:67" x14ac:dyDescent="0.35">
      <c r="A96" s="9167" t="s">
        <v>988</v>
      </c>
      <c r="B96" s="139" t="s">
        <v>989</v>
      </c>
      <c r="C96" s="348"/>
      <c r="D96" s="49"/>
      <c r="E96" s="141"/>
      <c r="F96" s="227"/>
      <c r="G96" s="141"/>
      <c r="H96" s="102"/>
      <c r="I96" s="103"/>
      <c r="J96" s="228"/>
      <c r="K96" s="141"/>
      <c r="L96" s="102"/>
      <c r="M96" s="268"/>
      <c r="N96" s="141"/>
      <c r="O96" s="102"/>
      <c r="P96" s="268"/>
      <c r="Q96" s="254"/>
      <c r="R96" s="102"/>
      <c r="S96" s="103"/>
      <c r="T96" s="2909"/>
      <c r="U96" s="268"/>
      <c r="V96" s="254"/>
      <c r="W96" s="102"/>
      <c r="X96" s="2909"/>
      <c r="Y96" s="105"/>
      <c r="Z96" s="141"/>
      <c r="AA96" s="102"/>
      <c r="AB96" s="103"/>
      <c r="AC96" s="2909"/>
      <c r="AD96" s="268"/>
      <c r="AE96" s="254"/>
      <c r="AF96" s="102"/>
      <c r="AG96" s="2909"/>
      <c r="AH96" s="105"/>
      <c r="AI96" s="141"/>
      <c r="AL96" s="102"/>
      <c r="AM96" s="103"/>
      <c r="AN96" s="2909"/>
      <c r="AO96" s="268"/>
      <c r="AP96" s="254"/>
      <c r="AQ96" s="102"/>
      <c r="AR96" s="2909"/>
      <c r="AS96" s="105"/>
      <c r="AT96" s="141"/>
      <c r="AV96" s="7234"/>
      <c r="AW96" s="102"/>
      <c r="AX96" s="103"/>
      <c r="AY96" s="2909"/>
      <c r="AZ96" s="268"/>
      <c r="BA96" s="254"/>
      <c r="BB96" s="102"/>
      <c r="BC96" s="2909"/>
      <c r="BD96" s="105"/>
      <c r="BG96" s="7234"/>
      <c r="BH96" s="102"/>
      <c r="BI96" s="103"/>
      <c r="BJ96" s="2909"/>
      <c r="BK96" s="268"/>
      <c r="BL96" s="254"/>
      <c r="BM96" s="102"/>
      <c r="BN96" s="2909"/>
      <c r="BO96" s="105"/>
    </row>
    <row r="97" spans="1:67" x14ac:dyDescent="0.35">
      <c r="A97" s="9168"/>
      <c r="B97" s="6082"/>
      <c r="C97"/>
      <c r="D97" s="110" t="s">
        <v>990</v>
      </c>
      <c r="F97" s="349">
        <f>SUM(F34:F37)-SUM(F40:F42)</f>
        <v>76836668241</v>
      </c>
      <c r="G97" s="350"/>
      <c r="H97" s="351">
        <f>SUM(H34:H37)-SUM(H40:H42)</f>
        <v>35600378000</v>
      </c>
      <c r="I97" s="352">
        <f>SUM(I34:I37)-SUM(I40:I42)</f>
        <v>34050986814</v>
      </c>
      <c r="J97" s="246"/>
      <c r="K97" s="350"/>
      <c r="L97" s="351">
        <f>SUM(L34:L37)-SUM(L40:L42)</f>
        <v>51196916000</v>
      </c>
      <c r="M97" s="353">
        <f>SUM(M34:M37)-SUM(M40:M42)</f>
        <v>48906996455.634865</v>
      </c>
      <c r="O97" s="351">
        <f>SUM(O34:O37)-SUM(O40:O42)</f>
        <v>76577147000</v>
      </c>
      <c r="P97" s="353">
        <f>SUM(P34:P37)-SUM(P40:P42)</f>
        <v>71861881138.538483</v>
      </c>
      <c r="Q97" s="352"/>
      <c r="R97" s="351">
        <f>SUM(R34:R37)-SUM(R40:R42)</f>
        <v>277812485000</v>
      </c>
      <c r="S97" s="352">
        <f>SUM(S34:S37)-SUM(S40:S42)</f>
        <v>294299750000</v>
      </c>
      <c r="T97" s="352"/>
      <c r="U97" s="353"/>
      <c r="V97" s="352"/>
      <c r="W97" s="351">
        <f>SUM(W34:W37)-SUM(W40:W42)</f>
        <v>323325000000</v>
      </c>
      <c r="X97" s="352"/>
      <c r="Y97" s="353">
        <f>SUM(Y34:Y37)-SUM(Y40:Y42)</f>
        <v>303585000000</v>
      </c>
      <c r="AA97" s="245">
        <f>SUM(AA34:AA37)-SUM(AA40:AA42)</f>
        <v>323325000000</v>
      </c>
      <c r="AB97" s="106">
        <f>SUM(AB34:AB37)-SUM(AB40:AB42)</f>
        <v>303585000000</v>
      </c>
      <c r="AC97" s="106"/>
      <c r="AD97" s="66"/>
      <c r="AE97" s="106"/>
      <c r="AF97" s="245">
        <f>SUM(AF34:AF37)-SUM(AF40:AF42)</f>
        <v>340011000000</v>
      </c>
      <c r="AG97" s="106"/>
      <c r="AH97" s="66">
        <f>SUM(AH34:AH37)-SUM(AH40:AH42)</f>
        <v>320992000000</v>
      </c>
      <c r="AL97" s="245">
        <v>340011000000</v>
      </c>
      <c r="AM97" s="106">
        <f>SUM(AM34:AM37)-SUM(AM40:AM42)</f>
        <v>330314677000</v>
      </c>
      <c r="AN97" s="106"/>
      <c r="AO97" s="66"/>
      <c r="AP97" s="106"/>
      <c r="AQ97" s="245">
        <f>SUM(AQ34:AQ37)-SUM(AQ40:AQ42)</f>
        <v>370323844000</v>
      </c>
      <c r="AR97" s="106"/>
      <c r="AS97" s="66">
        <f>SUM(AS34:AS37)-SUM(AS40:AS42)</f>
        <v>329748552000</v>
      </c>
      <c r="AT97" s="1"/>
      <c r="AV97" s="67" t="s">
        <v>990</v>
      </c>
      <c r="AW97" s="245">
        <f>SUM(AW34:AW38)-SUM(AW40:AW42)</f>
        <v>387491774000</v>
      </c>
      <c r="AX97" s="106">
        <f>SUM(AX34:AX38)-SUM(AX40:AX42)</f>
        <v>345400129000</v>
      </c>
      <c r="AY97" s="106"/>
      <c r="AZ97" s="66"/>
      <c r="BA97" s="106"/>
      <c r="BB97" s="245">
        <f>SUM(BB34:BB38)-SUM(BB40:BB42)</f>
        <v>383019116000</v>
      </c>
      <c r="BC97" s="106"/>
      <c r="BD97" s="66">
        <f>SUM(BD34:BD38)-SUM(BD40:BD42)</f>
        <v>363593950000</v>
      </c>
      <c r="BG97" s="67" t="s">
        <v>990</v>
      </c>
      <c r="BH97" s="245">
        <f>SUM(BH34:BH38)-SUM(BH40:BH42)</f>
        <v>383019116000</v>
      </c>
      <c r="BI97" s="106">
        <f>SUM(BI34:BI38)-SUM(BI40:BI42)</f>
        <v>363593950000</v>
      </c>
      <c r="BJ97" s="106"/>
      <c r="BK97" s="66"/>
      <c r="BL97" s="106"/>
      <c r="BM97" s="245">
        <f>SUM(BM34:BM38)-SUM(BM40:BM42)</f>
        <v>436087358000</v>
      </c>
      <c r="BN97" s="106"/>
      <c r="BO97" s="66">
        <f>SUM(BO34:BO38)-SUM(BO40:BO42)</f>
        <v>401945333000</v>
      </c>
    </row>
    <row r="98" spans="1:67" x14ac:dyDescent="0.35">
      <c r="A98" s="9168"/>
      <c r="B98" s="6082"/>
      <c r="C98"/>
      <c r="D98" s="110" t="s">
        <v>944</v>
      </c>
      <c r="F98" s="349">
        <f>SUM(F44:F71)</f>
        <v>45171259737</v>
      </c>
      <c r="G98" s="350"/>
      <c r="H98" s="351">
        <f>SUM(H44:H71)</f>
        <v>55563532000</v>
      </c>
      <c r="I98" s="352">
        <f>SUM(I44:I71)</f>
        <v>52911644608</v>
      </c>
      <c r="J98" s="246"/>
      <c r="K98" s="350"/>
      <c r="L98" s="351">
        <f>SUM(L44:L71)</f>
        <v>55187160000</v>
      </c>
      <c r="M98" s="353">
        <f>SUM(M44:M71)</f>
        <v>52491242414.66597</v>
      </c>
      <c r="O98" s="351">
        <f>SUM(O44:O71)</f>
        <v>56397433000</v>
      </c>
      <c r="P98" s="353">
        <f>SUM(P44:P71)</f>
        <v>53422794514.748688</v>
      </c>
      <c r="Q98" s="352"/>
      <c r="R98" s="351">
        <f>SUM(R44:R71)</f>
        <v>0</v>
      </c>
      <c r="S98" s="352">
        <f>SUM(S44:S71)</f>
        <v>0</v>
      </c>
      <c r="T98" s="352"/>
      <c r="U98" s="353"/>
      <c r="V98" s="352"/>
      <c r="W98" s="351">
        <f>SUM(W44:W71)</f>
        <v>0</v>
      </c>
      <c r="X98" s="352"/>
      <c r="Y98" s="353">
        <f>SUM(Y44:Y71)</f>
        <v>0</v>
      </c>
      <c r="AA98" s="245">
        <f>SUM(AA44:AA71)</f>
        <v>0</v>
      </c>
      <c r="AB98" s="106">
        <f>SUM(AB44:AB71)</f>
        <v>0</v>
      </c>
      <c r="AC98" s="106"/>
      <c r="AD98" s="66"/>
      <c r="AE98" s="106"/>
      <c r="AF98" s="245">
        <f>SUM(AF44:AF71)</f>
        <v>0</v>
      </c>
      <c r="AG98" s="106"/>
      <c r="AH98" s="66">
        <f>SUM(AH44:AH71)</f>
        <v>0</v>
      </c>
      <c r="AL98" s="245">
        <v>0</v>
      </c>
      <c r="AM98" s="106">
        <f>SUM(AM44:AM71)</f>
        <v>0</v>
      </c>
      <c r="AN98" s="106"/>
      <c r="AO98" s="66"/>
      <c r="AP98" s="106"/>
      <c r="AQ98" s="245">
        <f>SUM(AQ44:AQ71)</f>
        <v>0</v>
      </c>
      <c r="AR98" s="106"/>
      <c r="AS98" s="66">
        <f>SUM(AS44:AS71)</f>
        <v>0</v>
      </c>
      <c r="AT98" s="1"/>
      <c r="AV98" s="67" t="s">
        <v>944</v>
      </c>
      <c r="AW98" s="245">
        <f>SUM(AW44:AW71)</f>
        <v>0</v>
      </c>
      <c r="AX98" s="106">
        <f>SUM(AX44:AX71)</f>
        <v>0</v>
      </c>
      <c r="AY98" s="106"/>
      <c r="AZ98" s="66"/>
      <c r="BA98" s="106"/>
      <c r="BB98" s="245">
        <f>SUM(BB44:BB71)</f>
        <v>0</v>
      </c>
      <c r="BC98" s="106"/>
      <c r="BD98" s="66">
        <f>SUM(BD44:BD71)</f>
        <v>0</v>
      </c>
      <c r="BG98" s="67" t="s">
        <v>944</v>
      </c>
      <c r="BH98" s="245">
        <f>SUM(BH44:BH71)</f>
        <v>0</v>
      </c>
      <c r="BI98" s="106">
        <f>SUM(BI44:BI71)</f>
        <v>0</v>
      </c>
      <c r="BJ98" s="106"/>
      <c r="BK98" s="66"/>
      <c r="BL98" s="106"/>
      <c r="BM98" s="245">
        <f>SUM(BM44:BM71)</f>
        <v>0</v>
      </c>
      <c r="BN98" s="106"/>
      <c r="BO98" s="66">
        <f>SUM(BO44:BO71)</f>
        <v>0</v>
      </c>
    </row>
    <row r="99" spans="1:67" x14ac:dyDescent="0.35">
      <c r="A99" s="9168"/>
      <c r="B99" s="6082"/>
      <c r="C99"/>
      <c r="D99" s="110" t="s">
        <v>991</v>
      </c>
      <c r="F99" s="349">
        <f>SUM(F73:F80)*F29</f>
        <v>1871407675.3376899</v>
      </c>
      <c r="G99" s="350"/>
      <c r="H99" s="351">
        <f>SUM(H73:H80)*H29</f>
        <v>2783428090.9105349</v>
      </c>
      <c r="I99" s="352">
        <f>SUM(I73:I80)*I29</f>
        <v>2614300499.5038648</v>
      </c>
      <c r="J99" s="246"/>
      <c r="K99" s="350"/>
      <c r="L99" s="351">
        <f>SUM(L73:L80)*L29</f>
        <v>3804823186.2369022</v>
      </c>
      <c r="M99" s="353">
        <f>SUM(M73:M80)*M29</f>
        <v>3595556772.5877533</v>
      </c>
      <c r="O99" s="351">
        <f>SUM(O73:O80)*O29</f>
        <v>4050446582.4815979</v>
      </c>
      <c r="P99" s="353">
        <f>SUM(P73:P80)*P29</f>
        <v>3832456440.0591121</v>
      </c>
      <c r="Q99" s="352"/>
      <c r="R99" s="5247">
        <f>R97*$O99/($O97+$O98+$O100)</f>
        <v>3599430979.789032</v>
      </c>
      <c r="S99" s="259">
        <f>S97*$O99/($O97+$O98+$O100)</f>
        <v>3813045470.1996822</v>
      </c>
      <c r="T99" s="259" t="s">
        <v>3786</v>
      </c>
      <c r="U99" s="1780"/>
      <c r="V99" s="259"/>
      <c r="W99" s="5247">
        <f>W97*$O99/($O97+$O98+$O100)</f>
        <v>4189106265.4735937</v>
      </c>
      <c r="X99" s="259"/>
      <c r="Y99" s="1780">
        <f>Y97*$O99/($O97+$O98+$O100)</f>
        <v>3933348258.2658348</v>
      </c>
      <c r="AA99" s="5247">
        <f>W99*AA97/W97</f>
        <v>4189106265.4735937</v>
      </c>
      <c r="AB99" s="259">
        <f>Y99*AB97/Y97</f>
        <v>3933348258.2658353</v>
      </c>
      <c r="AC99" s="259"/>
      <c r="AD99" s="1780"/>
      <c r="AE99" s="259"/>
      <c r="AF99" s="5247">
        <f>AA99*AF97/AA97</f>
        <v>4405295632.6604557</v>
      </c>
      <c r="AG99" s="259"/>
      <c r="AH99" s="1780">
        <f>AB99*AH97/AB97</f>
        <v>4158879141.3187966</v>
      </c>
      <c r="AL99" s="5247">
        <f>AF99</f>
        <v>4405295632.6604557</v>
      </c>
      <c r="AM99" s="259">
        <f>AH99</f>
        <v>4158879141.3187966</v>
      </c>
      <c r="AN99" s="259"/>
      <c r="AO99" s="1780"/>
      <c r="AP99" s="259"/>
      <c r="AQ99" s="5247">
        <f>AL99*AQ97/AL97</f>
        <v>4798038924.1619587</v>
      </c>
      <c r="AR99" s="259"/>
      <c r="AS99" s="1780">
        <f>AM99*AS97/AM97</f>
        <v>4151751255.0399823</v>
      </c>
      <c r="AT99" s="1"/>
      <c r="AV99" s="67" t="s">
        <v>991</v>
      </c>
      <c r="AW99" s="245">
        <f>AW73*AW29</f>
        <v>15579619952.402069</v>
      </c>
      <c r="AX99" s="106">
        <f>AX73*AX29</f>
        <v>21782547238.84111</v>
      </c>
      <c r="AY99" s="259"/>
      <c r="AZ99" s="1780"/>
      <c r="BA99" s="259"/>
      <c r="BB99" s="245">
        <f>BB73*BB29</f>
        <v>15913128435.145361</v>
      </c>
      <c r="BC99" s="106"/>
      <c r="BD99" s="66">
        <f>BD73*BD29</f>
        <v>23163650040.276028</v>
      </c>
      <c r="BG99" s="67" t="s">
        <v>991</v>
      </c>
      <c r="BH99" s="245">
        <f>BH73*BH29</f>
        <v>15913128435.145361</v>
      </c>
      <c r="BI99" s="106">
        <f>BI73*BI29</f>
        <v>14890465038.370749</v>
      </c>
      <c r="BJ99" s="259"/>
      <c r="BK99" s="1780"/>
      <c r="BL99" s="259"/>
      <c r="BM99" s="245">
        <f>BM73*BM29</f>
        <v>19702298372.026825</v>
      </c>
      <c r="BN99" s="106"/>
      <c r="BO99" s="66">
        <f>BO73*BO29</f>
        <v>18914631154.762989</v>
      </c>
    </row>
    <row r="100" spans="1:67" x14ac:dyDescent="0.35">
      <c r="A100" s="9168"/>
      <c r="B100" s="6082"/>
      <c r="C100"/>
      <c r="D100" s="110" t="s">
        <v>979</v>
      </c>
      <c r="F100" s="349">
        <f>F82</f>
        <v>129786740395</v>
      </c>
      <c r="G100" s="350"/>
      <c r="H100" s="351">
        <f>H82</f>
        <v>155896878000</v>
      </c>
      <c r="I100" s="352">
        <f>I82</f>
        <v>150719129170</v>
      </c>
      <c r="J100" s="246"/>
      <c r="K100" s="350"/>
      <c r="L100" s="351">
        <f>L82</f>
        <v>175284919000</v>
      </c>
      <c r="M100" s="353">
        <f>M82</f>
        <v>169463241902.21426</v>
      </c>
      <c r="O100" s="351">
        <f>O82</f>
        <v>179648342000</v>
      </c>
      <c r="P100" s="353">
        <f>P82</f>
        <v>173681744050.54047</v>
      </c>
      <c r="Q100" s="352"/>
      <c r="R100" s="351">
        <f>R82</f>
        <v>0</v>
      </c>
      <c r="S100" s="352">
        <f>S82</f>
        <v>0</v>
      </c>
      <c r="T100" s="352"/>
      <c r="U100" s="353"/>
      <c r="V100" s="352"/>
      <c r="W100" s="351">
        <f>W82</f>
        <v>0</v>
      </c>
      <c r="X100" s="352"/>
      <c r="Y100" s="353">
        <f>Y82</f>
        <v>0</v>
      </c>
      <c r="AA100" s="245">
        <f>AA82</f>
        <v>0</v>
      </c>
      <c r="AB100" s="106">
        <f>AB82</f>
        <v>0</v>
      </c>
      <c r="AC100" s="106"/>
      <c r="AD100" s="66"/>
      <c r="AE100" s="106"/>
      <c r="AF100" s="245">
        <f>AF82</f>
        <v>0</v>
      </c>
      <c r="AG100" s="106"/>
      <c r="AH100" s="66">
        <f>AH82</f>
        <v>0</v>
      </c>
      <c r="AL100" s="245">
        <v>0</v>
      </c>
      <c r="AM100" s="106">
        <f>AM82</f>
        <v>0</v>
      </c>
      <c r="AN100" s="106"/>
      <c r="AO100" s="66"/>
      <c r="AP100" s="106"/>
      <c r="AQ100" s="245">
        <f>AQ82</f>
        <v>0</v>
      </c>
      <c r="AR100" s="106"/>
      <c r="AS100" s="66">
        <f>AS82</f>
        <v>0</v>
      </c>
      <c r="AT100" s="1"/>
      <c r="AV100" s="67" t="s">
        <v>979</v>
      </c>
      <c r="AW100" s="245">
        <f>AW82</f>
        <v>0</v>
      </c>
      <c r="AX100" s="106">
        <f>AX82</f>
        <v>0</v>
      </c>
      <c r="AY100" s="106"/>
      <c r="AZ100" s="66"/>
      <c r="BA100" s="106"/>
      <c r="BB100" s="245">
        <f>BB82</f>
        <v>0</v>
      </c>
      <c r="BC100" s="106"/>
      <c r="BD100" s="66">
        <f>BD82</f>
        <v>0</v>
      </c>
      <c r="BG100" s="67" t="s">
        <v>979</v>
      </c>
      <c r="BH100" s="245">
        <f>BH82</f>
        <v>0</v>
      </c>
      <c r="BI100" s="106">
        <f>BI82</f>
        <v>0</v>
      </c>
      <c r="BJ100" s="106"/>
      <c r="BK100" s="66"/>
      <c r="BL100" s="106"/>
      <c r="BM100" s="245">
        <f>BM82</f>
        <v>0</v>
      </c>
      <c r="BN100" s="106"/>
      <c r="BO100" s="66">
        <f>BO82</f>
        <v>0</v>
      </c>
    </row>
    <row r="101" spans="1:67" x14ac:dyDescent="0.35">
      <c r="A101" s="9168"/>
      <c r="B101" s="6082"/>
      <c r="C101"/>
      <c r="D101" s="356" t="s">
        <v>992</v>
      </c>
      <c r="E101" s="143"/>
      <c r="F101" s="357">
        <f>SUM(F97:F100)</f>
        <v>253666076048.33771</v>
      </c>
      <c r="G101" s="358"/>
      <c r="H101" s="359">
        <f>SUM(H97:H100)</f>
        <v>249844216090.91052</v>
      </c>
      <c r="I101" s="360">
        <f>SUM(I97:I100)</f>
        <v>240296061091.50385</v>
      </c>
      <c r="J101" s="361"/>
      <c r="K101" s="358"/>
      <c r="L101" s="359">
        <f t="shared" ref="L101:M101" si="31">SUM(L97:L100)</f>
        <v>285473818186.23694</v>
      </c>
      <c r="M101" s="362">
        <f t="shared" si="31"/>
        <v>274457037545.10284</v>
      </c>
      <c r="N101" s="143"/>
      <c r="O101" s="359">
        <f t="shared" ref="O101:P101" si="32">SUM(O97:O100)</f>
        <v>316673368582.48157</v>
      </c>
      <c r="P101" s="362">
        <f t="shared" si="32"/>
        <v>302798876143.88672</v>
      </c>
      <c r="Q101" s="360"/>
      <c r="R101" s="359">
        <f t="shared" ref="R101:S101" si="33">SUM(R97:R100)</f>
        <v>281411915979.78906</v>
      </c>
      <c r="S101" s="360">
        <f t="shared" si="33"/>
        <v>298112795470.19971</v>
      </c>
      <c r="T101" s="360"/>
      <c r="U101" s="362"/>
      <c r="V101" s="360"/>
      <c r="W101" s="359">
        <f t="shared" ref="W101" si="34">SUM(W97:W100)</f>
        <v>327514106265.47357</v>
      </c>
      <c r="X101" s="360"/>
      <c r="Y101" s="362">
        <f t="shared" ref="Y101" si="35">SUM(Y97:Y100)</f>
        <v>307518348258.26581</v>
      </c>
      <c r="Z101" s="143"/>
      <c r="AA101" s="5248">
        <f t="shared" ref="AA101:AB101" si="36">SUM(AA97:AA100)</f>
        <v>327514106265.47357</v>
      </c>
      <c r="AB101" s="5249">
        <f t="shared" si="36"/>
        <v>307518348258.26581</v>
      </c>
      <c r="AC101" s="5249"/>
      <c r="AD101" s="5250"/>
      <c r="AE101" s="5249"/>
      <c r="AF101" s="5248">
        <f t="shared" ref="AF101" si="37">SUM(AF97:AF100)</f>
        <v>344416295632.66046</v>
      </c>
      <c r="AG101" s="5249"/>
      <c r="AH101" s="5250">
        <f t="shared" ref="AH101" si="38">SUM(AH97:AH100)</f>
        <v>325150879141.31879</v>
      </c>
      <c r="AI101" s="143"/>
      <c r="AL101" s="5248">
        <v>344416295632.66046</v>
      </c>
      <c r="AM101" s="5249">
        <f t="shared" ref="AM101" si="39">SUM(AM97:AM100)</f>
        <v>334473556141.31879</v>
      </c>
      <c r="AN101" s="5249"/>
      <c r="AO101" s="5250"/>
      <c r="AP101" s="5249"/>
      <c r="AQ101" s="5248">
        <f t="shared" ref="AQ101" si="40">SUM(AQ97:AQ100)</f>
        <v>375121882924.16199</v>
      </c>
      <c r="AR101" s="5249"/>
      <c r="AS101" s="5250">
        <f t="shared" ref="AS101" si="41">SUM(AS97:AS100)</f>
        <v>333900303255.03998</v>
      </c>
      <c r="AT101" s="143"/>
      <c r="AV101" s="67" t="s">
        <v>992</v>
      </c>
      <c r="AW101" s="5248">
        <f>SUM(AW97:AW100)</f>
        <v>403071393952.4021</v>
      </c>
      <c r="AX101" s="5249">
        <f>SUM(AX97:AX100)</f>
        <v>367182676238.84113</v>
      </c>
      <c r="AY101" s="5249"/>
      <c r="AZ101" s="5250"/>
      <c r="BA101" s="5249"/>
      <c r="BB101" s="5248">
        <f>SUM(BB97:BB100)</f>
        <v>398932244435.14539</v>
      </c>
      <c r="BC101" s="5249"/>
      <c r="BD101" s="5250">
        <f>SUM(BD97:BD100)</f>
        <v>386757600040.276</v>
      </c>
      <c r="BG101" s="67" t="s">
        <v>992</v>
      </c>
      <c r="BH101" s="5248">
        <f>SUM(BH97:BH100)</f>
        <v>398932244435.14539</v>
      </c>
      <c r="BI101" s="5249">
        <f>SUM(BI97:BI100)</f>
        <v>378484415038.37073</v>
      </c>
      <c r="BJ101" s="5249"/>
      <c r="BK101" s="5250"/>
      <c r="BL101" s="5249"/>
      <c r="BM101" s="5248">
        <f>SUM(BM97:BM100)</f>
        <v>455789656372.02686</v>
      </c>
      <c r="BN101" s="5249"/>
      <c r="BO101" s="5250">
        <f>SUM(BO97:BO100)</f>
        <v>420859964154.763</v>
      </c>
    </row>
    <row r="102" spans="1:67" ht="15.5" x14ac:dyDescent="0.35">
      <c r="A102" s="9168"/>
      <c r="B102" s="5251"/>
      <c r="C102" s="5252"/>
      <c r="D102" s="5253" t="s">
        <v>993</v>
      </c>
      <c r="F102" s="366">
        <f>F101/(F18+F19+F20)</f>
        <v>0.21866759596467303</v>
      </c>
      <c r="G102" s="367"/>
      <c r="H102" s="368">
        <f>H101/(H18+H19+H20)</f>
        <v>0.19289649347663967</v>
      </c>
      <c r="I102" s="369">
        <f>I101/(I18+I19+I20)</f>
        <v>0.19600511022768288</v>
      </c>
      <c r="J102" s="370"/>
      <c r="K102" s="367"/>
      <c r="L102" s="368">
        <f>L101/(L18+L19+L20)</f>
        <v>0.17961456457276781</v>
      </c>
      <c r="M102" s="370">
        <f>M101/(M18+M19+M20)</f>
        <v>0.18316595666633989</v>
      </c>
      <c r="O102" s="368">
        <f>O101/(O18+O19+O20)</f>
        <v>0.20622241242981462</v>
      </c>
      <c r="P102" s="370">
        <f>P101/(P18+P19+P20)</f>
        <v>0.2090199693203002</v>
      </c>
      <c r="Q102" s="369"/>
      <c r="R102" s="368">
        <f>R101/(R18+R19+R20)</f>
        <v>0.17692507447053871</v>
      </c>
      <c r="S102" s="369">
        <f>S101/(S18+S19+S20)</f>
        <v>0.17692552691068006</v>
      </c>
      <c r="T102" s="369"/>
      <c r="U102" s="370"/>
      <c r="V102" s="369"/>
      <c r="W102" s="368">
        <f>W101/(W18+W19+W20)</f>
        <v>0.16991527079798646</v>
      </c>
      <c r="X102" s="369"/>
      <c r="Y102" s="370">
        <f>Y101/(Y18+Y19+Y20)</f>
        <v>0.16568325679268436</v>
      </c>
      <c r="AA102" s="5254">
        <f>AA101/(AA18+AA19+AA20)</f>
        <v>0.21401446013066003</v>
      </c>
      <c r="AB102" s="5255">
        <f>AB101/(AB18+AB19+AB20)</f>
        <v>0.20863392021579194</v>
      </c>
      <c r="AC102" s="5255"/>
      <c r="AD102" s="5256"/>
      <c r="AE102" s="5255"/>
      <c r="AF102" s="5254">
        <f>AF101/(AF18+AF19+AF20)</f>
        <v>0.20235301178707366</v>
      </c>
      <c r="AG102" s="5255"/>
      <c r="AH102" s="5256">
        <f>AH101/(AH18+AH19+AH20)</f>
        <v>0.20519000298765605</v>
      </c>
      <c r="AL102" s="5254">
        <v>0.20235301178707366</v>
      </c>
      <c r="AM102" s="5255">
        <f>AM101/(AM18+AM19+AM20)</f>
        <v>0.22692151418449363</v>
      </c>
      <c r="AN102" s="5255"/>
      <c r="AO102" s="5256"/>
      <c r="AP102" s="5255"/>
      <c r="AQ102" s="5254">
        <f>AQ101/(AQ18+AQ19+AQ20)</f>
        <v>0.18758176885345856</v>
      </c>
      <c r="AR102" s="5255"/>
      <c r="AS102" s="5256">
        <f>AS101/(AS18+AS19+AS20)</f>
        <v>0.20628651450555532</v>
      </c>
      <c r="AT102" s="1"/>
      <c r="AV102" s="67" t="s">
        <v>993</v>
      </c>
      <c r="AW102" s="5969">
        <f>AW101/(AW18+AW19+AW20)</f>
        <v>0.18929636209239317</v>
      </c>
      <c r="AX102" s="5970">
        <f>AX101/(AX18+AX19+AX20)</f>
        <v>0.21375929418779052</v>
      </c>
      <c r="AY102" s="5970"/>
      <c r="AZ102" s="5973"/>
      <c r="BA102" s="5970"/>
      <c r="BB102" s="5969">
        <f>BB101/(BB18+BB19+BB20)</f>
        <v>0.18468230379850256</v>
      </c>
      <c r="BC102" s="5970"/>
      <c r="BD102" s="5973">
        <f>BD101/(BD18+BD19+BD20)</f>
        <v>0.20349429808357439</v>
      </c>
      <c r="BG102" s="67" t="s">
        <v>993</v>
      </c>
      <c r="BH102" s="5254">
        <f>BH101/(BH18+BH19+BH20)</f>
        <v>0.18468230379850256</v>
      </c>
      <c r="BI102" s="5255">
        <f>BI101/(BI18+BI19+BI20)</f>
        <v>0.19914132357265865</v>
      </c>
      <c r="BJ102" s="5255"/>
      <c r="BK102" s="5256"/>
      <c r="BL102" s="5255"/>
      <c r="BM102" s="5254">
        <f>BM101/(BM18+BM19+BM20)</f>
        <v>0.17993631277416014</v>
      </c>
      <c r="BN102" s="5255"/>
      <c r="BO102" s="5256">
        <f>BO101/(BO18+BO19+BO20)</f>
        <v>0.19551193282314358</v>
      </c>
    </row>
    <row r="103" spans="1:67" x14ac:dyDescent="0.35">
      <c r="A103" s="9168"/>
      <c r="B103" s="4828"/>
      <c r="C103" s="4829"/>
      <c r="D103" s="4830" t="s">
        <v>994</v>
      </c>
      <c r="E103" s="374"/>
      <c r="F103" s="5257"/>
      <c r="G103" s="3189"/>
      <c r="H103" s="5258"/>
      <c r="I103" s="5259"/>
      <c r="J103" s="2964"/>
      <c r="K103" s="3189"/>
      <c r="L103" s="5260"/>
      <c r="M103" s="2964"/>
      <c r="N103" s="2965"/>
      <c r="O103" s="5260"/>
      <c r="P103" s="2964"/>
      <c r="Q103" s="2963"/>
      <c r="R103" s="5260">
        <f>R101-R35</f>
        <v>266377595979.78906</v>
      </c>
      <c r="S103" s="5259">
        <f>S101-S35</f>
        <v>296317255470.19971</v>
      </c>
      <c r="T103" s="2963"/>
      <c r="U103" s="2964"/>
      <c r="V103" s="2963"/>
      <c r="W103" s="5260">
        <f>W101-W35</f>
        <v>323731161265.47357</v>
      </c>
      <c r="X103" s="2963"/>
      <c r="Y103" s="5261">
        <f>Y101-Y35</f>
        <v>303735410258.26581</v>
      </c>
      <c r="AA103" s="5262"/>
      <c r="AB103" s="5263"/>
      <c r="AC103" s="5264"/>
      <c r="AD103" s="5265"/>
      <c r="AE103" s="5264"/>
      <c r="AF103" s="5262"/>
      <c r="AG103" s="5264"/>
      <c r="AH103" s="5266"/>
      <c r="AL103" s="5262"/>
      <c r="AM103" s="5263"/>
      <c r="AN103" s="5264"/>
      <c r="AO103" s="5265"/>
      <c r="AP103" s="5264"/>
      <c r="AQ103" s="5262"/>
      <c r="AR103" s="5264"/>
      <c r="AS103" s="5266"/>
      <c r="AT103" s="1"/>
      <c r="AV103" s="5232" t="s">
        <v>994</v>
      </c>
      <c r="AW103" s="5262"/>
      <c r="AX103" s="5263"/>
      <c r="AY103" s="7235"/>
      <c r="AZ103" s="7236"/>
      <c r="BA103" s="7235"/>
      <c r="BB103" s="5262"/>
      <c r="BC103" s="7235"/>
      <c r="BD103" s="5266"/>
      <c r="BG103" s="5232" t="s">
        <v>994</v>
      </c>
      <c r="BH103" s="5262"/>
      <c r="BI103" s="5263"/>
      <c r="BJ103" s="5264"/>
      <c r="BK103" s="5265"/>
      <c r="BL103" s="5264"/>
      <c r="BM103" s="5262"/>
      <c r="BN103" s="5264"/>
      <c r="BO103" s="5266"/>
    </row>
    <row r="104" spans="1:67" s="972" customFormat="1" x14ac:dyDescent="0.35">
      <c r="A104" s="9168"/>
      <c r="B104" s="5267"/>
      <c r="C104" s="5268"/>
      <c r="D104" s="5269" t="s">
        <v>574</v>
      </c>
      <c r="E104" s="961"/>
      <c r="F104" s="5270"/>
      <c r="G104" s="1467"/>
      <c r="H104" s="5271"/>
      <c r="I104" s="5272"/>
      <c r="J104" s="1470"/>
      <c r="K104" s="1467"/>
      <c r="L104" s="5271"/>
      <c r="M104" s="2964"/>
      <c r="N104" s="1467"/>
      <c r="O104" s="5271"/>
      <c r="P104" s="2964"/>
      <c r="Q104" s="1472"/>
      <c r="R104" s="5273">
        <f>R35</f>
        <v>15034320000</v>
      </c>
      <c r="S104" s="5274">
        <f>S35</f>
        <v>1795540000</v>
      </c>
      <c r="T104" s="2963"/>
      <c r="U104" s="2964"/>
      <c r="V104" s="2963"/>
      <c r="W104" s="5275">
        <f>W35</f>
        <v>3782945000</v>
      </c>
      <c r="Y104" s="5276">
        <f>Y35</f>
        <v>3782938000</v>
      </c>
      <c r="AA104" s="5277"/>
      <c r="AB104" s="5278"/>
      <c r="AC104" s="5264"/>
      <c r="AD104" s="5265"/>
      <c r="AE104" s="5264"/>
      <c r="AF104" s="5279"/>
      <c r="AG104"/>
      <c r="AH104" s="5280"/>
      <c r="AL104" s="5277"/>
      <c r="AM104" s="5278"/>
      <c r="AN104" s="5264"/>
      <c r="AO104" s="5265"/>
      <c r="AP104" s="5264"/>
      <c r="AQ104" s="5279"/>
      <c r="AR104"/>
      <c r="AS104" s="5280"/>
      <c r="AV104" s="7237" t="s">
        <v>574</v>
      </c>
      <c r="AW104" s="5262"/>
      <c r="AX104" s="5263"/>
      <c r="AY104" s="7235"/>
      <c r="AZ104" s="7236"/>
      <c r="BA104" s="7235"/>
      <c r="BB104" s="5279"/>
      <c r="BC104"/>
      <c r="BD104" s="5280"/>
      <c r="BG104" s="7237" t="s">
        <v>574</v>
      </c>
      <c r="BH104" s="5262"/>
      <c r="BI104" s="5263"/>
      <c r="BJ104" s="5264"/>
      <c r="BK104" s="5265"/>
      <c r="BL104" s="5264"/>
      <c r="BM104" s="5279"/>
      <c r="BN104"/>
      <c r="BO104" s="5280"/>
    </row>
    <row r="105" spans="1:67" x14ac:dyDescent="0.35">
      <c r="A105" s="9168"/>
      <c r="B105" s="4771"/>
      <c r="C105" s="4839"/>
      <c r="D105" s="4772" t="s">
        <v>995</v>
      </c>
      <c r="E105" s="392"/>
      <c r="F105" s="5281"/>
      <c r="G105" s="409"/>
      <c r="H105" s="5282"/>
      <c r="I105" s="5283"/>
      <c r="J105" s="408"/>
      <c r="K105" s="409"/>
      <c r="L105" s="5284"/>
      <c r="M105" s="2964"/>
      <c r="N105" s="2911"/>
      <c r="O105" s="5284"/>
      <c r="P105" s="2964"/>
      <c r="Q105" s="407"/>
      <c r="R105" s="5284">
        <f>(R101-R103)/(R19+R20)</f>
        <v>3.6313940458593374E-2</v>
      </c>
      <c r="S105" s="5283">
        <f>(S101-S103)/(S19+S20)</f>
        <v>4.5386997879130909E-3</v>
      </c>
      <c r="T105" s="2963"/>
      <c r="U105" s="2964"/>
      <c r="V105" s="2963"/>
      <c r="W105" s="5284">
        <f>(W101-W103)/(W19+W20)</f>
        <v>6.8918499424859203E-3</v>
      </c>
      <c r="X105" s="407"/>
      <c r="Y105" s="5285">
        <f>(Y101-Y103)/(Y19+Y20)</f>
        <v>6.9578656258524755E-3</v>
      </c>
      <c r="AA105" s="5284"/>
      <c r="AB105" s="5283"/>
      <c r="AC105" s="2963"/>
      <c r="AD105" s="2964"/>
      <c r="AE105" s="2963"/>
      <c r="AF105" s="5284"/>
      <c r="AG105" s="407"/>
      <c r="AH105" s="5285"/>
      <c r="AL105" s="5284"/>
      <c r="AM105" s="5283"/>
      <c r="AN105" s="2963"/>
      <c r="AO105" s="2964"/>
      <c r="AP105" s="2963"/>
      <c r="AQ105" s="5284"/>
      <c r="AR105" s="407"/>
      <c r="AS105" s="5285"/>
      <c r="AT105" s="1"/>
      <c r="AV105" s="4814" t="s">
        <v>995</v>
      </c>
      <c r="AW105" s="7238"/>
      <c r="AX105" s="7239"/>
      <c r="AY105" s="568"/>
      <c r="AZ105" s="569"/>
      <c r="BA105" s="568"/>
      <c r="BB105" s="7238"/>
      <c r="BC105" s="6862"/>
      <c r="BD105" s="7240"/>
      <c r="BG105" s="4814" t="s">
        <v>995</v>
      </c>
      <c r="BH105" s="8883"/>
      <c r="BI105" s="8884"/>
      <c r="BJ105" s="2963"/>
      <c r="BK105" s="2964"/>
      <c r="BL105" s="2963"/>
      <c r="BM105" s="8883"/>
      <c r="BN105" s="8493"/>
      <c r="BO105" s="8885"/>
    </row>
    <row r="106" spans="1:67" x14ac:dyDescent="0.35">
      <c r="A106" s="9168"/>
      <c r="B106" s="4771"/>
      <c r="C106" s="4839"/>
      <c r="D106" s="4772" t="s">
        <v>996</v>
      </c>
      <c r="E106" s="392"/>
      <c r="F106" s="5281"/>
      <c r="G106" s="409"/>
      <c r="H106" s="5282"/>
      <c r="I106" s="5283"/>
      <c r="J106" s="408"/>
      <c r="K106" s="409"/>
      <c r="L106" s="5284"/>
      <c r="M106" s="408"/>
      <c r="N106" s="2911"/>
      <c r="O106" s="5284"/>
      <c r="P106" s="2964"/>
      <c r="Q106" s="407"/>
      <c r="R106" s="5284">
        <f>R103/R18</f>
        <v>0.22640345529008213</v>
      </c>
      <c r="S106" s="5283">
        <f>S103/S18</f>
        <v>0.22981814682394788</v>
      </c>
      <c r="T106" s="407"/>
      <c r="U106" s="408"/>
      <c r="V106" s="407"/>
      <c r="W106" s="5284">
        <f>W103/W18</f>
        <v>0.23482381126337518</v>
      </c>
      <c r="X106" s="407"/>
      <c r="Y106" s="5285">
        <f>Y103/Y18</f>
        <v>0.23144048468885767</v>
      </c>
      <c r="AA106" s="5284"/>
      <c r="AB106" s="5283"/>
      <c r="AC106" s="407"/>
      <c r="AD106" s="408"/>
      <c r="AE106" s="407"/>
      <c r="AF106" s="5284"/>
      <c r="AG106" s="407"/>
      <c r="AH106" s="5285"/>
      <c r="AL106" s="5284"/>
      <c r="AM106" s="5283"/>
      <c r="AN106" s="407"/>
      <c r="AO106" s="408"/>
      <c r="AP106" s="407"/>
      <c r="AQ106" s="5284"/>
      <c r="AR106" s="407"/>
      <c r="AS106" s="5285"/>
      <c r="AT106" s="1"/>
      <c r="AV106" s="4814" t="s">
        <v>996</v>
      </c>
      <c r="AW106" s="7238"/>
      <c r="AX106" s="7239"/>
      <c r="AY106" s="6862"/>
      <c r="AZ106" s="6651"/>
      <c r="BA106" s="6862"/>
      <c r="BB106" s="7238"/>
      <c r="BC106" s="6862"/>
      <c r="BD106" s="7240"/>
      <c r="BG106" s="4814" t="s">
        <v>996</v>
      </c>
      <c r="BH106" s="8883"/>
      <c r="BI106" s="8884"/>
      <c r="BJ106" s="8493"/>
      <c r="BK106" s="8494"/>
      <c r="BL106" s="8493"/>
      <c r="BM106" s="8883"/>
      <c r="BN106" s="8493"/>
      <c r="BO106" s="8885"/>
    </row>
    <row r="107" spans="1:67" x14ac:dyDescent="0.35">
      <c r="A107" s="9168"/>
      <c r="B107" s="4771"/>
      <c r="C107" s="4839"/>
      <c r="D107" s="5286"/>
      <c r="E107" s="392"/>
      <c r="F107" s="5281"/>
      <c r="G107" s="409"/>
      <c r="H107" s="5282"/>
      <c r="I107" s="5283"/>
      <c r="J107" s="408"/>
      <c r="K107" s="409"/>
      <c r="L107" s="5284"/>
      <c r="M107" s="408"/>
      <c r="N107" s="2911"/>
      <c r="O107" s="5284"/>
      <c r="P107" s="408"/>
      <c r="Q107" s="407"/>
      <c r="R107" s="5284"/>
      <c r="S107" s="5283"/>
      <c r="T107" s="407"/>
      <c r="U107" s="408"/>
      <c r="V107" s="407"/>
      <c r="W107" s="5284"/>
      <c r="X107" s="407"/>
      <c r="Y107" s="5285"/>
      <c r="AA107" s="5284"/>
      <c r="AB107" s="5283"/>
      <c r="AC107" s="407"/>
      <c r="AD107" s="408"/>
      <c r="AE107" s="407"/>
      <c r="AF107" s="5284"/>
      <c r="AG107" s="407"/>
      <c r="AH107" s="5285"/>
      <c r="AL107" s="5284"/>
      <c r="AM107" s="5283"/>
      <c r="AN107" s="407"/>
      <c r="AO107" s="408"/>
      <c r="AP107" s="407"/>
      <c r="AQ107" s="5284"/>
      <c r="AR107" s="407"/>
      <c r="AS107" s="5285"/>
      <c r="AT107" s="1"/>
      <c r="AV107" s="4814"/>
      <c r="AW107" s="7238"/>
      <c r="AX107" s="7239"/>
      <c r="AY107" s="6862"/>
      <c r="AZ107" s="6651"/>
      <c r="BA107" s="6862"/>
      <c r="BB107" s="7238"/>
      <c r="BC107" s="6862"/>
      <c r="BD107" s="7240"/>
      <c r="BG107" s="4814"/>
      <c r="BH107" s="8883"/>
      <c r="BI107" s="8884"/>
      <c r="BJ107" s="8493"/>
      <c r="BK107" s="8494"/>
      <c r="BL107" s="8493"/>
      <c r="BM107" s="8883"/>
      <c r="BN107" s="8493"/>
      <c r="BO107" s="8885"/>
    </row>
    <row r="108" spans="1:67" x14ac:dyDescent="0.35">
      <c r="A108" s="9168"/>
      <c r="B108" s="4771"/>
      <c r="C108" s="4839"/>
      <c r="D108" s="4830" t="s">
        <v>997</v>
      </c>
      <c r="E108" s="392"/>
      <c r="F108" s="5281"/>
      <c r="G108" s="409"/>
      <c r="H108" s="5282">
        <f>H101/H12</f>
        <v>0.22350283648072766</v>
      </c>
      <c r="I108" s="5283">
        <f>I101/I12</f>
        <v>0.23120101633079027</v>
      </c>
      <c r="J108" s="408"/>
      <c r="K108" s="409"/>
      <c r="L108" s="5284">
        <f>L101/L12</f>
        <v>0.28574532367745425</v>
      </c>
      <c r="M108" s="408"/>
      <c r="N108" s="2911"/>
      <c r="O108" s="5284">
        <f>O101/O12</f>
        <v>0.28725750283133589</v>
      </c>
      <c r="P108" s="408"/>
      <c r="Q108" s="407"/>
      <c r="R108" s="5284">
        <f>R101/R12</f>
        <v>0.24337759548947965</v>
      </c>
      <c r="S108" s="5283">
        <f>S101/S12</f>
        <v>0.24087470323845792</v>
      </c>
      <c r="T108" s="407"/>
      <c r="U108" s="408"/>
      <c r="V108" s="407"/>
      <c r="W108" s="5284">
        <f>W101/W12</f>
        <v>0.24133113720316524</v>
      </c>
      <c r="X108" s="407"/>
      <c r="Y108" s="5285">
        <f>Y101/Y12</f>
        <v>0.22476109011633949</v>
      </c>
      <c r="AA108" s="5284">
        <f>AA101/AA12</f>
        <v>0.24133113720316524</v>
      </c>
      <c r="AB108" s="5283">
        <f>AB101/AB12</f>
        <v>0.22476109011633949</v>
      </c>
      <c r="AC108" s="407"/>
      <c r="AD108" s="408"/>
      <c r="AE108" s="407"/>
      <c r="AF108" s="5284">
        <f>AF101/AF12</f>
        <v>0.21277931099132333</v>
      </c>
      <c r="AG108" s="407"/>
      <c r="AH108" s="5285">
        <f>AH101/AH12</f>
        <v>0.2058826488798968</v>
      </c>
      <c r="AL108" s="5284">
        <v>0.21277931099132333</v>
      </c>
      <c r="AM108" s="5283">
        <f>AM101/AM12</f>
        <v>0.21178568515794877</v>
      </c>
      <c r="AN108" s="407"/>
      <c r="AO108" s="408"/>
      <c r="AP108" s="407"/>
      <c r="AQ108" s="5284">
        <f>AQ101/AQ12</f>
        <v>0.20448196472681682</v>
      </c>
      <c r="AR108" s="407"/>
      <c r="AS108" s="5285">
        <f>AS101/AS12</f>
        <v>0.2653782994464654</v>
      </c>
      <c r="AT108" s="1"/>
      <c r="AV108" s="4814" t="s">
        <v>997</v>
      </c>
      <c r="AW108" s="7238">
        <f>AW101/AW12</f>
        <v>0.22893406841610348</v>
      </c>
      <c r="AX108" s="7239">
        <f>AX101/AX12</f>
        <v>0.28749080114347275</v>
      </c>
      <c r="AY108" s="6862"/>
      <c r="AZ108" s="6651"/>
      <c r="BA108" s="6862"/>
      <c r="BB108" s="7238">
        <f>BB101/BB12</f>
        <v>0.20700342751866871</v>
      </c>
      <c r="BC108" s="6862"/>
      <c r="BD108" s="7240">
        <f>BD101/BD12</f>
        <v>0.23538129806219787</v>
      </c>
      <c r="BG108" s="4814" t="s">
        <v>997</v>
      </c>
      <c r="BH108" s="8883">
        <f>BH101/BH12</f>
        <v>0.20700342751866871</v>
      </c>
      <c r="BI108" s="8884">
        <f>BI101/BI12</f>
        <v>0.23034622435025431</v>
      </c>
      <c r="BJ108" s="8493"/>
      <c r="BK108" s="8494"/>
      <c r="BL108" s="8493"/>
      <c r="BM108" s="8883">
        <f>BM101/BM12</f>
        <v>0.2768285685136051</v>
      </c>
      <c r="BN108" s="8493"/>
      <c r="BO108" s="8885">
        <f>BO101/BO12</f>
        <v>0.25436844210936344</v>
      </c>
    </row>
    <row r="109" spans="1:67" x14ac:dyDescent="0.35">
      <c r="A109" s="9168"/>
      <c r="B109" s="4771"/>
      <c r="C109" s="4839"/>
      <c r="D109" s="5287" t="s">
        <v>998</v>
      </c>
      <c r="E109" s="392"/>
      <c r="F109" s="5288">
        <f>F101-SUM(F84:F88)</f>
        <v>219098055347.33771</v>
      </c>
      <c r="G109" s="687"/>
      <c r="H109" s="5289">
        <f>H101-SUM(H84:H88)</f>
        <v>248308456090.91052</v>
      </c>
      <c r="I109" s="5290">
        <f>I101-SUM(I84:I88)</f>
        <v>238966692170.26886</v>
      </c>
      <c r="J109" s="689"/>
      <c r="K109" s="687"/>
      <c r="L109" s="5291">
        <f>L101-SUM(L84:L88)</f>
        <v>276038076186.23694</v>
      </c>
      <c r="M109" s="689"/>
      <c r="N109" s="2965"/>
      <c r="O109" s="5291">
        <f>O101-SUM(O84:O88)</f>
        <v>291808110582.48157</v>
      </c>
      <c r="P109" s="689"/>
      <c r="Q109" s="5292"/>
      <c r="R109" s="5291"/>
      <c r="S109" s="5290"/>
      <c r="T109" s="5292"/>
      <c r="U109" s="689"/>
      <c r="V109" s="5292"/>
      <c r="W109" s="5291"/>
      <c r="X109" s="5292"/>
      <c r="Y109" s="5293"/>
      <c r="AA109" s="5291"/>
      <c r="AB109" s="5290"/>
      <c r="AC109" s="5292"/>
      <c r="AD109" s="689"/>
      <c r="AE109" s="5292"/>
      <c r="AF109" s="5291"/>
      <c r="AG109" s="5292"/>
      <c r="AH109" s="5293"/>
      <c r="AL109" s="5291"/>
      <c r="AM109" s="5290"/>
      <c r="AN109" s="5292"/>
      <c r="AO109" s="689"/>
      <c r="AP109" s="5292"/>
      <c r="AQ109" s="5291"/>
      <c r="AR109" s="5292"/>
      <c r="AS109" s="5293"/>
      <c r="AT109" s="1"/>
      <c r="AV109" s="4814" t="s">
        <v>998</v>
      </c>
      <c r="AW109" s="7241"/>
      <c r="AX109" s="7242"/>
      <c r="AY109" s="7243"/>
      <c r="AZ109" s="7244"/>
      <c r="BA109" s="7243"/>
      <c r="BB109" s="7241"/>
      <c r="BC109" s="7243"/>
      <c r="BD109" s="7245"/>
      <c r="BG109" s="4814" t="s">
        <v>998</v>
      </c>
      <c r="BH109" s="8886"/>
      <c r="BI109" s="8887"/>
      <c r="BJ109" s="8888"/>
      <c r="BK109" s="8889"/>
      <c r="BL109" s="8888"/>
      <c r="BM109" s="8886"/>
      <c r="BN109" s="8888"/>
      <c r="BO109" s="8890"/>
    </row>
    <row r="110" spans="1:67" x14ac:dyDescent="0.35">
      <c r="A110" s="9168"/>
      <c r="B110" s="4771"/>
      <c r="C110" s="4839"/>
      <c r="D110" s="4830" t="s">
        <v>999</v>
      </c>
      <c r="E110" s="392"/>
      <c r="F110" s="5281"/>
      <c r="G110" s="409"/>
      <c r="H110" s="5282">
        <f>H109/H12</f>
        <v>0.222128993525609</v>
      </c>
      <c r="I110" s="5283">
        <f>I109/I12</f>
        <v>0.2299219631316991</v>
      </c>
      <c r="J110" s="408"/>
      <c r="K110" s="409"/>
      <c r="L110" s="5284">
        <f>L109/L12</f>
        <v>0.27630060762938574</v>
      </c>
      <c r="M110" s="408"/>
      <c r="N110" s="2911"/>
      <c r="O110" s="5284">
        <f>O109/O12</f>
        <v>0.26470198465716877</v>
      </c>
      <c r="P110" s="408"/>
      <c r="Q110" s="407"/>
      <c r="R110" s="5284"/>
      <c r="S110" s="5283"/>
      <c r="T110" s="407"/>
      <c r="U110" s="408"/>
      <c r="V110" s="407"/>
      <c r="W110" s="5284"/>
      <c r="X110" s="407"/>
      <c r="Y110" s="5285"/>
      <c r="AA110" s="5284"/>
      <c r="AB110" s="5283"/>
      <c r="AC110" s="407"/>
      <c r="AD110" s="408"/>
      <c r="AE110" s="407"/>
      <c r="AF110" s="5284"/>
      <c r="AG110" s="407"/>
      <c r="AH110" s="5285"/>
      <c r="AL110" s="5284"/>
      <c r="AM110" s="5283"/>
      <c r="AN110" s="407"/>
      <c r="AO110" s="408"/>
      <c r="AP110" s="407"/>
      <c r="AQ110" s="5284"/>
      <c r="AR110" s="407"/>
      <c r="AS110" s="5285"/>
      <c r="AT110" s="1"/>
      <c r="AV110" s="4814" t="s">
        <v>999</v>
      </c>
      <c r="AW110" s="7238"/>
      <c r="AX110" s="7239"/>
      <c r="AY110" s="6862"/>
      <c r="AZ110" s="6651"/>
      <c r="BA110" s="6862"/>
      <c r="BB110" s="7238"/>
      <c r="BC110" s="6862"/>
      <c r="BD110" s="7240"/>
      <c r="BG110" s="4814" t="s">
        <v>999</v>
      </c>
      <c r="BH110" s="8883"/>
      <c r="BI110" s="8884"/>
      <c r="BJ110" s="8493"/>
      <c r="BK110" s="8494"/>
      <c r="BL110" s="8493"/>
      <c r="BM110" s="8883"/>
      <c r="BN110" s="8493"/>
      <c r="BO110" s="8885"/>
    </row>
    <row r="111" spans="1:67" x14ac:dyDescent="0.35">
      <c r="A111" s="9168"/>
      <c r="B111" s="4771"/>
      <c r="C111" s="4839"/>
      <c r="D111" s="5286"/>
      <c r="E111" s="392"/>
      <c r="F111" s="5281"/>
      <c r="G111" s="409"/>
      <c r="H111" s="5282"/>
      <c r="I111" s="5283"/>
      <c r="J111" s="408"/>
      <c r="K111" s="409"/>
      <c r="L111" s="5284"/>
      <c r="M111" s="408"/>
      <c r="N111" s="2911"/>
      <c r="O111" s="5284"/>
      <c r="P111" s="408"/>
      <c r="Q111" s="407"/>
      <c r="R111" s="5284"/>
      <c r="S111" s="5283"/>
      <c r="T111" s="407"/>
      <c r="U111" s="408"/>
      <c r="V111" s="407"/>
      <c r="W111" s="5284"/>
      <c r="X111" s="407"/>
      <c r="Y111" s="5285"/>
      <c r="AA111" s="5284"/>
      <c r="AB111" s="5283"/>
      <c r="AC111" s="407"/>
      <c r="AD111" s="408"/>
      <c r="AE111" s="407"/>
      <c r="AF111" s="5284"/>
      <c r="AG111" s="407"/>
      <c r="AH111" s="5285"/>
      <c r="AL111" s="5284"/>
      <c r="AM111" s="5283"/>
      <c r="AN111" s="407"/>
      <c r="AO111" s="408"/>
      <c r="AP111" s="407"/>
      <c r="AQ111" s="5284"/>
      <c r="AR111" s="407"/>
      <c r="AS111" s="5285"/>
      <c r="AT111" s="1"/>
      <c r="AV111" s="4814"/>
      <c r="AW111" s="7238"/>
      <c r="AX111" s="7239"/>
      <c r="AY111" s="6862"/>
      <c r="AZ111" s="6651"/>
      <c r="BA111" s="6862"/>
      <c r="BB111" s="7238"/>
      <c r="BC111" s="6862"/>
      <c r="BD111" s="7240"/>
      <c r="BG111" s="4814"/>
      <c r="BH111" s="8883"/>
      <c r="BI111" s="8884"/>
      <c r="BJ111" s="8493"/>
      <c r="BK111" s="8494"/>
      <c r="BL111" s="8493"/>
      <c r="BM111" s="8883"/>
      <c r="BN111" s="8493"/>
      <c r="BO111" s="8885"/>
    </row>
    <row r="112" spans="1:67" x14ac:dyDescent="0.35">
      <c r="A112" s="9168"/>
      <c r="B112" s="4771"/>
      <c r="C112" s="4839"/>
      <c r="D112" s="5294" t="s">
        <v>1000</v>
      </c>
      <c r="E112" s="424"/>
      <c r="F112" s="5295"/>
      <c r="G112" s="4120"/>
      <c r="H112" s="5296"/>
      <c r="I112" s="5297"/>
      <c r="J112" s="2971"/>
      <c r="K112" s="4120"/>
      <c r="L112" s="5298"/>
      <c r="M112" s="2971"/>
      <c r="N112" s="2911"/>
      <c r="O112" s="5298"/>
      <c r="P112" s="2971"/>
      <c r="Q112" s="2970"/>
      <c r="R112" s="5298"/>
      <c r="S112" s="5297"/>
      <c r="T112" s="2970"/>
      <c r="U112" s="2971"/>
      <c r="V112" s="2970"/>
      <c r="W112" s="5298"/>
      <c r="X112" s="2970"/>
      <c r="Y112" s="5299"/>
      <c r="AA112" s="5298"/>
      <c r="AB112" s="5297"/>
      <c r="AC112" s="2970"/>
      <c r="AD112" s="2971"/>
      <c r="AE112" s="2970"/>
      <c r="AF112" s="5298"/>
      <c r="AG112" s="2970"/>
      <c r="AH112" s="5299"/>
      <c r="AL112" s="5298"/>
      <c r="AM112" s="5297"/>
      <c r="AN112" s="2970"/>
      <c r="AO112" s="2971"/>
      <c r="AP112" s="2970"/>
      <c r="AQ112" s="5298"/>
      <c r="AR112" s="2970"/>
      <c r="AS112" s="5299"/>
      <c r="AT112" s="1"/>
      <c r="AV112" s="4814" t="s">
        <v>1000</v>
      </c>
      <c r="AW112" s="5298"/>
      <c r="AX112" s="5297"/>
      <c r="AY112" s="6035"/>
      <c r="AZ112" s="3417"/>
      <c r="BA112" s="6035"/>
      <c r="BB112" s="5298"/>
      <c r="BC112" s="6035"/>
      <c r="BD112" s="5299"/>
      <c r="BG112" s="4814" t="s">
        <v>1000</v>
      </c>
      <c r="BH112" s="5298"/>
      <c r="BI112" s="5297"/>
      <c r="BJ112" s="2970"/>
      <c r="BK112" s="2971"/>
      <c r="BL112" s="2970"/>
      <c r="BM112" s="5298"/>
      <c r="BN112" s="2970"/>
      <c r="BO112" s="5299"/>
    </row>
    <row r="113" spans="1:67" x14ac:dyDescent="0.35">
      <c r="A113" s="9169"/>
      <c r="B113" s="4785"/>
      <c r="C113" s="4865"/>
      <c r="D113" s="5300" t="s">
        <v>1001</v>
      </c>
      <c r="E113" s="274"/>
      <c r="F113" s="5301"/>
      <c r="G113" s="2972"/>
      <c r="H113" s="5302"/>
      <c r="I113" s="5303"/>
      <c r="J113" s="438"/>
      <c r="K113" s="2972"/>
      <c r="L113" s="5304"/>
      <c r="M113" s="440"/>
      <c r="N113" s="2911"/>
      <c r="O113" s="5304"/>
      <c r="P113" s="440"/>
      <c r="Q113" s="3191"/>
      <c r="R113" s="5304"/>
      <c r="S113" s="5303"/>
      <c r="T113" s="2973"/>
      <c r="U113" s="440"/>
      <c r="V113" s="3191"/>
      <c r="W113" s="5304"/>
      <c r="X113" s="2973"/>
      <c r="Y113" s="5305"/>
      <c r="AA113" s="5304"/>
      <c r="AB113" s="5303"/>
      <c r="AC113" s="2973"/>
      <c r="AD113" s="440"/>
      <c r="AE113" s="3191"/>
      <c r="AF113" s="5304"/>
      <c r="AG113" s="2973"/>
      <c r="AH113" s="5305"/>
      <c r="AL113" s="5304"/>
      <c r="AM113" s="5303"/>
      <c r="AN113" s="2973"/>
      <c r="AO113" s="440"/>
      <c r="AP113" s="3191"/>
      <c r="AQ113" s="5304"/>
      <c r="AR113" s="2973"/>
      <c r="AS113" s="5305"/>
      <c r="AT113" s="1"/>
      <c r="AV113" s="4823" t="s">
        <v>1001</v>
      </c>
      <c r="AW113" s="5304">
        <f>AW91/AW97</f>
        <v>0.40657132504701893</v>
      </c>
      <c r="AX113" s="5303">
        <f>AX91/AX97</f>
        <v>4.4530518979626671E-4</v>
      </c>
      <c r="AY113" s="575"/>
      <c r="AZ113" s="574"/>
      <c r="BA113" s="6636"/>
      <c r="BB113" s="5304">
        <f>BB91/BB97</f>
        <v>0.42856552360692096</v>
      </c>
      <c r="BC113" s="575"/>
      <c r="BD113" s="5305">
        <f>BD91/BD97</f>
        <v>0.44066189495177244</v>
      </c>
      <c r="BG113" s="4823" t="s">
        <v>1001</v>
      </c>
      <c r="BH113" s="5304">
        <f>BH91/BH97</f>
        <v>0.42856552360692096</v>
      </c>
      <c r="BI113" s="5303">
        <f>BI91/BI97</f>
        <v>0.44066062705388798</v>
      </c>
      <c r="BJ113" s="2973"/>
      <c r="BK113" s="440"/>
      <c r="BL113" s="3191"/>
      <c r="BM113" s="5304">
        <f>BM91/BM97</f>
        <v>0.46653649152562682</v>
      </c>
      <c r="BN113" s="2973"/>
      <c r="BO113" s="5305">
        <f>BO91/BO97</f>
        <v>0.49608097825581671</v>
      </c>
    </row>
    <row r="114" spans="1:67" s="449" customFormat="1" ht="15.5" x14ac:dyDescent="0.35">
      <c r="C114" s="450"/>
      <c r="D114" s="450"/>
      <c r="E114" s="450"/>
      <c r="F114" s="451"/>
      <c r="G114" s="450"/>
      <c r="H114" s="451"/>
      <c r="I114" s="451"/>
      <c r="J114" s="452"/>
      <c r="K114" s="450"/>
      <c r="L114" s="451"/>
      <c r="M114" s="451"/>
      <c r="N114" s="453"/>
      <c r="O114" s="451"/>
      <c r="P114" s="451"/>
      <c r="Q114" s="454"/>
      <c r="R114" s="451">
        <f t="shared" ref="R114:S114" si="42">((R101-R103)/R101)</f>
        <v>5.3424603388435625E-2</v>
      </c>
      <c r="S114" s="451">
        <f t="shared" si="42"/>
        <v>6.023022249574953E-3</v>
      </c>
      <c r="T114" s="451"/>
      <c r="U114" s="1536"/>
      <c r="V114" s="451"/>
      <c r="W114" s="451">
        <f t="shared" ref="W114" si="43">((W101-W103)/W101)</f>
        <v>1.155047959043832E-2</v>
      </c>
      <c r="Y114" s="451">
        <f t="shared" ref="Y114" si="44">((Y101-Y103)/Y101)</f>
        <v>1.2301503378338069E-2</v>
      </c>
      <c r="AA114" s="451"/>
      <c r="AB114" s="451"/>
      <c r="AC114" s="451"/>
      <c r="AD114" s="454"/>
      <c r="AE114" s="451"/>
      <c r="AF114" s="451"/>
      <c r="AH114" s="451"/>
      <c r="AL114" s="451"/>
      <c r="AM114" s="451"/>
      <c r="AN114" s="451"/>
      <c r="AO114" s="454"/>
      <c r="AP114" s="451"/>
      <c r="AQ114" s="451"/>
      <c r="AS114" s="451"/>
      <c r="AV114" s="450"/>
      <c r="AW114" s="451"/>
      <c r="AX114" s="451"/>
      <c r="AY114" s="451"/>
      <c r="AZ114" s="454"/>
      <c r="BA114" s="451"/>
      <c r="BB114" s="451"/>
      <c r="BD114" s="451"/>
      <c r="BG114" s="450"/>
      <c r="BH114" s="451"/>
      <c r="BI114" s="451"/>
      <c r="BJ114" s="451"/>
      <c r="BK114" s="454"/>
      <c r="BL114" s="451"/>
      <c r="BM114" s="451"/>
      <c r="BO114" s="451"/>
    </row>
    <row r="115" spans="1:67" s="462" customFormat="1" ht="15.25" customHeight="1" x14ac:dyDescent="0.35">
      <c r="A115" s="455" t="s">
        <v>582</v>
      </c>
      <c r="B115" s="455"/>
      <c r="C115" s="456"/>
      <c r="D115" s="456"/>
      <c r="E115" s="457"/>
      <c r="F115" s="458"/>
      <c r="G115" s="456"/>
      <c r="H115" s="458"/>
      <c r="I115" s="458"/>
      <c r="J115" s="459"/>
      <c r="K115" s="456"/>
      <c r="L115" s="458"/>
      <c r="M115" s="458"/>
      <c r="N115" s="460"/>
      <c r="O115" s="458"/>
      <c r="P115" s="458"/>
      <c r="Q115" s="461"/>
      <c r="R115" s="458" t="str">
        <f t="shared" ref="R115:S115" si="45">IF(R103+R104=R101,"ok","erreur total")</f>
        <v>ok</v>
      </c>
      <c r="S115" s="458" t="str">
        <f t="shared" si="45"/>
        <v>ok</v>
      </c>
      <c r="T115" s="458"/>
      <c r="U115" s="458"/>
      <c r="V115" s="458"/>
      <c r="W115" s="458" t="str">
        <f>IF(W103+W104=W101,"ok","erreur total")</f>
        <v>ok</v>
      </c>
      <c r="X115"/>
      <c r="Y115" s="458" t="str">
        <f>IF(Y103+Y104=Y101,"ok","erreur total")</f>
        <v>ok</v>
      </c>
      <c r="AA115" s="458"/>
      <c r="AB115" s="458"/>
      <c r="AC115" s="458"/>
      <c r="AD115" s="458"/>
      <c r="AE115" s="458"/>
      <c r="AF115" s="458"/>
      <c r="AG115"/>
      <c r="AH115" s="458"/>
      <c r="AL115" s="458"/>
      <c r="AM115" s="458"/>
      <c r="AN115" s="458"/>
      <c r="AO115" s="458"/>
      <c r="AP115" s="458"/>
      <c r="AQ115" s="458"/>
      <c r="AR115"/>
      <c r="AS115" s="458"/>
      <c r="AV115" s="456"/>
      <c r="AW115" s="458"/>
      <c r="AX115" s="458"/>
      <c r="AY115" s="458"/>
      <c r="AZ115" s="458"/>
      <c r="BA115" s="458"/>
      <c r="BB115" s="458"/>
      <c r="BC115"/>
      <c r="BD115" s="458"/>
      <c r="BG115" s="456"/>
      <c r="BH115" s="458"/>
      <c r="BI115" s="458"/>
      <c r="BJ115" s="458"/>
      <c r="BK115" s="458"/>
      <c r="BL115" s="458"/>
      <c r="BM115" s="458"/>
      <c r="BN115"/>
      <c r="BO115" s="458"/>
    </row>
    <row r="116" spans="1:67" s="462" customFormat="1" ht="12" customHeight="1" x14ac:dyDescent="0.3">
      <c r="A116" s="463">
        <v>1</v>
      </c>
      <c r="B116" s="464" t="str">
        <f>AJ26</f>
        <v xml:space="preserve">261100 Personnel </v>
      </c>
      <c r="D116" s="465"/>
      <c r="E116" s="466"/>
      <c r="F116" s="466"/>
      <c r="G116" s="466"/>
      <c r="H116" s="466"/>
      <c r="I116" s="466"/>
      <c r="J116" s="467"/>
      <c r="K116" s="466"/>
      <c r="L116" s="466"/>
      <c r="M116" s="466"/>
      <c r="N116" s="456"/>
      <c r="O116" s="466"/>
      <c r="P116" s="466"/>
      <c r="Q116" s="466"/>
      <c r="R116" s="466"/>
      <c r="S116" s="466"/>
      <c r="T116" s="466"/>
      <c r="U116" s="466"/>
      <c r="V116" s="466"/>
      <c r="W116" s="466"/>
      <c r="X116" s="466"/>
      <c r="Y116" s="466"/>
      <c r="Z116" s="456"/>
      <c r="AA116" s="466"/>
      <c r="AB116" s="466"/>
      <c r="AC116" s="466"/>
      <c r="AD116" s="466"/>
      <c r="AE116" s="466"/>
      <c r="AF116" s="466"/>
      <c r="AG116" s="466"/>
      <c r="AH116" s="466"/>
      <c r="AI116" s="456"/>
      <c r="AJ116" s="577"/>
      <c r="AL116" s="466"/>
      <c r="AM116" s="466"/>
      <c r="AN116" s="466"/>
      <c r="AO116" s="466"/>
      <c r="AP116" s="466"/>
      <c r="AQ116" s="466"/>
      <c r="AR116" s="466"/>
      <c r="AS116" s="466"/>
      <c r="AT116" s="456"/>
      <c r="AU116" s="577"/>
      <c r="AW116" s="466"/>
      <c r="AX116" s="466"/>
      <c r="AY116" s="466"/>
      <c r="AZ116" s="466"/>
      <c r="BA116" s="466"/>
      <c r="BB116" s="466"/>
      <c r="BC116" s="466"/>
      <c r="BD116" s="466"/>
      <c r="BF116" s="577"/>
      <c r="BH116" s="466"/>
      <c r="BI116" s="466"/>
      <c r="BJ116" s="466"/>
      <c r="BK116" s="466"/>
      <c r="BL116" s="466"/>
      <c r="BM116" s="466"/>
      <c r="BN116" s="466"/>
      <c r="BO116" s="466"/>
    </row>
    <row r="117" spans="1:67" s="462" customFormat="1" ht="12" x14ac:dyDescent="0.3">
      <c r="A117" s="468">
        <v>2</v>
      </c>
      <c r="B117" s="464" t="e">
        <f>#REF!</f>
        <v>#REF!</v>
      </c>
      <c r="D117" s="5"/>
      <c r="E117" s="456"/>
      <c r="F117" s="456"/>
      <c r="G117" s="456"/>
      <c r="H117" s="459"/>
      <c r="I117" s="459"/>
      <c r="J117" s="7"/>
      <c r="K117" s="456"/>
      <c r="N117" s="456"/>
      <c r="Z117" s="456"/>
      <c r="AI117" s="456"/>
      <c r="AJ117" s="577"/>
      <c r="AT117" s="456"/>
      <c r="AU117" s="577"/>
      <c r="BF117" s="577"/>
    </row>
    <row r="118" spans="1:67" s="462" customFormat="1" ht="12" x14ac:dyDescent="0.3">
      <c r="A118" s="468"/>
      <c r="B118" s="469"/>
      <c r="D118" s="5"/>
      <c r="E118" s="456"/>
      <c r="F118" s="456"/>
      <c r="G118" s="456"/>
      <c r="H118" s="459"/>
      <c r="I118" s="459"/>
      <c r="J118" s="7"/>
      <c r="K118" s="456"/>
      <c r="N118" s="456"/>
      <c r="Z118" s="456"/>
      <c r="AI118" s="456"/>
      <c r="AJ118" s="577"/>
      <c r="AT118" s="456"/>
      <c r="AU118" s="577"/>
      <c r="BF118" s="577"/>
    </row>
    <row r="119" spans="1:67" s="462" customFormat="1" ht="12" x14ac:dyDescent="0.3">
      <c r="A119" s="468"/>
      <c r="B119" s="469"/>
      <c r="D119" s="5"/>
      <c r="E119" s="456"/>
      <c r="F119" s="456"/>
      <c r="G119" s="456"/>
      <c r="H119" s="459"/>
      <c r="I119" s="459"/>
      <c r="J119" s="7"/>
      <c r="K119" s="456"/>
      <c r="N119" s="456"/>
      <c r="Z119" s="456"/>
      <c r="AI119" s="456"/>
      <c r="AJ119" s="577"/>
      <c r="AT119" s="456"/>
      <c r="AU119" s="577"/>
      <c r="BF119" s="577"/>
    </row>
    <row r="120" spans="1:67" s="462" customFormat="1" ht="12" x14ac:dyDescent="0.3">
      <c r="A120" s="468"/>
      <c r="B120" s="469"/>
      <c r="D120" s="5"/>
      <c r="E120" s="456"/>
      <c r="F120" s="456"/>
      <c r="G120" s="456"/>
      <c r="H120" s="459"/>
      <c r="I120" s="459"/>
      <c r="J120" s="7"/>
      <c r="K120" s="456"/>
      <c r="N120" s="456"/>
      <c r="Z120" s="456"/>
      <c r="AI120" s="456"/>
      <c r="AJ120" s="577"/>
      <c r="AT120" s="456"/>
      <c r="AU120" s="577"/>
      <c r="BF120" s="577"/>
    </row>
    <row r="121" spans="1:67" s="462" customFormat="1" ht="12" x14ac:dyDescent="0.3">
      <c r="A121" s="468"/>
      <c r="B121" s="469"/>
      <c r="D121" s="5"/>
      <c r="E121" s="456"/>
      <c r="F121" s="456"/>
      <c r="G121" s="456"/>
      <c r="H121" s="459"/>
      <c r="I121" s="459"/>
      <c r="J121" s="7"/>
      <c r="K121" s="456"/>
      <c r="N121" s="456"/>
      <c r="Z121" s="456"/>
      <c r="AI121" s="456"/>
      <c r="AJ121" s="577"/>
      <c r="AT121" s="456"/>
      <c r="AU121" s="577"/>
      <c r="BF121" s="577"/>
    </row>
    <row r="122" spans="1:67" s="462" customFormat="1" ht="12" x14ac:dyDescent="0.3">
      <c r="A122" s="468"/>
      <c r="B122" s="469"/>
      <c r="D122" s="5"/>
      <c r="E122" s="456"/>
      <c r="F122" s="456"/>
      <c r="G122" s="456"/>
      <c r="H122" s="459"/>
      <c r="I122" s="459"/>
      <c r="J122" s="7"/>
      <c r="K122" s="456"/>
      <c r="N122" s="456"/>
      <c r="Z122" s="456"/>
      <c r="AI122" s="456"/>
      <c r="AJ122" s="577"/>
      <c r="AT122" s="456"/>
      <c r="AU122" s="577"/>
      <c r="BF122" s="577"/>
    </row>
    <row r="123" spans="1:67" s="462" customFormat="1" ht="12" x14ac:dyDescent="0.3">
      <c r="A123" s="468"/>
      <c r="B123" s="469"/>
      <c r="D123" s="5"/>
      <c r="E123" s="456"/>
      <c r="F123" s="456"/>
      <c r="G123" s="456"/>
      <c r="H123" s="459"/>
      <c r="I123" s="459"/>
      <c r="J123" s="7"/>
      <c r="K123" s="456"/>
      <c r="N123" s="456"/>
      <c r="Z123" s="456"/>
      <c r="AI123" s="456"/>
      <c r="AJ123" s="577"/>
      <c r="AT123" s="456"/>
      <c r="AU123" s="577"/>
      <c r="BF123" s="577"/>
    </row>
    <row r="124" spans="1:67" s="462" customFormat="1" ht="12" x14ac:dyDescent="0.3">
      <c r="A124" s="468"/>
      <c r="B124" s="469"/>
      <c r="D124" s="5"/>
      <c r="E124" s="456"/>
      <c r="F124" s="456"/>
      <c r="G124" s="456"/>
      <c r="H124" s="459"/>
      <c r="I124" s="459"/>
      <c r="J124" s="7"/>
      <c r="K124" s="456"/>
      <c r="N124" s="456"/>
      <c r="Z124" s="456"/>
      <c r="AI124" s="456"/>
      <c r="AJ124" s="577"/>
      <c r="AT124" s="456"/>
      <c r="AU124" s="577"/>
      <c r="BF124" s="577"/>
    </row>
    <row r="125" spans="1:67" s="462" customFormat="1" ht="12" x14ac:dyDescent="0.3">
      <c r="A125" s="468"/>
      <c r="B125" s="469"/>
      <c r="D125" s="5"/>
      <c r="E125" s="456"/>
      <c r="F125" s="456"/>
      <c r="G125" s="456"/>
      <c r="H125" s="459"/>
      <c r="I125" s="459"/>
      <c r="J125" s="7"/>
      <c r="K125" s="456"/>
      <c r="N125" s="456"/>
      <c r="Z125" s="456"/>
      <c r="AI125" s="456"/>
      <c r="AJ125" s="577"/>
      <c r="AT125" s="456"/>
      <c r="AU125" s="577"/>
      <c r="BF125" s="577"/>
    </row>
    <row r="126" spans="1:67" s="462" customFormat="1" ht="12" x14ac:dyDescent="0.3">
      <c r="A126" s="468"/>
      <c r="B126" s="469"/>
      <c r="D126" s="5"/>
      <c r="E126" s="456"/>
      <c r="F126" s="456"/>
      <c r="G126" s="456"/>
      <c r="H126" s="459"/>
      <c r="I126" s="459"/>
      <c r="J126" s="7"/>
      <c r="K126" s="456"/>
      <c r="N126" s="456"/>
      <c r="Z126" s="456"/>
      <c r="AI126" s="456"/>
      <c r="AJ126" s="577"/>
      <c r="AT126" s="456"/>
      <c r="AU126" s="577"/>
      <c r="BF126" s="577"/>
    </row>
    <row r="127" spans="1:67" s="462" customFormat="1" ht="12" x14ac:dyDescent="0.3">
      <c r="A127" s="468"/>
      <c r="B127" s="469"/>
      <c r="D127" s="5"/>
      <c r="E127" s="456"/>
      <c r="F127" s="456"/>
      <c r="G127" s="456"/>
      <c r="H127" s="459"/>
      <c r="I127" s="459"/>
      <c r="J127" s="7"/>
      <c r="K127" s="456"/>
      <c r="N127" s="456"/>
      <c r="Z127" s="456"/>
      <c r="AI127" s="456"/>
      <c r="AJ127" s="577"/>
      <c r="AT127" s="456"/>
      <c r="AU127" s="577"/>
      <c r="BF127" s="577"/>
    </row>
    <row r="128" spans="1:67" s="462" customFormat="1" ht="12" x14ac:dyDescent="0.3">
      <c r="A128" s="468"/>
      <c r="B128" s="469"/>
      <c r="D128" s="5"/>
      <c r="E128" s="456"/>
      <c r="F128" s="456"/>
      <c r="G128" s="456"/>
      <c r="H128" s="459"/>
      <c r="I128" s="459"/>
      <c r="J128" s="7"/>
      <c r="K128" s="456"/>
      <c r="N128" s="456"/>
      <c r="Z128" s="456"/>
    </row>
    <row r="129" spans="1:59" s="462" customFormat="1" ht="12" x14ac:dyDescent="0.3">
      <c r="A129" s="468"/>
      <c r="B129" s="469"/>
      <c r="D129" s="5"/>
      <c r="E129" s="456"/>
      <c r="F129" s="456"/>
      <c r="G129" s="456"/>
      <c r="H129" s="459"/>
      <c r="I129" s="459"/>
      <c r="J129" s="7"/>
      <c r="K129" s="456"/>
      <c r="N129" s="456"/>
      <c r="Z129" s="456"/>
    </row>
    <row r="130" spans="1:59" s="462" customFormat="1" ht="12" x14ac:dyDescent="0.3">
      <c r="A130" s="455" t="s">
        <v>1002</v>
      </c>
      <c r="B130" s="455"/>
      <c r="C130" s="456"/>
      <c r="D130" s="5"/>
      <c r="E130" s="456"/>
      <c r="F130" s="456"/>
      <c r="G130" s="456"/>
      <c r="H130" s="459"/>
      <c r="I130" s="459"/>
      <c r="J130" s="7"/>
      <c r="K130" s="456"/>
      <c r="N130" s="456"/>
      <c r="Z130" s="456"/>
      <c r="AV130" s="456"/>
      <c r="BG130" s="456"/>
    </row>
    <row r="131" spans="1:59" s="462" customFormat="1" ht="93" customHeight="1" x14ac:dyDescent="0.3">
      <c r="A131" s="9170"/>
      <c r="B131" s="9171"/>
      <c r="C131" s="9171"/>
      <c r="D131" s="9171"/>
      <c r="E131" s="9171"/>
      <c r="F131" s="9171"/>
      <c r="G131" s="9171"/>
      <c r="H131" s="9171"/>
      <c r="I131" s="9171"/>
      <c r="J131" s="9171"/>
      <c r="K131" s="9171"/>
      <c r="L131" s="9171"/>
      <c r="M131" s="9171"/>
      <c r="N131" s="9171"/>
      <c r="O131" s="9171"/>
      <c r="P131" s="9172"/>
      <c r="Q131" s="461"/>
      <c r="R131" s="461"/>
      <c r="S131" s="461"/>
      <c r="T131" s="461"/>
      <c r="U131" s="461"/>
      <c r="V131" s="461"/>
      <c r="W131" s="461"/>
      <c r="X131" s="461"/>
      <c r="Y131" s="461"/>
      <c r="Z131" s="456"/>
    </row>
    <row r="132" spans="1:59" x14ac:dyDescent="0.35">
      <c r="AA132" s="462"/>
      <c r="AB132" s="462"/>
      <c r="AC132" s="462"/>
      <c r="AD132" s="462"/>
      <c r="AE132" s="462"/>
      <c r="AF132" s="462"/>
      <c r="AG132" s="462"/>
      <c r="AH132" s="462"/>
      <c r="AI132" s="462"/>
      <c r="AJ132" s="462"/>
    </row>
    <row r="133" spans="1:59" x14ac:dyDescent="0.35">
      <c r="AA133" s="462"/>
      <c r="AB133" s="462"/>
      <c r="AC133" s="462"/>
      <c r="AD133" s="462"/>
      <c r="AE133" s="462"/>
      <c r="AF133" s="462"/>
      <c r="AG133" s="462"/>
      <c r="AH133" s="462"/>
      <c r="AI133" s="462"/>
      <c r="AJ133" s="462"/>
    </row>
  </sheetData>
  <mergeCells count="54">
    <mergeCell ref="BH7:BK7"/>
    <mergeCell ref="BM7:BO7"/>
    <mergeCell ref="BH1:BO1"/>
    <mergeCell ref="BF4:BF5"/>
    <mergeCell ref="BH4:BK4"/>
    <mergeCell ref="BM4:BO4"/>
    <mergeCell ref="BH5:BK5"/>
    <mergeCell ref="BM5:BO5"/>
    <mergeCell ref="F1:P1"/>
    <mergeCell ref="H4:J4"/>
    <mergeCell ref="L4:M4"/>
    <mergeCell ref="O4:P4"/>
    <mergeCell ref="R4:U4"/>
    <mergeCell ref="W4:Y4"/>
    <mergeCell ref="R1:Y1"/>
    <mergeCell ref="L5:M5"/>
    <mergeCell ref="AU4:AU5"/>
    <mergeCell ref="AL7:AO7"/>
    <mergeCell ref="AQ7:AS7"/>
    <mergeCell ref="AQ5:AS5"/>
    <mergeCell ref="AA1:AH1"/>
    <mergeCell ref="AL1:AS1"/>
    <mergeCell ref="AA4:AD4"/>
    <mergeCell ref="AF4:AH4"/>
    <mergeCell ref="AJ4:AJ5"/>
    <mergeCell ref="AL4:AO4"/>
    <mergeCell ref="AQ4:AS4"/>
    <mergeCell ref="O5:P5"/>
    <mergeCell ref="R5:U5"/>
    <mergeCell ref="W5:Y5"/>
    <mergeCell ref="AA5:AD5"/>
    <mergeCell ref="AF5:AH5"/>
    <mergeCell ref="AL5:AO5"/>
    <mergeCell ref="H7:I7"/>
    <mergeCell ref="J7:J8"/>
    <mergeCell ref="L7:M7"/>
    <mergeCell ref="O7:P7"/>
    <mergeCell ref="R7:U7"/>
    <mergeCell ref="W7:Y7"/>
    <mergeCell ref="H5:J5"/>
    <mergeCell ref="A32:A88"/>
    <mergeCell ref="A96:A113"/>
    <mergeCell ref="A131:P131"/>
    <mergeCell ref="AA7:AD7"/>
    <mergeCell ref="AF7:AH7"/>
    <mergeCell ref="A10:A30"/>
    <mergeCell ref="R10:S10"/>
    <mergeCell ref="AW7:AZ7"/>
    <mergeCell ref="BB7:BD7"/>
    <mergeCell ref="AW1:BD1"/>
    <mergeCell ref="AW4:AZ4"/>
    <mergeCell ref="BB4:BD4"/>
    <mergeCell ref="AW5:AZ5"/>
    <mergeCell ref="BB5:BD5"/>
  </mergeCells>
  <hyperlinks>
    <hyperlink ref="AC10" r:id="rId1" xr:uid="{00000000-0004-0000-1A00-000000000000}"/>
    <hyperlink ref="AN10" r:id="rId2" xr:uid="{00000000-0004-0000-1A00-000001000000}"/>
    <hyperlink ref="AQ9" r:id="rId3" xr:uid="{00000000-0004-0000-1A00-000002000000}"/>
    <hyperlink ref="AS9" r:id="rId4" xr:uid="{00000000-0004-0000-1A00-000003000000}"/>
    <hyperlink ref="AY10" r:id="rId5" xr:uid="{9017CDAF-E51F-46E2-B538-DACEFBBC337D}"/>
    <hyperlink ref="BB9" r:id="rId6" xr:uid="{51E856F1-4B1B-4332-90C5-56E59243CDD7}"/>
    <hyperlink ref="BD9" r:id="rId7" xr:uid="{4F8A6432-27B5-447F-B5AA-3FFDCAB2E12D}"/>
    <hyperlink ref="BJ10" r:id="rId8" xr:uid="{40726EB6-F6B0-4B2A-80B8-7C92DCB825AD}"/>
    <hyperlink ref="BM9" r:id="rId9" xr:uid="{489F6B34-3DEC-4B21-AFBC-EEE72C6C83D7}"/>
    <hyperlink ref="BO9" r:id="rId10" xr:uid="{B9D45931-CCA2-467F-A55A-328858A9440E}"/>
  </hyperlinks>
  <pageMargins left="0.23622047244094491" right="0.23622047244094491" top="0.35433070866141736" bottom="0.35433070866141736" header="0.31496062992125984" footer="0.31496062992125984"/>
  <pageSetup paperSize="9" scale="38" orientation="portrait" horizontalDpi="4294967293" r:id="rId11"/>
  <headerFooter>
    <oddFooter>&amp;R&amp;1#&amp;"Calibri"&amp;12&amp;K000000Official Use</oddFooter>
  </headerFooter>
  <legacyDrawing r:id="rId1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G130"/>
  <sheetViews>
    <sheetView topLeftCell="A70" zoomScale="85" zoomScaleNormal="85" workbookViewId="0">
      <pane xSplit="4" topLeftCell="AD1" activePane="topRight" state="frozen"/>
      <selection activeCell="A7" sqref="A7"/>
      <selection pane="topRight" activeCell="AK101" sqref="AK101"/>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235" customWidth="1"/>
    <col min="7" max="7" width="1.6328125" style="235" customWidth="1"/>
    <col min="8" max="9" width="21.6328125" style="254" customWidth="1"/>
    <col min="10" max="10" width="1.6328125" style="235" customWidth="1"/>
    <col min="11" max="12" width="21.6328125" style="254" customWidth="1"/>
    <col min="13" max="13" width="1.6328125" style="235" customWidth="1"/>
    <col min="14" max="14" width="21.6328125" style="1256" customWidth="1"/>
    <col min="15" max="15" width="21.6328125" style="254" customWidth="1"/>
    <col min="16" max="16" width="11.1796875" style="254" customWidth="1"/>
    <col min="17" max="17" width="9.6328125" style="254" customWidth="1"/>
    <col min="18" max="18" width="1.6328125" style="235" customWidth="1"/>
    <col min="19" max="19" width="14.6328125" style="1256" customWidth="1"/>
    <col min="20" max="20" width="14.453125" style="1256" customWidth="1"/>
    <col min="21" max="21" width="21.6328125" style="254" customWidth="1"/>
    <col min="22" max="22" width="1.6328125" style="1" customWidth="1"/>
    <col min="23" max="23" width="19.453125" style="1256" customWidth="1"/>
    <col min="24" max="25" width="19.453125" style="254" customWidth="1"/>
    <col min="26" max="26" width="1.1796875" style="235" customWidth="1"/>
    <col min="27" max="28" width="19.453125" style="1256" customWidth="1"/>
    <col min="29" max="29" width="19.453125" style="254" customWidth="1"/>
    <col min="30" max="30" width="1.6328125" style="1" customWidth="1"/>
    <col min="31" max="31" width="29.1796875" customWidth="1"/>
    <col min="32" max="32" width="1.6328125" style="1" customWidth="1"/>
    <col min="33" max="33" width="19.453125" style="1256" customWidth="1"/>
    <col min="34" max="35" width="19.453125" style="254" customWidth="1"/>
    <col min="36" max="36" width="1.1796875" style="235" customWidth="1"/>
    <col min="37" max="37" width="19.453125" style="1256" customWidth="1"/>
    <col min="38" max="38" width="14.453125" style="1256" customWidth="1"/>
    <col min="39" max="39" width="19.453125" style="254" customWidth="1"/>
    <col min="40" max="40" width="1.6328125" style="1" customWidth="1"/>
    <col min="41" max="41" width="34.81640625" customWidth="1"/>
    <col min="42" max="42" width="1.6328125" style="1" customWidth="1"/>
    <col min="43" max="43" width="19.453125" style="1256" customWidth="1"/>
    <col min="44" max="44" width="19.453125" style="254" customWidth="1"/>
    <col min="45" max="45" width="26.81640625" style="254" customWidth="1"/>
    <col min="46" max="46" width="1.1796875" style="235" customWidth="1"/>
    <col min="47" max="48" width="19.453125" style="1256" customWidth="1"/>
    <col min="49" max="49" width="19.453125" style="254" customWidth="1"/>
    <col min="50" max="50" width="1.6328125" style="1" customWidth="1"/>
    <col min="51" max="51" width="19.453125" style="1256" customWidth="1"/>
    <col min="52" max="52" width="19.453125" style="254" customWidth="1"/>
    <col min="53" max="53" width="26.81640625" style="254" customWidth="1"/>
    <col min="54" max="54" width="1.1796875" style="235" customWidth="1"/>
    <col min="55" max="56" width="19.453125" style="1256" customWidth="1"/>
    <col min="57" max="57" width="19.453125" style="254" customWidth="1"/>
    <col min="58" max="58" width="1.6328125" style="1" customWidth="1"/>
    <col min="59" max="59" width="25.36328125" customWidth="1"/>
  </cols>
  <sheetData>
    <row r="1" spans="1:59" s="470" customFormat="1" ht="31" x14ac:dyDescent="0.7">
      <c r="B1" s="1"/>
      <c r="C1" s="1"/>
      <c r="F1" s="9236" t="s">
        <v>823</v>
      </c>
      <c r="G1" s="9235"/>
      <c r="H1" s="9235"/>
      <c r="I1" s="9235"/>
      <c r="J1" s="9235"/>
      <c r="K1" s="9235"/>
      <c r="L1" s="9235"/>
      <c r="N1" s="9121" t="s">
        <v>824</v>
      </c>
      <c r="O1" s="9122"/>
      <c r="P1" s="9122"/>
      <c r="Q1" s="9122"/>
      <c r="R1" s="9122"/>
      <c r="S1" s="9122"/>
      <c r="T1" s="9122"/>
      <c r="U1" s="9123"/>
      <c r="W1" s="9464" t="s">
        <v>825</v>
      </c>
      <c r="X1" s="9465"/>
      <c r="Y1" s="9465"/>
      <c r="Z1" s="9465"/>
      <c r="AA1" s="9465"/>
      <c r="AB1" s="9465"/>
      <c r="AC1" s="9465"/>
      <c r="AD1" s="9465"/>
      <c r="AE1" s="9465"/>
      <c r="AG1" s="9466" t="s">
        <v>826</v>
      </c>
      <c r="AH1" s="9467"/>
      <c r="AI1" s="9467"/>
      <c r="AJ1" s="9467"/>
      <c r="AK1" s="9467"/>
      <c r="AL1" s="9467"/>
      <c r="AM1" s="9467"/>
      <c r="AN1" s="9467"/>
      <c r="AO1" s="9467"/>
      <c r="AQ1" s="9466" t="s">
        <v>827</v>
      </c>
      <c r="AR1" s="9467"/>
      <c r="AS1" s="9467"/>
      <c r="AT1" s="9467"/>
      <c r="AU1" s="9467"/>
      <c r="AV1" s="9467"/>
      <c r="AW1" s="9467"/>
      <c r="AX1" s="1"/>
      <c r="AY1" s="9412" t="s">
        <v>828</v>
      </c>
      <c r="AZ1" s="9413"/>
      <c r="BA1" s="9413"/>
      <c r="BB1" s="9413"/>
      <c r="BC1" s="9413"/>
      <c r="BD1" s="9413"/>
      <c r="BE1" s="9413"/>
      <c r="BG1" s="8914"/>
    </row>
    <row r="2" spans="1:59" ht="21" x14ac:dyDescent="0.5">
      <c r="B2" s="1" t="s">
        <v>829</v>
      </c>
      <c r="C2" s="4" t="s">
        <v>3787</v>
      </c>
    </row>
    <row r="4" spans="1:59" s="8" customFormat="1" ht="38" customHeight="1" x14ac:dyDescent="0.35">
      <c r="D4" s="471"/>
      <c r="F4" s="2663" t="s">
        <v>830</v>
      </c>
      <c r="G4" s="8355"/>
      <c r="H4" s="9458" t="s">
        <v>3788</v>
      </c>
      <c r="I4" s="9460"/>
      <c r="J4" s="8355"/>
      <c r="K4" s="9458" t="s">
        <v>832</v>
      </c>
      <c r="L4" s="9460"/>
      <c r="M4" s="8355"/>
      <c r="N4" s="9458" t="s">
        <v>833</v>
      </c>
      <c r="O4" s="9459"/>
      <c r="P4" s="9459"/>
      <c r="Q4" s="9460"/>
      <c r="R4" s="8355"/>
      <c r="S4" s="9458" t="s">
        <v>1289</v>
      </c>
      <c r="T4" s="9459"/>
      <c r="U4" s="9460"/>
      <c r="W4" s="9458" t="s">
        <v>833</v>
      </c>
      <c r="X4" s="9459"/>
      <c r="Y4" s="9460"/>
      <c r="Z4" s="8355"/>
      <c r="AA4" s="9458" t="s">
        <v>1289</v>
      </c>
      <c r="AB4" s="9459"/>
      <c r="AC4" s="9460"/>
      <c r="AE4" s="9180" t="s">
        <v>404</v>
      </c>
      <c r="AG4" s="9458" t="s">
        <v>833</v>
      </c>
      <c r="AH4" s="9459"/>
      <c r="AI4" s="9460"/>
      <c r="AJ4" s="8355"/>
      <c r="AK4" s="9458" t="s">
        <v>1289</v>
      </c>
      <c r="AL4" s="9459"/>
      <c r="AM4" s="9460"/>
      <c r="AO4" s="9180" t="s">
        <v>404</v>
      </c>
      <c r="AQ4" s="9458" t="s">
        <v>833</v>
      </c>
      <c r="AR4" s="9459"/>
      <c r="AS4" s="9460"/>
      <c r="AT4" s="8355"/>
      <c r="AU4" s="9458" t="s">
        <v>1289</v>
      </c>
      <c r="AV4" s="9459"/>
      <c r="AW4" s="9460"/>
      <c r="AY4" s="9458" t="s">
        <v>833</v>
      </c>
      <c r="AZ4" s="9459"/>
      <c r="BA4" s="9460"/>
      <c r="BB4" s="8355"/>
      <c r="BC4" s="9458" t="s">
        <v>1289</v>
      </c>
      <c r="BD4" s="9459"/>
      <c r="BE4" s="9460"/>
      <c r="BG4" s="9180" t="s">
        <v>404</v>
      </c>
    </row>
    <row r="5" spans="1:59" s="254" customFormat="1" x14ac:dyDescent="0.35">
      <c r="B5" s="235" t="s">
        <v>835</v>
      </c>
      <c r="C5" s="2664"/>
      <c r="D5" s="2665"/>
      <c r="E5" s="235"/>
      <c r="F5" s="2666">
        <v>2011</v>
      </c>
      <c r="G5" s="2667"/>
      <c r="H5" s="9461">
        <v>2014</v>
      </c>
      <c r="I5" s="9463"/>
      <c r="J5" s="2668"/>
      <c r="K5" s="9461">
        <v>2015</v>
      </c>
      <c r="L5" s="9463"/>
      <c r="M5" s="2668"/>
      <c r="N5" s="9461">
        <v>2015</v>
      </c>
      <c r="O5" s="9462"/>
      <c r="P5" s="9462"/>
      <c r="Q5" s="9463"/>
      <c r="R5" s="2668"/>
      <c r="S5" s="9461">
        <v>2016</v>
      </c>
      <c r="T5" s="9462"/>
      <c r="U5" s="9463"/>
      <c r="V5" s="2668"/>
      <c r="W5" s="9461">
        <v>2016</v>
      </c>
      <c r="X5" s="9462"/>
      <c r="Y5" s="9463"/>
      <c r="Z5" s="2668"/>
      <c r="AA5" s="9461">
        <v>2017</v>
      </c>
      <c r="AB5" s="9462"/>
      <c r="AC5" s="9463"/>
      <c r="AD5" s="235"/>
      <c r="AE5" s="9181"/>
      <c r="AF5" s="2668"/>
      <c r="AG5" s="9461">
        <v>2017</v>
      </c>
      <c r="AH5" s="9462"/>
      <c r="AI5" s="9463"/>
      <c r="AJ5" s="2668"/>
      <c r="AK5" s="9461">
        <v>2018</v>
      </c>
      <c r="AL5" s="9462"/>
      <c r="AM5" s="9463"/>
      <c r="AN5" s="235"/>
      <c r="AO5" s="9181"/>
      <c r="AP5" s="2668"/>
      <c r="AQ5" s="9461">
        <v>2018</v>
      </c>
      <c r="AR5" s="9462"/>
      <c r="AS5" s="9463"/>
      <c r="AT5" s="2668"/>
      <c r="AU5" s="9461">
        <v>2019</v>
      </c>
      <c r="AV5" s="9462"/>
      <c r="AW5" s="9463"/>
      <c r="AX5" s="235"/>
      <c r="AY5" s="9461">
        <v>2019</v>
      </c>
      <c r="AZ5" s="9462"/>
      <c r="BA5" s="9463"/>
      <c r="BB5" s="2668"/>
      <c r="BC5" s="9461">
        <v>2020</v>
      </c>
      <c r="BD5" s="9462"/>
      <c r="BE5" s="9463"/>
      <c r="BF5" s="235"/>
      <c r="BG5" s="9181"/>
    </row>
    <row r="6" spans="1:59" x14ac:dyDescent="0.35">
      <c r="C6"/>
      <c r="F6" s="253"/>
      <c r="H6" s="2669"/>
      <c r="K6" s="2669"/>
      <c r="AE6" s="6"/>
      <c r="AO6" s="6"/>
      <c r="BG6" s="6"/>
    </row>
    <row r="7" spans="1:59" ht="12.75" customHeight="1" x14ac:dyDescent="0.35">
      <c r="B7" s="1" t="s">
        <v>836</v>
      </c>
      <c r="C7" s="15" t="s">
        <v>3789</v>
      </c>
      <c r="D7" s="5" t="s">
        <v>417</v>
      </c>
      <c r="F7" s="2670"/>
      <c r="H7" s="9470" t="s">
        <v>3790</v>
      </c>
      <c r="I7" s="9470"/>
      <c r="K7" s="9470" t="s">
        <v>3790</v>
      </c>
      <c r="L7" s="9470"/>
      <c r="N7" s="9455" t="s">
        <v>3790</v>
      </c>
      <c r="O7" s="9456"/>
      <c r="P7" s="9456"/>
      <c r="Q7" s="9457"/>
      <c r="S7" s="9455" t="s">
        <v>3790</v>
      </c>
      <c r="T7" s="9456"/>
      <c r="U7" s="9457"/>
      <c r="W7" s="9455" t="s">
        <v>3790</v>
      </c>
      <c r="X7" s="9456"/>
      <c r="Y7" s="9457"/>
      <c r="AA7" s="9455" t="s">
        <v>3790</v>
      </c>
      <c r="AB7" s="9456"/>
      <c r="AC7" s="9457"/>
      <c r="AE7" s="18"/>
      <c r="AG7" s="9455" t="s">
        <v>3790</v>
      </c>
      <c r="AH7" s="9456"/>
      <c r="AI7" s="9457"/>
      <c r="AK7" s="9455" t="s">
        <v>3790</v>
      </c>
      <c r="AL7" s="9456"/>
      <c r="AM7" s="9457"/>
      <c r="AO7" s="18"/>
      <c r="AQ7" s="9455" t="s">
        <v>3790</v>
      </c>
      <c r="AR7" s="9456"/>
      <c r="AS7" s="9457"/>
      <c r="AU7" s="9455" t="s">
        <v>3790</v>
      </c>
      <c r="AV7" s="9456"/>
      <c r="AW7" s="9457"/>
      <c r="AY7" s="9455" t="s">
        <v>3790</v>
      </c>
      <c r="AZ7" s="9456"/>
      <c r="BA7" s="9457"/>
      <c r="BC7" s="9455" t="s">
        <v>3790</v>
      </c>
      <c r="BD7" s="9456"/>
      <c r="BE7" s="9457"/>
      <c r="BG7" s="18"/>
    </row>
    <row r="8" spans="1:59" x14ac:dyDescent="0.35">
      <c r="B8" s="1" t="s">
        <v>841</v>
      </c>
      <c r="C8" s="19" t="s">
        <v>842</v>
      </c>
      <c r="F8" s="2671" t="s">
        <v>843</v>
      </c>
      <c r="H8" s="2672" t="s">
        <v>844</v>
      </c>
      <c r="I8" s="2671" t="s">
        <v>843</v>
      </c>
      <c r="K8" s="2672" t="s">
        <v>844</v>
      </c>
      <c r="L8" s="2671" t="s">
        <v>843</v>
      </c>
      <c r="N8" s="2673" t="s">
        <v>424</v>
      </c>
      <c r="O8" s="2674" t="s">
        <v>845</v>
      </c>
      <c r="P8" s="2674" t="s">
        <v>846</v>
      </c>
      <c r="Q8" s="2674"/>
      <c r="R8" s="2675"/>
      <c r="S8" s="2673" t="s">
        <v>424</v>
      </c>
      <c r="T8" s="2673" t="s">
        <v>846</v>
      </c>
      <c r="U8" s="720" t="s">
        <v>1373</v>
      </c>
      <c r="W8" s="2673" t="s">
        <v>424</v>
      </c>
      <c r="X8" s="2674" t="s">
        <v>845</v>
      </c>
      <c r="Y8" s="2674" t="s">
        <v>846</v>
      </c>
      <c r="Z8" s="2675"/>
      <c r="AA8" s="2673" t="s">
        <v>424</v>
      </c>
      <c r="AB8" s="2673" t="s">
        <v>846</v>
      </c>
      <c r="AC8" s="720" t="s">
        <v>1373</v>
      </c>
      <c r="AE8" s="24"/>
      <c r="AG8" s="2673" t="s">
        <v>424</v>
      </c>
      <c r="AH8" s="2674" t="s">
        <v>845</v>
      </c>
      <c r="AI8" s="2674" t="s">
        <v>846</v>
      </c>
      <c r="AJ8" s="2675"/>
      <c r="AK8" s="2673" t="s">
        <v>424</v>
      </c>
      <c r="AL8" s="2673" t="s">
        <v>846</v>
      </c>
      <c r="AM8" s="720" t="s">
        <v>1373</v>
      </c>
      <c r="AO8" s="24"/>
      <c r="AQ8" s="2673" t="s">
        <v>424</v>
      </c>
      <c r="AR8" s="2674" t="s">
        <v>845</v>
      </c>
      <c r="AS8" s="2674" t="s">
        <v>846</v>
      </c>
      <c r="AT8" s="2675"/>
      <c r="AU8" s="2673" t="s">
        <v>424</v>
      </c>
      <c r="AV8" s="2673" t="s">
        <v>846</v>
      </c>
      <c r="AW8" s="720" t="s">
        <v>1373</v>
      </c>
      <c r="AY8" s="2673" t="s">
        <v>424</v>
      </c>
      <c r="AZ8" s="2674" t="s">
        <v>845</v>
      </c>
      <c r="BA8" s="2674" t="s">
        <v>846</v>
      </c>
      <c r="BB8" s="2675"/>
      <c r="BC8" s="2673" t="s">
        <v>424</v>
      </c>
      <c r="BD8" s="2673" t="s">
        <v>846</v>
      </c>
      <c r="BE8" s="720" t="s">
        <v>1373</v>
      </c>
      <c r="BG8" s="24"/>
    </row>
    <row r="9" spans="1:59" ht="14.5" customHeight="1" x14ac:dyDescent="0.35">
      <c r="C9"/>
      <c r="E9"/>
      <c r="F9" s="254"/>
      <c r="G9" s="254"/>
      <c r="J9" s="254"/>
      <c r="M9" s="254"/>
      <c r="N9" s="2676"/>
      <c r="O9" s="1686"/>
      <c r="P9" s="1686"/>
      <c r="Q9" s="1686"/>
      <c r="R9" s="1686"/>
      <c r="S9" s="2676"/>
      <c r="T9" s="2676"/>
      <c r="V9"/>
      <c r="W9" s="2676"/>
      <c r="X9" s="1686"/>
      <c r="Y9" s="1686"/>
      <c r="Z9" s="1686"/>
      <c r="AA9" s="2676"/>
      <c r="AB9" s="2676"/>
      <c r="AD9"/>
      <c r="AF9"/>
      <c r="AG9" s="2676"/>
      <c r="AH9" s="8915" t="s">
        <v>3791</v>
      </c>
      <c r="AI9" s="1686"/>
      <c r="AJ9" s="1686"/>
      <c r="AK9" s="2678"/>
      <c r="AL9" s="2676"/>
      <c r="AM9" s="2677" t="s">
        <v>3792</v>
      </c>
      <c r="AN9"/>
      <c r="AP9"/>
      <c r="AQ9" s="2676"/>
      <c r="AR9" s="7246" t="s">
        <v>3793</v>
      </c>
      <c r="AS9" s="7247" t="s">
        <v>3793</v>
      </c>
      <c r="AT9" s="1686"/>
      <c r="AU9" s="7248"/>
      <c r="AV9" s="2676" t="s">
        <v>3793</v>
      </c>
      <c r="AW9" s="7249" t="s">
        <v>3793</v>
      </c>
      <c r="AX9"/>
      <c r="AY9" s="2676"/>
      <c r="AZ9" s="7246" t="s">
        <v>3793</v>
      </c>
      <c r="BA9" s="7247" t="s">
        <v>3793</v>
      </c>
      <c r="BB9" s="1686"/>
      <c r="BC9" s="7248"/>
      <c r="BD9" s="2676" t="s">
        <v>3793</v>
      </c>
      <c r="BE9" s="7249" t="s">
        <v>3793</v>
      </c>
      <c r="BF9"/>
    </row>
    <row r="10" spans="1:59" ht="33.25" customHeight="1" x14ac:dyDescent="0.35">
      <c r="A10" s="9167" t="s">
        <v>854</v>
      </c>
      <c r="B10" s="27"/>
      <c r="C10" s="28" t="s">
        <v>427</v>
      </c>
      <c r="D10" s="29" t="s">
        <v>428</v>
      </c>
      <c r="E10" s="30"/>
      <c r="F10" s="2679" t="s">
        <v>1126</v>
      </c>
      <c r="G10" s="2680"/>
      <c r="H10" s="2679"/>
      <c r="I10" s="2679"/>
      <c r="J10" s="2681"/>
      <c r="K10" s="2679"/>
      <c r="L10" s="2679"/>
      <c r="M10" s="2681"/>
      <c r="N10" s="2682" t="s">
        <v>2470</v>
      </c>
      <c r="O10" s="2683"/>
      <c r="P10" s="2684"/>
      <c r="Q10" s="2684"/>
      <c r="R10" s="2685"/>
      <c r="S10" s="2682" t="s">
        <v>2470</v>
      </c>
      <c r="T10" s="2686"/>
      <c r="U10" s="2687"/>
      <c r="V10" s="33"/>
      <c r="W10" s="2683" t="s">
        <v>3794</v>
      </c>
      <c r="X10" s="2683" t="s">
        <v>3795</v>
      </c>
      <c r="Y10" s="2688" t="s">
        <v>3796</v>
      </c>
      <c r="Z10" s="2685"/>
      <c r="AA10" s="2687" t="s">
        <v>3794</v>
      </c>
      <c r="AB10" s="2688" t="s">
        <v>3796</v>
      </c>
      <c r="AC10" s="2687" t="s">
        <v>3794</v>
      </c>
      <c r="AD10" s="33"/>
      <c r="AE10" s="39"/>
      <c r="AF10" s="33"/>
      <c r="AG10" s="2683" t="s">
        <v>3797</v>
      </c>
      <c r="AH10" s="2683" t="s">
        <v>3798</v>
      </c>
      <c r="AI10" s="652"/>
      <c r="AJ10" s="2685"/>
      <c r="AK10" s="2689" t="s">
        <v>3799</v>
      </c>
      <c r="AL10" s="2688" t="s">
        <v>3800</v>
      </c>
      <c r="AM10" s="2687" t="s">
        <v>3794</v>
      </c>
      <c r="AN10" s="33"/>
      <c r="AO10" s="39"/>
      <c r="AP10" s="33"/>
      <c r="AQ10" s="2683" t="s">
        <v>3799</v>
      </c>
      <c r="AR10" s="2683" t="s">
        <v>3801</v>
      </c>
      <c r="AS10" s="7250"/>
      <c r="AT10" s="2685"/>
      <c r="AU10" s="2689" t="s">
        <v>3802</v>
      </c>
      <c r="AV10" s="2688"/>
      <c r="AW10" s="2687"/>
      <c r="AX10" s="33"/>
      <c r="AY10" s="2683" t="s">
        <v>3802</v>
      </c>
      <c r="AZ10" s="2683" t="s">
        <v>3803</v>
      </c>
      <c r="BA10" s="7250"/>
      <c r="BB10" s="2685"/>
      <c r="BC10" s="8891" t="s">
        <v>3804</v>
      </c>
      <c r="BD10" s="2688"/>
      <c r="BE10" s="2687" t="s">
        <v>3805</v>
      </c>
      <c r="BF10" s="33"/>
      <c r="BG10" s="39"/>
    </row>
    <row r="11" spans="1:59" ht="12.75" customHeight="1" x14ac:dyDescent="0.35">
      <c r="A11" s="9168"/>
      <c r="B11" s="40" t="s">
        <v>870</v>
      </c>
      <c r="C11" s="41"/>
      <c r="D11" s="42"/>
      <c r="E11" s="43"/>
      <c r="F11" s="2690"/>
      <c r="G11" s="254"/>
      <c r="H11" s="2691"/>
      <c r="I11" s="2692"/>
      <c r="J11" s="2693"/>
      <c r="K11" s="2691"/>
      <c r="L11" s="2694"/>
      <c r="M11" s="2693"/>
      <c r="N11" s="2695"/>
      <c r="O11" s="2696"/>
      <c r="P11" s="2697"/>
      <c r="Q11" s="1689"/>
      <c r="R11" s="2698"/>
      <c r="S11" s="2699"/>
      <c r="T11" s="2700"/>
      <c r="U11" s="1995"/>
      <c r="V11" s="50"/>
      <c r="W11" s="2701" t="s">
        <v>1844</v>
      </c>
      <c r="X11" s="2702" t="s">
        <v>3806</v>
      </c>
      <c r="Y11" s="1692"/>
      <c r="Z11" s="2703"/>
      <c r="AA11" s="2689" t="s">
        <v>3797</v>
      </c>
      <c r="AB11" s="2704"/>
      <c r="AC11" s="2705" t="s">
        <v>3807</v>
      </c>
      <c r="AD11" s="43"/>
      <c r="AE11" s="18"/>
      <c r="AF11" s="50"/>
      <c r="AG11" s="2689" t="s">
        <v>3797</v>
      </c>
      <c r="AH11" s="2702" t="s">
        <v>3798</v>
      </c>
      <c r="AI11" s="1692"/>
      <c r="AJ11" s="2703"/>
      <c r="AK11" s="2689" t="s">
        <v>3799</v>
      </c>
      <c r="AL11" s="2704"/>
      <c r="AM11" s="2705" t="s">
        <v>3808</v>
      </c>
      <c r="AN11" s="43"/>
      <c r="AO11" s="18"/>
      <c r="AP11" s="50"/>
      <c r="AQ11" s="2689" t="s">
        <v>3799</v>
      </c>
      <c r="AR11" s="2702" t="s">
        <v>3801</v>
      </c>
      <c r="AS11" s="1692"/>
      <c r="AT11" s="2703"/>
      <c r="AU11" s="2689" t="s">
        <v>3802</v>
      </c>
      <c r="AV11" s="2704"/>
      <c r="AW11" s="2705" t="s">
        <v>3809</v>
      </c>
      <c r="AX11" s="43"/>
      <c r="AY11" s="2689" t="s">
        <v>3802</v>
      </c>
      <c r="AZ11" s="2702" t="s">
        <v>3801</v>
      </c>
      <c r="BA11" s="1692"/>
      <c r="BB11" s="2703"/>
      <c r="BC11" s="2689" t="s">
        <v>3804</v>
      </c>
      <c r="BD11" s="2704"/>
      <c r="BE11" s="2705" t="s">
        <v>3810</v>
      </c>
      <c r="BF11" s="43"/>
      <c r="BG11" s="7251" t="s">
        <v>3811</v>
      </c>
    </row>
    <row r="12" spans="1:59" x14ac:dyDescent="0.35">
      <c r="A12" s="9168"/>
      <c r="B12" s="58"/>
      <c r="C12" s="59" t="s">
        <v>872</v>
      </c>
      <c r="D12" s="60"/>
      <c r="F12" s="2706"/>
      <c r="G12" s="1112"/>
      <c r="H12" s="2707"/>
      <c r="I12" s="2708"/>
      <c r="J12" s="2709"/>
      <c r="K12" s="2707"/>
      <c r="L12" s="2710"/>
      <c r="M12" s="2709"/>
      <c r="N12" s="2711">
        <f>N14-N13</f>
        <v>441816</v>
      </c>
      <c r="O12" s="2712"/>
      <c r="P12" s="2675" t="s">
        <v>3812</v>
      </c>
      <c r="Q12" s="1692"/>
      <c r="R12" s="2713"/>
      <c r="S12" s="2711">
        <f>S14-S13</f>
        <v>438247</v>
      </c>
      <c r="T12" s="2714" t="s">
        <v>3812</v>
      </c>
      <c r="U12" s="2715"/>
      <c r="V12" s="67"/>
      <c r="W12" s="2711">
        <f>W14-W13</f>
        <v>454960</v>
      </c>
      <c r="X12" s="2712">
        <f>X14-X13</f>
        <v>429970</v>
      </c>
      <c r="Y12" s="2716" t="s">
        <v>1827</v>
      </c>
      <c r="Z12" s="2717"/>
      <c r="AA12" s="2718">
        <f>AA14-AA13</f>
        <v>477680</v>
      </c>
      <c r="AB12" s="2719" t="s">
        <v>1827</v>
      </c>
      <c r="AC12" s="2720">
        <f>AC14-AC13</f>
        <v>476180</v>
      </c>
      <c r="AE12" s="26"/>
      <c r="AF12" s="67"/>
      <c r="AG12" s="2711">
        <f>AG14-AG13</f>
        <v>477680</v>
      </c>
      <c r="AH12" s="2712">
        <f>AH14-AH13</f>
        <v>476180</v>
      </c>
      <c r="AI12" s="2716"/>
      <c r="AJ12" s="2717"/>
      <c r="AK12" s="2718">
        <f>AK14-AK13</f>
        <v>529300</v>
      </c>
      <c r="AL12" s="2719"/>
      <c r="AM12" s="2720">
        <f>AM14-AM13</f>
        <v>524820</v>
      </c>
      <c r="AO12" s="26"/>
      <c r="AP12" s="67"/>
      <c r="AQ12" s="2711">
        <f>AQ14-AQ13</f>
        <v>52930</v>
      </c>
      <c r="AR12" s="7252">
        <f>AR14-AR13</f>
        <v>44537</v>
      </c>
      <c r="AS12" s="2716"/>
      <c r="AT12" s="2717"/>
      <c r="AU12" s="7253">
        <f>AU14-AU13</f>
        <v>53544</v>
      </c>
      <c r="AV12" s="2721"/>
      <c r="AW12" s="2720">
        <f>AW14-AW13</f>
        <v>53195</v>
      </c>
      <c r="AY12" s="2711">
        <f>AY14-AY13</f>
        <v>53544</v>
      </c>
      <c r="AZ12" s="8892">
        <f>AZ14-AZ13</f>
        <v>53195</v>
      </c>
      <c r="BA12" s="8893"/>
      <c r="BB12" s="8894"/>
      <c r="BC12" s="2718">
        <f>BC14-BC13</f>
        <v>50212</v>
      </c>
      <c r="BD12" s="2721"/>
      <c r="BE12" s="8895">
        <f>BE14-BE13</f>
        <v>48326.181818181816</v>
      </c>
      <c r="BG12" s="26"/>
    </row>
    <row r="13" spans="1:59" x14ac:dyDescent="0.35">
      <c r="A13" s="9168"/>
      <c r="B13" s="58"/>
      <c r="C13" s="59" t="s">
        <v>878</v>
      </c>
      <c r="D13" s="60"/>
      <c r="F13" s="2706"/>
      <c r="G13" s="1112"/>
      <c r="H13" s="2707"/>
      <c r="I13" s="2708"/>
      <c r="J13" s="2709"/>
      <c r="K13" s="2707"/>
      <c r="L13" s="2710"/>
      <c r="M13" s="2709"/>
      <c r="N13" s="2711">
        <f>20732+100</f>
        <v>20832</v>
      </c>
      <c r="O13" s="2712"/>
      <c r="P13" s="1686"/>
      <c r="Q13" s="1692"/>
      <c r="R13" s="2713"/>
      <c r="S13" s="2711">
        <f>3746+100</f>
        <v>3846</v>
      </c>
      <c r="T13" s="2714"/>
      <c r="U13" s="2715"/>
      <c r="V13" s="67"/>
      <c r="W13" s="2711">
        <v>40180</v>
      </c>
      <c r="X13" s="2712">
        <v>31290</v>
      </c>
      <c r="Y13" s="1692"/>
      <c r="Z13" s="2717"/>
      <c r="AA13" s="2718">
        <v>11660</v>
      </c>
      <c r="AB13" s="2721"/>
      <c r="AC13" s="2720">
        <v>17150</v>
      </c>
      <c r="AE13" s="26"/>
      <c r="AF13" s="67"/>
      <c r="AG13" s="2711">
        <v>11660</v>
      </c>
      <c r="AH13" s="2712">
        <v>17150</v>
      </c>
      <c r="AI13" s="1692"/>
      <c r="AJ13" s="2717"/>
      <c r="AK13" s="2718">
        <v>14000</v>
      </c>
      <c r="AL13" s="2721"/>
      <c r="AM13" s="2720">
        <v>12200</v>
      </c>
      <c r="AO13" s="26"/>
      <c r="AP13" s="67"/>
      <c r="AQ13" s="2711">
        <f>14000/10</f>
        <v>1400</v>
      </c>
      <c r="AR13" s="7252">
        <f>12200</f>
        <v>12200</v>
      </c>
      <c r="AS13" s="1692"/>
      <c r="AT13" s="2717"/>
      <c r="AU13" s="2943">
        <f>28730/10</f>
        <v>2873</v>
      </c>
      <c r="AV13" s="2753" t="s">
        <v>3813</v>
      </c>
      <c r="AW13" s="2720">
        <f>44280/10</f>
        <v>4428</v>
      </c>
      <c r="AY13" s="2711">
        <v>2873</v>
      </c>
      <c r="AZ13" s="8892">
        <v>4428</v>
      </c>
      <c r="BA13" s="8893" t="s">
        <v>3814</v>
      </c>
      <c r="BB13" s="8894"/>
      <c r="BC13" s="8896">
        <v>4813</v>
      </c>
      <c r="BD13" s="2753"/>
      <c r="BE13" s="8895">
        <f>5068*12/11</f>
        <v>5528.727272727273</v>
      </c>
      <c r="BG13" s="26"/>
    </row>
    <row r="14" spans="1:59" x14ac:dyDescent="0.35">
      <c r="A14" s="9168"/>
      <c r="B14" s="85"/>
      <c r="C14" s="86" t="s">
        <v>882</v>
      </c>
      <c r="D14" s="87"/>
      <c r="F14" s="2722"/>
      <c r="G14" s="1112"/>
      <c r="H14" s="2723">
        <f>SUM(H12:H13)</f>
        <v>0</v>
      </c>
      <c r="I14" s="2724">
        <f>SUM(I12:I13)</f>
        <v>0</v>
      </c>
      <c r="J14" s="2709"/>
      <c r="K14" s="2723">
        <f>SUM(K12:K13)</f>
        <v>0</v>
      </c>
      <c r="L14" s="2725">
        <f>SUM(L12:L13)</f>
        <v>0</v>
      </c>
      <c r="M14" s="2709"/>
      <c r="N14" s="2726">
        <v>462648</v>
      </c>
      <c r="O14" s="2727"/>
      <c r="P14" s="2728"/>
      <c r="Q14" s="1697"/>
      <c r="R14" s="2713"/>
      <c r="S14" s="2726">
        <v>442093</v>
      </c>
      <c r="T14" s="2729"/>
      <c r="U14" s="2730"/>
      <c r="V14" s="67"/>
      <c r="W14" s="2726">
        <v>495140</v>
      </c>
      <c r="X14" s="2727">
        <v>461260</v>
      </c>
      <c r="Y14" s="1697"/>
      <c r="Z14" s="2717"/>
      <c r="AA14" s="2731">
        <v>489340</v>
      </c>
      <c r="AB14" s="2732"/>
      <c r="AC14" s="2733">
        <v>493330</v>
      </c>
      <c r="AE14" s="24"/>
      <c r="AF14" s="67"/>
      <c r="AG14" s="2731">
        <v>489340</v>
      </c>
      <c r="AH14" s="2727">
        <v>493330</v>
      </c>
      <c r="AI14" s="1697"/>
      <c r="AJ14" s="2717"/>
      <c r="AK14" s="2731">
        <v>543300</v>
      </c>
      <c r="AL14" s="2732"/>
      <c r="AM14" s="2733">
        <v>537020</v>
      </c>
      <c r="AO14" s="24"/>
      <c r="AP14" s="67"/>
      <c r="AQ14" s="2726">
        <f>543300/10</f>
        <v>54330</v>
      </c>
      <c r="AR14" s="7254">
        <f>56737</f>
        <v>56737</v>
      </c>
      <c r="AS14" s="1697"/>
      <c r="AT14" s="2717"/>
      <c r="AU14" s="7255">
        <f>564170/10</f>
        <v>56417</v>
      </c>
      <c r="AV14" s="2753" t="s">
        <v>3815</v>
      </c>
      <c r="AW14" s="7256">
        <f>576230/10</f>
        <v>57623</v>
      </c>
      <c r="AY14" s="2726">
        <v>56417</v>
      </c>
      <c r="AZ14" s="8897">
        <v>57623</v>
      </c>
      <c r="BA14" s="8898" t="s">
        <v>3816</v>
      </c>
      <c r="BB14" s="8894"/>
      <c r="BC14" s="8899">
        <v>55025</v>
      </c>
      <c r="BD14" s="2753"/>
      <c r="BE14" s="6309">
        <f>49367*12/11</f>
        <v>53854.909090909088</v>
      </c>
      <c r="BG14" s="24"/>
    </row>
    <row r="15" spans="1:59" x14ac:dyDescent="0.35">
      <c r="A15" s="9168"/>
      <c r="B15" s="100" t="s">
        <v>883</v>
      </c>
      <c r="C15" s="49"/>
      <c r="D15" s="42"/>
      <c r="E15" s="43"/>
      <c r="F15" s="101"/>
      <c r="G15" s="254"/>
      <c r="H15" s="102"/>
      <c r="I15" s="105"/>
      <c r="J15" s="2734"/>
      <c r="K15" s="102"/>
      <c r="L15" s="105"/>
      <c r="M15" s="2734"/>
      <c r="N15" s="2735"/>
      <c r="O15" s="2736"/>
      <c r="P15" s="2697"/>
      <c r="Q15" s="1689"/>
      <c r="R15" s="2703"/>
      <c r="S15" s="2737"/>
      <c r="T15" s="2738"/>
      <c r="U15" s="105"/>
      <c r="V15" s="43"/>
      <c r="W15" s="2739"/>
      <c r="X15" s="2740"/>
      <c r="Y15" s="1692"/>
      <c r="Z15" s="2703"/>
      <c r="AA15" s="2689" t="s">
        <v>3797</v>
      </c>
      <c r="AB15" s="2741"/>
      <c r="AC15" s="2742" t="s">
        <v>3807</v>
      </c>
      <c r="AD15" s="43"/>
      <c r="AE15" s="18"/>
      <c r="AF15" s="43"/>
      <c r="AG15" s="2739"/>
      <c r="AH15" s="2740"/>
      <c r="AI15" s="1692"/>
      <c r="AJ15" s="2703"/>
      <c r="AK15" s="2689" t="s">
        <v>3797</v>
      </c>
      <c r="AL15" s="2741"/>
      <c r="AM15" s="2742" t="s">
        <v>3807</v>
      </c>
      <c r="AN15" s="43"/>
      <c r="AO15" s="18"/>
      <c r="AP15" s="43"/>
      <c r="AQ15" s="2689" t="s">
        <v>3799</v>
      </c>
      <c r="AR15" s="2740"/>
      <c r="AS15" s="1692"/>
      <c r="AT15" s="2703"/>
      <c r="AU15" s="2689" t="s">
        <v>3802</v>
      </c>
      <c r="AV15" s="2828"/>
      <c r="AW15" s="2705" t="s">
        <v>3809</v>
      </c>
      <c r="AX15" s="43"/>
      <c r="AY15" s="2689"/>
      <c r="AZ15" s="8900"/>
      <c r="BA15" s="8901"/>
      <c r="BB15" s="8902"/>
      <c r="BC15" s="2689"/>
      <c r="BD15" s="2828"/>
      <c r="BE15" s="2705"/>
      <c r="BF15" s="43"/>
      <c r="BG15" s="18"/>
    </row>
    <row r="16" spans="1:59" x14ac:dyDescent="0.35">
      <c r="A16" s="9168"/>
      <c r="B16" s="6082"/>
      <c r="C16" s="110" t="s">
        <v>885</v>
      </c>
      <c r="D16" s="60"/>
      <c r="F16" s="2743"/>
      <c r="G16" s="1112"/>
      <c r="H16" s="2744"/>
      <c r="I16" s="2745"/>
      <c r="J16" s="2746"/>
      <c r="K16" s="2747"/>
      <c r="L16" s="2745"/>
      <c r="M16" s="2746"/>
      <c r="N16" s="2748">
        <v>264143.038</v>
      </c>
      <c r="O16" s="2749"/>
      <c r="P16" s="2750" t="s">
        <v>3817</v>
      </c>
      <c r="Q16" s="1692"/>
      <c r="R16" s="2717"/>
      <c r="S16" s="2748">
        <v>257976.008</v>
      </c>
      <c r="T16" s="2751"/>
      <c r="U16" s="2745"/>
      <c r="W16" s="2748">
        <f>278390-W20</f>
        <v>261190</v>
      </c>
      <c r="X16" s="2749">
        <f>276450-X20</f>
        <v>259030</v>
      </c>
      <c r="Y16" s="2752"/>
      <c r="Z16" s="2717"/>
      <c r="AA16" s="2748">
        <f>290600-AA20</f>
        <v>272600</v>
      </c>
      <c r="AB16" s="2753"/>
      <c r="AC16" s="2754">
        <f>300370-AC20</f>
        <v>278110</v>
      </c>
      <c r="AE16" s="26"/>
      <c r="AG16" s="2748">
        <f>290600-AG20</f>
        <v>272600</v>
      </c>
      <c r="AH16" s="2749">
        <f>300370-AH20</f>
        <v>278110</v>
      </c>
      <c r="AI16" s="2752"/>
      <c r="AJ16" s="2717"/>
      <c r="AK16" s="2748">
        <f>312800-AK20</f>
        <v>286300</v>
      </c>
      <c r="AL16" s="2753"/>
      <c r="AM16" s="2754">
        <f>336580-AM20</f>
        <v>305990</v>
      </c>
      <c r="AO16" s="26"/>
      <c r="AQ16" s="2748">
        <f>(312800/10)-AQ20</f>
        <v>28630</v>
      </c>
      <c r="AR16" s="2751">
        <f>(336580/10)-AR20</f>
        <v>30599</v>
      </c>
      <c r="AS16" s="2752"/>
      <c r="AT16" s="2717"/>
      <c r="AU16" s="2748">
        <f>(330510/10)-AU20</f>
        <v>29975</v>
      </c>
      <c r="AV16" s="2753"/>
      <c r="AW16" s="2754">
        <f>(324690/10)-AW20</f>
        <v>29825</v>
      </c>
      <c r="AY16" s="2748">
        <f>33051-AY20</f>
        <v>29975</v>
      </c>
      <c r="AZ16" s="2751">
        <f>32469-AZ20</f>
        <v>29825</v>
      </c>
      <c r="BA16" s="8903"/>
      <c r="BB16" s="8894"/>
      <c r="BC16" s="2748">
        <f>45320-BC20</f>
        <v>43020</v>
      </c>
      <c r="BD16" s="2753"/>
      <c r="BE16" s="2856">
        <f>26895*12/11-BE20</f>
        <v>27032.727272727272</v>
      </c>
      <c r="BG16" s="26"/>
    </row>
    <row r="17" spans="1:59" x14ac:dyDescent="0.35">
      <c r="A17" s="9168"/>
      <c r="B17" s="6082"/>
      <c r="C17" s="110" t="s">
        <v>3818</v>
      </c>
      <c r="D17" s="60"/>
      <c r="F17" s="2743"/>
      <c r="G17" s="1112"/>
      <c r="H17" s="2744"/>
      <c r="I17" s="2745"/>
      <c r="J17" s="2746"/>
      <c r="K17" s="2755"/>
      <c r="L17" s="2745"/>
      <c r="M17" s="2746"/>
      <c r="N17" s="2748">
        <f>101000+30100</f>
        <v>131100</v>
      </c>
      <c r="O17" s="2749"/>
      <c r="P17" s="1686"/>
      <c r="Q17" s="1692"/>
      <c r="R17" s="2717"/>
      <c r="S17" s="2748">
        <f>124254.65+18100</f>
        <v>142354.65</v>
      </c>
      <c r="T17" s="2751"/>
      <c r="U17" s="2745"/>
      <c r="W17" s="2748"/>
      <c r="X17" s="2749"/>
      <c r="Y17" s="1692"/>
      <c r="Z17" s="2717"/>
      <c r="AA17" s="2748"/>
      <c r="AB17" s="2753"/>
      <c r="AC17" s="2754"/>
      <c r="AE17" s="26"/>
      <c r="AG17" s="2748"/>
      <c r="AH17" s="2749"/>
      <c r="AI17" s="1692"/>
      <c r="AJ17" s="2717"/>
      <c r="AK17" s="2748"/>
      <c r="AL17" s="2753"/>
      <c r="AM17" s="2754"/>
      <c r="AO17" s="26"/>
      <c r="AQ17" s="2748"/>
      <c r="AR17" s="2749"/>
      <c r="AS17" s="1692"/>
      <c r="AT17" s="2717"/>
      <c r="AU17" s="2748"/>
      <c r="AV17" s="2753"/>
      <c r="AW17" s="2754"/>
      <c r="AY17" s="2748"/>
      <c r="AZ17" s="2751"/>
      <c r="BA17" s="8901"/>
      <c r="BB17" s="8894"/>
      <c r="BC17" s="2748"/>
      <c r="BD17" s="2753"/>
      <c r="BE17" s="2856"/>
      <c r="BG17" s="26"/>
    </row>
    <row r="18" spans="1:59" x14ac:dyDescent="0.35">
      <c r="A18" s="9168"/>
      <c r="B18" s="6082"/>
      <c r="C18" s="121" t="s">
        <v>3819</v>
      </c>
      <c r="D18" s="60"/>
      <c r="F18" s="2756"/>
      <c r="G18" s="1112"/>
      <c r="H18" s="2744"/>
      <c r="I18" s="2745"/>
      <c r="J18" s="2746"/>
      <c r="K18" s="2757"/>
      <c r="L18" s="2745"/>
      <c r="M18" s="2746"/>
      <c r="N18" s="2758"/>
      <c r="O18" s="2759"/>
      <c r="P18" s="1686"/>
      <c r="Q18" s="1692"/>
      <c r="R18" s="2717"/>
      <c r="S18" s="2758"/>
      <c r="T18" s="2760"/>
      <c r="U18" s="2745"/>
      <c r="W18" s="2748">
        <v>142250</v>
      </c>
      <c r="X18" s="2749">
        <v>149130</v>
      </c>
      <c r="Y18" s="1692"/>
      <c r="Z18" s="2717"/>
      <c r="AA18" s="2758">
        <v>146700</v>
      </c>
      <c r="AB18" s="2753"/>
      <c r="AC18" s="2754">
        <v>154300</v>
      </c>
      <c r="AE18" s="26"/>
      <c r="AG18" s="2748">
        <v>146700</v>
      </c>
      <c r="AH18" s="2749">
        <v>154300</v>
      </c>
      <c r="AI18" s="1692"/>
      <c r="AJ18" s="2717"/>
      <c r="AK18" s="2758">
        <v>153700</v>
      </c>
      <c r="AL18" s="2753"/>
      <c r="AM18" s="2754">
        <v>139710</v>
      </c>
      <c r="AO18" s="26"/>
      <c r="AQ18" s="2758">
        <f>153700/10</f>
        <v>15370</v>
      </c>
      <c r="AR18" s="2760">
        <f>139710/10</f>
        <v>13971</v>
      </c>
      <c r="AS18" s="1692"/>
      <c r="AT18" s="2717"/>
      <c r="AU18" s="2748">
        <f>151690/10</f>
        <v>15169</v>
      </c>
      <c r="AV18" s="2753"/>
      <c r="AW18" s="2754">
        <f>151970/10</f>
        <v>15197</v>
      </c>
      <c r="AY18" s="2758">
        <v>15169</v>
      </c>
      <c r="AZ18" s="2760">
        <v>15197</v>
      </c>
      <c r="BA18" s="8901"/>
      <c r="BB18" s="8894"/>
      <c r="BC18" s="2748">
        <v>18163</v>
      </c>
      <c r="BD18" s="2753"/>
      <c r="BE18" s="2856">
        <f>10259*12/11</f>
        <v>11191.636363636364</v>
      </c>
      <c r="BG18" s="26"/>
    </row>
    <row r="19" spans="1:59" x14ac:dyDescent="0.35">
      <c r="A19" s="9168"/>
      <c r="B19" s="6082"/>
      <c r="C19" s="121" t="s">
        <v>3820</v>
      </c>
      <c r="D19" s="60"/>
      <c r="F19" s="2756"/>
      <c r="G19" s="1112"/>
      <c r="H19" s="2744"/>
      <c r="I19" s="2745"/>
      <c r="J19" s="2746"/>
      <c r="K19" s="2757"/>
      <c r="L19" s="2745"/>
      <c r="M19" s="2746"/>
      <c r="N19" s="2758"/>
      <c r="O19" s="2759"/>
      <c r="P19" s="1686"/>
      <c r="Q19" s="1692"/>
      <c r="R19" s="2717"/>
      <c r="S19" s="2758"/>
      <c r="T19" s="2760"/>
      <c r="U19" s="2745"/>
      <c r="W19" s="2748">
        <v>68000</v>
      </c>
      <c r="X19" s="2749">
        <v>44580</v>
      </c>
      <c r="Y19" s="1692"/>
      <c r="Z19" s="2717"/>
      <c r="AA19" s="2758">
        <v>51560</v>
      </c>
      <c r="AB19" s="2753"/>
      <c r="AC19" s="2754">
        <v>37830</v>
      </c>
      <c r="AE19" s="26"/>
      <c r="AG19" s="2748">
        <v>51560</v>
      </c>
      <c r="AH19" s="2749">
        <v>37830</v>
      </c>
      <c r="AI19" s="1692"/>
      <c r="AJ19" s="2717"/>
      <c r="AK19" s="2758">
        <v>74100</v>
      </c>
      <c r="AL19" s="2753"/>
      <c r="AM19" s="2754">
        <v>29470</v>
      </c>
      <c r="AO19" s="26"/>
      <c r="AQ19" s="2758">
        <f>74100/10</f>
        <v>7410</v>
      </c>
      <c r="AR19" s="2760">
        <f>29470/10</f>
        <v>2947</v>
      </c>
      <c r="AS19" s="1692"/>
      <c r="AT19" s="2717"/>
      <c r="AU19" s="2748">
        <f>75230/10</f>
        <v>7523</v>
      </c>
      <c r="AV19" s="2753" t="s">
        <v>3813</v>
      </c>
      <c r="AW19" s="2754">
        <f>44650/10</f>
        <v>4465</v>
      </c>
      <c r="AY19" s="2758">
        <v>7523</v>
      </c>
      <c r="AZ19" s="2760">
        <v>4465</v>
      </c>
      <c r="BA19" s="8901"/>
      <c r="BB19" s="8894"/>
      <c r="BC19" s="2748">
        <v>6543</v>
      </c>
      <c r="BD19" s="2753"/>
      <c r="BE19" s="2856">
        <f>4121*12/11</f>
        <v>4495.636363636364</v>
      </c>
      <c r="BG19" s="26"/>
    </row>
    <row r="20" spans="1:59" x14ac:dyDescent="0.35">
      <c r="A20" s="9168"/>
      <c r="B20" s="6082"/>
      <c r="C20" s="110" t="s">
        <v>1169</v>
      </c>
      <c r="D20" s="60"/>
      <c r="F20" s="2761"/>
      <c r="G20" s="2762"/>
      <c r="H20" s="2744"/>
      <c r="I20" s="2745"/>
      <c r="J20" s="2746"/>
      <c r="K20" s="2744"/>
      <c r="L20" s="2745"/>
      <c r="M20" s="2746"/>
      <c r="N20" s="2763">
        <v>44149.161999999997</v>
      </c>
      <c r="O20" s="2764"/>
      <c r="P20" s="1686"/>
      <c r="Q20" s="1692"/>
      <c r="R20" s="2717"/>
      <c r="S20" s="2763">
        <v>50836.964</v>
      </c>
      <c r="T20" s="2765"/>
      <c r="U20" s="2745"/>
      <c r="W20" s="2748">
        <v>17200</v>
      </c>
      <c r="X20" s="2764">
        <v>17420</v>
      </c>
      <c r="Y20" s="1692"/>
      <c r="Z20" s="2717"/>
      <c r="AA20" s="2763">
        <v>18000</v>
      </c>
      <c r="AB20" s="2753"/>
      <c r="AC20" s="2766">
        <v>22260</v>
      </c>
      <c r="AE20" s="26"/>
      <c r="AG20" s="2748">
        <v>18000</v>
      </c>
      <c r="AH20" s="2764">
        <v>22260</v>
      </c>
      <c r="AI20" s="1692"/>
      <c r="AJ20" s="2717"/>
      <c r="AK20" s="2763">
        <v>26500</v>
      </c>
      <c r="AL20" s="2753"/>
      <c r="AM20" s="2766">
        <v>30590</v>
      </c>
      <c r="AO20" s="26"/>
      <c r="AQ20" s="2763">
        <f>26500/10</f>
        <v>2650</v>
      </c>
      <c r="AR20" s="2765">
        <f>30590/10</f>
        <v>3059</v>
      </c>
      <c r="AS20" s="1692"/>
      <c r="AT20" s="2717"/>
      <c r="AU20" s="2763">
        <f>30760/10</f>
        <v>3076</v>
      </c>
      <c r="AV20" s="2753" t="s">
        <v>3813</v>
      </c>
      <c r="AW20" s="2766">
        <f>26440/10</f>
        <v>2644</v>
      </c>
      <c r="AY20" s="2763">
        <v>3076</v>
      </c>
      <c r="AZ20" s="2765">
        <v>2644</v>
      </c>
      <c r="BA20" s="8901"/>
      <c r="BB20" s="8894"/>
      <c r="BC20" s="2763">
        <v>2300</v>
      </c>
      <c r="BD20" s="2753"/>
      <c r="BE20" s="2863">
        <f>2115*12/11</f>
        <v>2307.2727272727275</v>
      </c>
      <c r="BG20" s="26"/>
    </row>
    <row r="21" spans="1:59" x14ac:dyDescent="0.35">
      <c r="A21" s="9168"/>
      <c r="B21" s="128"/>
      <c r="C21" s="129" t="s">
        <v>903</v>
      </c>
      <c r="D21" s="87"/>
      <c r="F21" s="2767">
        <f>SUM(F16:F20)</f>
        <v>0</v>
      </c>
      <c r="G21" s="2746"/>
      <c r="H21" s="2767"/>
      <c r="I21" s="2768"/>
      <c r="J21" s="2746"/>
      <c r="K21" s="2767">
        <f>SUM(K16:K20)</f>
        <v>0</v>
      </c>
      <c r="L21" s="2768">
        <f>SUM(L16:L20)</f>
        <v>0</v>
      </c>
      <c r="M21" s="2746"/>
      <c r="N21" s="2769">
        <f>SUM(N16:N20)</f>
        <v>439392.2</v>
      </c>
      <c r="O21" s="2770"/>
      <c r="P21" s="2728"/>
      <c r="Q21" s="1697"/>
      <c r="R21" s="2717"/>
      <c r="S21" s="2769">
        <f>SUM(S16:S20)</f>
        <v>451167.62199999997</v>
      </c>
      <c r="T21" s="2771"/>
      <c r="U21" s="2768"/>
      <c r="W21" s="2772">
        <f>SUM(W16:W20)</f>
        <v>488640</v>
      </c>
      <c r="X21" s="2770">
        <f>SUM(X16:X20)</f>
        <v>470160</v>
      </c>
      <c r="Y21" s="1697"/>
      <c r="Z21" s="2717"/>
      <c r="AA21" s="2769">
        <f>SUM(AA16:AA20)</f>
        <v>488860</v>
      </c>
      <c r="AB21" s="2773"/>
      <c r="AC21" s="2774">
        <f>SUM(AC16:AC20)</f>
        <v>492500</v>
      </c>
      <c r="AE21" s="24"/>
      <c r="AG21" s="2772">
        <f>SUM(AG16:AG20)</f>
        <v>488860</v>
      </c>
      <c r="AH21" s="2770">
        <f>SUM(AH16:AH20)</f>
        <v>492500</v>
      </c>
      <c r="AI21" s="1697"/>
      <c r="AJ21" s="2717"/>
      <c r="AK21" s="2769">
        <f>SUM(AK16:AK20)</f>
        <v>540600</v>
      </c>
      <c r="AL21" s="2773"/>
      <c r="AM21" s="2774">
        <f>SUM(AM16:AM20)</f>
        <v>505760</v>
      </c>
      <c r="AO21" s="24"/>
      <c r="AQ21" s="2769">
        <f>SUM(AQ16:AQ20)</f>
        <v>54060</v>
      </c>
      <c r="AR21" s="2771">
        <f>SUM(AR16:AR20)</f>
        <v>50576</v>
      </c>
      <c r="AS21" s="1697"/>
      <c r="AT21" s="2717"/>
      <c r="AU21" s="7257">
        <f>SUM(AU16:AU20)</f>
        <v>55743</v>
      </c>
      <c r="AV21" s="2732"/>
      <c r="AW21" s="7258">
        <f>SUM(AW16:AW20)</f>
        <v>52131</v>
      </c>
      <c r="AY21" s="2769">
        <f>SUM(AY16:AY20)</f>
        <v>55743</v>
      </c>
      <c r="AZ21" s="2771">
        <f>SUM(AZ16:AZ20)</f>
        <v>52131</v>
      </c>
      <c r="BA21" s="8898"/>
      <c r="BB21" s="8894"/>
      <c r="BC21" s="6316">
        <f>SUM(BC16:BC20)</f>
        <v>70026</v>
      </c>
      <c r="BD21" s="2732"/>
      <c r="BE21" s="6317">
        <f>SUM(BE16:BE20)</f>
        <v>45027.272727272728</v>
      </c>
      <c r="BG21" s="24"/>
    </row>
    <row r="22" spans="1:59" x14ac:dyDescent="0.35">
      <c r="A22" s="9168"/>
      <c r="B22" s="139" t="s">
        <v>904</v>
      </c>
      <c r="C22" s="49"/>
      <c r="D22" s="140"/>
      <c r="E22" s="141"/>
      <c r="F22" s="2775"/>
      <c r="G22" s="2776"/>
      <c r="H22" s="2777"/>
      <c r="I22" s="2778"/>
      <c r="J22" s="2779"/>
      <c r="K22" s="2777"/>
      <c r="L22" s="2778"/>
      <c r="M22" s="2779"/>
      <c r="N22" s="2780"/>
      <c r="O22" s="2781"/>
      <c r="P22" s="2697"/>
      <c r="Q22" s="1689"/>
      <c r="R22" s="2782"/>
      <c r="S22" s="2783"/>
      <c r="T22" s="2784"/>
      <c r="U22" s="2778"/>
      <c r="V22" s="141"/>
      <c r="W22" s="2780"/>
      <c r="X22" s="2781"/>
      <c r="Y22" s="1689"/>
      <c r="Z22" s="2782"/>
      <c r="AA22" s="2783"/>
      <c r="AB22" s="2785"/>
      <c r="AC22" s="2778"/>
      <c r="AD22" s="141"/>
      <c r="AE22" s="18"/>
      <c r="AF22" s="141"/>
      <c r="AG22" s="2780"/>
      <c r="AH22" s="2781"/>
      <c r="AI22" s="1689"/>
      <c r="AJ22" s="2782"/>
      <c r="AK22" s="2783"/>
      <c r="AL22" s="2785"/>
      <c r="AM22" s="2778"/>
      <c r="AN22" s="141"/>
      <c r="AO22" s="18"/>
      <c r="AP22" s="141"/>
      <c r="AQ22" s="2783"/>
      <c r="AR22" s="2781"/>
      <c r="AS22" s="1689"/>
      <c r="AT22" s="2782"/>
      <c r="AU22" s="2783"/>
      <c r="AV22" s="7259"/>
      <c r="AW22" s="2778"/>
      <c r="AX22" s="141"/>
      <c r="AY22" s="2783"/>
      <c r="AZ22" s="2784"/>
      <c r="BA22" s="8904"/>
      <c r="BB22" s="8905"/>
      <c r="BC22" s="2783"/>
      <c r="BD22" s="7259"/>
      <c r="BE22" s="1325"/>
      <c r="BF22" s="141"/>
      <c r="BG22" s="18"/>
    </row>
    <row r="23" spans="1:59" x14ac:dyDescent="0.35">
      <c r="A23" s="9168"/>
      <c r="B23" s="6082"/>
      <c r="C23" s="110" t="s">
        <v>905</v>
      </c>
      <c r="D23" s="60"/>
      <c r="F23" s="2786"/>
      <c r="G23" s="2746"/>
      <c r="H23" s="2787"/>
      <c r="I23" s="2788"/>
      <c r="J23" s="2746"/>
      <c r="K23" s="2787"/>
      <c r="L23" s="2788"/>
      <c r="M23" s="2746"/>
      <c r="N23" s="2789">
        <v>115100</v>
      </c>
      <c r="O23" s="2790"/>
      <c r="P23" s="1686" t="s">
        <v>3821</v>
      </c>
      <c r="Q23" s="1692"/>
      <c r="R23" s="2717"/>
      <c r="S23" s="2789">
        <v>121500</v>
      </c>
      <c r="T23" s="2791" t="s">
        <v>3821</v>
      </c>
      <c r="U23" s="247"/>
      <c r="W23" s="2789">
        <v>123100</v>
      </c>
      <c r="X23" s="2790">
        <v>123080</v>
      </c>
      <c r="Y23" s="1692"/>
      <c r="Z23" s="2717"/>
      <c r="AA23" s="2789">
        <v>131000</v>
      </c>
      <c r="AB23" s="2792"/>
      <c r="AC23" s="2793">
        <v>129780</v>
      </c>
      <c r="AE23" s="26"/>
      <c r="AG23" s="2789">
        <v>131000</v>
      </c>
      <c r="AH23" s="2790">
        <v>129780</v>
      </c>
      <c r="AI23" s="1692"/>
      <c r="AJ23" s="2717"/>
      <c r="AK23" s="2789">
        <v>145100</v>
      </c>
      <c r="AL23" s="2792"/>
      <c r="AM23" s="2793">
        <v>140220</v>
      </c>
      <c r="AO23" s="26"/>
      <c r="AQ23" s="2789">
        <f>145100/10</f>
        <v>14510</v>
      </c>
      <c r="AR23" s="2790">
        <f>140220/10</f>
        <v>14022</v>
      </c>
      <c r="AS23" s="1692"/>
      <c r="AT23" s="2717"/>
      <c r="AU23" s="6844">
        <f>156000/10</f>
        <v>15600</v>
      </c>
      <c r="AV23" s="2792"/>
      <c r="AW23" s="7260">
        <f>153460/10</f>
        <v>15346</v>
      </c>
      <c r="AY23" s="2789">
        <v>15600</v>
      </c>
      <c r="AZ23" s="2796">
        <v>15346</v>
      </c>
      <c r="BA23" s="8901"/>
      <c r="BB23" s="8894"/>
      <c r="BC23" s="6844">
        <v>16740</v>
      </c>
      <c r="BD23" s="2792"/>
      <c r="BE23" s="7260">
        <f>13407*12/11</f>
        <v>14625.818181818182</v>
      </c>
      <c r="BG23" s="26"/>
    </row>
    <row r="24" spans="1:59" x14ac:dyDescent="0.35">
      <c r="A24" s="9168"/>
      <c r="B24" s="6082"/>
      <c r="C24" s="110" t="s">
        <v>907</v>
      </c>
      <c r="D24" s="60"/>
      <c r="F24" s="2786"/>
      <c r="G24" s="2746"/>
      <c r="H24" s="2787"/>
      <c r="I24" s="2794"/>
      <c r="J24" s="2746"/>
      <c r="K24" s="2787"/>
      <c r="L24" s="2794"/>
      <c r="M24" s="2746"/>
      <c r="N24" s="2789"/>
      <c r="O24" s="2790"/>
      <c r="P24" s="1686"/>
      <c r="Q24" s="2795"/>
      <c r="R24" s="2717"/>
      <c r="S24" s="2789"/>
      <c r="T24" s="2796"/>
      <c r="U24" s="2794"/>
      <c r="W24" s="2789"/>
      <c r="X24" s="2790"/>
      <c r="Y24" s="1692"/>
      <c r="Z24" s="2717"/>
      <c r="AA24" s="2789"/>
      <c r="AB24" s="2753"/>
      <c r="AC24" s="2797"/>
      <c r="AE24" s="26"/>
      <c r="AG24" s="2789"/>
      <c r="AH24" s="2790"/>
      <c r="AI24" s="1692"/>
      <c r="AJ24" s="2717"/>
      <c r="AK24" s="2789"/>
      <c r="AL24" s="2753"/>
      <c r="AM24" s="2797"/>
      <c r="AO24" s="26"/>
      <c r="AQ24" s="2789"/>
      <c r="AR24" s="2790"/>
      <c r="AS24" s="1692"/>
      <c r="AT24" s="2717"/>
      <c r="AU24" s="2789"/>
      <c r="AV24" s="2753"/>
      <c r="AW24" s="2797"/>
      <c r="AY24" s="2789"/>
      <c r="AZ24" s="2790"/>
      <c r="BA24" s="1692"/>
      <c r="BB24" s="2717"/>
      <c r="BC24" s="2789"/>
      <c r="BD24" s="2753"/>
      <c r="BE24" s="2797"/>
      <c r="BG24" s="26"/>
    </row>
    <row r="25" spans="1:59" x14ac:dyDescent="0.35">
      <c r="A25" s="9168"/>
      <c r="B25" s="6082"/>
      <c r="C25" s="110" t="s">
        <v>908</v>
      </c>
      <c r="D25" s="60"/>
      <c r="F25" s="2786"/>
      <c r="G25" s="2746"/>
      <c r="H25" s="2747"/>
      <c r="I25" s="2794"/>
      <c r="J25" s="2746"/>
      <c r="K25" s="2747"/>
      <c r="L25" s="2794"/>
      <c r="M25" s="2746"/>
      <c r="N25" s="2789"/>
      <c r="O25" s="2790"/>
      <c r="P25" s="1686"/>
      <c r="Q25" s="2795"/>
      <c r="R25" s="2717"/>
      <c r="S25" s="2789"/>
      <c r="T25" s="2796"/>
      <c r="U25" s="2794"/>
      <c r="W25" s="2789"/>
      <c r="X25" s="2790"/>
      <c r="Y25" s="1692"/>
      <c r="Z25" s="2717"/>
      <c r="AA25" s="2789"/>
      <c r="AB25" s="2753"/>
      <c r="AC25" s="2797"/>
      <c r="AE25" s="26"/>
      <c r="AG25" s="2789"/>
      <c r="AH25" s="2790"/>
      <c r="AI25" s="1692"/>
      <c r="AJ25" s="2717"/>
      <c r="AK25" s="2789"/>
      <c r="AL25" s="2753"/>
      <c r="AM25" s="2797"/>
      <c r="AO25" s="26"/>
      <c r="AQ25" s="2789"/>
      <c r="AR25" s="2790"/>
      <c r="AS25" s="1692"/>
      <c r="AT25" s="2717"/>
      <c r="AU25" s="2789"/>
      <c r="AV25" s="2753"/>
      <c r="AW25" s="2797"/>
      <c r="AY25" s="2789"/>
      <c r="AZ25" s="2790"/>
      <c r="BA25" s="1692"/>
      <c r="BB25" s="2717"/>
      <c r="BC25" s="2789"/>
      <c r="BD25" s="2753"/>
      <c r="BE25" s="2797"/>
      <c r="BG25" s="26"/>
    </row>
    <row r="26" spans="1:59" x14ac:dyDescent="0.35">
      <c r="A26" s="9168"/>
      <c r="B26" s="6082"/>
      <c r="C26" s="161" t="s">
        <v>910</v>
      </c>
      <c r="D26" s="162"/>
      <c r="F26" s="2761"/>
      <c r="G26" s="2746"/>
      <c r="H26" s="2798"/>
      <c r="I26" s="2794"/>
      <c r="J26" s="2746"/>
      <c r="K26" s="2798"/>
      <c r="L26" s="2794"/>
      <c r="M26" s="2746"/>
      <c r="N26" s="2799"/>
      <c r="O26" s="2800"/>
      <c r="P26" s="1686"/>
      <c r="Q26" s="2795"/>
      <c r="R26" s="2717"/>
      <c r="S26" s="2799"/>
      <c r="T26" s="2801"/>
      <c r="U26" s="2794"/>
      <c r="W26" s="2799"/>
      <c r="X26" s="2800"/>
      <c r="Y26" s="1692"/>
      <c r="Z26" s="2717"/>
      <c r="AA26" s="2799"/>
      <c r="AB26" s="2721"/>
      <c r="AC26" s="2802"/>
      <c r="AE26" s="26"/>
      <c r="AG26" s="2799"/>
      <c r="AH26" s="2800"/>
      <c r="AI26" s="1692"/>
      <c r="AJ26" s="2717"/>
      <c r="AK26" s="2799"/>
      <c r="AL26" s="2721"/>
      <c r="AM26" s="2802"/>
      <c r="AO26" s="26"/>
      <c r="AQ26" s="2799"/>
      <c r="AR26" s="2800"/>
      <c r="AS26" s="1692"/>
      <c r="AT26" s="2717"/>
      <c r="AU26" s="2799"/>
      <c r="AV26" s="2721"/>
      <c r="AW26" s="2802"/>
      <c r="AY26" s="2799"/>
      <c r="AZ26" s="2800"/>
      <c r="BA26" s="1692"/>
      <c r="BB26" s="2717"/>
      <c r="BC26" s="2799"/>
      <c r="BD26" s="2721"/>
      <c r="BE26" s="2802"/>
      <c r="BG26" s="26"/>
    </row>
    <row r="27" spans="1:59" x14ac:dyDescent="0.35">
      <c r="A27" s="9168"/>
      <c r="B27" s="128"/>
      <c r="C27" s="129" t="s">
        <v>914</v>
      </c>
      <c r="D27" s="87"/>
      <c r="F27" s="1133"/>
      <c r="G27" s="1477"/>
      <c r="H27" s="1135">
        <f>IF(H23=0,0,(H25-H26)/H23)</f>
        <v>0</v>
      </c>
      <c r="I27" s="1136">
        <f>H27</f>
        <v>0</v>
      </c>
      <c r="J27" s="2803"/>
      <c r="K27" s="1135">
        <f>IF(K23=0,0,(K25-K26)/K23)</f>
        <v>0</v>
      </c>
      <c r="L27" s="1136">
        <f>K27</f>
        <v>0</v>
      </c>
      <c r="M27" s="2803"/>
      <c r="N27" s="2804"/>
      <c r="O27" s="2805"/>
      <c r="P27" s="2728"/>
      <c r="Q27" s="2806"/>
      <c r="R27" s="2807"/>
      <c r="S27" s="2804"/>
      <c r="T27" s="2808"/>
      <c r="U27" s="1137"/>
      <c r="V27" s="176"/>
      <c r="W27" s="2804"/>
      <c r="X27" s="2805"/>
      <c r="Y27" s="1697"/>
      <c r="Z27" s="2807"/>
      <c r="AA27" s="2804"/>
      <c r="AB27" s="2809"/>
      <c r="AC27" s="2810"/>
      <c r="AD27" s="176"/>
      <c r="AE27" s="24"/>
      <c r="AF27" s="176"/>
      <c r="AG27" s="2804"/>
      <c r="AH27" s="2805"/>
      <c r="AI27" s="1697"/>
      <c r="AJ27" s="2807"/>
      <c r="AK27" s="2804"/>
      <c r="AL27" s="2809"/>
      <c r="AM27" s="2810"/>
      <c r="AN27" s="176"/>
      <c r="AO27" s="24"/>
      <c r="AP27" s="176"/>
      <c r="AQ27" s="2804"/>
      <c r="AR27" s="2805"/>
      <c r="AS27" s="1697"/>
      <c r="AT27" s="2807"/>
      <c r="AU27" s="2804"/>
      <c r="AV27" s="2809"/>
      <c r="AW27" s="2810"/>
      <c r="AX27" s="176"/>
      <c r="AY27" s="2804"/>
      <c r="AZ27" s="2805"/>
      <c r="BA27" s="1697"/>
      <c r="BB27" s="2807"/>
      <c r="BC27" s="2804"/>
      <c r="BD27" s="2809"/>
      <c r="BE27" s="2810"/>
      <c r="BF27" s="176"/>
      <c r="BG27" s="24"/>
    </row>
    <row r="28" spans="1:59" x14ac:dyDescent="0.35">
      <c r="A28" s="9169"/>
      <c r="B28" s="499" t="s">
        <v>915</v>
      </c>
      <c r="C28" s="500"/>
      <c r="D28" s="501"/>
      <c r="F28" s="502"/>
      <c r="H28" s="503"/>
      <c r="I28" s="506">
        <f>H28*G28</f>
        <v>0</v>
      </c>
      <c r="K28" s="503"/>
      <c r="L28" s="506"/>
      <c r="N28" s="2811"/>
      <c r="O28" s="2812"/>
      <c r="P28" s="2813"/>
      <c r="Q28" s="2814"/>
      <c r="R28" s="2675"/>
      <c r="S28" s="2811"/>
      <c r="T28" s="2815"/>
      <c r="U28" s="506"/>
      <c r="W28" s="2811"/>
      <c r="X28" s="2812"/>
      <c r="Y28" s="2816"/>
      <c r="Z28" s="2675"/>
      <c r="AA28" s="2811"/>
      <c r="AB28" s="2817"/>
      <c r="AC28" s="2818"/>
      <c r="AE28" s="509"/>
      <c r="AG28" s="2811"/>
      <c r="AH28" s="2812"/>
      <c r="AI28" s="2816"/>
      <c r="AJ28" s="2675"/>
      <c r="AK28" s="2811"/>
      <c r="AL28" s="2817"/>
      <c r="AM28" s="2818"/>
      <c r="AO28" s="509"/>
      <c r="AQ28" s="2811"/>
      <c r="AR28" s="2812"/>
      <c r="AS28" s="2816"/>
      <c r="AT28" s="2675"/>
      <c r="AU28" s="2811"/>
      <c r="AV28" s="2817"/>
      <c r="AW28" s="2818"/>
      <c r="AY28" s="2811"/>
      <c r="AZ28" s="2812"/>
      <c r="BA28" s="2816"/>
      <c r="BB28" s="2675"/>
      <c r="BC28" s="2811"/>
      <c r="BD28" s="2817"/>
      <c r="BE28" s="2818"/>
      <c r="BG28" s="509"/>
    </row>
    <row r="29" spans="1:59" x14ac:dyDescent="0.35">
      <c r="A29" s="220"/>
      <c r="B29" s="220"/>
      <c r="F29" s="106"/>
      <c r="H29" s="106"/>
      <c r="K29" s="106"/>
      <c r="N29" s="2721"/>
      <c r="O29" s="2819"/>
      <c r="P29" s="1686"/>
      <c r="Q29" s="1686"/>
      <c r="R29" s="2675"/>
      <c r="S29" s="2721"/>
      <c r="T29" s="2721"/>
      <c r="W29" s="2721"/>
      <c r="X29" s="2819"/>
      <c r="Y29" s="1686"/>
      <c r="Z29" s="2675"/>
      <c r="AA29" s="2721"/>
      <c r="AB29" s="2721"/>
      <c r="AG29" s="2721"/>
      <c r="AH29" s="2819"/>
      <c r="AI29" s="1686"/>
      <c r="AJ29" s="2675"/>
      <c r="AK29" s="2721"/>
      <c r="AL29" s="2721"/>
      <c r="AQ29" s="2721"/>
      <c r="AR29" s="2819"/>
      <c r="AS29" s="1686"/>
      <c r="AT29" s="2675"/>
      <c r="AU29" s="2829"/>
      <c r="AV29" s="2721"/>
      <c r="AY29" s="2721"/>
      <c r="AZ29" s="2819"/>
      <c r="BA29" s="1686"/>
      <c r="BB29" s="2675"/>
      <c r="BC29" s="2829"/>
      <c r="BD29" s="2721"/>
    </row>
    <row r="30" spans="1:59" ht="27.75" customHeight="1" x14ac:dyDescent="0.35">
      <c r="A30" s="2820" t="s">
        <v>916</v>
      </c>
      <c r="B30" s="27"/>
      <c r="C30" s="28" t="s">
        <v>427</v>
      </c>
      <c r="D30" s="42" t="s">
        <v>428</v>
      </c>
      <c r="E30" s="30"/>
      <c r="F30" s="2679"/>
      <c r="G30" s="2680"/>
      <c r="H30" s="2679"/>
      <c r="I30" s="2821" t="s">
        <v>857</v>
      </c>
      <c r="J30" s="1864"/>
      <c r="K30" s="2679"/>
      <c r="L30" s="2821" t="s">
        <v>857</v>
      </c>
      <c r="M30" s="1864"/>
      <c r="N30" s="2686" t="s">
        <v>3822</v>
      </c>
      <c r="O30" s="2822"/>
      <c r="P30" s="2813"/>
      <c r="Q30" s="2823"/>
      <c r="R30" s="2685"/>
      <c r="S30" s="2682" t="s">
        <v>2470</v>
      </c>
      <c r="T30" s="2682"/>
      <c r="U30" s="2821"/>
      <c r="V30" s="30"/>
      <c r="W30" s="2686" t="s">
        <v>2470</v>
      </c>
      <c r="X30" s="2822"/>
      <c r="Y30" s="2816"/>
      <c r="Z30" s="2685"/>
      <c r="AA30" s="2682" t="s">
        <v>1816</v>
      </c>
      <c r="AB30" s="2824"/>
      <c r="AC30" s="2682"/>
      <c r="AD30" s="30"/>
      <c r="AE30" s="39"/>
      <c r="AF30" s="30"/>
      <c r="AG30" s="2686"/>
      <c r="AH30" s="2822"/>
      <c r="AI30" s="2816"/>
      <c r="AJ30" s="2685"/>
      <c r="AK30" s="2682" t="s">
        <v>3823</v>
      </c>
      <c r="AL30" s="2824"/>
      <c r="AM30" s="2682"/>
      <c r="AN30" s="30"/>
      <c r="AO30" s="39"/>
      <c r="AP30" s="30"/>
      <c r="AQ30" s="2682" t="s">
        <v>3823</v>
      </c>
      <c r="AR30" s="2822"/>
      <c r="AS30" s="2816"/>
      <c r="AT30" s="2685"/>
      <c r="AU30" s="2682" t="s">
        <v>3824</v>
      </c>
      <c r="AV30" s="2824"/>
      <c r="AW30" s="2682"/>
      <c r="AX30" s="30"/>
      <c r="AY30" s="9468" t="s">
        <v>3825</v>
      </c>
      <c r="AZ30" s="9469"/>
      <c r="BA30" s="2816"/>
      <c r="BB30" s="2685"/>
      <c r="BC30" s="2682" t="s">
        <v>3826</v>
      </c>
      <c r="BD30" s="8906" t="s">
        <v>3827</v>
      </c>
      <c r="BE30" s="2682" t="s">
        <v>3826</v>
      </c>
      <c r="BF30" s="30"/>
      <c r="BG30" s="39"/>
    </row>
    <row r="31" spans="1:59" x14ac:dyDescent="0.35">
      <c r="A31" s="2825"/>
      <c r="B31" s="141" t="s">
        <v>925</v>
      </c>
      <c r="C31"/>
      <c r="D31" s="140"/>
      <c r="E31" s="143"/>
      <c r="F31" s="227"/>
      <c r="G31" s="1579"/>
      <c r="H31" s="102"/>
      <c r="I31" s="247"/>
      <c r="J31" s="1579"/>
      <c r="K31" s="102"/>
      <c r="L31" s="247"/>
      <c r="M31" s="1579"/>
      <c r="N31" s="2737"/>
      <c r="O31" s="2826"/>
      <c r="P31" s="2697"/>
      <c r="Q31" s="1689"/>
      <c r="R31" s="2827"/>
      <c r="S31" s="2737"/>
      <c r="T31" s="2828"/>
      <c r="U31" s="247"/>
      <c r="V31" s="143"/>
      <c r="W31" s="2829"/>
      <c r="X31" s="2819"/>
      <c r="Y31" s="1692"/>
      <c r="Z31" s="2827"/>
      <c r="AA31" s="2737"/>
      <c r="AB31" s="2828"/>
      <c r="AC31" s="2830"/>
      <c r="AD31" s="143"/>
      <c r="AE31" s="18"/>
      <c r="AF31" s="143"/>
      <c r="AG31" s="2831"/>
      <c r="AH31" s="3163"/>
      <c r="AI31" s="1692"/>
      <c r="AJ31" s="2827"/>
      <c r="AK31" s="2737" t="s">
        <v>3828</v>
      </c>
      <c r="AL31" s="2828"/>
      <c r="AM31" s="2830"/>
      <c r="AN31" s="143"/>
      <c r="AO31" s="18"/>
      <c r="AP31" s="143"/>
      <c r="AQ31" s="2737" t="s">
        <v>1115</v>
      </c>
      <c r="AR31" s="6360"/>
      <c r="AS31" s="1692"/>
      <c r="AT31" s="2827"/>
      <c r="AU31" s="2737"/>
      <c r="AV31" s="2828"/>
      <c r="AW31" s="2830"/>
      <c r="AX31" s="143"/>
      <c r="AY31" s="2737" t="s">
        <v>3829</v>
      </c>
      <c r="AZ31" s="6360" t="s">
        <v>3830</v>
      </c>
      <c r="BA31" s="1692"/>
      <c r="BB31" s="2827"/>
      <c r="BC31" s="2737"/>
      <c r="BD31" s="2828"/>
      <c r="BE31" s="2830"/>
      <c r="BF31" s="143"/>
      <c r="BG31" s="18"/>
    </row>
    <row r="32" spans="1:59" s="2835" customFormat="1" ht="15.25" customHeight="1" x14ac:dyDescent="0.35">
      <c r="A32" s="2832"/>
      <c r="B32" s="2833"/>
      <c r="C32" s="8916" t="s">
        <v>3831</v>
      </c>
      <c r="D32" s="2834"/>
      <c r="F32" s="2836"/>
      <c r="G32" s="2837"/>
      <c r="H32" s="2838"/>
      <c r="I32" s="2839"/>
      <c r="J32" s="2837"/>
      <c r="K32" s="2838"/>
      <c r="L32" s="2839"/>
      <c r="M32" s="2837"/>
      <c r="N32" s="2840">
        <v>41286.116339</v>
      </c>
      <c r="O32" s="2841"/>
      <c r="P32" s="2842" t="s">
        <v>3832</v>
      </c>
      <c r="Q32" s="2843"/>
      <c r="R32" s="2844"/>
      <c r="S32" s="2840">
        <v>43793.551792999999</v>
      </c>
      <c r="T32" s="2845" t="s">
        <v>1848</v>
      </c>
      <c r="U32" s="2839"/>
      <c r="W32" s="2840">
        <v>43793.551792999999</v>
      </c>
      <c r="X32" s="2841"/>
      <c r="Y32" s="2846" t="s">
        <v>1848</v>
      </c>
      <c r="Z32" s="2844"/>
      <c r="AA32" s="2840">
        <f>47531.718572-AA33</f>
        <v>47071.461572</v>
      </c>
      <c r="AB32" s="2847" t="s">
        <v>3833</v>
      </c>
      <c r="AC32" s="2848"/>
      <c r="AE32" s="2849"/>
      <c r="AG32" s="2840">
        <v>47531.718571999998</v>
      </c>
      <c r="AH32" s="2841">
        <v>47187</v>
      </c>
      <c r="AI32" s="2846" t="s">
        <v>3834</v>
      </c>
      <c r="AJ32" s="2844"/>
      <c r="AK32" s="2840"/>
      <c r="AL32" s="8917"/>
      <c r="AM32" s="2848"/>
      <c r="AO32" s="2849"/>
      <c r="AQ32" s="2789"/>
      <c r="AR32" s="2841"/>
      <c r="AS32" s="2846"/>
      <c r="AT32" s="2844"/>
      <c r="AU32" s="2789">
        <v>5468.1695129999998</v>
      </c>
      <c r="AV32" s="7261" t="s">
        <v>3835</v>
      </c>
      <c r="AW32" s="2848"/>
      <c r="AY32" s="2789">
        <v>5335.1935519999997</v>
      </c>
      <c r="AZ32" s="2841">
        <v>5572.3279050000001</v>
      </c>
      <c r="BA32" s="2846" t="s">
        <v>1112</v>
      </c>
      <c r="BB32" s="2844"/>
      <c r="BC32" s="2789"/>
      <c r="BD32" s="7261"/>
      <c r="BE32" s="2848"/>
      <c r="BG32" s="2849"/>
    </row>
    <row r="33" spans="1:59" s="2859" customFormat="1" x14ac:dyDescent="0.35">
      <c r="A33" s="2825"/>
      <c r="B33" s="513"/>
      <c r="C33" s="513" t="s">
        <v>3836</v>
      </c>
      <c r="D33" s="2850"/>
      <c r="E33" s="2851"/>
      <c r="F33" s="2852"/>
      <c r="G33" s="2853"/>
      <c r="H33" s="2854"/>
      <c r="I33" s="2855"/>
      <c r="J33" s="2853"/>
      <c r="K33" s="2854"/>
      <c r="L33" s="2855"/>
      <c r="M33" s="2853"/>
      <c r="N33" s="2758"/>
      <c r="O33" s="2749"/>
      <c r="P33" s="1686"/>
      <c r="Q33" s="2795"/>
      <c r="R33" s="2717"/>
      <c r="S33" s="2748">
        <v>567</v>
      </c>
      <c r="T33" s="2751" t="s">
        <v>3833</v>
      </c>
      <c r="U33" s="2855"/>
      <c r="V33" s="2851"/>
      <c r="W33" s="2758">
        <v>567</v>
      </c>
      <c r="X33" s="2749"/>
      <c r="Y33" s="1692" t="s">
        <v>3833</v>
      </c>
      <c r="Z33" s="2717"/>
      <c r="AA33" s="2748">
        <f>55+381.88+23.377</f>
        <v>460.25700000000001</v>
      </c>
      <c r="AB33" s="2753" t="s">
        <v>1064</v>
      </c>
      <c r="AC33" s="2856"/>
      <c r="AD33" s="2851"/>
      <c r="AE33" s="2857"/>
      <c r="AF33" s="2851"/>
      <c r="AG33" s="2758"/>
      <c r="AH33" s="2749"/>
      <c r="AI33" s="1692"/>
      <c r="AJ33" s="2717"/>
      <c r="AK33" s="2748"/>
      <c r="AL33" s="2719"/>
      <c r="AM33" s="2856"/>
      <c r="AN33" s="2851"/>
      <c r="AO33" s="2857"/>
      <c r="AP33" s="2851"/>
      <c r="AQ33" s="2748"/>
      <c r="AR33" s="2749"/>
      <c r="AS33" s="1692"/>
      <c r="AT33" s="2717"/>
      <c r="AU33" s="2748">
        <f>46.5+1.5</f>
        <v>48</v>
      </c>
      <c r="AV33" s="2858" t="s">
        <v>3837</v>
      </c>
      <c r="AW33" s="2856"/>
      <c r="AX33" s="2851"/>
      <c r="AY33" s="2748">
        <v>27.837385000000001</v>
      </c>
      <c r="AZ33" s="2749">
        <v>27.837385000000001</v>
      </c>
      <c r="BA33" s="1692"/>
      <c r="BB33" s="2717"/>
      <c r="BC33" s="2748"/>
      <c r="BD33" s="2858"/>
      <c r="BE33" s="2856"/>
      <c r="BF33" s="2851"/>
      <c r="BG33" s="2857"/>
    </row>
    <row r="34" spans="1:59" x14ac:dyDescent="0.35">
      <c r="A34" s="2825"/>
      <c r="B34" s="513"/>
      <c r="C34" s="232" t="s">
        <v>3838</v>
      </c>
      <c r="D34" s="2850"/>
      <c r="E34" s="2851"/>
      <c r="F34" s="2852"/>
      <c r="G34" s="2853"/>
      <c r="H34" s="2854"/>
      <c r="I34" s="2855"/>
      <c r="J34" s="2853"/>
      <c r="K34" s="2854"/>
      <c r="L34" s="2855"/>
      <c r="M34" s="2853"/>
      <c r="N34" s="2758"/>
      <c r="O34" s="2749"/>
      <c r="P34" s="1686"/>
      <c r="Q34" s="2795"/>
      <c r="R34" s="2717"/>
      <c r="S34" s="2748"/>
      <c r="T34" s="2751"/>
      <c r="U34" s="2855"/>
      <c r="V34" s="2851"/>
      <c r="W34" s="2758"/>
      <c r="X34" s="2749"/>
      <c r="Y34" s="1692"/>
      <c r="Z34" s="2717"/>
      <c r="AA34" s="2748"/>
      <c r="AB34" s="2753"/>
      <c r="AC34" s="2856"/>
      <c r="AD34" s="2851"/>
      <c r="AE34" s="2857"/>
      <c r="AF34" s="2851"/>
      <c r="AG34" s="2758"/>
      <c r="AH34" s="2749"/>
      <c r="AI34" s="1692"/>
      <c r="AJ34" s="2717"/>
      <c r="AK34" s="2748"/>
      <c r="AL34" s="2719"/>
      <c r="AM34" s="2856"/>
      <c r="AN34" s="2851"/>
      <c r="AO34" s="2857"/>
      <c r="AP34" s="2851"/>
      <c r="AQ34" s="2748"/>
      <c r="AR34" s="2749"/>
      <c r="AS34" s="1692"/>
      <c r="AT34" s="2717"/>
      <c r="AU34" s="2748"/>
      <c r="AV34" s="2858"/>
      <c r="AW34" s="2856"/>
      <c r="AY34" s="2748">
        <v>43.074590999999998</v>
      </c>
      <c r="AZ34" s="2749">
        <v>54.086187000000002</v>
      </c>
      <c r="BA34" s="1692" t="s">
        <v>3839</v>
      </c>
      <c r="BB34" s="2717"/>
      <c r="BC34" s="2748">
        <v>4198.0770929999999</v>
      </c>
      <c r="BD34" s="2858"/>
      <c r="BE34" s="2856">
        <v>3718.8322939999998</v>
      </c>
      <c r="BF34" s="2851"/>
      <c r="BG34" s="26"/>
    </row>
    <row r="35" spans="1:59" s="2859" customFormat="1" x14ac:dyDescent="0.35">
      <c r="A35" s="2825"/>
      <c r="B35" s="513"/>
      <c r="C35" s="513" t="s">
        <v>3836</v>
      </c>
      <c r="D35" s="2850"/>
      <c r="E35" s="2851"/>
      <c r="F35" s="2852"/>
      <c r="G35" s="2853"/>
      <c r="H35" s="2854"/>
      <c r="I35" s="2855"/>
      <c r="J35" s="2853"/>
      <c r="K35" s="2854"/>
      <c r="L35" s="2855"/>
      <c r="M35" s="2853"/>
      <c r="N35" s="2758"/>
      <c r="O35" s="2749"/>
      <c r="P35" s="1686"/>
      <c r="Q35" s="2795"/>
      <c r="R35" s="2717"/>
      <c r="S35" s="2748"/>
      <c r="T35" s="2751"/>
      <c r="U35" s="2855"/>
      <c r="V35" s="2851"/>
      <c r="W35" s="2758"/>
      <c r="X35" s="2749"/>
      <c r="Y35" s="1692"/>
      <c r="Z35" s="2717"/>
      <c r="AA35" s="2748"/>
      <c r="AB35" s="2753"/>
      <c r="AC35" s="2856"/>
      <c r="AD35" s="2851"/>
      <c r="AE35" s="2857"/>
      <c r="AF35" s="2851"/>
      <c r="AG35" s="2758"/>
      <c r="AH35" s="2749"/>
      <c r="AI35" s="1692"/>
      <c r="AJ35" s="2717"/>
      <c r="AK35" s="2748"/>
      <c r="AL35" s="2719"/>
      <c r="AM35" s="2856"/>
      <c r="AN35" s="2851"/>
      <c r="AO35" s="2857"/>
      <c r="AP35" s="2851"/>
      <c r="AQ35" s="2748"/>
      <c r="AR35" s="2749"/>
      <c r="AS35" s="1692"/>
      <c r="AT35" s="2717"/>
      <c r="AU35" s="2748"/>
      <c r="AV35" s="2858"/>
      <c r="AW35" s="2856"/>
      <c r="AX35" s="2851"/>
      <c r="AY35" s="2748">
        <v>7.9537019999999998</v>
      </c>
      <c r="AZ35" s="2749">
        <v>10.97639</v>
      </c>
      <c r="BA35" s="1692" t="s">
        <v>3839</v>
      </c>
      <c r="BB35" s="2717"/>
      <c r="BC35" s="2748"/>
      <c r="BD35" s="2858"/>
      <c r="BE35" s="2856"/>
      <c r="BF35" s="2851"/>
      <c r="BG35" s="2857"/>
    </row>
    <row r="36" spans="1:59" x14ac:dyDescent="0.35">
      <c r="A36" s="2825"/>
      <c r="B36" s="513"/>
      <c r="C36" s="232" t="s">
        <v>3840</v>
      </c>
      <c r="D36" s="2850"/>
      <c r="E36" s="2851"/>
      <c r="F36" s="2852"/>
      <c r="G36" s="2853"/>
      <c r="H36" s="2854"/>
      <c r="I36" s="2855"/>
      <c r="J36" s="2853"/>
      <c r="K36" s="2854"/>
      <c r="L36" s="2855"/>
      <c r="M36" s="2853"/>
      <c r="N36" s="2758"/>
      <c r="O36" s="2749"/>
      <c r="P36" s="1686"/>
      <c r="Q36" s="2795"/>
      <c r="R36" s="2717"/>
      <c r="S36" s="2748"/>
      <c r="T36" s="2751"/>
      <c r="U36" s="2855"/>
      <c r="V36" s="2851"/>
      <c r="W36" s="2758"/>
      <c r="X36" s="2749"/>
      <c r="Y36" s="1692"/>
      <c r="Z36" s="2717"/>
      <c r="AA36" s="2748"/>
      <c r="AB36" s="2753"/>
      <c r="AC36" s="2856"/>
      <c r="AD36" s="2851"/>
      <c r="AE36" s="2857"/>
      <c r="AF36" s="2851"/>
      <c r="AG36" s="2758"/>
      <c r="AH36" s="2749"/>
      <c r="AI36" s="1692"/>
      <c r="AJ36" s="2717"/>
      <c r="AK36" s="2748"/>
      <c r="AL36" s="2719"/>
      <c r="AM36" s="2856"/>
      <c r="AN36" s="2851"/>
      <c r="AO36" s="2857"/>
      <c r="AP36" s="2851"/>
      <c r="AQ36" s="2748"/>
      <c r="AR36" s="2749"/>
      <c r="AS36" s="1692"/>
      <c r="AT36" s="2717"/>
      <c r="AU36" s="2748"/>
      <c r="AV36" s="2858"/>
      <c r="AW36" s="2856"/>
      <c r="AY36" s="2748">
        <v>65.264069000000006</v>
      </c>
      <c r="AZ36" s="2749">
        <v>50.542920000000002</v>
      </c>
      <c r="BA36" s="1692" t="s">
        <v>3839</v>
      </c>
      <c r="BB36" s="2717"/>
      <c r="BC36" s="2748">
        <v>2277.3921150000001</v>
      </c>
      <c r="BD36" s="2858"/>
      <c r="BE36" s="2856">
        <v>2066.9587569999999</v>
      </c>
      <c r="BF36" s="2851"/>
      <c r="BG36" s="26"/>
    </row>
    <row r="37" spans="1:59" s="2859" customFormat="1" x14ac:dyDescent="0.35">
      <c r="A37" s="2825"/>
      <c r="B37" s="513"/>
      <c r="C37" s="513" t="s">
        <v>3836</v>
      </c>
      <c r="D37" s="2850"/>
      <c r="E37" s="2851"/>
      <c r="F37" s="2852"/>
      <c r="G37" s="2853"/>
      <c r="H37" s="2854"/>
      <c r="I37" s="2855"/>
      <c r="J37" s="2853"/>
      <c r="K37" s="2854"/>
      <c r="L37" s="2855"/>
      <c r="M37" s="2853"/>
      <c r="N37" s="2758"/>
      <c r="O37" s="2749"/>
      <c r="P37" s="1686"/>
      <c r="Q37" s="2795"/>
      <c r="R37" s="2717"/>
      <c r="S37" s="2748"/>
      <c r="T37" s="2751"/>
      <c r="U37" s="2855"/>
      <c r="V37" s="2851"/>
      <c r="W37" s="2758"/>
      <c r="X37" s="2749"/>
      <c r="Y37" s="1692"/>
      <c r="Z37" s="2717"/>
      <c r="AA37" s="2748"/>
      <c r="AB37" s="2753"/>
      <c r="AC37" s="2856"/>
      <c r="AD37" s="2851"/>
      <c r="AE37" s="2857"/>
      <c r="AF37" s="2851"/>
      <c r="AG37" s="2758"/>
      <c r="AH37" s="2749"/>
      <c r="AI37" s="1692"/>
      <c r="AJ37" s="2717"/>
      <c r="AK37" s="2748"/>
      <c r="AL37" s="2719"/>
      <c r="AM37" s="2856"/>
      <c r="AN37" s="2851"/>
      <c r="AO37" s="2857"/>
      <c r="AP37" s="2851"/>
      <c r="AQ37" s="2748"/>
      <c r="AR37" s="2749"/>
      <c r="AS37" s="1692"/>
      <c r="AT37" s="2717"/>
      <c r="AU37" s="2748"/>
      <c r="AV37" s="2858"/>
      <c r="AW37" s="2856"/>
      <c r="AX37" s="2851"/>
      <c r="AY37" s="2748">
        <v>7.0008629999999998</v>
      </c>
      <c r="AZ37" s="2749">
        <v>0</v>
      </c>
      <c r="BA37" s="1692" t="s">
        <v>3839</v>
      </c>
      <c r="BB37" s="2717"/>
      <c r="BC37" s="2748"/>
      <c r="BD37" s="2858"/>
      <c r="BE37" s="2856"/>
      <c r="BF37" s="2851"/>
      <c r="BG37" s="2857"/>
    </row>
    <row r="38" spans="1:59" x14ac:dyDescent="0.35">
      <c r="A38" s="2825"/>
      <c r="B38" s="232"/>
      <c r="C38" s="232" t="s">
        <v>3841</v>
      </c>
      <c r="D38" s="60"/>
      <c r="F38" s="2786"/>
      <c r="G38" s="2746"/>
      <c r="H38" s="2744"/>
      <c r="I38" s="2794"/>
      <c r="J38" s="2746"/>
      <c r="K38" s="2744"/>
      <c r="L38" s="2794"/>
      <c r="M38" s="2746"/>
      <c r="N38" s="2763">
        <v>4513.3100000000004</v>
      </c>
      <c r="O38" s="2790"/>
      <c r="P38" s="1686" t="s">
        <v>3832</v>
      </c>
      <c r="Q38" s="2795"/>
      <c r="R38" s="2717"/>
      <c r="S38" s="2789">
        <v>3655.7673260000001</v>
      </c>
      <c r="T38" s="2796" t="s">
        <v>1064</v>
      </c>
      <c r="U38" s="2794"/>
      <c r="W38" s="2763">
        <v>3655.7673260000001</v>
      </c>
      <c r="X38" s="2790"/>
      <c r="Y38" s="1692" t="s">
        <v>1064</v>
      </c>
      <c r="Z38" s="2717"/>
      <c r="AA38" s="2789">
        <f>4267.455843-AA39</f>
        <v>3666.7418429999998</v>
      </c>
      <c r="AB38" s="2753" t="s">
        <v>3842</v>
      </c>
      <c r="AC38" s="2797"/>
      <c r="AE38" s="26"/>
      <c r="AG38" s="2763">
        <f>4267.455843-AG39</f>
        <v>3568.4833429999999</v>
      </c>
      <c r="AH38" s="2790"/>
      <c r="AI38" s="1692" t="s">
        <v>3843</v>
      </c>
      <c r="AJ38" s="2717"/>
      <c r="AK38" s="2789"/>
      <c r="AL38" s="2860"/>
      <c r="AM38" s="2797"/>
      <c r="AO38" s="26"/>
      <c r="AQ38" s="2789"/>
      <c r="AR38" s="2790"/>
      <c r="AS38" s="1692"/>
      <c r="AT38" s="2717"/>
      <c r="AU38" s="2789"/>
      <c r="AV38" s="2860"/>
      <c r="AW38" s="2797"/>
      <c r="AX38" s="143"/>
      <c r="AY38" s="2789"/>
      <c r="AZ38" s="2790"/>
      <c r="BA38" s="1692"/>
      <c r="BB38" s="2717"/>
      <c r="BC38" s="2789"/>
      <c r="BD38" s="2860"/>
      <c r="BE38" s="2797"/>
      <c r="BG38" s="26"/>
    </row>
    <row r="39" spans="1:59" x14ac:dyDescent="0.35">
      <c r="A39" s="2825"/>
      <c r="B39" s="513"/>
      <c r="C39" s="513" t="s">
        <v>3836</v>
      </c>
      <c r="D39" s="2850"/>
      <c r="E39" s="2851"/>
      <c r="F39" s="2861"/>
      <c r="G39" s="2853"/>
      <c r="H39" s="2862"/>
      <c r="I39" s="2855"/>
      <c r="J39" s="2853"/>
      <c r="K39" s="2862"/>
      <c r="L39" s="2855"/>
      <c r="M39" s="2853"/>
      <c r="N39" s="2763"/>
      <c r="O39" s="2764"/>
      <c r="P39" s="1686"/>
      <c r="Q39" s="2795"/>
      <c r="R39" s="2717"/>
      <c r="S39" s="2763">
        <v>827</v>
      </c>
      <c r="T39" s="2765" t="s">
        <v>3844</v>
      </c>
      <c r="U39" s="2855"/>
      <c r="V39" s="2851"/>
      <c r="W39" s="2763">
        <v>827</v>
      </c>
      <c r="X39" s="2764"/>
      <c r="Y39" s="1692" t="s">
        <v>3844</v>
      </c>
      <c r="Z39" s="2717"/>
      <c r="AA39" s="2763">
        <f>31.25+53+90+84+324+5+13.464</f>
        <v>600.71400000000006</v>
      </c>
      <c r="AB39" s="2753" t="s">
        <v>3845</v>
      </c>
      <c r="AC39" s="2863"/>
      <c r="AD39" s="2851"/>
      <c r="AE39" s="2857"/>
      <c r="AF39" s="2851"/>
      <c r="AG39" s="2763">
        <f>31.394+36.733+39.864+38.56+35.175+27.688+36.795+417.1285+35.635</f>
        <v>698.97249999999997</v>
      </c>
      <c r="AH39" s="2764"/>
      <c r="AI39" s="1692" t="s">
        <v>3846</v>
      </c>
      <c r="AJ39" s="2717"/>
      <c r="AK39" s="2763"/>
      <c r="AL39" s="2860"/>
      <c r="AM39" s="2863"/>
      <c r="AN39" s="2851"/>
      <c r="AO39" s="2857"/>
      <c r="AP39" s="2851"/>
      <c r="AQ39" s="2763"/>
      <c r="AR39" s="2764"/>
      <c r="AS39" s="1692"/>
      <c r="AT39" s="2717"/>
      <c r="AU39" s="2763"/>
      <c r="AV39" s="2860"/>
      <c r="AW39" s="2863"/>
      <c r="AY39" s="2763"/>
      <c r="AZ39" s="2764"/>
      <c r="BA39" s="1692"/>
      <c r="BB39" s="2717"/>
      <c r="BC39" s="2763"/>
      <c r="BD39" s="2860"/>
      <c r="BE39" s="2863"/>
      <c r="BF39" s="2851"/>
      <c r="BG39" s="26"/>
    </row>
    <row r="40" spans="1:59" x14ac:dyDescent="0.35">
      <c r="A40" s="2825"/>
      <c r="B40" s="232"/>
      <c r="C40" s="232" t="s">
        <v>3847</v>
      </c>
      <c r="D40" s="60"/>
      <c r="F40" s="2761"/>
      <c r="G40" s="2746"/>
      <c r="H40" s="2747"/>
      <c r="I40" s="2794"/>
      <c r="J40" s="2746"/>
      <c r="K40" s="2747"/>
      <c r="L40" s="2794"/>
      <c r="M40" s="2746"/>
      <c r="N40" s="2763">
        <v>9471.2604429999992</v>
      </c>
      <c r="O40" s="2764"/>
      <c r="P40" s="1686" t="s">
        <v>3832</v>
      </c>
      <c r="Q40" s="2795"/>
      <c r="R40" s="2717"/>
      <c r="S40" s="2763">
        <v>8565.9301909999995</v>
      </c>
      <c r="T40" s="2765" t="s">
        <v>3848</v>
      </c>
      <c r="U40" s="2794"/>
      <c r="W40" s="2763">
        <v>8565.9301909999995</v>
      </c>
      <c r="X40" s="2764"/>
      <c r="Y40" s="1692" t="s">
        <v>3848</v>
      </c>
      <c r="Z40" s="2717"/>
      <c r="AA40" s="2763">
        <f>9255.439584-AA41</f>
        <v>8617.373583999999</v>
      </c>
      <c r="AB40" s="2753" t="s">
        <v>3849</v>
      </c>
      <c r="AC40" s="2863"/>
      <c r="AE40" s="26"/>
      <c r="AG40" s="2763">
        <f>9255.439584-AG41</f>
        <v>8617.373583999999</v>
      </c>
      <c r="AH40" s="2764"/>
      <c r="AI40" s="1692" t="s">
        <v>3850</v>
      </c>
      <c r="AJ40" s="2717"/>
      <c r="AK40" s="2763"/>
      <c r="AL40" s="2753"/>
      <c r="AM40" s="2863"/>
      <c r="AO40" s="26"/>
      <c r="AQ40" s="2763"/>
      <c r="AR40" s="2764"/>
      <c r="AS40" s="1692"/>
      <c r="AT40" s="2717"/>
      <c r="AU40" s="2763">
        <v>997.293229</v>
      </c>
      <c r="AV40" s="2860" t="s">
        <v>3851</v>
      </c>
      <c r="AW40" s="2863"/>
      <c r="AY40" s="2763">
        <v>992.00225699999999</v>
      </c>
      <c r="AZ40" s="2764">
        <v>1031.239644</v>
      </c>
      <c r="BA40" s="1692"/>
      <c r="BB40" s="2717"/>
      <c r="BC40" s="2763">
        <v>1353.2855050000001</v>
      </c>
      <c r="BD40" s="2860"/>
      <c r="BE40" s="2863">
        <v>1274.2497900000001</v>
      </c>
      <c r="BG40" s="26"/>
    </row>
    <row r="41" spans="1:59" x14ac:dyDescent="0.35">
      <c r="A41" s="2825"/>
      <c r="B41" s="513"/>
      <c r="C41" s="513" t="s">
        <v>3836</v>
      </c>
      <c r="D41" s="2850"/>
      <c r="E41" s="2851"/>
      <c r="F41" s="2861"/>
      <c r="G41" s="2853"/>
      <c r="H41" s="2864"/>
      <c r="I41" s="2855"/>
      <c r="J41" s="2853"/>
      <c r="K41" s="2864"/>
      <c r="L41" s="2855"/>
      <c r="M41" s="2853"/>
      <c r="N41" s="2789"/>
      <c r="O41" s="2764"/>
      <c r="P41" s="1686"/>
      <c r="Q41" s="2795"/>
      <c r="R41" s="2717"/>
      <c r="S41" s="2763">
        <v>315</v>
      </c>
      <c r="T41" s="2765" t="s">
        <v>3852</v>
      </c>
      <c r="U41" s="2855"/>
      <c r="V41" s="2851"/>
      <c r="W41" s="2789">
        <v>315</v>
      </c>
      <c r="X41" s="2764"/>
      <c r="Y41" s="1692" t="s">
        <v>3852</v>
      </c>
      <c r="Z41" s="2717"/>
      <c r="AA41" s="2763">
        <f>11+9.256+54.209+250+10+10+293.601</f>
        <v>638.06600000000003</v>
      </c>
      <c r="AB41" s="2753" t="s">
        <v>3853</v>
      </c>
      <c r="AC41" s="2863"/>
      <c r="AD41" s="2851"/>
      <c r="AE41" s="2857"/>
      <c r="AF41" s="2851"/>
      <c r="AG41" s="2789">
        <f>11+9.256+54.209+250+10+10+293.601</f>
        <v>638.06600000000003</v>
      </c>
      <c r="AH41" s="2764"/>
      <c r="AI41" s="1692" t="s">
        <v>3854</v>
      </c>
      <c r="AJ41" s="2717"/>
      <c r="AK41" s="2763"/>
      <c r="AL41" s="2865"/>
      <c r="AM41" s="2863"/>
      <c r="AN41" s="2851"/>
      <c r="AO41" s="2857"/>
      <c r="AP41" s="2851"/>
      <c r="AQ41" s="2763"/>
      <c r="AR41" s="2764"/>
      <c r="AS41" s="1692"/>
      <c r="AT41" s="2717"/>
      <c r="AU41" s="2763">
        <f>39.9+144.9</f>
        <v>184.8</v>
      </c>
      <c r="AV41" s="2860" t="s">
        <v>3855</v>
      </c>
      <c r="AW41" s="2863"/>
      <c r="AY41" s="2763">
        <v>39.9</v>
      </c>
      <c r="AZ41" s="2764">
        <v>35.058093</v>
      </c>
      <c r="BA41" s="1692"/>
      <c r="BB41" s="2717"/>
      <c r="BC41" s="2763"/>
      <c r="BD41" s="2860"/>
      <c r="BE41" s="2863"/>
      <c r="BF41" s="2851"/>
      <c r="BG41" s="24"/>
    </row>
    <row r="42" spans="1:59" x14ac:dyDescent="0.35">
      <c r="A42" s="2825"/>
      <c r="B42" s="141" t="s">
        <v>940</v>
      </c>
      <c r="C42"/>
      <c r="D42" s="60"/>
      <c r="E42" s="143"/>
      <c r="F42" s="2866"/>
      <c r="G42" s="2776"/>
      <c r="H42" s="2867"/>
      <c r="I42" s="2868"/>
      <c r="J42" s="2776"/>
      <c r="K42" s="2867"/>
      <c r="L42" s="2868"/>
      <c r="M42" s="2776"/>
      <c r="N42" s="2829"/>
      <c r="O42" s="2869"/>
      <c r="P42" s="1686"/>
      <c r="Q42" s="2870"/>
      <c r="R42" s="2871"/>
      <c r="S42" s="2829"/>
      <c r="T42" s="2721"/>
      <c r="U42" s="2868"/>
      <c r="V42" s="143"/>
      <c r="W42" s="2829"/>
      <c r="X42" s="2869"/>
      <c r="Y42" s="1692"/>
      <c r="Z42" s="2871"/>
      <c r="AA42" s="2829"/>
      <c r="AB42" s="2721"/>
      <c r="AC42" s="2872"/>
      <c r="AD42" s="143"/>
      <c r="AE42" s="26"/>
      <c r="AF42" s="143"/>
      <c r="AG42" s="2829"/>
      <c r="AH42" s="2869"/>
      <c r="AI42" s="1692"/>
      <c r="AJ42" s="2871"/>
      <c r="AK42" s="2829"/>
      <c r="AL42" s="2721"/>
      <c r="AM42" s="2872"/>
      <c r="AN42" s="143"/>
      <c r="AO42" s="26"/>
      <c r="AP42" s="143"/>
      <c r="AQ42" s="2829"/>
      <c r="AR42" s="2869"/>
      <c r="AS42" s="1692"/>
      <c r="AT42" s="2871"/>
      <c r="AU42" s="2829"/>
      <c r="AV42" s="2721"/>
      <c r="AW42" s="2872"/>
      <c r="AX42" s="143"/>
      <c r="AY42" s="2829"/>
      <c r="AZ42" s="2869"/>
      <c r="BA42" s="1692"/>
      <c r="BB42" s="2871"/>
      <c r="BC42" s="8907"/>
      <c r="BD42" s="8907"/>
      <c r="BE42" s="2872"/>
      <c r="BF42" s="143"/>
      <c r="BG42" s="26"/>
    </row>
    <row r="43" spans="1:59" ht="24.75" customHeight="1" x14ac:dyDescent="0.35">
      <c r="A43" s="2825"/>
      <c r="B43" s="232"/>
      <c r="C43" s="232" t="s">
        <v>941</v>
      </c>
      <c r="D43" s="60"/>
      <c r="F43" s="2873"/>
      <c r="G43" s="2746"/>
      <c r="H43" s="2755"/>
      <c r="I43" s="2794"/>
      <c r="J43" s="2746"/>
      <c r="K43" s="2755"/>
      <c r="L43" s="2794"/>
      <c r="M43" s="2746"/>
      <c r="N43" s="2748"/>
      <c r="O43" s="2749"/>
      <c r="P43" s="1686"/>
      <c r="Q43" s="2795"/>
      <c r="R43" s="2717"/>
      <c r="S43" s="2748"/>
      <c r="T43" s="2751"/>
      <c r="U43" s="2794"/>
      <c r="W43" s="2748"/>
      <c r="X43" s="2749"/>
      <c r="Y43" s="1692"/>
      <c r="Z43" s="2717"/>
      <c r="AA43" s="2748"/>
      <c r="AB43" s="2753"/>
      <c r="AC43" s="2856"/>
      <c r="AE43" s="26"/>
      <c r="AG43" s="2748"/>
      <c r="AH43" s="2749"/>
      <c r="AI43" s="1692"/>
      <c r="AJ43" s="2717"/>
      <c r="AK43" s="2748"/>
      <c r="AL43" s="2753"/>
      <c r="AM43" s="2856"/>
      <c r="AO43" s="26"/>
      <c r="AQ43" s="2748"/>
      <c r="AR43" s="2749"/>
      <c r="AS43" s="1692"/>
      <c r="AT43" s="2717"/>
      <c r="AU43" s="2748"/>
      <c r="AV43" s="2753"/>
      <c r="AW43" s="2856"/>
      <c r="AY43" s="2748"/>
      <c r="AZ43" s="2749"/>
      <c r="BA43" s="1692"/>
      <c r="BB43" s="2717"/>
      <c r="BC43" s="2748"/>
      <c r="BD43" s="2753"/>
      <c r="BE43" s="2856"/>
      <c r="BG43" s="257" t="s">
        <v>3856</v>
      </c>
    </row>
    <row r="44" spans="1:59" x14ac:dyDescent="0.35">
      <c r="A44" s="2825"/>
      <c r="B44" s="232"/>
      <c r="C44" s="232" t="s">
        <v>942</v>
      </c>
      <c r="D44" s="60"/>
      <c r="F44" s="2874"/>
      <c r="G44" s="2746"/>
      <c r="H44" s="2747"/>
      <c r="I44" s="2794"/>
      <c r="J44" s="2746"/>
      <c r="K44" s="2747"/>
      <c r="L44" s="2794"/>
      <c r="M44" s="2746"/>
      <c r="N44" s="2789"/>
      <c r="O44" s="2790"/>
      <c r="P44" s="1686"/>
      <c r="Q44" s="2795"/>
      <c r="R44" s="2717"/>
      <c r="S44" s="2789"/>
      <c r="T44" s="2796"/>
      <c r="U44" s="2794"/>
      <c r="W44" s="2789"/>
      <c r="X44" s="2790"/>
      <c r="Y44" s="1692"/>
      <c r="Z44" s="2717"/>
      <c r="AA44" s="2789"/>
      <c r="AB44" s="2753"/>
      <c r="AC44" s="2797"/>
      <c r="AE44" s="26"/>
      <c r="AG44" s="2789"/>
      <c r="AH44" s="2790"/>
      <c r="AI44" s="1692"/>
      <c r="AJ44" s="2717"/>
      <c r="AK44" s="2789"/>
      <c r="AL44" s="2753"/>
      <c r="AM44" s="2797"/>
      <c r="AO44" s="26"/>
      <c r="AQ44" s="2789"/>
      <c r="AR44" s="2790"/>
      <c r="AS44" s="1692"/>
      <c r="AT44" s="2717"/>
      <c r="AU44" s="2789"/>
      <c r="AV44" s="2753"/>
      <c r="AW44" s="2797"/>
      <c r="AY44" s="2789"/>
      <c r="AZ44" s="2790"/>
      <c r="BA44" s="1692"/>
      <c r="BB44" s="2717"/>
      <c r="BC44" s="2789"/>
      <c r="BD44" s="2753"/>
      <c r="BE44" s="2797"/>
      <c r="BG44" s="26" t="s">
        <v>3857</v>
      </c>
    </row>
    <row r="45" spans="1:59" x14ac:dyDescent="0.35">
      <c r="A45" s="2825"/>
      <c r="B45" s="1662"/>
      <c r="C45" s="1662" t="s">
        <v>943</v>
      </c>
      <c r="D45" s="87"/>
      <c r="F45" s="2875"/>
      <c r="G45" s="2746"/>
      <c r="H45" s="2767"/>
      <c r="I45" s="2876"/>
      <c r="J45" s="2746"/>
      <c r="K45" s="2767"/>
      <c r="L45" s="2876"/>
      <c r="M45" s="2746"/>
      <c r="N45" s="2769"/>
      <c r="O45" s="2770"/>
      <c r="P45" s="2728"/>
      <c r="Q45" s="2877"/>
      <c r="R45" s="2717"/>
      <c r="S45" s="2769"/>
      <c r="T45" s="2771"/>
      <c r="U45" s="2876"/>
      <c r="W45" s="2769"/>
      <c r="X45" s="2770"/>
      <c r="Y45" s="1697"/>
      <c r="Z45" s="2717"/>
      <c r="AA45" s="2769"/>
      <c r="AB45" s="2773"/>
      <c r="AC45" s="2878"/>
      <c r="AE45" s="24"/>
      <c r="AG45" s="2769"/>
      <c r="AH45" s="2770"/>
      <c r="AI45" s="1697"/>
      <c r="AJ45" s="2717"/>
      <c r="AK45" s="2769"/>
      <c r="AL45" s="2773"/>
      <c r="AM45" s="2878"/>
      <c r="AO45" s="24"/>
      <c r="AQ45" s="2769"/>
      <c r="AR45" s="2770"/>
      <c r="AS45" s="1697"/>
      <c r="AT45" s="2717"/>
      <c r="AU45" s="2769"/>
      <c r="AV45" s="2773"/>
      <c r="AW45" s="2878"/>
      <c r="AY45" s="2769"/>
      <c r="AZ45" s="2770"/>
      <c r="BA45" s="1697"/>
      <c r="BB45" s="2717"/>
      <c r="BC45" s="2769"/>
      <c r="BD45" s="2773"/>
      <c r="BE45" s="2878"/>
      <c r="BG45" s="26" t="s">
        <v>3858</v>
      </c>
    </row>
    <row r="46" spans="1:59" x14ac:dyDescent="0.35">
      <c r="A46" s="2825"/>
      <c r="B46" s="141" t="s">
        <v>944</v>
      </c>
      <c r="C46" s="141"/>
      <c r="D46" s="60"/>
      <c r="E46" s="143"/>
      <c r="F46" s="2879"/>
      <c r="G46" s="1579"/>
      <c r="H46" s="245"/>
      <c r="I46" s="247"/>
      <c r="J46" s="1579"/>
      <c r="K46" s="245"/>
      <c r="L46" s="247"/>
      <c r="M46" s="1579"/>
      <c r="N46" s="2737" t="s">
        <v>3859</v>
      </c>
      <c r="O46" s="2826"/>
      <c r="P46" s="2697"/>
      <c r="Q46" s="1689"/>
      <c r="R46" s="2827"/>
      <c r="S46" s="2737"/>
      <c r="T46" s="2828"/>
      <c r="U46" s="268"/>
      <c r="V46" s="143"/>
      <c r="W46" s="2737"/>
      <c r="X46" s="2826"/>
      <c r="Y46" s="1689"/>
      <c r="Z46" s="2827"/>
      <c r="AA46" s="2737"/>
      <c r="AB46" s="2828"/>
      <c r="AC46" s="2830"/>
      <c r="AD46" s="143"/>
      <c r="AE46" s="26"/>
      <c r="AF46" s="143"/>
      <c r="AG46" s="2737"/>
      <c r="AH46" s="2826"/>
      <c r="AI46" s="1689"/>
      <c r="AJ46" s="2827"/>
      <c r="AK46" s="2737"/>
      <c r="AL46" s="2828"/>
      <c r="AM46" s="2830"/>
      <c r="AN46" s="143"/>
      <c r="AO46" s="26"/>
      <c r="AP46" s="143"/>
      <c r="AQ46" s="2737"/>
      <c r="AR46" s="2826"/>
      <c r="AS46" s="1689"/>
      <c r="AT46" s="2827"/>
      <c r="AU46" s="2737"/>
      <c r="AV46" s="2828"/>
      <c r="AW46" s="2830"/>
      <c r="AY46" s="2737"/>
      <c r="AZ46" s="2826"/>
      <c r="BA46" s="1689"/>
      <c r="BB46" s="2827"/>
      <c r="BC46" s="2737"/>
      <c r="BD46" s="2828"/>
      <c r="BE46" s="2830"/>
      <c r="BF46" s="143"/>
      <c r="BG46" s="26" t="s">
        <v>3860</v>
      </c>
    </row>
    <row r="47" spans="1:59" x14ac:dyDescent="0.35">
      <c r="A47" s="2825"/>
      <c r="B47" s="232"/>
      <c r="C47" s="232" t="s">
        <v>3861</v>
      </c>
      <c r="D47" s="60"/>
      <c r="F47" s="2873"/>
      <c r="H47" s="2880"/>
      <c r="I47" s="2881"/>
      <c r="K47" s="2880"/>
      <c r="L47" s="2881"/>
      <c r="N47" s="2748">
        <v>363.46300000000002</v>
      </c>
      <c r="O47" s="2882" t="s">
        <v>1327</v>
      </c>
      <c r="P47" s="1686"/>
      <c r="Q47" s="2883"/>
      <c r="R47" s="2675"/>
      <c r="S47" s="2748">
        <v>363.46300000000002</v>
      </c>
      <c r="T47" s="2751"/>
      <c r="U47" s="2881"/>
      <c r="W47" s="2748">
        <v>363.46300000000002</v>
      </c>
      <c r="X47" s="2882"/>
      <c r="Y47" s="2884" t="s">
        <v>1111</v>
      </c>
      <c r="Z47" s="2675"/>
      <c r="AA47" s="2748">
        <v>451.488</v>
      </c>
      <c r="AB47" s="2885" t="s">
        <v>900</v>
      </c>
      <c r="AC47" s="2856"/>
      <c r="AE47" s="257" t="s">
        <v>3856</v>
      </c>
      <c r="AG47" s="2748">
        <v>451.21499999999997</v>
      </c>
      <c r="AH47" s="2882"/>
      <c r="AI47" s="2884" t="s">
        <v>3144</v>
      </c>
      <c r="AJ47" s="2675"/>
      <c r="AK47" s="2748"/>
      <c r="AL47" s="2719"/>
      <c r="AM47" s="2856"/>
      <c r="AO47" s="257"/>
      <c r="AQ47" s="2748"/>
      <c r="AR47" s="2882"/>
      <c r="AS47" s="2884"/>
      <c r="AT47" s="2675"/>
      <c r="AU47" s="593">
        <v>45.841500000000003</v>
      </c>
      <c r="AV47" s="2719" t="s">
        <v>3053</v>
      </c>
      <c r="AW47" s="2856"/>
      <c r="AY47" s="2748">
        <v>35.891100000000002</v>
      </c>
      <c r="AZ47" s="2751">
        <v>37.552562999999999</v>
      </c>
      <c r="BA47" s="2884" t="s">
        <v>3862</v>
      </c>
      <c r="BB47" s="2675"/>
      <c r="BC47" s="593">
        <v>73.752251999999999</v>
      </c>
      <c r="BD47" s="2719"/>
      <c r="BE47" s="2856">
        <v>87.844170000000005</v>
      </c>
      <c r="BG47" s="26" t="s">
        <v>3863</v>
      </c>
    </row>
    <row r="48" spans="1:59" x14ac:dyDescent="0.35">
      <c r="A48" s="2825"/>
      <c r="B48" s="232"/>
      <c r="C48" s="232" t="s">
        <v>3864</v>
      </c>
      <c r="D48" s="60"/>
      <c r="F48" s="2874"/>
      <c r="H48" s="2886"/>
      <c r="I48" s="2881"/>
      <c r="K48" s="2886"/>
      <c r="L48" s="2881"/>
      <c r="N48" s="2789">
        <v>880</v>
      </c>
      <c r="O48" s="2887"/>
      <c r="P48" s="1686"/>
      <c r="Q48" s="2883"/>
      <c r="R48" s="2675"/>
      <c r="S48" s="2789">
        <v>700</v>
      </c>
      <c r="T48" s="2796"/>
      <c r="U48" s="2881"/>
      <c r="W48" s="2789"/>
      <c r="X48" s="2887"/>
      <c r="Y48" s="2716"/>
      <c r="Z48" s="2675"/>
      <c r="AA48" s="2789"/>
      <c r="AB48" s="2885"/>
      <c r="AC48" s="2797"/>
      <c r="AE48" s="26" t="s">
        <v>3857</v>
      </c>
      <c r="AG48" s="2789"/>
      <c r="AH48" s="2887"/>
      <c r="AI48" s="2716"/>
      <c r="AJ48" s="2675"/>
      <c r="AK48" s="2789"/>
      <c r="AL48" s="2719"/>
      <c r="AM48" s="2797"/>
      <c r="AO48" s="26"/>
      <c r="AQ48" s="2789"/>
      <c r="AR48" s="2887"/>
      <c r="AS48" s="2716"/>
      <c r="AT48" s="2675"/>
      <c r="AU48" s="595">
        <v>45</v>
      </c>
      <c r="AV48" s="2719" t="s">
        <v>3865</v>
      </c>
      <c r="AW48" s="2797"/>
      <c r="AY48" s="2789">
        <f>44.27+5</f>
        <v>49.27</v>
      </c>
      <c r="AZ48" s="2796">
        <f>25.639491-AZ56</f>
        <v>17.668491</v>
      </c>
      <c r="BA48" s="2716" t="s">
        <v>3866</v>
      </c>
      <c r="BB48" s="2675"/>
      <c r="BC48" s="595">
        <v>41.5</v>
      </c>
      <c r="BD48" s="2719"/>
      <c r="BE48" s="2797">
        <v>41.316994000000001</v>
      </c>
      <c r="BG48" s="26" t="s">
        <v>3867</v>
      </c>
    </row>
    <row r="49" spans="1:59" x14ac:dyDescent="0.35">
      <c r="A49" s="2825"/>
      <c r="B49" s="232"/>
      <c r="C49" s="232" t="s">
        <v>3868</v>
      </c>
      <c r="D49" s="60"/>
      <c r="F49" s="2874"/>
      <c r="H49" s="2886"/>
      <c r="I49" s="2881"/>
      <c r="K49" s="2886"/>
      <c r="L49" s="2881"/>
      <c r="N49" s="2789">
        <v>106.89100000000001</v>
      </c>
      <c r="O49" s="2887"/>
      <c r="P49" s="2888"/>
      <c r="Q49" s="2883"/>
      <c r="R49" s="2675"/>
      <c r="S49" s="2789">
        <v>106.89100000000001</v>
      </c>
      <c r="T49" s="2796"/>
      <c r="U49" s="2881"/>
      <c r="W49" s="2789">
        <v>106.89100000000001</v>
      </c>
      <c r="X49" s="2887"/>
      <c r="Y49" s="2889" t="s">
        <v>2898</v>
      </c>
      <c r="Z49" s="2675"/>
      <c r="AA49" s="2789">
        <v>110.73399999999999</v>
      </c>
      <c r="AB49" s="2885" t="s">
        <v>3869</v>
      </c>
      <c r="AC49" s="2797"/>
      <c r="AE49" s="26" t="s">
        <v>3858</v>
      </c>
      <c r="AG49" s="2789">
        <v>110.73399999999999</v>
      </c>
      <c r="AH49" s="2887"/>
      <c r="AI49" s="2889" t="s">
        <v>3870</v>
      </c>
      <c r="AJ49" s="2675"/>
      <c r="AK49" s="2890"/>
      <c r="AL49" s="2719"/>
      <c r="AM49" s="2797"/>
      <c r="AO49" s="26"/>
      <c r="AQ49" s="2890"/>
      <c r="AR49" s="2887"/>
      <c r="AS49" s="2889"/>
      <c r="AT49" s="2675"/>
      <c r="AU49" s="595">
        <v>10.915762000000001</v>
      </c>
      <c r="AV49" s="2719" t="s">
        <v>3653</v>
      </c>
      <c r="AW49" s="2797"/>
      <c r="AY49" s="595">
        <v>10.915762000000001</v>
      </c>
      <c r="AZ49" s="2796">
        <v>9.7497220000000002</v>
      </c>
      <c r="BA49" s="2889" t="s">
        <v>3871</v>
      </c>
      <c r="BB49" s="2675"/>
      <c r="BC49" s="595">
        <v>10.496111000000001</v>
      </c>
      <c r="BD49" s="2719"/>
      <c r="BE49" s="2797">
        <v>9.2109710000000007</v>
      </c>
      <c r="BG49" s="26" t="s">
        <v>3872</v>
      </c>
    </row>
    <row r="50" spans="1:59" x14ac:dyDescent="0.35">
      <c r="A50" s="2825"/>
      <c r="B50" s="232"/>
      <c r="C50" s="232" t="s">
        <v>3873</v>
      </c>
      <c r="D50" s="60"/>
      <c r="F50" s="2874"/>
      <c r="H50" s="2886"/>
      <c r="I50" s="2881"/>
      <c r="K50" s="2886"/>
      <c r="L50" s="2881"/>
      <c r="N50" s="2789">
        <v>77.055999999999997</v>
      </c>
      <c r="O50" s="2887"/>
      <c r="P50" s="2888"/>
      <c r="Q50" s="2883"/>
      <c r="R50" s="2675"/>
      <c r="S50" s="2789">
        <v>77.055999999999997</v>
      </c>
      <c r="T50" s="2796"/>
      <c r="U50" s="2881"/>
      <c r="W50" s="2789">
        <v>77.055999999999997</v>
      </c>
      <c r="X50" s="2887"/>
      <c r="Y50" s="2889" t="s">
        <v>3874</v>
      </c>
      <c r="Z50" s="2675"/>
      <c r="AA50" s="2789">
        <f>77.02</f>
        <v>77.02</v>
      </c>
      <c r="AB50" s="2885" t="s">
        <v>3875</v>
      </c>
      <c r="AC50" s="2797"/>
      <c r="AE50" s="26" t="s">
        <v>3860</v>
      </c>
      <c r="AG50" s="2789">
        <v>77.02</v>
      </c>
      <c r="AH50" s="2887"/>
      <c r="AI50" s="2889" t="s">
        <v>3876</v>
      </c>
      <c r="AJ50" s="2675"/>
      <c r="AK50" s="2890"/>
      <c r="AL50" s="2719"/>
      <c r="AM50" s="2797"/>
      <c r="AO50" s="26"/>
      <c r="AQ50" s="2890"/>
      <c r="AR50" s="2887"/>
      <c r="AS50" s="2889"/>
      <c r="AT50" s="2675"/>
      <c r="AU50" s="595">
        <v>7.5733259999999998</v>
      </c>
      <c r="AV50" s="2719" t="s">
        <v>3877</v>
      </c>
      <c r="AW50" s="2797"/>
      <c r="AY50" s="595">
        <v>7.5733259999999998</v>
      </c>
      <c r="AZ50" s="2796">
        <v>9.3981429999999992</v>
      </c>
      <c r="BA50" s="2889" t="s">
        <v>3878</v>
      </c>
      <c r="BB50" s="2675"/>
      <c r="BC50" s="595"/>
      <c r="BD50" s="2719"/>
      <c r="BE50" s="2797"/>
      <c r="BG50" s="26"/>
    </row>
    <row r="51" spans="1:59" x14ac:dyDescent="0.35">
      <c r="A51" s="2825"/>
      <c r="B51" s="232"/>
      <c r="C51" s="232" t="s">
        <v>3879</v>
      </c>
      <c r="D51" s="60"/>
      <c r="F51" s="2874"/>
      <c r="H51" s="2886"/>
      <c r="I51" s="2881"/>
      <c r="K51" s="2886"/>
      <c r="L51" s="2881"/>
      <c r="N51" s="2789">
        <f>74.111+175+5+352.026+86.497+23.548+22.648+20.648+23.648+53.915</f>
        <v>837.04099999999994</v>
      </c>
      <c r="O51" s="2887"/>
      <c r="P51" s="2888"/>
      <c r="Q51" s="2883"/>
      <c r="R51" s="2675"/>
      <c r="S51" s="2789">
        <f>74.111+155+5+457.103+86.497+23.548+22.648+20.648+23.648+50</f>
        <v>918.20299999999997</v>
      </c>
      <c r="T51" s="2796" t="s">
        <v>1064</v>
      </c>
      <c r="U51" s="2881"/>
      <c r="W51" s="2789">
        <f>74.111+155+5+457.103+86.497+23.548+22.648+20.648+23.648+50</f>
        <v>918.20299999999997</v>
      </c>
      <c r="X51" s="2887"/>
      <c r="Y51" s="2889" t="s">
        <v>1064</v>
      </c>
      <c r="Z51" s="2675"/>
      <c r="AA51" s="2789">
        <f>53.9066+348.3+474.103832+90.497+23.548+22.648+23.648</f>
        <v>1036.6514319999999</v>
      </c>
      <c r="AB51" s="2885" t="s">
        <v>3880</v>
      </c>
      <c r="AC51" s="2797"/>
      <c r="AE51" s="26" t="s">
        <v>3863</v>
      </c>
      <c r="AG51" s="2789">
        <f>53.9066+348.3+474.103832+827.285116+90.497+23.548+22.648+23.648</f>
        <v>1863.9365479999999</v>
      </c>
      <c r="AH51" s="2887"/>
      <c r="AI51" s="2889" t="s">
        <v>3881</v>
      </c>
      <c r="AJ51" s="2675"/>
      <c r="AK51" s="2890"/>
      <c r="AL51" s="2719"/>
      <c r="AM51" s="2797"/>
      <c r="AO51" s="26"/>
      <c r="AQ51" s="2890"/>
      <c r="AR51" s="2887"/>
      <c r="AS51" s="2889"/>
      <c r="AT51" s="2675"/>
      <c r="AU51" s="595">
        <f>5.39066+34.83+48.974367+8.563524+2.3548+2.2648+2.0648+2.3648</f>
        <v>106.807751</v>
      </c>
      <c r="AV51" s="2719" t="s">
        <v>3882</v>
      </c>
      <c r="AW51" s="2797"/>
      <c r="AY51" s="595">
        <f>5.33129+34.7805+48.974367+8.563624+2.3548+2.0648</f>
        <v>102.06938100000002</v>
      </c>
      <c r="AZ51" s="2796">
        <f>5.323168+34.769666+52.947097+9.121702+2.354+2.354+2.064+2.354</f>
        <v>111.28763299999999</v>
      </c>
      <c r="BA51" s="2889" t="s">
        <v>3883</v>
      </c>
      <c r="BB51" s="2675"/>
      <c r="BC51" s="595">
        <f>4.78421+30.842844+65.527267+13.904324+2.3548+2.4248+2.0648+2.0648</f>
        <v>123.96784500000001</v>
      </c>
      <c r="BD51" s="2719"/>
      <c r="BE51" s="2797">
        <f>4.577788+30.759781+67.825608+14.404834+2.3548+2.4248+2.0648+2.3648</f>
        <v>126.77721100000001</v>
      </c>
      <c r="BG51" s="257" t="s">
        <v>3856</v>
      </c>
    </row>
    <row r="52" spans="1:59" x14ac:dyDescent="0.35">
      <c r="A52" s="2825"/>
      <c r="B52" s="232"/>
      <c r="C52" s="232" t="s">
        <v>1876</v>
      </c>
      <c r="D52" s="60"/>
      <c r="F52" s="2874"/>
      <c r="H52" s="2886"/>
      <c r="I52" s="2881"/>
      <c r="K52" s="2886"/>
      <c r="L52" s="2881"/>
      <c r="N52" s="2789">
        <f>131.181+94.765+63.532+63.532+63.532</f>
        <v>416.54199999999997</v>
      </c>
      <c r="O52" s="2887"/>
      <c r="P52" s="2888"/>
      <c r="Q52" s="2883"/>
      <c r="R52" s="2675"/>
      <c r="S52" s="2789">
        <f>131.181+94.765+63.532+63.532+63.532</f>
        <v>416.54199999999997</v>
      </c>
      <c r="T52" s="2796" t="s">
        <v>3884</v>
      </c>
      <c r="U52" s="2881"/>
      <c r="W52" s="2789">
        <f>131.181+94.765+63.532+63.532+63.532</f>
        <v>416.54199999999997</v>
      </c>
      <c r="X52" s="2887"/>
      <c r="Y52" s="2889" t="s">
        <v>3884</v>
      </c>
      <c r="Z52" s="2675"/>
      <c r="AA52" s="2789">
        <f>130.791+97.765+73.79+66.482+66.542</f>
        <v>435.37</v>
      </c>
      <c r="AB52" s="2885" t="s">
        <v>3885</v>
      </c>
      <c r="AC52" s="2797"/>
      <c r="AE52" s="26" t="s">
        <v>3867</v>
      </c>
      <c r="AG52" s="2789">
        <f>130.791+97.765+73.79+66.482+66.542</f>
        <v>435.37</v>
      </c>
      <c r="AH52" s="2887"/>
      <c r="AI52" s="2889" t="s">
        <v>3886</v>
      </c>
      <c r="AJ52" s="2675"/>
      <c r="AK52" s="2890"/>
      <c r="AL52" s="2719"/>
      <c r="AM52" s="2797"/>
      <c r="AO52" s="26"/>
      <c r="AQ52" s="2890"/>
      <c r="AR52" s="2887"/>
      <c r="AS52" s="2889"/>
      <c r="AT52" s="2675"/>
      <c r="AU52" s="595">
        <f>(13038506+8812874+7256818+6533879+6644629)/1000000</f>
        <v>42.286706000000002</v>
      </c>
      <c r="AV52" s="2719" t="s">
        <v>3887</v>
      </c>
      <c r="AW52" s="2797"/>
      <c r="AY52" s="595">
        <f>13.083083+8.812974+7.256816+6.533679+6.644629</f>
        <v>42.331181000000001</v>
      </c>
      <c r="AZ52" s="2796">
        <f>13.702844+7.980342+7.527536+6.594119+6.751366</f>
        <v>42.556206999999993</v>
      </c>
      <c r="BA52" s="2889" t="s">
        <v>3888</v>
      </c>
      <c r="BB52" s="2675"/>
      <c r="BC52" s="595">
        <f>13.8588+9.296536+8.64048+8.287541+8.178291</f>
        <v>48.261648000000001</v>
      </c>
      <c r="BD52" s="2719"/>
      <c r="BE52" s="2797">
        <f>13.953943+9.481212+8.342047+8.154957+8.108083</f>
        <v>48.040241999999999</v>
      </c>
      <c r="BG52" s="26" t="s">
        <v>3857</v>
      </c>
    </row>
    <row r="53" spans="1:59" x14ac:dyDescent="0.35">
      <c r="A53" s="2825"/>
      <c r="B53" s="232"/>
      <c r="C53" s="232" t="s">
        <v>3889</v>
      </c>
      <c r="D53" s="60"/>
      <c r="F53" s="2874"/>
      <c r="H53" s="2886"/>
      <c r="I53" s="2881"/>
      <c r="K53" s="2886"/>
      <c r="L53" s="2881"/>
      <c r="N53" s="2789">
        <f>103.469+76.915</f>
        <v>180.38400000000001</v>
      </c>
      <c r="O53" s="2887"/>
      <c r="P53" s="2888"/>
      <c r="Q53" s="2883"/>
      <c r="R53" s="2675"/>
      <c r="S53" s="2789">
        <f>103.4694+40</f>
        <v>143.46940000000001</v>
      </c>
      <c r="T53" s="2796"/>
      <c r="U53" s="2881"/>
      <c r="W53" s="2789">
        <f>103.4694+40</f>
        <v>143.46940000000001</v>
      </c>
      <c r="X53" s="2887"/>
      <c r="Y53" s="2891"/>
      <c r="Z53" s="2675"/>
      <c r="AA53" s="2789">
        <f>108.756</f>
        <v>108.756</v>
      </c>
      <c r="AB53" s="2885" t="s">
        <v>3890</v>
      </c>
      <c r="AC53" s="2797"/>
      <c r="AE53" s="26" t="s">
        <v>3872</v>
      </c>
      <c r="AG53" s="2789">
        <v>108.756</v>
      </c>
      <c r="AH53" s="2887"/>
      <c r="AI53" s="2889" t="s">
        <v>3891</v>
      </c>
      <c r="AJ53" s="2675"/>
      <c r="AK53" s="2789"/>
      <c r="AL53" s="2719"/>
      <c r="AM53" s="2797"/>
      <c r="AO53" s="26"/>
      <c r="AQ53" s="2789"/>
      <c r="AR53" s="2887"/>
      <c r="AS53" s="2891"/>
      <c r="AT53" s="2675"/>
      <c r="AU53" s="595">
        <f>(10940001+5740559)/1000000</f>
        <v>16.68056</v>
      </c>
      <c r="AV53" s="2719" t="s">
        <v>3892</v>
      </c>
      <c r="AW53" s="2797"/>
      <c r="AY53" s="2789">
        <f>0.8+2.47</f>
        <v>3.2700000000000005</v>
      </c>
      <c r="AZ53" s="2796">
        <f>0.799969+2.461594</f>
        <v>3.2615629999999998</v>
      </c>
      <c r="BA53" s="2891" t="s">
        <v>3421</v>
      </c>
      <c r="BB53" s="2675"/>
      <c r="BC53" s="595">
        <v>11.640001</v>
      </c>
      <c r="BD53" s="2719"/>
      <c r="BE53" s="2797">
        <v>11.188910999999999</v>
      </c>
      <c r="BG53" s="26" t="s">
        <v>3860</v>
      </c>
    </row>
    <row r="54" spans="1:59" x14ac:dyDescent="0.35">
      <c r="A54" s="2825"/>
      <c r="B54" s="2892" t="s">
        <v>1586</v>
      </c>
      <c r="C54" s="2892"/>
      <c r="D54" s="60"/>
      <c r="F54" s="2893"/>
      <c r="H54" s="2894"/>
      <c r="I54" s="2881"/>
      <c r="K54" s="2894"/>
      <c r="L54" s="2881"/>
      <c r="N54" s="2763"/>
      <c r="O54" s="2895"/>
      <c r="P54" s="2888"/>
      <c r="Q54" s="2883"/>
      <c r="R54" s="2675"/>
      <c r="S54" s="2763"/>
      <c r="T54" s="2765"/>
      <c r="U54" s="2881"/>
      <c r="W54" s="2763"/>
      <c r="X54" s="2895"/>
      <c r="Y54" s="2891"/>
      <c r="Z54" s="2675"/>
      <c r="AA54" s="2763"/>
      <c r="AB54" s="2885"/>
      <c r="AC54" s="2863"/>
      <c r="AE54" s="26"/>
      <c r="AG54" s="2763"/>
      <c r="AH54" s="2895"/>
      <c r="AI54" s="2891"/>
      <c r="AJ54" s="2675"/>
      <c r="AK54" s="2763"/>
      <c r="AL54" s="2719"/>
      <c r="AM54" s="2863"/>
      <c r="AO54" s="26"/>
      <c r="AQ54" s="2763"/>
      <c r="AR54" s="2895"/>
      <c r="AS54" s="2891"/>
      <c r="AT54" s="2675"/>
      <c r="AU54" s="1172"/>
      <c r="AV54" s="2719"/>
      <c r="AW54" s="2863"/>
      <c r="AY54" s="2763"/>
      <c r="AZ54" s="2765"/>
      <c r="BA54" s="2891"/>
      <c r="BB54" s="2675"/>
      <c r="BC54" s="1172"/>
      <c r="BD54" s="2719"/>
      <c r="BE54" s="2863"/>
      <c r="BG54" s="26" t="s">
        <v>3863</v>
      </c>
    </row>
    <row r="55" spans="1:59" ht="15.25" customHeight="1" x14ac:dyDescent="0.35">
      <c r="A55" s="2825"/>
      <c r="B55" s="2892"/>
      <c r="C55" s="238" t="s">
        <v>3861</v>
      </c>
      <c r="D55" s="60"/>
      <c r="F55" s="2893"/>
      <c r="H55" s="2894"/>
      <c r="I55" s="2881"/>
      <c r="K55" s="2894"/>
      <c r="L55" s="2881"/>
      <c r="N55" s="2763"/>
      <c r="O55" s="2895"/>
      <c r="P55" s="2888"/>
      <c r="Q55" s="2883"/>
      <c r="R55" s="2675"/>
      <c r="S55" s="2763"/>
      <c r="T55" s="2765"/>
      <c r="U55" s="2881"/>
      <c r="W55" s="2763">
        <v>0</v>
      </c>
      <c r="X55" s="2895"/>
      <c r="Y55" s="2891"/>
      <c r="Z55" s="2675"/>
      <c r="AA55" s="2763">
        <v>398.93799999999999</v>
      </c>
      <c r="AB55" s="2885" t="s">
        <v>2906</v>
      </c>
      <c r="AC55" s="2863"/>
      <c r="AE55" s="257" t="s">
        <v>3856</v>
      </c>
      <c r="AG55" s="2763">
        <v>0</v>
      </c>
      <c r="AH55" s="2895"/>
      <c r="AI55" s="2891"/>
      <c r="AJ55" s="2675"/>
      <c r="AK55" s="2763"/>
      <c r="AL55" s="2719"/>
      <c r="AM55" s="2863"/>
      <c r="AO55" s="257"/>
      <c r="AQ55" s="2763"/>
      <c r="AR55" s="2895"/>
      <c r="AS55" s="2891"/>
      <c r="AT55" s="2675"/>
      <c r="AU55" s="1172">
        <v>0</v>
      </c>
      <c r="AV55" s="2719" t="s">
        <v>3053</v>
      </c>
      <c r="AW55" s="2863"/>
      <c r="AY55" s="2763">
        <v>0</v>
      </c>
      <c r="AZ55" s="2765">
        <v>0</v>
      </c>
      <c r="BA55" s="2891"/>
      <c r="BB55" s="2675"/>
      <c r="BC55" s="1172"/>
      <c r="BD55" s="2719"/>
      <c r="BE55" s="2863"/>
      <c r="BG55" s="26" t="s">
        <v>3872</v>
      </c>
    </row>
    <row r="56" spans="1:59" x14ac:dyDescent="0.35">
      <c r="A56" s="2825"/>
      <c r="B56" s="2892"/>
      <c r="C56" s="232" t="s">
        <v>3864</v>
      </c>
      <c r="D56" s="60"/>
      <c r="F56" s="2893"/>
      <c r="H56" s="2894"/>
      <c r="I56" s="2881"/>
      <c r="K56" s="2894"/>
      <c r="L56" s="2881"/>
      <c r="N56" s="2763"/>
      <c r="O56" s="2895"/>
      <c r="P56" s="2888"/>
      <c r="Q56" s="2883"/>
      <c r="R56" s="2675"/>
      <c r="S56" s="2763"/>
      <c r="T56" s="2765"/>
      <c r="U56" s="2881"/>
      <c r="W56" s="2789">
        <v>700</v>
      </c>
      <c r="X56" s="2895"/>
      <c r="Y56" s="2889" t="s">
        <v>1747</v>
      </c>
      <c r="Z56" s="2675"/>
      <c r="AA56" s="2789">
        <v>650</v>
      </c>
      <c r="AB56" s="2885" t="s">
        <v>1868</v>
      </c>
      <c r="AC56" s="2863"/>
      <c r="AE56" s="26" t="s">
        <v>3857</v>
      </c>
      <c r="AG56" s="2789"/>
      <c r="AH56" s="2895"/>
      <c r="AI56" s="2889"/>
      <c r="AJ56" s="2675"/>
      <c r="AK56" s="2789"/>
      <c r="AL56" s="2719"/>
      <c r="AM56" s="2863"/>
      <c r="AO56" s="26"/>
      <c r="AQ56" s="2789"/>
      <c r="AR56" s="2895"/>
      <c r="AS56" s="2889"/>
      <c r="AT56" s="2675"/>
      <c r="AU56" s="595">
        <v>147.19999999999999</v>
      </c>
      <c r="AV56" s="2719" t="s">
        <v>3893</v>
      </c>
      <c r="AW56" s="2863"/>
      <c r="AY56" s="2789">
        <f>35+10</f>
        <v>45</v>
      </c>
      <c r="AZ56" s="2765">
        <f>2.971+5</f>
        <v>7.9710000000000001</v>
      </c>
      <c r="BA56" s="2889"/>
      <c r="BB56" s="2675"/>
      <c r="BC56" s="595"/>
      <c r="BD56" s="2719"/>
      <c r="BE56" s="2863"/>
      <c r="BG56" s="26" t="s">
        <v>3894</v>
      </c>
    </row>
    <row r="57" spans="1:59" x14ac:dyDescent="0.35">
      <c r="A57" s="2825"/>
      <c r="B57" s="2892"/>
      <c r="C57" s="232" t="s">
        <v>3873</v>
      </c>
      <c r="D57" s="60"/>
      <c r="F57" s="2893"/>
      <c r="H57" s="2894"/>
      <c r="I57" s="2881"/>
      <c r="K57" s="2894"/>
      <c r="L57" s="2881"/>
      <c r="N57" s="2763"/>
      <c r="O57" s="2895"/>
      <c r="P57" s="2888"/>
      <c r="Q57" s="2883"/>
      <c r="R57" s="2675"/>
      <c r="S57" s="2763"/>
      <c r="T57" s="2765"/>
      <c r="U57" s="2881"/>
      <c r="W57" s="2763">
        <v>20</v>
      </c>
      <c r="X57" s="2895"/>
      <c r="Y57" s="2889" t="s">
        <v>3874</v>
      </c>
      <c r="Z57" s="2675"/>
      <c r="AA57" s="2789">
        <f>18.57</f>
        <v>18.57</v>
      </c>
      <c r="AB57" s="2885" t="s">
        <v>3875</v>
      </c>
      <c r="AC57" s="2797"/>
      <c r="AE57" s="26" t="s">
        <v>3860</v>
      </c>
      <c r="AG57" s="2763"/>
      <c r="AH57" s="2895"/>
      <c r="AI57" s="2889"/>
      <c r="AJ57" s="2675"/>
      <c r="AK57" s="2789"/>
      <c r="AL57" s="2719"/>
      <c r="AM57" s="2797"/>
      <c r="AO57" s="26"/>
      <c r="AQ57" s="2789"/>
      <c r="AR57" s="2895"/>
      <c r="AS57" s="2889"/>
      <c r="AT57" s="2675"/>
      <c r="AU57" s="595">
        <v>0</v>
      </c>
      <c r="AV57" s="2719" t="s">
        <v>3877</v>
      </c>
      <c r="AW57" s="2797"/>
      <c r="AY57" s="2789">
        <v>0</v>
      </c>
      <c r="AZ57" s="2765">
        <v>0</v>
      </c>
      <c r="BA57" s="2889"/>
      <c r="BB57" s="2675"/>
      <c r="BC57" s="595"/>
      <c r="BD57" s="2719"/>
      <c r="BE57" s="2797"/>
      <c r="BG57" s="26"/>
    </row>
    <row r="58" spans="1:59" x14ac:dyDescent="0.35">
      <c r="A58" s="2825"/>
      <c r="B58" s="2892"/>
      <c r="C58" s="232"/>
      <c r="D58" s="60"/>
      <c r="F58" s="2893"/>
      <c r="H58" s="2894"/>
      <c r="I58" s="2881"/>
      <c r="K58" s="2894"/>
      <c r="L58" s="2881"/>
      <c r="N58" s="2763"/>
      <c r="O58" s="2895"/>
      <c r="P58" s="2888"/>
      <c r="Q58" s="2883"/>
      <c r="R58" s="2675"/>
      <c r="S58" s="2763"/>
      <c r="T58" s="2765"/>
      <c r="U58" s="2881"/>
      <c r="W58" s="2763"/>
      <c r="X58" s="2895"/>
      <c r="Y58" s="2889"/>
      <c r="Z58" s="2675"/>
      <c r="AA58" s="2789"/>
      <c r="AB58" s="2885"/>
      <c r="AC58" s="2797"/>
      <c r="AE58" s="26"/>
      <c r="AG58" s="2763"/>
      <c r="AH58" s="2895"/>
      <c r="AI58" s="2889"/>
      <c r="AJ58" s="2675"/>
      <c r="AK58" s="2789"/>
      <c r="AL58" s="2719"/>
      <c r="AM58" s="2797"/>
      <c r="AO58" s="26"/>
      <c r="AQ58" s="2789"/>
      <c r="AR58" s="2895"/>
      <c r="AS58" s="2889"/>
      <c r="AT58" s="2675"/>
      <c r="AU58" s="595">
        <v>2</v>
      </c>
      <c r="AV58" s="2719" t="s">
        <v>3851</v>
      </c>
      <c r="AW58" s="2797"/>
      <c r="AX58" s="141"/>
      <c r="AY58" s="2789"/>
      <c r="AZ58" s="2895"/>
      <c r="BA58" s="2889"/>
      <c r="BB58" s="2675"/>
      <c r="BC58" s="595"/>
      <c r="BD58" s="2719"/>
      <c r="BE58" s="2797"/>
      <c r="BG58" s="18"/>
    </row>
    <row r="59" spans="1:59" x14ac:dyDescent="0.35">
      <c r="A59" s="2825"/>
      <c r="B59" s="2892"/>
      <c r="C59" s="232" t="s">
        <v>3889</v>
      </c>
      <c r="D59" s="60"/>
      <c r="F59" s="2893"/>
      <c r="H59" s="2894"/>
      <c r="I59" s="2881"/>
      <c r="K59" s="2894"/>
      <c r="L59" s="2881"/>
      <c r="N59" s="2763"/>
      <c r="O59" s="2895"/>
      <c r="P59" s="2888"/>
      <c r="Q59" s="2883"/>
      <c r="R59" s="2675"/>
      <c r="S59" s="2763"/>
      <c r="T59" s="2765"/>
      <c r="U59" s="2881"/>
      <c r="W59" s="2763">
        <v>15</v>
      </c>
      <c r="X59" s="2895"/>
      <c r="Y59" s="2889" t="s">
        <v>3895</v>
      </c>
      <c r="Z59" s="2675"/>
      <c r="AA59" s="2789">
        <f>8</f>
        <v>8</v>
      </c>
      <c r="AB59" s="2885" t="s">
        <v>3890</v>
      </c>
      <c r="AC59" s="2797"/>
      <c r="AE59" s="26" t="s">
        <v>3872</v>
      </c>
      <c r="AG59" s="2763"/>
      <c r="AH59" s="2895"/>
      <c r="AI59" s="2889"/>
      <c r="AJ59" s="2675"/>
      <c r="AK59" s="2789"/>
      <c r="AL59" s="2719"/>
      <c r="AM59" s="2797"/>
      <c r="AO59" s="26"/>
      <c r="AQ59" s="2789"/>
      <c r="AR59" s="2895"/>
      <c r="AS59" s="2889"/>
      <c r="AT59" s="2675"/>
      <c r="AU59" s="2789"/>
      <c r="AV59" s="2719"/>
      <c r="AW59" s="2797"/>
      <c r="AY59" s="2789"/>
      <c r="AZ59" s="2895"/>
      <c r="BA59" s="2889"/>
      <c r="BB59" s="2675"/>
      <c r="BC59" s="2789"/>
      <c r="BD59" s="2719"/>
      <c r="BE59" s="2797"/>
      <c r="BG59" s="26"/>
    </row>
    <row r="60" spans="1:59" ht="58" x14ac:dyDescent="0.35">
      <c r="A60" s="2825"/>
      <c r="B60" s="2892"/>
      <c r="C60" s="2892"/>
      <c r="D60" s="60"/>
      <c r="F60" s="2893"/>
      <c r="H60" s="2894"/>
      <c r="I60" s="2881"/>
      <c r="K60" s="2894"/>
      <c r="L60" s="2881"/>
      <c r="N60" s="2763"/>
      <c r="O60" s="2895"/>
      <c r="P60" s="2888"/>
      <c r="Q60" s="2883"/>
      <c r="R60" s="2675"/>
      <c r="S60" s="2763"/>
      <c r="T60" s="2765"/>
      <c r="U60" s="2881"/>
      <c r="W60" s="2763"/>
      <c r="X60" s="2895"/>
      <c r="Y60" s="2883"/>
      <c r="Z60" s="2675"/>
      <c r="AA60" s="2763">
        <v>8130.09</v>
      </c>
      <c r="AB60" s="2753" t="s">
        <v>3896</v>
      </c>
      <c r="AC60" s="2863"/>
      <c r="AE60" s="26" t="s">
        <v>3894</v>
      </c>
      <c r="AG60" s="2763">
        <v>8130.09</v>
      </c>
      <c r="AH60" s="2895"/>
      <c r="AI60" s="2883" t="s">
        <v>3897</v>
      </c>
      <c r="AJ60" s="2675"/>
      <c r="AK60" s="2763"/>
      <c r="AL60" s="2719"/>
      <c r="AM60" s="2863"/>
      <c r="AO60" s="26"/>
      <c r="AQ60" s="2763"/>
      <c r="AR60" s="2895"/>
      <c r="AS60" s="2883"/>
      <c r="AT60" s="2675"/>
      <c r="AU60" s="2763"/>
      <c r="AV60" s="2719"/>
      <c r="AW60" s="2863"/>
      <c r="AY60" s="2763"/>
      <c r="AZ60" s="2895"/>
      <c r="BA60" s="2883"/>
      <c r="BB60" s="2675"/>
      <c r="BC60" s="2763"/>
      <c r="BD60" s="2719"/>
      <c r="BE60" s="2863"/>
      <c r="BG60" s="26"/>
    </row>
    <row r="61" spans="1:59" x14ac:dyDescent="0.35">
      <c r="A61" s="2825"/>
      <c r="B61" s="1654"/>
      <c r="C61" s="1654" t="s">
        <v>964</v>
      </c>
      <c r="D61" s="87"/>
      <c r="F61" s="2875"/>
      <c r="H61" s="2894"/>
      <c r="I61" s="2881"/>
      <c r="K61" s="2894"/>
      <c r="L61" s="2881"/>
      <c r="N61" s="2769"/>
      <c r="O61" s="2896"/>
      <c r="P61" s="2897"/>
      <c r="Q61" s="2898"/>
      <c r="R61" s="2675"/>
      <c r="S61" s="2769"/>
      <c r="T61" s="2771"/>
      <c r="U61" s="2899"/>
      <c r="W61" s="2769"/>
      <c r="X61" s="2896"/>
      <c r="Y61" s="2898"/>
      <c r="Z61" s="2675"/>
      <c r="AA61" s="2763"/>
      <c r="AB61" s="2753"/>
      <c r="AC61" s="2863"/>
      <c r="AE61" s="26"/>
      <c r="AG61" s="2769"/>
      <c r="AH61" s="2896"/>
      <c r="AI61" s="2898"/>
      <c r="AJ61" s="2675"/>
      <c r="AK61" s="2763"/>
      <c r="AL61" s="2753"/>
      <c r="AM61" s="2863"/>
      <c r="AO61" s="26"/>
      <c r="AQ61" s="2763"/>
      <c r="AR61" s="2896"/>
      <c r="AS61" s="2898"/>
      <c r="AT61" s="2675"/>
      <c r="AU61" s="2763"/>
      <c r="AV61" s="2753"/>
      <c r="AW61" s="2863"/>
      <c r="AY61" s="2763"/>
      <c r="AZ61" s="2896"/>
      <c r="BA61" s="2898"/>
      <c r="BB61" s="2675"/>
      <c r="BC61" s="2763"/>
      <c r="BD61" s="2753"/>
      <c r="BE61" s="2863"/>
      <c r="BG61" s="26"/>
    </row>
    <row r="62" spans="1:59" x14ac:dyDescent="0.35">
      <c r="A62" s="2825"/>
      <c r="B62" s="271" t="s">
        <v>965</v>
      </c>
      <c r="C62" s="271"/>
      <c r="D62" s="140"/>
      <c r="E62" s="141"/>
      <c r="F62" s="2879"/>
      <c r="G62" s="2900"/>
      <c r="H62" s="2901"/>
      <c r="I62" s="2902"/>
      <c r="J62" s="2900"/>
      <c r="K62" s="2901"/>
      <c r="L62" s="2902"/>
      <c r="M62" s="2900"/>
      <c r="N62" s="2737"/>
      <c r="O62" s="2903"/>
      <c r="P62" s="2904"/>
      <c r="Q62" s="2905"/>
      <c r="R62" s="2906"/>
      <c r="S62" s="2737"/>
      <c r="T62" s="2828"/>
      <c r="U62" s="2902"/>
      <c r="V62" s="141"/>
      <c r="W62" s="2737"/>
      <c r="X62" s="2903"/>
      <c r="Y62" s="2905"/>
      <c r="Z62" s="2906"/>
      <c r="AA62" s="2737"/>
      <c r="AB62" s="2828"/>
      <c r="AC62" s="2830"/>
      <c r="AD62" s="141"/>
      <c r="AE62" s="18"/>
      <c r="AF62" s="141"/>
      <c r="AG62" s="2737"/>
      <c r="AH62" s="2903"/>
      <c r="AI62" s="2905"/>
      <c r="AJ62" s="2906"/>
      <c r="AK62" s="2737"/>
      <c r="AL62" s="2828"/>
      <c r="AM62" s="2830"/>
      <c r="AN62" s="141"/>
      <c r="AO62" s="18"/>
      <c r="AP62" s="141"/>
      <c r="AQ62" s="2737"/>
      <c r="AR62" s="2903"/>
      <c r="AS62" s="2905"/>
      <c r="AT62" s="2906"/>
      <c r="AU62" s="2737"/>
      <c r="AV62" s="2828"/>
      <c r="AW62" s="2830"/>
      <c r="AY62" s="2737"/>
      <c r="AZ62" s="2903"/>
      <c r="BA62" s="2905"/>
      <c r="BB62" s="2906"/>
      <c r="BC62" s="2737"/>
      <c r="BD62" s="2828"/>
      <c r="BE62" s="2830"/>
      <c r="BF62" s="141"/>
      <c r="BG62" s="26"/>
    </row>
    <row r="63" spans="1:59" x14ac:dyDescent="0.35">
      <c r="A63" s="2825"/>
      <c r="B63" s="232"/>
      <c r="C63" s="232" t="s">
        <v>3831</v>
      </c>
      <c r="D63" s="60"/>
      <c r="F63" s="2873"/>
      <c r="H63" s="2880"/>
      <c r="I63" s="2881"/>
      <c r="K63" s="2880"/>
      <c r="L63" s="2881"/>
      <c r="N63" s="2748">
        <v>36407.648000000001</v>
      </c>
      <c r="O63" s="2882"/>
      <c r="P63" s="1686" t="s">
        <v>3832</v>
      </c>
      <c r="Q63" s="2883"/>
      <c r="R63" s="2675"/>
      <c r="S63" s="2748">
        <v>37135.801127999999</v>
      </c>
      <c r="T63" s="2751"/>
      <c r="U63" s="247" t="s">
        <v>3832</v>
      </c>
      <c r="W63" s="2748">
        <v>37135.801127999999</v>
      </c>
      <c r="X63" s="2882"/>
      <c r="Y63" s="1692"/>
      <c r="Z63" s="2675"/>
      <c r="AA63" s="2748"/>
      <c r="AB63" s="2753" t="s">
        <v>1929</v>
      </c>
      <c r="AC63" s="2856"/>
      <c r="AE63" s="26"/>
      <c r="AG63" s="2748"/>
      <c r="AH63" s="2882"/>
      <c r="AI63" s="1692"/>
      <c r="AJ63" s="2675"/>
      <c r="AK63" s="2748"/>
      <c r="AL63" s="2753" t="s">
        <v>1929</v>
      </c>
      <c r="AM63" s="2856"/>
      <c r="AO63" s="26"/>
      <c r="AQ63" s="2748"/>
      <c r="AR63" s="2882"/>
      <c r="AS63" s="1692"/>
      <c r="AT63" s="2675"/>
      <c r="AU63" s="2748"/>
      <c r="AV63" s="2753" t="s">
        <v>1929</v>
      </c>
      <c r="AW63" s="2856"/>
      <c r="AY63" s="2748"/>
      <c r="AZ63" s="2882"/>
      <c r="BA63" s="1692"/>
      <c r="BB63" s="2675"/>
      <c r="BC63" s="2748"/>
      <c r="BD63" s="2753" t="s">
        <v>1929</v>
      </c>
      <c r="BE63" s="2856"/>
      <c r="BG63" s="26"/>
    </row>
    <row r="64" spans="1:59" x14ac:dyDescent="0.35">
      <c r="A64" s="2825"/>
      <c r="B64" s="232"/>
      <c r="C64" s="232" t="s">
        <v>3841</v>
      </c>
      <c r="D64" s="60"/>
      <c r="F64" s="2874"/>
      <c r="H64" s="2886"/>
      <c r="I64" s="2881"/>
      <c r="K64" s="2886"/>
      <c r="L64" s="2881"/>
      <c r="N64" s="2789">
        <v>1260.098</v>
      </c>
      <c r="O64" s="2887"/>
      <c r="P64" s="1686" t="s">
        <v>3832</v>
      </c>
      <c r="Q64" s="2883"/>
      <c r="R64" s="2675"/>
      <c r="S64" s="2789">
        <v>1285.3</v>
      </c>
      <c r="T64" s="2796"/>
      <c r="U64" s="247" t="s">
        <v>3832</v>
      </c>
      <c r="W64" s="2789">
        <v>1285.3</v>
      </c>
      <c r="X64" s="2887"/>
      <c r="Y64" s="1692"/>
      <c r="Z64" s="2675"/>
      <c r="AA64" s="2789"/>
      <c r="AB64" s="2753"/>
      <c r="AC64" s="2797"/>
      <c r="AE64" s="26"/>
      <c r="AG64" s="2789"/>
      <c r="AH64" s="2887"/>
      <c r="AI64" s="1692"/>
      <c r="AJ64" s="2675"/>
      <c r="AK64" s="2789"/>
      <c r="AL64" s="2753"/>
      <c r="AM64" s="2797"/>
      <c r="AO64" s="26"/>
      <c r="AQ64" s="2789"/>
      <c r="AR64" s="2887"/>
      <c r="AS64" s="1692"/>
      <c r="AT64" s="2675"/>
      <c r="AU64" s="2789"/>
      <c r="AV64" s="2753"/>
      <c r="AW64" s="2797"/>
      <c r="AY64" s="2789"/>
      <c r="AZ64" s="2887"/>
      <c r="BA64" s="1692"/>
      <c r="BB64" s="2675"/>
      <c r="BC64" s="2789"/>
      <c r="BD64" s="2753"/>
      <c r="BE64" s="2797"/>
      <c r="BG64" s="26"/>
    </row>
    <row r="65" spans="1:59" x14ac:dyDescent="0.35">
      <c r="A65" s="2825"/>
      <c r="B65" s="232"/>
      <c r="C65" s="232" t="s">
        <v>3847</v>
      </c>
      <c r="D65" s="60"/>
      <c r="F65" s="2893"/>
      <c r="H65" s="2894"/>
      <c r="I65" s="2881"/>
      <c r="K65" s="2894"/>
      <c r="L65" s="2881"/>
      <c r="N65" s="2763">
        <v>2398.653112</v>
      </c>
      <c r="O65" s="2895"/>
      <c r="P65" s="1686" t="s">
        <v>3832</v>
      </c>
      <c r="Q65" s="2883"/>
      <c r="R65" s="2675"/>
      <c r="S65" s="2763">
        <v>2446.6261749999999</v>
      </c>
      <c r="T65" s="2765"/>
      <c r="U65" s="247" t="s">
        <v>3832</v>
      </c>
      <c r="W65" s="2763">
        <v>2446.6261749999999</v>
      </c>
      <c r="X65" s="2895"/>
      <c r="Y65" s="1692"/>
      <c r="Z65" s="2675"/>
      <c r="AA65" s="2763"/>
      <c r="AB65" s="2753"/>
      <c r="AC65" s="2863"/>
      <c r="AE65" s="26"/>
      <c r="AG65" s="2763"/>
      <c r="AH65" s="2895"/>
      <c r="AI65" s="1692"/>
      <c r="AJ65" s="2675"/>
      <c r="AK65" s="2763"/>
      <c r="AL65" s="2753"/>
      <c r="AM65" s="2863"/>
      <c r="AO65" s="26"/>
      <c r="AQ65" s="2763"/>
      <c r="AR65" s="2895"/>
      <c r="AS65" s="1692"/>
      <c r="AT65" s="2675"/>
      <c r="AU65" s="2763"/>
      <c r="AV65" s="2753"/>
      <c r="AW65" s="2863"/>
      <c r="AY65" s="2763"/>
      <c r="AZ65" s="2895"/>
      <c r="BA65" s="1692"/>
      <c r="BB65" s="2675"/>
      <c r="BC65" s="2763"/>
      <c r="BD65" s="2753"/>
      <c r="BE65" s="2863"/>
      <c r="BG65" s="26"/>
    </row>
    <row r="66" spans="1:59" x14ac:dyDescent="0.35">
      <c r="A66" s="2825"/>
      <c r="B66" s="232"/>
      <c r="C66" s="232"/>
      <c r="D66" s="60"/>
      <c r="F66" s="2893"/>
      <c r="H66" s="2894"/>
      <c r="I66" s="2881"/>
      <c r="K66" s="2894"/>
      <c r="L66" s="2881"/>
      <c r="N66" s="2763"/>
      <c r="O66" s="2895"/>
      <c r="P66" s="2888"/>
      <c r="Q66" s="2883"/>
      <c r="R66" s="2675"/>
      <c r="S66" s="2763"/>
      <c r="T66" s="2765"/>
      <c r="U66" s="2881"/>
      <c r="W66" s="2763"/>
      <c r="X66" s="2895"/>
      <c r="Y66" s="2883"/>
      <c r="Z66" s="2675"/>
      <c r="AA66" s="2763"/>
      <c r="AB66" s="2753"/>
      <c r="AC66" s="2863"/>
      <c r="AE66" s="26"/>
      <c r="AG66" s="2763"/>
      <c r="AH66" s="2895"/>
      <c r="AI66" s="2883"/>
      <c r="AJ66" s="2675"/>
      <c r="AK66" s="2763"/>
      <c r="AL66" s="2753"/>
      <c r="AM66" s="2863"/>
      <c r="AO66" s="26"/>
      <c r="AQ66" s="2763"/>
      <c r="AR66" s="2895"/>
      <c r="AS66" s="2883"/>
      <c r="AT66" s="2675"/>
      <c r="AU66" s="2763"/>
      <c r="AV66" s="2753"/>
      <c r="AW66" s="2863"/>
      <c r="AY66" s="2763"/>
      <c r="AZ66" s="2895"/>
      <c r="BA66" s="2883"/>
      <c r="BB66" s="2675"/>
      <c r="BC66" s="2763"/>
      <c r="BD66" s="2753"/>
      <c r="BE66" s="2863"/>
      <c r="BG66" s="24"/>
    </row>
    <row r="67" spans="1:59" x14ac:dyDescent="0.35">
      <c r="A67" s="2825"/>
      <c r="B67" s="232"/>
      <c r="C67" s="232" t="s">
        <v>962</v>
      </c>
      <c r="D67" s="60"/>
      <c r="F67" s="2893"/>
      <c r="H67" s="242"/>
      <c r="I67" s="2881"/>
      <c r="K67" s="2894"/>
      <c r="L67" s="2881"/>
      <c r="N67" s="2763"/>
      <c r="O67" s="2907"/>
      <c r="P67" s="2888"/>
      <c r="Q67" s="2883"/>
      <c r="R67" s="2675"/>
      <c r="S67" s="2763"/>
      <c r="T67" s="2765"/>
      <c r="U67" s="2881"/>
      <c r="W67" s="2763"/>
      <c r="X67" s="2907"/>
      <c r="Y67" s="2883"/>
      <c r="Z67" s="2675"/>
      <c r="AA67" s="2763"/>
      <c r="AB67" s="2753"/>
      <c r="AC67" s="2863"/>
      <c r="AE67" s="26"/>
      <c r="AG67" s="2763"/>
      <c r="AH67" s="2907"/>
      <c r="AI67" s="2883"/>
      <c r="AJ67" s="2675"/>
      <c r="AK67" s="2763"/>
      <c r="AL67" s="2753"/>
      <c r="AM67" s="2863"/>
      <c r="AO67" s="26"/>
      <c r="AQ67" s="2763"/>
      <c r="AR67" s="2907"/>
      <c r="AS67" s="2883"/>
      <c r="AT67" s="2675"/>
      <c r="AU67" s="2763"/>
      <c r="AV67" s="2753"/>
      <c r="AW67" s="2863"/>
      <c r="AX67" s="143"/>
      <c r="AY67" s="2763"/>
      <c r="AZ67" s="2907"/>
      <c r="BA67" s="2883"/>
      <c r="BB67" s="2675"/>
      <c r="BC67" s="2763"/>
      <c r="BD67" s="2753"/>
      <c r="BE67" s="2863"/>
      <c r="BG67" s="18"/>
    </row>
    <row r="68" spans="1:59" x14ac:dyDescent="0.35">
      <c r="A68" s="2825"/>
      <c r="B68" s="232"/>
      <c r="C68" s="232" t="s">
        <v>963</v>
      </c>
      <c r="D68" s="60"/>
      <c r="F68" s="2893"/>
      <c r="H68" s="242"/>
      <c r="I68" s="2881"/>
      <c r="K68" s="2894"/>
      <c r="L68" s="2881"/>
      <c r="N68" s="2763"/>
      <c r="O68" s="2907"/>
      <c r="P68" s="2888"/>
      <c r="Q68" s="2883"/>
      <c r="R68" s="2675"/>
      <c r="S68" s="2763"/>
      <c r="T68" s="2765"/>
      <c r="U68" s="2881"/>
      <c r="W68" s="2763"/>
      <c r="X68" s="2907"/>
      <c r="Y68" s="2883"/>
      <c r="Z68" s="2675"/>
      <c r="AA68" s="2763"/>
      <c r="AB68" s="2753"/>
      <c r="AC68" s="2863"/>
      <c r="AE68" s="26"/>
      <c r="AG68" s="2763"/>
      <c r="AH68" s="2907"/>
      <c r="AI68" s="2883"/>
      <c r="AJ68" s="2675"/>
      <c r="AK68" s="2763"/>
      <c r="AL68" s="2753"/>
      <c r="AM68" s="2863"/>
      <c r="AO68" s="26"/>
      <c r="AQ68" s="2763"/>
      <c r="AR68" s="2907"/>
      <c r="AS68" s="2883"/>
      <c r="AT68" s="2675"/>
      <c r="AU68" s="2763"/>
      <c r="AV68" s="2753"/>
      <c r="AW68" s="2863"/>
      <c r="AY68" s="2763"/>
      <c r="AZ68" s="2907"/>
      <c r="BA68" s="2883"/>
      <c r="BB68" s="2675"/>
      <c r="BC68" s="2763"/>
      <c r="BD68" s="2753"/>
      <c r="BE68" s="2863"/>
      <c r="BG68" s="26"/>
    </row>
    <row r="69" spans="1:59" x14ac:dyDescent="0.35">
      <c r="A69" s="2825"/>
      <c r="B69" s="232"/>
      <c r="C69" s="232" t="s">
        <v>964</v>
      </c>
      <c r="D69" s="60"/>
      <c r="F69" s="163"/>
      <c r="H69" s="242"/>
      <c r="I69" s="2881"/>
      <c r="K69" s="2894"/>
      <c r="L69" s="2881"/>
      <c r="N69" s="2763"/>
      <c r="O69" s="2907"/>
      <c r="P69" s="2888"/>
      <c r="Q69" s="2883"/>
      <c r="R69" s="2675"/>
      <c r="S69" s="2763"/>
      <c r="T69" s="2765"/>
      <c r="U69" s="2881"/>
      <c r="W69" s="2763"/>
      <c r="X69" s="2907"/>
      <c r="Y69" s="2883"/>
      <c r="Z69" s="2675"/>
      <c r="AA69" s="2763"/>
      <c r="AB69" s="2753"/>
      <c r="AC69" s="2863"/>
      <c r="AE69" s="26"/>
      <c r="AG69" s="2763"/>
      <c r="AH69" s="2907"/>
      <c r="AI69" s="2883"/>
      <c r="AJ69" s="2675"/>
      <c r="AK69" s="2763"/>
      <c r="AL69" s="2753"/>
      <c r="AM69" s="2863"/>
      <c r="AO69" s="26"/>
      <c r="AQ69" s="2763"/>
      <c r="AR69" s="2907"/>
      <c r="AS69" s="2883"/>
      <c r="AT69" s="2675"/>
      <c r="AU69" s="2763"/>
      <c r="AV69" s="2753"/>
      <c r="AW69" s="2863"/>
      <c r="AY69" s="2763"/>
      <c r="AZ69" s="2907"/>
      <c r="BA69" s="2883"/>
      <c r="BB69" s="2675"/>
      <c r="BC69" s="2763"/>
      <c r="BD69" s="2753"/>
      <c r="BE69" s="2863"/>
      <c r="BG69" s="24"/>
    </row>
    <row r="70" spans="1:59" ht="14.5" customHeight="1" x14ac:dyDescent="0.35">
      <c r="A70" s="2825"/>
      <c r="B70" s="1662"/>
      <c r="C70" s="1662" t="s">
        <v>978</v>
      </c>
      <c r="D70" s="87"/>
      <c r="F70" s="130"/>
      <c r="H70" s="242"/>
      <c r="I70" s="2881"/>
      <c r="K70" s="2894"/>
      <c r="L70" s="2881"/>
      <c r="N70" s="2769"/>
      <c r="O70" s="2908"/>
      <c r="P70" s="2897"/>
      <c r="Q70" s="2898"/>
      <c r="R70" s="2675"/>
      <c r="S70" s="2769"/>
      <c r="T70" s="2771"/>
      <c r="U70" s="2899"/>
      <c r="W70" s="2769"/>
      <c r="X70" s="2908"/>
      <c r="Y70" s="2898"/>
      <c r="Z70" s="2675"/>
      <c r="AA70" s="2769"/>
      <c r="AB70" s="2773"/>
      <c r="AC70" s="2878"/>
      <c r="AE70" s="24"/>
      <c r="AG70" s="2769"/>
      <c r="AH70" s="2908"/>
      <c r="AI70" s="2898"/>
      <c r="AJ70" s="2675"/>
      <c r="AK70" s="2769"/>
      <c r="AL70" s="2773"/>
      <c r="AM70" s="2878"/>
      <c r="AO70" s="24"/>
      <c r="AQ70" s="2769"/>
      <c r="AR70" s="2908"/>
      <c r="AS70" s="2898"/>
      <c r="AT70" s="2675"/>
      <c r="AU70" s="2769"/>
      <c r="AV70" s="2773"/>
      <c r="AW70" s="2878"/>
      <c r="AX70" s="143"/>
      <c r="AY70" s="2769"/>
      <c r="AZ70" s="2908"/>
      <c r="BA70" s="2898"/>
      <c r="BB70" s="2675"/>
      <c r="BC70" s="2769"/>
      <c r="BD70" s="2773"/>
      <c r="BE70" s="2878"/>
      <c r="BG70" s="18"/>
    </row>
    <row r="71" spans="1:59" x14ac:dyDescent="0.35">
      <c r="A71" s="2825"/>
      <c r="B71" s="271" t="s">
        <v>979</v>
      </c>
      <c r="C71" s="271"/>
      <c r="D71" s="140"/>
      <c r="E71" s="143"/>
      <c r="F71" s="227"/>
      <c r="G71" s="1579"/>
      <c r="H71" s="102"/>
      <c r="I71" s="268"/>
      <c r="J71" s="1579"/>
      <c r="K71" s="102"/>
      <c r="L71" s="268"/>
      <c r="M71" s="1579"/>
      <c r="N71" s="1375"/>
      <c r="O71" s="103"/>
      <c r="P71" s="2909"/>
      <c r="Q71" s="268"/>
      <c r="R71" s="1579"/>
      <c r="S71" s="1375"/>
      <c r="T71" s="653"/>
      <c r="U71" s="268"/>
      <c r="V71" s="143"/>
      <c r="W71" s="1375"/>
      <c r="X71" s="103"/>
      <c r="Y71" s="268"/>
      <c r="Z71" s="1579"/>
      <c r="AA71" s="1361"/>
      <c r="AB71" s="645"/>
      <c r="AC71" s="619"/>
      <c r="AD71" s="143"/>
      <c r="AE71" s="18"/>
      <c r="AF71" s="143"/>
      <c r="AG71" s="1375"/>
      <c r="AH71" s="103"/>
      <c r="AI71" s="268"/>
      <c r="AJ71" s="1579"/>
      <c r="AK71" s="1361"/>
      <c r="AL71" s="645"/>
      <c r="AM71" s="619"/>
      <c r="AN71" s="143"/>
      <c r="AO71" s="18"/>
      <c r="AP71" s="143"/>
      <c r="AQ71" s="1361"/>
      <c r="AR71" s="103"/>
      <c r="AS71" s="268"/>
      <c r="AT71" s="1579"/>
      <c r="AU71" s="1361"/>
      <c r="AV71" s="645"/>
      <c r="AW71" s="619"/>
      <c r="AY71" s="1361"/>
      <c r="AZ71" s="103"/>
      <c r="BA71" s="268"/>
      <c r="BB71" s="1579"/>
      <c r="BC71" s="1361"/>
      <c r="BD71" s="645"/>
      <c r="BE71" s="619"/>
      <c r="BF71" s="143"/>
      <c r="BG71" s="26"/>
    </row>
    <row r="72" spans="1:59" x14ac:dyDescent="0.35">
      <c r="A72" s="2825"/>
      <c r="B72" s="272"/>
      <c r="C72" s="272" t="s">
        <v>980</v>
      </c>
      <c r="D72" s="60"/>
      <c r="F72" s="155"/>
      <c r="H72" s="117"/>
      <c r="I72" s="157"/>
      <c r="K72" s="117"/>
      <c r="L72" s="157"/>
      <c r="N72" s="595"/>
      <c r="O72" s="115"/>
      <c r="P72" s="312"/>
      <c r="Q72" s="157"/>
      <c r="S72" s="595"/>
      <c r="T72" s="594"/>
      <c r="U72" s="157"/>
      <c r="W72" s="595"/>
      <c r="X72" s="115"/>
      <c r="Y72" s="157"/>
      <c r="AA72" s="595"/>
      <c r="AB72" s="1303"/>
      <c r="AC72" s="596"/>
      <c r="AE72" s="26"/>
      <c r="AG72" s="595"/>
      <c r="AH72" s="115"/>
      <c r="AI72" s="157"/>
      <c r="AK72" s="595"/>
      <c r="AL72" s="1303"/>
      <c r="AM72" s="596"/>
      <c r="AO72" s="26"/>
      <c r="AQ72" s="595"/>
      <c r="AR72" s="115"/>
      <c r="AS72" s="157"/>
      <c r="AU72" s="595"/>
      <c r="AV72" s="1303"/>
      <c r="AW72" s="596"/>
      <c r="AY72" s="595"/>
      <c r="AZ72" s="115"/>
      <c r="BA72" s="157"/>
      <c r="BC72" s="595"/>
      <c r="BD72" s="1303"/>
      <c r="BE72" s="596"/>
      <c r="BG72" s="26"/>
    </row>
    <row r="73" spans="1:59" x14ac:dyDescent="0.35">
      <c r="A73" s="2825"/>
      <c r="B73" s="277"/>
      <c r="C73" s="277" t="s">
        <v>981</v>
      </c>
      <c r="D73" s="87"/>
      <c r="F73" s="278"/>
      <c r="G73" s="2910"/>
      <c r="H73" s="280"/>
      <c r="I73" s="282"/>
      <c r="J73" s="1236"/>
      <c r="K73" s="280"/>
      <c r="L73" s="282"/>
      <c r="M73" s="1236"/>
      <c r="N73" s="2912"/>
      <c r="O73" s="281"/>
      <c r="P73" s="2913"/>
      <c r="Q73" s="282"/>
      <c r="R73" s="1236"/>
      <c r="S73" s="2912"/>
      <c r="T73" s="2914"/>
      <c r="U73" s="282"/>
      <c r="W73" s="2912"/>
      <c r="X73" s="281"/>
      <c r="Y73" s="282"/>
      <c r="Z73" s="1236"/>
      <c r="AA73" s="2912"/>
      <c r="AB73" s="2915"/>
      <c r="AC73" s="2916"/>
      <c r="AE73" s="24"/>
      <c r="AG73" s="2912"/>
      <c r="AH73" s="281"/>
      <c r="AI73" s="282"/>
      <c r="AJ73" s="1236"/>
      <c r="AK73" s="2912"/>
      <c r="AL73" s="2915"/>
      <c r="AM73" s="2916"/>
      <c r="AO73" s="24"/>
      <c r="AQ73" s="2912"/>
      <c r="AR73" s="281"/>
      <c r="AS73" s="282"/>
      <c r="AT73" s="1236"/>
      <c r="AU73" s="2912"/>
      <c r="AV73" s="2915"/>
      <c r="AW73" s="2916"/>
      <c r="AY73" s="2912"/>
      <c r="AZ73" s="281"/>
      <c r="BA73" s="282"/>
      <c r="BB73" s="1236"/>
      <c r="BC73" s="2912"/>
      <c r="BD73" s="2915"/>
      <c r="BE73" s="2916"/>
      <c r="BG73" s="24"/>
    </row>
    <row r="74" spans="1:59" x14ac:dyDescent="0.35">
      <c r="A74" s="2825"/>
      <c r="B74" s="271" t="s">
        <v>3898</v>
      </c>
      <c r="C74" s="271"/>
      <c r="D74" s="140"/>
      <c r="E74" s="143"/>
      <c r="F74" s="227"/>
      <c r="G74" s="1579"/>
      <c r="H74" s="102"/>
      <c r="I74" s="268"/>
      <c r="J74" s="1579"/>
      <c r="K74" s="102"/>
      <c r="L74" s="268"/>
      <c r="M74" s="1579"/>
      <c r="N74" s="1375"/>
      <c r="O74" s="103"/>
      <c r="P74" s="2909"/>
      <c r="Q74" s="268"/>
      <c r="R74" s="1579"/>
      <c r="S74" s="1375"/>
      <c r="T74" s="653"/>
      <c r="U74" s="268"/>
      <c r="V74" s="143"/>
      <c r="W74" s="1375"/>
      <c r="X74" s="103"/>
      <c r="Y74" s="268"/>
      <c r="Z74" s="1579"/>
      <c r="AA74" s="1361"/>
      <c r="AB74" s="645"/>
      <c r="AC74" s="619"/>
      <c r="AD74" s="143"/>
      <c r="AE74" s="18"/>
      <c r="AF74" s="143"/>
      <c r="AG74" s="1375"/>
      <c r="AH74" s="103"/>
      <c r="AI74" s="268"/>
      <c r="AJ74" s="1579"/>
      <c r="AK74" s="1361"/>
      <c r="AL74" s="645"/>
      <c r="AM74" s="619"/>
      <c r="AN74" s="143"/>
      <c r="AO74" s="18"/>
      <c r="AP74" s="143"/>
      <c r="AQ74" s="1361"/>
      <c r="AR74" s="103"/>
      <c r="AS74" s="268"/>
      <c r="AT74" s="1579"/>
      <c r="AU74" s="1361"/>
      <c r="AV74" s="645"/>
      <c r="AW74" s="619"/>
      <c r="AX74" s="5348"/>
      <c r="AY74" s="1361"/>
      <c r="AZ74" s="103"/>
      <c r="BA74" s="268"/>
      <c r="BB74" s="1579"/>
      <c r="BC74" s="1361"/>
      <c r="BD74" s="645"/>
      <c r="BE74" s="619"/>
      <c r="BF74" s="143"/>
      <c r="BG74" s="5348"/>
    </row>
    <row r="75" spans="1:59" x14ac:dyDescent="0.35">
      <c r="A75" s="2825"/>
      <c r="B75" s="272"/>
      <c r="C75" s="272" t="s">
        <v>3899</v>
      </c>
      <c r="D75" s="60"/>
      <c r="F75" s="155"/>
      <c r="H75" s="117"/>
      <c r="I75" s="157"/>
      <c r="K75" s="117"/>
      <c r="L75" s="157"/>
      <c r="N75" s="595"/>
      <c r="O75" s="115"/>
      <c r="P75" s="312"/>
      <c r="Q75" s="157"/>
      <c r="S75" s="595"/>
      <c r="T75" s="594"/>
      <c r="U75" s="157"/>
      <c r="W75" s="595"/>
      <c r="X75" s="115"/>
      <c r="Y75" s="157"/>
      <c r="AA75" s="595"/>
      <c r="AB75" s="1303"/>
      <c r="AC75" s="596"/>
      <c r="AE75" s="26"/>
      <c r="AG75" s="595"/>
      <c r="AH75" s="115"/>
      <c r="AI75" s="157"/>
      <c r="AK75" s="595"/>
      <c r="AL75" s="1303"/>
      <c r="AM75" s="596"/>
      <c r="AO75" s="26"/>
      <c r="AQ75" s="595"/>
      <c r="AR75" s="115"/>
      <c r="AS75" s="157"/>
      <c r="AU75" s="595">
        <v>7323.1784660000003</v>
      </c>
      <c r="AV75" s="1309" t="s">
        <v>3900</v>
      </c>
      <c r="AW75" s="596"/>
      <c r="AY75" s="595"/>
      <c r="AZ75" s="115"/>
      <c r="BA75" s="157"/>
      <c r="BC75" s="595"/>
      <c r="BD75" s="1309" t="s">
        <v>3900</v>
      </c>
      <c r="BE75" s="596"/>
      <c r="BG75" s="18"/>
    </row>
    <row r="76" spans="1:59" x14ac:dyDescent="0.35">
      <c r="A76" s="2825"/>
      <c r="B76" s="274"/>
      <c r="C76" s="274" t="s">
        <v>3901</v>
      </c>
      <c r="D76" s="60"/>
      <c r="F76" s="163"/>
      <c r="H76" s="242"/>
      <c r="I76" s="157"/>
      <c r="K76" s="242"/>
      <c r="L76" s="157"/>
      <c r="N76" s="1172"/>
      <c r="O76" s="243"/>
      <c r="P76" s="312"/>
      <c r="Q76" s="157"/>
      <c r="S76" s="1172"/>
      <c r="T76" s="644"/>
      <c r="U76" s="157"/>
      <c r="W76" s="1172"/>
      <c r="X76" s="243"/>
      <c r="Y76" s="157"/>
      <c r="AA76" s="1172"/>
      <c r="AB76" s="1303"/>
      <c r="AC76" s="4613"/>
      <c r="AE76" s="26"/>
      <c r="AG76" s="1172"/>
      <c r="AH76" s="243"/>
      <c r="AI76" s="157"/>
      <c r="AK76" s="1172"/>
      <c r="AL76" s="1303"/>
      <c r="AM76" s="4613"/>
      <c r="AO76" s="26"/>
      <c r="AQ76" s="1172"/>
      <c r="AR76" s="243"/>
      <c r="AS76" s="157"/>
      <c r="AU76" s="1172">
        <v>147.19999999999999</v>
      </c>
      <c r="AV76" s="1303"/>
      <c r="AW76" s="4613"/>
      <c r="AY76" s="1172"/>
      <c r="AZ76" s="243"/>
      <c r="BA76" s="157"/>
      <c r="BC76" s="1172"/>
      <c r="BD76" s="1303"/>
      <c r="BE76" s="4613"/>
      <c r="BG76" s="26"/>
    </row>
    <row r="77" spans="1:59" x14ac:dyDescent="0.35">
      <c r="A77" s="2825"/>
      <c r="B77" s="277"/>
      <c r="C77" s="277"/>
      <c r="D77" s="87"/>
      <c r="F77" s="278"/>
      <c r="G77" s="2910"/>
      <c r="H77" s="280"/>
      <c r="I77" s="282"/>
      <c r="J77" s="1236"/>
      <c r="K77" s="280"/>
      <c r="L77" s="282"/>
      <c r="M77" s="1236"/>
      <c r="N77" s="2912"/>
      <c r="O77" s="281"/>
      <c r="P77" s="2913"/>
      <c r="Q77" s="282"/>
      <c r="R77" s="1236"/>
      <c r="S77" s="2912"/>
      <c r="T77" s="2914"/>
      <c r="U77" s="282"/>
      <c r="W77" s="2912"/>
      <c r="X77" s="281"/>
      <c r="Y77" s="282"/>
      <c r="Z77" s="1236"/>
      <c r="AA77" s="2912"/>
      <c r="AB77" s="2915"/>
      <c r="AC77" s="2916"/>
      <c r="AE77" s="24"/>
      <c r="AG77" s="2912"/>
      <c r="AH77" s="281"/>
      <c r="AI77" s="282"/>
      <c r="AJ77" s="1236"/>
      <c r="AK77" s="2912"/>
      <c r="AL77" s="2915"/>
      <c r="AM77" s="2916"/>
      <c r="AO77" s="24"/>
      <c r="AQ77" s="2912"/>
      <c r="AR77" s="281"/>
      <c r="AS77" s="282"/>
      <c r="AT77" s="1236"/>
      <c r="AU77" s="2912"/>
      <c r="AV77" s="2915"/>
      <c r="AW77" s="2916"/>
      <c r="AY77" s="2912"/>
      <c r="AZ77" s="281"/>
      <c r="BA77" s="282"/>
      <c r="BB77" s="1236"/>
      <c r="BC77" s="2912"/>
      <c r="BD77" s="2915"/>
      <c r="BE77" s="2916"/>
      <c r="BG77" s="26"/>
    </row>
    <row r="78" spans="1:59" x14ac:dyDescent="0.35">
      <c r="A78" s="2825"/>
      <c r="B78" s="1"/>
      <c r="D78" s="60"/>
      <c r="F78" s="2917"/>
      <c r="G78" s="2910"/>
      <c r="H78" s="2918"/>
      <c r="I78" s="2919"/>
      <c r="J78" s="1236"/>
      <c r="K78" s="2918"/>
      <c r="L78" s="2920"/>
      <c r="M78" s="1236"/>
      <c r="N78" s="2921"/>
      <c r="O78" s="2922"/>
      <c r="P78" s="2923"/>
      <c r="Q78" s="2924"/>
      <c r="R78" s="1236"/>
      <c r="S78" s="2921"/>
      <c r="T78" s="2925"/>
      <c r="U78" s="2924"/>
      <c r="V78" s="2926"/>
      <c r="W78" s="2926"/>
      <c r="X78" s="2926"/>
      <c r="Y78" s="2926"/>
      <c r="Z78" s="1236"/>
      <c r="AA78" s="2927"/>
      <c r="AB78" s="2927"/>
      <c r="AC78" s="2926"/>
      <c r="AD78" s="2926"/>
      <c r="AE78" s="2926"/>
      <c r="AF78" s="2926"/>
      <c r="AG78" s="2926"/>
      <c r="AH78" s="2926"/>
      <c r="AI78" s="2926"/>
      <c r="AJ78" s="1236"/>
      <c r="AK78" s="2927"/>
      <c r="AL78" s="2927"/>
      <c r="AM78" s="2926"/>
      <c r="AN78" s="2926"/>
      <c r="AO78" s="2926"/>
      <c r="AP78" s="2926"/>
      <c r="AQ78" s="2927"/>
      <c r="AR78" s="2926"/>
      <c r="AS78" s="2926"/>
      <c r="AT78" s="1236"/>
      <c r="AU78" s="8908"/>
      <c r="AV78" s="2927"/>
      <c r="AW78" s="2926"/>
      <c r="AY78" s="2927"/>
      <c r="AZ78" s="2926"/>
      <c r="BA78" s="2926"/>
      <c r="BB78" s="1236"/>
      <c r="BC78" s="8908"/>
      <c r="BD78" s="2927"/>
      <c r="BE78" s="2926"/>
      <c r="BF78" s="2926"/>
      <c r="BG78" s="26"/>
    </row>
    <row r="79" spans="1:59" x14ac:dyDescent="0.35">
      <c r="A79" s="9159" t="s">
        <v>1364</v>
      </c>
      <c r="B79" s="939"/>
      <c r="C79" s="940" t="s">
        <v>3902</v>
      </c>
      <c r="D79" s="184"/>
      <c r="F79" s="316"/>
      <c r="G79" s="290"/>
      <c r="H79" s="317"/>
      <c r="I79" s="1687"/>
      <c r="J79" s="1236"/>
      <c r="K79" s="2928"/>
      <c r="L79" s="2920"/>
      <c r="M79" s="1236"/>
      <c r="N79" s="2928"/>
      <c r="O79" s="2926"/>
      <c r="P79" s="2926"/>
      <c r="Q79" s="2920"/>
      <c r="R79" s="1236"/>
      <c r="S79" s="2929">
        <v>26458.171957999999</v>
      </c>
      <c r="T79" s="2927" t="s">
        <v>3903</v>
      </c>
      <c r="U79" s="2920"/>
      <c r="W79" s="317">
        <v>26458.171957999999</v>
      </c>
      <c r="X79" s="1687"/>
      <c r="Y79" s="2924" t="s">
        <v>3904</v>
      </c>
      <c r="Z79" s="1236"/>
      <c r="AA79" s="317">
        <v>35828.842536999997</v>
      </c>
      <c r="AB79" s="2930" t="s">
        <v>1855</v>
      </c>
      <c r="AC79" s="318"/>
      <c r="AE79" s="18"/>
      <c r="AG79" s="317"/>
      <c r="AH79" s="1687"/>
      <c r="AI79" s="2924" t="s">
        <v>3904</v>
      </c>
      <c r="AJ79" s="1236"/>
      <c r="AK79" s="317"/>
      <c r="AL79" s="2930" t="s">
        <v>1855</v>
      </c>
      <c r="AM79" s="318"/>
      <c r="AO79" s="18"/>
      <c r="AQ79" s="317"/>
      <c r="AR79" s="1687"/>
      <c r="AS79" s="2924"/>
      <c r="AT79" s="1236"/>
      <c r="AU79" s="317"/>
      <c r="AV79" s="2930"/>
      <c r="AW79" s="318"/>
      <c r="AY79" s="317"/>
      <c r="AZ79" s="1687"/>
      <c r="BA79" s="2924"/>
      <c r="BB79" s="1236"/>
      <c r="BC79" s="317"/>
      <c r="BD79" s="2930"/>
      <c r="BE79" s="318"/>
      <c r="BG79" s="26"/>
    </row>
    <row r="80" spans="1:59" x14ac:dyDescent="0.35">
      <c r="A80" s="9160"/>
      <c r="B80" s="944"/>
      <c r="C80" s="945" t="s">
        <v>1363</v>
      </c>
      <c r="D80" s="197"/>
      <c r="F80" s="327"/>
      <c r="G80" s="272"/>
      <c r="H80" s="325"/>
      <c r="I80" s="946"/>
      <c r="J80" s="1236"/>
      <c r="K80" s="2928"/>
      <c r="L80" s="2920"/>
      <c r="M80" s="1236"/>
      <c r="N80" s="2928"/>
      <c r="O80" s="2926"/>
      <c r="P80" s="2926"/>
      <c r="Q80" s="2920"/>
      <c r="R80" s="1236"/>
      <c r="S80" s="2929"/>
      <c r="T80" s="2927"/>
      <c r="U80" s="2920"/>
      <c r="W80" s="325"/>
      <c r="X80" s="946"/>
      <c r="Y80" s="2920"/>
      <c r="Z80" s="1236"/>
      <c r="AA80" s="325"/>
      <c r="AB80" s="2931"/>
      <c r="AC80" s="2932"/>
      <c r="AE80" s="26"/>
      <c r="AG80" s="325"/>
      <c r="AH80" s="946"/>
      <c r="AI80" s="2920"/>
      <c r="AJ80" s="1236"/>
      <c r="AK80" s="325"/>
      <c r="AL80" s="2931"/>
      <c r="AM80" s="2932"/>
      <c r="AO80" s="26"/>
      <c r="AQ80" s="325"/>
      <c r="AR80" s="946"/>
      <c r="AS80" s="2920"/>
      <c r="AT80" s="1236"/>
      <c r="AU80" s="325"/>
      <c r="AV80" s="2931"/>
      <c r="AW80" s="2932"/>
      <c r="AY80" s="325"/>
      <c r="AZ80" s="946"/>
      <c r="BA80" s="2920"/>
      <c r="BB80" s="1236"/>
      <c r="BC80" s="325"/>
      <c r="BD80" s="2931"/>
      <c r="BE80" s="2932"/>
      <c r="BG80" s="26"/>
    </row>
    <row r="81" spans="1:59" ht="15.25" customHeight="1" x14ac:dyDescent="0.35">
      <c r="A81" s="9160"/>
      <c r="B81" s="1693"/>
      <c r="C81" s="945" t="s">
        <v>1586</v>
      </c>
      <c r="D81" s="197"/>
      <c r="F81" s="336"/>
      <c r="G81" s="272"/>
      <c r="H81" s="330"/>
      <c r="I81" s="948"/>
      <c r="J81" s="1236"/>
      <c r="K81" s="2928"/>
      <c r="L81" s="2920"/>
      <c r="M81" s="1236"/>
      <c r="N81" s="2928"/>
      <c r="O81" s="2926"/>
      <c r="P81" s="2926"/>
      <c r="Q81" s="2920"/>
      <c r="R81" s="1236"/>
      <c r="S81" s="2929"/>
      <c r="T81" s="2927"/>
      <c r="U81" s="2920"/>
      <c r="W81" s="330"/>
      <c r="X81" s="948"/>
      <c r="Y81" s="2920"/>
      <c r="Z81" s="1236"/>
      <c r="AA81" s="330"/>
      <c r="AB81" s="2931"/>
      <c r="AC81" s="2933"/>
      <c r="AE81" s="26"/>
      <c r="AG81" s="330"/>
      <c r="AH81" s="948"/>
      <c r="AI81" s="2920"/>
      <c r="AJ81" s="1236"/>
      <c r="AK81" s="330"/>
      <c r="AL81" s="2931"/>
      <c r="AM81" s="2933"/>
      <c r="AO81" s="26"/>
      <c r="AQ81" s="330"/>
      <c r="AR81" s="948"/>
      <c r="AS81" s="2920"/>
      <c r="AT81" s="1236"/>
      <c r="AU81" s="330"/>
      <c r="AV81" s="2931"/>
      <c r="AW81" s="2933"/>
      <c r="AY81" s="330"/>
      <c r="AZ81" s="948"/>
      <c r="BA81" s="2920"/>
      <c r="BB81" s="1236"/>
      <c r="BC81" s="330"/>
      <c r="BD81" s="2931"/>
      <c r="BE81" s="2933"/>
      <c r="BG81" s="26"/>
    </row>
    <row r="82" spans="1:59" x14ac:dyDescent="0.35">
      <c r="A82" s="9160"/>
      <c r="B82" s="944"/>
      <c r="C82" s="945"/>
      <c r="D82" s="197"/>
      <c r="F82" s="336"/>
      <c r="G82" s="272"/>
      <c r="H82" s="330"/>
      <c r="I82" s="948"/>
      <c r="J82" s="1236"/>
      <c r="K82" s="2928"/>
      <c r="L82" s="2920"/>
      <c r="M82" s="1236"/>
      <c r="N82" s="2928"/>
      <c r="O82" s="2926"/>
      <c r="P82" s="2926"/>
      <c r="Q82" s="2920"/>
      <c r="R82" s="1236"/>
      <c r="S82" s="2929"/>
      <c r="T82" s="2927"/>
      <c r="U82" s="2920"/>
      <c r="W82" s="330"/>
      <c r="X82" s="948"/>
      <c r="Y82" s="2920"/>
      <c r="Z82" s="1236"/>
      <c r="AA82" s="330"/>
      <c r="AB82" s="2931"/>
      <c r="AC82" s="2933"/>
      <c r="AE82" s="26"/>
      <c r="AG82" s="330"/>
      <c r="AH82" s="948"/>
      <c r="AI82" s="2920"/>
      <c r="AJ82" s="1236"/>
      <c r="AK82" s="330"/>
      <c r="AL82" s="2931"/>
      <c r="AM82" s="2933"/>
      <c r="AO82" s="26"/>
      <c r="AQ82" s="330"/>
      <c r="AR82" s="948"/>
      <c r="AS82" s="2920"/>
      <c r="AT82" s="1236"/>
      <c r="AU82" s="330"/>
      <c r="AV82" s="2931"/>
      <c r="AW82" s="2933"/>
      <c r="AY82" s="330"/>
      <c r="AZ82" s="948"/>
      <c r="BA82" s="2920"/>
      <c r="BB82" s="1236"/>
      <c r="BC82" s="330"/>
      <c r="BD82" s="2931"/>
      <c r="BE82" s="2933"/>
      <c r="BG82" s="26"/>
    </row>
    <row r="83" spans="1:59" x14ac:dyDescent="0.35">
      <c r="A83" s="9160"/>
      <c r="B83" s="944"/>
      <c r="C83" s="945"/>
      <c r="D83" s="197"/>
      <c r="F83" s="336"/>
      <c r="G83" s="272"/>
      <c r="H83" s="330"/>
      <c r="I83" s="948"/>
      <c r="J83" s="1236"/>
      <c r="K83" s="2928"/>
      <c r="L83" s="2920"/>
      <c r="M83" s="1236"/>
      <c r="N83" s="2928"/>
      <c r="O83" s="2926"/>
      <c r="P83" s="2926"/>
      <c r="Q83" s="2920"/>
      <c r="R83" s="1236"/>
      <c r="S83" s="2929"/>
      <c r="T83" s="2927"/>
      <c r="U83" s="2920"/>
      <c r="W83" s="330"/>
      <c r="X83" s="948"/>
      <c r="Y83" s="2920"/>
      <c r="Z83" s="1236"/>
      <c r="AA83" s="330"/>
      <c r="AB83" s="2931"/>
      <c r="AC83" s="2933"/>
      <c r="AE83" s="26"/>
      <c r="AG83" s="330"/>
      <c r="AH83" s="948"/>
      <c r="AI83" s="2920"/>
      <c r="AJ83" s="1236"/>
      <c r="AK83" s="330"/>
      <c r="AL83" s="2931"/>
      <c r="AM83" s="2933"/>
      <c r="AO83" s="26"/>
      <c r="AQ83" s="330"/>
      <c r="AR83" s="948"/>
      <c r="AS83" s="2920"/>
      <c r="AT83" s="1236"/>
      <c r="AU83" s="330"/>
      <c r="AV83" s="2931"/>
      <c r="AW83" s="2933"/>
      <c r="AY83" s="330"/>
      <c r="AZ83" s="948"/>
      <c r="BA83" s="2920"/>
      <c r="BB83" s="1236"/>
      <c r="BC83" s="330"/>
      <c r="BD83" s="2931"/>
      <c r="BE83" s="2933"/>
      <c r="BG83" s="26"/>
    </row>
    <row r="84" spans="1:59" x14ac:dyDescent="0.35">
      <c r="A84" s="9160"/>
      <c r="B84" s="944"/>
      <c r="C84" s="945"/>
      <c r="D84" s="197"/>
      <c r="F84" s="336"/>
      <c r="G84" s="272"/>
      <c r="H84" s="330"/>
      <c r="I84" s="948"/>
      <c r="J84" s="1236"/>
      <c r="K84" s="2928"/>
      <c r="L84" s="2920"/>
      <c r="M84" s="1236"/>
      <c r="N84" s="2928"/>
      <c r="O84" s="2926"/>
      <c r="P84" s="2926"/>
      <c r="Q84" s="2920"/>
      <c r="R84" s="1236"/>
      <c r="S84" s="2929"/>
      <c r="T84" s="2927"/>
      <c r="U84" s="2920"/>
      <c r="W84" s="330"/>
      <c r="X84" s="948"/>
      <c r="Y84" s="2920"/>
      <c r="Z84" s="1236"/>
      <c r="AA84" s="330"/>
      <c r="AB84" s="2931"/>
      <c r="AC84" s="2933"/>
      <c r="AE84" s="26"/>
      <c r="AG84" s="330"/>
      <c r="AH84" s="948"/>
      <c r="AI84" s="2920"/>
      <c r="AJ84" s="1236"/>
      <c r="AK84" s="330"/>
      <c r="AL84" s="2931"/>
      <c r="AM84" s="2933"/>
      <c r="AO84" s="26"/>
      <c r="AQ84" s="330"/>
      <c r="AR84" s="948"/>
      <c r="AS84" s="2920"/>
      <c r="AT84" s="1236"/>
      <c r="AU84" s="330"/>
      <c r="AV84" s="2931"/>
      <c r="AW84" s="2933"/>
      <c r="AY84" s="330"/>
      <c r="AZ84" s="948"/>
      <c r="BA84" s="2920"/>
      <c r="BB84" s="1236"/>
      <c r="BC84" s="330"/>
      <c r="BD84" s="2931"/>
      <c r="BE84" s="2933"/>
      <c r="BG84" s="24"/>
    </row>
    <row r="85" spans="1:59" x14ac:dyDescent="0.35">
      <c r="A85" s="9160"/>
      <c r="B85" s="944"/>
      <c r="C85" s="945"/>
      <c r="D85" s="197"/>
      <c r="F85" s="336"/>
      <c r="G85" s="272"/>
      <c r="H85" s="330"/>
      <c r="I85" s="948"/>
      <c r="J85" s="1236"/>
      <c r="K85" s="2928"/>
      <c r="L85" s="2920"/>
      <c r="M85" s="1236"/>
      <c r="N85" s="2928"/>
      <c r="O85" s="2926"/>
      <c r="P85" s="2926"/>
      <c r="Q85" s="2920"/>
      <c r="R85" s="1236"/>
      <c r="S85" s="2929"/>
      <c r="T85" s="2927"/>
      <c r="U85" s="2920"/>
      <c r="W85" s="330"/>
      <c r="X85" s="948"/>
      <c r="Y85" s="2920"/>
      <c r="Z85" s="1236"/>
      <c r="AA85" s="330"/>
      <c r="AB85" s="2931"/>
      <c r="AC85" s="2933"/>
      <c r="AE85" s="26"/>
      <c r="AG85" s="330"/>
      <c r="AH85" s="948"/>
      <c r="AI85" s="2920"/>
      <c r="AJ85" s="1236"/>
      <c r="AK85" s="330"/>
      <c r="AL85" s="2931"/>
      <c r="AM85" s="2933"/>
      <c r="AO85" s="26"/>
      <c r="AQ85" s="330"/>
      <c r="AR85" s="948"/>
      <c r="AS85" s="2920"/>
      <c r="AT85" s="1236"/>
      <c r="AU85" s="330"/>
      <c r="AV85" s="2931"/>
      <c r="AW85" s="2933"/>
      <c r="AY85" s="330"/>
      <c r="AZ85" s="948"/>
      <c r="BA85" s="2920"/>
      <c r="BB85" s="1236"/>
      <c r="BC85" s="330"/>
      <c r="BD85" s="2931"/>
      <c r="BE85" s="2933"/>
      <c r="BG85" s="1"/>
    </row>
    <row r="86" spans="1:59" x14ac:dyDescent="0.35">
      <c r="A86" s="9160"/>
      <c r="B86" s="944"/>
      <c r="C86" s="945"/>
      <c r="D86" s="197"/>
      <c r="F86" s="336"/>
      <c r="G86" s="272"/>
      <c r="H86" s="330"/>
      <c r="I86" s="948"/>
      <c r="J86" s="1236"/>
      <c r="K86" s="2928"/>
      <c r="L86" s="2920"/>
      <c r="M86" s="1236"/>
      <c r="N86" s="2928"/>
      <c r="O86" s="2926"/>
      <c r="P86" s="2926"/>
      <c r="Q86" s="2920"/>
      <c r="R86" s="1236"/>
      <c r="S86" s="2929"/>
      <c r="T86" s="2927"/>
      <c r="U86" s="2920"/>
      <c r="W86" s="330"/>
      <c r="X86" s="948"/>
      <c r="Y86" s="2920"/>
      <c r="Z86" s="1236"/>
      <c r="AA86" s="330"/>
      <c r="AB86" s="2931"/>
      <c r="AC86" s="2933"/>
      <c r="AE86" s="26"/>
      <c r="AG86" s="330"/>
      <c r="AH86" s="948"/>
      <c r="AI86" s="2920"/>
      <c r="AJ86" s="1236"/>
      <c r="AK86" s="330"/>
      <c r="AL86" s="2931"/>
      <c r="AM86" s="2933"/>
      <c r="AO86" s="26"/>
      <c r="AQ86" s="330"/>
      <c r="AR86" s="948"/>
      <c r="AS86" s="2920"/>
      <c r="AT86" s="1236"/>
      <c r="AU86" s="330"/>
      <c r="AV86" s="2931"/>
      <c r="AW86" s="2933"/>
      <c r="AX86" s="143"/>
      <c r="AY86" s="330"/>
      <c r="AZ86" s="948"/>
      <c r="BA86" s="2920"/>
      <c r="BB86" s="1236"/>
      <c r="BC86" s="330"/>
      <c r="BD86" s="2931"/>
      <c r="BE86" s="2933"/>
      <c r="BG86" s="18"/>
    </row>
    <row r="87" spans="1:59" ht="14.5" customHeight="1" x14ac:dyDescent="0.35">
      <c r="A87" s="9160"/>
      <c r="B87" s="944"/>
      <c r="C87" s="945"/>
      <c r="D87" s="197"/>
      <c r="F87" s="336"/>
      <c r="G87" s="272"/>
      <c r="H87" s="330"/>
      <c r="I87" s="948"/>
      <c r="J87" s="1236"/>
      <c r="K87" s="2928"/>
      <c r="L87" s="2920"/>
      <c r="M87" s="1236"/>
      <c r="N87" s="2928"/>
      <c r="O87" s="2926"/>
      <c r="P87" s="2926"/>
      <c r="Q87" s="2920"/>
      <c r="R87" s="1236"/>
      <c r="S87" s="2929"/>
      <c r="T87" s="2927"/>
      <c r="U87" s="2920"/>
      <c r="W87" s="330"/>
      <c r="X87" s="948"/>
      <c r="Y87" s="2920"/>
      <c r="Z87" s="1236"/>
      <c r="AA87" s="330"/>
      <c r="AB87" s="2931"/>
      <c r="AC87" s="2933"/>
      <c r="AE87" s="26"/>
      <c r="AG87" s="330"/>
      <c r="AH87" s="948"/>
      <c r="AI87" s="2920"/>
      <c r="AJ87" s="1236"/>
      <c r="AK87" s="330"/>
      <c r="AL87" s="2931"/>
      <c r="AM87" s="2933"/>
      <c r="AO87" s="26"/>
      <c r="AQ87" s="330"/>
      <c r="AR87" s="948"/>
      <c r="AS87" s="2920"/>
      <c r="AT87" s="1236"/>
      <c r="AU87" s="330"/>
      <c r="AV87" s="2931"/>
      <c r="AW87" s="2933"/>
      <c r="AY87" s="330"/>
      <c r="AZ87" s="948"/>
      <c r="BA87" s="2920"/>
      <c r="BB87" s="1236"/>
      <c r="BC87" s="330"/>
      <c r="BD87" s="2931"/>
      <c r="BE87" s="2933"/>
      <c r="BG87" s="26"/>
    </row>
    <row r="88" spans="1:59" x14ac:dyDescent="0.35">
      <c r="A88" s="9161"/>
      <c r="B88" s="949"/>
      <c r="C88" s="950"/>
      <c r="D88" s="209"/>
      <c r="F88" s="343"/>
      <c r="G88" s="274"/>
      <c r="H88" s="341"/>
      <c r="I88" s="951"/>
      <c r="J88" s="1236"/>
      <c r="K88" s="2928"/>
      <c r="L88" s="2920"/>
      <c r="M88" s="1236"/>
      <c r="N88" s="2934"/>
      <c r="O88" s="2913"/>
      <c r="P88" s="2913"/>
      <c r="Q88" s="282"/>
      <c r="R88" s="1236"/>
      <c r="S88" s="2935"/>
      <c r="T88" s="2936"/>
      <c r="U88" s="282"/>
      <c r="W88" s="341"/>
      <c r="X88" s="951"/>
      <c r="Y88" s="282"/>
      <c r="Z88" s="1236"/>
      <c r="AA88" s="341"/>
      <c r="AB88" s="2937"/>
      <c r="AC88" s="2938"/>
      <c r="AE88" s="24"/>
      <c r="AG88" s="341"/>
      <c r="AH88" s="951"/>
      <c r="AI88" s="282"/>
      <c r="AJ88" s="1236"/>
      <c r="AK88" s="341"/>
      <c r="AL88" s="2937"/>
      <c r="AM88" s="2938"/>
      <c r="AO88" s="24"/>
      <c r="AQ88" s="341"/>
      <c r="AR88" s="951"/>
      <c r="AS88" s="282"/>
      <c r="AT88" s="1236"/>
      <c r="AU88" s="341"/>
      <c r="AV88" s="2937"/>
      <c r="AW88" s="2938"/>
      <c r="AY88" s="341"/>
      <c r="AZ88" s="951"/>
      <c r="BA88" s="282"/>
      <c r="BB88" s="1236"/>
      <c r="BC88" s="341"/>
      <c r="BD88" s="2937"/>
      <c r="BE88" s="2938"/>
      <c r="BG88" s="26"/>
    </row>
    <row r="89" spans="1:59" x14ac:dyDescent="0.35">
      <c r="A89" s="2825"/>
      <c r="B89" s="1"/>
      <c r="D89" s="1"/>
      <c r="F89" s="1"/>
      <c r="G89" s="1"/>
      <c r="H89" s="1"/>
      <c r="I89" s="1"/>
      <c r="J89" s="1"/>
      <c r="K89" s="1"/>
      <c r="L89" s="1"/>
      <c r="M89" s="1"/>
      <c r="N89" s="1"/>
      <c r="O89" s="1"/>
      <c r="P89" s="1"/>
      <c r="Q89" s="1"/>
      <c r="R89" s="1"/>
      <c r="S89" s="1"/>
      <c r="T89" s="1"/>
      <c r="U89" s="1"/>
      <c r="W89" s="1"/>
      <c r="X89" s="1"/>
      <c r="Y89" s="1"/>
      <c r="Z89" s="1"/>
      <c r="AA89" s="1"/>
      <c r="AB89" s="1"/>
      <c r="AC89" s="1"/>
      <c r="AE89" s="1"/>
      <c r="AG89" s="1"/>
      <c r="AH89" s="1"/>
      <c r="AI89" s="1"/>
      <c r="AJ89" s="1"/>
      <c r="AK89" s="1"/>
      <c r="AL89" s="1"/>
      <c r="AM89" s="1"/>
      <c r="AO89" s="1"/>
      <c r="AQ89" s="1"/>
      <c r="AR89" s="1"/>
      <c r="AS89" s="1"/>
      <c r="AT89" s="1"/>
      <c r="AU89" s="67"/>
      <c r="AV89" s="1"/>
      <c r="AW89" s="1"/>
      <c r="AY89" s="1"/>
      <c r="AZ89" s="1"/>
      <c r="BA89" s="1"/>
      <c r="BB89" s="1"/>
      <c r="BC89" s="67"/>
      <c r="BD89" s="1"/>
      <c r="BE89" s="1"/>
      <c r="BG89" s="26"/>
    </row>
    <row r="90" spans="1:59" x14ac:dyDescent="0.35">
      <c r="A90" s="2825"/>
      <c r="B90" s="287" t="s">
        <v>982</v>
      </c>
      <c r="C90" s="288"/>
      <c r="D90" s="140"/>
      <c r="E90" s="143"/>
      <c r="F90" s="289"/>
      <c r="G90" s="2939"/>
      <c r="H90" s="291"/>
      <c r="I90" s="268"/>
      <c r="J90" s="1579"/>
      <c r="K90" s="291"/>
      <c r="L90" s="268"/>
      <c r="M90" s="1579"/>
      <c r="N90" s="2940"/>
      <c r="O90" s="292"/>
      <c r="P90" s="2909"/>
      <c r="Q90" s="268"/>
      <c r="R90" s="1579"/>
      <c r="S90" s="2940"/>
      <c r="T90" s="2941"/>
      <c r="U90" s="268"/>
      <c r="V90" s="143"/>
      <c r="W90" s="2940"/>
      <c r="X90" s="292"/>
      <c r="Y90" s="268"/>
      <c r="Z90" s="1579"/>
      <c r="AA90" s="2940"/>
      <c r="AB90" s="2942"/>
      <c r="AC90" s="268"/>
      <c r="AD90" s="143"/>
      <c r="AE90" s="18"/>
      <c r="AF90" s="143"/>
      <c r="AG90" s="2940"/>
      <c r="AH90" s="292"/>
      <c r="AI90" s="268"/>
      <c r="AJ90" s="1579"/>
      <c r="AK90" s="2940"/>
      <c r="AL90" s="2942"/>
      <c r="AM90" s="268"/>
      <c r="AN90" s="143"/>
      <c r="AO90" s="18"/>
      <c r="AP90" s="143"/>
      <c r="AQ90" s="7263"/>
      <c r="AR90" s="7264"/>
      <c r="AS90" s="7265"/>
      <c r="AT90" s="1579"/>
      <c r="AU90" s="2940"/>
      <c r="AV90" s="2942"/>
      <c r="AW90" s="7264"/>
      <c r="AY90" s="7263"/>
      <c r="AZ90" s="7264"/>
      <c r="BA90" s="7265"/>
      <c r="BB90" s="1579"/>
      <c r="BC90" s="2940"/>
      <c r="BD90" s="2942"/>
      <c r="BE90" s="7264"/>
      <c r="BF90" s="143"/>
      <c r="BG90" s="24"/>
    </row>
    <row r="91" spans="1:59" x14ac:dyDescent="0.35">
      <c r="A91" s="2825"/>
      <c r="B91" s="295"/>
      <c r="C91" s="1053" t="s">
        <v>3831</v>
      </c>
      <c r="D91" s="60"/>
      <c r="F91" s="2943">
        <f>9959987853/1000000000</f>
        <v>9.9599878529999994</v>
      </c>
      <c r="G91" s="2944"/>
      <c r="H91" s="2945">
        <f>6905567985/1000000000</f>
        <v>6.9055679850000002</v>
      </c>
      <c r="I91" s="2795"/>
      <c r="J91" s="2675"/>
      <c r="K91" s="2945">
        <f>24587770515/1000000000</f>
        <v>24.587770514999999</v>
      </c>
      <c r="L91" s="2794"/>
      <c r="M91" s="2675"/>
      <c r="N91" s="2711"/>
      <c r="O91" s="2712"/>
      <c r="P91" s="2946"/>
      <c r="Q91" s="2794"/>
      <c r="R91" s="2675"/>
      <c r="S91" s="2711"/>
      <c r="T91" s="2714"/>
      <c r="U91" s="2794"/>
      <c r="W91" s="2711"/>
      <c r="X91" s="2712"/>
      <c r="Y91" s="2794"/>
      <c r="Z91" s="2675"/>
      <c r="AA91" s="2711">
        <v>8130.09</v>
      </c>
      <c r="AB91" s="2885" t="s">
        <v>3896</v>
      </c>
      <c r="AC91" s="2794"/>
      <c r="AE91" s="26" t="s">
        <v>3905</v>
      </c>
      <c r="AG91" s="2711"/>
      <c r="AH91" s="2712"/>
      <c r="AI91" s="2794"/>
      <c r="AJ91" s="2675"/>
      <c r="AK91" s="2711"/>
      <c r="AL91" s="8918" t="s">
        <v>3896</v>
      </c>
      <c r="AM91" s="2794"/>
      <c r="AO91" s="26" t="s">
        <v>3905</v>
      </c>
      <c r="AQ91" s="2711"/>
      <c r="AR91" s="2712"/>
      <c r="AS91" s="2794"/>
      <c r="AT91" s="2675"/>
      <c r="AU91" s="2711">
        <f>AU76</f>
        <v>147.19999999999999</v>
      </c>
      <c r="AV91" s="2885" t="s">
        <v>3906</v>
      </c>
      <c r="AW91" s="2712"/>
      <c r="AX91" s="312"/>
      <c r="AY91" s="2711"/>
      <c r="AZ91" s="2712"/>
      <c r="BA91" s="2794"/>
      <c r="BB91" s="2675"/>
      <c r="BC91" s="2711">
        <f>BC76</f>
        <v>0</v>
      </c>
      <c r="BD91" s="2885" t="s">
        <v>3906</v>
      </c>
      <c r="BE91" s="2712"/>
      <c r="BG91" s="312"/>
    </row>
    <row r="92" spans="1:59" x14ac:dyDescent="0.35">
      <c r="A92" s="2825"/>
      <c r="B92" s="295"/>
      <c r="C92" s="1053" t="s">
        <v>3841</v>
      </c>
      <c r="D92" s="60"/>
      <c r="F92" s="2706"/>
      <c r="G92" s="2947"/>
      <c r="H92" s="2707">
        <f>408149415/1000000000</f>
        <v>0.40814941500000002</v>
      </c>
      <c r="I92" s="2794"/>
      <c r="K92" s="2707">
        <f>12407038947/1000000000</f>
        <v>12.407038947</v>
      </c>
      <c r="L92" s="2794"/>
      <c r="N92" s="298"/>
      <c r="O92" s="2708"/>
      <c r="P92" s="2946"/>
      <c r="Q92" s="2794"/>
      <c r="S92" s="298"/>
      <c r="T92" s="1988"/>
      <c r="U92" s="2794"/>
      <c r="W92" s="298"/>
      <c r="X92" s="2708"/>
      <c r="Y92" s="2794"/>
      <c r="AA92" s="298"/>
      <c r="AB92" s="1303"/>
      <c r="AC92" s="2794"/>
      <c r="AE92" s="26"/>
      <c r="AG92" s="298"/>
      <c r="AH92" s="2708"/>
      <c r="AI92" s="2794"/>
      <c r="AK92" s="298"/>
      <c r="AL92" s="3227"/>
      <c r="AM92" s="2794"/>
      <c r="AO92" s="26"/>
      <c r="AQ92" s="298"/>
      <c r="AR92" s="2708"/>
      <c r="AS92" s="2794"/>
      <c r="AU92" s="298"/>
      <c r="AV92" s="1303"/>
      <c r="AW92" s="2708"/>
      <c r="AX92" s="141"/>
      <c r="AY92" s="298"/>
      <c r="AZ92" s="2708"/>
      <c r="BA92" s="2794"/>
      <c r="BC92" s="298"/>
      <c r="BD92" s="1303"/>
      <c r="BE92" s="2708"/>
    </row>
    <row r="93" spans="1:59" x14ac:dyDescent="0.35">
      <c r="A93" s="2825"/>
      <c r="B93" s="2948"/>
      <c r="C93" s="1053" t="s">
        <v>3847</v>
      </c>
      <c r="D93" s="60"/>
      <c r="F93" s="2706">
        <f>156329825/1000000000</f>
        <v>0.15632982500000001</v>
      </c>
      <c r="G93" s="2947"/>
      <c r="H93" s="2707">
        <f>13386798456/1000000000</f>
        <v>13.386798455999999</v>
      </c>
      <c r="I93" s="2794"/>
      <c r="K93" s="2707">
        <f>14093667835/1000000000</f>
        <v>14.093667835</v>
      </c>
      <c r="L93" s="2794"/>
      <c r="N93" s="298"/>
      <c r="O93" s="2708"/>
      <c r="P93" s="2946"/>
      <c r="Q93" s="2794"/>
      <c r="S93" s="298"/>
      <c r="T93" s="1988"/>
      <c r="U93" s="2794"/>
      <c r="W93" s="298"/>
      <c r="X93" s="2708"/>
      <c r="Y93" s="2794"/>
      <c r="AA93" s="298"/>
      <c r="AB93" s="1303"/>
      <c r="AC93" s="2794"/>
      <c r="AE93" s="26"/>
      <c r="AG93" s="298"/>
      <c r="AH93" s="2708"/>
      <c r="AI93" s="2794"/>
      <c r="AK93" s="298"/>
      <c r="AL93" s="3227"/>
      <c r="AM93" s="2794"/>
      <c r="AO93" s="26"/>
      <c r="AQ93" s="298"/>
      <c r="AR93" s="2708"/>
      <c r="AS93" s="2794"/>
      <c r="AU93" s="298"/>
      <c r="AV93" s="1303"/>
      <c r="AW93" s="2708"/>
      <c r="AY93" s="298"/>
      <c r="AZ93" s="2708"/>
      <c r="BA93" s="2794"/>
      <c r="BC93" s="298"/>
      <c r="BD93" s="1303"/>
      <c r="BE93" s="2708"/>
    </row>
    <row r="94" spans="1:59" x14ac:dyDescent="0.35">
      <c r="A94" s="2949"/>
      <c r="B94" s="2950"/>
      <c r="C94" s="2951"/>
      <c r="D94" s="87"/>
      <c r="F94" s="2722">
        <f>2127474580/1000000000</f>
        <v>2.1274745799999999</v>
      </c>
      <c r="G94" s="2762"/>
      <c r="H94" s="2723">
        <f>2516000000/1000000000</f>
        <v>2.516</v>
      </c>
      <c r="I94" s="2876"/>
      <c r="K94" s="2723">
        <f>8978906564/1000000000</f>
        <v>8.9789065640000008</v>
      </c>
      <c r="L94" s="2876"/>
      <c r="N94" s="590"/>
      <c r="O94" s="2724"/>
      <c r="P94" s="2952"/>
      <c r="Q94" s="2876"/>
      <c r="S94" s="590"/>
      <c r="T94" s="1989"/>
      <c r="U94" s="2876"/>
      <c r="W94" s="590"/>
      <c r="X94" s="2724"/>
      <c r="Y94" s="2876"/>
      <c r="AA94" s="590"/>
      <c r="AB94" s="1181"/>
      <c r="AC94" s="2876"/>
      <c r="AE94" s="24"/>
      <c r="AG94" s="590"/>
      <c r="AH94" s="2724"/>
      <c r="AI94" s="2876"/>
      <c r="AK94" s="590"/>
      <c r="AL94" s="8919"/>
      <c r="AM94" s="2876"/>
      <c r="AO94" s="24"/>
      <c r="AQ94" s="590"/>
      <c r="AR94" s="2724"/>
      <c r="AS94" s="2876"/>
      <c r="AU94" s="590"/>
      <c r="AV94" s="1181"/>
      <c r="AW94" s="2724"/>
      <c r="AY94" s="590"/>
      <c r="AZ94" s="2724"/>
      <c r="BA94" s="2876"/>
      <c r="BC94" s="590"/>
      <c r="BD94" s="1181"/>
      <c r="BE94" s="2724"/>
    </row>
    <row r="95" spans="1:59" x14ac:dyDescent="0.35">
      <c r="A95" s="310"/>
      <c r="B95" s="310"/>
      <c r="F95" s="106"/>
      <c r="H95" s="106"/>
      <c r="I95" s="312"/>
      <c r="K95" s="106"/>
      <c r="L95" s="312"/>
      <c r="N95" s="645"/>
      <c r="O95" s="106"/>
      <c r="P95" s="312"/>
      <c r="Q95" s="312"/>
      <c r="S95" s="645"/>
      <c r="T95" s="645"/>
      <c r="U95" s="312"/>
      <c r="V95" s="312"/>
      <c r="W95" s="312"/>
      <c r="X95" s="312"/>
      <c r="Y95" s="312"/>
      <c r="Z95" s="312"/>
      <c r="AA95" s="312"/>
      <c r="AB95" s="312"/>
      <c r="AC95" s="312"/>
      <c r="AD95" s="312"/>
      <c r="AE95" s="312"/>
      <c r="AF95" s="312"/>
      <c r="AG95" s="312"/>
      <c r="AH95" s="312"/>
      <c r="AI95" s="312"/>
      <c r="AJ95" s="312"/>
      <c r="AK95" s="312"/>
      <c r="AL95" s="312"/>
      <c r="AM95" s="312"/>
      <c r="AN95" s="312"/>
      <c r="AO95" s="312"/>
      <c r="AP95" s="312"/>
      <c r="AQ95" s="312"/>
      <c r="AR95" s="312"/>
      <c r="AS95" s="312"/>
      <c r="AT95" s="312"/>
      <c r="AU95" s="7266"/>
      <c r="AV95" s="312"/>
      <c r="AW95" s="312"/>
      <c r="AY95" s="312"/>
      <c r="AZ95" s="312"/>
      <c r="BA95" s="312"/>
      <c r="BB95" s="312"/>
      <c r="BC95" s="7266"/>
      <c r="BD95" s="312"/>
      <c r="BE95" s="312"/>
      <c r="BF95" s="312"/>
    </row>
    <row r="96" spans="1:59" x14ac:dyDescent="0.35">
      <c r="A96" s="9167" t="s">
        <v>988</v>
      </c>
      <c r="B96" s="139" t="s">
        <v>989</v>
      </c>
      <c r="C96" s="348"/>
      <c r="D96" s="49"/>
      <c r="E96" s="141"/>
      <c r="F96" s="227"/>
      <c r="G96" s="2900"/>
      <c r="H96" s="102"/>
      <c r="I96" s="268"/>
      <c r="J96" s="2900"/>
      <c r="K96" s="102"/>
      <c r="L96" s="268"/>
      <c r="M96" s="2900"/>
      <c r="N96" s="1375"/>
      <c r="O96" s="103"/>
      <c r="P96" s="2909"/>
      <c r="Q96" s="268"/>
      <c r="R96" s="2900"/>
      <c r="S96" s="1375"/>
      <c r="T96" s="653"/>
      <c r="U96" s="268"/>
      <c r="V96" s="141"/>
      <c r="W96" s="1375"/>
      <c r="X96" s="103"/>
      <c r="Y96" s="268"/>
      <c r="Z96" s="2900"/>
      <c r="AA96" s="1375"/>
      <c r="AB96" s="653"/>
      <c r="AC96" s="268"/>
      <c r="AD96" s="141"/>
      <c r="AF96" s="141"/>
      <c r="AG96" s="1375"/>
      <c r="AH96" s="103"/>
      <c r="AI96" s="268"/>
      <c r="AJ96" s="2900"/>
      <c r="AK96" s="1375"/>
      <c r="AL96" s="653"/>
      <c r="AM96" s="268"/>
      <c r="AN96" s="141"/>
      <c r="AP96" s="141"/>
      <c r="AQ96" s="1375"/>
      <c r="AR96" s="103"/>
      <c r="AS96" s="268"/>
      <c r="AT96" s="2900"/>
      <c r="AU96" s="1375"/>
      <c r="AV96" s="653"/>
      <c r="AW96" s="268"/>
      <c r="AY96" s="1375"/>
      <c r="AZ96" s="103"/>
      <c r="BA96" s="268"/>
      <c r="BB96" s="2900"/>
      <c r="BC96" s="1375"/>
      <c r="BD96" s="653"/>
      <c r="BE96" s="268"/>
      <c r="BF96" s="141"/>
    </row>
    <row r="97" spans="1:59" x14ac:dyDescent="0.35">
      <c r="A97" s="9168"/>
      <c r="B97" s="6082"/>
      <c r="C97"/>
      <c r="D97" s="110" t="s">
        <v>990</v>
      </c>
      <c r="F97" s="2953">
        <f>SUM(F32:F41)-SUM(F43:F45)</f>
        <v>0</v>
      </c>
      <c r="G97" s="2954"/>
      <c r="H97" s="2955">
        <f>SUM(H32:H41)-SUM(H43:H45)</f>
        <v>0</v>
      </c>
      <c r="I97" s="2956">
        <f>SUM(I32:I41)-SUM(I43:I45)</f>
        <v>0</v>
      </c>
      <c r="J97" s="2746"/>
      <c r="K97" s="2955">
        <f>SUM(K32:K41)-SUM(K43:K45)</f>
        <v>0</v>
      </c>
      <c r="L97" s="2956">
        <f>SUM(L32:L41)-SUM(L43:L45)</f>
        <v>0</v>
      </c>
      <c r="M97" s="2746"/>
      <c r="N97" s="354">
        <f>SUM(N32:N41)-SUM(N43:N45)</f>
        <v>55270.686781999997</v>
      </c>
      <c r="O97" s="2957"/>
      <c r="P97" s="2957"/>
      <c r="Q97" s="2956"/>
      <c r="R97" s="2746"/>
      <c r="S97" s="354">
        <f>SUM(S32:S41)-SUM(S43:S45)</f>
        <v>57724.249309999999</v>
      </c>
      <c r="T97" s="355"/>
      <c r="U97" s="2956"/>
      <c r="W97" s="354">
        <f>SUM(W32:W41)-SUM(W43:W45)</f>
        <v>57724.249309999999</v>
      </c>
      <c r="X97" s="2957"/>
      <c r="Y97" s="2956"/>
      <c r="Z97" s="2746"/>
      <c r="AA97" s="354">
        <f>SUM(AA32:AA41)-SUM(AA43:AA45)</f>
        <v>61054.613998999994</v>
      </c>
      <c r="AB97" s="355"/>
      <c r="AC97" s="2956"/>
      <c r="AG97" s="354">
        <f>SUM(AG32:AG41)-SUM(AG43:AG45)</f>
        <v>61054.613999000001</v>
      </c>
      <c r="AH97" s="2957"/>
      <c r="AI97" s="2956"/>
      <c r="AJ97" s="2746"/>
      <c r="AK97" s="354">
        <f>SUM(AK32:AK41)-SUM(AK43:AK45)</f>
        <v>0</v>
      </c>
      <c r="AL97" s="355"/>
      <c r="AM97" s="2956"/>
      <c r="AQ97" s="354">
        <f>SUM(AQ32:AQ41)-SUM(AQ43:AQ45)</f>
        <v>0</v>
      </c>
      <c r="AR97" s="2957"/>
      <c r="AS97" s="2956"/>
      <c r="AT97" s="2746"/>
      <c r="AU97" s="354">
        <f>SUM(AU32:AU41)-SUM(AU43:AU45)</f>
        <v>6698.2627419999999</v>
      </c>
      <c r="AV97" s="355"/>
      <c r="AW97" s="2956"/>
      <c r="AX97" s="143"/>
      <c r="AY97" s="354">
        <f>SUM(AY32:AY41)-SUM(AY43:AY45)</f>
        <v>6518.2264189999987</v>
      </c>
      <c r="AZ97" s="2957">
        <f>SUM(AZ32:AZ41)-SUM(AZ43:AZ45)</f>
        <v>6782.0685239999993</v>
      </c>
      <c r="BA97" s="2956"/>
      <c r="BB97" s="2746"/>
      <c r="BC97" s="354">
        <f>SUM(BC32:BC41)-SUM(BC43:BC45)</f>
        <v>7828.7547130000003</v>
      </c>
      <c r="BD97" s="355"/>
      <c r="BE97" s="2956">
        <f>SUM(BE32:BE41)-SUM(BE43:BE45)</f>
        <v>7060.040841</v>
      </c>
    </row>
    <row r="98" spans="1:59" x14ac:dyDescent="0.35">
      <c r="A98" s="9168"/>
      <c r="B98" s="6082"/>
      <c r="C98"/>
      <c r="D98" s="110" t="s">
        <v>944</v>
      </c>
      <c r="F98" s="2953">
        <f>SUM(F47:F61)</f>
        <v>0</v>
      </c>
      <c r="G98" s="2954"/>
      <c r="H98" s="2955">
        <f>SUM(H47:H61)</f>
        <v>0</v>
      </c>
      <c r="I98" s="2956">
        <f>SUM(I47:I61)</f>
        <v>0</v>
      </c>
      <c r="J98" s="2746"/>
      <c r="K98" s="2955">
        <f>SUM(K47:K61)</f>
        <v>0</v>
      </c>
      <c r="L98" s="2956">
        <f>SUM(L47:L61)</f>
        <v>0</v>
      </c>
      <c r="M98" s="2746"/>
      <c r="N98" s="354">
        <f>SUM(N47:N61)</f>
        <v>2861.377</v>
      </c>
      <c r="O98" s="2957"/>
      <c r="P98" s="2957"/>
      <c r="Q98" s="2956"/>
      <c r="R98" s="2746"/>
      <c r="S98" s="354">
        <f>SUM(S47:S61)</f>
        <v>2725.6244000000002</v>
      </c>
      <c r="T98" s="355"/>
      <c r="U98" s="2956"/>
      <c r="W98" s="354">
        <f>SUM(W47:W61)</f>
        <v>2760.6243999999997</v>
      </c>
      <c r="X98" s="2957"/>
      <c r="Y98" s="2956"/>
      <c r="Z98" s="2746"/>
      <c r="AA98" s="354">
        <f>SUM(AA47:AA61)</f>
        <v>11425.617431999999</v>
      </c>
      <c r="AB98" s="355"/>
      <c r="AC98" s="2956"/>
      <c r="AG98" s="354">
        <f>SUM(AG47:AG61)</f>
        <v>11177.121547999999</v>
      </c>
      <c r="AH98" s="2957"/>
      <c r="AI98" s="2956"/>
      <c r="AJ98" s="2746"/>
      <c r="AK98" s="354">
        <f>SUM(AK47:AK61)</f>
        <v>0</v>
      </c>
      <c r="AL98" s="355"/>
      <c r="AM98" s="2956"/>
      <c r="AQ98" s="354">
        <f>SUM(AQ47:AQ61)</f>
        <v>0</v>
      </c>
      <c r="AR98" s="2957"/>
      <c r="AS98" s="2956"/>
      <c r="AT98" s="2746"/>
      <c r="AU98" s="354">
        <f>SUM(AU47:AU61)</f>
        <v>424.30560499999996</v>
      </c>
      <c r="AV98" s="355"/>
      <c r="AW98" s="2956"/>
      <c r="AY98" s="354">
        <f>SUM(AY47:AY61)</f>
        <v>296.32075000000009</v>
      </c>
      <c r="AZ98" s="2957">
        <f>SUM(AZ47:AZ61)</f>
        <v>239.44532199999998</v>
      </c>
      <c r="BA98" s="2956"/>
      <c r="BB98" s="2746"/>
      <c r="BC98" s="354">
        <f>SUM(BC47:BC61)</f>
        <v>309.61785699999996</v>
      </c>
      <c r="BD98" s="355"/>
      <c r="BE98" s="2956">
        <f>SUM(BE47:BE61)</f>
        <v>324.37849900000003</v>
      </c>
    </row>
    <row r="99" spans="1:59" x14ac:dyDescent="0.35">
      <c r="A99" s="9168"/>
      <c r="B99" s="6082"/>
      <c r="C99"/>
      <c r="D99" s="110" t="s">
        <v>991</v>
      </c>
      <c r="F99" s="2953">
        <f>SUM(F63:F70)*F27</f>
        <v>0</v>
      </c>
      <c r="G99" s="2954"/>
      <c r="H99" s="2955">
        <f>SUM(H63:H70)*H27</f>
        <v>0</v>
      </c>
      <c r="I99" s="2956">
        <f>SUM(I63:I70)*I27</f>
        <v>0</v>
      </c>
      <c r="J99" s="2746"/>
      <c r="K99" s="2955">
        <f>SUM(K63:K70)*K27</f>
        <v>0</v>
      </c>
      <c r="L99" s="2956">
        <f>SUM(L63:L70)*L27</f>
        <v>0</v>
      </c>
      <c r="M99" s="2746"/>
      <c r="N99" s="354">
        <f>SUM(N63:N70)*N27</f>
        <v>0</v>
      </c>
      <c r="O99" s="2957"/>
      <c r="P99" s="2957"/>
      <c r="Q99" s="2956"/>
      <c r="R99" s="2746"/>
      <c r="S99" s="354">
        <f>SUM(S63:S70)*S27</f>
        <v>0</v>
      </c>
      <c r="T99" s="355"/>
      <c r="U99" s="2956"/>
      <c r="W99" s="354">
        <f>SUM(W63:W70)*W27</f>
        <v>0</v>
      </c>
      <c r="X99" s="2957"/>
      <c r="Y99" s="2956"/>
      <c r="Z99" s="2746"/>
      <c r="AA99" s="354">
        <f>SUM(AA63:AA70)*AA27</f>
        <v>0</v>
      </c>
      <c r="AB99" s="355"/>
      <c r="AC99" s="2956"/>
      <c r="AG99" s="354">
        <f>SUM(AG63:AG70)*AG27</f>
        <v>0</v>
      </c>
      <c r="AH99" s="2957"/>
      <c r="AI99" s="2956"/>
      <c r="AJ99" s="2746"/>
      <c r="AK99" s="354">
        <f>SUM(AK63:AK70)*AK27</f>
        <v>0</v>
      </c>
      <c r="AL99" s="355"/>
      <c r="AM99" s="2956"/>
      <c r="AQ99" s="354">
        <f>SUM(AQ63:AQ70)*AQ27</f>
        <v>0</v>
      </c>
      <c r="AR99" s="2957"/>
      <c r="AS99" s="2956"/>
      <c r="AT99" s="2746"/>
      <c r="AU99" s="354">
        <f>SUM(AU63:AU70)*AU27</f>
        <v>0</v>
      </c>
      <c r="AV99" s="355"/>
      <c r="AW99" s="2956"/>
      <c r="AY99" s="354">
        <f>SUM(AY63:AY70)*AY27</f>
        <v>0</v>
      </c>
      <c r="AZ99" s="2957">
        <f>SUM(AZ63:AZ70)*AZ27</f>
        <v>0</v>
      </c>
      <c r="BA99" s="2956"/>
      <c r="BB99" s="2746"/>
      <c r="BC99" s="354">
        <f>SUM(BC63:BC70)*BC27</f>
        <v>0</v>
      </c>
      <c r="BD99" s="355"/>
      <c r="BE99" s="2956">
        <f>SUM(BE63:BE70)*BE27</f>
        <v>0</v>
      </c>
    </row>
    <row r="100" spans="1:59" x14ac:dyDescent="0.35">
      <c r="A100" s="9168"/>
      <c r="B100" s="6082"/>
      <c r="C100"/>
      <c r="D100" s="110" t="s">
        <v>979</v>
      </c>
      <c r="F100" s="2953">
        <f>F75</f>
        <v>0</v>
      </c>
      <c r="G100" s="2954"/>
      <c r="H100" s="2955">
        <f>H75</f>
        <v>0</v>
      </c>
      <c r="I100" s="2956">
        <f>I75</f>
        <v>0</v>
      </c>
      <c r="J100" s="2746"/>
      <c r="K100" s="2955">
        <f>K75</f>
        <v>0</v>
      </c>
      <c r="L100" s="2956">
        <f>L75</f>
        <v>0</v>
      </c>
      <c r="M100" s="2746"/>
      <c r="N100" s="354">
        <f>N75</f>
        <v>0</v>
      </c>
      <c r="O100" s="2957"/>
      <c r="P100" s="2957"/>
      <c r="Q100" s="2956"/>
      <c r="R100" s="2746"/>
      <c r="S100" s="354">
        <f>S75</f>
        <v>0</v>
      </c>
      <c r="T100" s="355"/>
      <c r="U100" s="2956"/>
      <c r="W100" s="354">
        <f>W75</f>
        <v>0</v>
      </c>
      <c r="X100" s="2957"/>
      <c r="Y100" s="2956"/>
      <c r="Z100" s="2746"/>
      <c r="AA100" s="354">
        <f>AA75</f>
        <v>0</v>
      </c>
      <c r="AB100" s="355"/>
      <c r="AC100" s="2956"/>
      <c r="AG100" s="354">
        <f>AG75</f>
        <v>0</v>
      </c>
      <c r="AH100" s="2957"/>
      <c r="AI100" s="2956"/>
      <c r="AJ100" s="2746"/>
      <c r="AK100" s="354">
        <f>AK75</f>
        <v>0</v>
      </c>
      <c r="AL100" s="355"/>
      <c r="AM100" s="2956"/>
      <c r="AQ100" s="354">
        <f>AQ72</f>
        <v>0</v>
      </c>
      <c r="AR100" s="2957"/>
      <c r="AS100" s="2956"/>
      <c r="AT100" s="2746"/>
      <c r="AU100" s="354">
        <f>AU72</f>
        <v>0</v>
      </c>
      <c r="AV100" s="355"/>
      <c r="AW100" s="2956"/>
      <c r="AY100" s="354">
        <f>AY72</f>
        <v>0</v>
      </c>
      <c r="AZ100" s="2957">
        <f>AZ72</f>
        <v>0</v>
      </c>
      <c r="BA100" s="2956"/>
      <c r="BB100" s="2746"/>
      <c r="BC100" s="354">
        <f>BC72</f>
        <v>0</v>
      </c>
      <c r="BD100" s="355"/>
      <c r="BE100" s="2956">
        <f>BE72</f>
        <v>0</v>
      </c>
    </row>
    <row r="101" spans="1:59" x14ac:dyDescent="0.35">
      <c r="A101" s="9168"/>
      <c r="B101" s="6082"/>
      <c r="C101"/>
      <c r="D101" s="356" t="s">
        <v>992</v>
      </c>
      <c r="E101" s="143"/>
      <c r="F101" s="2958">
        <f>SUM(F97:F100)</f>
        <v>0</v>
      </c>
      <c r="G101" s="2959"/>
      <c r="H101" s="2960">
        <f>SUM(H97:H100)</f>
        <v>0</v>
      </c>
      <c r="I101" s="2961">
        <f>SUM(I97:I100)</f>
        <v>0</v>
      </c>
      <c r="J101" s="2776"/>
      <c r="K101" s="2960">
        <f>SUM(K97:K100)</f>
        <v>0</v>
      </c>
      <c r="L101" s="2961">
        <f>SUM(L97:L100)</f>
        <v>0</v>
      </c>
      <c r="M101" s="2776"/>
      <c r="N101" s="363">
        <f>SUM(N97:N100)</f>
        <v>58132.063781999997</v>
      </c>
      <c r="O101" s="2962"/>
      <c r="P101" s="2962"/>
      <c r="Q101" s="2961"/>
      <c r="R101" s="2776"/>
      <c r="S101" s="363">
        <f>SUM(S97:S100)</f>
        <v>60449.87371</v>
      </c>
      <c r="T101" s="364"/>
      <c r="U101" s="2961"/>
      <c r="V101" s="143"/>
      <c r="W101" s="363">
        <f>SUM(W97:W100)</f>
        <v>60484.87371</v>
      </c>
      <c r="X101" s="2962"/>
      <c r="Y101" s="2961"/>
      <c r="Z101" s="2776"/>
      <c r="AA101" s="363">
        <f>SUM(AA97:AA100)</f>
        <v>72480.231430999993</v>
      </c>
      <c r="AB101" s="364"/>
      <c r="AC101" s="2961"/>
      <c r="AD101" s="143"/>
      <c r="AF101" s="143"/>
      <c r="AG101" s="363">
        <f>SUM(AG97:AG100)</f>
        <v>72231.735547000004</v>
      </c>
      <c r="AH101" s="2962"/>
      <c r="AI101" s="2961"/>
      <c r="AJ101" s="2776"/>
      <c r="AK101" s="363">
        <f>SUM(AK97:AK100)</f>
        <v>0</v>
      </c>
      <c r="AL101" s="364"/>
      <c r="AM101" s="2961"/>
      <c r="AN101" s="143"/>
      <c r="AP101" s="143"/>
      <c r="AQ101" s="363">
        <f>MAX(SUM(AQ97:AQ100),AQ75)</f>
        <v>0</v>
      </c>
      <c r="AR101" s="2962"/>
      <c r="AS101" s="2961"/>
      <c r="AT101" s="2776"/>
      <c r="AU101" s="363">
        <f>MAX(SUM(AU97:AU100),AU75)</f>
        <v>7323.1784660000003</v>
      </c>
      <c r="AV101" s="7267" t="str">
        <f>IF(AU75&gt;=SUM(AU97:AU100),"Fonction Education","Somme ministères")</f>
        <v>Fonction Education</v>
      </c>
      <c r="AW101" s="2961"/>
      <c r="AY101" s="363">
        <f>MAX(SUM(AY97:AY100),AY75)</f>
        <v>6814.5471689999986</v>
      </c>
      <c r="AZ101" s="2962">
        <f>MAX(SUM(AZ97:AZ100),AZ75)</f>
        <v>7021.5138459999989</v>
      </c>
      <c r="BA101" s="2961"/>
      <c r="BB101" s="2776"/>
      <c r="BC101" s="363">
        <f>MAX(SUM(BC97:BC100),BC75)</f>
        <v>8138.3725700000005</v>
      </c>
      <c r="BD101" s="7267"/>
      <c r="BE101" s="2961">
        <f>MAX(SUM(BE97:BE100),BE75)</f>
        <v>7384.4193400000004</v>
      </c>
      <c r="BF101" s="143"/>
    </row>
    <row r="102" spans="1:59" ht="15.5" x14ac:dyDescent="0.35">
      <c r="A102" s="9168"/>
      <c r="B102" s="6082"/>
      <c r="C102"/>
      <c r="D102" s="365" t="s">
        <v>993</v>
      </c>
      <c r="F102" s="366" t="e">
        <f>F101/(F16+F17)</f>
        <v>#DIV/0!</v>
      </c>
      <c r="G102" s="367"/>
      <c r="H102" s="368" t="e">
        <f>H101/(H16+H17)</f>
        <v>#DIV/0!</v>
      </c>
      <c r="I102" s="370" t="e">
        <f>I101/(I16+I17)</f>
        <v>#DIV/0!</v>
      </c>
      <c r="J102" s="1236"/>
      <c r="K102" s="368" t="e">
        <f>K101/(K16+K17)</f>
        <v>#DIV/0!</v>
      </c>
      <c r="L102" s="370" t="e">
        <f>L101/(L16+L17)</f>
        <v>#DIV/0!</v>
      </c>
      <c r="M102" s="1236"/>
      <c r="N102" s="368">
        <f>N101/(N16+N17)</f>
        <v>0.14707928588991362</v>
      </c>
      <c r="O102" s="369"/>
      <c r="P102" s="369"/>
      <c r="Q102" s="370"/>
      <c r="R102" s="1236"/>
      <c r="S102" s="368">
        <f>S101/(S16+S17)</f>
        <v>0.15099986099490786</v>
      </c>
      <c r="T102" s="369"/>
      <c r="U102" s="370"/>
      <c r="W102" s="368">
        <f>W101/(W16+W17+W18+W19)</f>
        <v>0.12829813700576956</v>
      </c>
      <c r="X102" s="369"/>
      <c r="Y102" s="370"/>
      <c r="Z102" s="1236"/>
      <c r="AA102" s="368">
        <f>AA101/(AA16+AA17+AA18+AA19)</f>
        <v>0.1539315962940152</v>
      </c>
      <c r="AB102" s="369"/>
      <c r="AC102" s="370"/>
      <c r="AG102" s="368">
        <f>AG101/(AG16+AG17+AG18+AG19)</f>
        <v>0.15340384731555029</v>
      </c>
      <c r="AH102" s="369"/>
      <c r="AI102" s="370"/>
      <c r="AJ102" s="1236"/>
      <c r="AK102" s="368">
        <f>AK101/(AK16+AK17+AK18+AK19)</f>
        <v>0</v>
      </c>
      <c r="AL102" s="369"/>
      <c r="AM102" s="370"/>
      <c r="AQ102" s="368">
        <f>AQ101/(AQ16+AQ17+AQ18+AQ19)</f>
        <v>0</v>
      </c>
      <c r="AR102" s="369"/>
      <c r="AS102" s="370"/>
      <c r="AT102" s="1236"/>
      <c r="AU102" s="368">
        <f>AU101/(AU16+AU17+AU18+AU19)</f>
        <v>0.13904681234928892</v>
      </c>
      <c r="AV102" s="369"/>
      <c r="AW102" s="370"/>
      <c r="AY102" s="368">
        <f>AY101/(AY16+AY17+AY18+AY19)</f>
        <v>0.12938931720052402</v>
      </c>
      <c r="AZ102" s="369">
        <f>AZ101/(AZ16+AZ17+AZ18+AZ19)</f>
        <v>0.14188602756279425</v>
      </c>
      <c r="BA102" s="370"/>
      <c r="BB102" s="1236"/>
      <c r="BC102" s="368">
        <f>BC101/(BC16+BC17+BC18+BC19)</f>
        <v>0.12016614845111184</v>
      </c>
      <c r="BD102" s="369"/>
      <c r="BE102" s="370">
        <f>BE101/(BE16+BE17+BE18+BE19)</f>
        <v>0.1728562579588015</v>
      </c>
    </row>
    <row r="103" spans="1:59" x14ac:dyDescent="0.35">
      <c r="A103" s="9168"/>
      <c r="B103" s="371"/>
      <c r="C103" s="372"/>
      <c r="D103" s="372"/>
      <c r="E103" s="296" t="s">
        <v>994</v>
      </c>
      <c r="F103" s="375"/>
      <c r="G103" s="376"/>
      <c r="H103" s="380"/>
      <c r="I103" s="379"/>
      <c r="J103" s="1236"/>
      <c r="K103" s="380"/>
      <c r="L103" s="379"/>
      <c r="M103" s="1236"/>
      <c r="N103" s="571">
        <f>N101-N33-N39-N41</f>
        <v>58132.063781999997</v>
      </c>
      <c r="O103" s="567"/>
      <c r="P103" s="2963"/>
      <c r="Q103" s="2964"/>
      <c r="R103" s="8909"/>
      <c r="S103" s="571">
        <f>S101-S33-S39-S41</f>
        <v>58740.87371</v>
      </c>
      <c r="T103" s="567"/>
      <c r="U103" s="379"/>
      <c r="W103" s="571">
        <f>W101-W33-W39-W41-SUM(W55:W59)</f>
        <v>58040.87371</v>
      </c>
      <c r="X103" s="567"/>
      <c r="Y103" s="2964"/>
      <c r="Z103" s="8909"/>
      <c r="AA103" s="571">
        <f>AA101-AA33-AA39-AA41-SUM(AA55:AA59)</f>
        <v>69705.68643099998</v>
      </c>
      <c r="AB103" s="567"/>
      <c r="AC103" s="379"/>
      <c r="AG103" s="571">
        <f>AG101-AG33-AG39-AG41-SUM(AG55:AG59)</f>
        <v>70894.697046999994</v>
      </c>
      <c r="AH103" s="567"/>
      <c r="AI103" s="2964"/>
      <c r="AJ103" s="8909"/>
      <c r="AK103" s="571">
        <f>AK101-AK33-AK39-AK41-SUM(AK55:AK59)</f>
        <v>0</v>
      </c>
      <c r="AL103" s="567"/>
      <c r="AM103" s="379"/>
      <c r="AQ103" s="571"/>
      <c r="AR103" s="567"/>
      <c r="AS103" s="2964"/>
      <c r="AT103" s="8909"/>
      <c r="AU103" s="571"/>
      <c r="AV103" s="567"/>
      <c r="AW103" s="379"/>
      <c r="AY103" s="571"/>
      <c r="AZ103" s="567"/>
      <c r="BA103" s="2964"/>
      <c r="BB103" s="8909"/>
      <c r="BC103" s="571"/>
      <c r="BD103" s="3191"/>
      <c r="BE103" s="3190"/>
    </row>
    <row r="104" spans="1:59" s="462" customFormat="1" x14ac:dyDescent="0.35">
      <c r="A104" s="9168"/>
      <c r="B104" s="58"/>
      <c r="C104" s="390"/>
      <c r="D104" s="390"/>
      <c r="E104" s="59" t="s">
        <v>995</v>
      </c>
      <c r="F104" s="2966"/>
      <c r="G104" s="1742"/>
      <c r="H104" s="1994"/>
      <c r="I104" s="247"/>
      <c r="J104" s="235"/>
      <c r="K104" s="1994"/>
      <c r="L104" s="247"/>
      <c r="M104" s="235"/>
      <c r="N104" s="8431"/>
      <c r="O104" s="8428"/>
      <c r="P104" s="8493"/>
      <c r="Q104" s="8494"/>
      <c r="R104" s="1236"/>
      <c r="S104" s="8431">
        <f>(S101-S103)/S17</f>
        <v>1.2005227788484606E-2</v>
      </c>
      <c r="T104" s="8428"/>
      <c r="U104" s="247"/>
      <c r="V104" s="1"/>
      <c r="W104" s="8431">
        <f>(W101-W103)/(W17+W18+W19)</f>
        <v>1.1624256837098692E-2</v>
      </c>
      <c r="X104" s="8428"/>
      <c r="Y104" s="8494"/>
      <c r="Z104" s="1236"/>
      <c r="AA104" s="8431">
        <f>(AA101-AA103)/(AA17+AA18+AA19)</f>
        <v>1.3994476949460368E-2</v>
      </c>
      <c r="AB104" s="8428"/>
      <c r="AC104" s="247"/>
      <c r="AD104" s="1"/>
      <c r="AE104"/>
      <c r="AF104" s="1"/>
      <c r="AG104" s="8431">
        <f>(AG101-AG103)/(AG17+AG18+AG19)</f>
        <v>6.7438641178251268E-3</v>
      </c>
      <c r="AH104" s="8428"/>
      <c r="AI104" s="8494"/>
      <c r="AJ104" s="1236"/>
      <c r="AK104" s="8431">
        <f>(AK101-AK103)/(AK17+AK18+AK19)</f>
        <v>0</v>
      </c>
      <c r="AL104" s="8428"/>
      <c r="AM104" s="247"/>
      <c r="AN104" s="1"/>
      <c r="AO104"/>
      <c r="AP104" s="1"/>
      <c r="AQ104" s="8431"/>
      <c r="AR104" s="8428"/>
      <c r="AS104" s="8494"/>
      <c r="AT104" s="1236"/>
      <c r="AU104" s="8431"/>
      <c r="AV104" s="8428"/>
      <c r="AW104" s="247"/>
      <c r="AX104" s="1"/>
      <c r="AY104" s="8431"/>
      <c r="AZ104" s="8428"/>
      <c r="BA104" s="8494"/>
      <c r="BB104" s="1236"/>
      <c r="BC104" s="8431"/>
      <c r="BD104" s="254"/>
      <c r="BE104" s="8910"/>
      <c r="BF104" s="1"/>
      <c r="BG104"/>
    </row>
    <row r="105" spans="1:59" s="462" customFormat="1" x14ac:dyDescent="0.35">
      <c r="A105" s="9168"/>
      <c r="B105" s="58"/>
      <c r="C105" s="390"/>
      <c r="D105" s="390"/>
      <c r="E105" s="59" t="s">
        <v>996</v>
      </c>
      <c r="F105" s="2966"/>
      <c r="G105" s="1742"/>
      <c r="H105" s="1994"/>
      <c r="I105" s="247"/>
      <c r="J105" s="235"/>
      <c r="K105" s="1994"/>
      <c r="L105" s="247"/>
      <c r="M105" s="235"/>
      <c r="N105" s="8431"/>
      <c r="O105" s="8428"/>
      <c r="P105" s="8493"/>
      <c r="Q105" s="8494"/>
      <c r="R105" s="1236"/>
      <c r="S105" s="8431">
        <f>S101/S16</f>
        <v>0.23432362636606113</v>
      </c>
      <c r="T105" s="8428"/>
      <c r="U105" s="247"/>
      <c r="V105" s="1"/>
      <c r="W105" s="8431">
        <f>W103/W16</f>
        <v>0.22221705926720012</v>
      </c>
      <c r="X105" s="8428"/>
      <c r="Y105" s="8494"/>
      <c r="Z105" s="1236"/>
      <c r="AA105" s="8431">
        <f>AA103/AA16</f>
        <v>0.25570684677549516</v>
      </c>
      <c r="AB105" s="8428"/>
      <c r="AC105" s="247"/>
      <c r="AD105" s="1"/>
      <c r="AE105"/>
      <c r="AF105" s="1"/>
      <c r="AG105" s="8431">
        <f>AG103/AG16</f>
        <v>0.26006858784666176</v>
      </c>
      <c r="AH105" s="8428"/>
      <c r="AI105" s="8494"/>
      <c r="AJ105" s="1236"/>
      <c r="AK105" s="8431">
        <f>AK103/AK16</f>
        <v>0</v>
      </c>
      <c r="AL105" s="8428"/>
      <c r="AM105" s="247"/>
      <c r="AN105" s="1"/>
      <c r="AO105"/>
      <c r="AP105" s="1"/>
      <c r="AQ105" s="8431"/>
      <c r="AR105" s="8428"/>
      <c r="AS105" s="8494"/>
      <c r="AT105" s="1236"/>
      <c r="AU105" s="8431"/>
      <c r="AV105" s="8428"/>
      <c r="AW105" s="247"/>
      <c r="AX105" s="1"/>
      <c r="AY105" s="8431"/>
      <c r="AZ105" s="8428"/>
      <c r="BA105" s="8494"/>
      <c r="BB105" s="1236"/>
      <c r="BC105" s="8431"/>
      <c r="BD105" s="254"/>
      <c r="BE105" s="8910"/>
      <c r="BF105" s="1"/>
      <c r="BG105"/>
    </row>
    <row r="106" spans="1:59" s="462" customFormat="1" ht="12" customHeight="1" x14ac:dyDescent="0.35">
      <c r="A106" s="9168"/>
      <c r="B106" s="58"/>
      <c r="C106" s="390"/>
      <c r="D106" s="390"/>
      <c r="E106" s="1736"/>
      <c r="F106" s="2966"/>
      <c r="G106" s="1742"/>
      <c r="H106" s="1994"/>
      <c r="I106" s="247"/>
      <c r="J106" s="235"/>
      <c r="K106" s="1994"/>
      <c r="L106" s="247"/>
      <c r="M106" s="235"/>
      <c r="N106" s="8431"/>
      <c r="O106" s="8428"/>
      <c r="P106" s="8493"/>
      <c r="Q106" s="8494"/>
      <c r="R106" s="1236"/>
      <c r="S106" s="8431"/>
      <c r="T106" s="8428"/>
      <c r="U106" s="247"/>
      <c r="V106" s="1"/>
      <c r="W106" s="8431"/>
      <c r="X106" s="8428"/>
      <c r="Y106" s="8494"/>
      <c r="Z106" s="1236"/>
      <c r="AA106" s="8431"/>
      <c r="AB106" s="8428"/>
      <c r="AC106" s="247"/>
      <c r="AD106" s="1"/>
      <c r="AE106"/>
      <c r="AF106" s="1"/>
      <c r="AG106" s="8431"/>
      <c r="AH106" s="8428"/>
      <c r="AI106" s="8494"/>
      <c r="AJ106" s="1236"/>
      <c r="AK106" s="8431"/>
      <c r="AL106" s="8428"/>
      <c r="AM106" s="247"/>
      <c r="AN106" s="1"/>
      <c r="AO106"/>
      <c r="AP106" s="1"/>
      <c r="AQ106" s="8431"/>
      <c r="AR106" s="8428"/>
      <c r="AS106" s="8494"/>
      <c r="AT106" s="1236"/>
      <c r="AU106" s="8431"/>
      <c r="AV106" s="8428"/>
      <c r="AW106" s="247"/>
      <c r="AX106" s="1"/>
      <c r="AY106" s="8431"/>
      <c r="AZ106" s="8428"/>
      <c r="BA106" s="8494"/>
      <c r="BB106" s="1236"/>
      <c r="BC106" s="8431"/>
      <c r="BD106" s="254"/>
      <c r="BE106" s="8910"/>
      <c r="BF106" s="1"/>
      <c r="BG106"/>
    </row>
    <row r="107" spans="1:59" s="462" customFormat="1" x14ac:dyDescent="0.35">
      <c r="A107" s="9168"/>
      <c r="B107" s="58"/>
      <c r="C107" s="390"/>
      <c r="D107" s="390"/>
      <c r="E107" s="296" t="s">
        <v>997</v>
      </c>
      <c r="F107" s="2966"/>
      <c r="G107" s="1742"/>
      <c r="H107" s="1994"/>
      <c r="I107" s="247"/>
      <c r="J107" s="235"/>
      <c r="K107" s="1994"/>
      <c r="L107" s="247"/>
      <c r="M107" s="235"/>
      <c r="N107" s="8431">
        <f>N101/N12</f>
        <v>0.13157527971372698</v>
      </c>
      <c r="O107" s="8428"/>
      <c r="P107" s="8493"/>
      <c r="Q107" s="8494"/>
      <c r="R107" s="1236"/>
      <c r="S107" s="8431">
        <f>S101/S12</f>
        <v>0.13793562468197157</v>
      </c>
      <c r="T107" s="8428"/>
      <c r="U107" s="247"/>
      <c r="V107" s="1"/>
      <c r="W107" s="8431">
        <f>W101/W12</f>
        <v>0.13294547588799016</v>
      </c>
      <c r="X107" s="8428"/>
      <c r="Y107" s="8494"/>
      <c r="Z107" s="1236"/>
      <c r="AA107" s="8431">
        <f>AA101/AA12</f>
        <v>0.15173386248325238</v>
      </c>
      <c r="AB107" s="8428"/>
      <c r="AC107" s="247"/>
      <c r="AD107" s="1"/>
      <c r="AE107"/>
      <c r="AF107" s="1"/>
      <c r="AG107" s="8431">
        <f>AG101/AG12</f>
        <v>0.15121364835664045</v>
      </c>
      <c r="AH107" s="8428"/>
      <c r="AI107" s="8494"/>
      <c r="AJ107" s="1236"/>
      <c r="AK107" s="8431">
        <f>AK101/AK12</f>
        <v>0</v>
      </c>
      <c r="AL107" s="8428"/>
      <c r="AM107" s="247"/>
      <c r="AN107" s="1"/>
      <c r="AO107"/>
      <c r="AP107" s="1"/>
      <c r="AQ107" s="8431">
        <f>AQ101/AQ12</f>
        <v>0</v>
      </c>
      <c r="AR107" s="8428"/>
      <c r="AS107" s="8494"/>
      <c r="AT107" s="1236"/>
      <c r="AU107" s="8431">
        <f>AU101/AU12</f>
        <v>0.13676935727625877</v>
      </c>
      <c r="AV107" s="8428"/>
      <c r="AW107" s="247"/>
      <c r="AX107" s="1"/>
      <c r="AY107" s="8431">
        <f>AY101/AY12</f>
        <v>0.12727004274988793</v>
      </c>
      <c r="AZ107" s="8428"/>
      <c r="BA107" s="8494"/>
      <c r="BB107" s="1236"/>
      <c r="BC107" s="8431">
        <f>BC101/BC12</f>
        <v>0.16208023121962878</v>
      </c>
      <c r="BD107" s="254"/>
      <c r="BE107" s="8910">
        <f>BE101/BE12</f>
        <v>0.1528036989924528</v>
      </c>
      <c r="BF107" s="1"/>
      <c r="BG107"/>
    </row>
    <row r="108" spans="1:59" s="462" customFormat="1" x14ac:dyDescent="0.35">
      <c r="A108" s="9168"/>
      <c r="B108" s="58"/>
      <c r="C108" s="390"/>
      <c r="D108" s="390"/>
      <c r="E108" s="296" t="s">
        <v>998</v>
      </c>
      <c r="F108" s="2966"/>
      <c r="G108" s="1742"/>
      <c r="H108" s="1994"/>
      <c r="I108" s="247"/>
      <c r="J108" s="235"/>
      <c r="K108" s="1994"/>
      <c r="L108" s="247"/>
      <c r="M108" s="235"/>
      <c r="N108" s="8431"/>
      <c r="O108" s="8428"/>
      <c r="P108" s="8493"/>
      <c r="Q108" s="8494"/>
      <c r="R108" s="1236"/>
      <c r="S108" s="8431"/>
      <c r="T108" s="8428"/>
      <c r="U108" s="247"/>
      <c r="V108" s="1"/>
      <c r="W108" s="8431"/>
      <c r="X108" s="8428"/>
      <c r="Y108" s="8494"/>
      <c r="Z108" s="1236"/>
      <c r="AA108" s="8911">
        <f>AA101-AA91</f>
        <v>64350.141430999996</v>
      </c>
      <c r="AB108" s="8428"/>
      <c r="AC108" s="247"/>
      <c r="AD108" s="1"/>
      <c r="AE108"/>
      <c r="AF108" s="1"/>
      <c r="AG108" s="8431"/>
      <c r="AH108" s="8428"/>
      <c r="AI108" s="8494"/>
      <c r="AJ108" s="1236"/>
      <c r="AK108" s="8911">
        <f>AK101-AK91</f>
        <v>0</v>
      </c>
      <c r="AL108" s="8428"/>
      <c r="AM108" s="247"/>
      <c r="AN108" s="1"/>
      <c r="AO108"/>
      <c r="AP108" s="1"/>
      <c r="AQ108" s="8911">
        <f>AQ101-AQ91</f>
        <v>0</v>
      </c>
      <c r="AR108" s="8428"/>
      <c r="AS108" s="8494"/>
      <c r="AT108" s="1236"/>
      <c r="AU108" s="8911">
        <f>AU101-AU91</f>
        <v>7175.9784660000005</v>
      </c>
      <c r="AV108" s="8428"/>
      <c r="AW108" s="247"/>
      <c r="AX108" s="1"/>
      <c r="AY108" s="8911">
        <f>AY101-AY91</f>
        <v>6814.5471689999986</v>
      </c>
      <c r="AZ108" s="8428"/>
      <c r="BA108" s="8494"/>
      <c r="BB108" s="1236"/>
      <c r="BC108" s="8911">
        <f>BC101-BC91</f>
        <v>8138.3725700000005</v>
      </c>
      <c r="BD108" s="254"/>
      <c r="BE108" s="8912">
        <f>BE101-BE91</f>
        <v>7384.4193400000004</v>
      </c>
      <c r="BF108" s="1"/>
      <c r="BG108"/>
    </row>
    <row r="109" spans="1:59" s="462" customFormat="1" x14ac:dyDescent="0.35">
      <c r="A109" s="9168"/>
      <c r="B109" s="58"/>
      <c r="C109" s="390"/>
      <c r="D109" s="390"/>
      <c r="E109" s="296" t="s">
        <v>1909</v>
      </c>
      <c r="F109" s="2966"/>
      <c r="G109" s="1742"/>
      <c r="H109" s="1994"/>
      <c r="I109" s="247"/>
      <c r="J109" s="235"/>
      <c r="K109" s="1994"/>
      <c r="L109" s="247"/>
      <c r="M109" s="235"/>
      <c r="N109" s="8431"/>
      <c r="O109" s="8428"/>
      <c r="P109" s="8493"/>
      <c r="Q109" s="8494"/>
      <c r="R109" s="1236"/>
      <c r="S109" s="8431"/>
      <c r="T109" s="8428"/>
      <c r="U109" s="247"/>
      <c r="V109" s="1"/>
      <c r="W109" s="8431"/>
      <c r="X109" s="8428"/>
      <c r="Y109" s="8494"/>
      <c r="Z109" s="1236"/>
      <c r="AA109" s="8431">
        <f>AA108/AA12</f>
        <v>0.1347139118887121</v>
      </c>
      <c r="AB109" s="8428"/>
      <c r="AC109" s="247"/>
      <c r="AD109" s="1"/>
      <c r="AE109"/>
      <c r="AF109" s="1"/>
      <c r="AG109" s="8431"/>
      <c r="AH109" s="8428"/>
      <c r="AI109" s="8494"/>
      <c r="AJ109" s="1236"/>
      <c r="AK109" s="8431">
        <f>AK108/AK12</f>
        <v>0</v>
      </c>
      <c r="AL109" s="8428"/>
      <c r="AM109" s="247"/>
      <c r="AN109" s="1"/>
      <c r="AO109"/>
      <c r="AP109" s="1"/>
      <c r="AQ109" s="8431">
        <f>AQ108/AQ12</f>
        <v>0</v>
      </c>
      <c r="AR109" s="8428"/>
      <c r="AS109" s="8494"/>
      <c r="AT109" s="1236"/>
      <c r="AU109" s="8431">
        <f>AU108/AU12</f>
        <v>0.13402021638278799</v>
      </c>
      <c r="AV109" s="8428"/>
      <c r="AW109" s="247"/>
      <c r="AX109" s="456"/>
      <c r="AY109" s="8431">
        <f>AY108/AY12</f>
        <v>0.12727004274988793</v>
      </c>
      <c r="AZ109" s="8428"/>
      <c r="BA109" s="8494"/>
      <c r="BB109" s="1236"/>
      <c r="BC109" s="8431">
        <f>BC108/BC12</f>
        <v>0.16208023121962878</v>
      </c>
      <c r="BD109" s="254"/>
      <c r="BE109" s="8910">
        <f>BE108/BE12</f>
        <v>0.1528036989924528</v>
      </c>
      <c r="BF109" s="1"/>
    </row>
    <row r="110" spans="1:59" s="462" customFormat="1" x14ac:dyDescent="0.35">
      <c r="A110" s="9168"/>
      <c r="B110" s="58"/>
      <c r="C110" s="390"/>
      <c r="D110" s="390"/>
      <c r="E110" s="1736"/>
      <c r="F110" s="2966"/>
      <c r="G110" s="1742"/>
      <c r="H110" s="1994"/>
      <c r="I110" s="247"/>
      <c r="J110" s="235"/>
      <c r="K110" s="1994"/>
      <c r="L110" s="247"/>
      <c r="M110" s="235"/>
      <c r="N110" s="8431"/>
      <c r="O110" s="8428"/>
      <c r="P110" s="8493"/>
      <c r="Q110" s="8494"/>
      <c r="R110" s="1236"/>
      <c r="S110" s="8431"/>
      <c r="T110" s="8428"/>
      <c r="U110" s="247"/>
      <c r="V110" s="1"/>
      <c r="W110" s="8431"/>
      <c r="X110" s="8428"/>
      <c r="Y110" s="8494"/>
      <c r="Z110" s="1236"/>
      <c r="AA110" s="8431"/>
      <c r="AB110" s="8428"/>
      <c r="AC110" s="247"/>
      <c r="AD110" s="1"/>
      <c r="AE110"/>
      <c r="AF110" s="1"/>
      <c r="AG110" s="8431"/>
      <c r="AH110" s="8428"/>
      <c r="AI110" s="8494"/>
      <c r="AJ110" s="1236"/>
      <c r="AK110" s="8431"/>
      <c r="AL110" s="8428"/>
      <c r="AM110" s="247"/>
      <c r="AN110" s="1"/>
      <c r="AO110"/>
      <c r="AP110" s="1"/>
      <c r="AQ110" s="8431"/>
      <c r="AR110" s="8428"/>
      <c r="AS110" s="8494"/>
      <c r="AT110" s="1236"/>
      <c r="AU110" s="8431"/>
      <c r="AV110" s="8428"/>
      <c r="AW110" s="247"/>
      <c r="AX110" s="456"/>
      <c r="AY110" s="8431"/>
      <c r="AZ110" s="8428"/>
      <c r="BA110" s="8494"/>
      <c r="BB110" s="1236"/>
      <c r="BC110" s="8431"/>
      <c r="BD110" s="254"/>
      <c r="BE110" s="8910"/>
      <c r="BF110" s="1"/>
    </row>
    <row r="111" spans="1:59" s="462" customFormat="1" x14ac:dyDescent="0.35">
      <c r="A111" s="9168"/>
      <c r="B111" s="58"/>
      <c r="C111" s="390"/>
      <c r="D111" s="390"/>
      <c r="E111" s="1758" t="s">
        <v>1000</v>
      </c>
      <c r="F111" s="425"/>
      <c r="G111" s="2967"/>
      <c r="H111" s="430"/>
      <c r="I111" s="431"/>
      <c r="J111" s="235"/>
      <c r="K111" s="430"/>
      <c r="L111" s="431"/>
      <c r="M111" s="235"/>
      <c r="N111" s="2968"/>
      <c r="O111" s="2969"/>
      <c r="P111" s="2970"/>
      <c r="Q111" s="2971"/>
      <c r="R111" s="1236"/>
      <c r="S111" s="2968"/>
      <c r="T111" s="2969"/>
      <c r="U111" s="431"/>
      <c r="V111" s="1"/>
      <c r="W111" s="2968"/>
      <c r="X111" s="2969"/>
      <c r="Y111" s="2971"/>
      <c r="Z111" s="1236"/>
      <c r="AA111" s="2968"/>
      <c r="AB111" s="2969"/>
      <c r="AC111" s="431"/>
      <c r="AD111" s="1"/>
      <c r="AE111"/>
      <c r="AF111" s="1"/>
      <c r="AG111" s="2968"/>
      <c r="AH111" s="2969"/>
      <c r="AI111" s="2971"/>
      <c r="AJ111" s="1236"/>
      <c r="AK111" s="2968"/>
      <c r="AL111" s="2969"/>
      <c r="AM111" s="431"/>
      <c r="AN111" s="1"/>
      <c r="AO111"/>
      <c r="AP111" s="1"/>
      <c r="AQ111" s="2968"/>
      <c r="AR111" s="2969"/>
      <c r="AS111" s="2971"/>
      <c r="AT111" s="1236"/>
      <c r="AU111" s="2968"/>
      <c r="AV111" s="2969"/>
      <c r="AW111" s="431"/>
      <c r="AX111" s="456"/>
      <c r="AY111" s="2968"/>
      <c r="AZ111" s="2969"/>
      <c r="BA111" s="2971"/>
      <c r="BB111" s="1236"/>
      <c r="BC111" s="2968"/>
      <c r="BD111" s="6639"/>
      <c r="BE111" s="8913"/>
      <c r="BF111" s="1"/>
      <c r="BG111" s="577"/>
    </row>
    <row r="112" spans="1:59" s="462" customFormat="1" x14ac:dyDescent="0.35">
      <c r="A112" s="9169"/>
      <c r="B112" s="85"/>
      <c r="C112" s="432"/>
      <c r="D112" s="432"/>
      <c r="E112" s="1758" t="s">
        <v>1001</v>
      </c>
      <c r="F112" s="434"/>
      <c r="G112" s="2972"/>
      <c r="H112" s="439"/>
      <c r="I112" s="440"/>
      <c r="J112" s="1236"/>
      <c r="K112" s="439"/>
      <c r="L112" s="440"/>
      <c r="M112" s="1236"/>
      <c r="N112" s="439"/>
      <c r="O112" s="437"/>
      <c r="P112" s="2973"/>
      <c r="Q112" s="440"/>
      <c r="R112" s="1236"/>
      <c r="S112" s="439">
        <f>S79/S101</f>
        <v>0.43768779542748854</v>
      </c>
      <c r="T112" s="437"/>
      <c r="U112" s="440"/>
      <c r="V112" s="1"/>
      <c r="W112" s="439">
        <f>W79/W101</f>
        <v>0.437434524288767</v>
      </c>
      <c r="X112" s="437"/>
      <c r="Y112" s="440"/>
      <c r="Z112" s="1236"/>
      <c r="AA112" s="439">
        <f>AA79/AA101</f>
        <v>0.49432571929779878</v>
      </c>
      <c r="AB112" s="437"/>
      <c r="AC112" s="440"/>
      <c r="AD112" s="1"/>
      <c r="AE112"/>
      <c r="AF112" s="1"/>
      <c r="AG112" s="439">
        <f>AG79/AG101</f>
        <v>0</v>
      </c>
      <c r="AH112" s="437"/>
      <c r="AI112" s="440"/>
      <c r="AJ112" s="1236"/>
      <c r="AK112" s="439" t="e">
        <f>AK79/AK101</f>
        <v>#DIV/0!</v>
      </c>
      <c r="AL112" s="437"/>
      <c r="AM112" s="440"/>
      <c r="AN112" s="1"/>
      <c r="AO112"/>
      <c r="AP112" s="1"/>
      <c r="AQ112" s="439"/>
      <c r="AR112" s="437"/>
      <c r="AS112" s="440"/>
      <c r="AT112" s="1236"/>
      <c r="AU112" s="439"/>
      <c r="AV112" s="437"/>
      <c r="AW112" s="440"/>
      <c r="AX112" s="456"/>
      <c r="AY112" s="439"/>
      <c r="AZ112" s="437"/>
      <c r="BA112" s="440"/>
      <c r="BB112" s="1236"/>
      <c r="BC112" s="439"/>
      <c r="BD112" s="2973"/>
      <c r="BE112" s="3216"/>
      <c r="BF112" s="1"/>
      <c r="BG112" s="577"/>
    </row>
    <row r="113" spans="1:59" s="462" customFormat="1" ht="12" x14ac:dyDescent="0.3">
      <c r="C113" s="456"/>
      <c r="D113" s="5"/>
      <c r="E113" s="456"/>
      <c r="F113" s="2974"/>
      <c r="G113" s="2974"/>
      <c r="H113" s="892"/>
      <c r="I113" s="892"/>
      <c r="J113" s="2974"/>
      <c r="K113" s="892"/>
      <c r="L113" s="892"/>
      <c r="M113" s="2974"/>
      <c r="N113" s="2975"/>
      <c r="O113" s="892"/>
      <c r="P113" s="892"/>
      <c r="Q113" s="892"/>
      <c r="R113" s="2974"/>
      <c r="S113" s="2975"/>
      <c r="T113" s="2975"/>
      <c r="U113" s="892"/>
      <c r="V113" s="456"/>
      <c r="W113" s="2975"/>
      <c r="X113" s="892"/>
      <c r="Y113" s="892"/>
      <c r="Z113" s="2974"/>
      <c r="AA113" s="2975"/>
      <c r="AB113" s="2975"/>
      <c r="AC113" s="892"/>
      <c r="AD113" s="456"/>
      <c r="AF113" s="456"/>
      <c r="AG113" s="2975"/>
      <c r="AH113" s="892"/>
      <c r="AI113" s="892"/>
      <c r="AJ113" s="2974"/>
      <c r="AK113" s="2975"/>
      <c r="AL113" s="2975"/>
      <c r="AM113" s="892"/>
      <c r="AN113" s="456"/>
      <c r="AP113" s="456"/>
      <c r="AQ113" s="2975"/>
      <c r="AR113" s="892"/>
      <c r="AS113" s="892"/>
      <c r="AT113" s="2974"/>
      <c r="AU113" s="2975"/>
      <c r="AV113" s="2975"/>
      <c r="AW113" s="892"/>
      <c r="AX113" s="456"/>
      <c r="AY113" s="2975"/>
      <c r="AZ113" s="892"/>
      <c r="BA113" s="892"/>
      <c r="BB113" s="2974"/>
      <c r="BC113" s="2975"/>
      <c r="BD113" s="2975"/>
      <c r="BE113" s="892"/>
      <c r="BF113" s="456"/>
      <c r="BG113" s="577"/>
    </row>
    <row r="114" spans="1:59" s="462" customFormat="1" ht="12" x14ac:dyDescent="0.3">
      <c r="A114" s="576" t="s">
        <v>582</v>
      </c>
      <c r="B114" s="576"/>
      <c r="C114" s="456"/>
      <c r="D114" s="5"/>
      <c r="E114" s="456"/>
      <c r="F114" s="2974"/>
      <c r="G114" s="2974"/>
      <c r="H114" s="892"/>
      <c r="I114" s="892"/>
      <c r="J114" s="2974"/>
      <c r="K114" s="892"/>
      <c r="L114" s="892"/>
      <c r="M114" s="2974"/>
      <c r="N114" s="2975"/>
      <c r="O114" s="892"/>
      <c r="P114" s="892"/>
      <c r="Q114" s="892"/>
      <c r="R114" s="2974"/>
      <c r="S114" s="2975"/>
      <c r="T114" s="2975"/>
      <c r="U114" s="892"/>
      <c r="V114" s="456"/>
      <c r="W114" s="2975"/>
      <c r="X114" s="892"/>
      <c r="Y114" s="892"/>
      <c r="Z114" s="2974"/>
      <c r="AA114" s="2975"/>
      <c r="AB114" s="2975"/>
      <c r="AC114" s="892"/>
      <c r="AD114" s="456"/>
      <c r="AF114" s="456"/>
      <c r="AG114" s="2975"/>
      <c r="AH114" s="892"/>
      <c r="AI114" s="892"/>
      <c r="AJ114" s="2974"/>
      <c r="AK114" s="2975"/>
      <c r="AL114" s="2975"/>
      <c r="AM114" s="892"/>
      <c r="AN114" s="456"/>
      <c r="AP114" s="456"/>
      <c r="AQ114" s="2975"/>
      <c r="AR114" s="892"/>
      <c r="AS114" s="892"/>
      <c r="AT114" s="2974"/>
      <c r="AU114" s="2975"/>
      <c r="AV114" s="2975"/>
      <c r="AW114" s="892"/>
      <c r="AX114" s="456"/>
      <c r="AY114" s="2975"/>
      <c r="AZ114" s="892"/>
      <c r="BA114" s="892"/>
      <c r="BB114" s="2974"/>
      <c r="BC114" s="2975"/>
      <c r="BD114" s="2975"/>
      <c r="BE114" s="892"/>
      <c r="BF114" s="456"/>
      <c r="BG114" s="577"/>
    </row>
    <row r="115" spans="1:59" s="462" customFormat="1" ht="12" x14ac:dyDescent="0.3">
      <c r="A115" s="463">
        <v>1</v>
      </c>
      <c r="B115" s="464"/>
      <c r="D115" s="465"/>
      <c r="E115" s="466"/>
      <c r="F115" s="2976"/>
      <c r="G115" s="2976"/>
      <c r="H115" s="2976"/>
      <c r="I115" s="2976"/>
      <c r="J115" s="2974"/>
      <c r="K115" s="2976"/>
      <c r="L115" s="2976"/>
      <c r="M115" s="2974"/>
      <c r="N115" s="2977"/>
      <c r="O115" s="2976"/>
      <c r="P115" s="2976"/>
      <c r="Q115" s="2976"/>
      <c r="R115" s="2974"/>
      <c r="S115" s="2977"/>
      <c r="T115" s="2977"/>
      <c r="U115" s="2976"/>
      <c r="V115" s="456"/>
      <c r="W115" s="2977"/>
      <c r="X115" s="2976"/>
      <c r="Y115" s="2976"/>
      <c r="Z115" s="2974"/>
      <c r="AA115" s="2977"/>
      <c r="AB115" s="2977"/>
      <c r="AC115" s="2976"/>
      <c r="AD115" s="456"/>
      <c r="AE115" s="577"/>
      <c r="AF115" s="456"/>
      <c r="AG115" s="2977"/>
      <c r="AH115" s="2976"/>
      <c r="AI115" s="2976"/>
      <c r="AJ115" s="2974"/>
      <c r="AK115" s="2977"/>
      <c r="AL115" s="2977"/>
      <c r="AM115" s="2976"/>
      <c r="AN115" s="456"/>
      <c r="AO115" s="577"/>
      <c r="AP115" s="456"/>
      <c r="AQ115" s="2977"/>
      <c r="AR115" s="2976"/>
      <c r="AS115" s="2976"/>
      <c r="AT115" s="2974"/>
      <c r="AU115" s="2977"/>
      <c r="AV115" s="2977"/>
      <c r="AW115" s="2976"/>
      <c r="AX115" s="456"/>
      <c r="AY115" s="2977"/>
      <c r="AZ115" s="2976"/>
      <c r="BA115" s="2976"/>
      <c r="BB115" s="2974"/>
      <c r="BC115" s="2977"/>
      <c r="BD115" s="2977"/>
      <c r="BE115" s="2976"/>
      <c r="BF115" s="456"/>
      <c r="BG115" s="577"/>
    </row>
    <row r="116" spans="1:59" s="462" customFormat="1" ht="12" x14ac:dyDescent="0.3">
      <c r="A116" s="468">
        <v>2</v>
      </c>
      <c r="B116" s="469"/>
      <c r="D116" s="5"/>
      <c r="E116" s="456"/>
      <c r="F116" s="2974"/>
      <c r="G116" s="2974"/>
      <c r="H116" s="892"/>
      <c r="I116" s="892"/>
      <c r="J116" s="2974"/>
      <c r="K116" s="892"/>
      <c r="L116" s="892"/>
      <c r="M116" s="2974"/>
      <c r="N116" s="2975"/>
      <c r="O116" s="892"/>
      <c r="P116" s="892"/>
      <c r="Q116" s="892"/>
      <c r="R116" s="2974"/>
      <c r="S116" s="2975"/>
      <c r="T116" s="2975"/>
      <c r="U116" s="892"/>
      <c r="V116" s="456"/>
      <c r="W116" s="2975"/>
      <c r="X116" s="892"/>
      <c r="Y116" s="892"/>
      <c r="Z116" s="2974"/>
      <c r="AA116" s="2975"/>
      <c r="AB116" s="2975"/>
      <c r="AC116" s="892"/>
      <c r="AD116" s="456"/>
      <c r="AE116" s="577"/>
      <c r="AF116" s="456"/>
      <c r="AG116" s="2975"/>
      <c r="AH116" s="892"/>
      <c r="AI116" s="892"/>
      <c r="AJ116" s="2974"/>
      <c r="AK116" s="2975"/>
      <c r="AL116" s="2975"/>
      <c r="AM116" s="892"/>
      <c r="AN116" s="456"/>
      <c r="AO116" s="577"/>
      <c r="AP116" s="456"/>
      <c r="AQ116" s="2975"/>
      <c r="AR116" s="892"/>
      <c r="AS116" s="892"/>
      <c r="AT116" s="2974"/>
      <c r="AU116" s="2975"/>
      <c r="AV116" s="2975"/>
      <c r="AW116" s="892"/>
      <c r="AX116" s="456"/>
      <c r="AY116" s="2975"/>
      <c r="AZ116" s="892"/>
      <c r="BA116" s="892"/>
      <c r="BB116" s="2974"/>
      <c r="BC116" s="2975"/>
      <c r="BD116" s="2975"/>
      <c r="BE116" s="892"/>
      <c r="BF116" s="456"/>
      <c r="BG116" s="577"/>
    </row>
    <row r="117" spans="1:59" s="462" customFormat="1" ht="12" x14ac:dyDescent="0.3">
      <c r="A117" s="468"/>
      <c r="B117" s="469"/>
      <c r="D117" s="5"/>
      <c r="E117" s="456"/>
      <c r="F117" s="2974"/>
      <c r="G117" s="2974"/>
      <c r="H117" s="892"/>
      <c r="I117" s="892"/>
      <c r="J117" s="2974"/>
      <c r="K117" s="892"/>
      <c r="L117" s="892"/>
      <c r="M117" s="2974"/>
      <c r="N117" s="2975"/>
      <c r="O117" s="892"/>
      <c r="P117" s="892"/>
      <c r="Q117" s="892"/>
      <c r="R117" s="2974"/>
      <c r="S117" s="2975"/>
      <c r="T117" s="2975"/>
      <c r="U117" s="892"/>
      <c r="V117" s="456"/>
      <c r="W117" s="2975"/>
      <c r="X117" s="892"/>
      <c r="Y117" s="892"/>
      <c r="Z117" s="2974"/>
      <c r="AA117" s="2975"/>
      <c r="AB117" s="2975"/>
      <c r="AC117" s="892"/>
      <c r="AD117" s="456"/>
      <c r="AE117" s="577"/>
      <c r="AF117" s="456"/>
      <c r="AG117" s="2975"/>
      <c r="AH117" s="892"/>
      <c r="AI117" s="892"/>
      <c r="AJ117" s="2974"/>
      <c r="AK117" s="2975"/>
      <c r="AL117" s="2975"/>
      <c r="AM117" s="892"/>
      <c r="AN117" s="456"/>
      <c r="AO117" s="577"/>
      <c r="AP117" s="456"/>
      <c r="AQ117" s="2975"/>
      <c r="AR117" s="892"/>
      <c r="AS117" s="892"/>
      <c r="AT117" s="2974"/>
      <c r="AU117" s="2975"/>
      <c r="AV117" s="2975"/>
      <c r="AW117" s="892"/>
      <c r="AX117" s="456"/>
      <c r="AY117" s="2975"/>
      <c r="AZ117" s="892"/>
      <c r="BA117" s="892"/>
      <c r="BB117" s="2974"/>
      <c r="BC117" s="2975"/>
      <c r="BD117" s="2975"/>
      <c r="BE117" s="892"/>
      <c r="BF117" s="456"/>
      <c r="BG117" s="577"/>
    </row>
    <row r="118" spans="1:59" s="462" customFormat="1" ht="12" x14ac:dyDescent="0.3">
      <c r="A118" s="468"/>
      <c r="B118" s="469"/>
      <c r="D118" s="5"/>
      <c r="E118" s="456"/>
      <c r="F118" s="2974"/>
      <c r="G118" s="2974"/>
      <c r="H118" s="892"/>
      <c r="I118" s="892"/>
      <c r="J118" s="2974"/>
      <c r="K118" s="892"/>
      <c r="L118" s="892"/>
      <c r="M118" s="2974"/>
      <c r="N118" s="2975"/>
      <c r="O118" s="892"/>
      <c r="P118" s="892"/>
      <c r="Q118" s="892"/>
      <c r="R118" s="2974"/>
      <c r="S118" s="2975"/>
      <c r="T118" s="2975"/>
      <c r="U118" s="892"/>
      <c r="V118" s="456"/>
      <c r="W118" s="2975"/>
      <c r="X118" s="892"/>
      <c r="Y118" s="892"/>
      <c r="Z118" s="2974"/>
      <c r="AA118" s="2975"/>
      <c r="AB118" s="2975"/>
      <c r="AC118" s="892"/>
      <c r="AD118" s="456"/>
      <c r="AE118" s="577"/>
      <c r="AF118" s="456"/>
      <c r="AG118" s="2975"/>
      <c r="AH118" s="892"/>
      <c r="AI118" s="892"/>
      <c r="AJ118" s="2974"/>
      <c r="AK118" s="2975"/>
      <c r="AL118" s="2975"/>
      <c r="AM118" s="892"/>
      <c r="AN118" s="456"/>
      <c r="AO118" s="577"/>
      <c r="AP118" s="456"/>
      <c r="AQ118" s="2975"/>
      <c r="AR118" s="892"/>
      <c r="AS118" s="892"/>
      <c r="AT118" s="2974"/>
      <c r="AU118" s="2975"/>
      <c r="AV118" s="2975"/>
      <c r="AW118" s="892"/>
      <c r="AX118" s="456"/>
      <c r="AY118" s="2975"/>
      <c r="AZ118" s="892"/>
      <c r="BA118" s="892"/>
      <c r="BB118" s="2974"/>
      <c r="BC118" s="2975"/>
      <c r="BD118" s="2975"/>
      <c r="BE118" s="892"/>
      <c r="BF118" s="456"/>
      <c r="BG118" s="577"/>
    </row>
    <row r="119" spans="1:59" s="462" customFormat="1" ht="12" x14ac:dyDescent="0.3">
      <c r="A119" s="468"/>
      <c r="B119" s="469"/>
      <c r="D119" s="5"/>
      <c r="E119" s="456"/>
      <c r="F119" s="2974"/>
      <c r="G119" s="2974"/>
      <c r="H119" s="892"/>
      <c r="I119" s="892"/>
      <c r="J119" s="2974"/>
      <c r="K119" s="892"/>
      <c r="L119" s="892"/>
      <c r="M119" s="2974"/>
      <c r="N119" s="2975"/>
      <c r="O119" s="892"/>
      <c r="P119" s="892"/>
      <c r="Q119" s="892"/>
      <c r="R119" s="2974"/>
      <c r="S119" s="2975"/>
      <c r="T119" s="2975"/>
      <c r="U119" s="892"/>
      <c r="V119" s="456"/>
      <c r="W119" s="2975"/>
      <c r="X119" s="892"/>
      <c r="Y119" s="892"/>
      <c r="Z119" s="2974"/>
      <c r="AA119" s="2975"/>
      <c r="AB119" s="2975"/>
      <c r="AC119" s="892"/>
      <c r="AD119" s="456"/>
      <c r="AE119" s="577"/>
      <c r="AF119" s="456"/>
      <c r="AG119" s="2975"/>
      <c r="AH119" s="892"/>
      <c r="AI119" s="892"/>
      <c r="AJ119" s="2974"/>
      <c r="AK119" s="2975"/>
      <c r="AL119" s="2975"/>
      <c r="AM119" s="892"/>
      <c r="AN119" s="456"/>
      <c r="AO119" s="577"/>
      <c r="AP119" s="456"/>
      <c r="AQ119" s="2975"/>
      <c r="AR119" s="892"/>
      <c r="AS119" s="892"/>
      <c r="AT119" s="2974"/>
      <c r="AU119" s="2975"/>
      <c r="AV119" s="2975"/>
      <c r="AW119" s="892"/>
      <c r="AX119" s="456"/>
      <c r="AY119" s="2975"/>
      <c r="AZ119" s="892"/>
      <c r="BA119" s="892"/>
      <c r="BB119" s="2974"/>
      <c r="BC119" s="2975"/>
      <c r="BD119" s="2975"/>
      <c r="BE119" s="892"/>
      <c r="BF119" s="456"/>
      <c r="BG119" s="577"/>
    </row>
    <row r="120" spans="1:59" s="462" customFormat="1" ht="12" x14ac:dyDescent="0.3">
      <c r="A120" s="468"/>
      <c r="B120" s="469"/>
      <c r="D120" s="5"/>
      <c r="E120" s="456"/>
      <c r="F120" s="2974"/>
      <c r="G120" s="2974"/>
      <c r="H120" s="892"/>
      <c r="I120" s="892"/>
      <c r="J120" s="2974"/>
      <c r="K120" s="892"/>
      <c r="L120" s="892"/>
      <c r="M120" s="2974"/>
      <c r="N120" s="2975"/>
      <c r="O120" s="892"/>
      <c r="P120" s="892"/>
      <c r="Q120" s="892"/>
      <c r="R120" s="2974"/>
      <c r="S120" s="2975"/>
      <c r="T120" s="2975"/>
      <c r="U120" s="892"/>
      <c r="V120" s="456"/>
      <c r="W120" s="2975"/>
      <c r="X120" s="892"/>
      <c r="Y120" s="892"/>
      <c r="Z120" s="2974"/>
      <c r="AA120" s="2975"/>
      <c r="AB120" s="2975"/>
      <c r="AC120" s="892"/>
      <c r="AD120" s="456"/>
      <c r="AE120" s="577"/>
      <c r="AF120" s="456"/>
      <c r="AG120" s="2975"/>
      <c r="AH120" s="892"/>
      <c r="AI120" s="892"/>
      <c r="AJ120" s="2974"/>
      <c r="AK120" s="2975"/>
      <c r="AL120" s="2975"/>
      <c r="AM120" s="892"/>
      <c r="AN120" s="456"/>
      <c r="AO120" s="577"/>
      <c r="AP120" s="456"/>
      <c r="AQ120" s="2975"/>
      <c r="AR120" s="892"/>
      <c r="AS120" s="892"/>
      <c r="AT120" s="2974"/>
      <c r="AU120" s="2975"/>
      <c r="AV120" s="2975"/>
      <c r="AW120" s="892"/>
      <c r="AX120" s="456"/>
      <c r="AY120" s="2975"/>
      <c r="AZ120" s="892"/>
      <c r="BA120" s="892"/>
      <c r="BB120" s="2974"/>
      <c r="BC120" s="2975"/>
      <c r="BD120" s="2975"/>
      <c r="BE120" s="892"/>
      <c r="BF120" s="456"/>
      <c r="BG120" s="577"/>
    </row>
    <row r="121" spans="1:59" s="462" customFormat="1" ht="93" customHeight="1" x14ac:dyDescent="0.3">
      <c r="A121" s="468"/>
      <c r="B121" s="469"/>
      <c r="D121" s="5"/>
      <c r="E121" s="456"/>
      <c r="F121" s="2974"/>
      <c r="G121" s="2974"/>
      <c r="H121" s="892"/>
      <c r="I121" s="892"/>
      <c r="J121" s="2974"/>
      <c r="K121" s="892"/>
      <c r="L121" s="892"/>
      <c r="M121" s="2974"/>
      <c r="N121" s="2975"/>
      <c r="O121" s="892"/>
      <c r="P121" s="892"/>
      <c r="Q121" s="892"/>
      <c r="R121" s="2974"/>
      <c r="S121" s="2975"/>
      <c r="T121" s="2975"/>
      <c r="U121" s="892"/>
      <c r="V121" s="456"/>
      <c r="W121" s="2975"/>
      <c r="X121" s="892"/>
      <c r="Y121" s="892"/>
      <c r="Z121" s="2974"/>
      <c r="AA121" s="2975"/>
      <c r="AB121" s="2975"/>
      <c r="AC121" s="892"/>
      <c r="AD121" s="456"/>
      <c r="AE121" s="577"/>
      <c r="AF121" s="456"/>
      <c r="AG121" s="2975"/>
      <c r="AH121" s="892"/>
      <c r="AI121" s="892"/>
      <c r="AJ121" s="2974"/>
      <c r="AK121" s="2975"/>
      <c r="AL121" s="2975"/>
      <c r="AM121" s="892"/>
      <c r="AN121" s="456"/>
      <c r="AO121" s="577"/>
      <c r="AP121" s="456"/>
      <c r="AQ121" s="2975"/>
      <c r="AR121" s="892"/>
      <c r="AS121" s="892"/>
      <c r="AT121" s="2974"/>
      <c r="AU121" s="2975"/>
      <c r="AV121" s="2975"/>
      <c r="AW121" s="892"/>
      <c r="AX121" s="456"/>
      <c r="AY121" s="2975"/>
      <c r="AZ121" s="892"/>
      <c r="BA121" s="892"/>
      <c r="BB121" s="2974"/>
      <c r="BC121" s="2975"/>
      <c r="BD121" s="2975"/>
      <c r="BE121" s="892"/>
      <c r="BF121" s="456"/>
      <c r="BG121" s="577"/>
    </row>
    <row r="122" spans="1:59" x14ac:dyDescent="0.35">
      <c r="A122" s="468"/>
      <c r="B122" s="469"/>
      <c r="C122" s="462"/>
      <c r="E122" s="456"/>
      <c r="F122" s="2974"/>
      <c r="G122" s="2974"/>
      <c r="H122" s="892"/>
      <c r="I122" s="892"/>
      <c r="J122" s="2974"/>
      <c r="K122" s="892"/>
      <c r="L122" s="892"/>
      <c r="M122" s="2974"/>
      <c r="N122" s="2975"/>
      <c r="O122" s="892"/>
      <c r="P122" s="892"/>
      <c r="Q122" s="892"/>
      <c r="R122" s="2974"/>
      <c r="S122" s="2975"/>
      <c r="T122" s="2975"/>
      <c r="U122" s="892"/>
      <c r="V122" s="456"/>
      <c r="W122" s="2975"/>
      <c r="X122" s="892"/>
      <c r="Y122" s="892"/>
      <c r="Z122" s="2974"/>
      <c r="AA122" s="2975"/>
      <c r="AB122" s="2975"/>
      <c r="AC122" s="892"/>
      <c r="AD122" s="456"/>
      <c r="AE122" s="577"/>
      <c r="AF122" s="456"/>
      <c r="AG122" s="2975"/>
      <c r="AH122" s="892"/>
      <c r="AI122" s="892"/>
      <c r="AJ122" s="2974"/>
      <c r="AK122" s="2975"/>
      <c r="AL122" s="2975"/>
      <c r="AM122" s="892"/>
      <c r="AN122" s="456"/>
      <c r="AO122" s="577"/>
      <c r="AP122" s="456"/>
      <c r="AQ122" s="2975"/>
      <c r="AR122" s="892"/>
      <c r="AS122" s="892"/>
      <c r="AT122" s="2974"/>
      <c r="AU122" s="2975"/>
      <c r="AV122" s="2975"/>
      <c r="AW122" s="892"/>
      <c r="AX122" s="456"/>
      <c r="AY122" s="2975"/>
      <c r="AZ122" s="892"/>
      <c r="BA122" s="892"/>
      <c r="BB122" s="2974"/>
      <c r="BC122" s="2975"/>
      <c r="BD122" s="2975"/>
      <c r="BE122" s="892"/>
      <c r="BF122" s="456"/>
      <c r="BG122" s="577"/>
    </row>
    <row r="123" spans="1:59" x14ac:dyDescent="0.35">
      <c r="A123" s="468"/>
      <c r="B123" s="469"/>
      <c r="C123" s="462"/>
      <c r="E123" s="456"/>
      <c r="F123" s="2974"/>
      <c r="G123" s="2974"/>
      <c r="H123" s="892"/>
      <c r="I123" s="892"/>
      <c r="J123" s="2974"/>
      <c r="K123" s="892"/>
      <c r="L123" s="892"/>
      <c r="M123" s="2974"/>
      <c r="N123" s="2975"/>
      <c r="O123" s="892"/>
      <c r="P123" s="892"/>
      <c r="Q123" s="892"/>
      <c r="R123" s="2974"/>
      <c r="S123" s="2975"/>
      <c r="T123" s="2975"/>
      <c r="U123" s="892"/>
      <c r="V123" s="456"/>
      <c r="W123" s="2975"/>
      <c r="X123" s="892"/>
      <c r="Y123" s="892"/>
      <c r="Z123" s="2974"/>
      <c r="AA123" s="2975"/>
      <c r="AB123" s="2975"/>
      <c r="AC123" s="892"/>
      <c r="AD123" s="456"/>
      <c r="AE123" s="577"/>
      <c r="AF123" s="456"/>
      <c r="AG123" s="2975"/>
      <c r="AH123" s="892"/>
      <c r="AI123" s="892"/>
      <c r="AJ123" s="2974"/>
      <c r="AK123" s="2975"/>
      <c r="AL123" s="2975"/>
      <c r="AM123" s="892"/>
      <c r="AN123" s="456"/>
      <c r="AO123" s="577"/>
      <c r="AP123" s="456"/>
      <c r="AQ123" s="2975"/>
      <c r="AR123" s="892"/>
      <c r="AS123" s="892"/>
      <c r="AT123" s="2974"/>
      <c r="AU123" s="2975"/>
      <c r="AV123" s="2975"/>
      <c r="AW123" s="892"/>
      <c r="AX123" s="456"/>
      <c r="AY123" s="2975"/>
      <c r="AZ123" s="892"/>
      <c r="BA123" s="892"/>
      <c r="BB123" s="2974"/>
      <c r="BC123" s="2975"/>
      <c r="BD123" s="2975"/>
      <c r="BE123" s="892"/>
      <c r="BF123" s="456"/>
      <c r="BG123" s="577"/>
    </row>
    <row r="124" spans="1:59" x14ac:dyDescent="0.35">
      <c r="A124" s="468"/>
      <c r="B124" s="469"/>
      <c r="C124" s="462"/>
      <c r="E124" s="456"/>
      <c r="F124" s="2974"/>
      <c r="G124" s="2974"/>
      <c r="H124" s="892"/>
      <c r="I124" s="892"/>
      <c r="J124" s="2974"/>
      <c r="K124" s="892"/>
      <c r="L124" s="892"/>
      <c r="M124" s="2974"/>
      <c r="N124" s="2975"/>
      <c r="O124" s="892"/>
      <c r="P124" s="892"/>
      <c r="Q124" s="892"/>
      <c r="R124" s="2974"/>
      <c r="S124" s="2975"/>
      <c r="T124" s="2975"/>
      <c r="U124" s="892"/>
      <c r="V124" s="456"/>
      <c r="W124" s="2975"/>
      <c r="X124" s="892"/>
      <c r="Y124" s="892"/>
      <c r="Z124" s="2974"/>
      <c r="AA124" s="2975"/>
      <c r="AB124" s="2975"/>
      <c r="AC124" s="892"/>
      <c r="AD124" s="456"/>
      <c r="AE124" s="577"/>
      <c r="AF124" s="456"/>
      <c r="AG124" s="2975"/>
      <c r="AH124" s="892"/>
      <c r="AI124" s="892"/>
      <c r="AJ124" s="2974"/>
      <c r="AK124" s="2975"/>
      <c r="AL124" s="2975"/>
      <c r="AM124" s="892"/>
      <c r="AN124" s="456"/>
      <c r="AO124" s="577"/>
      <c r="AP124" s="456"/>
      <c r="AQ124" s="2975"/>
      <c r="AR124" s="892"/>
      <c r="AS124" s="892"/>
      <c r="AT124" s="2974"/>
      <c r="AU124" s="2975"/>
      <c r="AV124" s="2975"/>
      <c r="AW124" s="892"/>
      <c r="AX124" s="456"/>
      <c r="AY124" s="2975"/>
      <c r="AZ124" s="892"/>
      <c r="BA124" s="892"/>
      <c r="BB124" s="2974"/>
      <c r="BC124" s="2975"/>
      <c r="BD124" s="2975"/>
      <c r="BE124" s="892"/>
      <c r="BF124" s="456"/>
      <c r="BG124" s="577"/>
    </row>
    <row r="125" spans="1:59" x14ac:dyDescent="0.35">
      <c r="A125" s="468"/>
      <c r="B125" s="469"/>
      <c r="C125" s="462"/>
      <c r="E125" s="456"/>
      <c r="F125" s="2974"/>
      <c r="G125" s="2974"/>
      <c r="H125" s="892"/>
      <c r="I125" s="892"/>
      <c r="J125" s="2974"/>
      <c r="K125" s="892"/>
      <c r="L125" s="892"/>
      <c r="M125" s="2974"/>
      <c r="N125" s="2975"/>
      <c r="O125" s="892"/>
      <c r="P125" s="892"/>
      <c r="Q125" s="892"/>
      <c r="R125" s="2974"/>
      <c r="S125" s="2975"/>
      <c r="T125" s="2975"/>
      <c r="U125" s="892"/>
      <c r="V125" s="456"/>
      <c r="W125" s="2975"/>
      <c r="X125" s="892"/>
      <c r="Y125" s="892"/>
      <c r="Z125" s="2974"/>
      <c r="AA125" s="2975"/>
      <c r="AB125" s="2975"/>
      <c r="AC125" s="892"/>
      <c r="AD125" s="456"/>
      <c r="AE125" s="577"/>
      <c r="AF125" s="456"/>
      <c r="AG125" s="2975"/>
      <c r="AH125" s="892"/>
      <c r="AI125" s="892"/>
      <c r="AJ125" s="2974"/>
      <c r="AK125" s="2975"/>
      <c r="AL125" s="2975"/>
      <c r="AM125" s="892"/>
      <c r="AN125" s="456"/>
      <c r="AO125" s="577"/>
      <c r="AP125" s="456"/>
      <c r="AQ125" s="2975"/>
      <c r="AR125" s="892"/>
      <c r="AS125" s="892"/>
      <c r="AT125" s="2974"/>
      <c r="AU125" s="2975"/>
      <c r="AV125" s="2975"/>
      <c r="AW125" s="892"/>
      <c r="AX125" s="456"/>
      <c r="AY125" s="2975"/>
      <c r="AZ125" s="892"/>
      <c r="BA125" s="892"/>
      <c r="BB125" s="2974"/>
      <c r="BC125" s="2975"/>
      <c r="BD125" s="2975"/>
      <c r="BE125" s="892"/>
      <c r="BF125" s="456"/>
      <c r="BG125" s="577"/>
    </row>
    <row r="126" spans="1:59" x14ac:dyDescent="0.35">
      <c r="A126" s="468"/>
      <c r="B126" s="469"/>
      <c r="C126" s="462"/>
      <c r="E126" s="456"/>
      <c r="F126" s="2974"/>
      <c r="G126" s="2974"/>
      <c r="H126" s="892"/>
      <c r="I126" s="892"/>
      <c r="J126" s="2974"/>
      <c r="K126" s="892"/>
      <c r="L126" s="892"/>
      <c r="M126" s="2974"/>
      <c r="N126" s="2975"/>
      <c r="O126" s="892"/>
      <c r="P126" s="892"/>
      <c r="Q126" s="892"/>
      <c r="R126" s="2974"/>
      <c r="S126" s="2975"/>
      <c r="T126" s="2975"/>
      <c r="U126" s="892"/>
      <c r="V126" s="456"/>
      <c r="W126" s="2975"/>
      <c r="X126" s="892"/>
      <c r="Y126" s="892"/>
      <c r="Z126" s="2974"/>
      <c r="AA126" s="2975"/>
      <c r="AB126" s="2975"/>
      <c r="AC126" s="892"/>
      <c r="AD126" s="456"/>
      <c r="AE126" s="577"/>
      <c r="AF126" s="456"/>
      <c r="AG126" s="2975"/>
      <c r="AH126" s="892"/>
      <c r="AI126" s="892"/>
      <c r="AJ126" s="2974"/>
      <c r="AK126" s="2975"/>
      <c r="AL126" s="2975"/>
      <c r="AM126" s="892"/>
      <c r="AN126" s="456"/>
      <c r="AO126" s="577"/>
      <c r="AP126" s="456"/>
      <c r="AQ126" s="2975"/>
      <c r="AR126" s="892"/>
      <c r="AS126" s="892"/>
      <c r="AT126" s="2974"/>
      <c r="AU126" s="2975"/>
      <c r="AV126" s="2975"/>
      <c r="AW126" s="892"/>
      <c r="AX126" s="456"/>
      <c r="AY126" s="2975"/>
      <c r="AZ126" s="892"/>
      <c r="BA126" s="892"/>
      <c r="BB126" s="2974"/>
      <c r="BC126" s="2975"/>
      <c r="BD126" s="2975"/>
      <c r="BE126" s="892"/>
      <c r="BF126" s="456"/>
      <c r="BG126" s="577"/>
    </row>
    <row r="127" spans="1:59" x14ac:dyDescent="0.35">
      <c r="A127" s="468"/>
      <c r="B127" s="469"/>
      <c r="C127" s="462"/>
      <c r="E127" s="456"/>
      <c r="F127" s="2974"/>
      <c r="G127" s="2974"/>
      <c r="H127" s="892"/>
      <c r="I127" s="892"/>
      <c r="J127" s="2974"/>
      <c r="K127" s="892"/>
      <c r="L127" s="892"/>
      <c r="M127" s="2974"/>
      <c r="N127" s="2975"/>
      <c r="O127" s="892"/>
      <c r="P127" s="892"/>
      <c r="Q127" s="892"/>
      <c r="R127" s="2974"/>
      <c r="S127" s="2975"/>
      <c r="T127" s="2975"/>
      <c r="U127" s="892"/>
      <c r="V127" s="456"/>
      <c r="W127" s="2975"/>
      <c r="X127" s="892"/>
      <c r="Y127" s="892"/>
      <c r="Z127" s="2974"/>
      <c r="AA127" s="2975"/>
      <c r="AB127" s="2975"/>
      <c r="AC127" s="892"/>
      <c r="AD127" s="456"/>
      <c r="AE127" s="577"/>
      <c r="AF127" s="456"/>
      <c r="AG127" s="2975"/>
      <c r="AH127" s="892"/>
      <c r="AI127" s="892"/>
      <c r="AJ127" s="2974"/>
      <c r="AK127" s="2975"/>
      <c r="AL127" s="2975"/>
      <c r="AM127" s="892"/>
      <c r="AN127" s="456"/>
      <c r="AO127" s="577"/>
      <c r="AP127" s="456"/>
      <c r="AQ127" s="2975"/>
      <c r="AR127" s="892"/>
      <c r="AS127" s="892"/>
      <c r="AT127" s="2974"/>
      <c r="AU127" s="2975"/>
      <c r="AV127" s="2975"/>
      <c r="AW127" s="892"/>
      <c r="AY127" s="2975"/>
      <c r="AZ127" s="892"/>
      <c r="BA127" s="892"/>
      <c r="BB127" s="2974"/>
      <c r="BC127" s="2975"/>
      <c r="BD127" s="2975"/>
      <c r="BE127" s="892"/>
      <c r="BF127" s="456"/>
    </row>
    <row r="128" spans="1:59" x14ac:dyDescent="0.35">
      <c r="A128" s="468"/>
      <c r="B128" s="469"/>
      <c r="C128" s="462"/>
      <c r="E128" s="456"/>
      <c r="F128" s="2974"/>
      <c r="G128" s="2974"/>
      <c r="H128" s="892"/>
      <c r="I128" s="892"/>
      <c r="J128" s="2974"/>
      <c r="K128" s="892"/>
      <c r="L128" s="892"/>
      <c r="M128" s="2974"/>
      <c r="N128" s="2975"/>
      <c r="O128" s="892"/>
      <c r="P128" s="892"/>
      <c r="Q128" s="892"/>
      <c r="R128" s="2974"/>
      <c r="S128" s="2975"/>
      <c r="T128" s="2975"/>
      <c r="U128" s="892"/>
      <c r="V128" s="456"/>
      <c r="W128" s="2975"/>
      <c r="X128" s="892"/>
      <c r="Y128" s="892"/>
      <c r="Z128" s="2974"/>
      <c r="AA128" s="2975"/>
      <c r="AB128" s="2975"/>
      <c r="AC128" s="892"/>
      <c r="AD128" s="456"/>
      <c r="AE128" s="577"/>
      <c r="AF128" s="456"/>
      <c r="AG128" s="2975"/>
      <c r="AH128" s="892"/>
      <c r="AI128" s="892"/>
      <c r="AJ128" s="2974"/>
      <c r="AK128" s="2975"/>
      <c r="AL128" s="2975"/>
      <c r="AM128" s="892"/>
      <c r="AN128" s="456"/>
      <c r="AO128" s="577"/>
      <c r="AP128" s="456"/>
      <c r="AQ128" s="2975"/>
      <c r="AR128" s="892"/>
      <c r="AS128" s="892"/>
      <c r="AT128" s="2974"/>
      <c r="AU128" s="2975"/>
      <c r="AV128" s="2975"/>
      <c r="AW128" s="892"/>
      <c r="AY128" s="2975"/>
      <c r="AZ128" s="892"/>
      <c r="BA128" s="892"/>
      <c r="BB128" s="2974"/>
      <c r="BC128" s="2975"/>
      <c r="BD128" s="2975"/>
      <c r="BE128" s="892"/>
      <c r="BF128" s="456"/>
    </row>
    <row r="129" spans="1:58" x14ac:dyDescent="0.35">
      <c r="A129" s="455" t="s">
        <v>1002</v>
      </c>
      <c r="B129" s="455"/>
      <c r="C129" s="456"/>
      <c r="E129" s="456"/>
      <c r="F129" s="2974"/>
      <c r="G129" s="2974"/>
      <c r="H129" s="892"/>
      <c r="I129" s="892"/>
      <c r="J129" s="2974"/>
      <c r="K129" s="892"/>
      <c r="L129" s="892"/>
      <c r="M129" s="2974"/>
      <c r="N129" s="2975"/>
      <c r="O129" s="892"/>
      <c r="P129" s="892"/>
      <c r="Q129" s="892"/>
      <c r="R129" s="2974"/>
      <c r="S129" s="2975"/>
      <c r="T129" s="2975"/>
      <c r="U129" s="892"/>
      <c r="V129" s="456"/>
      <c r="W129" s="2975"/>
      <c r="X129" s="892"/>
      <c r="Y129" s="892"/>
      <c r="Z129" s="2974"/>
      <c r="AA129" s="2975"/>
      <c r="AB129" s="2975"/>
      <c r="AC129" s="892"/>
      <c r="AD129" s="456"/>
      <c r="AE129" s="577"/>
      <c r="AF129" s="456"/>
      <c r="AG129" s="2975"/>
      <c r="AH129" s="892"/>
      <c r="AI129" s="892"/>
      <c r="AJ129" s="2974"/>
      <c r="AK129" s="2975"/>
      <c r="AL129" s="2975"/>
      <c r="AM129" s="892"/>
      <c r="AN129" s="456"/>
      <c r="AO129" s="577"/>
      <c r="AP129" s="456"/>
      <c r="AQ129" s="2975"/>
      <c r="AR129" s="892"/>
      <c r="AS129" s="892"/>
      <c r="AT129" s="2974"/>
      <c r="AU129" s="2975"/>
      <c r="AV129" s="2975"/>
      <c r="AW129" s="892"/>
      <c r="AY129" s="2975"/>
      <c r="AZ129" s="892"/>
      <c r="BA129" s="892"/>
      <c r="BB129" s="2974"/>
      <c r="BC129" s="2975"/>
      <c r="BD129" s="2975"/>
      <c r="BE129" s="892"/>
      <c r="BF129" s="456"/>
    </row>
    <row r="130" spans="1:58" x14ac:dyDescent="0.35">
      <c r="A130" s="9170"/>
      <c r="B130" s="9171"/>
      <c r="C130" s="9171"/>
      <c r="D130" s="9171"/>
      <c r="E130" s="9171"/>
      <c r="F130" s="9171"/>
      <c r="G130" s="9171"/>
      <c r="H130" s="9171"/>
      <c r="I130" s="9171"/>
      <c r="J130" s="9171"/>
      <c r="K130" s="9171"/>
      <c r="L130" s="9172"/>
      <c r="M130" s="2978"/>
      <c r="N130" s="2979"/>
      <c r="O130" s="2978"/>
      <c r="P130" s="2978"/>
      <c r="Q130" s="2978"/>
      <c r="R130" s="2978"/>
      <c r="S130" s="2979"/>
      <c r="T130" s="2979"/>
      <c r="U130" s="2978"/>
      <c r="V130" s="456"/>
      <c r="W130" s="2979"/>
      <c r="X130" s="2978"/>
      <c r="Y130" s="2978"/>
      <c r="Z130" s="2978"/>
      <c r="AA130" s="2979"/>
      <c r="AB130" s="2979"/>
      <c r="AC130" s="2978"/>
      <c r="AD130" s="456"/>
      <c r="AE130" s="577"/>
      <c r="AF130" s="456"/>
      <c r="AG130" s="2979"/>
      <c r="AH130" s="2978"/>
      <c r="AI130" s="2978"/>
      <c r="AJ130" s="2978"/>
      <c r="AK130" s="2979"/>
      <c r="AL130" s="2979"/>
      <c r="AM130" s="2978"/>
      <c r="AN130" s="456"/>
      <c r="AO130" s="577"/>
      <c r="AP130" s="456"/>
      <c r="AQ130" s="2979"/>
      <c r="AR130" s="2978"/>
      <c r="AS130" s="2978"/>
      <c r="AT130" s="2978"/>
      <c r="AU130" s="2979"/>
      <c r="AV130" s="2979"/>
      <c r="AW130" s="2978"/>
      <c r="AY130" s="2979"/>
      <c r="AZ130" s="2978"/>
      <c r="BA130" s="2978"/>
      <c r="BB130" s="2978"/>
      <c r="BC130" s="2979"/>
      <c r="BD130" s="2979"/>
      <c r="BE130" s="2978"/>
      <c r="BF130" s="456"/>
    </row>
  </sheetData>
  <mergeCells count="50">
    <mergeCell ref="A130:L130"/>
    <mergeCell ref="AY30:AZ30"/>
    <mergeCell ref="AQ1:AW1"/>
    <mergeCell ref="AY1:BE1"/>
    <mergeCell ref="A79:A88"/>
    <mergeCell ref="A96:A112"/>
    <mergeCell ref="A10:A28"/>
    <mergeCell ref="AG5:AI5"/>
    <mergeCell ref="AA5:AC5"/>
    <mergeCell ref="AK5:AM5"/>
    <mergeCell ref="H7:I7"/>
    <mergeCell ref="K7:L7"/>
    <mergeCell ref="N7:Q7"/>
    <mergeCell ref="S7:U7"/>
    <mergeCell ref="W7:Y7"/>
    <mergeCell ref="AA7:AC7"/>
    <mergeCell ref="AG7:AI7"/>
    <mergeCell ref="AK7:AM7"/>
    <mergeCell ref="AE4:AE5"/>
    <mergeCell ref="AG4:AI4"/>
    <mergeCell ref="AK4:AM4"/>
    <mergeCell ref="F1:L1"/>
    <mergeCell ref="N1:U1"/>
    <mergeCell ref="W1:AE1"/>
    <mergeCell ref="AG1:AO1"/>
    <mergeCell ref="H4:I4"/>
    <mergeCell ref="K4:L4"/>
    <mergeCell ref="N4:Q4"/>
    <mergeCell ref="S4:U4"/>
    <mergeCell ref="W4:Y4"/>
    <mergeCell ref="AA4:AC4"/>
    <mergeCell ref="AO4:AO5"/>
    <mergeCell ref="H5:I5"/>
    <mergeCell ref="K5:L5"/>
    <mergeCell ref="N5:Q5"/>
    <mergeCell ref="S5:U5"/>
    <mergeCell ref="W5:Y5"/>
    <mergeCell ref="AQ7:AS7"/>
    <mergeCell ref="AU7:AW7"/>
    <mergeCell ref="AQ4:AS4"/>
    <mergeCell ref="AU4:AW4"/>
    <mergeCell ref="BG4:BG5"/>
    <mergeCell ref="AQ5:AS5"/>
    <mergeCell ref="AU5:AW5"/>
    <mergeCell ref="AY4:BA4"/>
    <mergeCell ref="BC4:BE4"/>
    <mergeCell ref="AY5:BA5"/>
    <mergeCell ref="BC5:BE5"/>
    <mergeCell ref="AY7:BA7"/>
    <mergeCell ref="BC7:BE7"/>
  </mergeCells>
  <hyperlinks>
    <hyperlink ref="BE9" r:id="rId1" xr:uid="{B171E02E-8D1F-4B71-9845-7CD8AFF5C6FD}"/>
    <hyperlink ref="AZ9" r:id="rId2" xr:uid="{519466FB-FF71-4549-96AB-AA22374B68C9}"/>
    <hyperlink ref="BA9" r:id="rId3" xr:uid="{04229AFA-7527-4C52-84B9-DB174E5621D0}"/>
    <hyperlink ref="BD30" r:id="rId4" xr:uid="{74C8289E-3E3C-4354-8849-849ED75EF86D}"/>
    <hyperlink ref="Y10" r:id="rId5" xr:uid="{E1A502F3-C03B-4DDB-9131-9CC338E83E2B}"/>
    <hyperlink ref="AB10" r:id="rId6" xr:uid="{421BA0D4-2562-446F-9071-1547B1E00DB7}"/>
    <hyperlink ref="AL10" r:id="rId7" xr:uid="{2DDA7699-6E61-4220-88FE-0C77BD5BB65E}"/>
    <hyperlink ref="AH9" r:id="rId8" xr:uid="{36B64983-3E8B-4282-895B-FC9317B0A9BE}"/>
    <hyperlink ref="AW9" r:id="rId9" xr:uid="{95159313-F629-4FB6-9438-D0971965856E}"/>
    <hyperlink ref="AR9" r:id="rId10" xr:uid="{0A2EE909-3B06-4E50-BEDA-19B3AC58882F}"/>
    <hyperlink ref="AS9" r:id="rId11" xr:uid="{E0C7E96E-1D13-4462-992D-5EA74F5D719F}"/>
  </hyperlinks>
  <pageMargins left="0.23622047244094491" right="0.23622047244094491" top="0.35433070866141736" bottom="0.35433070866141736" header="0.31496062992125984" footer="0.31496062992125984"/>
  <pageSetup paperSize="9" scale="40" orientation="portrait" horizontalDpi="4294967293" r:id="rId12"/>
  <headerFooter>
    <oddFooter>&amp;R&amp;1#&amp;"Calibri"&amp;12&amp;K000000Official Use</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S132"/>
  <sheetViews>
    <sheetView topLeftCell="A19" zoomScale="85" zoomScaleNormal="60" workbookViewId="0">
      <pane xSplit="4" topLeftCell="AW1" activePane="topRight" state="frozen"/>
      <selection activeCell="A94" sqref="A94"/>
      <selection pane="topRight" activeCell="AW20" sqref="AW20"/>
    </sheetView>
  </sheetViews>
  <sheetFormatPr defaultColWidth="9.1796875" defaultRowHeight="14.5" x14ac:dyDescent="0.35"/>
  <cols>
    <col min="1" max="1" width="6.6328125" customWidth="1"/>
    <col min="2" max="2" width="19.453125" customWidth="1"/>
    <col min="3" max="3" width="49.816406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1796875" customWidth="1"/>
    <col min="22" max="22" width="21.6328125" customWidth="1"/>
    <col min="23" max="23" width="1.6328125" style="1" customWidth="1"/>
    <col min="24" max="24" width="7.453125" customWidth="1"/>
    <col min="25" max="25" width="0.81640625" customWidth="1"/>
    <col min="26" max="28" width="17.6328125" style="6" customWidth="1"/>
    <col min="29" max="29" width="10.453125" style="7" customWidth="1"/>
    <col min="30" max="30" width="1.6328125" style="1" customWidth="1"/>
    <col min="31" max="33" width="17.453125" customWidth="1"/>
    <col min="34" max="34" width="1.6328125" style="1" customWidth="1"/>
    <col min="35" max="35" width="5" customWidth="1"/>
    <col min="36" max="36" width="1.36328125" customWidth="1"/>
    <col min="37" max="37" width="21.6328125" customWidth="1"/>
    <col min="38" max="38" width="18.36328125" bestFit="1" customWidth="1"/>
    <col min="39" max="39" width="17.1796875" customWidth="1"/>
    <col min="40" max="40" width="9.453125" customWidth="1"/>
    <col min="41" max="41" width="1.6328125" customWidth="1"/>
    <col min="42" max="42" width="17.453125" customWidth="1"/>
    <col min="43" max="43" width="20" customWidth="1"/>
    <col min="44" max="44" width="27.1796875" customWidth="1"/>
    <col min="45" max="45" width="1.36328125" customWidth="1"/>
    <col min="46" max="46" width="19.453125" customWidth="1"/>
    <col min="47" max="47" width="35.453125" style="1" customWidth="1"/>
    <col min="48" max="50" width="22.1796875" customWidth="1"/>
    <col min="51" max="51" width="9.453125" customWidth="1"/>
    <col min="52" max="52" width="1.6328125" customWidth="1"/>
    <col min="53" max="55" width="22.1796875" customWidth="1"/>
    <col min="56" max="57" width="1.36328125" customWidth="1"/>
    <col min="58" max="59" width="22.1796875" customWidth="1"/>
    <col min="60" max="60" width="29.453125" customWidth="1"/>
    <col min="61" max="61" width="9.453125" customWidth="1"/>
    <col min="62" max="62" width="1.6328125" customWidth="1"/>
    <col min="63" max="65" width="22.1796875" customWidth="1"/>
    <col min="66" max="66" width="1.36328125" customWidth="1"/>
    <col min="67" max="68" width="37.81640625" customWidth="1"/>
    <col min="70" max="70" width="18" bestFit="1" customWidth="1"/>
    <col min="71" max="71" width="13.36328125" bestFit="1" customWidth="1"/>
  </cols>
  <sheetData>
    <row r="1" spans="1:69" ht="31" x14ac:dyDescent="0.7">
      <c r="F1" s="9118" t="s">
        <v>394</v>
      </c>
      <c r="G1" s="9119"/>
      <c r="H1" s="9119"/>
      <c r="I1" s="9119"/>
      <c r="J1" s="9119"/>
      <c r="K1" s="9119"/>
      <c r="L1" s="9119"/>
      <c r="M1" s="9120"/>
      <c r="O1" s="9121" t="s">
        <v>395</v>
      </c>
      <c r="P1" s="9122"/>
      <c r="Q1" s="9122"/>
      <c r="R1" s="9122"/>
      <c r="S1" s="9122"/>
      <c r="T1" s="9122"/>
      <c r="U1" s="9122"/>
      <c r="V1" s="9123"/>
      <c r="Z1" s="9124" t="s">
        <v>396</v>
      </c>
      <c r="AA1" s="9125"/>
      <c r="AB1" s="9125"/>
      <c r="AC1" s="9125"/>
      <c r="AD1" s="9125"/>
      <c r="AE1" s="9125"/>
      <c r="AF1" s="9125"/>
      <c r="AG1" s="9126"/>
      <c r="AK1" s="9309" t="s">
        <v>397</v>
      </c>
      <c r="AL1" s="9310"/>
      <c r="AM1" s="9310"/>
      <c r="AN1" s="9310"/>
      <c r="AO1" s="9310"/>
      <c r="AP1" s="9310"/>
      <c r="AQ1" s="9310"/>
      <c r="AR1" s="9311"/>
      <c r="AS1" s="1"/>
      <c r="AV1" s="9471" t="s">
        <v>398</v>
      </c>
      <c r="AW1" s="9472"/>
      <c r="AX1" s="9472"/>
      <c r="AY1" s="9472"/>
      <c r="AZ1" s="9472"/>
      <c r="BA1" s="9472"/>
      <c r="BB1" s="9472"/>
      <c r="BC1" s="9473"/>
      <c r="BD1" s="1"/>
      <c r="BE1" s="1"/>
      <c r="BF1" s="9474" t="s">
        <v>399</v>
      </c>
      <c r="BG1" s="9475"/>
      <c r="BH1" s="9475"/>
      <c r="BI1" s="9475"/>
      <c r="BJ1" s="9475"/>
      <c r="BK1" s="9475"/>
      <c r="BL1" s="9475"/>
      <c r="BM1" s="9476"/>
      <c r="BN1" s="1"/>
    </row>
    <row r="2" spans="1:69" ht="21" x14ac:dyDescent="0.5">
      <c r="B2" s="1" t="s">
        <v>9</v>
      </c>
      <c r="C2" s="4" t="s">
        <v>53</v>
      </c>
      <c r="H2"/>
      <c r="AK2" s="6"/>
      <c r="AL2" s="6"/>
      <c r="AM2" s="6"/>
      <c r="AN2" s="7"/>
      <c r="AO2" s="1"/>
      <c r="AS2" s="1"/>
      <c r="AT2" s="1" t="s">
        <v>9</v>
      </c>
      <c r="AU2" s="4" t="s">
        <v>53</v>
      </c>
      <c r="AV2" s="6"/>
      <c r="AW2" s="6"/>
      <c r="AX2" s="6"/>
      <c r="AY2" s="7"/>
      <c r="AZ2" s="1"/>
      <c r="BD2" s="1"/>
      <c r="BE2" s="1"/>
      <c r="BF2" s="6"/>
      <c r="BG2" s="6"/>
      <c r="BH2" s="6"/>
      <c r="BI2" s="7"/>
      <c r="BJ2" s="1"/>
      <c r="BN2" s="1"/>
    </row>
    <row r="3" spans="1:69" x14ac:dyDescent="0.35">
      <c r="AK3" s="6"/>
      <c r="AL3" s="6"/>
      <c r="AM3" s="6"/>
      <c r="AN3" s="7"/>
      <c r="AO3" s="1"/>
      <c r="AS3" s="1"/>
      <c r="AV3" s="6"/>
      <c r="AW3" s="6"/>
      <c r="AX3" s="6"/>
      <c r="AY3" s="7"/>
      <c r="AZ3" s="1"/>
      <c r="BD3" s="1"/>
      <c r="BE3" s="1"/>
      <c r="BF3" s="6"/>
      <c r="BG3" s="6"/>
      <c r="BH3" s="6"/>
      <c r="BI3" s="7"/>
      <c r="BJ3" s="1"/>
      <c r="BN3" s="1"/>
    </row>
    <row r="4" spans="1:69"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80" t="s">
        <v>404</v>
      </c>
      <c r="Z4" s="9130" t="s">
        <v>403</v>
      </c>
      <c r="AA4" s="9131"/>
      <c r="AB4" s="9131"/>
      <c r="AC4" s="9132"/>
      <c r="AE4" s="9130" t="s">
        <v>402</v>
      </c>
      <c r="AF4" s="9131"/>
      <c r="AG4" s="9132"/>
      <c r="AI4" s="9180" t="s">
        <v>404</v>
      </c>
      <c r="AK4" s="9130" t="s">
        <v>403</v>
      </c>
      <c r="AL4" s="9131"/>
      <c r="AM4" s="9131"/>
      <c r="AN4" s="9132"/>
      <c r="AP4" s="9130" t="s">
        <v>402</v>
      </c>
      <c r="AQ4" s="9131"/>
      <c r="AR4" s="9132"/>
      <c r="AV4" s="9130" t="s">
        <v>403</v>
      </c>
      <c r="AW4" s="9131"/>
      <c r="AX4" s="9131"/>
      <c r="AY4" s="9132"/>
      <c r="BA4" s="9130" t="s">
        <v>402</v>
      </c>
      <c r="BB4" s="9131"/>
      <c r="BC4" s="9132"/>
      <c r="BF4" s="9130" t="s">
        <v>403</v>
      </c>
      <c r="BG4" s="9131"/>
      <c r="BH4" s="9131"/>
      <c r="BI4" s="9132"/>
      <c r="BK4" s="9130" t="s">
        <v>402</v>
      </c>
      <c r="BL4" s="9131"/>
      <c r="BM4" s="9132"/>
      <c r="BO4" s="9180" t="s">
        <v>404</v>
      </c>
      <c r="BP4" s="9180" t="s">
        <v>404</v>
      </c>
      <c r="BQ4" s="9180" t="s">
        <v>404</v>
      </c>
    </row>
    <row r="5" spans="1:69" x14ac:dyDescent="0.35">
      <c r="B5" s="1" t="s">
        <v>406</v>
      </c>
      <c r="C5" s="11">
        <v>2005</v>
      </c>
      <c r="F5" s="8324">
        <v>2011</v>
      </c>
      <c r="G5" s="12"/>
      <c r="H5" s="9138">
        <v>2014</v>
      </c>
      <c r="I5" s="9139"/>
      <c r="J5" s="9140"/>
      <c r="K5" s="12"/>
      <c r="L5" s="9138">
        <v>2015</v>
      </c>
      <c r="M5" s="9140"/>
      <c r="O5" s="9138">
        <v>2015</v>
      </c>
      <c r="P5" s="9139"/>
      <c r="Q5" s="9139"/>
      <c r="R5" s="9140"/>
      <c r="S5" s="12"/>
      <c r="T5" s="9138">
        <v>2016</v>
      </c>
      <c r="U5" s="9139"/>
      <c r="V5" s="9140"/>
      <c r="X5" s="9181"/>
      <c r="Z5" s="9138">
        <v>2016</v>
      </c>
      <c r="AA5" s="9139"/>
      <c r="AB5" s="9139"/>
      <c r="AC5" s="9140"/>
      <c r="AD5" s="12"/>
      <c r="AE5" s="9138">
        <v>2017</v>
      </c>
      <c r="AF5" s="9139"/>
      <c r="AG5" s="9140"/>
      <c r="AI5" s="9181"/>
      <c r="AK5" s="9138">
        <v>2017</v>
      </c>
      <c r="AL5" s="9139"/>
      <c r="AM5" s="9139"/>
      <c r="AN5" s="9140"/>
      <c r="AO5" s="12"/>
      <c r="AP5" s="9138">
        <v>2018</v>
      </c>
      <c r="AQ5" s="9139"/>
      <c r="AR5" s="9140"/>
      <c r="AS5" s="1"/>
      <c r="AT5" s="1" t="s">
        <v>406</v>
      </c>
      <c r="AU5" s="11">
        <v>2005</v>
      </c>
      <c r="AV5" s="9138">
        <v>2018</v>
      </c>
      <c r="AW5" s="9139"/>
      <c r="AX5" s="9139"/>
      <c r="AY5" s="9140"/>
      <c r="AZ5" s="12"/>
      <c r="BA5" s="9138">
        <v>2019</v>
      </c>
      <c r="BB5" s="9139"/>
      <c r="BC5" s="9140"/>
      <c r="BD5" s="1"/>
      <c r="BE5" s="1"/>
      <c r="BF5" s="9138">
        <v>2019</v>
      </c>
      <c r="BG5" s="9139"/>
      <c r="BH5" s="9139"/>
      <c r="BI5" s="9140"/>
      <c r="BJ5" s="12"/>
      <c r="BK5" s="9138">
        <v>2020</v>
      </c>
      <c r="BL5" s="9139"/>
      <c r="BM5" s="9140"/>
      <c r="BN5" s="1"/>
      <c r="BO5" s="9181"/>
      <c r="BP5" s="9181"/>
      <c r="BQ5" s="9181"/>
    </row>
    <row r="6" spans="1:69" x14ac:dyDescent="0.35">
      <c r="C6"/>
      <c r="F6" s="6"/>
      <c r="L6" s="14"/>
      <c r="T6" s="14"/>
      <c r="U6" s="14"/>
      <c r="X6" s="6"/>
      <c r="AE6" s="14"/>
      <c r="AF6" s="14"/>
      <c r="AI6" s="6"/>
      <c r="AK6" s="6"/>
      <c r="AL6" s="6"/>
      <c r="AM6" s="6"/>
      <c r="AN6" s="7"/>
      <c r="AO6" s="1"/>
      <c r="AP6" s="14"/>
      <c r="AQ6" s="14"/>
      <c r="AS6" s="1"/>
      <c r="AU6"/>
      <c r="AV6" s="6"/>
      <c r="AW6" s="6"/>
      <c r="AX6" s="6"/>
      <c r="AY6" s="7"/>
      <c r="AZ6" s="1"/>
      <c r="BA6" s="14"/>
      <c r="BB6" s="14"/>
      <c r="BD6" s="1"/>
      <c r="BE6" s="1"/>
      <c r="BF6" s="6"/>
      <c r="BG6" s="6"/>
      <c r="BH6" s="6"/>
      <c r="BI6" s="7"/>
      <c r="BJ6" s="1"/>
      <c r="BK6" s="14"/>
      <c r="BL6" s="14"/>
      <c r="BN6" s="1"/>
      <c r="BO6" s="6"/>
      <c r="BP6" s="6"/>
      <c r="BQ6" s="6"/>
    </row>
    <row r="7" spans="1:69" ht="12.75" customHeight="1" x14ac:dyDescent="0.35">
      <c r="B7" s="1" t="s">
        <v>101</v>
      </c>
      <c r="C7" s="15" t="s">
        <v>3907</v>
      </c>
      <c r="D7" s="2" t="s">
        <v>417</v>
      </c>
      <c r="F7" s="8322"/>
      <c r="H7" s="9173" t="str">
        <f>C7</f>
        <v>Lei</v>
      </c>
      <c r="I7" s="9173"/>
      <c r="J7" s="9147" t="s">
        <v>419</v>
      </c>
      <c r="L7" s="9149" t="str">
        <f>C7</f>
        <v>Lei</v>
      </c>
      <c r="M7" s="9151"/>
      <c r="O7" s="9173" t="str">
        <f>C7</f>
        <v>Lei</v>
      </c>
      <c r="P7" s="9173"/>
      <c r="Q7" s="16"/>
      <c r="R7" s="9147" t="s">
        <v>419</v>
      </c>
      <c r="T7" s="9149" t="str">
        <f>O7</f>
        <v>Lei</v>
      </c>
      <c r="U7" s="9150"/>
      <c r="V7" s="9151"/>
      <c r="X7" s="18"/>
      <c r="Z7" s="9173" t="s">
        <v>3907</v>
      </c>
      <c r="AA7" s="9173"/>
      <c r="AB7" s="16"/>
      <c r="AC7" s="9147" t="s">
        <v>419</v>
      </c>
      <c r="AE7" s="9149" t="str">
        <f>Z7</f>
        <v>Lei</v>
      </c>
      <c r="AF7" s="9150"/>
      <c r="AG7" s="9151"/>
      <c r="AI7" s="18"/>
      <c r="AK7" s="9173" t="s">
        <v>3908</v>
      </c>
      <c r="AL7" s="9173"/>
      <c r="AM7" s="16"/>
      <c r="AN7" s="9147" t="s">
        <v>419</v>
      </c>
      <c r="AO7" s="1"/>
      <c r="AP7" s="9149" t="str">
        <f>AK7</f>
        <v>lei</v>
      </c>
      <c r="AQ7" s="9150"/>
      <c r="AR7" s="9151"/>
      <c r="AS7" s="1"/>
      <c r="AT7" s="1" t="s">
        <v>101</v>
      </c>
      <c r="AU7" s="15" t="s">
        <v>3907</v>
      </c>
      <c r="AV7" s="9173" t="s">
        <v>3908</v>
      </c>
      <c r="AW7" s="9173"/>
      <c r="AX7" s="16"/>
      <c r="AY7" s="9147" t="s">
        <v>419</v>
      </c>
      <c r="AZ7" s="1"/>
      <c r="BA7" s="9149" t="str">
        <f>AV7</f>
        <v>lei</v>
      </c>
      <c r="BB7" s="9150"/>
      <c r="BC7" s="9151"/>
      <c r="BD7" s="1"/>
      <c r="BE7" s="1"/>
      <c r="BF7" s="9173" t="s">
        <v>3908</v>
      </c>
      <c r="BG7" s="9173"/>
      <c r="BH7" s="16"/>
      <c r="BI7" s="9147" t="s">
        <v>419</v>
      </c>
      <c r="BJ7" s="1"/>
      <c r="BK7" s="9149" t="str">
        <f>BF7</f>
        <v>lei</v>
      </c>
      <c r="BL7" s="9150"/>
      <c r="BM7" s="9151"/>
      <c r="BN7" s="1"/>
      <c r="BO7" s="18"/>
      <c r="BP7" s="18"/>
      <c r="BQ7" s="18"/>
    </row>
    <row r="8" spans="1:69" x14ac:dyDescent="0.35">
      <c r="B8" s="1" t="s">
        <v>420</v>
      </c>
      <c r="C8" s="19" t="s">
        <v>589</v>
      </c>
      <c r="F8" s="20" t="s">
        <v>96</v>
      </c>
      <c r="H8" s="20" t="s">
        <v>3909</v>
      </c>
      <c r="I8" s="20" t="s">
        <v>96</v>
      </c>
      <c r="J8" s="9148"/>
      <c r="L8" s="21" t="s">
        <v>1298</v>
      </c>
      <c r="M8" s="20" t="s">
        <v>96</v>
      </c>
      <c r="O8" s="20" t="s">
        <v>424</v>
      </c>
      <c r="P8" s="20" t="s">
        <v>96</v>
      </c>
      <c r="Q8" s="22" t="s">
        <v>425</v>
      </c>
      <c r="R8" s="9148"/>
      <c r="T8" s="21" t="s">
        <v>424</v>
      </c>
      <c r="U8" s="22" t="s">
        <v>425</v>
      </c>
      <c r="V8" s="20" t="s">
        <v>96</v>
      </c>
      <c r="X8" s="24"/>
      <c r="Z8" s="20" t="s">
        <v>424</v>
      </c>
      <c r="AA8" s="20" t="s">
        <v>96</v>
      </c>
      <c r="AB8" s="22" t="s">
        <v>425</v>
      </c>
      <c r="AC8" s="9148"/>
      <c r="AE8" s="21" t="s">
        <v>424</v>
      </c>
      <c r="AF8" s="22" t="s">
        <v>425</v>
      </c>
      <c r="AG8" s="20" t="s">
        <v>96</v>
      </c>
      <c r="AI8" s="24"/>
      <c r="AK8" s="20" t="s">
        <v>424</v>
      </c>
      <c r="AL8" s="20" t="s">
        <v>96</v>
      </c>
      <c r="AM8" s="22" t="s">
        <v>425</v>
      </c>
      <c r="AN8" s="9148"/>
      <c r="AO8" s="1"/>
      <c r="AP8" s="21" t="s">
        <v>424</v>
      </c>
      <c r="AQ8" s="22" t="s">
        <v>425</v>
      </c>
      <c r="AR8" s="20" t="s">
        <v>96</v>
      </c>
      <c r="AS8" s="1"/>
      <c r="AT8" s="1" t="s">
        <v>420</v>
      </c>
      <c r="AU8" s="19" t="s">
        <v>589</v>
      </c>
      <c r="AV8" s="20" t="s">
        <v>424</v>
      </c>
      <c r="AW8" s="20" t="s">
        <v>96</v>
      </c>
      <c r="AX8" s="22" t="s">
        <v>425</v>
      </c>
      <c r="AY8" s="9148"/>
      <c r="AZ8" s="1"/>
      <c r="BA8" s="21" t="s">
        <v>424</v>
      </c>
      <c r="BB8" s="22" t="s">
        <v>425</v>
      </c>
      <c r="BC8" s="20" t="s">
        <v>96</v>
      </c>
      <c r="BD8" s="1"/>
      <c r="BE8" s="1"/>
      <c r="BF8" s="20" t="s">
        <v>424</v>
      </c>
      <c r="BG8" s="20" t="s">
        <v>96</v>
      </c>
      <c r="BH8" s="22" t="s">
        <v>425</v>
      </c>
      <c r="BI8" s="9148"/>
      <c r="BJ8" s="1"/>
      <c r="BK8" s="21" t="s">
        <v>424</v>
      </c>
      <c r="BL8" s="22" t="s">
        <v>425</v>
      </c>
      <c r="BM8" s="20" t="s">
        <v>96</v>
      </c>
      <c r="BN8" s="1"/>
      <c r="BO8" s="24"/>
      <c r="BP8" s="24"/>
      <c r="BQ8" s="24"/>
    </row>
    <row r="9" spans="1:69" x14ac:dyDescent="0.35">
      <c r="C9"/>
      <c r="E9"/>
      <c r="F9"/>
      <c r="G9"/>
      <c r="H9"/>
      <c r="I9"/>
      <c r="J9" s="25"/>
      <c r="K9"/>
      <c r="N9"/>
      <c r="O9"/>
      <c r="P9"/>
      <c r="Q9"/>
      <c r="R9" s="25"/>
      <c r="S9"/>
      <c r="W9"/>
      <c r="Z9"/>
      <c r="AA9"/>
      <c r="AB9"/>
      <c r="AC9" s="25"/>
      <c r="AD9"/>
      <c r="AH9"/>
      <c r="AN9" s="25"/>
      <c r="AU9"/>
      <c r="AY9" s="25"/>
      <c r="BI9" s="25"/>
    </row>
    <row r="10" spans="1:69" ht="33.25" customHeight="1" x14ac:dyDescent="0.35">
      <c r="A10" s="9167" t="s">
        <v>426</v>
      </c>
      <c r="B10" s="27"/>
      <c r="C10" s="28" t="s">
        <v>427</v>
      </c>
      <c r="D10" s="580" t="s">
        <v>428</v>
      </c>
      <c r="E10" s="30"/>
      <c r="F10" s="31" t="s">
        <v>1126</v>
      </c>
      <c r="G10"/>
      <c r="H10" s="31" t="s">
        <v>3910</v>
      </c>
      <c r="I10" s="31" t="s">
        <v>1126</v>
      </c>
      <c r="J10" s="32"/>
      <c r="K10" s="33"/>
      <c r="L10" s="31" t="s">
        <v>3911</v>
      </c>
      <c r="M10" s="34" t="s">
        <v>593</v>
      </c>
      <c r="N10" s="33"/>
      <c r="O10" s="9155" t="s">
        <v>3912</v>
      </c>
      <c r="P10" s="9156"/>
      <c r="Q10" s="473" t="s">
        <v>3913</v>
      </c>
      <c r="R10" s="32"/>
      <c r="S10" s="33"/>
      <c r="T10" s="36" t="s">
        <v>3914</v>
      </c>
      <c r="U10" s="473" t="s">
        <v>3915</v>
      </c>
      <c r="V10" s="34" t="s">
        <v>3916</v>
      </c>
      <c r="W10" s="33"/>
      <c r="X10" s="39"/>
      <c r="Z10" s="9155" t="s">
        <v>3912</v>
      </c>
      <c r="AA10" s="9156"/>
      <c r="AB10" s="473" t="s">
        <v>3917</v>
      </c>
      <c r="AC10" s="32"/>
      <c r="AD10" s="33"/>
      <c r="AE10" s="36" t="s">
        <v>3918</v>
      </c>
      <c r="AF10" s="473" t="s">
        <v>3915</v>
      </c>
      <c r="AG10" s="34" t="s">
        <v>3916</v>
      </c>
      <c r="AH10" s="33"/>
      <c r="AI10" s="39"/>
      <c r="AK10" s="9155" t="s">
        <v>3912</v>
      </c>
      <c r="AL10" s="9156"/>
      <c r="AM10" s="473" t="s">
        <v>3919</v>
      </c>
      <c r="AN10" s="32"/>
      <c r="AO10" s="33"/>
      <c r="AP10" s="582" t="s">
        <v>3920</v>
      </c>
      <c r="AQ10" s="473" t="s">
        <v>3921</v>
      </c>
      <c r="AR10" s="34" t="s">
        <v>3916</v>
      </c>
      <c r="AS10" s="33"/>
      <c r="AT10" s="27"/>
      <c r="AU10" s="28" t="s">
        <v>427</v>
      </c>
      <c r="AV10" s="9155" t="s">
        <v>3922</v>
      </c>
      <c r="AW10" s="9156"/>
      <c r="AX10" s="473" t="s">
        <v>3923</v>
      </c>
      <c r="AY10" s="32"/>
      <c r="AZ10" s="33"/>
      <c r="BA10" s="6937" t="s">
        <v>3924</v>
      </c>
      <c r="BB10" s="473" t="s">
        <v>3921</v>
      </c>
      <c r="BC10" s="6937" t="s">
        <v>3924</v>
      </c>
      <c r="BD10" s="33"/>
      <c r="BE10" s="33"/>
      <c r="BF10" s="9155" t="s">
        <v>3925</v>
      </c>
      <c r="BG10" s="9156"/>
      <c r="BH10" s="473" t="s">
        <v>3923</v>
      </c>
      <c r="BI10" s="32"/>
      <c r="BJ10" s="33"/>
      <c r="BK10" s="6937" t="s">
        <v>3926</v>
      </c>
      <c r="BL10" s="473" t="s">
        <v>3921</v>
      </c>
      <c r="BM10" s="6937" t="s">
        <v>3926</v>
      </c>
      <c r="BN10" s="33"/>
      <c r="BO10" s="39"/>
      <c r="BP10" s="39"/>
      <c r="BQ10" s="39"/>
    </row>
    <row r="11" spans="1:69" ht="12.75" customHeight="1" x14ac:dyDescent="0.35">
      <c r="A11" s="9168"/>
      <c r="B11" s="40" t="s">
        <v>451</v>
      </c>
      <c r="C11" s="41"/>
      <c r="D11" s="585"/>
      <c r="E11" s="43"/>
      <c r="F11" s="44"/>
      <c r="G11"/>
      <c r="H11" s="45"/>
      <c r="I11" s="46"/>
      <c r="J11" s="47"/>
      <c r="K11" s="48"/>
      <c r="L11" s="45"/>
      <c r="M11" s="49"/>
      <c r="N11" s="50"/>
      <c r="O11" s="45"/>
      <c r="P11" s="46"/>
      <c r="Q11" s="487" t="s">
        <v>3927</v>
      </c>
      <c r="R11" s="47"/>
      <c r="S11" s="48"/>
      <c r="T11" s="45"/>
      <c r="U11" s="487" t="s">
        <v>3928</v>
      </c>
      <c r="V11" s="586"/>
      <c r="W11" s="50"/>
      <c r="X11" s="18"/>
      <c r="Z11" s="45"/>
      <c r="AA11" s="46"/>
      <c r="AB11" s="487" t="s">
        <v>3929</v>
      </c>
      <c r="AC11" s="47"/>
      <c r="AD11" s="48"/>
      <c r="AE11" s="45"/>
      <c r="AF11" s="487" t="s">
        <v>3930</v>
      </c>
      <c r="AG11" s="586"/>
      <c r="AH11" s="50"/>
      <c r="AI11" s="18"/>
      <c r="AK11" s="45"/>
      <c r="AL11" s="46"/>
      <c r="AM11" s="487"/>
      <c r="AN11" s="47"/>
      <c r="AO11" s="48"/>
      <c r="AP11" s="45"/>
      <c r="AQ11" s="487" t="s">
        <v>3931</v>
      </c>
      <c r="AR11" s="586"/>
      <c r="AS11" s="50"/>
      <c r="AT11" s="40" t="s">
        <v>451</v>
      </c>
      <c r="AU11" s="41"/>
      <c r="AV11" s="154" t="s">
        <v>3932</v>
      </c>
      <c r="AW11" s="54" t="s">
        <v>3933</v>
      </c>
      <c r="AX11" s="1914" t="s">
        <v>3934</v>
      </c>
      <c r="AY11" s="47"/>
      <c r="AZ11" s="48"/>
      <c r="BA11" s="154" t="s">
        <v>3935</v>
      </c>
      <c r="BB11" s="1914" t="s">
        <v>3934</v>
      </c>
      <c r="BC11" s="586" t="s">
        <v>3936</v>
      </c>
      <c r="BD11" s="50"/>
      <c r="BE11" s="50"/>
      <c r="BF11" s="154" t="s">
        <v>3937</v>
      </c>
      <c r="BG11" s="54" t="s">
        <v>3938</v>
      </c>
      <c r="BH11" s="1914" t="s">
        <v>3934</v>
      </c>
      <c r="BI11" s="47"/>
      <c r="BJ11" s="48"/>
      <c r="BK11" s="154" t="s">
        <v>3935</v>
      </c>
      <c r="BL11" s="1914" t="s">
        <v>3939</v>
      </c>
      <c r="BM11" s="586" t="s">
        <v>3936</v>
      </c>
      <c r="BN11" s="50"/>
      <c r="BO11" s="18"/>
      <c r="BP11" s="18"/>
      <c r="BQ11" s="18"/>
    </row>
    <row r="12" spans="1:69" x14ac:dyDescent="0.35">
      <c r="A12" s="9168"/>
      <c r="B12" s="58"/>
      <c r="C12" s="59" t="s">
        <v>456</v>
      </c>
      <c r="D12" s="197"/>
      <c r="F12" s="61"/>
      <c r="G12"/>
      <c r="H12" s="62">
        <f>H15-H13</f>
        <v>23355616100</v>
      </c>
      <c r="I12" s="63"/>
      <c r="J12" s="476">
        <f>IF(H12=0,0,I12/H12)</f>
        <v>0</v>
      </c>
      <c r="K12" s="65"/>
      <c r="L12" s="62">
        <f>L15-L13</f>
        <v>27572284200</v>
      </c>
      <c r="M12" s="66">
        <f>L12*J12</f>
        <v>0</v>
      </c>
      <c r="N12" s="67"/>
      <c r="O12" s="71">
        <f>O15-O13-O14</f>
        <v>27578570200</v>
      </c>
      <c r="P12" s="74">
        <f>P15-P13-P14</f>
        <v>26308622100</v>
      </c>
      <c r="Q12" s="53" t="s">
        <v>3940</v>
      </c>
      <c r="R12" s="476">
        <f>IF(O12=0,0,P12/O12)</f>
        <v>0.95395163379427117</v>
      </c>
      <c r="S12" s="65"/>
      <c r="T12" s="71">
        <f>T15-T13-T14</f>
        <v>27723422900</v>
      </c>
      <c r="U12" s="53" t="s">
        <v>3940</v>
      </c>
      <c r="V12" s="66">
        <f>T12*R12</f>
        <v>26446804569.824512</v>
      </c>
      <c r="W12" s="67"/>
      <c r="X12" s="26"/>
      <c r="Z12" s="71">
        <f>(Z15-Z13)</f>
        <v>27969463300</v>
      </c>
      <c r="AA12" s="74">
        <f>AA15-AA13</f>
        <v>28442953900</v>
      </c>
      <c r="AB12" s="53" t="s">
        <v>3941</v>
      </c>
      <c r="AC12" s="476">
        <f>IF(Z12=0,0,AA12/Z12)</f>
        <v>1.0169288411050776</v>
      </c>
      <c r="AD12" s="65"/>
      <c r="AE12" s="71">
        <f>AE15-AE13</f>
        <v>32594632600.000004</v>
      </c>
      <c r="AF12" s="53" t="s">
        <v>3942</v>
      </c>
      <c r="AG12" s="66">
        <f>AG15-AG13</f>
        <v>32954700000</v>
      </c>
      <c r="AH12" s="67"/>
      <c r="AI12" s="26"/>
      <c r="AK12" s="3300">
        <f>(AK15-AK13)</f>
        <v>32597000000</v>
      </c>
      <c r="AL12" s="3301">
        <f>AL15-AL13</f>
        <v>32954500000</v>
      </c>
      <c r="AM12" s="53"/>
      <c r="AN12" s="476">
        <f>IF(AK12=0,0,AL12/AK12)</f>
        <v>1.0109672669264043</v>
      </c>
      <c r="AO12" s="65"/>
      <c r="AP12" s="3300">
        <f>AP15-AP13</f>
        <v>33788555300</v>
      </c>
      <c r="AQ12" s="53" t="s">
        <v>3943</v>
      </c>
      <c r="AR12" s="1568">
        <f>(AR15-AR13)</f>
        <v>36097800000</v>
      </c>
      <c r="AS12" s="67"/>
      <c r="AT12" s="58"/>
      <c r="AU12" s="59" t="s">
        <v>456</v>
      </c>
      <c r="AV12" s="71">
        <f>(AV15-AV13)</f>
        <v>35026796500</v>
      </c>
      <c r="AW12" s="74">
        <f>AW15-AW13</f>
        <v>36097309100</v>
      </c>
      <c r="AX12" s="53"/>
      <c r="AY12" s="476">
        <f>IF(AV12=0,0,AW12/AV12)</f>
        <v>1.0305626750650749</v>
      </c>
      <c r="AZ12" s="65"/>
      <c r="BA12" s="71">
        <f>BA15-BA13</f>
        <v>38849000000</v>
      </c>
      <c r="BB12" s="53"/>
      <c r="BC12" s="301">
        <f>(BC15-BC13)</f>
        <v>-1500532000</v>
      </c>
      <c r="BD12" s="67"/>
      <c r="BE12" s="67"/>
      <c r="BF12" s="71">
        <f>BF15-BF13</f>
        <v>38849000000</v>
      </c>
      <c r="BG12" s="74">
        <f>(BG15-BG13)</f>
        <v>38427500000</v>
      </c>
      <c r="BH12" s="53"/>
      <c r="BI12" s="476">
        <f>IF(BF12=0,0,BG12/BF12)</f>
        <v>0.98915029987901881</v>
      </c>
      <c r="BJ12" s="65"/>
      <c r="BK12" s="71">
        <f>BK15-BK13</f>
        <v>35507900000</v>
      </c>
      <c r="BL12" s="53"/>
      <c r="BM12" s="301">
        <f>(BM15-BM13)</f>
        <v>37553600000</v>
      </c>
      <c r="BN12" s="67"/>
      <c r="BO12" s="26"/>
      <c r="BP12" s="26"/>
      <c r="BQ12" s="26"/>
    </row>
    <row r="13" spans="1:69" x14ac:dyDescent="0.35">
      <c r="A13" s="9168"/>
      <c r="B13" s="58"/>
      <c r="C13" s="587" t="s">
        <v>462</v>
      </c>
      <c r="D13" s="197"/>
      <c r="F13" s="61"/>
      <c r="G13"/>
      <c r="H13" s="62">
        <v>2459214200</v>
      </c>
      <c r="I13" s="63"/>
      <c r="J13" s="73">
        <f>IF(H13=0,0,I13/H13)</f>
        <v>0</v>
      </c>
      <c r="K13" s="65"/>
      <c r="L13" s="62">
        <v>2766322800</v>
      </c>
      <c r="M13" s="66">
        <f>L13*J13</f>
        <v>0</v>
      </c>
      <c r="N13" s="67"/>
      <c r="O13" s="71">
        <v>2760036800</v>
      </c>
      <c r="P13" s="74">
        <v>1745980300</v>
      </c>
      <c r="Q13" s="53" t="s">
        <v>3944</v>
      </c>
      <c r="R13" s="476">
        <f>IF(O13=0,0,P13/O13)</f>
        <v>0.63259312339603591</v>
      </c>
      <c r="S13" s="65"/>
      <c r="T13" s="62">
        <f>3655521900</f>
        <v>3655521900</v>
      </c>
      <c r="U13" s="53" t="s">
        <v>3945</v>
      </c>
      <c r="V13" s="66">
        <f>T13*R13</f>
        <v>2312458016.3636117</v>
      </c>
      <c r="W13" s="67"/>
      <c r="X13" s="26" t="s">
        <v>3946</v>
      </c>
      <c r="Z13" s="71">
        <f>3409481.5*1000</f>
        <v>3409481500</v>
      </c>
      <c r="AA13" s="74">
        <f>1013100*0.431*1000</f>
        <v>436646100</v>
      </c>
      <c r="AB13" s="53" t="s">
        <v>3947</v>
      </c>
      <c r="AC13" s="476">
        <f>IF(Z13=0,0,AA13/Z13)</f>
        <v>0.1280681828014025</v>
      </c>
      <c r="AD13" s="65"/>
      <c r="AE13" s="62">
        <f>1172108.1*1000</f>
        <v>1172108100</v>
      </c>
      <c r="AF13" s="53" t="s">
        <v>3945</v>
      </c>
      <c r="AG13" s="66">
        <v>992900000</v>
      </c>
      <c r="AH13" s="67"/>
      <c r="AI13" s="26" t="s">
        <v>3946</v>
      </c>
      <c r="AK13" s="3300">
        <f>1181.9*1000000</f>
        <v>1181900000</v>
      </c>
      <c r="AL13" s="3301">
        <f>992.9*1000000</f>
        <v>992900000</v>
      </c>
      <c r="AM13" s="53" t="s">
        <v>3948</v>
      </c>
      <c r="AN13" s="476">
        <f>IF(AK13=0,0,AL13/AK13)</f>
        <v>0.84008799390811406</v>
      </c>
      <c r="AO13" s="65"/>
      <c r="AP13" s="3043">
        <f>2829944.7*1000</f>
        <v>2829944700</v>
      </c>
      <c r="AQ13" s="53" t="s">
        <v>3949</v>
      </c>
      <c r="AR13" s="3263">
        <f>312.6*1000000</f>
        <v>312600000</v>
      </c>
      <c r="AS13" s="67"/>
      <c r="AT13" s="58"/>
      <c r="AU13" s="587" t="s">
        <v>462</v>
      </c>
      <c r="AV13" s="71">
        <v>1942635500</v>
      </c>
      <c r="AW13" s="74">
        <v>335375700</v>
      </c>
      <c r="AX13" s="53" t="s">
        <v>3950</v>
      </c>
      <c r="AY13" s="476">
        <f>IF(AV13=0,0,AW13/AV13)</f>
        <v>0.17263954045933991</v>
      </c>
      <c r="AZ13" s="65"/>
      <c r="BA13" s="62">
        <v>1793900000</v>
      </c>
      <c r="BB13" s="53" t="s">
        <v>3950</v>
      </c>
      <c r="BC13" s="301">
        <v>1540500000</v>
      </c>
      <c r="BD13" s="67"/>
      <c r="BE13" s="67"/>
      <c r="BF13" s="71">
        <v>1793900000</v>
      </c>
      <c r="BG13" s="74">
        <v>1540500000</v>
      </c>
      <c r="BH13" s="53" t="s">
        <v>3951</v>
      </c>
      <c r="BI13" s="476">
        <f>IF(BF13=0,0,BG13/BF13)</f>
        <v>0.8587435197056692</v>
      </c>
      <c r="BJ13" s="65"/>
      <c r="BK13" s="62">
        <v>1773300000</v>
      </c>
      <c r="BL13" s="53" t="s">
        <v>3951</v>
      </c>
      <c r="BM13" s="301">
        <v>952100000</v>
      </c>
      <c r="BN13" s="67"/>
      <c r="BO13" s="26"/>
      <c r="BP13" s="26"/>
      <c r="BQ13" s="26"/>
    </row>
    <row r="14" spans="1:69" x14ac:dyDescent="0.35">
      <c r="A14" s="9168"/>
      <c r="B14" s="75"/>
      <c r="C14" s="1096" t="s">
        <v>3267</v>
      </c>
      <c r="D14" s="197"/>
      <c r="F14" s="77"/>
      <c r="G14"/>
      <c r="H14" s="78"/>
      <c r="I14" s="79"/>
      <c r="J14" s="73"/>
      <c r="K14" s="80"/>
      <c r="L14" s="78"/>
      <c r="M14" s="66"/>
      <c r="N14" s="67"/>
      <c r="O14" s="760"/>
      <c r="P14" s="84"/>
      <c r="Q14" s="53"/>
      <c r="R14" s="476">
        <f>IF(O14=0,0,P14/O14)</f>
        <v>0</v>
      </c>
      <c r="S14" s="80"/>
      <c r="T14" s="78"/>
      <c r="U14" s="120"/>
      <c r="V14" s="66">
        <f>T14*R14</f>
        <v>0</v>
      </c>
      <c r="W14" s="67"/>
      <c r="X14" s="26"/>
      <c r="Z14" s="760"/>
      <c r="AA14" s="84"/>
      <c r="AB14" s="53"/>
      <c r="AC14" s="476">
        <f>IF(Z14=0,0,AA14/Z14)</f>
        <v>0</v>
      </c>
      <c r="AD14" s="80"/>
      <c r="AE14" s="78"/>
      <c r="AF14" s="120"/>
      <c r="AG14" s="66"/>
      <c r="AH14" s="67"/>
      <c r="AI14" s="26"/>
      <c r="AK14" s="760"/>
      <c r="AL14" s="84"/>
      <c r="AM14" s="53"/>
      <c r="AN14" s="476">
        <f>IF(AK14=0,0,AL14/AK14)</f>
        <v>0</v>
      </c>
      <c r="AO14" s="80"/>
      <c r="AP14" s="78"/>
      <c r="AQ14" s="120"/>
      <c r="AR14" s="66"/>
      <c r="AS14" s="67"/>
      <c r="AT14" s="75"/>
      <c r="AU14" s="1096" t="s">
        <v>3267</v>
      </c>
      <c r="AV14" s="760"/>
      <c r="AW14" s="84"/>
      <c r="AX14" s="53"/>
      <c r="AY14" s="476">
        <f>IF(AV14=0,0,AW14/AV14)</f>
        <v>0</v>
      </c>
      <c r="AZ14" s="80"/>
      <c r="BA14" s="78"/>
      <c r="BB14" s="53"/>
      <c r="BC14" s="301"/>
      <c r="BD14" s="67"/>
      <c r="BE14" s="67"/>
      <c r="BF14" s="760"/>
      <c r="BG14" s="84"/>
      <c r="BH14" s="53"/>
      <c r="BI14" s="476">
        <f>IF(BF14=0,0,BG14/BF14)</f>
        <v>0</v>
      </c>
      <c r="BJ14" s="80"/>
      <c r="BK14" s="78"/>
      <c r="BL14" s="53"/>
      <c r="BM14" s="301"/>
      <c r="BN14" s="67"/>
      <c r="BO14" s="26"/>
      <c r="BP14" s="26"/>
      <c r="BQ14" s="26"/>
    </row>
    <row r="15" spans="1:69" x14ac:dyDescent="0.35">
      <c r="A15" s="9168"/>
      <c r="B15" s="85"/>
      <c r="C15" s="86" t="s">
        <v>466</v>
      </c>
      <c r="D15" s="209"/>
      <c r="F15" s="88"/>
      <c r="G15"/>
      <c r="H15" s="89">
        <v>25814830300</v>
      </c>
      <c r="I15" s="90"/>
      <c r="J15" s="91">
        <f>IF(H15=0,0,I15/H15)</f>
        <v>0</v>
      </c>
      <c r="K15" s="80"/>
      <c r="L15" s="89">
        <v>30338607000</v>
      </c>
      <c r="M15" s="92">
        <f>L15*J15</f>
        <v>0</v>
      </c>
      <c r="N15" s="67"/>
      <c r="O15" s="768">
        <v>30338607000</v>
      </c>
      <c r="P15" s="99">
        <v>28054602400</v>
      </c>
      <c r="Q15" s="95" t="s">
        <v>3952</v>
      </c>
      <c r="R15" s="91">
        <f>IF(O15=0,0,P15/O15)</f>
        <v>0.92471623367546174</v>
      </c>
      <c r="S15" s="80"/>
      <c r="T15" s="89">
        <v>31378944800</v>
      </c>
      <c r="U15" s="95" t="s">
        <v>3953</v>
      </c>
      <c r="V15" s="3084">
        <f>SUM(V12:V14)</f>
        <v>28759262586.188126</v>
      </c>
      <c r="W15" s="67"/>
      <c r="X15" s="24"/>
      <c r="Z15" s="768">
        <f>31378944.8*1000</f>
        <v>31378944800</v>
      </c>
      <c r="AA15" s="99">
        <f>28879600*1000</f>
        <v>28879600000</v>
      </c>
      <c r="AB15" s="95" t="s">
        <v>3954</v>
      </c>
      <c r="AC15" s="91">
        <f>IF(Z15=0,0,AA15/Z15)</f>
        <v>0.92034962246404151</v>
      </c>
      <c r="AD15" s="80"/>
      <c r="AE15" s="89">
        <f>33766740.7*1000</f>
        <v>33766740700.000004</v>
      </c>
      <c r="AF15" s="95" t="s">
        <v>3953</v>
      </c>
      <c r="AG15" s="3084">
        <v>33947600000</v>
      </c>
      <c r="AH15" s="67"/>
      <c r="AI15" s="24"/>
      <c r="AK15" s="3302">
        <f>33778.9*1000000</f>
        <v>33778900000</v>
      </c>
      <c r="AL15" s="3303">
        <f>33947.4*1000000</f>
        <v>33947400000</v>
      </c>
      <c r="AM15" s="95" t="s">
        <v>3955</v>
      </c>
      <c r="AN15" s="91">
        <f>IF(AK15=0,0,AL15/AK15)</f>
        <v>1.0049883211116999</v>
      </c>
      <c r="AO15" s="80"/>
      <c r="AP15" s="3304">
        <f>36618500*1000</f>
        <v>36618500000</v>
      </c>
      <c r="AQ15" s="95" t="s">
        <v>3953</v>
      </c>
      <c r="AR15" s="3305">
        <f>36410.4*1000000</f>
        <v>36410400000</v>
      </c>
      <c r="AS15" s="67"/>
      <c r="AT15" s="85"/>
      <c r="AU15" s="86" t="s">
        <v>466</v>
      </c>
      <c r="AV15" s="768">
        <v>36969432000</v>
      </c>
      <c r="AW15" s="99">
        <v>36432684800</v>
      </c>
      <c r="AX15" s="95" t="s">
        <v>3956</v>
      </c>
      <c r="AY15" s="91">
        <f>IF(AV15=0,0,AW15/AV15)</f>
        <v>0.98548132413827727</v>
      </c>
      <c r="AZ15" s="80"/>
      <c r="BA15" s="89">
        <v>40642900000</v>
      </c>
      <c r="BB15" s="95" t="s">
        <v>3956</v>
      </c>
      <c r="BC15" s="309">
        <v>39968000</v>
      </c>
      <c r="BD15" s="67"/>
      <c r="BE15" s="67"/>
      <c r="BF15" s="768">
        <v>40642900000</v>
      </c>
      <c r="BG15" s="99">
        <v>39968000000</v>
      </c>
      <c r="BH15" s="95" t="s">
        <v>3957</v>
      </c>
      <c r="BI15" s="91">
        <f>IF(BF15=0,0,BG15/BF15)</f>
        <v>0.98339439360872383</v>
      </c>
      <c r="BJ15" s="80"/>
      <c r="BK15" s="89">
        <v>37281200000</v>
      </c>
      <c r="BL15" s="95" t="s">
        <v>3956</v>
      </c>
      <c r="BM15" s="309">
        <v>38505700000</v>
      </c>
      <c r="BN15" s="67"/>
      <c r="BO15" s="24"/>
      <c r="BP15" s="24"/>
      <c r="BQ15" s="24"/>
    </row>
    <row r="16" spans="1:69" x14ac:dyDescent="0.35">
      <c r="A16" s="9168"/>
      <c r="B16" s="100" t="s">
        <v>468</v>
      </c>
      <c r="C16" s="49"/>
      <c r="D16" s="585"/>
      <c r="E16" s="43"/>
      <c r="F16" s="101"/>
      <c r="G16"/>
      <c r="H16" s="102"/>
      <c r="I16" s="103"/>
      <c r="J16" s="104"/>
      <c r="K16" s="43"/>
      <c r="L16" s="102"/>
      <c r="M16" s="105"/>
      <c r="N16" s="43"/>
      <c r="O16" s="102"/>
      <c r="P16" s="106"/>
      <c r="Q16" s="487" t="s">
        <v>3927</v>
      </c>
      <c r="R16" s="104"/>
      <c r="S16" s="43"/>
      <c r="T16" s="919"/>
      <c r="U16" s="57" t="s">
        <v>3958</v>
      </c>
      <c r="V16" s="66"/>
      <c r="W16" s="43"/>
      <c r="X16" s="18"/>
      <c r="Z16" s="102"/>
      <c r="AA16" s="106"/>
      <c r="AB16" s="487" t="s">
        <v>3927</v>
      </c>
      <c r="AC16" s="104"/>
      <c r="AD16" s="43"/>
      <c r="AE16" s="919"/>
      <c r="AF16" s="57" t="s">
        <v>3958</v>
      </c>
      <c r="AG16" s="66"/>
      <c r="AH16" s="43"/>
      <c r="AI16" s="18"/>
      <c r="AK16" s="102"/>
      <c r="AL16" s="106"/>
      <c r="AM16" s="487"/>
      <c r="AN16" s="104"/>
      <c r="AO16" s="43"/>
      <c r="AP16" s="919"/>
      <c r="AQ16" s="57" t="s">
        <v>3958</v>
      </c>
      <c r="AR16" s="66"/>
      <c r="AS16" s="43"/>
      <c r="AT16" s="100" t="s">
        <v>468</v>
      </c>
      <c r="AU16" s="49"/>
      <c r="AV16" s="102"/>
      <c r="AW16" s="106"/>
      <c r="AX16" s="487"/>
      <c r="AY16" s="104"/>
      <c r="AZ16" s="43"/>
      <c r="BA16" s="919"/>
      <c r="BB16" s="57"/>
      <c r="BC16" s="66"/>
      <c r="BD16" s="43"/>
      <c r="BE16" s="43"/>
      <c r="BF16" s="102"/>
      <c r="BG16" s="106"/>
      <c r="BH16" s="487"/>
      <c r="BI16" s="104"/>
      <c r="BJ16" s="43"/>
      <c r="BK16" s="919"/>
      <c r="BL16" s="57"/>
      <c r="BM16" s="66"/>
      <c r="BN16" s="43"/>
      <c r="BO16" s="18"/>
      <c r="BP16" s="18"/>
      <c r="BQ16" s="18"/>
    </row>
    <row r="17" spans="1:71" x14ac:dyDescent="0.35">
      <c r="A17" s="9168"/>
      <c r="B17" s="6082"/>
      <c r="C17" s="110" t="s">
        <v>470</v>
      </c>
      <c r="D17" s="197"/>
      <c r="F17" s="111">
        <f>F22-F20-F18</f>
        <v>19341715146.780014</v>
      </c>
      <c r="G17"/>
      <c r="H17" s="112">
        <f>H22-H20-H18</f>
        <v>27558458210</v>
      </c>
      <c r="I17" s="113">
        <f>I22-I20-I18</f>
        <v>28756146825.260006</v>
      </c>
      <c r="J17" s="476">
        <f>IF(H17=0,0,I17/H17)</f>
        <v>1.0434599282054686</v>
      </c>
      <c r="L17" s="112">
        <f>L22-L20</f>
        <v>33054581000</v>
      </c>
      <c r="M17" s="66">
        <f>L17*J17</f>
        <v>34491130717.121849</v>
      </c>
      <c r="O17" s="112">
        <f>O22-SUM(O18:O21)</f>
        <v>33054581000</v>
      </c>
      <c r="P17" s="115">
        <f>P22-SUM(P18:P21)</f>
        <v>29057808000</v>
      </c>
      <c r="Q17" s="116" t="s">
        <v>3940</v>
      </c>
      <c r="R17" s="476">
        <f>IF(O17=0,0,P17/O17)</f>
        <v>0.87908565532868199</v>
      </c>
      <c r="T17" s="117">
        <f>T22-SUM(T18:T21)</f>
        <v>32654919900</v>
      </c>
      <c r="U17" s="116" t="s">
        <v>3940</v>
      </c>
      <c r="V17" s="66">
        <f>T17*R17</f>
        <v>28706471659.99712</v>
      </c>
      <c r="X17" s="26"/>
      <c r="Z17" s="112">
        <f>(Z22-SUM(Z18:Z21))</f>
        <v>35561744800</v>
      </c>
      <c r="AA17" s="115">
        <f>AA22-SUM(AA18:AA21)</f>
        <v>30566100000</v>
      </c>
      <c r="AB17" s="116" t="s">
        <v>3940</v>
      </c>
      <c r="AC17" s="476">
        <f>IF(Z17=0,0,AA17/Z17)</f>
        <v>0.85952194336651333</v>
      </c>
      <c r="AE17" s="117">
        <f>36433728.3*1000</f>
        <v>36433728300</v>
      </c>
      <c r="AF17" s="116" t="s">
        <v>3940</v>
      </c>
      <c r="AG17" s="66">
        <v>35479200000</v>
      </c>
      <c r="AI17" s="26"/>
      <c r="AK17" s="3306">
        <f>37802.5*1000000</f>
        <v>37802500000</v>
      </c>
      <c r="AL17" s="115">
        <f>AL22-AL18-AL20</f>
        <v>33550100000</v>
      </c>
      <c r="AM17" s="116"/>
      <c r="AN17" s="476">
        <f>IF(AK17=0,0,AL17/AK17)</f>
        <v>0.88751008531181796</v>
      </c>
      <c r="AO17" s="1"/>
      <c r="AP17" s="3043">
        <f>AP22-SUM(AP18:AP20)</f>
        <v>38044142200</v>
      </c>
      <c r="AQ17" s="116" t="s">
        <v>3940</v>
      </c>
      <c r="AR17" s="3263">
        <f>38685.1*1000000</f>
        <v>38685100000</v>
      </c>
      <c r="AS17" s="1"/>
      <c r="AT17" s="6082"/>
      <c r="AU17" s="110" t="s">
        <v>470</v>
      </c>
      <c r="AV17" s="112">
        <f>37676400000-AV20</f>
        <v>36167200000</v>
      </c>
      <c r="AW17" s="115">
        <f>35841700000-AW20</f>
        <v>34336800000</v>
      </c>
      <c r="AX17" s="116" t="s">
        <v>3959</v>
      </c>
      <c r="AY17" s="476">
        <f>IF(AV17=0,0,AW17/AV17)</f>
        <v>0.94939060806476583</v>
      </c>
      <c r="AZ17" s="1"/>
      <c r="BA17" s="117">
        <f>42375000000-BA20</f>
        <v>40705900000</v>
      </c>
      <c r="BB17" s="116" t="s">
        <v>3959</v>
      </c>
      <c r="BC17" s="3254">
        <f>40057700000-BC20</f>
        <v>38438200000</v>
      </c>
      <c r="BD17" s="1"/>
      <c r="BE17" s="1"/>
      <c r="BF17" s="112">
        <f>42377400000-BF20</f>
        <v>40708300000</v>
      </c>
      <c r="BG17" s="115">
        <f>40060200000-BG20</f>
        <v>38440600000</v>
      </c>
      <c r="BH17" s="116" t="s">
        <v>3960</v>
      </c>
      <c r="BI17" s="476">
        <f>IF(BF17=0,0,BG17/BF17)</f>
        <v>0.94429391549143538</v>
      </c>
      <c r="BJ17" s="1"/>
      <c r="BK17" s="117">
        <f>49023800000-BK20</f>
        <v>47258200000</v>
      </c>
      <c r="BL17" s="116" t="s">
        <v>3961</v>
      </c>
      <c r="BM17" s="3254">
        <f>46083000000-BM20</f>
        <v>44398800000</v>
      </c>
      <c r="BN17" s="1"/>
      <c r="BO17" s="26"/>
      <c r="BP17" s="26"/>
      <c r="BQ17" s="26"/>
    </row>
    <row r="18" spans="1:71" x14ac:dyDescent="0.35">
      <c r="A18" s="9168"/>
      <c r="B18" s="6082"/>
      <c r="C18" s="121" t="s">
        <v>630</v>
      </c>
      <c r="D18" s="197"/>
      <c r="F18" s="122"/>
      <c r="G18"/>
      <c r="H18" s="114"/>
      <c r="I18" s="123"/>
      <c r="J18" s="476">
        <f>IF(H18=0,0,I18/H18)</f>
        <v>0</v>
      </c>
      <c r="L18" s="114"/>
      <c r="M18" s="66"/>
      <c r="O18" s="114"/>
      <c r="P18" s="115"/>
      <c r="Q18" s="127"/>
      <c r="R18" s="1628">
        <f>R17</f>
        <v>0.87908565532868199</v>
      </c>
      <c r="T18" s="117">
        <v>1159351900</v>
      </c>
      <c r="U18" s="3307" t="s">
        <v>3962</v>
      </c>
      <c r="V18" s="66">
        <f>T18*R18</f>
        <v>1019169624.7680526</v>
      </c>
      <c r="X18" s="26"/>
      <c r="Z18" s="114"/>
      <c r="AA18" s="115"/>
      <c r="AB18" s="127"/>
      <c r="AC18" s="1628"/>
      <c r="AE18" s="117">
        <v>1363212400</v>
      </c>
      <c r="AF18" s="3307" t="s">
        <v>3962</v>
      </c>
      <c r="AG18" s="66">
        <f>AE18*AC18</f>
        <v>0</v>
      </c>
      <c r="AI18" s="26"/>
      <c r="AK18" s="3308">
        <f>1363212.4*1000</f>
        <v>1363212400</v>
      </c>
      <c r="AL18" s="810"/>
      <c r="AM18" s="3309" t="s">
        <v>3963</v>
      </c>
      <c r="AN18" s="476">
        <f t="shared" ref="AN18:AN19" si="0">IF(AK18=0,0,AL18/AK18)</f>
        <v>0</v>
      </c>
      <c r="AO18" s="1"/>
      <c r="AP18" s="3043">
        <f>2431128.8*1000</f>
        <v>2431128800</v>
      </c>
      <c r="AQ18" s="116" t="s">
        <v>3964</v>
      </c>
      <c r="AR18" s="66">
        <f>AP18*AN18</f>
        <v>0</v>
      </c>
      <c r="AS18" s="1"/>
      <c r="AT18" s="6082"/>
      <c r="AU18" s="121" t="s">
        <v>630</v>
      </c>
      <c r="AV18" s="117">
        <v>4355500000</v>
      </c>
      <c r="AW18" s="115">
        <v>2866600000</v>
      </c>
      <c r="AX18" s="116" t="s">
        <v>3965</v>
      </c>
      <c r="AY18" s="476">
        <f t="shared" ref="AY18:AY19" si="1">IF(AV18=0,0,AW18/AV18)</f>
        <v>0.65815635403512796</v>
      </c>
      <c r="AZ18" s="1"/>
      <c r="BA18" s="117">
        <v>3970700000</v>
      </c>
      <c r="BB18" s="116" t="s">
        <v>3965</v>
      </c>
      <c r="BC18" s="3265">
        <v>3012500000</v>
      </c>
      <c r="BD18" s="1"/>
      <c r="BE18" s="1"/>
      <c r="BF18" s="117">
        <v>3968800000</v>
      </c>
      <c r="BG18" s="115">
        <v>3013700000</v>
      </c>
      <c r="BH18" s="116" t="s">
        <v>3966</v>
      </c>
      <c r="BI18" s="476">
        <f t="shared" ref="BI18:BI19" si="2">IF(BF18=0,0,BG18/BF18)</f>
        <v>0.75934791372707111</v>
      </c>
      <c r="BJ18" s="1"/>
      <c r="BK18" s="117">
        <v>4256800000</v>
      </c>
      <c r="BL18" s="116" t="s">
        <v>3966</v>
      </c>
      <c r="BM18" s="3265">
        <v>3557500000</v>
      </c>
      <c r="BN18" s="1"/>
      <c r="BO18" s="26"/>
      <c r="BP18" s="26"/>
      <c r="BQ18" s="26"/>
    </row>
    <row r="19" spans="1:71" x14ac:dyDescent="0.35">
      <c r="A19" s="9168"/>
      <c r="B19" s="6082"/>
      <c r="C19" s="121" t="s">
        <v>632</v>
      </c>
      <c r="D19" s="197"/>
      <c r="F19" s="122"/>
      <c r="G19"/>
      <c r="H19" s="114"/>
      <c r="I19" s="123"/>
      <c r="J19" s="476"/>
      <c r="L19" s="114"/>
      <c r="M19" s="66"/>
      <c r="O19" s="114"/>
      <c r="P19" s="115"/>
      <c r="Q19" s="127"/>
      <c r="R19" s="476">
        <f>IF(O19=0,0,P19/O19)</f>
        <v>0</v>
      </c>
      <c r="T19" s="117"/>
      <c r="U19" s="127"/>
      <c r="V19" s="66"/>
      <c r="X19" s="26"/>
      <c r="Z19" s="114"/>
      <c r="AA19" s="115"/>
      <c r="AB19" s="127"/>
      <c r="AC19" s="476"/>
      <c r="AE19" s="117"/>
      <c r="AF19" s="127"/>
      <c r="AG19" s="66"/>
      <c r="AI19" s="26"/>
      <c r="AK19" s="114"/>
      <c r="AL19" s="115"/>
      <c r="AM19" s="127"/>
      <c r="AN19" s="476">
        <f t="shared" si="0"/>
        <v>0</v>
      </c>
      <c r="AO19" s="1"/>
      <c r="AP19" s="117"/>
      <c r="AQ19" s="127"/>
      <c r="AR19" s="66"/>
      <c r="AS19" s="1"/>
      <c r="AT19" s="6082"/>
      <c r="AU19" s="121" t="s">
        <v>632</v>
      </c>
      <c r="AV19" s="117"/>
      <c r="AW19" s="115"/>
      <c r="AX19" s="127"/>
      <c r="AY19" s="476">
        <f t="shared" si="1"/>
        <v>0</v>
      </c>
      <c r="AZ19" s="1"/>
      <c r="BA19" s="117"/>
      <c r="BB19" s="127"/>
      <c r="BC19" s="3265"/>
      <c r="BD19" s="1"/>
      <c r="BE19" s="1"/>
      <c r="BF19" s="117"/>
      <c r="BG19" s="115"/>
      <c r="BH19" s="127"/>
      <c r="BI19" s="476">
        <f t="shared" si="2"/>
        <v>0</v>
      </c>
      <c r="BJ19" s="1"/>
      <c r="BK19" s="117"/>
      <c r="BL19" s="127"/>
      <c r="BM19" s="3265"/>
      <c r="BN19" s="1"/>
      <c r="BO19" s="26"/>
      <c r="BP19" s="26"/>
      <c r="BQ19" s="26"/>
    </row>
    <row r="20" spans="1:71" x14ac:dyDescent="0.35">
      <c r="A20" s="9168"/>
      <c r="B20" s="6082"/>
      <c r="C20" s="121" t="s">
        <v>3967</v>
      </c>
      <c r="D20" s="197">
        <v>1</v>
      </c>
      <c r="F20" s="122">
        <v>662430367.08999991</v>
      </c>
      <c r="H20" s="114">
        <v>659405300</v>
      </c>
      <c r="I20" s="123">
        <v>591762118.81000006</v>
      </c>
      <c r="J20" s="476">
        <f>IF(H20=0,0,I20/H20)</f>
        <v>0.89741789884006096</v>
      </c>
      <c r="L20" s="114">
        <f>1260528100</f>
        <v>1260528100</v>
      </c>
      <c r="M20" s="66">
        <f>L20*J20</f>
        <v>1131220478.9308543</v>
      </c>
      <c r="O20" s="114">
        <v>1260528100</v>
      </c>
      <c r="P20" s="123">
        <v>1043283200</v>
      </c>
      <c r="Q20" s="116" t="s">
        <v>3968</v>
      </c>
      <c r="R20" s="476">
        <f>IF(O20=0,0,P20/O20)</f>
        <v>0.82765564686737247</v>
      </c>
      <c r="T20" s="114">
        <f>1402000000+345473000</f>
        <v>1747473000</v>
      </c>
      <c r="U20" s="127" t="s">
        <v>3969</v>
      </c>
      <c r="V20" s="66">
        <f>T20*R20</f>
        <v>1446305896.1982679</v>
      </c>
      <c r="X20" s="26" t="s">
        <v>3970</v>
      </c>
      <c r="Z20" s="114"/>
      <c r="AA20" s="123">
        <f>1747.2*1000000</f>
        <v>1747200000</v>
      </c>
      <c r="AB20" s="116" t="s">
        <v>3971</v>
      </c>
      <c r="AC20" s="476">
        <f>IF(Z20=0,0,AA20/Z20)</f>
        <v>0</v>
      </c>
      <c r="AE20" s="114">
        <f>AE22-AE17</f>
        <v>1363212400</v>
      </c>
      <c r="AF20" s="127" t="s">
        <v>3969</v>
      </c>
      <c r="AG20" s="66">
        <f>AE20*AC20</f>
        <v>0</v>
      </c>
      <c r="AI20" s="26" t="s">
        <v>3970</v>
      </c>
      <c r="AK20" s="3308">
        <f>(1571400+418877.1)*1000</f>
        <v>1990277100</v>
      </c>
      <c r="AL20" s="813">
        <f>1929*1000000</f>
        <v>1929000000</v>
      </c>
      <c r="AM20" s="3310" t="s">
        <v>3972</v>
      </c>
      <c r="AN20" s="476">
        <f>IF(AK20=0,0,AL20/AK20)</f>
        <v>0.9692117745815394</v>
      </c>
      <c r="AO20" s="1"/>
      <c r="AP20" s="3308">
        <f>(1128134.5+381099.5)*1000</f>
        <v>1509234000</v>
      </c>
      <c r="AQ20" s="3311" t="s">
        <v>3973</v>
      </c>
      <c r="AR20" s="66">
        <f>AP20*AN20</f>
        <v>1462767363.3987951</v>
      </c>
      <c r="AS20" s="1"/>
      <c r="AT20" s="6082"/>
      <c r="AU20" s="121" t="s">
        <v>3967</v>
      </c>
      <c r="AV20" s="117">
        <v>1509199999.9999998</v>
      </c>
      <c r="AW20" s="115">
        <v>1504900000</v>
      </c>
      <c r="AX20" s="7268" t="s">
        <v>3974</v>
      </c>
      <c r="AY20" s="476">
        <f>IF(AV20=0,0,AW20/AV20)</f>
        <v>0.99715080837529835</v>
      </c>
      <c r="AZ20" s="1"/>
      <c r="BA20" s="117">
        <v>1669100000</v>
      </c>
      <c r="BB20" s="7268" t="s">
        <v>3974</v>
      </c>
      <c r="BC20" s="3265">
        <v>1619500000</v>
      </c>
      <c r="BD20" s="1"/>
      <c r="BE20" s="1"/>
      <c r="BF20" s="117">
        <v>1669100000</v>
      </c>
      <c r="BG20" s="115">
        <v>1619600000</v>
      </c>
      <c r="BH20" s="7268" t="s">
        <v>3975</v>
      </c>
      <c r="BI20" s="476">
        <f>IF(BF20=0,0,BG20/BF20)</f>
        <v>0.97034329878377568</v>
      </c>
      <c r="BJ20" s="1"/>
      <c r="BK20" s="117">
        <v>1765600000</v>
      </c>
      <c r="BL20" s="7268" t="s">
        <v>3975</v>
      </c>
      <c r="BM20" s="3265">
        <v>1684200000</v>
      </c>
      <c r="BN20" s="1"/>
      <c r="BO20" s="26"/>
      <c r="BP20" s="26"/>
      <c r="BQ20" s="26"/>
    </row>
    <row r="21" spans="1:71" x14ac:dyDescent="0.35">
      <c r="A21" s="9168"/>
      <c r="B21" s="6082"/>
      <c r="C21" s="121" t="s">
        <v>3285</v>
      </c>
      <c r="D21" s="197"/>
      <c r="F21" s="122"/>
      <c r="H21" s="114"/>
      <c r="I21" s="123"/>
      <c r="J21" s="476"/>
      <c r="L21" s="114"/>
      <c r="M21" s="66"/>
      <c r="O21" s="114"/>
      <c r="P21" s="123"/>
      <c r="Q21" s="127"/>
      <c r="R21" s="476">
        <f>IF(O21=0,0,P21/O21)</f>
        <v>0</v>
      </c>
      <c r="T21" s="114"/>
      <c r="U21" s="127"/>
      <c r="V21" s="66"/>
      <c r="X21" s="26"/>
      <c r="Z21" s="114"/>
      <c r="AA21" s="123"/>
      <c r="AB21" s="127"/>
      <c r="AC21" s="476"/>
      <c r="AE21" s="114"/>
      <c r="AF21" s="127"/>
      <c r="AG21" s="66"/>
      <c r="AI21" s="26"/>
      <c r="AK21" s="114"/>
      <c r="AL21" s="123"/>
      <c r="AM21" s="127"/>
      <c r="AN21" s="476"/>
      <c r="AO21" s="1"/>
      <c r="AP21" s="114"/>
      <c r="AQ21" s="127"/>
      <c r="AR21" s="66"/>
      <c r="AS21" s="1"/>
      <c r="AT21" s="6082"/>
      <c r="AU21" s="121" t="s">
        <v>3285</v>
      </c>
      <c r="AV21" s="117"/>
      <c r="AW21" s="115"/>
      <c r="AX21" s="127"/>
      <c r="AY21" s="476"/>
      <c r="AZ21" s="1"/>
      <c r="BA21" s="117"/>
      <c r="BB21" s="127"/>
      <c r="BC21" s="3265"/>
      <c r="BD21" s="1"/>
      <c r="BE21" s="1"/>
      <c r="BF21" s="117"/>
      <c r="BG21" s="115"/>
      <c r="BH21" s="127"/>
      <c r="BI21" s="476"/>
      <c r="BJ21" s="1"/>
      <c r="BK21" s="117"/>
      <c r="BL21" s="127"/>
      <c r="BM21" s="3265"/>
      <c r="BN21" s="1"/>
      <c r="BO21" s="26"/>
      <c r="BP21" s="26"/>
      <c r="BQ21" s="26"/>
      <c r="BS21" s="3312"/>
    </row>
    <row r="22" spans="1:71" x14ac:dyDescent="0.35">
      <c r="A22" s="9168"/>
      <c r="B22" s="128"/>
      <c r="C22" s="129" t="s">
        <v>479</v>
      </c>
      <c r="D22" s="209">
        <v>2</v>
      </c>
      <c r="F22" s="130">
        <v>20004145513.870014</v>
      </c>
      <c r="H22" s="131">
        <v>28217863510</v>
      </c>
      <c r="I22" s="132">
        <v>29347908944.070007</v>
      </c>
      <c r="J22" s="484">
        <f>IF(H22=0,0,I22/H22)</f>
        <v>1.0400471649339977</v>
      </c>
      <c r="L22" s="131">
        <v>34315109100</v>
      </c>
      <c r="M22" s="92">
        <f>L22*J22</f>
        <v>35689331933.855827</v>
      </c>
      <c r="O22" s="131">
        <v>34315109100</v>
      </c>
      <c r="P22" s="131">
        <v>30101091200</v>
      </c>
      <c r="Q22" s="116" t="s">
        <v>3976</v>
      </c>
      <c r="R22" s="476">
        <f>IF(O22=0,0,P22/O22)</f>
        <v>0.87719643007050796</v>
      </c>
      <c r="T22" s="131">
        <v>35561744800</v>
      </c>
      <c r="U22" s="116" t="s">
        <v>3977</v>
      </c>
      <c r="V22" s="92">
        <f>T22*R22</f>
        <v>31194635585.638451</v>
      </c>
      <c r="X22" s="24" t="s">
        <v>3978</v>
      </c>
      <c r="Z22" s="131">
        <f>35561744.8*1000</f>
        <v>35561744800</v>
      </c>
      <c r="AA22" s="131">
        <f>32313.3*1000000</f>
        <v>32313300000</v>
      </c>
      <c r="AB22" s="116" t="s">
        <v>3979</v>
      </c>
      <c r="AC22" s="476">
        <f>IF(Z22=0,0,AA22/Z22)</f>
        <v>0.90865339093260689</v>
      </c>
      <c r="AE22" s="131">
        <f>37796940.7*1000</f>
        <v>37796940700</v>
      </c>
      <c r="AF22" s="116" t="s">
        <v>3977</v>
      </c>
      <c r="AG22" s="92">
        <f>SUM(AG17:AG21)</f>
        <v>35479200000</v>
      </c>
      <c r="AI22" s="24" t="s">
        <v>3978</v>
      </c>
      <c r="AK22" s="3304">
        <f>37802.5*1000000</f>
        <v>37802500000</v>
      </c>
      <c r="AL22" s="3304">
        <f>35479.1*1000000</f>
        <v>35479100000</v>
      </c>
      <c r="AM22" s="116" t="s">
        <v>3980</v>
      </c>
      <c r="AN22" s="476">
        <f>IF(AK22=0,0,AL22/AK22)</f>
        <v>0.93853845645129286</v>
      </c>
      <c r="AO22" s="1"/>
      <c r="AP22" s="3304">
        <f>41984505*1000</f>
        <v>41984505000</v>
      </c>
      <c r="AQ22" s="3310" t="s">
        <v>3981</v>
      </c>
      <c r="AR22" s="3313">
        <f>SUM(AR17:AR21)</f>
        <v>40147867363.398796</v>
      </c>
      <c r="AS22" s="1"/>
      <c r="AT22" s="128"/>
      <c r="AU22" s="129" t="s">
        <v>479</v>
      </c>
      <c r="AV22" s="7269">
        <f>SUM(AV17:AV21)</f>
        <v>42031900000</v>
      </c>
      <c r="AW22" s="5939">
        <f>SUM(AW17:AW21)</f>
        <v>38708300000</v>
      </c>
      <c r="AX22" s="116" t="s">
        <v>3982</v>
      </c>
      <c r="AY22" s="476">
        <f>IF(AV22=0,0,AW22/AV22)</f>
        <v>0.92092672470195258</v>
      </c>
      <c r="AZ22" s="1"/>
      <c r="BA22" s="131">
        <f>SUM(BA17:BA21)</f>
        <v>46345700000</v>
      </c>
      <c r="BB22" s="116" t="s">
        <v>3982</v>
      </c>
      <c r="BC22" s="3264">
        <f>SUM(BC17:BC21)</f>
        <v>43070200000</v>
      </c>
      <c r="BD22" s="1"/>
      <c r="BE22" s="1"/>
      <c r="BF22" s="7269">
        <f>SUM(BF17:BF21)</f>
        <v>46346200000</v>
      </c>
      <c r="BG22" s="5939">
        <f>SUM(BG17:BG21)</f>
        <v>43073900000</v>
      </c>
      <c r="BH22" s="116" t="s">
        <v>3983</v>
      </c>
      <c r="BI22" s="476">
        <f>IF(BF22=0,0,BG22/BF22)</f>
        <v>0.92939442715907672</v>
      </c>
      <c r="BJ22" s="1"/>
      <c r="BK22" s="131">
        <f>SUM(BK17:BK21)</f>
        <v>53280600000</v>
      </c>
      <c r="BL22" s="116" t="s">
        <v>3983</v>
      </c>
      <c r="BM22" s="3264">
        <f>SUM(BM17:BM21)</f>
        <v>49640500000</v>
      </c>
      <c r="BN22" s="1"/>
      <c r="BO22" s="24"/>
      <c r="BP22" s="24"/>
      <c r="BQ22" s="24"/>
    </row>
    <row r="23" spans="1:71" x14ac:dyDescent="0.35">
      <c r="A23" s="9168"/>
      <c r="B23" s="139" t="s">
        <v>480</v>
      </c>
      <c r="C23" s="49"/>
      <c r="D23" s="184"/>
      <c r="E23" s="141"/>
      <c r="F23" s="142"/>
      <c r="G23" s="143"/>
      <c r="H23" s="144"/>
      <c r="I23" s="145"/>
      <c r="J23" s="486"/>
      <c r="K23" s="141"/>
      <c r="L23" s="147"/>
      <c r="M23" s="148"/>
      <c r="N23" s="141"/>
      <c r="O23" s="144"/>
      <c r="P23" s="145"/>
      <c r="Q23" s="145"/>
      <c r="R23" s="486"/>
      <c r="S23" s="141"/>
      <c r="T23" s="151"/>
      <c r="U23" s="145"/>
      <c r="V23" s="148"/>
      <c r="W23" s="141"/>
      <c r="X23" s="18"/>
      <c r="Z23" s="144"/>
      <c r="AA23" s="145"/>
      <c r="AB23" s="145"/>
      <c r="AC23" s="486"/>
      <c r="AD23" s="141"/>
      <c r="AE23" s="151"/>
      <c r="AF23" s="145"/>
      <c r="AG23" s="148"/>
      <c r="AH23" s="141"/>
      <c r="AI23" s="18"/>
      <c r="AK23" s="144"/>
      <c r="AL23" s="145"/>
      <c r="AM23" s="145"/>
      <c r="AN23" s="486"/>
      <c r="AO23" s="141"/>
      <c r="AP23" s="151"/>
      <c r="AQ23" s="145"/>
      <c r="AR23" s="148"/>
      <c r="AS23" s="141"/>
      <c r="AT23" s="139" t="s">
        <v>480</v>
      </c>
      <c r="AU23" s="49"/>
      <c r="AV23" s="7270"/>
      <c r="AW23" s="3463"/>
      <c r="AX23" s="145"/>
      <c r="AY23" s="486"/>
      <c r="AZ23" s="141"/>
      <c r="BA23" s="151"/>
      <c r="BB23" s="145"/>
      <c r="BC23" s="148"/>
      <c r="BD23" s="141"/>
      <c r="BE23" s="141"/>
      <c r="BF23" s="7270"/>
      <c r="BG23" s="3463"/>
      <c r="BH23" s="145"/>
      <c r="BI23" s="486"/>
      <c r="BJ23" s="141"/>
      <c r="BK23" s="151"/>
      <c r="BL23" s="145"/>
      <c r="BM23" s="148"/>
      <c r="BN23" s="141"/>
      <c r="BO23" s="18"/>
      <c r="BP23" s="18"/>
      <c r="BQ23" s="18"/>
    </row>
    <row r="24" spans="1:71" x14ac:dyDescent="0.35">
      <c r="A24" s="9168"/>
      <c r="B24" s="6082"/>
      <c r="C24" s="110" t="s">
        <v>483</v>
      </c>
      <c r="D24" s="197"/>
      <c r="F24" s="155">
        <v>7699934040.1600685</v>
      </c>
      <c r="H24" s="117">
        <v>9027408058</v>
      </c>
      <c r="I24" s="115">
        <v>9087629582.5500488</v>
      </c>
      <c r="J24" s="476">
        <f>IF(H24=0,0,I24/H24)</f>
        <v>1.0066709651500334</v>
      </c>
      <c r="L24" s="156"/>
      <c r="M24" s="157">
        <f>L24*J24</f>
        <v>0</v>
      </c>
      <c r="O24" s="117">
        <v>10605772352</v>
      </c>
      <c r="P24" s="115">
        <v>10297413315.810093</v>
      </c>
      <c r="Q24" s="127"/>
      <c r="R24" s="476">
        <f>IF(O24=0,0,P24/O24)</f>
        <v>0.97092535781877709</v>
      </c>
      <c r="T24" s="156"/>
      <c r="U24" s="127" t="s">
        <v>3984</v>
      </c>
      <c r="V24" s="157">
        <f>T24*R24</f>
        <v>0</v>
      </c>
      <c r="X24" s="26"/>
      <c r="Z24" s="117"/>
      <c r="AA24" s="115"/>
      <c r="AB24" s="127" t="s">
        <v>3984</v>
      </c>
      <c r="AC24" s="476"/>
      <c r="AE24" s="156"/>
      <c r="AF24" s="127" t="s">
        <v>3984</v>
      </c>
      <c r="AG24" s="157"/>
      <c r="AI24" s="26"/>
      <c r="AK24" s="117"/>
      <c r="AL24" s="115"/>
      <c r="AM24" s="127" t="s">
        <v>3984</v>
      </c>
      <c r="AN24" s="476"/>
      <c r="AO24" s="1"/>
      <c r="AP24" s="156"/>
      <c r="AQ24" s="127" t="s">
        <v>3984</v>
      </c>
      <c r="AR24" s="157"/>
      <c r="AS24" s="1"/>
      <c r="AT24" s="6082"/>
      <c r="AU24" s="110" t="s">
        <v>483</v>
      </c>
      <c r="AV24" s="117">
        <v>6750000000</v>
      </c>
      <c r="AW24" s="115">
        <v>6601700000</v>
      </c>
      <c r="AX24" s="116" t="s">
        <v>3985</v>
      </c>
      <c r="AY24" s="476"/>
      <c r="AZ24" s="1"/>
      <c r="BA24" s="117">
        <v>6782200000</v>
      </c>
      <c r="BB24" s="116" t="s">
        <v>3985</v>
      </c>
      <c r="BC24" s="3265">
        <v>6465200000</v>
      </c>
      <c r="BD24" s="1"/>
      <c r="BE24" s="1"/>
      <c r="BF24" s="117">
        <v>6781400000</v>
      </c>
      <c r="BG24" s="115">
        <v>6465300000</v>
      </c>
      <c r="BH24" s="116" t="s">
        <v>3985</v>
      </c>
      <c r="BI24" s="476"/>
      <c r="BJ24" s="1"/>
      <c r="BK24" s="117">
        <v>7347800000</v>
      </c>
      <c r="BL24" s="116" t="s">
        <v>3986</v>
      </c>
      <c r="BM24" s="3265">
        <v>7040600000</v>
      </c>
      <c r="BN24" s="1"/>
      <c r="BO24" s="26"/>
      <c r="BP24" s="26"/>
      <c r="BQ24" s="26"/>
      <c r="BS24" s="3314"/>
    </row>
    <row r="25" spans="1:71" x14ac:dyDescent="0.35">
      <c r="A25" s="9168"/>
      <c r="B25" s="6082"/>
      <c r="C25" s="110" t="s">
        <v>489</v>
      </c>
      <c r="D25" s="197"/>
      <c r="F25" s="155"/>
      <c r="H25" s="117"/>
      <c r="I25" s="115"/>
      <c r="J25" s="476">
        <f>IF(H25=0,0,I25/H25)</f>
        <v>0</v>
      </c>
      <c r="L25" s="156"/>
      <c r="M25" s="157">
        <f>L25*J25</f>
        <v>0</v>
      </c>
      <c r="O25" s="117">
        <v>8778019731</v>
      </c>
      <c r="P25" s="115">
        <v>8512089544.2400904</v>
      </c>
      <c r="Q25" s="127"/>
      <c r="R25" s="476">
        <f>IF(O25=0,0,P25/O25)</f>
        <v>0.96970499099919261</v>
      </c>
      <c r="T25" s="156"/>
      <c r="U25" s="127"/>
      <c r="V25" s="157">
        <f>T25*R25</f>
        <v>0</v>
      </c>
      <c r="X25" s="26"/>
      <c r="Z25" s="117"/>
      <c r="AA25" s="115"/>
      <c r="AB25" s="127"/>
      <c r="AC25" s="476"/>
      <c r="AE25" s="156"/>
      <c r="AF25" s="127"/>
      <c r="AG25" s="157"/>
      <c r="AI25" s="26"/>
      <c r="AK25" s="117"/>
      <c r="AL25" s="115"/>
      <c r="AM25" s="127"/>
      <c r="AN25" s="476"/>
      <c r="AO25" s="1"/>
      <c r="AP25" s="156"/>
      <c r="AQ25" s="127"/>
      <c r="AR25" s="157"/>
      <c r="AS25" s="1"/>
      <c r="AT25" s="6082"/>
      <c r="AU25" s="110" t="s">
        <v>489</v>
      </c>
      <c r="AV25" s="117"/>
      <c r="AW25" s="115"/>
      <c r="AX25" s="127"/>
      <c r="AY25" s="476"/>
      <c r="AZ25" s="1"/>
      <c r="BA25" s="117"/>
      <c r="BB25" s="127"/>
      <c r="BC25" s="3265"/>
      <c r="BD25" s="1"/>
      <c r="BE25" s="1"/>
      <c r="BF25" s="117"/>
      <c r="BG25" s="115"/>
      <c r="BH25" s="127"/>
      <c r="BI25" s="476"/>
      <c r="BJ25" s="1"/>
      <c r="BK25" s="117"/>
      <c r="BL25" s="127"/>
      <c r="BM25" s="3265"/>
      <c r="BN25" s="1"/>
      <c r="BO25" s="26"/>
      <c r="BP25" s="26"/>
      <c r="BQ25" s="26"/>
    </row>
    <row r="26" spans="1:71" x14ac:dyDescent="0.35">
      <c r="A26" s="9168"/>
      <c r="B26" s="6082"/>
      <c r="C26" s="110" t="s">
        <v>490</v>
      </c>
      <c r="D26" s="197"/>
      <c r="F26" s="155"/>
      <c r="H26" s="117"/>
      <c r="I26" s="115"/>
      <c r="J26" s="476">
        <f>IF(H26=0,0,I26/H26)</f>
        <v>0</v>
      </c>
      <c r="L26" s="156"/>
      <c r="M26" s="157">
        <f>L26*J26</f>
        <v>0</v>
      </c>
      <c r="O26" s="117"/>
      <c r="P26" s="115"/>
      <c r="Q26" s="127"/>
      <c r="R26" s="476">
        <f>IF(O26=0,0,P26/O26)</f>
        <v>0</v>
      </c>
      <c r="T26" s="156"/>
      <c r="U26" s="127"/>
      <c r="V26" s="157">
        <f>T26*R26</f>
        <v>0</v>
      </c>
      <c r="X26" s="26"/>
      <c r="Z26" s="117"/>
      <c r="AA26" s="115"/>
      <c r="AB26" s="127"/>
      <c r="AC26" s="476"/>
      <c r="AE26" s="156"/>
      <c r="AF26" s="127"/>
      <c r="AG26" s="157"/>
      <c r="AI26" s="26"/>
      <c r="AK26" s="117"/>
      <c r="AL26" s="115"/>
      <c r="AM26" s="127"/>
      <c r="AN26" s="476"/>
      <c r="AO26" s="1"/>
      <c r="AP26" s="156"/>
      <c r="AQ26" s="127"/>
      <c r="AR26" s="157"/>
      <c r="AS26" s="1"/>
      <c r="AT26" s="6082"/>
      <c r="AU26" s="110" t="s">
        <v>490</v>
      </c>
      <c r="AV26" s="117"/>
      <c r="AW26" s="115"/>
      <c r="AX26" s="127"/>
      <c r="AY26" s="476"/>
      <c r="AZ26" s="1"/>
      <c r="BA26" s="117"/>
      <c r="BB26" s="127"/>
      <c r="BC26" s="3265"/>
      <c r="BD26" s="1"/>
      <c r="BE26" s="1"/>
      <c r="BF26" s="117"/>
      <c r="BG26" s="115"/>
      <c r="BH26" s="127"/>
      <c r="BI26" s="476"/>
      <c r="BJ26" s="1"/>
      <c r="BK26" s="117"/>
      <c r="BL26" s="127"/>
      <c r="BM26" s="3265"/>
      <c r="BN26" s="1"/>
      <c r="BO26" s="26"/>
      <c r="BP26" s="26"/>
      <c r="BQ26" s="26"/>
    </row>
    <row r="27" spans="1:71" x14ac:dyDescent="0.35">
      <c r="A27" s="9168"/>
      <c r="B27" s="6082"/>
      <c r="C27" s="161" t="s">
        <v>497</v>
      </c>
      <c r="D27" s="610"/>
      <c r="F27" s="163"/>
      <c r="H27" s="164"/>
      <c r="I27" s="165"/>
      <c r="J27" s="476">
        <f>IF(H27=0,0,I27/H27)</f>
        <v>0</v>
      </c>
      <c r="L27" s="166"/>
      <c r="M27" s="157">
        <f>L27*J27</f>
        <v>0</v>
      </c>
      <c r="O27" s="164"/>
      <c r="P27" s="165"/>
      <c r="Q27" s="106"/>
      <c r="R27" s="476">
        <f>IF(O27=0,0,P27/O27)</f>
        <v>0</v>
      </c>
      <c r="T27" s="156"/>
      <c r="U27" s="106"/>
      <c r="V27" s="157">
        <f>T27*R27</f>
        <v>0</v>
      </c>
      <c r="X27" s="26"/>
      <c r="Z27" s="164"/>
      <c r="AA27" s="165"/>
      <c r="AB27" s="106"/>
      <c r="AC27" s="476"/>
      <c r="AE27" s="156"/>
      <c r="AF27" s="106"/>
      <c r="AG27" s="157"/>
      <c r="AI27" s="26"/>
      <c r="AK27" s="164"/>
      <c r="AL27" s="165"/>
      <c r="AM27" s="106"/>
      <c r="AN27" s="476"/>
      <c r="AO27" s="1"/>
      <c r="AP27" s="156"/>
      <c r="AQ27" s="106"/>
      <c r="AR27" s="157"/>
      <c r="AS27" s="1"/>
      <c r="AT27" s="6082"/>
      <c r="AU27" s="161" t="s">
        <v>497</v>
      </c>
      <c r="AV27" s="164"/>
      <c r="AW27" s="165"/>
      <c r="AX27" s="106"/>
      <c r="AY27" s="476"/>
      <c r="AZ27" s="1"/>
      <c r="BA27" s="117"/>
      <c r="BB27" s="106"/>
      <c r="BC27" s="3265"/>
      <c r="BD27" s="1"/>
      <c r="BE27" s="1"/>
      <c r="BF27" s="164"/>
      <c r="BG27" s="165"/>
      <c r="BH27" s="106"/>
      <c r="BI27" s="476"/>
      <c r="BJ27" s="1"/>
      <c r="BK27" s="117"/>
      <c r="BL27" s="106"/>
      <c r="BM27" s="3265"/>
      <c r="BN27" s="1"/>
      <c r="BO27" s="26"/>
      <c r="BP27" s="26"/>
      <c r="BQ27" s="26"/>
    </row>
    <row r="28" spans="1:71" x14ac:dyDescent="0.35">
      <c r="A28" s="9168"/>
      <c r="B28" s="128"/>
      <c r="C28" s="129" t="s">
        <v>499</v>
      </c>
      <c r="D28" s="209"/>
      <c r="F28" s="491">
        <f>IF(F25=0,0,(F26-F27)/F25)</f>
        <v>0</v>
      </c>
      <c r="G28" s="170"/>
      <c r="H28" s="492">
        <f>IF(H25=0,0,(H26-H27)/H25)</f>
        <v>0</v>
      </c>
      <c r="I28" s="493">
        <f>IF(I25=0,0,(I26-I27)/I25)</f>
        <v>0</v>
      </c>
      <c r="J28" s="494"/>
      <c r="K28" s="170"/>
      <c r="L28" s="495">
        <f>IF(L25=0,0,L26/L25)</f>
        <v>0</v>
      </c>
      <c r="M28" s="496">
        <f>IF(M25=0,0,M26/M25)</f>
        <v>0</v>
      </c>
      <c r="N28" s="176"/>
      <c r="O28" s="492">
        <f>IF(O25=0,0,(O26-O27)/O25)</f>
        <v>0</v>
      </c>
      <c r="P28" s="497">
        <f>IF(P25=0,0,(P26-P27)/P25)</f>
        <v>0</v>
      </c>
      <c r="Q28" s="497"/>
      <c r="R28" s="494"/>
      <c r="S28" s="170"/>
      <c r="T28" s="495">
        <f>IF(T25=0,0,T26/T25)</f>
        <v>0</v>
      </c>
      <c r="U28" s="497"/>
      <c r="V28" s="496">
        <f>IF(V25=0,0,V26/V25)</f>
        <v>0</v>
      </c>
      <c r="W28" s="176"/>
      <c r="X28" s="24"/>
      <c r="Z28" s="492">
        <f>IF(Z25=0,0,(Z26-Z27)/Z25)</f>
        <v>0</v>
      </c>
      <c r="AA28" s="497">
        <f>IF(AA25=0,0,(AA26-AA27)/AA25)</f>
        <v>0</v>
      </c>
      <c r="AB28" s="497"/>
      <c r="AC28" s="494"/>
      <c r="AD28" s="170"/>
      <c r="AE28" s="495">
        <f>IF(AE25=0,0,AE26/AE25)</f>
        <v>0</v>
      </c>
      <c r="AF28" s="497"/>
      <c r="AG28" s="496">
        <f>IF(AG25=0,0,AG26/AG25)</f>
        <v>0</v>
      </c>
      <c r="AH28" s="176"/>
      <c r="AI28" s="24"/>
      <c r="AK28" s="492">
        <f>IF(AK25=0,0,(AK26-AK27)/AK25)</f>
        <v>0</v>
      </c>
      <c r="AL28" s="497">
        <f>IF(AL25=0,0,(AL26-AL27)/AL25)</f>
        <v>0</v>
      </c>
      <c r="AM28" s="497"/>
      <c r="AN28" s="494"/>
      <c r="AO28" s="170"/>
      <c r="AP28" s="495">
        <f>IF(AP25=0,0,AP26/AP25)</f>
        <v>0</v>
      </c>
      <c r="AQ28" s="497"/>
      <c r="AR28" s="496">
        <f>IF(AR25=0,0,AR26/AR25)</f>
        <v>0</v>
      </c>
      <c r="AS28" s="176"/>
      <c r="AT28" s="128"/>
      <c r="AU28" s="129" t="s">
        <v>499</v>
      </c>
      <c r="AV28" s="492">
        <f>IF(AV25=0,0,(AV26-AV27)/AV25)</f>
        <v>0</v>
      </c>
      <c r="AW28" s="497">
        <f>IF(AW25=0,0,(AW26-AW27)/AW25)</f>
        <v>0</v>
      </c>
      <c r="AX28" s="497"/>
      <c r="AY28" s="494"/>
      <c r="AZ28" s="170"/>
      <c r="BA28" s="495">
        <f>IF(BA25=0,0,BA26/BA25)</f>
        <v>0</v>
      </c>
      <c r="BB28" s="497"/>
      <c r="BC28" s="496">
        <f>IF(BC25=0,0,BC26/BC25)</f>
        <v>0</v>
      </c>
      <c r="BD28" s="176"/>
      <c r="BE28" s="176"/>
      <c r="BF28" s="492">
        <f>IF(BF25=0,0,(BF26-BF27)/BF25)</f>
        <v>0</v>
      </c>
      <c r="BG28" s="497">
        <f>IF(BG25=0,0,(BG26-BG27)/BG25)</f>
        <v>0</v>
      </c>
      <c r="BH28" s="497"/>
      <c r="BI28" s="494"/>
      <c r="BJ28" s="170"/>
      <c r="BK28" s="495">
        <f>IF(BK25=0,0,BK26/BK25)</f>
        <v>0</v>
      </c>
      <c r="BL28" s="497"/>
      <c r="BM28" s="496">
        <f>IF(BM25=0,0,BM26/BM25)</f>
        <v>0</v>
      </c>
      <c r="BN28" s="176"/>
      <c r="BO28" s="24"/>
      <c r="BP28" s="24"/>
      <c r="BQ28" s="24"/>
    </row>
    <row r="29" spans="1:71" x14ac:dyDescent="0.35">
      <c r="A29" s="9168"/>
      <c r="B29" s="139" t="s">
        <v>552</v>
      </c>
      <c r="C29" s="49"/>
      <c r="D29" s="184"/>
      <c r="F29" s="185"/>
      <c r="H29" s="186"/>
      <c r="I29" s="187"/>
      <c r="J29" s="869"/>
      <c r="L29" s="186"/>
      <c r="M29" s="148">
        <f>L29*J29</f>
        <v>0</v>
      </c>
      <c r="O29" s="838"/>
      <c r="P29" s="839"/>
      <c r="Q29" s="839"/>
      <c r="R29" s="840"/>
      <c r="S29" s="170"/>
      <c r="T29" s="836"/>
      <c r="U29" s="834"/>
      <c r="V29" s="837"/>
      <c r="X29" s="3315"/>
      <c r="Z29" s="838"/>
      <c r="AA29" s="839"/>
      <c r="AB29" s="839"/>
      <c r="AC29" s="840"/>
      <c r="AD29" s="170"/>
      <c r="AE29" s="836"/>
      <c r="AF29" s="834"/>
      <c r="AG29" s="837"/>
      <c r="AI29" s="3315"/>
      <c r="AK29" s="838"/>
      <c r="AL29" s="839"/>
      <c r="AM29" s="839"/>
      <c r="AN29" s="840"/>
      <c r="AO29" s="170"/>
      <c r="AP29" s="836"/>
      <c r="AQ29" s="834"/>
      <c r="AR29" s="837"/>
      <c r="AS29" s="1"/>
      <c r="AT29" s="139" t="s">
        <v>552</v>
      </c>
      <c r="AU29" s="49"/>
      <c r="AV29" s="838"/>
      <c r="AW29" s="839"/>
      <c r="AX29" s="839"/>
      <c r="AY29" s="840"/>
      <c r="AZ29" s="170"/>
      <c r="BA29" s="836"/>
      <c r="BB29" s="834"/>
      <c r="BC29" s="837"/>
      <c r="BD29" s="1"/>
      <c r="BE29" s="1"/>
      <c r="BF29" s="838"/>
      <c r="BG29" s="839"/>
      <c r="BH29" s="839"/>
      <c r="BI29" s="840"/>
      <c r="BJ29" s="170"/>
      <c r="BK29" s="836"/>
      <c r="BL29" s="834"/>
      <c r="BM29" s="837"/>
      <c r="BN29" s="1"/>
      <c r="BO29" s="3315"/>
      <c r="BP29" s="3315"/>
      <c r="BQ29" s="3315"/>
    </row>
    <row r="30" spans="1:71" x14ac:dyDescent="0.35">
      <c r="A30" s="9168"/>
      <c r="B30" s="196"/>
      <c r="C30" s="121" t="s">
        <v>470</v>
      </c>
      <c r="D30" s="197"/>
      <c r="F30" s="122"/>
      <c r="H30" s="198"/>
      <c r="I30" s="199"/>
      <c r="J30" s="476"/>
      <c r="L30" s="198"/>
      <c r="M30" s="157"/>
      <c r="O30" s="200"/>
      <c r="P30" s="201"/>
      <c r="Q30" s="834"/>
      <c r="R30" s="835"/>
      <c r="S30" s="170"/>
      <c r="T30" s="117"/>
      <c r="U30" s="834" t="s">
        <v>3984</v>
      </c>
      <c r="V30" s="837"/>
      <c r="X30" s="1788"/>
      <c r="Z30" s="200"/>
      <c r="AA30" s="201"/>
      <c r="AB30" s="834"/>
      <c r="AC30" s="835"/>
      <c r="AD30" s="170"/>
      <c r="AE30" s="117"/>
      <c r="AF30" s="834" t="s">
        <v>3984</v>
      </c>
      <c r="AG30" s="837"/>
      <c r="AI30" s="1788"/>
      <c r="AK30" s="200"/>
      <c r="AL30" s="201"/>
      <c r="AM30" s="834"/>
      <c r="AN30" s="835"/>
      <c r="AO30" s="170"/>
      <c r="AP30" s="117"/>
      <c r="AQ30" s="834" t="s">
        <v>3984</v>
      </c>
      <c r="AR30" s="837"/>
      <c r="AS30" s="1"/>
      <c r="AT30" s="196"/>
      <c r="AU30" s="121" t="s">
        <v>470</v>
      </c>
      <c r="AV30" s="200"/>
      <c r="AW30" s="201"/>
      <c r="AX30" s="834"/>
      <c r="AY30" s="835"/>
      <c r="AZ30" s="170"/>
      <c r="BA30" s="117"/>
      <c r="BB30" s="834" t="s">
        <v>3984</v>
      </c>
      <c r="BC30" s="837"/>
      <c r="BD30" s="1"/>
      <c r="BE30" s="1"/>
      <c r="BF30" s="200"/>
      <c r="BG30" s="201"/>
      <c r="BH30" s="834"/>
      <c r="BI30" s="835"/>
      <c r="BJ30" s="170"/>
      <c r="BK30" s="117"/>
      <c r="BL30" s="834" t="s">
        <v>3984</v>
      </c>
      <c r="BM30" s="3265"/>
      <c r="BN30" s="1"/>
      <c r="BO30" s="1788"/>
      <c r="BP30" s="1788"/>
      <c r="BQ30" s="1788"/>
    </row>
    <row r="31" spans="1:71" x14ac:dyDescent="0.35">
      <c r="A31" s="9169"/>
      <c r="B31" s="207"/>
      <c r="C31" s="208" t="s">
        <v>1116</v>
      </c>
      <c r="D31" s="209"/>
      <c r="F31" s="210"/>
      <c r="H31" s="211"/>
      <c r="I31" s="212"/>
      <c r="J31" s="484"/>
      <c r="L31" s="211"/>
      <c r="M31" s="213"/>
      <c r="O31" s="214"/>
      <c r="P31" s="215"/>
      <c r="Q31" s="216"/>
      <c r="R31" s="484">
        <f>IF(O31=0,0,P31/O31)</f>
        <v>0</v>
      </c>
      <c r="T31" s="217"/>
      <c r="U31" s="216"/>
      <c r="V31" s="213">
        <f>T31*R31</f>
        <v>0</v>
      </c>
      <c r="X31" s="1789"/>
      <c r="Z31" s="214"/>
      <c r="AA31" s="215"/>
      <c r="AB31" s="216"/>
      <c r="AC31" s="484">
        <f>IF(Z31=0,0,AA31/Z31)</f>
        <v>0</v>
      </c>
      <c r="AE31" s="217"/>
      <c r="AF31" s="216"/>
      <c r="AG31" s="213">
        <f>AE31*AC31</f>
        <v>0</v>
      </c>
      <c r="AI31" s="1789"/>
      <c r="AK31" s="214"/>
      <c r="AL31" s="215"/>
      <c r="AM31" s="216"/>
      <c r="AN31" s="484">
        <f>IF(AK31=0,0,AL31/AK31)</f>
        <v>0</v>
      </c>
      <c r="AO31" s="1"/>
      <c r="AP31" s="217"/>
      <c r="AQ31" s="216"/>
      <c r="AR31" s="213">
        <f>AP31*AN31</f>
        <v>0</v>
      </c>
      <c r="AS31" s="1"/>
      <c r="AT31" s="207"/>
      <c r="AU31" s="208" t="s">
        <v>1116</v>
      </c>
      <c r="AV31" s="214"/>
      <c r="AW31" s="215"/>
      <c r="AX31" s="216"/>
      <c r="AY31" s="484">
        <f>IF(AV31=0,0,AW31/AV31)</f>
        <v>0</v>
      </c>
      <c r="AZ31" s="1"/>
      <c r="BA31" s="217"/>
      <c r="BB31" s="216"/>
      <c r="BC31" s="213">
        <f>BA31*AY31</f>
        <v>0</v>
      </c>
      <c r="BD31" s="1"/>
      <c r="BE31" s="1"/>
      <c r="BF31" s="214"/>
      <c r="BG31" s="215"/>
      <c r="BH31" s="216"/>
      <c r="BI31" s="484">
        <f>IF(BF31=0,0,BG31/BF31)</f>
        <v>0</v>
      </c>
      <c r="BJ31" s="1"/>
      <c r="BK31" s="217"/>
      <c r="BL31" s="216"/>
      <c r="BM31" s="3264">
        <f>BK31*BI31</f>
        <v>0</v>
      </c>
      <c r="BN31" s="1"/>
      <c r="BO31" s="1789"/>
      <c r="BP31" s="1789"/>
      <c r="BQ31" s="1789"/>
    </row>
    <row r="32" spans="1:71" x14ac:dyDescent="0.35">
      <c r="A32" s="220"/>
      <c r="B32" s="220"/>
      <c r="F32" s="106"/>
      <c r="H32" s="106"/>
      <c r="I32" s="106"/>
      <c r="J32" s="221"/>
      <c r="L32" s="106"/>
      <c r="O32" s="106"/>
      <c r="P32" s="106"/>
      <c r="Q32" s="106"/>
      <c r="R32" s="221"/>
      <c r="T32" s="106"/>
      <c r="U32" s="106"/>
      <c r="Z32" s="106"/>
      <c r="AA32" s="106"/>
      <c r="AB32" s="106"/>
      <c r="AC32" s="221"/>
      <c r="AE32" s="106"/>
      <c r="AF32" s="106"/>
      <c r="AK32" s="106"/>
      <c r="AL32" s="106"/>
      <c r="AM32" s="106"/>
      <c r="AN32" s="221"/>
      <c r="AO32" s="1"/>
      <c r="AP32" s="106"/>
      <c r="AQ32" s="106"/>
      <c r="AS32" s="1"/>
      <c r="AT32" s="220"/>
      <c r="AV32" s="106"/>
      <c r="AW32" s="106"/>
      <c r="AX32" s="106"/>
      <c r="AY32" s="221"/>
      <c r="AZ32" s="1"/>
      <c r="BA32" s="106"/>
      <c r="BB32" s="106"/>
      <c r="BD32" s="1"/>
      <c r="BE32" s="1"/>
      <c r="BF32" s="106"/>
      <c r="BG32" s="106"/>
      <c r="BH32" s="106"/>
      <c r="BI32" s="221"/>
      <c r="BJ32" s="1"/>
      <c r="BK32" s="106"/>
      <c r="BL32" s="106"/>
      <c r="BN32" s="1"/>
    </row>
    <row r="33" spans="1:70" ht="39" customHeight="1" x14ac:dyDescent="0.35">
      <c r="A33" s="9167" t="s">
        <v>503</v>
      </c>
      <c r="B33" s="27"/>
      <c r="C33" s="28" t="s">
        <v>427</v>
      </c>
      <c r="D33" s="585" t="s">
        <v>428</v>
      </c>
      <c r="E33" s="30"/>
      <c r="F33" s="222"/>
      <c r="G33" s="223"/>
      <c r="H33" s="9155"/>
      <c r="I33" s="9156"/>
      <c r="J33" s="224"/>
      <c r="K33" s="223"/>
      <c r="L33" s="222"/>
      <c r="M33" s="511"/>
      <c r="N33" s="30"/>
      <c r="O33" s="9155" t="s">
        <v>3987</v>
      </c>
      <c r="P33" s="9156"/>
      <c r="Q33" s="224" t="s">
        <v>3988</v>
      </c>
      <c r="R33" s="224"/>
      <c r="S33" s="223"/>
      <c r="T33" s="36" t="s">
        <v>3914</v>
      </c>
      <c r="U33" s="224"/>
      <c r="V33" s="511"/>
      <c r="W33" s="30"/>
      <c r="X33" s="39"/>
      <c r="Z33" s="9155"/>
      <c r="AA33" s="9156"/>
      <c r="AB33" s="224"/>
      <c r="AC33" s="224"/>
      <c r="AD33" s="223"/>
      <c r="AE33" s="36" t="s">
        <v>3989</v>
      </c>
      <c r="AF33" s="224"/>
      <c r="AG33" s="511"/>
      <c r="AH33" s="30"/>
      <c r="AI33" s="39"/>
      <c r="AK33" s="9155"/>
      <c r="AL33" s="9156"/>
      <c r="AM33" s="224"/>
      <c r="AN33" s="224"/>
      <c r="AO33" s="223"/>
      <c r="AP33" s="582" t="s">
        <v>3990</v>
      </c>
      <c r="AQ33" s="224"/>
      <c r="AR33" s="511"/>
      <c r="AS33" s="30"/>
      <c r="AT33" s="27"/>
      <c r="AU33" s="28" t="s">
        <v>427</v>
      </c>
      <c r="AV33" s="9155" t="s">
        <v>3990</v>
      </c>
      <c r="AW33" s="9156"/>
      <c r="AX33" s="224"/>
      <c r="AY33" s="224"/>
      <c r="AZ33" s="223"/>
      <c r="BA33" s="6937" t="s">
        <v>3991</v>
      </c>
      <c r="BB33" s="224"/>
      <c r="BC33" s="511"/>
      <c r="BD33" s="30"/>
      <c r="BE33" s="30"/>
      <c r="BF33" s="9155" t="s">
        <v>3992</v>
      </c>
      <c r="BG33" s="9156"/>
      <c r="BH33" s="224"/>
      <c r="BI33" s="224"/>
      <c r="BJ33" s="223"/>
      <c r="BK33" s="6937" t="s">
        <v>3993</v>
      </c>
      <c r="BL33" s="224"/>
      <c r="BM33" s="632"/>
      <c r="BN33" s="30"/>
      <c r="BO33" s="39"/>
      <c r="BP33" s="39"/>
      <c r="BQ33" s="39"/>
    </row>
    <row r="34" spans="1:70" x14ac:dyDescent="0.35">
      <c r="A34" s="9168"/>
      <c r="B34" s="141" t="s">
        <v>514</v>
      </c>
      <c r="C34"/>
      <c r="D34" s="184"/>
      <c r="E34" s="143"/>
      <c r="F34" s="227"/>
      <c r="G34" s="143"/>
      <c r="H34" s="102"/>
      <c r="I34" s="103"/>
      <c r="J34" s="228"/>
      <c r="K34" s="143"/>
      <c r="L34" s="102"/>
      <c r="M34" s="229"/>
      <c r="N34" s="143"/>
      <c r="O34" s="102" t="s">
        <v>3994</v>
      </c>
      <c r="P34" s="103" t="s">
        <v>3995</v>
      </c>
      <c r="Q34" s="106"/>
      <c r="R34" s="228"/>
      <c r="S34" s="143"/>
      <c r="T34" s="102"/>
      <c r="U34" s="106"/>
      <c r="V34" s="229"/>
      <c r="W34" s="143"/>
      <c r="X34" s="18"/>
      <c r="Z34" s="102" t="s">
        <v>3994</v>
      </c>
      <c r="AA34" s="103" t="s">
        <v>3995</v>
      </c>
      <c r="AB34" s="106"/>
      <c r="AC34" s="228"/>
      <c r="AD34" s="143"/>
      <c r="AE34" s="102"/>
      <c r="AF34" s="106"/>
      <c r="AG34" s="229"/>
      <c r="AH34" s="143"/>
      <c r="AI34" s="18"/>
      <c r="AK34" s="102" t="s">
        <v>3994</v>
      </c>
      <c r="AL34" s="103" t="s">
        <v>3995</v>
      </c>
      <c r="AM34" s="106"/>
      <c r="AN34" s="228"/>
      <c r="AO34" s="143"/>
      <c r="AP34" s="102"/>
      <c r="AQ34" s="106"/>
      <c r="AR34" s="229"/>
      <c r="AS34" s="143"/>
      <c r="AT34" s="141" t="s">
        <v>514</v>
      </c>
      <c r="AU34"/>
      <c r="AV34" s="102" t="s">
        <v>3996</v>
      </c>
      <c r="AW34" s="231" t="s">
        <v>3997</v>
      </c>
      <c r="AX34" s="106"/>
      <c r="AY34" s="228"/>
      <c r="AZ34" s="143"/>
      <c r="BA34" s="102" t="s">
        <v>3996</v>
      </c>
      <c r="BB34" s="106"/>
      <c r="BC34" s="229" t="s">
        <v>3997</v>
      </c>
      <c r="BD34" s="143"/>
      <c r="BE34" s="143"/>
      <c r="BF34" s="102"/>
      <c r="BG34" s="231"/>
      <c r="BH34" s="106"/>
      <c r="BI34" s="228"/>
      <c r="BJ34" s="143"/>
      <c r="BK34" s="517" t="s">
        <v>3998</v>
      </c>
      <c r="BL34" s="103"/>
      <c r="BM34" s="49"/>
      <c r="BN34" s="143"/>
      <c r="BO34" s="18"/>
      <c r="BP34" s="18"/>
      <c r="BQ34" s="18"/>
    </row>
    <row r="35" spans="1:70" x14ac:dyDescent="0.35">
      <c r="A35" s="9168"/>
      <c r="B35" s="240"/>
      <c r="C35" s="240" t="s">
        <v>551</v>
      </c>
      <c r="D35" s="197"/>
      <c r="F35" s="111">
        <v>1497259952.8200042</v>
      </c>
      <c r="H35" s="112">
        <v>1474483600</v>
      </c>
      <c r="I35" s="113">
        <v>1329698333.6100006</v>
      </c>
      <c r="J35" s="476">
        <f>IF(H35=0,0,I35/H35)</f>
        <v>0.90180611951872547</v>
      </c>
      <c r="L35" s="117">
        <v>1484212300</v>
      </c>
      <c r="M35" s="157">
        <f>L35*J35</f>
        <v>1338471734.8049624</v>
      </c>
      <c r="O35" s="112"/>
      <c r="P35" s="115"/>
      <c r="Q35" s="106"/>
      <c r="R35" s="476">
        <f>IF(O35=0,0,P35/O35)</f>
        <v>0</v>
      </c>
      <c r="T35" s="112"/>
      <c r="U35" s="106"/>
      <c r="V35" s="157">
        <f>T35*R35</f>
        <v>0</v>
      </c>
      <c r="X35" s="26"/>
      <c r="Z35" s="112"/>
      <c r="AA35" s="115"/>
      <c r="AB35" s="106"/>
      <c r="AC35" s="476">
        <f>IF(Z35=0,0,AA35/Z35)</f>
        <v>0</v>
      </c>
      <c r="AE35" s="112"/>
      <c r="AF35" s="106"/>
      <c r="AG35" s="157">
        <f>AE35*AC35</f>
        <v>0</v>
      </c>
      <c r="AI35" s="26"/>
      <c r="AK35" s="112"/>
      <c r="AL35" s="115"/>
      <c r="AM35" s="106"/>
      <c r="AN35" s="476">
        <f>IF(AK35=0,0,AL35/AK35)</f>
        <v>0</v>
      </c>
      <c r="AO35" s="1"/>
      <c r="AP35" s="3316"/>
      <c r="AQ35" s="106"/>
      <c r="AR35" s="157">
        <f>AP35*AN35</f>
        <v>0</v>
      </c>
      <c r="AS35" s="1"/>
      <c r="AT35" s="240"/>
      <c r="AU35" s="240" t="s">
        <v>551</v>
      </c>
      <c r="AV35" s="112"/>
      <c r="AW35" s="3085"/>
      <c r="AX35" s="106"/>
      <c r="AY35" s="476">
        <f>IF(AV35=0,0,AW35/AV35)</f>
        <v>0</v>
      </c>
      <c r="AZ35" s="1"/>
      <c r="BA35" s="7271"/>
      <c r="BB35" s="106"/>
      <c r="BC35" s="3356"/>
      <c r="BD35" s="1"/>
      <c r="BE35" s="1"/>
      <c r="BF35" s="112"/>
      <c r="BG35" s="201"/>
      <c r="BH35" s="106"/>
      <c r="BI35" s="476">
        <f>IF(BF35=0,0,BG35/BF35)</f>
        <v>0</v>
      </c>
      <c r="BJ35" s="1"/>
      <c r="BK35" s="7271"/>
      <c r="BL35" s="106"/>
      <c r="BM35" s="3265"/>
      <c r="BN35" s="1"/>
      <c r="BO35" s="26"/>
      <c r="BP35" s="26"/>
      <c r="BQ35" s="26" t="s">
        <v>3999</v>
      </c>
    </row>
    <row r="36" spans="1:70" x14ac:dyDescent="0.35">
      <c r="A36" s="9168"/>
      <c r="B36" s="240"/>
      <c r="C36" s="1908" t="s">
        <v>4000</v>
      </c>
      <c r="D36" s="197"/>
      <c r="F36" s="155"/>
      <c r="H36" s="117"/>
      <c r="I36" s="115"/>
      <c r="J36" s="476">
        <f>IF(H36=0,0,I36/H36)</f>
        <v>0</v>
      </c>
      <c r="L36" s="117"/>
      <c r="M36" s="157">
        <f>L36*J36</f>
        <v>0</v>
      </c>
      <c r="O36" s="112">
        <v>1427338300</v>
      </c>
      <c r="P36" s="115">
        <v>1293925449.1300001</v>
      </c>
      <c r="Q36" s="106"/>
      <c r="R36" s="476">
        <f>IF(O36=0,0,P36/O36)</f>
        <v>0.90653032229990615</v>
      </c>
      <c r="T36" s="112">
        <v>1588922700</v>
      </c>
      <c r="U36" s="106"/>
      <c r="V36" s="157">
        <f>T36*R36</f>
        <v>1440406607.3406372</v>
      </c>
      <c r="X36" s="26"/>
      <c r="Z36" s="112">
        <f>1588922.7*1000</f>
        <v>1588922700</v>
      </c>
      <c r="AA36" s="115">
        <f>(8116.1-6268.9)*1000000</f>
        <v>1847200000.0000007</v>
      </c>
      <c r="AB36" s="106" t="s">
        <v>4001</v>
      </c>
      <c r="AC36" s="476">
        <f>IF(Z36=0,0,AA36/Z36)</f>
        <v>1.1625486878625377</v>
      </c>
      <c r="AE36" s="3317">
        <v>9074000000</v>
      </c>
      <c r="AF36" s="106" t="s">
        <v>4002</v>
      </c>
      <c r="AG36" s="157">
        <v>9002300000</v>
      </c>
      <c r="AI36" s="26"/>
      <c r="AK36" s="112">
        <f>1588922.7*1000</f>
        <v>1588922700</v>
      </c>
      <c r="AL36" s="115">
        <f>(8116.1-6268.9)*1000000</f>
        <v>1847200000.0000007</v>
      </c>
      <c r="AM36" s="106"/>
      <c r="AN36" s="476">
        <f>IF(AK36=0,0,AL36/AK36)</f>
        <v>1.1625486878625377</v>
      </c>
      <c r="AO36" s="1"/>
      <c r="AP36" s="3318">
        <f>1918717.2*1000</f>
        <v>1918717200</v>
      </c>
      <c r="AQ36" s="3319" t="s">
        <v>4003</v>
      </c>
      <c r="AR36" s="157">
        <f>AP36*AN36</f>
        <v>2230602163.2392826</v>
      </c>
      <c r="AS36" s="1"/>
      <c r="AT36" s="240"/>
      <c r="AU36" s="1908" t="s">
        <v>4000</v>
      </c>
      <c r="AV36" s="112">
        <v>2459021200</v>
      </c>
      <c r="AW36" s="127">
        <f>AW37+AW38</f>
        <v>2248414282.912673</v>
      </c>
      <c r="AX36" t="s">
        <v>4004</v>
      </c>
      <c r="AY36" s="476">
        <f>IF(AV36=0,0,AW36/AV36)</f>
        <v>0.91435335446179689</v>
      </c>
      <c r="AZ36" s="1"/>
      <c r="BA36" s="7271">
        <f>2807404300-BA39</f>
        <v>2674991600</v>
      </c>
      <c r="BB36" s="57"/>
      <c r="BC36" s="3356">
        <f>BC37+BC38</f>
        <v>2449039410.7252378</v>
      </c>
      <c r="BD36" s="1"/>
      <c r="BE36" s="1"/>
      <c r="BF36" s="112">
        <v>1851107133.0999999</v>
      </c>
      <c r="BG36" s="201">
        <v>1769877261.9900002</v>
      </c>
      <c r="BH36" t="s">
        <v>4004</v>
      </c>
      <c r="BI36" s="476">
        <f>IF(BF36=0,0,BG36/BF36)</f>
        <v>0.95611822262606372</v>
      </c>
      <c r="BJ36" s="1"/>
      <c r="BK36" s="7271">
        <v>12362187200</v>
      </c>
      <c r="BL36" s="57" t="s">
        <v>4005</v>
      </c>
      <c r="BM36" s="3265">
        <f>BM37+BM38</f>
        <v>0</v>
      </c>
      <c r="BN36" s="1"/>
      <c r="BO36" s="26"/>
      <c r="BP36" s="26"/>
      <c r="BQ36" s="26"/>
    </row>
    <row r="37" spans="1:70" x14ac:dyDescent="0.35">
      <c r="A37" s="9168"/>
      <c r="B37" s="241"/>
      <c r="C37" s="249" t="s">
        <v>1116</v>
      </c>
      <c r="D37" s="197"/>
      <c r="F37" s="163"/>
      <c r="H37" s="242"/>
      <c r="I37" s="243"/>
      <c r="J37" s="476">
        <f>IF(H37=0,0,I37/H37)</f>
        <v>0</v>
      </c>
      <c r="L37" s="242"/>
      <c r="M37" s="157">
        <f>L37*J37</f>
        <v>0</v>
      </c>
      <c r="O37" s="117">
        <v>56874000</v>
      </c>
      <c r="P37" s="115">
        <v>42430611.390000001</v>
      </c>
      <c r="Q37" s="106"/>
      <c r="R37" s="476">
        <f>IF(O37=0,0,P37/O37)</f>
        <v>0.74604584502584659</v>
      </c>
      <c r="T37" s="117">
        <v>95437000</v>
      </c>
      <c r="U37" s="106"/>
      <c r="V37" s="157">
        <f>T37*R37</f>
        <v>71200377.311731726</v>
      </c>
      <c r="X37" s="26"/>
      <c r="Z37" s="117">
        <f>95437*1000</f>
        <v>95437000</v>
      </c>
      <c r="AA37" s="115">
        <f>153*1000000</f>
        <v>153000000</v>
      </c>
      <c r="AB37" s="106" t="s">
        <v>4006</v>
      </c>
      <c r="AC37" s="476">
        <f>IF(Z37=0,0,AA37/Z37)</f>
        <v>1.6031518174292989</v>
      </c>
      <c r="AE37" s="117"/>
      <c r="AF37" s="106"/>
      <c r="AG37" s="157">
        <f>AE37*AC37</f>
        <v>0</v>
      </c>
      <c r="AI37" s="26"/>
      <c r="AK37" s="117">
        <f>95437*1000</f>
        <v>95437000</v>
      </c>
      <c r="AL37" s="115">
        <f>153*1000000</f>
        <v>153000000</v>
      </c>
      <c r="AM37" s="106"/>
      <c r="AN37" s="476">
        <f>IF(AK37=0,0,AL37/AK37)</f>
        <v>1.6031518174292989</v>
      </c>
      <c r="AO37" s="1"/>
      <c r="AP37" s="3320">
        <f>156294*1000</f>
        <v>156294000</v>
      </c>
      <c r="AQ37" s="106"/>
      <c r="AR37" s="157">
        <f>AP37*AN37</f>
        <v>250563010.15329483</v>
      </c>
      <c r="AS37" s="1"/>
      <c r="AT37" s="241"/>
      <c r="AU37" s="7280"/>
      <c r="AV37" s="7272">
        <v>1871642000</v>
      </c>
      <c r="AW37" s="7273">
        <f>AV37*AW$43/AV$43</f>
        <v>1711342141.0515864</v>
      </c>
      <c r="AX37" s="6913" t="s">
        <v>4007</v>
      </c>
      <c r="AY37" s="476">
        <f t="shared" ref="AY37:AY39" si="3">IF(AV37=0,0,AW37/AV37)</f>
        <v>0.91435335446179689</v>
      </c>
      <c r="AZ37" s="1"/>
      <c r="BA37" s="7274">
        <v>2011066200</v>
      </c>
      <c r="BB37" s="57"/>
      <c r="BC37" s="7275">
        <f>BA37*BC$43/BA$43</f>
        <v>1841194709.3132715</v>
      </c>
      <c r="BD37" s="1"/>
      <c r="BE37" s="1"/>
      <c r="BF37" s="7272">
        <v>1851107133.0999999</v>
      </c>
      <c r="BG37" s="8920">
        <v>1769877261.9900002</v>
      </c>
      <c r="BH37" s="6913" t="s">
        <v>4007</v>
      </c>
      <c r="BI37" s="476">
        <f t="shared" ref="BI37:BI39" si="4">IF(BF37=0,0,BG37/BF37)</f>
        <v>0.95611822262606372</v>
      </c>
      <c r="BJ37" s="1"/>
      <c r="BK37" s="7274"/>
      <c r="BL37" s="57"/>
      <c r="BM37" s="3265">
        <f>BK37*BM$43/BK$43</f>
        <v>0</v>
      </c>
      <c r="BN37" s="1"/>
      <c r="BO37" s="26"/>
      <c r="BP37" s="26"/>
      <c r="BQ37" s="26"/>
    </row>
    <row r="38" spans="1:70" x14ac:dyDescent="0.35">
      <c r="A38" s="9168"/>
      <c r="B38" s="241"/>
      <c r="C38" s="241" t="s">
        <v>536</v>
      </c>
      <c r="D38" s="197"/>
      <c r="F38" s="163"/>
      <c r="H38" s="242"/>
      <c r="I38" s="243"/>
      <c r="J38" s="476">
        <f>IF(H38=0,0,I38/H38)</f>
        <v>0</v>
      </c>
      <c r="L38" s="242"/>
      <c r="M38" s="157">
        <f>L38*J38</f>
        <v>0</v>
      </c>
      <c r="O38" s="242"/>
      <c r="P38" s="115"/>
      <c r="Q38" s="106"/>
      <c r="R38" s="476">
        <f>IF(O38=0,0,P38/O38)</f>
        <v>0</v>
      </c>
      <c r="T38" s="242"/>
      <c r="U38" s="106"/>
      <c r="V38" s="157">
        <f>T38*R38</f>
        <v>0</v>
      </c>
      <c r="X38" s="26"/>
      <c r="Z38" s="242"/>
      <c r="AA38" s="115"/>
      <c r="AB38" s="106"/>
      <c r="AC38" s="476">
        <f>IF(Z38=0,0,AA38/Z38)</f>
        <v>0</v>
      </c>
      <c r="AE38" s="242"/>
      <c r="AF38" s="106"/>
      <c r="AG38" s="157">
        <f>AE38*AC38</f>
        <v>0</v>
      </c>
      <c r="AI38" s="26"/>
      <c r="AK38" s="242"/>
      <c r="AL38" s="115"/>
      <c r="AM38" s="106"/>
      <c r="AN38" s="476">
        <f>IF(AK38=0,0,AL38/AK38)</f>
        <v>0</v>
      </c>
      <c r="AO38" s="1"/>
      <c r="AP38" s="3321"/>
      <c r="AQ38" s="106"/>
      <c r="AR38" s="157">
        <f>AP38*AN38</f>
        <v>0</v>
      </c>
      <c r="AS38" s="1"/>
      <c r="AT38" s="241"/>
      <c r="AU38" s="7280"/>
      <c r="AV38" s="7276">
        <f>AV36-AV37</f>
        <v>587379200</v>
      </c>
      <c r="AW38" s="7273">
        <f>AV38*AW$43/AV$43</f>
        <v>537072141.86108673</v>
      </c>
      <c r="AX38" s="6913" t="s">
        <v>4008</v>
      </c>
      <c r="AY38" s="476">
        <f t="shared" si="3"/>
        <v>0.914353354461797</v>
      </c>
      <c r="AZ38" s="1"/>
      <c r="BA38" s="7274">
        <f>BA36-BA37</f>
        <v>663925400</v>
      </c>
      <c r="BB38" s="57"/>
      <c r="BC38" s="7275">
        <f t="shared" ref="BC38:BC39" si="5">BA38*BC$43/BA$43</f>
        <v>607844701.41196609</v>
      </c>
      <c r="BD38" s="1"/>
      <c r="BE38" s="1"/>
      <c r="BF38" s="7276"/>
      <c r="BG38" s="201"/>
      <c r="BH38" s="6913"/>
      <c r="BI38" s="476">
        <f t="shared" si="4"/>
        <v>0</v>
      </c>
      <c r="BJ38" s="1"/>
      <c r="BK38" s="7274"/>
      <c r="BL38" s="57"/>
      <c r="BM38" s="3265">
        <f t="shared" ref="BM38:BM39" si="6">BK38*BM$43/BK$43</f>
        <v>0</v>
      </c>
      <c r="BN38" s="1"/>
      <c r="BO38" s="26"/>
      <c r="BP38" s="26"/>
      <c r="BQ38" s="26"/>
    </row>
    <row r="39" spans="1:70" x14ac:dyDescent="0.35">
      <c r="A39" s="9168"/>
      <c r="B39" s="141" t="s">
        <v>531</v>
      </c>
      <c r="C39"/>
      <c r="D39" s="197"/>
      <c r="E39" s="143"/>
      <c r="F39" s="168"/>
      <c r="G39" s="143"/>
      <c r="H39" s="245"/>
      <c r="I39" s="106"/>
      <c r="J39" s="246"/>
      <c r="K39" s="143"/>
      <c r="L39" s="245"/>
      <c r="M39" s="247"/>
      <c r="N39" s="143"/>
      <c r="O39" s="245"/>
      <c r="P39" s="106"/>
      <c r="Q39" s="106"/>
      <c r="R39" s="246"/>
      <c r="S39" s="143"/>
      <c r="T39" s="245"/>
      <c r="U39" s="106"/>
      <c r="V39" s="247"/>
      <c r="W39" s="143"/>
      <c r="X39" s="18"/>
      <c r="Z39" s="245"/>
      <c r="AA39" s="106"/>
      <c r="AB39" s="106"/>
      <c r="AC39" s="246"/>
      <c r="AD39" s="143"/>
      <c r="AE39" s="245"/>
      <c r="AF39" s="106"/>
      <c r="AG39" s="247"/>
      <c r="AH39" s="143"/>
      <c r="AI39" s="18"/>
      <c r="AK39" s="245"/>
      <c r="AL39" s="106"/>
      <c r="AM39" s="106"/>
      <c r="AN39" s="246"/>
      <c r="AO39" s="143"/>
      <c r="AP39" s="245"/>
      <c r="AQ39" s="106"/>
      <c r="AR39" s="247"/>
      <c r="AS39" s="143"/>
      <c r="AT39" s="241"/>
      <c r="AU39" s="249" t="s">
        <v>1116</v>
      </c>
      <c r="AV39" s="117">
        <v>145414600</v>
      </c>
      <c r="AW39" s="127">
        <f>AV39*AW$43/AV$43</f>
        <v>132960327.29772042</v>
      </c>
      <c r="AX39" s="106" t="s">
        <v>1116</v>
      </c>
      <c r="AY39" s="476">
        <f t="shared" si="3"/>
        <v>0.91435335446179689</v>
      </c>
      <c r="AZ39" s="1"/>
      <c r="BA39" s="7277">
        <v>132412700</v>
      </c>
      <c r="BB39" s="57" t="s">
        <v>3865</v>
      </c>
      <c r="BC39" s="3356">
        <f t="shared" si="5"/>
        <v>121228014.61527494</v>
      </c>
      <c r="BD39" s="1"/>
      <c r="BE39" s="1"/>
      <c r="BF39" s="117">
        <v>163585370</v>
      </c>
      <c r="BG39" s="201">
        <v>111106074.65000001</v>
      </c>
      <c r="BH39" s="106" t="s">
        <v>1116</v>
      </c>
      <c r="BI39" s="476">
        <f t="shared" si="4"/>
        <v>0.67919322278025229</v>
      </c>
      <c r="BJ39" s="1"/>
      <c r="BK39" s="7277"/>
      <c r="BL39" s="57"/>
      <c r="BM39" s="3265">
        <f t="shared" si="6"/>
        <v>0</v>
      </c>
      <c r="BN39" s="1"/>
      <c r="BO39" s="26"/>
      <c r="BP39" s="26"/>
      <c r="BQ39" s="18"/>
    </row>
    <row r="40" spans="1:70" x14ac:dyDescent="0.35">
      <c r="A40" s="9168"/>
      <c r="B40" s="240"/>
      <c r="C40" s="240" t="s">
        <v>532</v>
      </c>
      <c r="D40" s="197"/>
      <c r="F40" s="111"/>
      <c r="H40" s="112"/>
      <c r="I40" s="113"/>
      <c r="J40" s="476">
        <f>IF(H40=0,0,I40/H40)</f>
        <v>0</v>
      </c>
      <c r="L40" s="112"/>
      <c r="M40" s="157">
        <f>L40*J40</f>
        <v>0</v>
      </c>
      <c r="O40" s="248"/>
      <c r="P40" s="233"/>
      <c r="Q40" s="106"/>
      <c r="R40" s="476">
        <f>R35</f>
        <v>0</v>
      </c>
      <c r="T40" s="112"/>
      <c r="U40" s="106"/>
      <c r="V40" s="157">
        <f>T40*R40</f>
        <v>0</v>
      </c>
      <c r="X40" s="26"/>
      <c r="Z40" s="248"/>
      <c r="AA40" s="233"/>
      <c r="AB40" s="106"/>
      <c r="AC40" s="476">
        <f>AC35</f>
        <v>0</v>
      </c>
      <c r="AE40" s="112"/>
      <c r="AF40" s="106"/>
      <c r="AG40" s="157">
        <f>AE40*AC40</f>
        <v>0</v>
      </c>
      <c r="AI40" s="26"/>
      <c r="AK40" s="248"/>
      <c r="AL40" s="233"/>
      <c r="AM40" s="106"/>
      <c r="AN40" s="476">
        <f>AN35</f>
        <v>0</v>
      </c>
      <c r="AO40" s="1"/>
      <c r="AP40" s="112"/>
      <c r="AQ40" s="106"/>
      <c r="AR40" s="157">
        <f>AP40*AN40</f>
        <v>0</v>
      </c>
      <c r="AS40" s="1"/>
      <c r="AT40" s="241"/>
      <c r="AU40" s="241" t="s">
        <v>536</v>
      </c>
      <c r="AV40" s="242"/>
      <c r="AW40" s="127"/>
      <c r="AX40" s="106"/>
      <c r="AY40" s="476">
        <f>IF(AV40=0,0,AW40/AV40)</f>
        <v>0</v>
      </c>
      <c r="AZ40" s="1"/>
      <c r="BA40" s="7278"/>
      <c r="BB40" s="106"/>
      <c r="BC40" s="3356">
        <f>BA40*AY40</f>
        <v>0</v>
      </c>
      <c r="BD40" s="1"/>
      <c r="BE40" s="1"/>
      <c r="BF40" s="242"/>
      <c r="BG40" s="201"/>
      <c r="BH40" s="106"/>
      <c r="BI40" s="476">
        <f>IF(BF40=0,0,BG40/BF40)</f>
        <v>0</v>
      </c>
      <c r="BJ40" s="1"/>
      <c r="BK40" s="7278"/>
      <c r="BL40" s="106"/>
      <c r="BM40" s="3265">
        <f>BK40*BI40</f>
        <v>0</v>
      </c>
      <c r="BN40" s="1"/>
      <c r="BO40" s="26"/>
      <c r="BP40" s="26"/>
      <c r="BQ40" s="26"/>
    </row>
    <row r="41" spans="1:70" x14ac:dyDescent="0.35">
      <c r="A41" s="9168"/>
      <c r="B41" s="240"/>
      <c r="C41" s="240" t="s">
        <v>533</v>
      </c>
      <c r="D41" s="197"/>
      <c r="F41" s="155"/>
      <c r="H41" s="117"/>
      <c r="I41" s="115"/>
      <c r="J41" s="476">
        <f>IF(H41=0,0,I41/H41)</f>
        <v>0</v>
      </c>
      <c r="L41" s="117"/>
      <c r="M41" s="157">
        <f>L41*J41</f>
        <v>0</v>
      </c>
      <c r="O41" s="200"/>
      <c r="P41" s="201"/>
      <c r="Q41" s="106"/>
      <c r="R41" s="476">
        <f>IF(O41=0,0,P41/O41)</f>
        <v>0</v>
      </c>
      <c r="T41" s="117"/>
      <c r="U41" s="106"/>
      <c r="V41" s="157">
        <f>T41*R41</f>
        <v>0</v>
      </c>
      <c r="X41" s="26"/>
      <c r="Z41" s="200"/>
      <c r="AA41" s="201"/>
      <c r="AB41" s="106"/>
      <c r="AC41" s="476">
        <f>IF(Z41=0,0,AA41/Z41)</f>
        <v>0</v>
      </c>
      <c r="AE41" s="117"/>
      <c r="AF41" s="106"/>
      <c r="AG41" s="157">
        <f>AE41*AC41</f>
        <v>0</v>
      </c>
      <c r="AI41" s="26"/>
      <c r="AK41" s="200"/>
      <c r="AL41" s="201"/>
      <c r="AM41" s="106"/>
      <c r="AN41" s="476">
        <f>IF(AK41=0,0,AL41/AK41)</f>
        <v>0</v>
      </c>
      <c r="AO41" s="1"/>
      <c r="AP41" s="117"/>
      <c r="AQ41" s="106"/>
      <c r="AR41" s="157">
        <f>AP41*AN41</f>
        <v>0</v>
      </c>
      <c r="AS41" s="1"/>
      <c r="AT41" s="1654"/>
      <c r="AU41" s="1654"/>
      <c r="AV41" s="242"/>
      <c r="AW41" s="106"/>
      <c r="AX41" s="57"/>
      <c r="AY41" s="476"/>
      <c r="AZ41" s="1"/>
      <c r="BA41" s="7279"/>
      <c r="BB41" s="106"/>
      <c r="BC41" s="66"/>
      <c r="BD41" s="1"/>
      <c r="BE41" s="1"/>
      <c r="BF41" s="242"/>
      <c r="BG41" s="201"/>
      <c r="BH41" s="57"/>
      <c r="BI41" s="476"/>
      <c r="BJ41" s="1"/>
      <c r="BK41" s="7279"/>
      <c r="BL41" s="106"/>
      <c r="BM41" s="3265"/>
      <c r="BN41" s="1"/>
      <c r="BO41" s="26"/>
      <c r="BP41" s="26"/>
      <c r="BQ41" s="26"/>
    </row>
    <row r="42" spans="1:70" x14ac:dyDescent="0.35">
      <c r="A42" s="9168"/>
      <c r="B42" s="250"/>
      <c r="C42" s="250" t="s">
        <v>534</v>
      </c>
      <c r="D42" s="209"/>
      <c r="F42" s="130"/>
      <c r="H42" s="242"/>
      <c r="I42" s="243"/>
      <c r="J42" s="476">
        <f>IF(H42=0,0,I42/H42)</f>
        <v>0</v>
      </c>
      <c r="L42" s="131"/>
      <c r="M42" s="213">
        <f>L42*J42</f>
        <v>0</v>
      </c>
      <c r="O42" s="164"/>
      <c r="P42" s="215"/>
      <c r="Q42" s="216"/>
      <c r="R42" s="476">
        <f>IF(O42=0,0,P42/O42)</f>
        <v>0</v>
      </c>
      <c r="T42" s="131"/>
      <c r="U42" s="216"/>
      <c r="V42" s="213">
        <f>T42*R42</f>
        <v>0</v>
      </c>
      <c r="X42" s="24"/>
      <c r="Z42" s="164"/>
      <c r="AA42" s="215"/>
      <c r="AB42" s="216"/>
      <c r="AC42" s="476">
        <f>IF(Z42=0,0,AA42/Z42)</f>
        <v>0</v>
      </c>
      <c r="AE42" s="131"/>
      <c r="AF42" s="216"/>
      <c r="AG42" s="213">
        <f>AE42*AC42</f>
        <v>0</v>
      </c>
      <c r="AI42" s="24"/>
      <c r="AK42" s="164"/>
      <c r="AL42" s="215"/>
      <c r="AM42" s="216"/>
      <c r="AN42" s="476">
        <f>IF(AK42=0,0,AL42/AK42)</f>
        <v>0</v>
      </c>
      <c r="AO42" s="1"/>
      <c r="AP42" s="131"/>
      <c r="AQ42" s="216"/>
      <c r="AR42" s="213">
        <f>AP42*AN42</f>
        <v>0</v>
      </c>
      <c r="AS42" s="1"/>
      <c r="AT42" s="1654"/>
      <c r="AU42" s="1654"/>
      <c r="AV42" s="245" t="s">
        <v>4009</v>
      </c>
      <c r="AW42" t="s">
        <v>4010</v>
      </c>
      <c r="AX42" s="57" t="s">
        <v>4011</v>
      </c>
      <c r="AY42" s="246"/>
      <c r="AZ42" s="1"/>
      <c r="BA42" s="245" t="s">
        <v>4012</v>
      </c>
      <c r="BB42" s="106"/>
      <c r="BC42" s="247" t="s">
        <v>4013</v>
      </c>
      <c r="BD42" s="1"/>
      <c r="BE42" s="1"/>
      <c r="BF42" s="245"/>
      <c r="BH42" s="57"/>
      <c r="BI42" s="246"/>
      <c r="BJ42" s="1"/>
      <c r="BK42" s="245"/>
      <c r="BL42" s="253" t="s">
        <v>3926</v>
      </c>
      <c r="BM42" s="247"/>
      <c r="BN42" s="1"/>
      <c r="BO42" s="26"/>
      <c r="BP42" s="26"/>
      <c r="BQ42" s="24"/>
    </row>
    <row r="43" spans="1:70" x14ac:dyDescent="0.35">
      <c r="A43" s="9168"/>
      <c r="B43" s="141" t="s">
        <v>535</v>
      </c>
      <c r="C43" s="141"/>
      <c r="D43" s="197"/>
      <c r="E43" s="143"/>
      <c r="F43" s="227"/>
      <c r="G43" s="143"/>
      <c r="H43" s="102"/>
      <c r="I43" s="103"/>
      <c r="J43" s="516"/>
      <c r="K43" s="143"/>
      <c r="L43" s="245"/>
      <c r="M43" s="247"/>
      <c r="N43" s="143"/>
      <c r="O43" s="102"/>
      <c r="P43" s="103"/>
      <c r="Q43" s="106"/>
      <c r="R43" s="516"/>
      <c r="S43" s="143"/>
      <c r="T43" s="245" t="s">
        <v>4014</v>
      </c>
      <c r="U43" s="106"/>
      <c r="V43" s="247"/>
      <c r="W43" s="143"/>
      <c r="X43" s="26"/>
      <c r="Z43" s="102"/>
      <c r="AA43" s="103"/>
      <c r="AB43" s="106"/>
      <c r="AC43" s="516"/>
      <c r="AD43" s="143"/>
      <c r="AE43" s="245"/>
      <c r="AF43" s="106"/>
      <c r="AG43" s="247"/>
      <c r="AH43" s="143"/>
      <c r="AI43" s="26"/>
      <c r="AK43" s="102"/>
      <c r="AL43" s="103"/>
      <c r="AM43" s="106"/>
      <c r="AN43" s="516"/>
      <c r="AO43" s="143"/>
      <c r="AP43" s="245"/>
      <c r="AQ43" s="106"/>
      <c r="AR43" s="247"/>
      <c r="AS43" s="143"/>
      <c r="AT43" s="1654"/>
      <c r="AU43" s="1654"/>
      <c r="AV43" s="248">
        <f>(9964.3-7345.4)*1000000</f>
        <v>2618899999.9999995</v>
      </c>
      <c r="AW43" s="115">
        <f>(9730.8-7336.2)*1000000</f>
        <v>2394599999.9999995</v>
      </c>
      <c r="AX43" s="57" t="s">
        <v>4015</v>
      </c>
      <c r="AY43" s="476">
        <f>AW43/AV43</f>
        <v>0.91435335446179689</v>
      </c>
      <c r="AZ43" s="1"/>
      <c r="BA43" s="7271">
        <f>(11572.1-8767.5)*1000000</f>
        <v>2804600000.0000005</v>
      </c>
      <c r="BB43" s="57" t="s">
        <v>4015</v>
      </c>
      <c r="BC43" s="3265">
        <f>(11045.6-8477.9)*1000000</f>
        <v>2567700000.000001</v>
      </c>
      <c r="BD43" s="1"/>
      <c r="BE43" s="1"/>
      <c r="BF43" s="248">
        <v>11555027521.1</v>
      </c>
      <c r="BG43" s="115">
        <v>11033745980.07</v>
      </c>
      <c r="BH43" s="57"/>
      <c r="BI43" s="476">
        <f>BG43/BF43</f>
        <v>0.95488703596091684</v>
      </c>
      <c r="BJ43" s="1"/>
      <c r="BK43" s="7271">
        <v>12365300000</v>
      </c>
      <c r="BL43" s="57" t="s">
        <v>4015</v>
      </c>
      <c r="BM43" s="3265">
        <v>11887000000</v>
      </c>
      <c r="BN43" s="1"/>
      <c r="BO43" s="26"/>
      <c r="BP43" s="26"/>
      <c r="BQ43" s="26"/>
    </row>
    <row r="44" spans="1:70" ht="24.75" customHeight="1" x14ac:dyDescent="0.35">
      <c r="A44" s="9168"/>
      <c r="B44" s="3322" t="s">
        <v>11</v>
      </c>
      <c r="C44" s="240" t="s">
        <v>4016</v>
      </c>
      <c r="D44" s="197"/>
      <c r="F44" s="111"/>
      <c r="H44" s="112">
        <v>11312000</v>
      </c>
      <c r="I44" s="113">
        <v>11412100</v>
      </c>
      <c r="J44" s="476">
        <f t="shared" ref="J44:J50" si="7">IF(H44=0,0,I44/H44)</f>
        <v>1.0088490099009901</v>
      </c>
      <c r="L44" s="117">
        <v>12084400</v>
      </c>
      <c r="M44" s="157">
        <f t="shared" ref="M44:M50" si="8">L44*J44</f>
        <v>12191334.975247525</v>
      </c>
      <c r="O44" s="117">
        <v>12084400</v>
      </c>
      <c r="P44" s="233">
        <v>9513010</v>
      </c>
      <c r="Q44" s="106"/>
      <c r="R44" s="476">
        <f t="shared" ref="R44:R63" si="9">IF(O44=0,0,P44/O44)</f>
        <v>0.78721409420409783</v>
      </c>
      <c r="T44" s="262">
        <f t="shared" ref="T44:T62" si="10">O44</f>
        <v>12084400</v>
      </c>
      <c r="U44" s="106"/>
      <c r="V44" s="157">
        <f t="shared" ref="V44:V63" si="11">T44*R44</f>
        <v>9513010</v>
      </c>
      <c r="X44" s="257"/>
      <c r="Z44" s="117">
        <f>10533.7*1000</f>
        <v>10533700</v>
      </c>
      <c r="AA44" s="233">
        <v>9945800</v>
      </c>
      <c r="AB44" s="106"/>
      <c r="AC44" s="476">
        <f t="shared" ref="AC44:AC63" si="12">IF(Z44=0,0,AA44/Z44)</f>
        <v>0.94418865166085986</v>
      </c>
      <c r="AE44" s="262">
        <f>10798.2*1000</f>
        <v>10798200</v>
      </c>
      <c r="AF44" s="106" t="s">
        <v>4016</v>
      </c>
      <c r="AG44" s="157">
        <f t="shared" ref="AG44:AG63" si="13">AE44*AC44</f>
        <v>10195537.898364296</v>
      </c>
      <c r="AI44" s="257"/>
      <c r="AK44" s="117">
        <f>10533.7*1000</f>
        <v>10533700</v>
      </c>
      <c r="AL44" s="233">
        <v>9945800</v>
      </c>
      <c r="AM44" s="106"/>
      <c r="AN44" s="476">
        <f t="shared" ref="AN44:AN63" si="14">IF(AK44=0,0,AL44/AK44)</f>
        <v>0.94418865166085986</v>
      </c>
      <c r="AO44" s="1"/>
      <c r="AP44" s="3323">
        <f>11597.2*1000</f>
        <v>11597200</v>
      </c>
      <c r="AQ44" s="313" t="s">
        <v>4017</v>
      </c>
      <c r="AR44" s="157">
        <f t="shared" ref="AR44:AR63" si="15">AP44*AN44</f>
        <v>10949944.631041324</v>
      </c>
      <c r="AS44" s="1"/>
      <c r="AT44" s="141" t="s">
        <v>531</v>
      </c>
      <c r="AU44"/>
      <c r="AV44" s="3512"/>
      <c r="AW44" s="1128"/>
      <c r="AZ44" s="143"/>
      <c r="BD44" s="143"/>
      <c r="BE44" s="143"/>
      <c r="BF44" s="3512"/>
      <c r="BG44" s="1128"/>
      <c r="BJ44" s="143"/>
      <c r="BK44" s="943"/>
      <c r="BM44" s="229"/>
      <c r="BN44" s="143"/>
      <c r="BO44" s="18"/>
      <c r="BP44" s="18"/>
      <c r="BQ44" s="2849" t="s">
        <v>4018</v>
      </c>
    </row>
    <row r="45" spans="1:70" x14ac:dyDescent="0.35">
      <c r="A45" s="9168"/>
      <c r="B45" s="240"/>
      <c r="C45" s="240" t="s">
        <v>4019</v>
      </c>
      <c r="D45" s="197"/>
      <c r="F45" s="155">
        <v>127208952.51999998</v>
      </c>
      <c r="H45" s="117">
        <v>160667700</v>
      </c>
      <c r="I45" s="115">
        <v>146139574.80999997</v>
      </c>
      <c r="J45" s="476">
        <f t="shared" si="7"/>
        <v>0.90957656585611157</v>
      </c>
      <c r="L45" s="117">
        <v>157570800</v>
      </c>
      <c r="M45" s="157">
        <f t="shared" si="8"/>
        <v>143322707.14320019</v>
      </c>
      <c r="O45" s="117">
        <v>151746400</v>
      </c>
      <c r="P45" s="201">
        <v>143174694.17999995</v>
      </c>
      <c r="Q45" s="106"/>
      <c r="R45" s="476">
        <f t="shared" si="9"/>
        <v>0.94351295437651206</v>
      </c>
      <c r="T45" s="262">
        <f t="shared" si="10"/>
        <v>151746400</v>
      </c>
      <c r="U45" s="106"/>
      <c r="V45" s="157">
        <f t="shared" si="11"/>
        <v>143174694.17999995</v>
      </c>
      <c r="X45" s="26"/>
      <c r="Z45" s="117">
        <f>165747.8*1000</f>
        <v>165747800</v>
      </c>
      <c r="AA45" s="201">
        <v>150324400</v>
      </c>
      <c r="AB45" s="106"/>
      <c r="AC45" s="476">
        <f t="shared" si="12"/>
        <v>0.90694657787313016</v>
      </c>
      <c r="AE45" s="262">
        <f>96257.7*1000</f>
        <v>96257700</v>
      </c>
      <c r="AF45" s="106"/>
      <c r="AG45" s="157">
        <f t="shared" si="13"/>
        <v>87300591.608938396</v>
      </c>
      <c r="AI45" s="26"/>
      <c r="AK45" s="117">
        <f>165747.8*1000</f>
        <v>165747800</v>
      </c>
      <c r="AL45" s="201">
        <v>150324400</v>
      </c>
      <c r="AM45" s="106"/>
      <c r="AN45" s="476">
        <f t="shared" si="14"/>
        <v>0.90694657787313016</v>
      </c>
      <c r="AO45" s="1"/>
      <c r="AP45" s="3323">
        <f>170848.2*1000</f>
        <v>170848200</v>
      </c>
      <c r="AQ45" s="3319" t="s">
        <v>4020</v>
      </c>
      <c r="AR45" s="157">
        <f t="shared" si="15"/>
        <v>154950190.32578412</v>
      </c>
      <c r="AS45" s="1"/>
      <c r="AT45" s="240"/>
      <c r="AU45" s="240" t="s">
        <v>532</v>
      </c>
      <c r="AV45" s="200"/>
      <c r="AW45" s="201"/>
      <c r="AZ45" s="1"/>
      <c r="BD45" s="1"/>
      <c r="BE45" s="1"/>
      <c r="BF45" s="200"/>
      <c r="BG45" s="201"/>
      <c r="BJ45" s="1"/>
      <c r="BK45" s="943"/>
      <c r="BM45" s="229"/>
      <c r="BN45" s="1"/>
      <c r="BO45" s="26"/>
      <c r="BP45" s="26"/>
      <c r="BQ45" s="26"/>
      <c r="BR45" s="70"/>
    </row>
    <row r="46" spans="1:70" x14ac:dyDescent="0.35">
      <c r="A46" s="9168"/>
      <c r="B46" s="240"/>
      <c r="C46" s="240" t="s">
        <v>4021</v>
      </c>
      <c r="D46" s="197"/>
      <c r="F46" s="155">
        <v>321722888.12</v>
      </c>
      <c r="H46" s="117">
        <v>235521900</v>
      </c>
      <c r="I46" s="115">
        <v>239501143.77000004</v>
      </c>
      <c r="J46" s="476">
        <f t="shared" si="7"/>
        <v>1.0168954299791231</v>
      </c>
      <c r="L46" s="117">
        <v>253478400</v>
      </c>
      <c r="M46" s="157">
        <f t="shared" si="8"/>
        <v>257761026.55842015</v>
      </c>
      <c r="O46" s="117">
        <v>251477800</v>
      </c>
      <c r="P46" s="233">
        <v>247250595.98000002</v>
      </c>
      <c r="Q46" s="106"/>
      <c r="R46" s="476">
        <f t="shared" si="9"/>
        <v>0.9831905479529407</v>
      </c>
      <c r="T46" s="262">
        <f t="shared" si="10"/>
        <v>251477800</v>
      </c>
      <c r="U46" s="106"/>
      <c r="V46" s="157">
        <f t="shared" si="11"/>
        <v>247250595.98000002</v>
      </c>
      <c r="X46" s="26"/>
      <c r="Z46" s="117">
        <f>261247*1000</f>
        <v>261247000</v>
      </c>
      <c r="AA46" s="233">
        <v>248404400</v>
      </c>
      <c r="AB46" s="106"/>
      <c r="AC46" s="476">
        <f t="shared" si="12"/>
        <v>0.95084115798458935</v>
      </c>
      <c r="AE46" s="262">
        <f>191444.2*1000</f>
        <v>191444200</v>
      </c>
      <c r="AF46" s="106"/>
      <c r="AG46" s="157">
        <f t="shared" si="13"/>
        <v>182033024.81743333</v>
      </c>
      <c r="AI46" s="26"/>
      <c r="AK46" s="117">
        <f>261247*1000</f>
        <v>261247000</v>
      </c>
      <c r="AL46" s="233">
        <v>248404400</v>
      </c>
      <c r="AM46" s="106"/>
      <c r="AN46" s="476">
        <f t="shared" si="14"/>
        <v>0.95084115798458935</v>
      </c>
      <c r="AO46" s="1"/>
      <c r="AP46" s="3323">
        <f>306876*1000</f>
        <v>306876000</v>
      </c>
      <c r="AQ46" s="313" t="s">
        <v>4022</v>
      </c>
      <c r="AR46" s="157">
        <f t="shared" si="15"/>
        <v>291790331.19767886</v>
      </c>
      <c r="AS46" s="1"/>
      <c r="AT46" s="240"/>
      <c r="AU46" s="240" t="s">
        <v>533</v>
      </c>
      <c r="AV46" s="200"/>
      <c r="AW46" s="201"/>
      <c r="AX46" s="106"/>
      <c r="AY46" s="476">
        <f>IF(AV46=0,0,AW46/AV46)</f>
        <v>0</v>
      </c>
      <c r="AZ46" s="1"/>
      <c r="BA46" s="117"/>
      <c r="BB46" s="106"/>
      <c r="BC46" s="3265"/>
      <c r="BD46" s="1"/>
      <c r="BE46" s="1"/>
      <c r="BF46" s="200"/>
      <c r="BG46" s="201"/>
      <c r="BH46" s="106"/>
      <c r="BI46" s="476">
        <f>IF(BF46=0,0,BG46/BF46)</f>
        <v>0</v>
      </c>
      <c r="BJ46" s="1"/>
      <c r="BK46" s="117"/>
      <c r="BL46" s="106"/>
      <c r="BM46" s="3265"/>
      <c r="BN46" s="1"/>
      <c r="BO46" s="26"/>
      <c r="BP46" s="26"/>
      <c r="BQ46" s="26"/>
    </row>
    <row r="47" spans="1:70" x14ac:dyDescent="0.35">
      <c r="A47" s="9168"/>
      <c r="B47" s="240"/>
      <c r="C47" s="240" t="s">
        <v>4023</v>
      </c>
      <c r="D47" s="197"/>
      <c r="F47" s="155">
        <v>92947644.159999996</v>
      </c>
      <c r="H47" s="117">
        <v>102918100</v>
      </c>
      <c r="I47" s="115">
        <v>107038523.64000002</v>
      </c>
      <c r="J47" s="476">
        <f t="shared" si="7"/>
        <v>1.0400359474183842</v>
      </c>
      <c r="L47" s="117">
        <v>116997900</v>
      </c>
      <c r="M47" s="157">
        <f t="shared" si="8"/>
        <v>121682021.77246137</v>
      </c>
      <c r="O47" s="117">
        <v>116250900</v>
      </c>
      <c r="P47" s="201">
        <v>113247077.08</v>
      </c>
      <c r="Q47" s="106"/>
      <c r="R47" s="476">
        <f t="shared" si="9"/>
        <v>0.97416086309869432</v>
      </c>
      <c r="T47" s="262">
        <f t="shared" si="10"/>
        <v>116250900</v>
      </c>
      <c r="U47" s="106"/>
      <c r="V47" s="157">
        <f t="shared" si="11"/>
        <v>113247077.08</v>
      </c>
      <c r="X47" s="26"/>
      <c r="Z47" s="117">
        <f>125024.9*1000</f>
        <v>125024900</v>
      </c>
      <c r="AA47" s="201">
        <v>121446500</v>
      </c>
      <c r="AB47" s="106"/>
      <c r="AC47" s="476">
        <f t="shared" si="12"/>
        <v>0.97137850140252058</v>
      </c>
      <c r="AE47" s="262">
        <f>86564.3*1000</f>
        <v>86564300</v>
      </c>
      <c r="AF47" s="106"/>
      <c r="AG47" s="157">
        <f t="shared" si="13"/>
        <v>84086700.008958206</v>
      </c>
      <c r="AI47" s="26"/>
      <c r="AK47" s="117">
        <f>125024.9*1000</f>
        <v>125024900</v>
      </c>
      <c r="AL47" s="201">
        <v>121446500</v>
      </c>
      <c r="AM47" s="106"/>
      <c r="AN47" s="476">
        <f t="shared" si="14"/>
        <v>0.97137850140252058</v>
      </c>
      <c r="AO47" s="1"/>
      <c r="AP47" s="262">
        <v>0</v>
      </c>
      <c r="AQ47" s="106"/>
      <c r="AR47" s="157">
        <f t="shared" si="15"/>
        <v>0</v>
      </c>
      <c r="AS47" s="1"/>
      <c r="AT47" s="250"/>
      <c r="AU47" s="250" t="s">
        <v>534</v>
      </c>
      <c r="AV47" s="164"/>
      <c r="AW47" s="215"/>
      <c r="AX47" s="216"/>
      <c r="AY47" s="476">
        <f>IF(AV47=0,0,AW47/AV47)</f>
        <v>0</v>
      </c>
      <c r="AZ47" s="1"/>
      <c r="BA47" s="131"/>
      <c r="BB47" s="216"/>
      <c r="BC47" s="3264"/>
      <c r="BD47" s="1"/>
      <c r="BE47" s="1"/>
      <c r="BF47" s="164"/>
      <c r="BG47" s="215"/>
      <c r="BH47" s="216"/>
      <c r="BI47" s="476">
        <f>IF(BF47=0,0,BG47/BF47)</f>
        <v>0</v>
      </c>
      <c r="BJ47" s="1"/>
      <c r="BK47" s="131"/>
      <c r="BL47" s="216"/>
      <c r="BM47" s="3264"/>
      <c r="BN47" s="1"/>
      <c r="BO47" s="24"/>
      <c r="BP47" s="24"/>
      <c r="BQ47" s="26" t="s">
        <v>4024</v>
      </c>
      <c r="BR47" t="s">
        <v>4025</v>
      </c>
    </row>
    <row r="48" spans="1:70" x14ac:dyDescent="0.35">
      <c r="A48" s="9168"/>
      <c r="B48" s="240"/>
      <c r="C48" s="240" t="s">
        <v>4026</v>
      </c>
      <c r="D48" s="197"/>
      <c r="F48" s="155">
        <v>906395</v>
      </c>
      <c r="H48" s="117">
        <v>10000000</v>
      </c>
      <c r="I48" s="115">
        <v>9964723.6500000004</v>
      </c>
      <c r="J48" s="476">
        <f t="shared" si="7"/>
        <v>0.99647236500000003</v>
      </c>
      <c r="L48" s="117"/>
      <c r="M48" s="157">
        <f t="shared" si="8"/>
        <v>0</v>
      </c>
      <c r="O48" s="117"/>
      <c r="P48" s="233"/>
      <c r="Q48" s="106"/>
      <c r="R48" s="476">
        <f t="shared" si="9"/>
        <v>0</v>
      </c>
      <c r="T48" s="262">
        <f t="shared" si="10"/>
        <v>0</v>
      </c>
      <c r="U48" s="106"/>
      <c r="V48" s="157">
        <f t="shared" si="11"/>
        <v>0</v>
      </c>
      <c r="X48" s="26"/>
      <c r="Z48" s="117">
        <v>0</v>
      </c>
      <c r="AA48" s="233"/>
      <c r="AB48" s="106"/>
      <c r="AC48" s="476">
        <f t="shared" si="12"/>
        <v>0</v>
      </c>
      <c r="AE48" s="262">
        <v>0</v>
      </c>
      <c r="AF48" s="106"/>
      <c r="AG48" s="157">
        <f t="shared" si="13"/>
        <v>0</v>
      </c>
      <c r="AI48" s="26"/>
      <c r="AK48" s="117">
        <v>0</v>
      </c>
      <c r="AL48" s="233"/>
      <c r="AM48" s="106"/>
      <c r="AN48" s="476">
        <f t="shared" si="14"/>
        <v>0</v>
      </c>
      <c r="AO48" s="1"/>
      <c r="AP48" s="262">
        <v>0</v>
      </c>
      <c r="AQ48" s="106"/>
      <c r="AR48" s="157">
        <f t="shared" si="15"/>
        <v>0</v>
      </c>
      <c r="AS48" s="1"/>
      <c r="AT48" s="141" t="s">
        <v>535</v>
      </c>
      <c r="AU48" s="141"/>
      <c r="AV48" s="520" t="s">
        <v>4027</v>
      </c>
      <c r="AW48" s="231" t="s">
        <v>3997</v>
      </c>
      <c r="AX48" s="313" t="s">
        <v>4028</v>
      </c>
      <c r="AY48" s="516"/>
      <c r="AZ48" s="143"/>
      <c r="BA48" s="520" t="s">
        <v>4027</v>
      </c>
      <c r="BB48" s="106"/>
      <c r="BC48" s="247" t="s">
        <v>3997</v>
      </c>
      <c r="BD48" s="143"/>
      <c r="BE48" s="143"/>
      <c r="BF48" s="520" t="s">
        <v>1126</v>
      </c>
      <c r="BG48" s="231" t="s">
        <v>1126</v>
      </c>
      <c r="BH48" s="313" t="s">
        <v>4028</v>
      </c>
      <c r="BI48" s="516"/>
      <c r="BJ48" s="143"/>
      <c r="BK48" s="1388" t="s">
        <v>4027</v>
      </c>
      <c r="BL48" s="103"/>
      <c r="BM48" s="1659" t="s">
        <v>3997</v>
      </c>
      <c r="BN48" s="143"/>
      <c r="BO48" s="26"/>
      <c r="BP48" s="26"/>
      <c r="BQ48" s="26"/>
    </row>
    <row r="49" spans="1:69" x14ac:dyDescent="0.35">
      <c r="A49" s="9168"/>
      <c r="B49" s="240"/>
      <c r="C49" s="240" t="s">
        <v>4029</v>
      </c>
      <c r="D49" s="197"/>
      <c r="F49" s="155">
        <v>13039626.229999997</v>
      </c>
      <c r="H49" s="117">
        <v>18094100</v>
      </c>
      <c r="I49" s="115">
        <v>17712607.170000002</v>
      </c>
      <c r="J49" s="476">
        <f t="shared" si="7"/>
        <v>0.9789161754384027</v>
      </c>
      <c r="L49" s="117">
        <v>21345300</v>
      </c>
      <c r="M49" s="157">
        <f t="shared" si="8"/>
        <v>20895259.439585336</v>
      </c>
      <c r="O49" s="117">
        <v>21345300</v>
      </c>
      <c r="P49" s="233">
        <v>18825682.470000003</v>
      </c>
      <c r="Q49" s="106"/>
      <c r="R49" s="476">
        <f t="shared" si="9"/>
        <v>0.88195914182513258</v>
      </c>
      <c r="T49" s="262">
        <f t="shared" si="10"/>
        <v>21345300</v>
      </c>
      <c r="U49" s="106"/>
      <c r="V49" s="157">
        <f t="shared" si="11"/>
        <v>18825682.470000003</v>
      </c>
      <c r="X49" s="26"/>
      <c r="Z49" s="117">
        <f>20893.1*1000</f>
        <v>20893100</v>
      </c>
      <c r="AA49" s="233">
        <v>20001800</v>
      </c>
      <c r="AB49" s="106"/>
      <c r="AC49" s="476">
        <f t="shared" si="12"/>
        <v>0.95733998305660717</v>
      </c>
      <c r="AE49" s="262">
        <f>22869.7*1000</f>
        <v>22869700</v>
      </c>
      <c r="AF49" s="106"/>
      <c r="AG49" s="157">
        <f t="shared" si="13"/>
        <v>21894078.210509688</v>
      </c>
      <c r="AI49" s="26"/>
      <c r="AK49" s="117">
        <f>20893.1*1000</f>
        <v>20893100</v>
      </c>
      <c r="AL49" s="233">
        <v>20001800</v>
      </c>
      <c r="AM49" s="106"/>
      <c r="AN49" s="476">
        <f t="shared" si="14"/>
        <v>0.95733998305660717</v>
      </c>
      <c r="AO49" s="1"/>
      <c r="AP49" s="3323">
        <f>4713.1*1000</f>
        <v>4713100</v>
      </c>
      <c r="AQ49" s="3319" t="s">
        <v>4030</v>
      </c>
      <c r="AR49" s="157">
        <f t="shared" si="15"/>
        <v>4512039.0741440952</v>
      </c>
      <c r="AS49" s="1"/>
      <c r="AT49" s="3322" t="s">
        <v>11</v>
      </c>
      <c r="AU49" s="240" t="s">
        <v>4016</v>
      </c>
      <c r="AV49" s="117">
        <v>11597200</v>
      </c>
      <c r="AW49" s="127">
        <f>AV49*AW$43/AV$43</f>
        <v>10603938.722364351</v>
      </c>
      <c r="AX49" s="57" t="s">
        <v>4031</v>
      </c>
      <c r="AY49" s="476">
        <f t="shared" ref="AY49:AY68" si="16">IF(AV49=0,0,AW49/AV49)</f>
        <v>0.91435335446179689</v>
      </c>
      <c r="AZ49" s="1"/>
      <c r="BA49" s="112">
        <v>11268000</v>
      </c>
      <c r="BB49" s="57" t="s">
        <v>4031</v>
      </c>
      <c r="BC49" s="157">
        <f>BA49*BC$43/BA$43</f>
        <v>10316210.368680028</v>
      </c>
      <c r="BD49" s="1"/>
      <c r="BE49" s="1"/>
      <c r="BF49" s="117">
        <v>11004500</v>
      </c>
      <c r="BG49" s="201">
        <v>10741275</v>
      </c>
      <c r="BH49" s="57" t="s">
        <v>4032</v>
      </c>
      <c r="BI49" s="476">
        <f t="shared" ref="BI49:BI68" si="17">IF(BF49=0,0,BG49/BF49)</f>
        <v>0.97608023990185833</v>
      </c>
      <c r="BJ49" s="1"/>
      <c r="BK49" s="112"/>
      <c r="BL49" s="57"/>
      <c r="BM49" s="3265"/>
      <c r="BN49" s="1"/>
      <c r="BO49" s="2849"/>
      <c r="BP49" s="2849"/>
      <c r="BQ49" s="26"/>
    </row>
    <row r="50" spans="1:69" x14ac:dyDescent="0.35">
      <c r="A50" s="9168"/>
      <c r="B50" s="240"/>
      <c r="C50" s="240" t="s">
        <v>4033</v>
      </c>
      <c r="D50" s="197"/>
      <c r="F50" s="155">
        <v>18753768.920000002</v>
      </c>
      <c r="H50" s="117"/>
      <c r="I50" s="115"/>
      <c r="J50" s="476">
        <f t="shared" si="7"/>
        <v>0</v>
      </c>
      <c r="L50" s="117">
        <v>110126000</v>
      </c>
      <c r="M50" s="157">
        <f t="shared" si="8"/>
        <v>0</v>
      </c>
      <c r="O50" s="117"/>
      <c r="P50" s="201"/>
      <c r="Q50" s="106"/>
      <c r="R50" s="476">
        <f t="shared" si="9"/>
        <v>0</v>
      </c>
      <c r="T50" s="262">
        <f t="shared" si="10"/>
        <v>0</v>
      </c>
      <c r="U50" s="106"/>
      <c r="V50" s="157">
        <f t="shared" si="11"/>
        <v>0</v>
      </c>
      <c r="X50" s="26"/>
      <c r="Z50" s="117">
        <v>0</v>
      </c>
      <c r="AA50" s="201"/>
      <c r="AB50" s="106"/>
      <c r="AC50" s="476">
        <f t="shared" si="12"/>
        <v>0</v>
      </c>
      <c r="AE50" s="262">
        <f t="shared" ref="AE50:AE62" si="18">Z50</f>
        <v>0</v>
      </c>
      <c r="AF50" s="106"/>
      <c r="AG50" s="157">
        <f t="shared" si="13"/>
        <v>0</v>
      </c>
      <c r="AI50" s="26"/>
      <c r="AK50" s="117">
        <v>0</v>
      </c>
      <c r="AL50" s="201"/>
      <c r="AM50" s="106"/>
      <c r="AN50" s="476">
        <f t="shared" si="14"/>
        <v>0</v>
      </c>
      <c r="AO50" s="1"/>
      <c r="AP50" s="262">
        <f>AK50</f>
        <v>0</v>
      </c>
      <c r="AQ50" s="106"/>
      <c r="AR50" s="157">
        <f t="shared" si="15"/>
        <v>0</v>
      </c>
      <c r="AS50" s="1"/>
      <c r="AT50" s="240"/>
      <c r="AU50" s="240" t="s">
        <v>4019</v>
      </c>
      <c r="AV50" s="117">
        <v>168319200</v>
      </c>
      <c r="AW50" s="127">
        <f>AV50*AW$43/AV$43</f>
        <v>153903225.14032608</v>
      </c>
      <c r="AX50" s="57" t="s">
        <v>4034</v>
      </c>
      <c r="AY50" s="476">
        <f t="shared" si="16"/>
        <v>0.91435335446179689</v>
      </c>
      <c r="AZ50" s="1"/>
      <c r="BA50" s="112">
        <v>173700400</v>
      </c>
      <c r="BB50" s="57" t="s">
        <v>4035</v>
      </c>
      <c r="BC50" s="157">
        <f t="shared" ref="BC50:BC62" si="19">BA50*BC$43/BA$43</f>
        <v>159028209.75540188</v>
      </c>
      <c r="BD50" s="1"/>
      <c r="BE50" s="1"/>
      <c r="BF50" s="117">
        <v>163779490</v>
      </c>
      <c r="BG50" s="201">
        <v>152262263.91999999</v>
      </c>
      <c r="BH50" s="57" t="s">
        <v>4036</v>
      </c>
      <c r="BI50" s="476">
        <f t="shared" si="17"/>
        <v>0.92967845925030046</v>
      </c>
      <c r="BJ50" s="1"/>
      <c r="BK50" s="112"/>
      <c r="BL50" s="57"/>
      <c r="BM50" s="3265"/>
      <c r="BN50" s="1"/>
      <c r="BO50" s="26"/>
      <c r="BP50" s="26"/>
      <c r="BQ50" s="26"/>
    </row>
    <row r="51" spans="1:69" x14ac:dyDescent="0.35">
      <c r="A51" s="9168"/>
      <c r="B51" s="241"/>
      <c r="C51" s="241" t="s">
        <v>4037</v>
      </c>
      <c r="D51" s="197"/>
      <c r="F51" s="163"/>
      <c r="H51" s="242"/>
      <c r="I51" s="243"/>
      <c r="J51" s="476"/>
      <c r="L51" s="242"/>
      <c r="M51" s="157"/>
      <c r="O51" s="242">
        <v>33037800</v>
      </c>
      <c r="P51" s="244">
        <v>0</v>
      </c>
      <c r="Q51" s="106"/>
      <c r="R51" s="476">
        <f t="shared" si="9"/>
        <v>0</v>
      </c>
      <c r="T51" s="262">
        <f t="shared" si="10"/>
        <v>33037800</v>
      </c>
      <c r="U51" s="106"/>
      <c r="V51" s="157">
        <f t="shared" si="11"/>
        <v>0</v>
      </c>
      <c r="X51" s="26"/>
      <c r="Z51" s="242"/>
      <c r="AA51" s="244"/>
      <c r="AB51" s="106"/>
      <c r="AC51" s="476">
        <f t="shared" si="12"/>
        <v>0</v>
      </c>
      <c r="AE51" s="262">
        <f t="shared" si="18"/>
        <v>0</v>
      </c>
      <c r="AF51" s="106"/>
      <c r="AG51" s="157">
        <f t="shared" si="13"/>
        <v>0</v>
      </c>
      <c r="AI51" s="26"/>
      <c r="AK51" s="242"/>
      <c r="AL51" s="244"/>
      <c r="AM51" s="106"/>
      <c r="AN51" s="476">
        <f t="shared" si="14"/>
        <v>0</v>
      </c>
      <c r="AO51" s="1"/>
      <c r="AP51" s="3324"/>
      <c r="AQ51" s="313" t="s">
        <v>4038</v>
      </c>
      <c r="AR51" s="157">
        <f t="shared" si="15"/>
        <v>0</v>
      </c>
      <c r="AS51" s="1"/>
      <c r="AT51" s="240"/>
      <c r="AU51" s="240" t="s">
        <v>4021</v>
      </c>
      <c r="AV51" s="117">
        <v>306713900</v>
      </c>
      <c r="AW51" s="127">
        <f>AV51*AW$43/AV$43</f>
        <v>280444883.32506013</v>
      </c>
      <c r="AX51" s="57" t="s">
        <v>4039</v>
      </c>
      <c r="AY51" s="476">
        <f t="shared" si="16"/>
        <v>0.91435335446179689</v>
      </c>
      <c r="AZ51" s="1"/>
      <c r="BA51" s="112">
        <v>272481200</v>
      </c>
      <c r="BB51" s="57" t="s">
        <v>4039</v>
      </c>
      <c r="BC51" s="157">
        <f t="shared" si="19"/>
        <v>249465156.25757688</v>
      </c>
      <c r="BD51" s="1"/>
      <c r="BE51" s="1"/>
      <c r="BF51" s="117">
        <v>295454600</v>
      </c>
      <c r="BG51" s="201">
        <v>293087384.24000001</v>
      </c>
      <c r="BH51" s="57" t="s">
        <v>4040</v>
      </c>
      <c r="BI51" s="476">
        <f t="shared" si="17"/>
        <v>0.99198788659915937</v>
      </c>
      <c r="BJ51" s="1"/>
      <c r="BK51" s="112"/>
      <c r="BL51" s="57"/>
      <c r="BM51" s="3265"/>
      <c r="BN51" s="1"/>
      <c r="BO51" s="26"/>
      <c r="BP51" s="26"/>
      <c r="BQ51" s="26"/>
    </row>
    <row r="52" spans="1:69" x14ac:dyDescent="0.35">
      <c r="A52" s="9168"/>
      <c r="B52" s="241"/>
      <c r="C52" s="241" t="s">
        <v>4041</v>
      </c>
      <c r="D52" s="197"/>
      <c r="F52" s="163">
        <v>600</v>
      </c>
      <c r="H52" s="242">
        <v>6285000</v>
      </c>
      <c r="I52" s="243">
        <v>63109815.840000004</v>
      </c>
      <c r="J52" s="476"/>
      <c r="L52" s="242">
        <v>2600000</v>
      </c>
      <c r="M52" s="157">
        <v>0</v>
      </c>
      <c r="O52" s="242">
        <v>2600000</v>
      </c>
      <c r="P52" s="244">
        <v>286323.87</v>
      </c>
      <c r="Q52" s="106"/>
      <c r="R52" s="476">
        <f t="shared" si="9"/>
        <v>0.11012456538461539</v>
      </c>
      <c r="T52" s="262">
        <f t="shared" si="10"/>
        <v>2600000</v>
      </c>
      <c r="U52" s="106"/>
      <c r="V52" s="157">
        <f t="shared" si="11"/>
        <v>286323.87</v>
      </c>
      <c r="X52" s="26"/>
      <c r="Z52" s="242">
        <f>2852.7*1000</f>
        <v>2852700</v>
      </c>
      <c r="AA52" s="244">
        <v>2494700</v>
      </c>
      <c r="AB52" s="106"/>
      <c r="AC52" s="476">
        <f t="shared" si="12"/>
        <v>0.87450485504960218</v>
      </c>
      <c r="AE52" s="262">
        <f>5418.3*1000</f>
        <v>5418300</v>
      </c>
      <c r="AF52" s="106"/>
      <c r="AG52" s="157">
        <f t="shared" si="13"/>
        <v>4738329.656115259</v>
      </c>
      <c r="AI52" s="26"/>
      <c r="AK52" s="242">
        <f>2852.7*1000</f>
        <v>2852700</v>
      </c>
      <c r="AL52" s="244">
        <v>2494700</v>
      </c>
      <c r="AM52" s="106"/>
      <c r="AN52" s="476">
        <f t="shared" si="14"/>
        <v>0.87450485504960218</v>
      </c>
      <c r="AO52" s="1"/>
      <c r="AP52" s="3323">
        <f>605.4*1000</f>
        <v>605400</v>
      </c>
      <c r="AQ52" s="3319" t="s">
        <v>4042</v>
      </c>
      <c r="AR52" s="157">
        <f t="shared" si="15"/>
        <v>529425.23924702918</v>
      </c>
      <c r="AS52" s="1"/>
      <c r="AT52" s="240"/>
      <c r="AU52" s="240" t="s">
        <v>4023</v>
      </c>
      <c r="AV52" s="117">
        <f>125024.9*1000</f>
        <v>125024900</v>
      </c>
      <c r="AW52" s="127">
        <f>AV52*AW$43/AV$43</f>
        <v>114316936.70625071</v>
      </c>
      <c r="AX52" s="57" t="s">
        <v>4043</v>
      </c>
      <c r="AY52" s="476">
        <f t="shared" si="16"/>
        <v>0.91435335446179689</v>
      </c>
      <c r="AZ52" s="1"/>
      <c r="BA52" s="112">
        <v>127862300</v>
      </c>
      <c r="BB52" s="57"/>
      <c r="BC52" s="157">
        <f t="shared" si="19"/>
        <v>117061979.50153323</v>
      </c>
      <c r="BD52" s="1"/>
      <c r="BE52" s="1"/>
      <c r="BF52" s="117">
        <v>76196485</v>
      </c>
      <c r="BG52" s="201">
        <v>75586851.87999998</v>
      </c>
      <c r="BH52" s="57" t="s">
        <v>4044</v>
      </c>
      <c r="BI52" s="476">
        <f t="shared" si="17"/>
        <v>0.99199919628838495</v>
      </c>
      <c r="BJ52" s="1"/>
      <c r="BK52" s="112"/>
      <c r="BL52" s="57"/>
      <c r="BM52" s="3265"/>
      <c r="BN52" s="1"/>
      <c r="BO52" s="26"/>
      <c r="BP52" s="26"/>
      <c r="BQ52" s="26"/>
    </row>
    <row r="53" spans="1:69" x14ac:dyDescent="0.35">
      <c r="A53" s="9168"/>
      <c r="B53" s="241"/>
      <c r="C53" s="241" t="s">
        <v>4045</v>
      </c>
      <c r="D53" s="197"/>
      <c r="F53" s="163"/>
      <c r="H53" s="242"/>
      <c r="I53" s="243"/>
      <c r="J53" s="476"/>
      <c r="L53" s="242"/>
      <c r="M53" s="157"/>
      <c r="O53" s="242"/>
      <c r="P53" s="244"/>
      <c r="Q53" s="106"/>
      <c r="R53" s="476">
        <f t="shared" si="9"/>
        <v>0</v>
      </c>
      <c r="T53" s="262">
        <f t="shared" si="10"/>
        <v>0</v>
      </c>
      <c r="U53" s="106"/>
      <c r="V53" s="157"/>
      <c r="X53" s="26"/>
      <c r="Z53" s="242">
        <f>127527.8*1000</f>
        <v>127527800</v>
      </c>
      <c r="AA53" s="244">
        <v>102250900</v>
      </c>
      <c r="AB53" s="106"/>
      <c r="AC53" s="476">
        <f t="shared" si="12"/>
        <v>0.80179302081585346</v>
      </c>
      <c r="AE53" s="262"/>
      <c r="AF53" s="106"/>
      <c r="AG53" s="157">
        <f t="shared" si="13"/>
        <v>0</v>
      </c>
      <c r="AI53" s="26"/>
      <c r="AK53" s="242">
        <f>127527.8*1000</f>
        <v>127527800</v>
      </c>
      <c r="AL53" s="244">
        <v>102250900</v>
      </c>
      <c r="AM53" s="106"/>
      <c r="AN53" s="476">
        <f t="shared" si="14"/>
        <v>0.80179302081585346</v>
      </c>
      <c r="AO53" s="1"/>
      <c r="AP53" s="262">
        <v>0</v>
      </c>
      <c r="AQ53" s="106"/>
      <c r="AR53" s="157">
        <f t="shared" si="15"/>
        <v>0</v>
      </c>
      <c r="AS53" s="1"/>
      <c r="AT53" s="240"/>
      <c r="AU53" s="240" t="s">
        <v>4026</v>
      </c>
      <c r="AV53" s="117"/>
      <c r="AW53" s="127"/>
      <c r="AX53" s="57"/>
      <c r="AY53" s="476">
        <f t="shared" si="16"/>
        <v>0</v>
      </c>
      <c r="AZ53" s="1"/>
      <c r="BA53" s="112">
        <v>30594000</v>
      </c>
      <c r="BB53" s="57" t="s">
        <v>4046</v>
      </c>
      <c r="BC53" s="157">
        <f t="shared" si="19"/>
        <v>28009774.584611002</v>
      </c>
      <c r="BD53" s="1"/>
      <c r="BE53" s="1"/>
      <c r="BF53" s="117">
        <v>28380600</v>
      </c>
      <c r="BG53" s="201">
        <v>27848369.02</v>
      </c>
      <c r="BH53" s="57" t="s">
        <v>4047</v>
      </c>
      <c r="BI53" s="476">
        <f t="shared" si="17"/>
        <v>0.98124666215654355</v>
      </c>
      <c r="BJ53" s="1"/>
      <c r="BK53" s="112"/>
      <c r="BL53" s="57"/>
      <c r="BM53" s="3265"/>
      <c r="BN53" s="1"/>
      <c r="BO53" s="26"/>
      <c r="BP53" s="26"/>
      <c r="BQ53" s="26" t="s">
        <v>4048</v>
      </c>
    </row>
    <row r="54" spans="1:69" x14ac:dyDescent="0.35">
      <c r="A54" s="9168"/>
      <c r="B54" s="3322" t="s">
        <v>1116</v>
      </c>
      <c r="C54" s="241" t="s">
        <v>4016</v>
      </c>
      <c r="D54" s="197"/>
      <c r="F54" s="163"/>
      <c r="H54" s="242"/>
      <c r="I54" s="243"/>
      <c r="J54" s="476"/>
      <c r="L54" s="242"/>
      <c r="M54" s="157"/>
      <c r="O54" s="242"/>
      <c r="P54" s="244"/>
      <c r="Q54" s="106"/>
      <c r="R54" s="476">
        <f t="shared" si="9"/>
        <v>0</v>
      </c>
      <c r="T54" s="262">
        <f t="shared" si="10"/>
        <v>0</v>
      </c>
      <c r="U54" s="106"/>
      <c r="V54" s="157">
        <f t="shared" si="11"/>
        <v>0</v>
      </c>
      <c r="X54" s="26"/>
      <c r="Z54" s="242">
        <v>0</v>
      </c>
      <c r="AA54" s="244"/>
      <c r="AB54" s="106"/>
      <c r="AC54" s="476">
        <f t="shared" si="12"/>
        <v>0</v>
      </c>
      <c r="AE54" s="262">
        <v>0</v>
      </c>
      <c r="AF54" s="106"/>
      <c r="AG54" s="157">
        <f t="shared" si="13"/>
        <v>0</v>
      </c>
      <c r="AI54" s="26"/>
      <c r="AK54" s="242">
        <v>0</v>
      </c>
      <c r="AL54" s="244"/>
      <c r="AM54" s="106"/>
      <c r="AN54" s="476">
        <f t="shared" si="14"/>
        <v>0</v>
      </c>
      <c r="AO54" s="1"/>
      <c r="AP54" s="262">
        <v>0</v>
      </c>
      <c r="AQ54" s="106"/>
      <c r="AR54" s="157">
        <f t="shared" si="15"/>
        <v>0</v>
      </c>
      <c r="AS54" s="1"/>
      <c r="AT54" s="240"/>
      <c r="AU54" s="240" t="s">
        <v>4029</v>
      </c>
      <c r="AV54" s="117">
        <v>23663700</v>
      </c>
      <c r="AW54" s="127">
        <f>AV54*AW$43/AV$43</f>
        <v>21636983.473977625</v>
      </c>
      <c r="AX54" s="57" t="s">
        <v>4049</v>
      </c>
      <c r="AY54" s="476">
        <f t="shared" si="16"/>
        <v>0.914353354461797</v>
      </c>
      <c r="AZ54" s="1"/>
      <c r="BA54" s="112">
        <v>0</v>
      </c>
      <c r="BB54" s="57" t="s">
        <v>4049</v>
      </c>
      <c r="BC54" s="157">
        <f t="shared" si="19"/>
        <v>0</v>
      </c>
      <c r="BD54" s="1"/>
      <c r="BE54" s="1"/>
      <c r="BF54" s="117"/>
      <c r="BG54" s="201"/>
      <c r="BH54" s="57" t="s">
        <v>4050</v>
      </c>
      <c r="BI54" s="476">
        <f t="shared" si="17"/>
        <v>0</v>
      </c>
      <c r="BJ54" s="1"/>
      <c r="BK54" s="112"/>
      <c r="BL54" s="57"/>
      <c r="BM54" s="3265"/>
      <c r="BN54" s="1"/>
      <c r="BO54" s="26"/>
      <c r="BP54" s="26"/>
      <c r="BQ54" s="26"/>
    </row>
    <row r="55" spans="1:69" x14ac:dyDescent="0.35">
      <c r="A55" s="9168"/>
      <c r="B55" s="241"/>
      <c r="C55" s="241" t="s">
        <v>4019</v>
      </c>
      <c r="D55" s="197"/>
      <c r="F55" s="163"/>
      <c r="H55" s="242"/>
      <c r="I55" s="243"/>
      <c r="J55" s="476"/>
      <c r="L55" s="242"/>
      <c r="M55" s="157"/>
      <c r="O55" s="242">
        <v>5824400</v>
      </c>
      <c r="P55" s="244">
        <v>6650669.6199999992</v>
      </c>
      <c r="Q55" s="106"/>
      <c r="R55" s="476">
        <f t="shared" si="9"/>
        <v>1.141863474349289</v>
      </c>
      <c r="T55" s="262">
        <f t="shared" si="10"/>
        <v>5824400</v>
      </c>
      <c r="U55" s="106"/>
      <c r="V55" s="157">
        <f t="shared" si="11"/>
        <v>6650669.6199999992</v>
      </c>
      <c r="X55" s="26"/>
      <c r="Z55" s="242">
        <f>1500*1000</f>
        <v>1500000</v>
      </c>
      <c r="AA55" s="244"/>
      <c r="AB55" s="106"/>
      <c r="AC55" s="476">
        <f t="shared" si="12"/>
        <v>0</v>
      </c>
      <c r="AE55" s="262">
        <v>245100</v>
      </c>
      <c r="AF55" s="106"/>
      <c r="AG55" s="157">
        <f t="shared" si="13"/>
        <v>0</v>
      </c>
      <c r="AI55" s="26"/>
      <c r="AK55" s="242">
        <f>1500*1000</f>
        <v>1500000</v>
      </c>
      <c r="AL55" s="244"/>
      <c r="AM55" s="106"/>
      <c r="AN55" s="476">
        <f t="shared" si="14"/>
        <v>0</v>
      </c>
      <c r="AO55" s="1"/>
      <c r="AP55" s="3323">
        <f>10000*1000</f>
        <v>10000000</v>
      </c>
      <c r="AQ55" s="3319" t="s">
        <v>4051</v>
      </c>
      <c r="AR55" s="157">
        <f t="shared" si="15"/>
        <v>0</v>
      </c>
      <c r="AS55" s="1"/>
      <c r="AT55" s="240"/>
      <c r="AU55" s="240" t="s">
        <v>4033</v>
      </c>
      <c r="AV55" s="117"/>
      <c r="AW55" s="127"/>
      <c r="AX55" s="57"/>
      <c r="AY55" s="476">
        <f t="shared" si="16"/>
        <v>0</v>
      </c>
      <c r="AZ55" s="1"/>
      <c r="BA55" s="112"/>
      <c r="BB55" s="57"/>
      <c r="BC55" s="157"/>
      <c r="BD55" s="1"/>
      <c r="BE55" s="1"/>
      <c r="BF55" s="117"/>
      <c r="BG55" s="201"/>
      <c r="BH55" s="57"/>
      <c r="BI55" s="476">
        <f t="shared" si="17"/>
        <v>0</v>
      </c>
      <c r="BJ55" s="1"/>
      <c r="BK55" s="112"/>
      <c r="BL55" s="57"/>
      <c r="BM55" s="3265"/>
      <c r="BN55" s="1"/>
      <c r="BO55" s="26"/>
      <c r="BP55" s="26"/>
      <c r="BQ55" s="26"/>
    </row>
    <row r="56" spans="1:69" x14ac:dyDescent="0.35">
      <c r="A56" s="9168"/>
      <c r="B56" s="241"/>
      <c r="C56" s="241" t="s">
        <v>4021</v>
      </c>
      <c r="D56" s="197"/>
      <c r="F56" s="163"/>
      <c r="H56" s="242"/>
      <c r="I56" s="243"/>
      <c r="J56" s="476"/>
      <c r="L56" s="242"/>
      <c r="M56" s="157"/>
      <c r="O56" s="242">
        <v>2000600</v>
      </c>
      <c r="P56" s="244">
        <v>3763230.73</v>
      </c>
      <c r="Q56" s="106"/>
      <c r="R56" s="476">
        <f t="shared" si="9"/>
        <v>1.8810510496850945</v>
      </c>
      <c r="T56" s="262">
        <f t="shared" si="10"/>
        <v>2000600</v>
      </c>
      <c r="U56" s="106"/>
      <c r="V56" s="157">
        <f t="shared" si="11"/>
        <v>3763230.73</v>
      </c>
      <c r="X56" s="26"/>
      <c r="Z56" s="242">
        <v>4000000</v>
      </c>
      <c r="AA56" s="244"/>
      <c r="AB56" s="106"/>
      <c r="AC56" s="476">
        <f t="shared" si="12"/>
        <v>0</v>
      </c>
      <c r="AE56" s="262">
        <f>4938*1000</f>
        <v>4938000</v>
      </c>
      <c r="AF56" s="106"/>
      <c r="AG56" s="157">
        <f t="shared" si="13"/>
        <v>0</v>
      </c>
      <c r="AI56" s="26"/>
      <c r="AK56" s="242">
        <v>4000000</v>
      </c>
      <c r="AL56" s="244"/>
      <c r="AM56" s="106"/>
      <c r="AN56" s="476">
        <f t="shared" si="14"/>
        <v>0</v>
      </c>
      <c r="AO56" s="1"/>
      <c r="AP56" s="3323">
        <f>17300*1000</f>
        <v>17300000</v>
      </c>
      <c r="AQ56" s="3319" t="s">
        <v>4052</v>
      </c>
      <c r="AR56" s="157">
        <f t="shared" si="15"/>
        <v>0</v>
      </c>
      <c r="AS56" s="1"/>
      <c r="AT56" s="241"/>
      <c r="AU56" s="241" t="s">
        <v>4037</v>
      </c>
      <c r="AV56" s="242">
        <f>3942300+73919600</f>
        <v>77861900</v>
      </c>
      <c r="AW56" s="127">
        <f>AV56*AW$43/AV$43</f>
        <v>71193289.44976899</v>
      </c>
      <c r="AX56" s="57" t="s">
        <v>4053</v>
      </c>
      <c r="AY56" s="476">
        <f t="shared" si="16"/>
        <v>0.914353354461797</v>
      </c>
      <c r="AZ56" s="1"/>
      <c r="BA56" s="112">
        <f>(1000+20300)*1000</f>
        <v>21300000</v>
      </c>
      <c r="BB56" s="57" t="s">
        <v>4054</v>
      </c>
      <c r="BC56" s="157">
        <f t="shared" si="19"/>
        <v>19500823.646865867</v>
      </c>
      <c r="BD56" s="1"/>
      <c r="BE56" s="1"/>
      <c r="BF56" s="242"/>
      <c r="BG56" s="201"/>
      <c r="BH56" s="57" t="s">
        <v>4055</v>
      </c>
      <c r="BI56" s="476">
        <f t="shared" si="17"/>
        <v>0</v>
      </c>
      <c r="BJ56" s="1"/>
      <c r="BK56" s="112"/>
      <c r="BL56" s="57"/>
      <c r="BM56" s="3265"/>
      <c r="BN56" s="1"/>
      <c r="BO56" s="26"/>
      <c r="BP56" s="26"/>
      <c r="BQ56" s="26"/>
    </row>
    <row r="57" spans="1:69" x14ac:dyDescent="0.35">
      <c r="A57" s="9168"/>
      <c r="B57" s="241"/>
      <c r="C57" s="241" t="s">
        <v>4023</v>
      </c>
      <c r="D57" s="197"/>
      <c r="F57" s="163"/>
      <c r="H57" s="242"/>
      <c r="I57" s="243"/>
      <c r="J57" s="476"/>
      <c r="L57" s="242"/>
      <c r="M57" s="157"/>
      <c r="O57" s="242">
        <v>747000</v>
      </c>
      <c r="P57" s="244">
        <v>1855179.7800000003</v>
      </c>
      <c r="Q57" s="106"/>
      <c r="R57" s="476">
        <f t="shared" si="9"/>
        <v>2.4835070682730929</v>
      </c>
      <c r="T57" s="262">
        <f t="shared" si="10"/>
        <v>747000</v>
      </c>
      <c r="U57" s="106"/>
      <c r="V57" s="157">
        <f t="shared" si="11"/>
        <v>1855179.7800000003</v>
      </c>
      <c r="X57" s="26"/>
      <c r="Z57" s="242">
        <f>51084*1000</f>
        <v>51084000</v>
      </c>
      <c r="AA57" s="244"/>
      <c r="AB57" s="106"/>
      <c r="AC57" s="476">
        <f t="shared" si="12"/>
        <v>0</v>
      </c>
      <c r="AE57" s="262">
        <f>341.2*1000</f>
        <v>341200</v>
      </c>
      <c r="AF57" s="106"/>
      <c r="AG57" s="157">
        <f t="shared" si="13"/>
        <v>0</v>
      </c>
      <c r="AI57" s="26"/>
      <c r="AK57" s="242">
        <f>51084*1000</f>
        <v>51084000</v>
      </c>
      <c r="AL57" s="244"/>
      <c r="AM57" s="106"/>
      <c r="AN57" s="476">
        <f t="shared" si="14"/>
        <v>0</v>
      </c>
      <c r="AO57" s="1"/>
      <c r="AP57" s="262">
        <v>0</v>
      </c>
      <c r="AQ57" s="106"/>
      <c r="AR57" s="157">
        <f t="shared" si="15"/>
        <v>0</v>
      </c>
      <c r="AS57" s="1"/>
      <c r="AT57" s="241"/>
      <c r="AU57" s="241" t="s">
        <v>4041</v>
      </c>
      <c r="AV57" s="242">
        <v>3186400</v>
      </c>
      <c r="AW57" s="127">
        <f>AV57*AW$43/AV$43</f>
        <v>2913495.5286570694</v>
      </c>
      <c r="AX57" s="57" t="s">
        <v>4056</v>
      </c>
      <c r="AY57" s="476">
        <f t="shared" si="16"/>
        <v>0.91435335446179689</v>
      </c>
      <c r="AZ57" s="1"/>
      <c r="BA57" s="112"/>
      <c r="BB57" s="57"/>
      <c r="BC57" s="157">
        <f t="shared" si="19"/>
        <v>0</v>
      </c>
      <c r="BD57" s="1"/>
      <c r="BE57" s="1"/>
      <c r="BF57" s="242"/>
      <c r="BG57" s="201"/>
      <c r="BH57" s="57" t="s">
        <v>4057</v>
      </c>
      <c r="BI57" s="476">
        <f t="shared" si="17"/>
        <v>0</v>
      </c>
      <c r="BJ57" s="1"/>
      <c r="BK57" s="112"/>
      <c r="BL57" s="57"/>
      <c r="BM57" s="3265"/>
      <c r="BN57" s="1"/>
      <c r="BO57" s="26"/>
      <c r="BP57" s="26"/>
      <c r="BQ57" s="26" t="s">
        <v>4058</v>
      </c>
    </row>
    <row r="58" spans="1:69" x14ac:dyDescent="0.35">
      <c r="A58" s="9168"/>
      <c r="B58" s="241"/>
      <c r="C58" s="241" t="s">
        <v>4026</v>
      </c>
      <c r="D58" s="197"/>
      <c r="F58" s="163"/>
      <c r="H58" s="242"/>
      <c r="I58" s="243"/>
      <c r="J58" s="476"/>
      <c r="L58" s="242"/>
      <c r="M58" s="157"/>
      <c r="O58" s="242"/>
      <c r="P58" s="244"/>
      <c r="Q58" s="106"/>
      <c r="R58" s="476">
        <f t="shared" si="9"/>
        <v>0</v>
      </c>
      <c r="T58" s="262">
        <f t="shared" si="10"/>
        <v>0</v>
      </c>
      <c r="U58" s="106"/>
      <c r="V58" s="157">
        <f t="shared" si="11"/>
        <v>0</v>
      </c>
      <c r="X58" s="26"/>
      <c r="Z58" s="242">
        <v>0</v>
      </c>
      <c r="AA58" s="244"/>
      <c r="AB58" s="106"/>
      <c r="AC58" s="476">
        <f t="shared" si="12"/>
        <v>0</v>
      </c>
      <c r="AE58" s="262">
        <f t="shared" si="18"/>
        <v>0</v>
      </c>
      <c r="AF58" s="106"/>
      <c r="AG58" s="157">
        <f t="shared" si="13"/>
        <v>0</v>
      </c>
      <c r="AI58" s="26"/>
      <c r="AK58" s="242">
        <v>0</v>
      </c>
      <c r="AL58" s="244"/>
      <c r="AM58" s="106"/>
      <c r="AN58" s="476">
        <f t="shared" si="14"/>
        <v>0</v>
      </c>
      <c r="AO58" s="1"/>
      <c r="AP58" s="262">
        <f>AK58</f>
        <v>0</v>
      </c>
      <c r="AQ58" s="106"/>
      <c r="AR58" s="157">
        <f t="shared" si="15"/>
        <v>0</v>
      </c>
      <c r="AS58" s="1"/>
      <c r="AT58" s="241"/>
      <c r="AU58" s="241" t="s">
        <v>4045</v>
      </c>
      <c r="AV58" s="242">
        <v>196307800</v>
      </c>
      <c r="AW58" s="127">
        <f>AV58*AW$43/AV$43</f>
        <v>179494695.43701556</v>
      </c>
      <c r="AX58" s="57" t="s">
        <v>4059</v>
      </c>
      <c r="AY58" s="476">
        <f t="shared" si="16"/>
        <v>0.914353354461797</v>
      </c>
      <c r="AZ58" s="1"/>
      <c r="BA58" s="112">
        <v>201064700</v>
      </c>
      <c r="BB58" s="57" t="s">
        <v>4060</v>
      </c>
      <c r="BC58" s="157">
        <f t="shared" si="19"/>
        <v>184081091.84553951</v>
      </c>
      <c r="BD58" s="1"/>
      <c r="BE58" s="1"/>
      <c r="BF58" s="242">
        <v>16624558</v>
      </c>
      <c r="BG58" s="201">
        <v>11228957.970000003</v>
      </c>
      <c r="BH58" s="57" t="s">
        <v>4061</v>
      </c>
      <c r="BI58" s="476">
        <f t="shared" si="17"/>
        <v>0.67544400097734947</v>
      </c>
      <c r="BJ58" s="1"/>
      <c r="BK58" s="112"/>
      <c r="BL58" s="57"/>
      <c r="BM58" s="3265"/>
      <c r="BN58" s="1"/>
      <c r="BO58" s="26"/>
      <c r="BP58" s="26"/>
      <c r="BQ58" s="26"/>
    </row>
    <row r="59" spans="1:69" x14ac:dyDescent="0.35">
      <c r="A59" s="9168"/>
      <c r="B59" s="241"/>
      <c r="C59" s="241" t="s">
        <v>4029</v>
      </c>
      <c r="D59" s="197"/>
      <c r="F59" s="163"/>
      <c r="H59" s="242"/>
      <c r="I59" s="243"/>
      <c r="J59" s="476"/>
      <c r="L59" s="242"/>
      <c r="M59" s="157"/>
      <c r="O59" s="242">
        <v>0</v>
      </c>
      <c r="P59" s="244">
        <v>47090.04</v>
      </c>
      <c r="Q59" s="106"/>
      <c r="R59" s="476">
        <f t="shared" si="9"/>
        <v>0</v>
      </c>
      <c r="T59" s="262">
        <f t="shared" si="10"/>
        <v>0</v>
      </c>
      <c r="U59" s="106"/>
      <c r="V59" s="157">
        <f t="shared" si="11"/>
        <v>0</v>
      </c>
      <c r="X59" s="26"/>
      <c r="Z59" s="242">
        <v>0</v>
      </c>
      <c r="AA59" s="244"/>
      <c r="AB59" s="106"/>
      <c r="AC59" s="476">
        <f t="shared" si="12"/>
        <v>0</v>
      </c>
      <c r="AE59" s="262">
        <f t="shared" si="18"/>
        <v>0</v>
      </c>
      <c r="AF59" s="106"/>
      <c r="AG59" s="157">
        <f t="shared" si="13"/>
        <v>0</v>
      </c>
      <c r="AI59" s="26"/>
      <c r="AK59" s="242">
        <v>0</v>
      </c>
      <c r="AL59" s="244"/>
      <c r="AM59" s="106"/>
      <c r="AN59" s="476">
        <f t="shared" si="14"/>
        <v>0</v>
      </c>
      <c r="AO59" s="1"/>
      <c r="AP59" s="262">
        <f>AK59</f>
        <v>0</v>
      </c>
      <c r="AQ59" s="106"/>
      <c r="AR59" s="157">
        <f t="shared" si="15"/>
        <v>0</v>
      </c>
      <c r="AS59" s="1"/>
      <c r="AT59" s="3322" t="s">
        <v>1116</v>
      </c>
      <c r="AU59" s="241" t="s">
        <v>4016</v>
      </c>
      <c r="AV59" s="242"/>
      <c r="AW59" s="127"/>
      <c r="AX59" s="57"/>
      <c r="AY59" s="476">
        <f t="shared" si="16"/>
        <v>0</v>
      </c>
      <c r="AZ59" s="1"/>
      <c r="BA59" s="112"/>
      <c r="BB59" s="57"/>
      <c r="BC59" s="157"/>
      <c r="BD59" s="1"/>
      <c r="BE59" s="1"/>
      <c r="BF59" s="242"/>
      <c r="BG59" s="201"/>
      <c r="BH59" s="57"/>
      <c r="BI59" s="476">
        <f t="shared" si="17"/>
        <v>0</v>
      </c>
      <c r="BJ59" s="1"/>
      <c r="BK59" s="112"/>
      <c r="BL59" s="57"/>
      <c r="BM59" s="3265"/>
      <c r="BN59" s="1"/>
      <c r="BO59" s="26"/>
      <c r="BP59" s="26"/>
      <c r="BQ59" s="26"/>
    </row>
    <row r="60" spans="1:69" x14ac:dyDescent="0.35">
      <c r="A60" s="9168"/>
      <c r="B60" s="241"/>
      <c r="C60" s="241" t="s">
        <v>4033</v>
      </c>
      <c r="D60" s="197"/>
      <c r="F60" s="163"/>
      <c r="H60" s="242"/>
      <c r="I60" s="243"/>
      <c r="J60" s="476"/>
      <c r="L60" s="242"/>
      <c r="M60" s="157"/>
      <c r="O60" s="242"/>
      <c r="P60" s="244"/>
      <c r="Q60" s="106"/>
      <c r="R60" s="476">
        <f t="shared" si="9"/>
        <v>0</v>
      </c>
      <c r="T60" s="262">
        <f t="shared" si="10"/>
        <v>0</v>
      </c>
      <c r="U60" s="106"/>
      <c r="V60" s="157">
        <f t="shared" si="11"/>
        <v>0</v>
      </c>
      <c r="X60" s="26"/>
      <c r="Z60" s="242">
        <v>0</v>
      </c>
      <c r="AA60" s="244"/>
      <c r="AB60" s="106"/>
      <c r="AC60" s="476">
        <f t="shared" si="12"/>
        <v>0</v>
      </c>
      <c r="AE60" s="262">
        <f t="shared" si="18"/>
        <v>0</v>
      </c>
      <c r="AF60" s="106"/>
      <c r="AG60" s="157">
        <f t="shared" si="13"/>
        <v>0</v>
      </c>
      <c r="AI60" s="26"/>
      <c r="AK60" s="242">
        <v>0</v>
      </c>
      <c r="AL60" s="244"/>
      <c r="AM60" s="106"/>
      <c r="AN60" s="476">
        <f t="shared" si="14"/>
        <v>0</v>
      </c>
      <c r="AO60" s="1"/>
      <c r="AP60" s="262">
        <f>AK60</f>
        <v>0</v>
      </c>
      <c r="AQ60" s="106"/>
      <c r="AR60" s="157">
        <f t="shared" si="15"/>
        <v>0</v>
      </c>
      <c r="AS60" s="1"/>
      <c r="AT60" s="241"/>
      <c r="AU60" s="241" t="s">
        <v>4019</v>
      </c>
      <c r="AV60" s="242">
        <v>1000000</v>
      </c>
      <c r="AW60" s="127">
        <f>AV60*AW$43/AV$43</f>
        <v>914353.35446179693</v>
      </c>
      <c r="AX60" s="57" t="s">
        <v>4062</v>
      </c>
      <c r="AY60" s="476">
        <f t="shared" si="16"/>
        <v>0.91435335446179689</v>
      </c>
      <c r="AZ60" s="1"/>
      <c r="BA60" s="112">
        <f>16671700+8000000+69185100</f>
        <v>93856800</v>
      </c>
      <c r="BB60" s="57" t="s">
        <v>4062</v>
      </c>
      <c r="BC60" s="157">
        <f t="shared" si="19"/>
        <v>85928868.772730529</v>
      </c>
      <c r="BD60" s="1"/>
      <c r="BE60" s="1"/>
      <c r="BF60" s="242">
        <v>14609910</v>
      </c>
      <c r="BG60" s="201">
        <v>9070482.4299999997</v>
      </c>
      <c r="BH60" s="57" t="s">
        <v>4063</v>
      </c>
      <c r="BI60" s="476">
        <f t="shared" si="17"/>
        <v>0.6208445110202595</v>
      </c>
      <c r="BJ60" s="1"/>
      <c r="BK60" s="112"/>
      <c r="BL60" s="57"/>
      <c r="BM60" s="3265"/>
      <c r="BN60" s="1"/>
      <c r="BO60" s="26"/>
      <c r="BP60" s="26"/>
      <c r="BQ60" s="26"/>
    </row>
    <row r="61" spans="1:69" x14ac:dyDescent="0.35">
      <c r="A61" s="9168"/>
      <c r="B61" s="241"/>
      <c r="C61" s="241" t="s">
        <v>4037</v>
      </c>
      <c r="D61" s="197"/>
      <c r="F61" s="163"/>
      <c r="H61" s="242"/>
      <c r="I61" s="243"/>
      <c r="J61" s="476"/>
      <c r="L61" s="242"/>
      <c r="M61" s="157"/>
      <c r="O61" s="242">
        <v>77088200</v>
      </c>
      <c r="P61" s="244">
        <v>0</v>
      </c>
      <c r="Q61" s="106"/>
      <c r="R61" s="476">
        <f t="shared" si="9"/>
        <v>0</v>
      </c>
      <c r="T61" s="262">
        <f t="shared" si="10"/>
        <v>77088200</v>
      </c>
      <c r="U61" s="106"/>
      <c r="V61" s="157">
        <f t="shared" si="11"/>
        <v>0</v>
      </c>
      <c r="X61" s="26"/>
      <c r="Z61" s="242">
        <v>0</v>
      </c>
      <c r="AA61" s="244"/>
      <c r="AB61" s="106"/>
      <c r="AC61" s="476">
        <f t="shared" si="12"/>
        <v>0</v>
      </c>
      <c r="AE61" s="262">
        <f t="shared" si="18"/>
        <v>0</v>
      </c>
      <c r="AF61" s="106"/>
      <c r="AG61" s="157">
        <f t="shared" si="13"/>
        <v>0</v>
      </c>
      <c r="AI61" s="26"/>
      <c r="AK61" s="242">
        <v>0</v>
      </c>
      <c r="AL61" s="244"/>
      <c r="AM61" s="106"/>
      <c r="AN61" s="476">
        <f t="shared" si="14"/>
        <v>0</v>
      </c>
      <c r="AO61" s="1"/>
      <c r="AP61" s="3323">
        <f>158774*1000</f>
        <v>158774000</v>
      </c>
      <c r="AQ61" s="3325"/>
      <c r="AR61" s="157">
        <f t="shared" si="15"/>
        <v>0</v>
      </c>
      <c r="AS61" s="1"/>
      <c r="AT61" s="241"/>
      <c r="AU61" s="241" t="s">
        <v>4021</v>
      </c>
      <c r="AV61" s="242">
        <v>17300000</v>
      </c>
      <c r="AW61" s="127">
        <f>AV61*AW$43/AV$43</f>
        <v>15818313.032189086</v>
      </c>
      <c r="AX61" s="57" t="s">
        <v>4064</v>
      </c>
      <c r="AY61" s="476">
        <f t="shared" si="16"/>
        <v>0.91435335446179689</v>
      </c>
      <c r="AZ61" s="1"/>
      <c r="BA61" s="112"/>
      <c r="BB61" s="57" t="s">
        <v>4064</v>
      </c>
      <c r="BC61" s="157">
        <f t="shared" si="19"/>
        <v>0</v>
      </c>
      <c r="BD61" s="1"/>
      <c r="BE61" s="1"/>
      <c r="BF61" s="242">
        <v>297000</v>
      </c>
      <c r="BG61" s="201">
        <v>46964.770000000004</v>
      </c>
      <c r="BH61" s="57" t="s">
        <v>4065</v>
      </c>
      <c r="BI61" s="476">
        <f t="shared" si="17"/>
        <v>0.15813053872053873</v>
      </c>
      <c r="BJ61" s="1"/>
      <c r="BK61" s="112"/>
      <c r="BL61" s="57"/>
      <c r="BM61" s="3265"/>
      <c r="BN61" s="1"/>
      <c r="BO61" s="26"/>
      <c r="BP61" s="26"/>
      <c r="BQ61" s="26" t="s">
        <v>4066</v>
      </c>
    </row>
    <row r="62" spans="1:69" x14ac:dyDescent="0.35">
      <c r="A62" s="9168"/>
      <c r="B62" s="241"/>
      <c r="C62" s="241" t="s">
        <v>4041</v>
      </c>
      <c r="D62" s="197"/>
      <c r="F62" s="163"/>
      <c r="H62" s="242"/>
      <c r="I62" s="243"/>
      <c r="J62" s="476"/>
      <c r="L62" s="242"/>
      <c r="M62" s="157"/>
      <c r="O62" s="242">
        <v>0</v>
      </c>
      <c r="P62" s="244">
        <v>0</v>
      </c>
      <c r="Q62" s="106"/>
      <c r="R62" s="476">
        <f t="shared" si="9"/>
        <v>0</v>
      </c>
      <c r="T62" s="262">
        <f t="shared" si="10"/>
        <v>0</v>
      </c>
      <c r="U62" s="106"/>
      <c r="V62" s="157">
        <f t="shared" si="11"/>
        <v>0</v>
      </c>
      <c r="X62" s="26"/>
      <c r="Z62" s="242">
        <v>0</v>
      </c>
      <c r="AA62" s="244"/>
      <c r="AB62" s="106"/>
      <c r="AC62" s="476">
        <f t="shared" si="12"/>
        <v>0</v>
      </c>
      <c r="AE62" s="262">
        <f t="shared" si="18"/>
        <v>0</v>
      </c>
      <c r="AF62" s="106"/>
      <c r="AG62" s="157">
        <f t="shared" si="13"/>
        <v>0</v>
      </c>
      <c r="AI62" s="26"/>
      <c r="AK62" s="242">
        <v>0</v>
      </c>
      <c r="AL62" s="244"/>
      <c r="AM62" s="106"/>
      <c r="AN62" s="476">
        <f t="shared" si="14"/>
        <v>0</v>
      </c>
      <c r="AO62" s="1"/>
      <c r="AP62" s="262">
        <f>AK62</f>
        <v>0</v>
      </c>
      <c r="AQ62" s="106"/>
      <c r="AR62" s="157">
        <f t="shared" si="15"/>
        <v>0</v>
      </c>
      <c r="AS62" s="1"/>
      <c r="AT62" s="241"/>
      <c r="AU62" s="241" t="s">
        <v>4023</v>
      </c>
      <c r="AV62" s="242"/>
      <c r="AW62" s="127"/>
      <c r="AX62" s="106"/>
      <c r="AY62" s="476">
        <f t="shared" si="16"/>
        <v>0</v>
      </c>
      <c r="AZ62" s="1"/>
      <c r="BA62" s="112">
        <v>12000000</v>
      </c>
      <c r="BB62" s="57" t="s">
        <v>4067</v>
      </c>
      <c r="BC62" s="157">
        <f t="shared" si="19"/>
        <v>10986379.519361053</v>
      </c>
      <c r="BD62" s="1"/>
      <c r="BE62" s="1"/>
      <c r="BF62" s="242">
        <v>161707475</v>
      </c>
      <c r="BG62" s="201">
        <v>104553730.06</v>
      </c>
      <c r="BH62" s="106"/>
      <c r="BI62" s="476">
        <f t="shared" si="17"/>
        <v>0.64656089682929008</v>
      </c>
      <c r="BJ62" s="1"/>
      <c r="BK62" s="112"/>
      <c r="BL62" s="57"/>
      <c r="BM62" s="3265"/>
      <c r="BN62" s="1"/>
      <c r="BO62" s="26"/>
      <c r="BP62" s="26"/>
      <c r="BQ62" s="26"/>
    </row>
    <row r="63" spans="1:69" x14ac:dyDescent="0.35">
      <c r="A63" s="9168"/>
      <c r="B63" s="241"/>
      <c r="C63" s="241"/>
      <c r="D63" s="197"/>
      <c r="F63" s="163"/>
      <c r="H63" s="131"/>
      <c r="I63" s="132"/>
      <c r="J63" s="484"/>
      <c r="L63" s="242"/>
      <c r="M63" s="157"/>
      <c r="O63" s="131"/>
      <c r="P63" s="132"/>
      <c r="Q63" s="216"/>
      <c r="R63" s="484">
        <f t="shared" si="9"/>
        <v>0</v>
      </c>
      <c r="T63" s="242"/>
      <c r="U63" s="216"/>
      <c r="V63" s="157">
        <f t="shared" si="11"/>
        <v>0</v>
      </c>
      <c r="X63" s="26"/>
      <c r="Z63" s="131"/>
      <c r="AA63" s="132"/>
      <c r="AB63" s="216"/>
      <c r="AC63" s="484">
        <f t="shared" si="12"/>
        <v>0</v>
      </c>
      <c r="AE63" s="242"/>
      <c r="AF63" s="216"/>
      <c r="AG63" s="157">
        <f t="shared" si="13"/>
        <v>0</v>
      </c>
      <c r="AI63" s="26"/>
      <c r="AK63" s="131"/>
      <c r="AL63" s="132"/>
      <c r="AM63" s="216"/>
      <c r="AN63" s="484">
        <f t="shared" si="14"/>
        <v>0</v>
      </c>
      <c r="AO63" s="1"/>
      <c r="AP63" s="242"/>
      <c r="AQ63" s="216"/>
      <c r="AR63" s="157">
        <f t="shared" si="15"/>
        <v>0</v>
      </c>
      <c r="AS63" s="1"/>
      <c r="AT63" s="241"/>
      <c r="AU63" s="241" t="s">
        <v>4026</v>
      </c>
      <c r="AV63" s="242"/>
      <c r="AW63" s="127"/>
      <c r="AX63" s="106"/>
      <c r="AY63" s="476">
        <f t="shared" si="16"/>
        <v>0</v>
      </c>
      <c r="AZ63" s="1"/>
      <c r="BA63" s="112"/>
      <c r="BB63" s="106"/>
      <c r="BC63" s="157"/>
      <c r="BD63" s="1"/>
      <c r="BE63" s="1"/>
      <c r="BF63" s="242">
        <v>2337700</v>
      </c>
      <c r="BG63" s="201">
        <v>2310981.8200000003</v>
      </c>
      <c r="BH63" s="57" t="s">
        <v>4068</v>
      </c>
      <c r="BI63" s="476">
        <f t="shared" si="17"/>
        <v>0.9885707404714037</v>
      </c>
      <c r="BJ63" s="1"/>
      <c r="BK63" s="112"/>
      <c r="BL63" s="106"/>
      <c r="BM63" s="3265"/>
      <c r="BN63" s="1"/>
      <c r="BO63" s="26"/>
      <c r="BP63" s="26"/>
      <c r="BQ63" s="26"/>
    </row>
    <row r="64" spans="1:69" x14ac:dyDescent="0.35">
      <c r="A64" s="9168"/>
      <c r="B64" s="271" t="s">
        <v>540</v>
      </c>
      <c r="C64" s="271"/>
      <c r="D64" s="184"/>
      <c r="E64" s="141"/>
      <c r="F64" s="227"/>
      <c r="G64" s="141"/>
      <c r="H64" s="245"/>
      <c r="I64" s="106"/>
      <c r="J64" s="518"/>
      <c r="K64" s="141"/>
      <c r="L64" s="102"/>
      <c r="M64" s="268"/>
      <c r="N64" s="141"/>
      <c r="O64" s="245"/>
      <c r="P64" s="106"/>
      <c r="Q64" s="106"/>
      <c r="R64" s="518"/>
      <c r="S64" s="141"/>
      <c r="T64" s="102"/>
      <c r="U64" s="106"/>
      <c r="V64" s="268"/>
      <c r="W64" s="141"/>
      <c r="X64" s="18"/>
      <c r="Z64" s="245"/>
      <c r="AA64" s="106"/>
      <c r="AB64" s="106"/>
      <c r="AC64" s="518"/>
      <c r="AD64" s="141"/>
      <c r="AE64" s="102"/>
      <c r="AF64" s="106"/>
      <c r="AG64" s="268"/>
      <c r="AH64" s="141"/>
      <c r="AI64" s="18"/>
      <c r="AK64" s="245"/>
      <c r="AL64" s="106"/>
      <c r="AM64" s="106"/>
      <c r="AN64" s="518"/>
      <c r="AO64" s="141"/>
      <c r="AP64" s="102"/>
      <c r="AQ64" s="106"/>
      <c r="AR64" s="268"/>
      <c r="AS64" s="141"/>
      <c r="AT64" s="241"/>
      <c r="AU64" s="241" t="s">
        <v>4029</v>
      </c>
      <c r="AV64" s="242"/>
      <c r="AW64" s="127"/>
      <c r="AX64" s="106"/>
      <c r="AY64" s="476">
        <f t="shared" si="16"/>
        <v>0</v>
      </c>
      <c r="AZ64" s="1"/>
      <c r="BA64" s="112"/>
      <c r="BB64" s="106"/>
      <c r="BC64" s="157"/>
      <c r="BD64" s="1"/>
      <c r="BE64" s="1"/>
      <c r="BF64" s="242"/>
      <c r="BG64" s="201"/>
      <c r="BH64" s="106"/>
      <c r="BI64" s="476">
        <f t="shared" si="17"/>
        <v>0</v>
      </c>
      <c r="BJ64" s="1"/>
      <c r="BK64" s="112"/>
      <c r="BL64" s="106"/>
      <c r="BM64" s="3265"/>
      <c r="BN64" s="1"/>
      <c r="BO64" s="26"/>
      <c r="BP64" s="26"/>
      <c r="BQ64" s="18"/>
    </row>
    <row r="65" spans="1:70" x14ac:dyDescent="0.35">
      <c r="A65" s="9168"/>
      <c r="B65" s="240"/>
      <c r="C65" s="240" t="s">
        <v>4019</v>
      </c>
      <c r="D65" s="197"/>
      <c r="F65" s="111">
        <v>69573278.850000024</v>
      </c>
      <c r="H65" s="112">
        <v>42801300</v>
      </c>
      <c r="I65" s="113">
        <v>42910274.25</v>
      </c>
      <c r="J65" s="476">
        <f t="shared" ref="J65:J72" si="20">IF(H65=0,0,I65/H65)</f>
        <v>1.002546050003154</v>
      </c>
      <c r="L65" s="112"/>
      <c r="M65" s="157">
        <f t="shared" ref="M65:M72" si="21">L65*J65</f>
        <v>0</v>
      </c>
      <c r="O65" s="112">
        <v>41437800</v>
      </c>
      <c r="P65" s="233">
        <v>38834174.010000005</v>
      </c>
      <c r="Q65" s="106"/>
      <c r="R65" s="476">
        <f t="shared" ref="R65:R72" si="22">IF(O65=0,0,P65/O65)</f>
        <v>0.93716785181645756</v>
      </c>
      <c r="T65" s="112"/>
      <c r="U65" s="106" t="s">
        <v>3984</v>
      </c>
      <c r="V65" s="157">
        <f t="shared" ref="V65:V72" si="23">T65*R65</f>
        <v>0</v>
      </c>
      <c r="X65" s="26"/>
      <c r="Z65" s="112"/>
      <c r="AA65" s="233"/>
      <c r="AB65" s="106" t="s">
        <v>4069</v>
      </c>
      <c r="AC65" s="476">
        <f t="shared" ref="AC65:AC72" si="24">IF(Z65=0,0,AA65/Z65)</f>
        <v>0</v>
      </c>
      <c r="AE65" s="112"/>
      <c r="AF65" s="106" t="s">
        <v>3984</v>
      </c>
      <c r="AG65" s="157">
        <f t="shared" ref="AG65:AG72" si="25">AE65*AC65</f>
        <v>0</v>
      </c>
      <c r="AI65" s="26"/>
      <c r="AK65" s="112"/>
      <c r="AL65" s="233"/>
      <c r="AM65" s="106" t="s">
        <v>4069</v>
      </c>
      <c r="AN65" s="476">
        <f t="shared" ref="AN65:AN72" si="26">IF(AK65=0,0,AL65/AK65)</f>
        <v>0</v>
      </c>
      <c r="AO65" s="1"/>
      <c r="AP65" s="112"/>
      <c r="AQ65" s="106" t="s">
        <v>3984</v>
      </c>
      <c r="AR65" s="157">
        <f t="shared" ref="AR65:AR72" si="27">AP65*AN65</f>
        <v>0</v>
      </c>
      <c r="AS65" s="1"/>
      <c r="AT65" s="241"/>
      <c r="AU65" s="241" t="s">
        <v>4033</v>
      </c>
      <c r="AV65" s="242"/>
      <c r="AW65" s="127"/>
      <c r="AX65" s="106"/>
      <c r="AY65" s="476">
        <f t="shared" si="16"/>
        <v>0</v>
      </c>
      <c r="AZ65" s="1"/>
      <c r="BA65" s="112"/>
      <c r="BB65" s="106"/>
      <c r="BC65" s="157"/>
      <c r="BD65" s="1"/>
      <c r="BE65" s="1"/>
      <c r="BF65" s="242"/>
      <c r="BG65" s="123"/>
      <c r="BH65" s="106"/>
      <c r="BI65" s="476">
        <f t="shared" si="17"/>
        <v>0</v>
      </c>
      <c r="BJ65" s="1"/>
      <c r="BK65" s="112"/>
      <c r="BL65" s="106"/>
      <c r="BM65" s="3265"/>
      <c r="BN65" s="1"/>
      <c r="BO65" s="26"/>
      <c r="BP65" s="26"/>
      <c r="BQ65" s="26"/>
    </row>
    <row r="66" spans="1:70" x14ac:dyDescent="0.35">
      <c r="A66" s="9168"/>
      <c r="B66" s="240"/>
      <c r="C66" s="240" t="s">
        <v>4021</v>
      </c>
      <c r="D66" s="197"/>
      <c r="F66" s="155">
        <v>172267480.62000003</v>
      </c>
      <c r="H66" s="117">
        <v>43342500</v>
      </c>
      <c r="I66" s="115">
        <v>45504003.709999993</v>
      </c>
      <c r="J66" s="476">
        <f t="shared" si="20"/>
        <v>1.0498703053584817</v>
      </c>
      <c r="L66" s="117"/>
      <c r="M66" s="157">
        <f t="shared" si="21"/>
        <v>0</v>
      </c>
      <c r="O66" s="117">
        <v>44253100</v>
      </c>
      <c r="P66" s="201">
        <v>44061238.340000004</v>
      </c>
      <c r="Q66" s="106"/>
      <c r="R66" s="476">
        <f t="shared" si="22"/>
        <v>0.99566444701049195</v>
      </c>
      <c r="T66" s="117"/>
      <c r="U66" s="106"/>
      <c r="V66" s="157">
        <f t="shared" si="23"/>
        <v>0</v>
      </c>
      <c r="X66" s="26"/>
      <c r="Z66" s="117"/>
      <c r="AA66" s="201"/>
      <c r="AB66" s="106"/>
      <c r="AC66" s="476">
        <f t="shared" si="24"/>
        <v>0</v>
      </c>
      <c r="AE66" s="117"/>
      <c r="AF66" s="106"/>
      <c r="AG66" s="157">
        <f t="shared" si="25"/>
        <v>0</v>
      </c>
      <c r="AI66" s="26"/>
      <c r="AK66" s="117"/>
      <c r="AL66" s="201"/>
      <c r="AM66" s="106"/>
      <c r="AN66" s="476">
        <f t="shared" si="26"/>
        <v>0</v>
      </c>
      <c r="AO66" s="1"/>
      <c r="AP66" s="117"/>
      <c r="AQ66" s="106"/>
      <c r="AR66" s="157">
        <f t="shared" si="27"/>
        <v>0</v>
      </c>
      <c r="AS66" s="1"/>
      <c r="AT66" s="241"/>
      <c r="AU66" s="241" t="s">
        <v>4037</v>
      </c>
      <c r="AV66" s="242"/>
      <c r="AW66" s="127"/>
      <c r="AX66" s="106"/>
      <c r="AY66" s="476">
        <f t="shared" si="16"/>
        <v>0</v>
      </c>
      <c r="AZ66" s="1"/>
      <c r="BA66" s="112"/>
      <c r="BB66" s="3325"/>
      <c r="BC66" s="157"/>
      <c r="BD66" s="1"/>
      <c r="BE66" s="1"/>
      <c r="BF66" s="242"/>
      <c r="BG66" s="201"/>
      <c r="BH66" s="106"/>
      <c r="BI66" s="476">
        <f t="shared" si="17"/>
        <v>0</v>
      </c>
      <c r="BJ66" s="1"/>
      <c r="BK66" s="112"/>
      <c r="BL66" s="3325"/>
      <c r="BM66" s="3265"/>
      <c r="BN66" s="1"/>
      <c r="BO66" s="26"/>
      <c r="BP66" s="26"/>
      <c r="BQ66" s="26"/>
    </row>
    <row r="67" spans="1:70" x14ac:dyDescent="0.35">
      <c r="A67" s="9168"/>
      <c r="B67" s="240"/>
      <c r="C67" s="240" t="s">
        <v>4070</v>
      </c>
      <c r="D67" s="197"/>
      <c r="F67" s="163">
        <v>853891762.29000092</v>
      </c>
      <c r="H67" s="242">
        <v>489158100</v>
      </c>
      <c r="I67" s="243">
        <v>470143263.58999968</v>
      </c>
      <c r="J67" s="476">
        <f t="shared" si="20"/>
        <v>0.96112742197256817</v>
      </c>
      <c r="L67" s="242"/>
      <c r="M67" s="157">
        <f t="shared" si="21"/>
        <v>0</v>
      </c>
      <c r="O67" s="242">
        <v>434292400</v>
      </c>
      <c r="P67" s="233">
        <v>399435005.33999985</v>
      </c>
      <c r="Q67" s="106"/>
      <c r="R67" s="476">
        <f t="shared" si="22"/>
        <v>0.91973749791615012</v>
      </c>
      <c r="T67" s="242"/>
      <c r="U67" s="106"/>
      <c r="V67" s="157">
        <f t="shared" si="23"/>
        <v>0</v>
      </c>
      <c r="X67" s="26"/>
      <c r="Z67" s="242"/>
      <c r="AA67" s="233"/>
      <c r="AB67" s="106"/>
      <c r="AC67" s="476">
        <f t="shared" si="24"/>
        <v>0</v>
      </c>
      <c r="AE67" s="242"/>
      <c r="AF67" s="106"/>
      <c r="AG67" s="157">
        <f t="shared" si="25"/>
        <v>0</v>
      </c>
      <c r="AI67" s="26"/>
      <c r="AK67" s="242"/>
      <c r="AL67" s="233"/>
      <c r="AM67" s="106"/>
      <c r="AN67" s="476">
        <f t="shared" si="26"/>
        <v>0</v>
      </c>
      <c r="AO67" s="1"/>
      <c r="AP67" s="242"/>
      <c r="AQ67" s="106"/>
      <c r="AR67" s="157">
        <f t="shared" si="27"/>
        <v>0</v>
      </c>
      <c r="AS67" s="1"/>
      <c r="AT67" s="241"/>
      <c r="AU67" s="241" t="s">
        <v>4041</v>
      </c>
      <c r="AV67" s="242"/>
      <c r="AW67" s="127"/>
      <c r="AX67" s="106"/>
      <c r="AY67" s="476">
        <f t="shared" si="16"/>
        <v>0</v>
      </c>
      <c r="AZ67" s="1"/>
      <c r="BA67" s="112"/>
      <c r="BB67" s="106"/>
      <c r="BC67" s="157"/>
      <c r="BD67" s="1"/>
      <c r="BE67" s="1"/>
      <c r="BF67" s="242"/>
      <c r="BG67" s="201"/>
      <c r="BH67" s="106"/>
      <c r="BI67" s="476">
        <f t="shared" si="17"/>
        <v>0</v>
      </c>
      <c r="BJ67" s="1"/>
      <c r="BK67" s="112"/>
      <c r="BL67" s="106"/>
      <c r="BM67" s="3265"/>
      <c r="BN67" s="1"/>
      <c r="BO67" s="26"/>
      <c r="BP67" s="26"/>
      <c r="BQ67" s="26"/>
    </row>
    <row r="68" spans="1:70" x14ac:dyDescent="0.35">
      <c r="A68" s="9168"/>
      <c r="B68" s="240"/>
      <c r="C68" s="240" t="s">
        <v>4023</v>
      </c>
      <c r="D68" s="197"/>
      <c r="F68" s="163">
        <v>72504343.98999998</v>
      </c>
      <c r="H68" s="242">
        <v>50377200</v>
      </c>
      <c r="I68" s="243">
        <v>54301304.170000002</v>
      </c>
      <c r="J68" s="476">
        <f t="shared" si="20"/>
        <v>1.0778944476866519</v>
      </c>
      <c r="L68" s="242"/>
      <c r="M68" s="157">
        <f t="shared" si="21"/>
        <v>0</v>
      </c>
      <c r="O68" s="242">
        <v>48610500</v>
      </c>
      <c r="P68" s="201">
        <v>48025369.350000001</v>
      </c>
      <c r="Q68" s="106"/>
      <c r="R68" s="476">
        <f t="shared" si="22"/>
        <v>0.98796287530471816</v>
      </c>
      <c r="T68" s="242"/>
      <c r="U68" s="106"/>
      <c r="V68" s="157">
        <f t="shared" si="23"/>
        <v>0</v>
      </c>
      <c r="X68" s="26"/>
      <c r="Z68" s="242"/>
      <c r="AA68" s="201"/>
      <c r="AB68" s="106"/>
      <c r="AC68" s="476">
        <f t="shared" si="24"/>
        <v>0</v>
      </c>
      <c r="AE68" s="242"/>
      <c r="AF68" s="106"/>
      <c r="AG68" s="157">
        <f t="shared" si="25"/>
        <v>0</v>
      </c>
      <c r="AI68" s="26"/>
      <c r="AK68" s="242"/>
      <c r="AL68" s="201"/>
      <c r="AM68" s="106"/>
      <c r="AN68" s="476">
        <f t="shared" si="26"/>
        <v>0</v>
      </c>
      <c r="AO68" s="1"/>
      <c r="AP68" s="242"/>
      <c r="AQ68" s="106"/>
      <c r="AR68" s="157">
        <f t="shared" si="27"/>
        <v>0</v>
      </c>
      <c r="AS68" s="1"/>
      <c r="AT68" s="241"/>
      <c r="AU68" s="241"/>
      <c r="AV68" s="131"/>
      <c r="AW68" s="800"/>
      <c r="AX68" s="216"/>
      <c r="AY68" s="484">
        <f t="shared" si="16"/>
        <v>0</v>
      </c>
      <c r="AZ68" s="1"/>
      <c r="BA68" s="242"/>
      <c r="BB68" s="216"/>
      <c r="BC68" s="157"/>
      <c r="BD68" s="1"/>
      <c r="BE68" s="1"/>
      <c r="BF68" s="131"/>
      <c r="BG68" s="132"/>
      <c r="BH68" s="216"/>
      <c r="BI68" s="484">
        <f t="shared" si="17"/>
        <v>0</v>
      </c>
      <c r="BJ68" s="1"/>
      <c r="BK68" s="131"/>
      <c r="BL68" s="216"/>
      <c r="BM68" s="3264"/>
      <c r="BN68" s="1"/>
      <c r="BO68" s="26"/>
      <c r="BP68" s="26"/>
      <c r="BQ68" s="26"/>
    </row>
    <row r="69" spans="1:70" x14ac:dyDescent="0.35">
      <c r="A69" s="9168"/>
      <c r="B69" s="240"/>
      <c r="C69" s="240" t="s">
        <v>4029</v>
      </c>
      <c r="D69" s="197"/>
      <c r="F69" s="163">
        <v>6059169.870000001</v>
      </c>
      <c r="H69" s="242">
        <v>3131100</v>
      </c>
      <c r="I69" s="243">
        <v>3251250.4100000006</v>
      </c>
      <c r="J69" s="476">
        <f t="shared" si="20"/>
        <v>1.0383732266615568</v>
      </c>
      <c r="L69" s="242"/>
      <c r="M69" s="157">
        <f t="shared" si="21"/>
        <v>0</v>
      </c>
      <c r="O69" s="242">
        <v>3091300</v>
      </c>
      <c r="P69" s="233">
        <v>2667643.87</v>
      </c>
      <c r="Q69" s="106"/>
      <c r="R69" s="476">
        <f t="shared" si="22"/>
        <v>0.86295211399734739</v>
      </c>
      <c r="T69" s="242"/>
      <c r="U69" s="106"/>
      <c r="V69" s="157">
        <f t="shared" si="23"/>
        <v>0</v>
      </c>
      <c r="X69" s="26"/>
      <c r="Z69" s="242"/>
      <c r="AA69" s="233"/>
      <c r="AB69" s="106"/>
      <c r="AC69" s="476">
        <f t="shared" si="24"/>
        <v>0</v>
      </c>
      <c r="AE69" s="242"/>
      <c r="AF69" s="106"/>
      <c r="AG69" s="157">
        <f t="shared" si="25"/>
        <v>0</v>
      </c>
      <c r="AI69" s="26"/>
      <c r="AK69" s="242"/>
      <c r="AL69" s="233"/>
      <c r="AM69" s="106"/>
      <c r="AN69" s="476">
        <f t="shared" si="26"/>
        <v>0</v>
      </c>
      <c r="AO69" s="1"/>
      <c r="AP69" s="242"/>
      <c r="AQ69" s="106"/>
      <c r="AR69" s="157">
        <f t="shared" si="27"/>
        <v>0</v>
      </c>
      <c r="AS69" s="1"/>
      <c r="AT69" s="271" t="s">
        <v>540</v>
      </c>
      <c r="AU69" s="271"/>
      <c r="AV69" s="245"/>
      <c r="AW69" s="106"/>
      <c r="AX69" s="106"/>
      <c r="AY69" s="518"/>
      <c r="AZ69" s="141"/>
      <c r="BA69" s="102"/>
      <c r="BB69" s="106"/>
      <c r="BC69" s="268"/>
      <c r="BD69" s="141"/>
      <c r="BE69" s="141"/>
      <c r="BF69" s="245"/>
      <c r="BG69" s="106"/>
      <c r="BH69" s="106"/>
      <c r="BI69" s="518"/>
      <c r="BJ69" s="141"/>
      <c r="BK69" s="102"/>
      <c r="BL69" s="106"/>
      <c r="BM69" s="268"/>
      <c r="BN69" s="141"/>
      <c r="BO69" s="18"/>
      <c r="BP69" s="18"/>
      <c r="BQ69" s="26"/>
    </row>
    <row r="70" spans="1:70" x14ac:dyDescent="0.35">
      <c r="A70" s="9168"/>
      <c r="B70" s="240"/>
      <c r="C70" s="240" t="s">
        <v>4071</v>
      </c>
      <c r="D70" s="197"/>
      <c r="F70" s="163">
        <v>3227083146.6099992</v>
      </c>
      <c r="H70" s="242">
        <v>3444064350</v>
      </c>
      <c r="I70" s="243">
        <v>3609848539.3499994</v>
      </c>
      <c r="J70" s="476">
        <f t="shared" si="20"/>
        <v>1.0481362055125363</v>
      </c>
      <c r="L70" s="242"/>
      <c r="M70" s="157">
        <f t="shared" si="21"/>
        <v>0</v>
      </c>
      <c r="O70" s="242">
        <v>3385233755</v>
      </c>
      <c r="P70" s="201">
        <v>3312409311.4899998</v>
      </c>
      <c r="Q70" s="106"/>
      <c r="R70" s="476">
        <f t="shared" si="22"/>
        <v>0.97848761746439572</v>
      </c>
      <c r="T70" s="242"/>
      <c r="U70" s="106"/>
      <c r="V70" s="157">
        <f t="shared" si="23"/>
        <v>0</v>
      </c>
      <c r="X70" s="26"/>
      <c r="Z70" s="242"/>
      <c r="AA70" s="201"/>
      <c r="AB70" s="106"/>
      <c r="AC70" s="476">
        <f t="shared" si="24"/>
        <v>0</v>
      </c>
      <c r="AE70" s="242"/>
      <c r="AF70" s="106"/>
      <c r="AG70" s="157">
        <f t="shared" si="25"/>
        <v>0</v>
      </c>
      <c r="AI70" s="26"/>
      <c r="AK70" s="242"/>
      <c r="AL70" s="201"/>
      <c r="AM70" s="106"/>
      <c r="AN70" s="476">
        <f t="shared" si="26"/>
        <v>0</v>
      </c>
      <c r="AO70" s="1"/>
      <c r="AP70" s="242"/>
      <c r="AQ70" s="106"/>
      <c r="AR70" s="157">
        <f t="shared" si="27"/>
        <v>0</v>
      </c>
      <c r="AS70" s="1"/>
      <c r="AT70" s="240"/>
      <c r="AU70" s="240" t="s">
        <v>4019</v>
      </c>
      <c r="AV70" s="112">
        <v>911547000</v>
      </c>
      <c r="AW70" s="233"/>
      <c r="AX70" s="106"/>
      <c r="AY70" s="476">
        <f t="shared" ref="AY70:AY77" si="28">IF(AV70=0,0,AW70/AV70)</f>
        <v>0</v>
      </c>
      <c r="AZ70" s="1"/>
      <c r="BA70" s="112"/>
      <c r="BB70" s="106" t="s">
        <v>3984</v>
      </c>
      <c r="BC70" s="157">
        <f t="shared" ref="BC70:BC77" si="29">BA70*AY70</f>
        <v>0</v>
      </c>
      <c r="BD70" s="1"/>
      <c r="BE70" s="1"/>
      <c r="BF70" s="112"/>
      <c r="BG70" s="233"/>
      <c r="BH70" s="106"/>
      <c r="BI70" s="476">
        <f t="shared" ref="BI70:BI77" si="30">IF(BF70=0,0,BG70/BF70)</f>
        <v>0</v>
      </c>
      <c r="BJ70" s="1"/>
      <c r="BK70" s="112"/>
      <c r="BL70" s="106" t="s">
        <v>3984</v>
      </c>
      <c r="BM70" s="3265">
        <f t="shared" ref="BM70:BM77" si="31">BK70*BI70</f>
        <v>0</v>
      </c>
      <c r="BN70" s="1"/>
      <c r="BO70" s="26"/>
      <c r="BP70" s="26"/>
      <c r="BQ70" s="26"/>
    </row>
    <row r="71" spans="1:70" x14ac:dyDescent="0.35">
      <c r="A71" s="9168"/>
      <c r="B71" s="240"/>
      <c r="C71" s="240" t="s">
        <v>4033</v>
      </c>
      <c r="D71" s="197"/>
      <c r="F71" s="163">
        <v>8196819.6999999993</v>
      </c>
      <c r="H71" s="163">
        <v>8196819.6999999993</v>
      </c>
      <c r="I71" s="243"/>
      <c r="J71" s="476">
        <f t="shared" si="20"/>
        <v>0</v>
      </c>
      <c r="L71" s="242"/>
      <c r="M71" s="157">
        <f t="shared" si="21"/>
        <v>0</v>
      </c>
      <c r="O71" s="242"/>
      <c r="P71" s="201"/>
      <c r="Q71" s="106"/>
      <c r="R71" s="476">
        <f t="shared" si="22"/>
        <v>0</v>
      </c>
      <c r="T71" s="242"/>
      <c r="U71" s="106"/>
      <c r="V71" s="157">
        <f t="shared" si="23"/>
        <v>0</v>
      </c>
      <c r="X71" s="26"/>
      <c r="Z71" s="242"/>
      <c r="AA71" s="201"/>
      <c r="AB71" s="106"/>
      <c r="AC71" s="476">
        <f t="shared" si="24"/>
        <v>0</v>
      </c>
      <c r="AE71" s="242"/>
      <c r="AF71" s="106"/>
      <c r="AG71" s="157">
        <f t="shared" si="25"/>
        <v>0</v>
      </c>
      <c r="AI71" s="26"/>
      <c r="AK71" s="242"/>
      <c r="AL71" s="201"/>
      <c r="AM71" s="106"/>
      <c r="AN71" s="476">
        <f t="shared" si="26"/>
        <v>0</v>
      </c>
      <c r="AO71" s="1"/>
      <c r="AP71" s="242"/>
      <c r="AQ71" s="106"/>
      <c r="AR71" s="157">
        <f t="shared" si="27"/>
        <v>0</v>
      </c>
      <c r="AS71" s="1"/>
      <c r="AT71" s="240"/>
      <c r="AU71" s="240" t="s">
        <v>4021</v>
      </c>
      <c r="AV71" s="117"/>
      <c r="AW71" s="201"/>
      <c r="AX71" s="106"/>
      <c r="AY71" s="476">
        <f t="shared" si="28"/>
        <v>0</v>
      </c>
      <c r="AZ71" s="1"/>
      <c r="BA71" s="117"/>
      <c r="BB71" s="106"/>
      <c r="BC71" s="157">
        <f t="shared" si="29"/>
        <v>0</v>
      </c>
      <c r="BD71" s="1"/>
      <c r="BE71" s="1"/>
      <c r="BF71" s="117"/>
      <c r="BG71" s="201"/>
      <c r="BH71" s="106"/>
      <c r="BI71" s="476">
        <f t="shared" si="30"/>
        <v>0</v>
      </c>
      <c r="BJ71" s="1"/>
      <c r="BK71" s="117"/>
      <c r="BL71" s="106"/>
      <c r="BM71" s="3265">
        <f t="shared" si="31"/>
        <v>0</v>
      </c>
      <c r="BN71" s="1"/>
      <c r="BO71" s="26"/>
      <c r="BP71" s="26"/>
      <c r="BQ71" s="26"/>
    </row>
    <row r="72" spans="1:70" x14ac:dyDescent="0.35">
      <c r="A72" s="9168"/>
      <c r="B72" s="250"/>
      <c r="C72" s="240" t="s">
        <v>4041</v>
      </c>
      <c r="D72" s="209"/>
      <c r="F72" s="130"/>
      <c r="H72" s="242"/>
      <c r="I72" s="243"/>
      <c r="J72" s="476">
        <f t="shared" si="20"/>
        <v>0</v>
      </c>
      <c r="L72" s="242"/>
      <c r="M72" s="157">
        <f t="shared" si="21"/>
        <v>0</v>
      </c>
      <c r="O72" s="242">
        <v>791800</v>
      </c>
      <c r="P72" s="201">
        <v>156133.41</v>
      </c>
      <c r="Q72" s="216"/>
      <c r="R72" s="476">
        <f t="shared" si="22"/>
        <v>0.1971879388734529</v>
      </c>
      <c r="T72" s="242"/>
      <c r="U72" s="216"/>
      <c r="V72" s="157">
        <f t="shared" si="23"/>
        <v>0</v>
      </c>
      <c r="X72" s="24"/>
      <c r="Z72" s="242"/>
      <c r="AA72" s="201"/>
      <c r="AB72" s="216"/>
      <c r="AC72" s="476">
        <f t="shared" si="24"/>
        <v>0</v>
      </c>
      <c r="AE72" s="242"/>
      <c r="AF72" s="216"/>
      <c r="AG72" s="157">
        <f t="shared" si="25"/>
        <v>0</v>
      </c>
      <c r="AI72" s="24"/>
      <c r="AK72" s="242"/>
      <c r="AL72" s="201"/>
      <c r="AM72" s="216"/>
      <c r="AN72" s="476">
        <f t="shared" si="26"/>
        <v>0</v>
      </c>
      <c r="AO72" s="1"/>
      <c r="AP72" s="242"/>
      <c r="AQ72" s="216"/>
      <c r="AR72" s="157">
        <f t="shared" si="27"/>
        <v>0</v>
      </c>
      <c r="AS72" s="1"/>
      <c r="AT72" s="240"/>
      <c r="AU72" s="240" t="s">
        <v>4070</v>
      </c>
      <c r="AV72" s="242"/>
      <c r="AW72" s="233"/>
      <c r="AX72" s="106"/>
      <c r="AY72" s="476">
        <f t="shared" si="28"/>
        <v>0</v>
      </c>
      <c r="AZ72" s="1"/>
      <c r="BA72" s="242"/>
      <c r="BB72" s="106"/>
      <c r="BC72" s="157">
        <f t="shared" si="29"/>
        <v>0</v>
      </c>
      <c r="BD72" s="1"/>
      <c r="BE72" s="1"/>
      <c r="BF72" s="242"/>
      <c r="BG72" s="233"/>
      <c r="BH72" s="106"/>
      <c r="BI72" s="476">
        <f t="shared" si="30"/>
        <v>0</v>
      </c>
      <c r="BJ72" s="1"/>
      <c r="BK72" s="242"/>
      <c r="BL72" s="106"/>
      <c r="BM72" s="3265">
        <f t="shared" si="31"/>
        <v>0</v>
      </c>
      <c r="BN72" s="1"/>
      <c r="BO72" s="26"/>
      <c r="BP72" s="26"/>
      <c r="BQ72" s="24"/>
    </row>
    <row r="73" spans="1:70" x14ac:dyDescent="0.35">
      <c r="A73" s="9168"/>
      <c r="B73" s="271" t="s">
        <v>2230</v>
      </c>
      <c r="C73" s="271"/>
      <c r="D73" s="184"/>
      <c r="E73" s="143"/>
      <c r="F73" s="227"/>
      <c r="G73" s="143"/>
      <c r="H73" s="102"/>
      <c r="I73" s="103"/>
      <c r="J73" s="228"/>
      <c r="K73" s="143"/>
      <c r="L73" s="102"/>
      <c r="M73" s="268"/>
      <c r="N73" s="143"/>
      <c r="O73" s="102"/>
      <c r="P73" s="103"/>
      <c r="Q73" s="106"/>
      <c r="R73" s="228"/>
      <c r="S73" s="143"/>
      <c r="T73" s="102"/>
      <c r="U73" s="106"/>
      <c r="V73" s="268"/>
      <c r="W73" s="143"/>
      <c r="X73" s="18"/>
      <c r="Z73" s="102"/>
      <c r="AA73" s="103"/>
      <c r="AB73" s="106"/>
      <c r="AC73" s="228"/>
      <c r="AD73" s="143"/>
      <c r="AE73" s="102"/>
      <c r="AF73" s="106"/>
      <c r="AG73" s="268"/>
      <c r="AH73" s="143"/>
      <c r="AI73" s="18"/>
      <c r="AK73" s="102"/>
      <c r="AL73" s="103"/>
      <c r="AM73" s="106"/>
      <c r="AN73" s="228"/>
      <c r="AO73" s="143"/>
      <c r="AP73" s="102"/>
      <c r="AQ73" s="106"/>
      <c r="AR73" s="268"/>
      <c r="AS73" s="143"/>
      <c r="AT73" s="240"/>
      <c r="AU73" s="240" t="s">
        <v>4023</v>
      </c>
      <c r="AV73" s="242"/>
      <c r="AW73" s="201"/>
      <c r="AX73" s="106"/>
      <c r="AY73" s="476">
        <f t="shared" si="28"/>
        <v>0</v>
      </c>
      <c r="AZ73" s="1"/>
      <c r="BA73" s="242"/>
      <c r="BB73" s="106"/>
      <c r="BC73" s="157">
        <f t="shared" si="29"/>
        <v>0</v>
      </c>
      <c r="BD73" s="1"/>
      <c r="BE73" s="1"/>
      <c r="BF73" s="242"/>
      <c r="BG73" s="201"/>
      <c r="BH73" s="106"/>
      <c r="BI73" s="476">
        <f t="shared" si="30"/>
        <v>0</v>
      </c>
      <c r="BJ73" s="1"/>
      <c r="BK73" s="242"/>
      <c r="BL73" s="106"/>
      <c r="BM73" s="3265">
        <f t="shared" si="31"/>
        <v>0</v>
      </c>
      <c r="BN73" s="1"/>
      <c r="BO73" s="26"/>
      <c r="BP73" s="26"/>
      <c r="BQ73" s="18"/>
    </row>
    <row r="74" spans="1:70" x14ac:dyDescent="0.35">
      <c r="A74" s="9168"/>
      <c r="B74" s="272"/>
      <c r="C74" s="272" t="s">
        <v>980</v>
      </c>
      <c r="D74" s="197"/>
      <c r="F74" s="155">
        <v>4797076823.9199972</v>
      </c>
      <c r="H74" s="117">
        <v>5675148524</v>
      </c>
      <c r="I74" s="115">
        <v>5899040475.0400038</v>
      </c>
      <c r="J74" s="476">
        <f>IF(H74=0,0,I74/H74)</f>
        <v>1.0394512936697908</v>
      </c>
      <c r="L74" s="117">
        <v>5881204400</v>
      </c>
      <c r="M74" s="157">
        <f>L74*J74</f>
        <v>6113225521.9164658</v>
      </c>
      <c r="O74" s="117"/>
      <c r="P74" s="201"/>
      <c r="Q74" s="106"/>
      <c r="R74" s="476">
        <f>IF(O74=0,0,P74/O74)</f>
        <v>0</v>
      </c>
      <c r="T74" s="117"/>
      <c r="V74" s="157"/>
      <c r="X74" s="26"/>
      <c r="Z74" s="117"/>
      <c r="AA74" s="201"/>
      <c r="AB74" s="106"/>
      <c r="AC74" s="476">
        <f>IF(Z74=0,0,AA74/Z74)</f>
        <v>0</v>
      </c>
      <c r="AE74" s="117"/>
      <c r="AF74" t="s">
        <v>4072</v>
      </c>
      <c r="AG74" s="157"/>
      <c r="AI74" s="26"/>
      <c r="AK74" s="117"/>
      <c r="AL74" s="201"/>
      <c r="AM74" s="106"/>
      <c r="AN74" s="476">
        <f>IF(AK74=0,0,AL74/AK74)</f>
        <v>0</v>
      </c>
      <c r="AO74" s="1"/>
      <c r="AP74" s="117"/>
      <c r="AQ74" t="s">
        <v>4073</v>
      </c>
      <c r="AR74" s="157"/>
      <c r="AS74" s="1"/>
      <c r="AT74" s="240"/>
      <c r="AU74" s="240" t="s">
        <v>4029</v>
      </c>
      <c r="AV74" s="242"/>
      <c r="AW74" s="233"/>
      <c r="AX74" s="106"/>
      <c r="AY74" s="476">
        <f t="shared" si="28"/>
        <v>0</v>
      </c>
      <c r="AZ74" s="1"/>
      <c r="BA74" s="242"/>
      <c r="BB74" s="106"/>
      <c r="BC74" s="157">
        <f t="shared" si="29"/>
        <v>0</v>
      </c>
      <c r="BD74" s="1"/>
      <c r="BE74" s="1"/>
      <c r="BF74" s="242"/>
      <c r="BG74" s="233"/>
      <c r="BH74" s="106"/>
      <c r="BI74" s="476">
        <f t="shared" si="30"/>
        <v>0</v>
      </c>
      <c r="BJ74" s="1"/>
      <c r="BK74" s="242"/>
      <c r="BL74" s="106"/>
      <c r="BM74" s="3265">
        <f t="shared" si="31"/>
        <v>0</v>
      </c>
      <c r="BN74" s="1"/>
      <c r="BO74" s="26"/>
      <c r="BP74" s="26"/>
      <c r="BQ74" s="26"/>
    </row>
    <row r="75" spans="1:70" x14ac:dyDescent="0.35">
      <c r="A75" s="9168"/>
      <c r="B75" s="274"/>
      <c r="C75" s="275" t="s">
        <v>11</v>
      </c>
      <c r="D75" s="197"/>
      <c r="F75" s="163"/>
      <c r="H75" s="242"/>
      <c r="I75" s="243"/>
      <c r="J75" s="476"/>
      <c r="L75" s="242"/>
      <c r="M75" s="157"/>
      <c r="O75" s="117">
        <v>6204068220</v>
      </c>
      <c r="P75" s="201">
        <v>5775856745.0599966</v>
      </c>
      <c r="Q75" s="106"/>
      <c r="R75" s="476">
        <f>IF(O75=0,0,P75/O75)</f>
        <v>0.93097892225627343</v>
      </c>
      <c r="T75" s="117">
        <f>6273006700-T76</f>
        <v>5720790787.7300005</v>
      </c>
      <c r="U75" s="106" t="s">
        <v>4074</v>
      </c>
      <c r="V75" s="157">
        <f>T75*R75</f>
        <v>5325935642.014493</v>
      </c>
      <c r="X75" s="24"/>
      <c r="Z75" s="117">
        <f>6450260400</f>
        <v>6450260400</v>
      </c>
      <c r="AA75" s="201">
        <v>6274395300</v>
      </c>
      <c r="AB75" s="106" t="s">
        <v>4069</v>
      </c>
      <c r="AC75" s="476">
        <f>IF(Z75=0,0,AA75/Z75)</f>
        <v>0.97273519376054962</v>
      </c>
      <c r="AE75" s="117">
        <v>6669793500</v>
      </c>
      <c r="AF75" s="106" t="s">
        <v>4075</v>
      </c>
      <c r="AG75" s="157">
        <f>AE75*AC75</f>
        <v>6487942872.5653543</v>
      </c>
      <c r="AI75" s="24"/>
      <c r="AK75" s="117">
        <f>6450260400</f>
        <v>6450260400</v>
      </c>
      <c r="AL75" s="201">
        <v>6274395300</v>
      </c>
      <c r="AM75" s="106" t="s">
        <v>4069</v>
      </c>
      <c r="AN75" s="476">
        <f>IF(AK75=0,0,AL75/AK75)</f>
        <v>0.97273519376054962</v>
      </c>
      <c r="AO75" s="1"/>
      <c r="AP75" s="117">
        <f>(7251927.8+174234.7)*1000</f>
        <v>7426162500</v>
      </c>
      <c r="AQ75" s="3319" t="s">
        <v>4075</v>
      </c>
      <c r="AR75" s="157">
        <f>AP75*AN75</f>
        <v>7223689618.3348274</v>
      </c>
      <c r="AS75" s="1"/>
      <c r="AT75" s="240"/>
      <c r="AU75" s="240" t="s">
        <v>4071</v>
      </c>
      <c r="AV75" s="242"/>
      <c r="AW75" s="201"/>
      <c r="AX75" s="106"/>
      <c r="AY75" s="476">
        <f t="shared" si="28"/>
        <v>0</v>
      </c>
      <c r="AZ75" s="1"/>
      <c r="BA75" s="242"/>
      <c r="BB75" s="106"/>
      <c r="BC75" s="157">
        <f t="shared" si="29"/>
        <v>0</v>
      </c>
      <c r="BD75" s="1"/>
      <c r="BE75" s="1"/>
      <c r="BF75" s="242"/>
      <c r="BG75" s="201"/>
      <c r="BH75" s="106"/>
      <c r="BI75" s="476">
        <f t="shared" si="30"/>
        <v>0</v>
      </c>
      <c r="BJ75" s="1"/>
      <c r="BK75" s="242"/>
      <c r="BL75" s="106"/>
      <c r="BM75" s="3265">
        <f t="shared" si="31"/>
        <v>0</v>
      </c>
      <c r="BN75" s="1"/>
      <c r="BO75" s="26"/>
      <c r="BP75" s="26"/>
      <c r="BQ75" s="24"/>
      <c r="BR75" s="3326"/>
    </row>
    <row r="76" spans="1:70" x14ac:dyDescent="0.35">
      <c r="A76" s="9168"/>
      <c r="B76" s="274"/>
      <c r="C76" s="275" t="s">
        <v>1116</v>
      </c>
      <c r="D76" s="197"/>
      <c r="F76" s="163"/>
      <c r="H76" s="242"/>
      <c r="I76" s="243"/>
      <c r="J76" s="476"/>
      <c r="L76" s="242"/>
      <c r="M76" s="157"/>
      <c r="O76" s="242">
        <v>238471911</v>
      </c>
      <c r="P76" s="201">
        <v>552215912.26999986</v>
      </c>
      <c r="Q76" s="106"/>
      <c r="R76" s="476">
        <f>IF(O76=0,0,P76/O76)</f>
        <v>2.3156434229690048</v>
      </c>
      <c r="T76" s="3327">
        <f>P76</f>
        <v>552215912.26999986</v>
      </c>
      <c r="U76" s="106" t="s">
        <v>3343</v>
      </c>
      <c r="V76" s="3173">
        <f>T76</f>
        <v>552215912.26999986</v>
      </c>
      <c r="X76" s="26"/>
      <c r="Z76" s="242"/>
      <c r="AA76" s="201"/>
      <c r="AB76" s="106"/>
      <c r="AC76" s="476">
        <f>IF(Z76=0,0,AA76/Z76)</f>
        <v>0</v>
      </c>
      <c r="AE76" s="3327">
        <v>552215912.26999986</v>
      </c>
      <c r="AF76" s="106" t="s">
        <v>3343</v>
      </c>
      <c r="AG76" s="3173">
        <f>AE76*AC76</f>
        <v>0</v>
      </c>
      <c r="AI76" s="26"/>
      <c r="AK76" s="242"/>
      <c r="AL76" s="201"/>
      <c r="AM76" s="106"/>
      <c r="AN76" s="476">
        <f>IF(AK76=0,0,AL76/AK76)</f>
        <v>0</v>
      </c>
      <c r="AO76" s="1"/>
      <c r="AP76" s="3327">
        <f>20032.8*1000</f>
        <v>20032800</v>
      </c>
      <c r="AQ76" s="3319" t="s">
        <v>4076</v>
      </c>
      <c r="AR76" s="3173">
        <f>AP76*AN76</f>
        <v>0</v>
      </c>
      <c r="AS76" s="1"/>
      <c r="AT76" s="240"/>
      <c r="AU76" s="240" t="s">
        <v>4033</v>
      </c>
      <c r="AV76" s="242"/>
      <c r="AW76" s="201"/>
      <c r="AX76" s="106"/>
      <c r="AY76" s="476">
        <f t="shared" si="28"/>
        <v>0</v>
      </c>
      <c r="AZ76" s="1"/>
      <c r="BA76" s="242"/>
      <c r="BB76" s="106"/>
      <c r="BC76" s="157">
        <f t="shared" si="29"/>
        <v>0</v>
      </c>
      <c r="BD76" s="1"/>
      <c r="BE76" s="1"/>
      <c r="BF76" s="242"/>
      <c r="BG76" s="201"/>
      <c r="BH76" s="106"/>
      <c r="BI76" s="476">
        <f t="shared" si="30"/>
        <v>0</v>
      </c>
      <c r="BJ76" s="1"/>
      <c r="BK76" s="242"/>
      <c r="BL76" s="106"/>
      <c r="BM76" s="3265">
        <f t="shared" si="31"/>
        <v>0</v>
      </c>
      <c r="BN76" s="1"/>
      <c r="BO76" s="26"/>
      <c r="BP76" s="26"/>
      <c r="BQ76" s="26"/>
      <c r="BR76" s="3328"/>
    </row>
    <row r="77" spans="1:70" ht="15.25" customHeight="1" x14ac:dyDescent="0.35">
      <c r="A77" s="9168"/>
      <c r="B77" s="277"/>
      <c r="C77" s="277" t="s">
        <v>555</v>
      </c>
      <c r="D77" s="209"/>
      <c r="F77" s="665" t="e">
        <f>F74/F29</f>
        <v>#DIV/0!</v>
      </c>
      <c r="G77" s="666"/>
      <c r="H77" s="283" t="e">
        <f>H74/H29</f>
        <v>#DIV/0!</v>
      </c>
      <c r="I77" s="667" t="e">
        <f>I74/I29</f>
        <v>#DIV/0!</v>
      </c>
      <c r="J77" s="484"/>
      <c r="L77" s="283"/>
      <c r="M77" s="668"/>
      <c r="N77" s="143"/>
      <c r="O77" s="283"/>
      <c r="P77" s="201"/>
      <c r="Q77" s="3329"/>
      <c r="R77" s="484"/>
      <c r="T77" s="283"/>
      <c r="U77" s="3329"/>
      <c r="V77" s="668"/>
      <c r="W77" s="143"/>
      <c r="X77" s="18"/>
      <c r="Z77" s="283"/>
      <c r="AA77" s="201"/>
      <c r="AB77" s="3329"/>
      <c r="AC77" s="484"/>
      <c r="AE77" s="283"/>
      <c r="AF77" s="3329"/>
      <c r="AG77" s="668"/>
      <c r="AH77" s="143"/>
      <c r="AI77" s="18"/>
      <c r="AK77" s="283"/>
      <c r="AL77" s="201"/>
      <c r="AM77" s="3329"/>
      <c r="AN77" s="484"/>
      <c r="AO77" s="1"/>
      <c r="AP77" s="283"/>
      <c r="AQ77" s="3329"/>
      <c r="AR77" s="668"/>
      <c r="AS77" s="143"/>
      <c r="AT77" s="250"/>
      <c r="AU77" s="240" t="s">
        <v>4041</v>
      </c>
      <c r="AV77" s="242"/>
      <c r="AW77" s="201"/>
      <c r="AX77" s="216"/>
      <c r="AY77" s="476">
        <f t="shared" si="28"/>
        <v>0</v>
      </c>
      <c r="AZ77" s="1"/>
      <c r="BA77" s="242"/>
      <c r="BB77" s="216"/>
      <c r="BC77" s="157">
        <f t="shared" si="29"/>
        <v>0</v>
      </c>
      <c r="BD77" s="1"/>
      <c r="BE77" s="1"/>
      <c r="BF77" s="242"/>
      <c r="BG77" s="201"/>
      <c r="BH77" s="216"/>
      <c r="BI77" s="476">
        <f t="shared" si="30"/>
        <v>0</v>
      </c>
      <c r="BJ77" s="1"/>
      <c r="BK77" s="242"/>
      <c r="BL77" s="216"/>
      <c r="BM77" s="3264">
        <f t="shared" si="31"/>
        <v>0</v>
      </c>
      <c r="BN77" s="1"/>
      <c r="BO77" s="24"/>
      <c r="BP77" s="24"/>
      <c r="BQ77" s="18"/>
    </row>
    <row r="78" spans="1:70" x14ac:dyDescent="0.35">
      <c r="A78" s="9168"/>
      <c r="B78" s="287" t="s">
        <v>556</v>
      </c>
      <c r="C78" s="288"/>
      <c r="D78" s="184"/>
      <c r="E78" s="143"/>
      <c r="F78" s="289"/>
      <c r="G78" s="290"/>
      <c r="H78" s="291"/>
      <c r="I78" s="292"/>
      <c r="J78" s="293"/>
      <c r="L78" s="291"/>
      <c r="M78" s="268"/>
      <c r="O78" s="291" t="s">
        <v>4077</v>
      </c>
      <c r="P78" s="292"/>
      <c r="Q78" s="106"/>
      <c r="R78" s="293"/>
      <c r="T78" s="1388" t="s">
        <v>4014</v>
      </c>
      <c r="U78" s="106"/>
      <c r="V78" s="3330" t="s">
        <v>4014</v>
      </c>
      <c r="X78" s="26"/>
      <c r="Z78" s="291" t="s">
        <v>4077</v>
      </c>
      <c r="AA78" s="292"/>
      <c r="AB78" s="106"/>
      <c r="AC78" s="293"/>
      <c r="AE78" s="1388" t="s">
        <v>4014</v>
      </c>
      <c r="AF78" s="106"/>
      <c r="AG78" s="3330" t="s">
        <v>4014</v>
      </c>
      <c r="AI78" s="26"/>
      <c r="AK78" s="291" t="s">
        <v>4077</v>
      </c>
      <c r="AL78" s="292"/>
      <c r="AM78" s="106"/>
      <c r="AN78" s="293"/>
      <c r="AO78" s="1"/>
      <c r="AP78" s="1388" t="s">
        <v>4014</v>
      </c>
      <c r="AQ78" s="106"/>
      <c r="AR78" s="3330" t="s">
        <v>4014</v>
      </c>
      <c r="AS78" s="1"/>
      <c r="AT78" s="271" t="s">
        <v>2230</v>
      </c>
      <c r="AU78" s="271"/>
      <c r="AV78" s="102" t="s">
        <v>4078</v>
      </c>
      <c r="AW78" s="103" t="s">
        <v>4079</v>
      </c>
      <c r="AX78" s="106"/>
      <c r="AY78" s="228"/>
      <c r="AZ78" s="143"/>
      <c r="BA78" s="102" t="s">
        <v>4080</v>
      </c>
      <c r="BB78" s="106"/>
      <c r="BC78" s="229" t="s">
        <v>3936</v>
      </c>
      <c r="BD78" s="143"/>
      <c r="BE78" s="143"/>
      <c r="BF78" s="102" t="s">
        <v>4081</v>
      </c>
      <c r="BG78" s="103" t="s">
        <v>3995</v>
      </c>
      <c r="BH78" s="253" t="s">
        <v>4082</v>
      </c>
      <c r="BI78" s="228"/>
      <c r="BJ78" s="143"/>
      <c r="BK78" s="102"/>
      <c r="BL78" s="253"/>
      <c r="BM78" s="229"/>
      <c r="BN78" s="143"/>
      <c r="BO78" s="18"/>
      <c r="BP78" s="18"/>
      <c r="BQ78" s="26"/>
    </row>
    <row r="79" spans="1:70" x14ac:dyDescent="0.35">
      <c r="A79" s="9168"/>
      <c r="B79" s="302"/>
      <c r="C79" s="587" t="s">
        <v>4083</v>
      </c>
      <c r="D79" s="197"/>
      <c r="F79" s="521"/>
      <c r="G79" s="272"/>
      <c r="H79" s="304"/>
      <c r="I79" s="522"/>
      <c r="J79" s="523">
        <f>IF(H79=0,0,I79/H79)</f>
        <v>0</v>
      </c>
      <c r="L79" s="304"/>
      <c r="M79" s="157">
        <f>L79*J79</f>
        <v>0</v>
      </c>
      <c r="O79" s="3331">
        <v>192690800</v>
      </c>
      <c r="P79" s="303">
        <v>285206933.99000001</v>
      </c>
      <c r="Q79" s="57" t="s">
        <v>4084</v>
      </c>
      <c r="R79" s="523">
        <f>IF(O79=0,0,P79/O79)</f>
        <v>1.480127406134595</v>
      </c>
      <c r="T79" s="304">
        <f>P79</f>
        <v>285206933.99000001</v>
      </c>
      <c r="U79" s="332"/>
      <c r="V79" s="157">
        <f>T79</f>
        <v>285206933.99000001</v>
      </c>
      <c r="X79" s="26"/>
      <c r="Z79" s="3331"/>
      <c r="AA79" s="303"/>
      <c r="AB79" s="57" t="s">
        <v>4084</v>
      </c>
      <c r="AC79" s="523">
        <f>IF(Z79=0,0,AA79/Z79)</f>
        <v>0</v>
      </c>
      <c r="AE79" s="304">
        <f>AA79</f>
        <v>0</v>
      </c>
      <c r="AF79" s="332"/>
      <c r="AG79" s="157">
        <f>AE79</f>
        <v>0</v>
      </c>
      <c r="AI79" s="26"/>
      <c r="AK79" s="3331"/>
      <c r="AL79" s="303"/>
      <c r="AM79" s="57" t="s">
        <v>4084</v>
      </c>
      <c r="AN79" s="523">
        <f>IF(AK79=0,0,AL79/AK79)</f>
        <v>0</v>
      </c>
      <c r="AO79" s="1"/>
      <c r="AP79" s="304">
        <f>AL79</f>
        <v>0</v>
      </c>
      <c r="AQ79" s="332"/>
      <c r="AR79" s="157">
        <f>AP79</f>
        <v>0</v>
      </c>
      <c r="AS79" s="1"/>
      <c r="AT79" s="272"/>
      <c r="AU79" s="272" t="s">
        <v>980</v>
      </c>
      <c r="AV79" s="117"/>
      <c r="AW79" s="201"/>
      <c r="AX79" s="106"/>
      <c r="AY79" s="476">
        <f>IF(AV79=0,0,AW79/AV79)</f>
        <v>0</v>
      </c>
      <c r="AZ79" s="1"/>
      <c r="BA79" s="117"/>
      <c r="BC79" s="157"/>
      <c r="BD79" s="1"/>
      <c r="BE79" s="1"/>
      <c r="BF79" s="117"/>
      <c r="BG79" s="201"/>
      <c r="BH79" s="106"/>
      <c r="BI79" s="476">
        <f>IF(BF79=0,0,BG79/BF79)</f>
        <v>0</v>
      </c>
      <c r="BJ79" s="1"/>
      <c r="BK79" s="117"/>
      <c r="BM79" s="3265"/>
      <c r="BN79" s="1"/>
      <c r="BO79" s="26"/>
      <c r="BP79" s="26"/>
      <c r="BQ79" s="26"/>
    </row>
    <row r="80" spans="1:70" x14ac:dyDescent="0.35">
      <c r="A80" s="9168"/>
      <c r="B80" s="302"/>
      <c r="C80" s="587" t="s">
        <v>4085</v>
      </c>
      <c r="D80" s="197"/>
      <c r="F80" s="61"/>
      <c r="G80" s="272"/>
      <c r="H80" s="62"/>
      <c r="I80" s="63"/>
      <c r="J80" s="523">
        <f>IF(H80=0,0,I80/H80)</f>
        <v>0</v>
      </c>
      <c r="L80" s="62"/>
      <c r="M80" s="157">
        <f>L80*J80</f>
        <v>0</v>
      </c>
      <c r="O80" s="62"/>
      <c r="P80" s="303">
        <v>3438377.75</v>
      </c>
      <c r="Q80" s="57" t="s">
        <v>4086</v>
      </c>
      <c r="R80" s="523">
        <f>IF(O80=0,0,P80/O80)</f>
        <v>0</v>
      </c>
      <c r="T80" s="304">
        <f>P80</f>
        <v>3438377.75</v>
      </c>
      <c r="U80" s="106"/>
      <c r="V80" s="157">
        <f>T80</f>
        <v>3438377.75</v>
      </c>
      <c r="X80" s="26"/>
      <c r="Z80" s="62"/>
      <c r="AA80" s="303"/>
      <c r="AB80" s="57" t="s">
        <v>4086</v>
      </c>
      <c r="AC80" s="523">
        <f>IF(Z80=0,0,AA80/Z80)</f>
        <v>0</v>
      </c>
      <c r="AE80" s="304">
        <f>AA80</f>
        <v>0</v>
      </c>
      <c r="AF80" s="106"/>
      <c r="AG80" s="157">
        <f>AE80</f>
        <v>0</v>
      </c>
      <c r="AI80" s="26"/>
      <c r="AK80" s="62"/>
      <c r="AL80" s="303"/>
      <c r="AM80" s="57" t="s">
        <v>4086</v>
      </c>
      <c r="AN80" s="523">
        <f>IF(AK80=0,0,AL80/AK80)</f>
        <v>0</v>
      </c>
      <c r="AO80" s="1"/>
      <c r="AP80" s="304">
        <f>AL80</f>
        <v>0</v>
      </c>
      <c r="AQ80" s="106"/>
      <c r="AR80" s="157">
        <f>AP80</f>
        <v>0</v>
      </c>
      <c r="AS80" s="1"/>
      <c r="AT80" s="274"/>
      <c r="AU80" s="275" t="s">
        <v>11</v>
      </c>
      <c r="AV80" s="117">
        <v>7345400000</v>
      </c>
      <c r="AW80" s="201">
        <v>7336200000</v>
      </c>
      <c r="AX80" s="57" t="s">
        <v>4087</v>
      </c>
      <c r="AY80" s="476">
        <f>IF(AV80=0,0,AW80/AV80)</f>
        <v>0.99874751545184737</v>
      </c>
      <c r="AZ80" s="1"/>
      <c r="BA80" s="117">
        <v>8765500000</v>
      </c>
      <c r="BB80" s="57" t="s">
        <v>4087</v>
      </c>
      <c r="BC80" s="157">
        <v>8477900000</v>
      </c>
      <c r="BD80" s="1"/>
      <c r="BE80" s="1"/>
      <c r="BF80" s="117">
        <v>8219709052.1799994</v>
      </c>
      <c r="BG80" s="201">
        <v>7960336927.0500097</v>
      </c>
      <c r="BH80" s="57" t="s">
        <v>4088</v>
      </c>
      <c r="BI80" s="476">
        <f>IF(BF80=0,0,BG80/BF80)</f>
        <v>0.9684450965984982</v>
      </c>
      <c r="BJ80" s="1"/>
      <c r="BK80" s="117"/>
      <c r="BL80" s="57"/>
      <c r="BM80" s="3265"/>
      <c r="BN80" s="1"/>
      <c r="BO80" s="26"/>
      <c r="BP80" s="24"/>
      <c r="BQ80" s="26"/>
    </row>
    <row r="81" spans="1:69" x14ac:dyDescent="0.35">
      <c r="A81" s="9168"/>
      <c r="B81" s="305"/>
      <c r="C81" s="59" t="s">
        <v>534</v>
      </c>
      <c r="D81" s="197"/>
      <c r="F81" s="61"/>
      <c r="G81" s="272"/>
      <c r="H81" s="62"/>
      <c r="I81" s="63"/>
      <c r="J81" s="523">
        <f>IF(H81=0,0,I81/H81)</f>
        <v>0</v>
      </c>
      <c r="L81" s="62"/>
      <c r="M81" s="157">
        <f>L81*J81</f>
        <v>0</v>
      </c>
      <c r="O81" s="62"/>
      <c r="P81" s="72"/>
      <c r="Q81" s="57"/>
      <c r="R81" s="523">
        <f>IF(O81=0,0,P81/O81)</f>
        <v>0</v>
      </c>
      <c r="T81" s="62"/>
      <c r="U81" s="106"/>
      <c r="V81" s="157">
        <f>T81*R81</f>
        <v>0</v>
      </c>
      <c r="X81" s="24"/>
      <c r="Z81" s="62"/>
      <c r="AA81" s="72"/>
      <c r="AB81" s="57"/>
      <c r="AC81" s="523">
        <f>IF(Z81=0,0,AA81/Z81)</f>
        <v>0</v>
      </c>
      <c r="AE81" s="62"/>
      <c r="AF81" s="106"/>
      <c r="AG81" s="157">
        <f>AE81*AC81</f>
        <v>0</v>
      </c>
      <c r="AI81" s="24"/>
      <c r="AK81" s="62"/>
      <c r="AL81" s="72"/>
      <c r="AM81" s="57"/>
      <c r="AN81" s="523">
        <f>IF(AK81=0,0,AL81/AK81)</f>
        <v>0</v>
      </c>
      <c r="AO81" s="1"/>
      <c r="AP81" s="62"/>
      <c r="AQ81" s="106"/>
      <c r="AR81" s="157">
        <f>AP81*AN81</f>
        <v>0</v>
      </c>
      <c r="AS81" s="1"/>
      <c r="AT81" s="274"/>
      <c r="AU81" s="275" t="s">
        <v>1116</v>
      </c>
      <c r="AV81" s="242"/>
      <c r="AW81" s="201"/>
      <c r="AX81" s="106"/>
      <c r="AY81" s="476">
        <f>IF(AV81=0,0,AW81/AV81)</f>
        <v>0</v>
      </c>
      <c r="AZ81" s="1"/>
      <c r="BA81" s="3327"/>
      <c r="BB81" s="3319"/>
      <c r="BC81" s="3173"/>
      <c r="BD81" s="1"/>
      <c r="BE81" s="1"/>
      <c r="BF81" s="242">
        <v>2095974424.8200002</v>
      </c>
      <c r="BG81" s="201">
        <v>1799964619.749999</v>
      </c>
      <c r="BH81" s="57" t="s">
        <v>4089</v>
      </c>
      <c r="BI81" s="476">
        <f>IF(BF81=0,0,BG81/BF81)</f>
        <v>0.8587722247157562</v>
      </c>
      <c r="BJ81" s="1"/>
      <c r="BK81" s="5704"/>
      <c r="BL81" s="8921"/>
      <c r="BM81" s="3265"/>
      <c r="BN81" s="1"/>
      <c r="BO81" s="26"/>
      <c r="BP81" s="26"/>
      <c r="BQ81" s="24"/>
    </row>
    <row r="82" spans="1:69" x14ac:dyDescent="0.35">
      <c r="A82" s="9169"/>
      <c r="B82" s="306"/>
      <c r="C82" s="86" t="s">
        <v>536</v>
      </c>
      <c r="D82" s="209"/>
      <c r="F82" s="88"/>
      <c r="G82" s="274"/>
      <c r="H82" s="89"/>
      <c r="I82" s="90"/>
      <c r="J82" s="527">
        <f>IF(H82=0,0,I82/H82)</f>
        <v>0</v>
      </c>
      <c r="L82" s="89"/>
      <c r="M82" s="213">
        <f>L82*J82</f>
        <v>0</v>
      </c>
      <c r="O82" s="89"/>
      <c r="P82" s="308"/>
      <c r="Q82" s="216"/>
      <c r="R82" s="527">
        <f>IF(O82=0,0,P82/O82)</f>
        <v>0</v>
      </c>
      <c r="T82" s="89"/>
      <c r="U82" s="216"/>
      <c r="V82" s="213">
        <f>T82*R82</f>
        <v>0</v>
      </c>
      <c r="Z82" s="89"/>
      <c r="AA82" s="308"/>
      <c r="AB82" s="216"/>
      <c r="AC82" s="527">
        <f>IF(Z82=0,0,AA82/Z82)</f>
        <v>0</v>
      </c>
      <c r="AE82" s="89"/>
      <c r="AF82" s="216"/>
      <c r="AG82" s="213">
        <f>AE82*AC82</f>
        <v>0</v>
      </c>
      <c r="AK82" s="89"/>
      <c r="AL82" s="308"/>
      <c r="AM82" s="216"/>
      <c r="AN82" s="527">
        <f>IF(AK82=0,0,AL82/AK82)</f>
        <v>0</v>
      </c>
      <c r="AO82" s="1"/>
      <c r="AP82" s="89"/>
      <c r="AQ82" s="216"/>
      <c r="AR82" s="213">
        <f>AP82*AN82</f>
        <v>0</v>
      </c>
      <c r="AS82" s="1"/>
      <c r="AT82" s="277"/>
      <c r="AU82" s="277" t="s">
        <v>555</v>
      </c>
      <c r="AV82" s="283"/>
      <c r="AW82" s="201"/>
      <c r="AX82" s="3329"/>
      <c r="AY82" s="484"/>
      <c r="AZ82" s="1"/>
      <c r="BA82" s="283"/>
      <c r="BB82" s="3329"/>
      <c r="BC82" s="668"/>
      <c r="BD82" s="143"/>
      <c r="BE82" s="143"/>
      <c r="BF82" s="283"/>
      <c r="BG82" s="201"/>
      <c r="BH82" s="3329"/>
      <c r="BI82" s="484"/>
      <c r="BJ82" s="1"/>
      <c r="BK82" s="283"/>
      <c r="BL82" s="3329"/>
      <c r="BM82" s="3265"/>
      <c r="BN82" s="143"/>
      <c r="BO82" s="24"/>
      <c r="BP82" s="18"/>
    </row>
    <row r="83" spans="1:69" x14ac:dyDescent="0.35">
      <c r="A83" s="310"/>
      <c r="B83" s="310"/>
      <c r="F83" s="106"/>
      <c r="H83" s="106"/>
      <c r="I83" s="106"/>
      <c r="J83" s="558"/>
      <c r="L83" s="106"/>
      <c r="M83" s="312"/>
      <c r="N83" s="141"/>
      <c r="O83" s="106"/>
      <c r="P83" s="106"/>
      <c r="Q83" s="106"/>
      <c r="R83" s="558"/>
      <c r="T83" s="106"/>
      <c r="U83" s="106"/>
      <c r="V83" s="312"/>
      <c r="W83" s="141"/>
      <c r="Z83" s="106"/>
      <c r="AA83" s="106"/>
      <c r="AB83" s="106"/>
      <c r="AC83" s="558"/>
      <c r="AE83" s="106"/>
      <c r="AF83" s="106"/>
      <c r="AG83" s="312"/>
      <c r="AH83" s="141"/>
      <c r="AK83" s="106"/>
      <c r="AL83" s="106"/>
      <c r="AM83" s="106"/>
      <c r="AN83" s="558"/>
      <c r="AO83" s="1"/>
      <c r="AP83" s="106"/>
      <c r="AQ83" s="106"/>
      <c r="AR83" s="312"/>
      <c r="AS83" s="141"/>
      <c r="AT83" s="287" t="s">
        <v>556</v>
      </c>
      <c r="AU83" s="288"/>
      <c r="AV83" s="1388"/>
      <c r="AW83" s="520"/>
      <c r="AX83" s="106"/>
      <c r="AY83" s="293"/>
      <c r="AZ83" s="1"/>
      <c r="BA83" s="1388"/>
      <c r="BB83" s="106"/>
      <c r="BC83" s="3330"/>
      <c r="BD83" s="1"/>
      <c r="BE83" s="1"/>
      <c r="BF83" s="1388"/>
      <c r="BG83" s="520"/>
      <c r="BH83" s="106"/>
      <c r="BI83" s="293"/>
      <c r="BJ83" s="1"/>
      <c r="BK83" s="1388"/>
      <c r="BL83" s="106"/>
      <c r="BM83" s="3330"/>
      <c r="BN83" s="1"/>
      <c r="BO83" s="18"/>
      <c r="BP83" s="26"/>
    </row>
    <row r="84" spans="1:69" x14ac:dyDescent="0.35">
      <c r="A84" s="9226" t="s">
        <v>1114</v>
      </c>
      <c r="B84" s="317"/>
      <c r="C84" s="318"/>
      <c r="D84" s="184"/>
      <c r="F84" s="316"/>
      <c r="H84" s="317"/>
      <c r="I84" s="318"/>
      <c r="J84" s="3332"/>
      <c r="L84" s="317"/>
      <c r="M84" s="318"/>
      <c r="O84" s="317"/>
      <c r="P84" s="1687"/>
      <c r="Q84" s="103"/>
      <c r="R84" s="293"/>
      <c r="T84" s="317"/>
      <c r="U84" s="103"/>
      <c r="V84" s="323"/>
      <c r="Z84" s="317"/>
      <c r="AA84" s="1687"/>
      <c r="AB84" s="103"/>
      <c r="AC84" s="293"/>
      <c r="AE84" s="317"/>
      <c r="AF84" s="103"/>
      <c r="AG84" s="323"/>
      <c r="AI84" s="18"/>
      <c r="AK84" s="317"/>
      <c r="AL84" s="1687"/>
      <c r="AM84" s="103"/>
      <c r="AN84" s="293"/>
      <c r="AO84" s="1"/>
      <c r="AP84" s="317"/>
      <c r="AQ84" s="103"/>
      <c r="AR84" s="323"/>
      <c r="AS84" s="1"/>
      <c r="AT84" s="302"/>
      <c r="AU84" s="587" t="s">
        <v>4083</v>
      </c>
      <c r="AV84" s="3331"/>
      <c r="AW84" s="303"/>
      <c r="AX84" s="57"/>
      <c r="AY84" s="523">
        <f>IF(AV84=0,0,AW84/AV84)</f>
        <v>0</v>
      </c>
      <c r="AZ84" s="1"/>
      <c r="BA84" s="304"/>
      <c r="BB84" s="332"/>
      <c r="BC84" s="157"/>
      <c r="BD84" s="1"/>
      <c r="BE84" s="1"/>
      <c r="BF84" s="3331"/>
      <c r="BG84" s="303"/>
      <c r="BH84" s="57"/>
      <c r="BI84" s="523">
        <f>IF(BF84=0,0,BG84/BF84)</f>
        <v>0</v>
      </c>
      <c r="BJ84" s="1"/>
      <c r="BK84" s="304"/>
      <c r="BL84" s="332"/>
      <c r="BM84" s="157"/>
      <c r="BN84" s="1"/>
      <c r="BO84" s="26"/>
      <c r="BP84" s="26"/>
      <c r="BQ84" s="18"/>
    </row>
    <row r="85" spans="1:69" x14ac:dyDescent="0.35">
      <c r="A85" s="9227"/>
      <c r="B85" s="325"/>
      <c r="C85" s="328"/>
      <c r="D85" s="197"/>
      <c r="F85" s="327"/>
      <c r="H85" s="325"/>
      <c r="I85" s="328"/>
      <c r="J85" s="3333"/>
      <c r="L85" s="325"/>
      <c r="M85" s="328"/>
      <c r="O85" s="325"/>
      <c r="P85" s="947"/>
      <c r="Q85" s="332"/>
      <c r="R85" s="523">
        <f t="shared" ref="R85:R93" si="32">IF(O85=0,0,P85/O85)</f>
        <v>0</v>
      </c>
      <c r="T85" s="325"/>
      <c r="U85" s="332"/>
      <c r="V85" s="333">
        <f t="shared" ref="V85:V93" si="33">T85*R85</f>
        <v>0</v>
      </c>
      <c r="Z85" s="325"/>
      <c r="AA85" s="947"/>
      <c r="AB85" s="332"/>
      <c r="AC85" s="523">
        <f t="shared" ref="AC85:AC93" si="34">IF(Z85=0,0,AA85/Z85)</f>
        <v>0</v>
      </c>
      <c r="AE85" s="325"/>
      <c r="AF85" s="332"/>
      <c r="AG85" s="333">
        <f t="shared" ref="AG85:AG93" si="35">AE85*AC85</f>
        <v>0</v>
      </c>
      <c r="AI85" s="26"/>
      <c r="AK85" s="325"/>
      <c r="AL85" s="947"/>
      <c r="AM85" s="332"/>
      <c r="AN85" s="523">
        <f t="shared" ref="AN85:AN93" si="36">IF(AK85=0,0,AL85/AK85)</f>
        <v>0</v>
      </c>
      <c r="AO85" s="1"/>
      <c r="AP85" s="325"/>
      <c r="AQ85" s="332"/>
      <c r="AR85" s="333">
        <f t="shared" ref="AR85:AR93" si="37">AP85*AN85</f>
        <v>0</v>
      </c>
      <c r="AS85" s="1"/>
      <c r="AT85" s="302"/>
      <c r="AU85" s="587" t="s">
        <v>4085</v>
      </c>
      <c r="AV85" s="62"/>
      <c r="AW85" s="303"/>
      <c r="AX85" s="57"/>
      <c r="AY85" s="523">
        <f>IF(AV85=0,0,AW85/AV85)</f>
        <v>0</v>
      </c>
      <c r="AZ85" s="1"/>
      <c r="BA85" s="304"/>
      <c r="BB85" s="106"/>
      <c r="BC85" s="157"/>
      <c r="BD85" s="1"/>
      <c r="BE85" s="1"/>
      <c r="BF85" s="62"/>
      <c r="BG85" s="303"/>
      <c r="BH85" s="57"/>
      <c r="BI85" s="523">
        <f>IF(BF85=0,0,BG85/BF85)</f>
        <v>0</v>
      </c>
      <c r="BJ85" s="1"/>
      <c r="BK85" s="304"/>
      <c r="BL85" s="106"/>
      <c r="BM85" s="157"/>
      <c r="BN85" s="1"/>
      <c r="BO85" s="26"/>
      <c r="BP85" s="26"/>
      <c r="BQ85" s="26"/>
    </row>
    <row r="86" spans="1:69" x14ac:dyDescent="0.35">
      <c r="A86" s="9227"/>
      <c r="B86" s="330"/>
      <c r="C86" s="337"/>
      <c r="D86" s="197"/>
      <c r="F86" s="336"/>
      <c r="H86" s="330"/>
      <c r="I86" s="337"/>
      <c r="J86" s="3333"/>
      <c r="L86" s="330"/>
      <c r="M86" s="337"/>
      <c r="O86" s="330"/>
      <c r="P86" s="331"/>
      <c r="Q86" s="106"/>
      <c r="R86" s="523">
        <f t="shared" si="32"/>
        <v>0</v>
      </c>
      <c r="T86" s="330"/>
      <c r="U86" s="106"/>
      <c r="V86" s="333">
        <f t="shared" si="33"/>
        <v>0</v>
      </c>
      <c r="Z86" s="330"/>
      <c r="AA86" s="331"/>
      <c r="AB86" s="106"/>
      <c r="AC86" s="523">
        <f t="shared" si="34"/>
        <v>0</v>
      </c>
      <c r="AE86" s="330"/>
      <c r="AF86" s="106"/>
      <c r="AG86" s="333">
        <f t="shared" si="35"/>
        <v>0</v>
      </c>
      <c r="AI86" s="26"/>
      <c r="AK86" s="330"/>
      <c r="AL86" s="331"/>
      <c r="AM86" s="106"/>
      <c r="AN86" s="523">
        <f t="shared" si="36"/>
        <v>0</v>
      </c>
      <c r="AO86" s="1"/>
      <c r="AP86" s="330"/>
      <c r="AQ86" s="106"/>
      <c r="AR86" s="333">
        <f t="shared" si="37"/>
        <v>0</v>
      </c>
      <c r="AS86" s="1"/>
      <c r="AT86" s="305"/>
      <c r="AU86" s="59" t="s">
        <v>534</v>
      </c>
      <c r="AV86" s="62"/>
      <c r="AW86" s="72"/>
      <c r="AX86" s="57"/>
      <c r="AY86" s="523">
        <f>IF(AV86=0,0,AW86/AV86)</f>
        <v>0</v>
      </c>
      <c r="AZ86" s="1"/>
      <c r="BA86" s="62"/>
      <c r="BB86" s="106"/>
      <c r="BC86" s="157"/>
      <c r="BD86" s="1"/>
      <c r="BE86" s="1"/>
      <c r="BF86" s="62"/>
      <c r="BG86" s="72"/>
      <c r="BH86" s="57"/>
      <c r="BI86" s="523">
        <f>IF(BF86=0,0,BG86/BF86)</f>
        <v>0</v>
      </c>
      <c r="BJ86" s="1"/>
      <c r="BK86" s="62"/>
      <c r="BL86" s="106"/>
      <c r="BM86" s="157"/>
      <c r="BN86" s="1"/>
      <c r="BO86" s="26"/>
      <c r="BP86" s="24"/>
      <c r="BQ86" s="26"/>
    </row>
    <row r="87" spans="1:69" x14ac:dyDescent="0.35">
      <c r="A87" s="9227"/>
      <c r="B87" s="330"/>
      <c r="C87" s="337"/>
      <c r="D87" s="197"/>
      <c r="F87" s="336"/>
      <c r="H87" s="330"/>
      <c r="I87" s="337"/>
      <c r="J87" s="3333"/>
      <c r="L87" s="330"/>
      <c r="M87" s="337"/>
      <c r="O87" s="330"/>
      <c r="P87" s="331"/>
      <c r="Q87" s="106"/>
      <c r="R87" s="523">
        <f t="shared" si="32"/>
        <v>0</v>
      </c>
      <c r="T87" s="330"/>
      <c r="U87" s="106"/>
      <c r="V87" s="333">
        <f t="shared" si="33"/>
        <v>0</v>
      </c>
      <c r="Z87" s="330"/>
      <c r="AA87" s="331"/>
      <c r="AB87" s="106"/>
      <c r="AC87" s="523">
        <f t="shared" si="34"/>
        <v>0</v>
      </c>
      <c r="AE87" s="330"/>
      <c r="AF87" s="106"/>
      <c r="AG87" s="333">
        <f t="shared" si="35"/>
        <v>0</v>
      </c>
      <c r="AI87" s="26"/>
      <c r="AK87" s="330"/>
      <c r="AL87" s="331"/>
      <c r="AM87" s="106"/>
      <c r="AN87" s="523">
        <f t="shared" si="36"/>
        <v>0</v>
      </c>
      <c r="AO87" s="1"/>
      <c r="AP87" s="330"/>
      <c r="AQ87" s="106"/>
      <c r="AR87" s="333">
        <f t="shared" si="37"/>
        <v>0</v>
      </c>
      <c r="AS87" s="1"/>
      <c r="AT87" s="306"/>
      <c r="AU87" s="86" t="s">
        <v>536</v>
      </c>
      <c r="AV87" s="89"/>
      <c r="AW87" s="308"/>
      <c r="AX87" s="216"/>
      <c r="AY87" s="527">
        <f>IF(AV87=0,0,AW87/AV87)</f>
        <v>0</v>
      </c>
      <c r="AZ87" s="1"/>
      <c r="BA87" s="89"/>
      <c r="BB87" s="216"/>
      <c r="BC87" s="213"/>
      <c r="BD87" s="1"/>
      <c r="BE87" s="1"/>
      <c r="BF87" s="89"/>
      <c r="BG87" s="308"/>
      <c r="BH87" s="216"/>
      <c r="BI87" s="527">
        <f>IF(BF87=0,0,BG87/BF87)</f>
        <v>0</v>
      </c>
      <c r="BJ87" s="1"/>
      <c r="BK87" s="89"/>
      <c r="BL87" s="216"/>
      <c r="BM87" s="213"/>
      <c r="BN87" s="1"/>
      <c r="BO87" s="24"/>
      <c r="BQ87" s="26"/>
    </row>
    <row r="88" spans="1:69" x14ac:dyDescent="0.35">
      <c r="A88" s="9227"/>
      <c r="B88" s="330"/>
      <c r="C88" s="337"/>
      <c r="D88" s="197"/>
      <c r="F88" s="336"/>
      <c r="H88" s="330"/>
      <c r="I88" s="337"/>
      <c r="J88" s="3333"/>
      <c r="L88" s="330"/>
      <c r="M88" s="337"/>
      <c r="N88" s="143"/>
      <c r="O88" s="330"/>
      <c r="P88" s="331"/>
      <c r="Q88" s="106"/>
      <c r="R88" s="523">
        <f t="shared" si="32"/>
        <v>0</v>
      </c>
      <c r="T88" s="330"/>
      <c r="U88" s="106"/>
      <c r="V88" s="333">
        <f t="shared" si="33"/>
        <v>0</v>
      </c>
      <c r="W88" s="143"/>
      <c r="Z88" s="330"/>
      <c r="AA88" s="331"/>
      <c r="AB88" s="106"/>
      <c r="AC88" s="523">
        <f t="shared" si="34"/>
        <v>0</v>
      </c>
      <c r="AE88" s="330"/>
      <c r="AF88" s="106"/>
      <c r="AG88" s="333">
        <f t="shared" si="35"/>
        <v>0</v>
      </c>
      <c r="AH88" s="143"/>
      <c r="AI88" s="26"/>
      <c r="AK88" s="330"/>
      <c r="AL88" s="331"/>
      <c r="AM88" s="106"/>
      <c r="AN88" s="523">
        <f t="shared" si="36"/>
        <v>0</v>
      </c>
      <c r="AO88" s="1"/>
      <c r="AP88" s="330"/>
      <c r="AQ88" s="106"/>
      <c r="AR88" s="333">
        <f t="shared" si="37"/>
        <v>0</v>
      </c>
      <c r="AS88" s="143"/>
      <c r="AT88" s="310"/>
      <c r="AV88" s="106"/>
      <c r="AW88" s="106"/>
      <c r="AX88" s="106"/>
      <c r="AY88" s="558"/>
      <c r="AZ88" s="1"/>
      <c r="BA88" s="106"/>
      <c r="BB88" s="106"/>
      <c r="BC88" s="312"/>
      <c r="BD88" s="141"/>
      <c r="BE88" s="141"/>
      <c r="BF88" s="106"/>
      <c r="BG88" s="106"/>
      <c r="BH88" s="106"/>
      <c r="BI88" s="558"/>
      <c r="BJ88" s="1"/>
      <c r="BK88" s="106"/>
      <c r="BL88" s="106"/>
      <c r="BM88" s="312"/>
      <c r="BN88" s="141"/>
      <c r="BQ88" s="26"/>
    </row>
    <row r="89" spans="1:69" x14ac:dyDescent="0.35">
      <c r="A89" s="9227"/>
      <c r="B89" s="330"/>
      <c r="C89" s="337"/>
      <c r="D89" s="197"/>
      <c r="F89" s="336"/>
      <c r="H89" s="330"/>
      <c r="I89" s="337"/>
      <c r="J89" s="3333"/>
      <c r="L89" s="330"/>
      <c r="M89" s="337"/>
      <c r="O89" s="330"/>
      <c r="P89" s="331"/>
      <c r="Q89" s="106"/>
      <c r="R89" s="523">
        <f t="shared" si="32"/>
        <v>0</v>
      </c>
      <c r="T89" s="330"/>
      <c r="U89" s="106"/>
      <c r="V89" s="333">
        <f t="shared" si="33"/>
        <v>0</v>
      </c>
      <c r="Z89" s="330"/>
      <c r="AA89" s="331"/>
      <c r="AB89" s="106"/>
      <c r="AC89" s="523">
        <f t="shared" si="34"/>
        <v>0</v>
      </c>
      <c r="AE89" s="330"/>
      <c r="AF89" s="106"/>
      <c r="AG89" s="333">
        <f t="shared" si="35"/>
        <v>0</v>
      </c>
      <c r="AI89" s="26"/>
      <c r="AK89" s="330"/>
      <c r="AL89" s="331"/>
      <c r="AM89" s="106"/>
      <c r="AN89" s="523">
        <f t="shared" si="36"/>
        <v>0</v>
      </c>
      <c r="AO89" s="1"/>
      <c r="AP89" s="330"/>
      <c r="AQ89" s="106"/>
      <c r="AR89" s="333">
        <f t="shared" si="37"/>
        <v>0</v>
      </c>
      <c r="AS89" s="1"/>
      <c r="AT89" s="317"/>
      <c r="AU89" s="318"/>
      <c r="AV89" s="317"/>
      <c r="AW89" s="1687"/>
      <c r="AX89" s="103"/>
      <c r="AY89" s="293"/>
      <c r="AZ89" s="1"/>
      <c r="BA89" s="317"/>
      <c r="BB89" s="103"/>
      <c r="BC89" s="323"/>
      <c r="BD89" s="1"/>
      <c r="BE89" s="1"/>
      <c r="BF89" s="317"/>
      <c r="BG89" s="1687"/>
      <c r="BH89" s="103"/>
      <c r="BI89" s="293"/>
      <c r="BJ89" s="1"/>
      <c r="BK89" s="317"/>
      <c r="BL89" s="103"/>
      <c r="BM89" s="323"/>
      <c r="BN89" s="1"/>
      <c r="BO89" s="18"/>
      <c r="BP89" s="18"/>
      <c r="BQ89" s="26"/>
    </row>
    <row r="90" spans="1:69" x14ac:dyDescent="0.35">
      <c r="A90" s="9227"/>
      <c r="B90" s="330"/>
      <c r="C90" s="337"/>
      <c r="D90" s="197"/>
      <c r="F90" s="336"/>
      <c r="H90" s="330"/>
      <c r="I90" s="337"/>
      <c r="J90" s="3333"/>
      <c r="L90" s="330"/>
      <c r="M90" s="337"/>
      <c r="O90" s="330"/>
      <c r="P90" s="331"/>
      <c r="Q90" s="106"/>
      <c r="R90" s="523">
        <f t="shared" si="32"/>
        <v>0</v>
      </c>
      <c r="T90" s="330"/>
      <c r="U90" s="106"/>
      <c r="V90" s="333">
        <f t="shared" si="33"/>
        <v>0</v>
      </c>
      <c r="Z90" s="330"/>
      <c r="AA90" s="331"/>
      <c r="AB90" s="106"/>
      <c r="AC90" s="523">
        <f t="shared" si="34"/>
        <v>0</v>
      </c>
      <c r="AE90" s="330"/>
      <c r="AF90" s="106"/>
      <c r="AG90" s="333">
        <f t="shared" si="35"/>
        <v>0</v>
      </c>
      <c r="AI90" s="26"/>
      <c r="AK90" s="330"/>
      <c r="AL90" s="331"/>
      <c r="AM90" s="106"/>
      <c r="AN90" s="523">
        <f t="shared" si="36"/>
        <v>0</v>
      </c>
      <c r="AO90" s="1"/>
      <c r="AP90" s="330"/>
      <c r="AQ90" s="106"/>
      <c r="AR90" s="333">
        <f t="shared" si="37"/>
        <v>0</v>
      </c>
      <c r="AS90" s="1"/>
      <c r="AT90" s="325"/>
      <c r="AU90" s="328"/>
      <c r="AV90" s="325"/>
      <c r="AW90" s="947"/>
      <c r="AX90" s="332"/>
      <c r="AY90" s="523">
        <f t="shared" ref="AY90:AY98" si="38">IF(AV90=0,0,AW90/AV90)</f>
        <v>0</v>
      </c>
      <c r="AZ90" s="1"/>
      <c r="BA90" s="325"/>
      <c r="BB90" s="332"/>
      <c r="BC90" s="333">
        <f t="shared" ref="BC90:BC98" si="39">BA90*AY90</f>
        <v>0</v>
      </c>
      <c r="BD90" s="1"/>
      <c r="BE90" s="1"/>
      <c r="BF90" s="325"/>
      <c r="BG90" s="947"/>
      <c r="BH90" s="332"/>
      <c r="BI90" s="523">
        <f t="shared" ref="BI90:BI98" si="40">IF(BF90=0,0,BG90/BF90)</f>
        <v>0</v>
      </c>
      <c r="BJ90" s="1"/>
      <c r="BK90" s="325"/>
      <c r="BL90" s="332"/>
      <c r="BM90" s="333">
        <f t="shared" ref="BM90:BM98" si="41">BK90*BI90</f>
        <v>0</v>
      </c>
      <c r="BN90" s="1"/>
      <c r="BO90" s="26"/>
      <c r="BP90" s="26"/>
      <c r="BQ90" s="26"/>
    </row>
    <row r="91" spans="1:69" x14ac:dyDescent="0.35">
      <c r="A91" s="9227"/>
      <c r="B91" s="330"/>
      <c r="C91" s="337"/>
      <c r="D91" s="197"/>
      <c r="F91" s="336"/>
      <c r="H91" s="330"/>
      <c r="I91" s="337"/>
      <c r="J91" s="3333"/>
      <c r="L91" s="330"/>
      <c r="M91" s="337"/>
      <c r="O91" s="330"/>
      <c r="P91" s="331"/>
      <c r="Q91" s="106"/>
      <c r="R91" s="523">
        <f t="shared" si="32"/>
        <v>0</v>
      </c>
      <c r="T91" s="330"/>
      <c r="U91" s="106"/>
      <c r="V91" s="333">
        <f t="shared" si="33"/>
        <v>0</v>
      </c>
      <c r="Z91" s="330"/>
      <c r="AA91" s="331"/>
      <c r="AB91" s="106"/>
      <c r="AC91" s="523">
        <f t="shared" si="34"/>
        <v>0</v>
      </c>
      <c r="AE91" s="330"/>
      <c r="AF91" s="106"/>
      <c r="AG91" s="333">
        <f t="shared" si="35"/>
        <v>0</v>
      </c>
      <c r="AI91" s="26"/>
      <c r="AK91" s="330"/>
      <c r="AL91" s="331"/>
      <c r="AM91" s="106"/>
      <c r="AN91" s="523">
        <f t="shared" si="36"/>
        <v>0</v>
      </c>
      <c r="AO91" s="1"/>
      <c r="AP91" s="330"/>
      <c r="AQ91" s="106"/>
      <c r="AR91" s="333">
        <f t="shared" si="37"/>
        <v>0</v>
      </c>
      <c r="AS91" s="1"/>
      <c r="AT91" s="330"/>
      <c r="AU91" s="337"/>
      <c r="AV91" s="330"/>
      <c r="AW91" s="331"/>
      <c r="AX91" s="106"/>
      <c r="AY91" s="523">
        <f t="shared" si="38"/>
        <v>0</v>
      </c>
      <c r="AZ91" s="1"/>
      <c r="BA91" s="330"/>
      <c r="BB91" s="106"/>
      <c r="BC91" s="333">
        <f t="shared" si="39"/>
        <v>0</v>
      </c>
      <c r="BD91" s="1"/>
      <c r="BE91" s="1"/>
      <c r="BF91" s="330"/>
      <c r="BG91" s="331"/>
      <c r="BH91" s="106"/>
      <c r="BI91" s="523">
        <f t="shared" si="40"/>
        <v>0</v>
      </c>
      <c r="BJ91" s="1"/>
      <c r="BK91" s="330"/>
      <c r="BL91" s="106"/>
      <c r="BM91" s="333">
        <f t="shared" si="41"/>
        <v>0</v>
      </c>
      <c r="BN91" s="1"/>
      <c r="BO91" s="26"/>
      <c r="BP91" s="26"/>
      <c r="BQ91" s="26"/>
    </row>
    <row r="92" spans="1:69" x14ac:dyDescent="0.35">
      <c r="A92" s="9227"/>
      <c r="B92" s="330"/>
      <c r="C92" s="337"/>
      <c r="D92" s="197"/>
      <c r="F92" s="336"/>
      <c r="H92" s="330"/>
      <c r="I92" s="337"/>
      <c r="J92" s="3333"/>
      <c r="L92" s="330"/>
      <c r="M92" s="337"/>
      <c r="O92" s="330"/>
      <c r="P92" s="331"/>
      <c r="Q92" s="106"/>
      <c r="R92" s="523">
        <f t="shared" si="32"/>
        <v>0</v>
      </c>
      <c r="T92" s="330"/>
      <c r="U92" s="106"/>
      <c r="V92" s="333">
        <f t="shared" si="33"/>
        <v>0</v>
      </c>
      <c r="Z92" s="330"/>
      <c r="AA92" s="331"/>
      <c r="AB92" s="106"/>
      <c r="AC92" s="523">
        <f t="shared" si="34"/>
        <v>0</v>
      </c>
      <c r="AE92" s="330"/>
      <c r="AF92" s="106"/>
      <c r="AG92" s="333">
        <f t="shared" si="35"/>
        <v>0</v>
      </c>
      <c r="AI92" s="26"/>
      <c r="AK92" s="330"/>
      <c r="AL92" s="331"/>
      <c r="AM92" s="106"/>
      <c r="AN92" s="523">
        <f t="shared" si="36"/>
        <v>0</v>
      </c>
      <c r="AO92" s="1"/>
      <c r="AP92" s="330"/>
      <c r="AQ92" s="106"/>
      <c r="AR92" s="333">
        <f t="shared" si="37"/>
        <v>0</v>
      </c>
      <c r="AS92" s="1"/>
      <c r="AT92" s="330"/>
      <c r="AU92" s="337"/>
      <c r="AV92" s="330"/>
      <c r="AW92" s="331"/>
      <c r="AX92" s="106"/>
      <c r="AY92" s="523">
        <f t="shared" si="38"/>
        <v>0</v>
      </c>
      <c r="AZ92" s="1"/>
      <c r="BA92" s="330"/>
      <c r="BB92" s="106"/>
      <c r="BC92" s="333">
        <f t="shared" si="39"/>
        <v>0</v>
      </c>
      <c r="BD92" s="1"/>
      <c r="BE92" s="1"/>
      <c r="BF92" s="330"/>
      <c r="BG92" s="331"/>
      <c r="BH92" s="106"/>
      <c r="BI92" s="523">
        <f t="shared" si="40"/>
        <v>0</v>
      </c>
      <c r="BJ92" s="1"/>
      <c r="BK92" s="330"/>
      <c r="BL92" s="106"/>
      <c r="BM92" s="333">
        <f t="shared" si="41"/>
        <v>0</v>
      </c>
      <c r="BN92" s="1"/>
      <c r="BO92" s="26"/>
      <c r="BP92" s="26"/>
      <c r="BQ92" s="26"/>
    </row>
    <row r="93" spans="1:69" x14ac:dyDescent="0.35">
      <c r="A93" s="9228"/>
      <c r="B93" s="341"/>
      <c r="C93" s="342"/>
      <c r="D93" s="209"/>
      <c r="F93" s="343"/>
      <c r="H93" s="341"/>
      <c r="I93" s="342"/>
      <c r="J93" s="3334"/>
      <c r="L93" s="341"/>
      <c r="M93" s="342"/>
      <c r="O93" s="341"/>
      <c r="P93" s="952"/>
      <c r="Q93" s="216"/>
      <c r="R93" s="527">
        <f t="shared" si="32"/>
        <v>0</v>
      </c>
      <c r="T93" s="341"/>
      <c r="U93" s="216"/>
      <c r="V93" s="347">
        <f t="shared" si="33"/>
        <v>0</v>
      </c>
      <c r="Z93" s="341"/>
      <c r="AA93" s="952"/>
      <c r="AB93" s="216"/>
      <c r="AC93" s="527">
        <f t="shared" si="34"/>
        <v>0</v>
      </c>
      <c r="AE93" s="341"/>
      <c r="AF93" s="216"/>
      <c r="AG93" s="347">
        <f t="shared" si="35"/>
        <v>0</v>
      </c>
      <c r="AI93" s="24"/>
      <c r="AK93" s="341"/>
      <c r="AL93" s="952"/>
      <c r="AM93" s="216"/>
      <c r="AN93" s="527">
        <f t="shared" si="36"/>
        <v>0</v>
      </c>
      <c r="AO93" s="1"/>
      <c r="AP93" s="341"/>
      <c r="AQ93" s="216"/>
      <c r="AR93" s="347">
        <f t="shared" si="37"/>
        <v>0</v>
      </c>
      <c r="AS93" s="1"/>
      <c r="AT93" s="330"/>
      <c r="AU93" s="337"/>
      <c r="AV93" s="330"/>
      <c r="AW93" s="331"/>
      <c r="AX93" s="106"/>
      <c r="AY93" s="523">
        <f t="shared" si="38"/>
        <v>0</v>
      </c>
      <c r="AZ93" s="1"/>
      <c r="BA93" s="330"/>
      <c r="BB93" s="106"/>
      <c r="BC93" s="333">
        <f t="shared" si="39"/>
        <v>0</v>
      </c>
      <c r="BD93" s="143"/>
      <c r="BE93" s="143"/>
      <c r="BF93" s="330"/>
      <c r="BG93" s="331"/>
      <c r="BH93" s="106"/>
      <c r="BI93" s="523">
        <f t="shared" si="40"/>
        <v>0</v>
      </c>
      <c r="BJ93" s="1"/>
      <c r="BK93" s="330"/>
      <c r="BL93" s="106"/>
      <c r="BM93" s="333">
        <f t="shared" si="41"/>
        <v>0</v>
      </c>
      <c r="BN93" s="143"/>
      <c r="BO93" s="26"/>
      <c r="BP93" s="26"/>
      <c r="BQ93" s="24"/>
    </row>
    <row r="94" spans="1:69" s="462" customFormat="1" x14ac:dyDescent="0.35">
      <c r="A94" s="310"/>
      <c r="B94" s="310"/>
      <c r="C94" s="1"/>
      <c r="D94" s="2"/>
      <c r="E94" s="1"/>
      <c r="F94" s="106"/>
      <c r="G94" s="1"/>
      <c r="H94" s="106"/>
      <c r="I94" s="106"/>
      <c r="J94" s="558"/>
      <c r="K94" s="1"/>
      <c r="L94" s="106"/>
      <c r="M94" s="312"/>
      <c r="N94" s="456"/>
      <c r="O94" s="106"/>
      <c r="P94" s="106"/>
      <c r="Q94" s="106"/>
      <c r="R94" s="558"/>
      <c r="S94" s="1"/>
      <c r="T94" s="106"/>
      <c r="U94" s="106"/>
      <c r="V94" s="312"/>
      <c r="W94" s="456"/>
      <c r="Z94" s="106"/>
      <c r="AA94" s="106"/>
      <c r="AB94" s="106"/>
      <c r="AC94" s="558"/>
      <c r="AD94" s="1"/>
      <c r="AE94" s="106"/>
      <c r="AF94" s="106"/>
      <c r="AG94" s="312"/>
      <c r="AH94" s="456"/>
      <c r="AK94" s="106"/>
      <c r="AL94" s="106"/>
      <c r="AM94" s="106"/>
      <c r="AN94" s="558"/>
      <c r="AO94" s="1"/>
      <c r="AP94" s="106"/>
      <c r="AQ94" s="106"/>
      <c r="AR94" s="312"/>
      <c r="AS94" s="456"/>
      <c r="AT94" s="330"/>
      <c r="AU94" s="337"/>
      <c r="AV94" s="330"/>
      <c r="AW94" s="331"/>
      <c r="AX94" s="106"/>
      <c r="AY94" s="523">
        <f t="shared" si="38"/>
        <v>0</v>
      </c>
      <c r="AZ94" s="1"/>
      <c r="BA94" s="330"/>
      <c r="BB94" s="106"/>
      <c r="BC94" s="333">
        <f t="shared" si="39"/>
        <v>0</v>
      </c>
      <c r="BD94" s="1"/>
      <c r="BE94" s="1"/>
      <c r="BF94" s="330"/>
      <c r="BG94" s="331"/>
      <c r="BH94" s="106"/>
      <c r="BI94" s="523">
        <f t="shared" si="40"/>
        <v>0</v>
      </c>
      <c r="BJ94" s="1"/>
      <c r="BK94" s="330"/>
      <c r="BL94" s="106"/>
      <c r="BM94" s="333">
        <f t="shared" si="41"/>
        <v>0</v>
      </c>
      <c r="BN94" s="1"/>
      <c r="BO94" s="26"/>
      <c r="BP94" s="26"/>
    </row>
    <row r="95" spans="1:69" s="462" customFormat="1" ht="22.75" customHeight="1" x14ac:dyDescent="0.35">
      <c r="A95" s="9167" t="s">
        <v>566</v>
      </c>
      <c r="B95" s="139" t="s">
        <v>567</v>
      </c>
      <c r="C95" s="348"/>
      <c r="D95" s="49"/>
      <c r="E95" s="141"/>
      <c r="F95" s="227"/>
      <c r="G95" s="141"/>
      <c r="H95" s="102"/>
      <c r="I95" s="103"/>
      <c r="J95" s="228"/>
      <c r="K95" s="141"/>
      <c r="L95" s="102"/>
      <c r="M95" s="268"/>
      <c r="N95" s="456"/>
      <c r="O95" s="102"/>
      <c r="P95" s="103"/>
      <c r="Q95" s="103"/>
      <c r="R95" s="228"/>
      <c r="S95" s="141"/>
      <c r="T95" s="102"/>
      <c r="U95" s="103"/>
      <c r="V95" s="268"/>
      <c r="W95" s="456"/>
      <c r="Z95" s="102"/>
      <c r="AA95" s="103"/>
      <c r="AB95" s="103"/>
      <c r="AC95" s="228"/>
      <c r="AD95" s="141"/>
      <c r="AE95" s="102"/>
      <c r="AF95" s="103"/>
      <c r="AG95" s="268"/>
      <c r="AH95" s="456"/>
      <c r="AI95" s="1619"/>
      <c r="AK95" s="102"/>
      <c r="AL95" s="103"/>
      <c r="AM95" s="103"/>
      <c r="AN95" s="228"/>
      <c r="AO95" s="141"/>
      <c r="AP95" s="102"/>
      <c r="AQ95" s="103"/>
      <c r="AR95" s="268"/>
      <c r="AS95" s="456"/>
      <c r="AT95" s="330"/>
      <c r="AU95" s="337"/>
      <c r="AV95" s="330"/>
      <c r="AW95" s="331"/>
      <c r="AX95" s="106"/>
      <c r="AY95" s="523">
        <f t="shared" si="38"/>
        <v>0</v>
      </c>
      <c r="AZ95" s="1"/>
      <c r="BA95" s="330"/>
      <c r="BB95" s="106"/>
      <c r="BC95" s="333">
        <f t="shared" si="39"/>
        <v>0</v>
      </c>
      <c r="BD95" s="1"/>
      <c r="BE95" s="1"/>
      <c r="BF95" s="330"/>
      <c r="BG95" s="331"/>
      <c r="BH95" s="106"/>
      <c r="BI95" s="523">
        <f t="shared" si="40"/>
        <v>0</v>
      </c>
      <c r="BJ95" s="1"/>
      <c r="BK95" s="330"/>
      <c r="BL95" s="106"/>
      <c r="BM95" s="333">
        <f t="shared" si="41"/>
        <v>0</v>
      </c>
      <c r="BN95" s="1"/>
      <c r="BO95" s="26"/>
      <c r="BP95" s="26"/>
      <c r="BQ95" s="1619"/>
    </row>
    <row r="96" spans="1:69" s="462" customFormat="1" ht="16.5" customHeight="1" x14ac:dyDescent="0.35">
      <c r="A96" s="9168"/>
      <c r="B96" s="6082"/>
      <c r="C96"/>
      <c r="D96" s="110" t="s">
        <v>568</v>
      </c>
      <c r="E96" s="1"/>
      <c r="F96" s="349">
        <f>SUM(F35:F38)-SUM(F40:F42)</f>
        <v>1497259952.8200042</v>
      </c>
      <c r="G96" s="350"/>
      <c r="H96" s="351">
        <f>SUM(H35:H38)-SUM(H40:H42)</f>
        <v>1474483600</v>
      </c>
      <c r="I96" s="352">
        <f>SUM(I35:I38)-SUM(I40:I42)</f>
        <v>1329698333.6100006</v>
      </c>
      <c r="J96" s="246"/>
      <c r="K96" s="350"/>
      <c r="L96" s="351">
        <f>SUM(L35:L38)-SUM(L40:L42)</f>
        <v>1484212300</v>
      </c>
      <c r="M96" s="353">
        <f>SUM(M35:M38)-SUM(M40:M42)</f>
        <v>1338471734.8049624</v>
      </c>
      <c r="N96" s="456"/>
      <c r="O96" s="351">
        <f>SUM(O35:O38)-SUM(O40:O42)</f>
        <v>1484212300</v>
      </c>
      <c r="P96" s="352">
        <f>SUM(P35:P38)-SUM(P40:P42)</f>
        <v>1336356060.5200002</v>
      </c>
      <c r="Q96" s="352"/>
      <c r="R96" s="246"/>
      <c r="S96" s="350"/>
      <c r="T96" s="351">
        <f>SUM(T35:T38)-SUM(T40:T42)</f>
        <v>1684359700</v>
      </c>
      <c r="U96" s="352"/>
      <c r="V96" s="353">
        <f>SUM(V35:V38)-SUM(V40:V42)</f>
        <v>1511606984.652369</v>
      </c>
      <c r="W96" s="456"/>
      <c r="X96" s="577"/>
      <c r="Z96" s="351">
        <f>SUM(Z35:Z38)-SUM(Z40:Z42)</f>
        <v>1684359700</v>
      </c>
      <c r="AA96" s="352">
        <f>SUM(AA35:AA38)-SUM(AA40:AA42)</f>
        <v>2000200000.0000007</v>
      </c>
      <c r="AB96" s="352"/>
      <c r="AC96" s="246"/>
      <c r="AD96" s="350"/>
      <c r="AE96" s="351">
        <f>SUM(AE35:AE38)-SUM(AE40:AE42)</f>
        <v>9074000000</v>
      </c>
      <c r="AF96" s="352"/>
      <c r="AG96" s="353">
        <f>SUM(AG35:AG38)-SUM(AG40:AG42)</f>
        <v>9002300000</v>
      </c>
      <c r="AH96" s="456"/>
      <c r="AI96" s="3335"/>
      <c r="AK96" s="351">
        <f>SUM(AK35:AK38)-SUM(AK40:AK42)</f>
        <v>1684359700</v>
      </c>
      <c r="AL96" s="352">
        <f>SUM(AL35:AL38)-SUM(AL40:AL42)</f>
        <v>2000200000.0000007</v>
      </c>
      <c r="AM96" s="352"/>
      <c r="AN96" s="246"/>
      <c r="AO96" s="350"/>
      <c r="AP96" s="351">
        <f>SUM(AP35:AP38)-SUM(AP40:AP42)</f>
        <v>2075011200</v>
      </c>
      <c r="AQ96" s="352"/>
      <c r="AR96" s="353">
        <f>SUM(AR35:AR38)-SUM(AR40:AR42)</f>
        <v>2481165173.3925776</v>
      </c>
      <c r="AS96" s="456"/>
      <c r="AT96" s="330"/>
      <c r="AU96" s="337"/>
      <c r="AV96" s="330"/>
      <c r="AW96" s="331"/>
      <c r="AX96" s="106"/>
      <c r="AY96" s="523">
        <f t="shared" si="38"/>
        <v>0</v>
      </c>
      <c r="AZ96" s="1"/>
      <c r="BA96" s="330"/>
      <c r="BB96" s="106"/>
      <c r="BC96" s="333">
        <f t="shared" si="39"/>
        <v>0</v>
      </c>
      <c r="BD96" s="1"/>
      <c r="BE96" s="1"/>
      <c r="BF96" s="330"/>
      <c r="BG96" s="331"/>
      <c r="BH96" s="106"/>
      <c r="BI96" s="523">
        <f t="shared" si="40"/>
        <v>0</v>
      </c>
      <c r="BJ96" s="1"/>
      <c r="BK96" s="330"/>
      <c r="BL96" s="106"/>
      <c r="BM96" s="333">
        <f t="shared" si="41"/>
        <v>0</v>
      </c>
      <c r="BN96" s="1"/>
      <c r="BO96" s="26"/>
      <c r="BP96" s="26"/>
      <c r="BQ96" s="3335"/>
    </row>
    <row r="97" spans="1:69" s="462" customFormat="1" x14ac:dyDescent="0.35">
      <c r="A97" s="9168"/>
      <c r="B97" s="6082"/>
      <c r="C97"/>
      <c r="D97" s="110" t="s">
        <v>569</v>
      </c>
      <c r="E97" s="1"/>
      <c r="F97" s="349">
        <f>SUM(F44:F63)</f>
        <v>574579874.94999993</v>
      </c>
      <c r="G97" s="350"/>
      <c r="H97" s="351">
        <f>SUM(H44:H63)</f>
        <v>544798800</v>
      </c>
      <c r="I97" s="352">
        <f>SUM(I44:I63)</f>
        <v>594878488.88</v>
      </c>
      <c r="J97" s="246"/>
      <c r="K97" s="350"/>
      <c r="L97" s="351">
        <f>SUM(L44:L63)</f>
        <v>674202800</v>
      </c>
      <c r="M97" s="353">
        <f>SUM(M44:M63)</f>
        <v>555852349.88891459</v>
      </c>
      <c r="N97" s="456"/>
      <c r="O97" s="351">
        <f>SUM(O44:O63)</f>
        <v>674202800</v>
      </c>
      <c r="P97" s="352">
        <f>SUM(P44:P63)</f>
        <v>544613553.74999988</v>
      </c>
      <c r="Q97" s="352"/>
      <c r="R97" s="246"/>
      <c r="S97" s="350"/>
      <c r="T97" s="351">
        <f>SUM(T44:T63)</f>
        <v>674202800</v>
      </c>
      <c r="U97" s="352"/>
      <c r="V97" s="353">
        <f>SUM(V44:V63)</f>
        <v>544566463.70999992</v>
      </c>
      <c r="W97" s="456"/>
      <c r="X97" s="577"/>
      <c r="Z97" s="351">
        <f>SUM(Z44:Z63)</f>
        <v>770411000</v>
      </c>
      <c r="AA97" s="352">
        <f>SUM(AA44:AA63)</f>
        <v>654868500</v>
      </c>
      <c r="AB97" s="352"/>
      <c r="AC97" s="246"/>
      <c r="AD97" s="350"/>
      <c r="AE97" s="351"/>
      <c r="AF97" s="352"/>
      <c r="AG97" s="353"/>
      <c r="AH97" s="456"/>
      <c r="AI97" s="3335"/>
      <c r="AK97" s="351">
        <f>SUM(AK44:AK63)</f>
        <v>770411000</v>
      </c>
      <c r="AL97" s="352">
        <f>SUM(AL44:AL63)</f>
        <v>654868500</v>
      </c>
      <c r="AM97" s="352"/>
      <c r="AN97" s="246"/>
      <c r="AO97" s="350"/>
      <c r="AP97" s="351">
        <f>SUM(AP44:AP63)</f>
        <v>680713900</v>
      </c>
      <c r="AQ97" s="352"/>
      <c r="AR97" s="353">
        <f>SUM(AR44:AR63)</f>
        <v>462731930.46789545</v>
      </c>
      <c r="AS97" s="456"/>
      <c r="AT97" s="330"/>
      <c r="AU97" s="337"/>
      <c r="AV97" s="330"/>
      <c r="AW97" s="331"/>
      <c r="AX97" s="106"/>
      <c r="AY97" s="523">
        <f t="shared" si="38"/>
        <v>0</v>
      </c>
      <c r="AZ97" s="1"/>
      <c r="BA97" s="330"/>
      <c r="BB97" s="106"/>
      <c r="BC97" s="333">
        <f t="shared" si="39"/>
        <v>0</v>
      </c>
      <c r="BD97" s="1"/>
      <c r="BE97" s="1"/>
      <c r="BF97" s="330"/>
      <c r="BG97" s="331"/>
      <c r="BH97" s="106"/>
      <c r="BI97" s="523">
        <f t="shared" si="40"/>
        <v>0</v>
      </c>
      <c r="BJ97" s="1"/>
      <c r="BK97" s="330"/>
      <c r="BL97" s="106"/>
      <c r="BM97" s="333">
        <f t="shared" si="41"/>
        <v>0</v>
      </c>
      <c r="BN97" s="1"/>
      <c r="BO97" s="26"/>
      <c r="BP97" s="26"/>
      <c r="BQ97" s="3335"/>
    </row>
    <row r="98" spans="1:69" s="462" customFormat="1" x14ac:dyDescent="0.35">
      <c r="A98" s="9168"/>
      <c r="B98" s="6082"/>
      <c r="C98"/>
      <c r="D98" s="110" t="s">
        <v>570</v>
      </c>
      <c r="E98" s="1"/>
      <c r="F98" s="349">
        <f>SUM(F65:F72)*F28</f>
        <v>0</v>
      </c>
      <c r="G98" s="350"/>
      <c r="H98" s="351">
        <f>SUM(H65:H72)*H28</f>
        <v>0</v>
      </c>
      <c r="I98" s="352">
        <f>SUM(I65:I72)*I28</f>
        <v>0</v>
      </c>
      <c r="J98" s="246"/>
      <c r="K98" s="350"/>
      <c r="L98" s="351">
        <f>SUM(L65:L72)*L28</f>
        <v>0</v>
      </c>
      <c r="M98" s="353">
        <f>SUM(M65:M72)*M28</f>
        <v>0</v>
      </c>
      <c r="N98" s="456"/>
      <c r="O98" s="351">
        <f>SUM(O65:O72)*O28</f>
        <v>0</v>
      </c>
      <c r="P98" s="352">
        <f>SUM(P65:P72)*P28</f>
        <v>0</v>
      </c>
      <c r="Q98" s="352"/>
      <c r="R98" s="246"/>
      <c r="S98" s="350"/>
      <c r="T98" s="351">
        <f>SUM(T65:T72)*T28</f>
        <v>0</v>
      </c>
      <c r="U98" s="352"/>
      <c r="V98" s="353">
        <f>SUM(V65:V72)*V28</f>
        <v>0</v>
      </c>
      <c r="W98" s="456"/>
      <c r="X98" s="577"/>
      <c r="Z98" s="351">
        <f>SUM(Z65:Z72)*Z28</f>
        <v>0</v>
      </c>
      <c r="AA98" s="352">
        <f>SUM(AA65:AA72)*AA28</f>
        <v>0</v>
      </c>
      <c r="AB98" s="352"/>
      <c r="AC98" s="246"/>
      <c r="AD98" s="350"/>
      <c r="AE98" s="351"/>
      <c r="AF98" s="352"/>
      <c r="AG98" s="353"/>
      <c r="AH98" s="456"/>
      <c r="AI98" s="3335"/>
      <c r="AK98" s="351">
        <f>SUM(AK65:AK72)*AK28</f>
        <v>0</v>
      </c>
      <c r="AL98" s="352">
        <f>SUM(AL65:AL72)*AL28</f>
        <v>0</v>
      </c>
      <c r="AM98" s="352"/>
      <c r="AN98" s="246"/>
      <c r="AO98" s="350"/>
      <c r="AP98" s="351">
        <f>SUM(AP65:AP72)*AP28</f>
        <v>0</v>
      </c>
      <c r="AQ98" s="352"/>
      <c r="AR98" s="353">
        <f>SUM(AR65:AR72)*AR28</f>
        <v>0</v>
      </c>
      <c r="AS98" s="456"/>
      <c r="AT98" s="341"/>
      <c r="AU98" s="342"/>
      <c r="AV98" s="341"/>
      <c r="AW98" s="952"/>
      <c r="AX98" s="216"/>
      <c r="AY98" s="527">
        <f t="shared" si="38"/>
        <v>0</v>
      </c>
      <c r="AZ98" s="1"/>
      <c r="BA98" s="341"/>
      <c r="BB98" s="216"/>
      <c r="BC98" s="347">
        <f t="shared" si="39"/>
        <v>0</v>
      </c>
      <c r="BD98" s="1"/>
      <c r="BE98" s="1"/>
      <c r="BF98" s="341"/>
      <c r="BG98" s="952"/>
      <c r="BH98" s="216"/>
      <c r="BI98" s="527">
        <f t="shared" si="40"/>
        <v>0</v>
      </c>
      <c r="BJ98" s="1"/>
      <c r="BK98" s="341"/>
      <c r="BL98" s="216"/>
      <c r="BM98" s="347">
        <f t="shared" si="41"/>
        <v>0</v>
      </c>
      <c r="BN98" s="1"/>
      <c r="BO98" s="24"/>
      <c r="BP98" s="24"/>
      <c r="BQ98" s="3335"/>
    </row>
    <row r="99" spans="1:69" s="462" customFormat="1" x14ac:dyDescent="0.35">
      <c r="A99" s="9168"/>
      <c r="B99" s="6082"/>
      <c r="C99"/>
      <c r="D99" s="110" t="s">
        <v>552</v>
      </c>
      <c r="E99" s="1"/>
      <c r="F99" s="349">
        <f>SUM(F74:F76)</f>
        <v>4797076823.9199972</v>
      </c>
      <c r="G99" s="350"/>
      <c r="H99" s="351">
        <f>SUM(H74:H76)</f>
        <v>5675148524</v>
      </c>
      <c r="I99" s="352">
        <f>SUM(I74:I76)</f>
        <v>5899040475.0400038</v>
      </c>
      <c r="J99" s="246"/>
      <c r="K99" s="350"/>
      <c r="L99" s="351">
        <f>SUM(L74:L76)</f>
        <v>5881204400</v>
      </c>
      <c r="M99" s="353">
        <f>SUM(M74:M76)</f>
        <v>6113225521.9164658</v>
      </c>
      <c r="N99" s="456"/>
      <c r="O99" s="351">
        <f>SUM(O74:O76)</f>
        <v>6442540131</v>
      </c>
      <c r="P99" s="352">
        <f>SUM(P74:P76)</f>
        <v>6328072657.3299961</v>
      </c>
      <c r="Q99" s="352"/>
      <c r="R99" s="246"/>
      <c r="S99" s="350"/>
      <c r="T99" s="351">
        <f>SUM(T74:T76)</f>
        <v>6273006700</v>
      </c>
      <c r="U99" s="352"/>
      <c r="V99" s="353">
        <f>SUM(V74:V76)</f>
        <v>5878151554.2844925</v>
      </c>
      <c r="W99" s="456"/>
      <c r="X99" s="577"/>
      <c r="Z99" s="351">
        <f>SUM(Z74:Z76)</f>
        <v>6450260400</v>
      </c>
      <c r="AA99" s="352">
        <f>SUM(AA74:AA76)</f>
        <v>6274395300</v>
      </c>
      <c r="AB99" s="352"/>
      <c r="AC99" s="246"/>
      <c r="AD99" s="350"/>
      <c r="AE99" s="351"/>
      <c r="AF99" s="352"/>
      <c r="AG99" s="353"/>
      <c r="AH99" s="456"/>
      <c r="AI99" s="3335"/>
      <c r="AK99" s="351">
        <f>SUM(AK74:AK76)</f>
        <v>6450260400</v>
      </c>
      <c r="AL99" s="352">
        <f>SUM(AL74:AL76)</f>
        <v>6274395300</v>
      </c>
      <c r="AM99" s="352"/>
      <c r="AN99" s="246"/>
      <c r="AO99" s="350"/>
      <c r="AP99" s="351">
        <f>SUM(AP74:AP76)</f>
        <v>7446195300</v>
      </c>
      <c r="AQ99" s="352"/>
      <c r="AR99" s="353">
        <f>SUM(AR74:AR76)</f>
        <v>7223689618.3348274</v>
      </c>
      <c r="AS99" s="456"/>
      <c r="AT99" s="310"/>
      <c r="AU99" s="1"/>
      <c r="AV99" s="106"/>
      <c r="AW99" s="106"/>
      <c r="AX99" s="106"/>
      <c r="AY99" s="558"/>
      <c r="AZ99" s="1"/>
      <c r="BA99" s="106"/>
      <c r="BB99" s="106"/>
      <c r="BC99" s="312"/>
      <c r="BD99" s="456"/>
      <c r="BE99" s="456"/>
      <c r="BF99" s="106"/>
      <c r="BG99" s="106"/>
      <c r="BH99" s="106"/>
      <c r="BI99" s="558"/>
      <c r="BJ99" s="1"/>
      <c r="BK99" s="106"/>
      <c r="BL99" s="106"/>
      <c r="BM99" s="312"/>
      <c r="BN99" s="456"/>
      <c r="BQ99" s="3335"/>
    </row>
    <row r="100" spans="1:69" s="462" customFormat="1" x14ac:dyDescent="0.35">
      <c r="A100" s="9168"/>
      <c r="B100" s="6082"/>
      <c r="C100"/>
      <c r="D100" s="356" t="s">
        <v>571</v>
      </c>
      <c r="E100" s="143"/>
      <c r="F100" s="357">
        <f>SUM(F96:F99)</f>
        <v>6868916651.6900015</v>
      </c>
      <c r="G100" s="358"/>
      <c r="H100" s="359">
        <f>SUM(H96:H99)</f>
        <v>7694430924</v>
      </c>
      <c r="I100" s="360">
        <f>SUM(I96:I99)</f>
        <v>7823617297.5300045</v>
      </c>
      <c r="J100" s="361"/>
      <c r="K100" s="358"/>
      <c r="L100" s="359">
        <f>SUM(L96:L99)</f>
        <v>8039619500</v>
      </c>
      <c r="M100" s="362">
        <f>SUM(M96:M99)</f>
        <v>8007549606.610343</v>
      </c>
      <c r="N100" s="456"/>
      <c r="O100" s="359">
        <f>SUM(O96:O99)</f>
        <v>8600955231</v>
      </c>
      <c r="P100" s="360">
        <f>SUM(P96:P99)</f>
        <v>8209042271.5999966</v>
      </c>
      <c r="Q100" s="360"/>
      <c r="R100" s="361"/>
      <c r="S100" s="358"/>
      <c r="T100" s="359">
        <f>SUM(T96:T99)</f>
        <v>8631569200</v>
      </c>
      <c r="U100" s="360">
        <f>9019199.9*1000</f>
        <v>9019199900</v>
      </c>
      <c r="V100" s="362">
        <f>SUM(V96:V99)</f>
        <v>7934325002.646862</v>
      </c>
      <c r="W100" s="456"/>
      <c r="X100" s="577">
        <f>U100/T100-1</f>
        <v>4.4908485469826287E-2</v>
      </c>
      <c r="Z100" s="359">
        <f>SUM(Z96:Z99)</f>
        <v>8905031100</v>
      </c>
      <c r="AA100" s="360">
        <f>SUM(AA96:AA99)</f>
        <v>8929463800</v>
      </c>
      <c r="AB100" s="360"/>
      <c r="AC100" s="361"/>
      <c r="AD100" s="358"/>
      <c r="AE100" s="359">
        <f>SUM(AE96:AE99)</f>
        <v>9074000000</v>
      </c>
      <c r="AF100" s="360">
        <f>9019199.9*1000</f>
        <v>9019199900</v>
      </c>
      <c r="AG100" s="362">
        <f>SUM(AG96:AG99)</f>
        <v>9002300000</v>
      </c>
      <c r="AH100" s="456"/>
      <c r="AI100" s="3335">
        <f>AF100/AE100-1</f>
        <v>-6.0392439938284914E-3</v>
      </c>
      <c r="AK100" s="359">
        <f>SUM(AK96:AK99)</f>
        <v>8905031100</v>
      </c>
      <c r="AL100" s="360">
        <f>SUM(AL96:AL99)</f>
        <v>8929463800</v>
      </c>
      <c r="AM100" s="360"/>
      <c r="AN100" s="361"/>
      <c r="AO100" s="358"/>
      <c r="AP100" s="359">
        <f>SUM(AP96:AP99)</f>
        <v>10201920400</v>
      </c>
      <c r="AQ100" s="360">
        <f>9019199.9*1000</f>
        <v>9019199900</v>
      </c>
      <c r="AR100" s="362">
        <f>SUM(AR96:AR99)</f>
        <v>10167586722.195301</v>
      </c>
      <c r="AS100" s="456"/>
      <c r="AT100" s="139" t="s">
        <v>567</v>
      </c>
      <c r="AU100" s="348"/>
      <c r="AV100" s="102"/>
      <c r="AW100" s="103"/>
      <c r="AX100" s="103"/>
      <c r="AY100" s="228"/>
      <c r="AZ100" s="141"/>
      <c r="BA100" s="102"/>
      <c r="BB100" s="103"/>
      <c r="BC100" s="268"/>
      <c r="BD100" s="456"/>
      <c r="BE100" s="456"/>
      <c r="BF100" s="102"/>
      <c r="BG100" s="103"/>
      <c r="BH100" s="103"/>
      <c r="BI100" s="228"/>
      <c r="BJ100" s="141"/>
      <c r="BK100" s="102"/>
      <c r="BL100" s="103"/>
      <c r="BM100" s="268"/>
      <c r="BN100" s="456"/>
      <c r="BO100" s="1619"/>
      <c r="BP100" s="1619"/>
      <c r="BQ100" s="3335">
        <f>AQ100/AP100-1</f>
        <v>-0.11593116331313469</v>
      </c>
    </row>
    <row r="101" spans="1:69" s="462" customFormat="1" ht="15.5" x14ac:dyDescent="0.35">
      <c r="A101" s="9168"/>
      <c r="B101" s="6082"/>
      <c r="C101"/>
      <c r="D101" s="356" t="s">
        <v>572</v>
      </c>
      <c r="E101" s="1"/>
      <c r="F101" s="559">
        <f>F100/(F17+F18+F19)</f>
        <v>0.35513482643929489</v>
      </c>
      <c r="G101" s="560"/>
      <c r="H101" s="561">
        <f>H100/(H17+H18+H19)</f>
        <v>0.279203969444414</v>
      </c>
      <c r="I101" s="562">
        <f>I100/(I17+I18+I19)</f>
        <v>0.27206765026869228</v>
      </c>
      <c r="J101" s="563"/>
      <c r="K101" s="560"/>
      <c r="L101" s="561">
        <f>L100/(L17+L18+L19)</f>
        <v>0.24322255060501297</v>
      </c>
      <c r="M101" s="563">
        <f>M100/(M17+M18+M19)</f>
        <v>0.23216257165600229</v>
      </c>
      <c r="N101" s="456"/>
      <c r="O101" s="561">
        <f>O100/(O17+O18+O19)</f>
        <v>0.26020463641635633</v>
      </c>
      <c r="P101" s="562">
        <f>P100/(P17+P18+P19)</f>
        <v>0.2825072789936528</v>
      </c>
      <c r="Q101" s="562"/>
      <c r="R101" s="563"/>
      <c r="S101" s="560"/>
      <c r="T101" s="561">
        <f>T100/(T17+T18+T19)</f>
        <v>0.25526408645002968</v>
      </c>
      <c r="U101" s="562"/>
      <c r="V101" s="563">
        <f>V100/(V17+V18+V19)</f>
        <v>0.26691854774932378</v>
      </c>
      <c r="W101" s="456"/>
      <c r="X101" s="577"/>
      <c r="Z101" s="561">
        <f>Z100/(Z17+Z18+Z19)</f>
        <v>0.25041041012138415</v>
      </c>
      <c r="AA101" s="562">
        <f>AA100/(AA17+AA18+AA19)</f>
        <v>0.29213618354974957</v>
      </c>
      <c r="AB101" s="562"/>
      <c r="AC101" s="563"/>
      <c r="AD101" s="560"/>
      <c r="AE101" s="561">
        <f>AE100/(AE17+AE18+AE19)</f>
        <v>0.24007234003465258</v>
      </c>
      <c r="AF101" s="562"/>
      <c r="AG101" s="563">
        <f>AG100/(AG17+AG18+AG19)</f>
        <v>0.25373458251595299</v>
      </c>
      <c r="AH101" s="456"/>
      <c r="AI101" s="3335"/>
      <c r="AK101" s="561">
        <f>AK100/(AK17+AK18+AK19)</f>
        <v>0.22736803582308898</v>
      </c>
      <c r="AL101" s="562">
        <f>AL100/(AL17+AL18+AL19)</f>
        <v>0.26615312025895599</v>
      </c>
      <c r="AM101" s="562"/>
      <c r="AN101" s="563"/>
      <c r="AO101" s="560"/>
      <c r="AP101" s="561">
        <f>AP100/(AP17+AP18+AP19)</f>
        <v>0.25205317093491481</v>
      </c>
      <c r="AQ101" s="562"/>
      <c r="AR101" s="563">
        <f>AR100/(AR17+AR18+AR19)</f>
        <v>0.26282953184030289</v>
      </c>
      <c r="AS101" s="456"/>
      <c r="AT101" s="6082"/>
      <c r="AU101" s="110" t="s">
        <v>568</v>
      </c>
      <c r="AV101" s="351">
        <f>AV36+AV39-SUM(AV45:AV47)</f>
        <v>2604435800</v>
      </c>
      <c r="AW101" s="352">
        <f>AW36+AW39-SUM(AW45:AW47)</f>
        <v>2381374610.2103934</v>
      </c>
      <c r="AX101" s="352"/>
      <c r="AY101" s="246"/>
      <c r="AZ101" s="350"/>
      <c r="BA101" s="351">
        <f>BA36+BA39-SUM(BA45:BA47)</f>
        <v>2807404300</v>
      </c>
      <c r="BB101" s="352"/>
      <c r="BC101" s="353">
        <f>BC36+BC39-SUM(BC45:BC47)</f>
        <v>2570267425.3405128</v>
      </c>
      <c r="BD101" s="456"/>
      <c r="BE101" s="456"/>
      <c r="BF101" s="351">
        <f>BF36+BF39-SUM(BF45:BF47)</f>
        <v>2014692503.0999999</v>
      </c>
      <c r="BG101" s="352">
        <f>BG36+BG39-SUM(BG45:BG47)</f>
        <v>1880983336.6400003</v>
      </c>
      <c r="BH101" s="352"/>
      <c r="BI101" s="246"/>
      <c r="BJ101" s="350"/>
      <c r="BK101" s="351">
        <f>BK43</f>
        <v>12365300000</v>
      </c>
      <c r="BL101" s="352" t="s">
        <v>4090</v>
      </c>
      <c r="BM101" s="353">
        <f>BM43</f>
        <v>11887000000</v>
      </c>
      <c r="BN101" s="456"/>
      <c r="BO101" s="3335"/>
      <c r="BP101" s="3335"/>
      <c r="BQ101" s="3335"/>
    </row>
    <row r="102" spans="1:69" s="462" customFormat="1" x14ac:dyDescent="0.35">
      <c r="A102" s="9168"/>
      <c r="B102" s="371"/>
      <c r="C102" s="372"/>
      <c r="D102" s="296" t="s">
        <v>573</v>
      </c>
      <c r="E102" s="374"/>
      <c r="F102" s="3336"/>
      <c r="G102" s="954"/>
      <c r="H102" s="381"/>
      <c r="I102" s="382"/>
      <c r="J102" s="955"/>
      <c r="K102" s="954"/>
      <c r="L102" s="386"/>
      <c r="M102" s="955"/>
      <c r="N102" s="2974"/>
      <c r="O102" s="381">
        <f>O36+SUM(O44:O52)+O75</f>
        <v>8219949120</v>
      </c>
      <c r="P102" s="382">
        <f>P36+SUM(P44:P52)+P75</f>
        <v>7602079577.7699966</v>
      </c>
      <c r="Q102" s="956"/>
      <c r="R102" s="955"/>
      <c r="S102" s="954"/>
      <c r="T102" s="386">
        <f>T36+SUM(T44:T52)+T75</f>
        <v>7898256087.7300005</v>
      </c>
      <c r="U102" s="956"/>
      <c r="V102" s="387">
        <f>V36+SUM(V44:V52)+V75</f>
        <v>7298639632.9351301</v>
      </c>
      <c r="W102" s="456"/>
      <c r="X102" s="577"/>
      <c r="Z102" s="381">
        <f>Z36+SUM(Z44:Z52)+Z75</f>
        <v>8625482300</v>
      </c>
      <c r="AA102" s="382">
        <f>AA36+SUM(AA44:AA52)+AA75</f>
        <v>8674212900</v>
      </c>
      <c r="AB102" s="956"/>
      <c r="AC102" s="955"/>
      <c r="AD102" s="954"/>
      <c r="AE102" s="386">
        <f>AE36+SUM(AE44:AE52)+AE75</f>
        <v>16157145900</v>
      </c>
      <c r="AF102" s="956"/>
      <c r="AG102" s="387">
        <f>AG36+SUM(AG44:AG52)+AG75</f>
        <v>15880491134.765675</v>
      </c>
      <c r="AH102" s="456"/>
      <c r="AI102" s="3335"/>
      <c r="AK102" s="381">
        <f>AK36+SUM(AK44:AK52)+AK75</f>
        <v>8625482300</v>
      </c>
      <c r="AL102" s="382">
        <f>AL36+SUM(AL44:AL52)+AL75</f>
        <v>8674212900</v>
      </c>
      <c r="AM102" s="956"/>
      <c r="AN102" s="955"/>
      <c r="AO102" s="954"/>
      <c r="AP102" s="386">
        <f>AP36+SUM(AP44:AP52)+AP75</f>
        <v>9839519600</v>
      </c>
      <c r="AQ102" s="956"/>
      <c r="AR102" s="387">
        <f>AR36+SUM(AR44:AR52)+AR75</f>
        <v>9917023712.0420055</v>
      </c>
      <c r="AS102" s="456"/>
      <c r="AT102" s="6082"/>
      <c r="AU102" s="110" t="s">
        <v>569</v>
      </c>
      <c r="AV102" s="351">
        <f>SUM(AV49:AV68)</f>
        <v>930975000</v>
      </c>
      <c r="AW102" s="352">
        <f>SUM(AW49:AW68)</f>
        <v>851240114.17007136</v>
      </c>
      <c r="AX102" s="352"/>
      <c r="AY102" s="246"/>
      <c r="AZ102" s="350"/>
      <c r="BA102" s="351">
        <f>SUM(BA49:BA68)</f>
        <v>944127400</v>
      </c>
      <c r="BB102" s="352"/>
      <c r="BC102" s="353">
        <f>SUM(BC49:BC68)</f>
        <v>864378494.25230002</v>
      </c>
      <c r="BD102" s="456"/>
      <c r="BE102" s="456"/>
      <c r="BF102" s="351">
        <f>SUM(BF49:BF68)</f>
        <v>770392318</v>
      </c>
      <c r="BG102" s="352">
        <f>SUM(BG49:BG68)</f>
        <v>686737261.11000001</v>
      </c>
      <c r="BH102" s="352"/>
      <c r="BI102" s="246"/>
      <c r="BJ102" s="350"/>
      <c r="BK102" s="351"/>
      <c r="BL102" s="7457" t="s">
        <v>4091</v>
      </c>
      <c r="BM102" s="353"/>
      <c r="BN102" s="456"/>
      <c r="BO102" s="3335"/>
      <c r="BP102" s="3335"/>
      <c r="BQ102" s="3335"/>
    </row>
    <row r="103" spans="1:69" s="462" customFormat="1" x14ac:dyDescent="0.35">
      <c r="A103" s="9168"/>
      <c r="B103" s="58"/>
      <c r="C103" s="390"/>
      <c r="D103" s="296" t="s">
        <v>575</v>
      </c>
      <c r="E103" s="392"/>
      <c r="F103" s="3337"/>
      <c r="G103" s="3338"/>
      <c r="H103" s="405"/>
      <c r="I103" s="406"/>
      <c r="J103" s="3339"/>
      <c r="K103" s="3338"/>
      <c r="L103" s="410"/>
      <c r="M103" s="3339"/>
      <c r="N103" s="3340"/>
      <c r="O103" s="405"/>
      <c r="P103" s="406"/>
      <c r="Q103" s="3341"/>
      <c r="R103" s="3339"/>
      <c r="S103" s="3338"/>
      <c r="T103" s="410"/>
      <c r="U103" s="3341"/>
      <c r="V103" s="411"/>
      <c r="W103" s="456"/>
      <c r="X103" s="577"/>
      <c r="Z103" s="405"/>
      <c r="AA103" s="406"/>
      <c r="AB103" s="3341"/>
      <c r="AC103" s="3339"/>
      <c r="AD103" s="3338"/>
      <c r="AE103" s="410"/>
      <c r="AF103" s="3341"/>
      <c r="AG103" s="411"/>
      <c r="AH103" s="456"/>
      <c r="AI103" s="3335"/>
      <c r="AK103" s="405"/>
      <c r="AL103" s="406"/>
      <c r="AM103" s="3341"/>
      <c r="AN103" s="3339"/>
      <c r="AO103" s="3338"/>
      <c r="AP103" s="410"/>
      <c r="AQ103" s="3341"/>
      <c r="AR103" s="411"/>
      <c r="AS103" s="456"/>
      <c r="AT103" s="6082"/>
      <c r="AU103" s="110" t="s">
        <v>570</v>
      </c>
      <c r="AV103" s="351">
        <f>SUM(AV70:AV77)*AV28</f>
        <v>0</v>
      </c>
      <c r="AW103" s="352">
        <f>SUM(AW70:AW77)*AW28</f>
        <v>0</v>
      </c>
      <c r="AX103" s="352"/>
      <c r="AY103" s="246"/>
      <c r="AZ103" s="350"/>
      <c r="BA103" s="351">
        <f>SUM(BA70:BA77)*BA28</f>
        <v>0</v>
      </c>
      <c r="BB103" s="352"/>
      <c r="BC103" s="353">
        <f>SUM(BC70:BC77)*BC28</f>
        <v>0</v>
      </c>
      <c r="BD103" s="456"/>
      <c r="BE103" s="456"/>
      <c r="BF103" s="351">
        <f>SUM(BF70:BF77)*BF28</f>
        <v>0</v>
      </c>
      <c r="BG103" s="352">
        <f>SUM(BG70:BG77)*BG28</f>
        <v>0</v>
      </c>
      <c r="BH103" s="352"/>
      <c r="BI103" s="246"/>
      <c r="BJ103" s="350"/>
      <c r="BK103" s="351"/>
      <c r="BL103" s="352"/>
      <c r="BM103" s="353"/>
      <c r="BN103" s="456"/>
      <c r="BO103" s="3335"/>
      <c r="BP103" s="3335"/>
      <c r="BQ103" s="3335"/>
    </row>
    <row r="104" spans="1:69" s="462" customFormat="1" x14ac:dyDescent="0.35">
      <c r="A104" s="9168"/>
      <c r="B104" s="58"/>
      <c r="C104" s="390"/>
      <c r="D104" s="296" t="s">
        <v>576</v>
      </c>
      <c r="E104" s="392"/>
      <c r="F104" s="3337"/>
      <c r="G104" s="3338"/>
      <c r="H104" s="405"/>
      <c r="I104" s="406"/>
      <c r="J104" s="3339"/>
      <c r="K104" s="3338"/>
      <c r="L104" s="410"/>
      <c r="M104" s="3339"/>
      <c r="N104" s="3340"/>
      <c r="O104" s="405">
        <f>O100/(O17)</f>
        <v>0.26020463641635633</v>
      </c>
      <c r="P104" s="406">
        <f>P100/(P17)</f>
        <v>0.2825072789936528</v>
      </c>
      <c r="Q104" s="3341"/>
      <c r="R104" s="3339"/>
      <c r="S104" s="3338"/>
      <c r="T104" s="410">
        <f>T100/(T17)</f>
        <v>0.26432676075864453</v>
      </c>
      <c r="U104" s="3341"/>
      <c r="V104" s="411">
        <f>V100/(V17)</f>
        <v>0.27639499192453726</v>
      </c>
      <c r="W104" s="456"/>
      <c r="X104" s="577"/>
      <c r="Z104" s="405">
        <f>Z100/(Z17)</f>
        <v>0.25041041012138415</v>
      </c>
      <c r="AA104" s="406">
        <f>AA100/(AA17)</f>
        <v>0.29213618354974957</v>
      </c>
      <c r="AB104" s="3341"/>
      <c r="AC104" s="3339"/>
      <c r="AD104" s="3338"/>
      <c r="AE104" s="410">
        <f>AE100/(AE17)</f>
        <v>0.24905493956818028</v>
      </c>
      <c r="AF104" s="3341"/>
      <c r="AG104" s="411">
        <f>AG100/(AG17)</f>
        <v>0.25373458251595299</v>
      </c>
      <c r="AH104" s="456"/>
      <c r="AI104" s="3335"/>
      <c r="AK104" s="405">
        <f>AK100/(AK17)</f>
        <v>0.23556725348852589</v>
      </c>
      <c r="AL104" s="406">
        <f>AL100/(AL17)</f>
        <v>0.26615312025895599</v>
      </c>
      <c r="AM104" s="3341"/>
      <c r="AN104" s="3339"/>
      <c r="AO104" s="3338"/>
      <c r="AP104" s="410">
        <f>AP100/(AP17)</f>
        <v>0.2681600848395525</v>
      </c>
      <c r="AQ104" s="3341"/>
      <c r="AR104" s="411">
        <f>AR100/(AR17)</f>
        <v>0.26282953184030289</v>
      </c>
      <c r="AS104" s="456"/>
      <c r="AT104" s="6082"/>
      <c r="AU104" s="110" t="s">
        <v>552</v>
      </c>
      <c r="AV104" s="351">
        <f>SUM(AV79:AV81)</f>
        <v>7345400000</v>
      </c>
      <c r="AW104" s="352">
        <f>SUM(AW79:AW81)</f>
        <v>7336200000</v>
      </c>
      <c r="AX104" s="352"/>
      <c r="AY104" s="246"/>
      <c r="AZ104" s="350"/>
      <c r="BA104" s="351">
        <f>SUM(BA79:BA81)</f>
        <v>8765500000</v>
      </c>
      <c r="BB104" s="352"/>
      <c r="BC104" s="353">
        <f>SUM(BC79:BC81)</f>
        <v>8477900000</v>
      </c>
      <c r="BD104" s="456"/>
      <c r="BE104" s="456"/>
      <c r="BF104" s="351">
        <f>SUM(BF79:BF81)</f>
        <v>10315683477</v>
      </c>
      <c r="BG104" s="352">
        <f>SUM(BG79:BG81)</f>
        <v>9760301546.8000088</v>
      </c>
      <c r="BH104" s="352"/>
      <c r="BI104" s="246"/>
      <c r="BJ104" s="350"/>
      <c r="BK104" s="351"/>
      <c r="BL104" s="352"/>
      <c r="BM104" s="353"/>
      <c r="BN104" s="456"/>
      <c r="BO104" s="3335"/>
      <c r="BP104" s="3335"/>
      <c r="BQ104" s="3335"/>
    </row>
    <row r="105" spans="1:69" s="462" customFormat="1" x14ac:dyDescent="0.35">
      <c r="A105" s="9168"/>
      <c r="B105" s="58"/>
      <c r="C105" s="390"/>
      <c r="D105" s="296"/>
      <c r="E105" s="392"/>
      <c r="F105" s="3342"/>
      <c r="G105" s="392"/>
      <c r="H105" s="394"/>
      <c r="I105" s="395"/>
      <c r="J105" s="229"/>
      <c r="K105" s="392"/>
      <c r="L105" s="396"/>
      <c r="M105" s="229"/>
      <c r="N105" s="456"/>
      <c r="O105" s="394"/>
      <c r="P105" s="395"/>
      <c r="Q105"/>
      <c r="R105" s="229"/>
      <c r="S105" s="392"/>
      <c r="T105" s="396"/>
      <c r="U105"/>
      <c r="V105" s="1822"/>
      <c r="W105" s="456"/>
      <c r="X105" s="577"/>
      <c r="Z105" s="394"/>
      <c r="AA105" s="395"/>
      <c r="AB105"/>
      <c r="AC105" s="229"/>
      <c r="AD105" s="392"/>
      <c r="AE105" s="396"/>
      <c r="AF105"/>
      <c r="AG105" s="1822"/>
      <c r="AH105" s="456"/>
      <c r="AI105" s="3335"/>
      <c r="AK105" s="394"/>
      <c r="AL105" s="395"/>
      <c r="AM105"/>
      <c r="AN105" s="229"/>
      <c r="AO105" s="392"/>
      <c r="AP105" s="396"/>
      <c r="AQ105"/>
      <c r="AR105" s="1822"/>
      <c r="AS105" s="456"/>
      <c r="AT105" s="6082"/>
      <c r="AU105" s="356" t="s">
        <v>571</v>
      </c>
      <c r="AV105" s="359">
        <f>SUM(AV101:AV104)</f>
        <v>10880810800</v>
      </c>
      <c r="AW105" s="360">
        <f>SUM(AW101:AW104)</f>
        <v>10568814724.380465</v>
      </c>
      <c r="AX105" s="360"/>
      <c r="AY105" s="361"/>
      <c r="AZ105" s="358"/>
      <c r="BA105" s="359">
        <f>SUM(BA101:BA104)</f>
        <v>12517031700</v>
      </c>
      <c r="BB105" s="360"/>
      <c r="BC105" s="362">
        <f>SUM(BC101:BC104)</f>
        <v>11912545919.592812</v>
      </c>
      <c r="BD105" s="456"/>
      <c r="BE105" s="456"/>
      <c r="BF105" s="359">
        <f>SUM(BF101:BF104)</f>
        <v>13100768298.1</v>
      </c>
      <c r="BG105" s="360">
        <f>SUM(BG101:BG104)</f>
        <v>12328022144.550009</v>
      </c>
      <c r="BH105" s="360"/>
      <c r="BI105" s="361"/>
      <c r="BJ105" s="358"/>
      <c r="BK105" s="359">
        <f>SUM(BK101:BK104)</f>
        <v>12365300000</v>
      </c>
      <c r="BL105" s="360"/>
      <c r="BM105" s="362">
        <f>SUM(BM101:BM104)</f>
        <v>11887000000</v>
      </c>
      <c r="BN105" s="456"/>
      <c r="BO105" s="3335" t="e">
        <f>AT105/AS105-1</f>
        <v>#DIV/0!</v>
      </c>
      <c r="BP105" s="3335" t="e">
        <f>AQ105/AP105-1</f>
        <v>#DIV/0!</v>
      </c>
      <c r="BQ105" s="3335"/>
    </row>
    <row r="106" spans="1:69" s="462" customFormat="1" ht="15.5" x14ac:dyDescent="0.35">
      <c r="A106" s="9168"/>
      <c r="B106" s="58"/>
      <c r="C106" s="390"/>
      <c r="D106" s="296" t="s">
        <v>577</v>
      </c>
      <c r="E106" s="392"/>
      <c r="F106" s="3337" t="e">
        <f>F100/((F12))</f>
        <v>#DIV/0!</v>
      </c>
      <c r="G106" s="3338"/>
      <c r="H106" s="405">
        <f>H100/((H12))</f>
        <v>0.3294467117054557</v>
      </c>
      <c r="I106" s="406" t="e">
        <f>I100/((I12))</f>
        <v>#DIV/0!</v>
      </c>
      <c r="J106" s="3339"/>
      <c r="K106" s="3338"/>
      <c r="L106" s="410">
        <f>L100/((L12))</f>
        <v>0.29158336834494114</v>
      </c>
      <c r="M106" s="3339" t="e">
        <f>M100/((M12))</f>
        <v>#DIV/0!</v>
      </c>
      <c r="N106" s="3340"/>
      <c r="O106" s="405">
        <f>O100/((O12))</f>
        <v>0.31187096244025009</v>
      </c>
      <c r="P106" s="406">
        <f>P100/((P12))</f>
        <v>0.3120285904901115</v>
      </c>
      <c r="Q106" s="3341"/>
      <c r="R106" s="3339"/>
      <c r="S106" s="3338"/>
      <c r="T106" s="410">
        <f>T100/((T12))</f>
        <v>0.31134572491768325</v>
      </c>
      <c r="U106" s="3341"/>
      <c r="V106" s="411">
        <f>V100/((V12))</f>
        <v>0.30001072461131401</v>
      </c>
      <c r="W106" s="456"/>
      <c r="X106" s="577"/>
      <c r="Z106" s="405">
        <f>Z100/((Z12))</f>
        <v>0.31838405351167393</v>
      </c>
      <c r="AA106" s="406">
        <f>AA100/((AA12))</f>
        <v>0.31394291294055782</v>
      </c>
      <c r="AB106" s="3341"/>
      <c r="AC106" s="3339"/>
      <c r="AD106" s="3338"/>
      <c r="AE106" s="410">
        <f>AE100/((AE12))</f>
        <v>0.27838939347332908</v>
      </c>
      <c r="AF106" s="3341"/>
      <c r="AG106" s="411">
        <f>AG100/((AG12))</f>
        <v>0.27317196029701379</v>
      </c>
      <c r="AH106" s="456"/>
      <c r="AI106" s="3335"/>
      <c r="AK106" s="405">
        <f>AK100/((AK12))</f>
        <v>0.27318560296959843</v>
      </c>
      <c r="AL106" s="406">
        <f>AL100/((AL12))</f>
        <v>0.27096341319091477</v>
      </c>
      <c r="AM106" s="3341"/>
      <c r="AN106" s="3339"/>
      <c r="AO106" s="3338"/>
      <c r="AP106" s="410">
        <f>AP100/((AP12))</f>
        <v>0.30193419959568379</v>
      </c>
      <c r="AQ106" s="3341"/>
      <c r="AR106" s="411">
        <f>AR100/((AR12))</f>
        <v>0.28166776707154734</v>
      </c>
      <c r="AS106" s="456"/>
      <c r="AT106" s="6082"/>
      <c r="AU106" s="356" t="s">
        <v>572</v>
      </c>
      <c r="AV106" s="561">
        <f>AV105/(AV17+AV18+AV19)</f>
        <v>0.26851149602568436</v>
      </c>
      <c r="AW106" s="562">
        <f>AW105/(AW17+AW18+AW19)</f>
        <v>0.28408195821834736</v>
      </c>
      <c r="AX106" s="562"/>
      <c r="AY106" s="563"/>
      <c r="AZ106" s="560"/>
      <c r="BA106" s="561">
        <f>BA105/(BA17+BA18+BA19)</f>
        <v>0.28016974657874594</v>
      </c>
      <c r="BB106" s="562"/>
      <c r="BC106" s="563">
        <f>BC105/(BC17+BC18+BC19)</f>
        <v>0.28739070557536572</v>
      </c>
      <c r="BD106" s="456"/>
      <c r="BE106" s="456"/>
      <c r="BF106" s="561">
        <f>BF105/(BF17+BF18+BF19)</f>
        <v>0.29323228898249887</v>
      </c>
      <c r="BG106" s="562">
        <f>BG105/(BG17+BG18+BG19)</f>
        <v>0.29738825995252627</v>
      </c>
      <c r="BH106" s="562"/>
      <c r="BI106" s="563"/>
      <c r="BJ106" s="560"/>
      <c r="BK106" s="561">
        <f>BK105/(BK17+BK18+BK19)</f>
        <v>0.24003300009705911</v>
      </c>
      <c r="BL106" s="562"/>
      <c r="BM106" s="563">
        <f>BM105/(BM17+BM18+BM19)</f>
        <v>0.2478714996778317</v>
      </c>
      <c r="BN106" s="456"/>
      <c r="BO106" s="3335"/>
      <c r="BP106" s="3335"/>
      <c r="BQ106" s="3335"/>
    </row>
    <row r="107" spans="1:69" s="462" customFormat="1" x14ac:dyDescent="0.35">
      <c r="A107" s="9168"/>
      <c r="B107" s="58"/>
      <c r="C107" s="390"/>
      <c r="D107" s="59" t="s">
        <v>578</v>
      </c>
      <c r="E107" s="392"/>
      <c r="F107" s="3343"/>
      <c r="G107" s="1742"/>
      <c r="H107" s="572"/>
      <c r="I107" s="1993"/>
      <c r="J107" s="247"/>
      <c r="K107" s="1742"/>
      <c r="L107" s="1994"/>
      <c r="M107" s="247"/>
      <c r="N107" s="2974"/>
      <c r="O107" s="572"/>
      <c r="P107" s="1993"/>
      <c r="Q107" s="254"/>
      <c r="R107" s="247"/>
      <c r="S107" s="1742"/>
      <c r="T107" s="1994"/>
      <c r="U107" s="254"/>
      <c r="V107" s="1995"/>
      <c r="W107" s="456"/>
      <c r="X107" s="577"/>
      <c r="Z107" s="572"/>
      <c r="AA107" s="1993"/>
      <c r="AB107" s="254"/>
      <c r="AC107" s="247"/>
      <c r="AD107" s="1742"/>
      <c r="AE107" s="1994"/>
      <c r="AF107" s="254"/>
      <c r="AG107" s="1995"/>
      <c r="AH107" s="456"/>
      <c r="AI107" s="3335"/>
      <c r="AK107" s="572"/>
      <c r="AL107" s="1993"/>
      <c r="AM107" s="254"/>
      <c r="AN107" s="247"/>
      <c r="AO107" s="1742"/>
      <c r="AP107" s="1994"/>
      <c r="AQ107" s="254"/>
      <c r="AR107" s="1995"/>
      <c r="AS107" s="456"/>
      <c r="AT107" s="371"/>
      <c r="AU107" s="296" t="s">
        <v>573</v>
      </c>
      <c r="AV107" s="381">
        <f>AV36+SUM(AV49:AV58)+AV103+AV80</f>
        <v>10717096200</v>
      </c>
      <c r="AW107" s="382">
        <f>AW36+SUM(AW49:AW58)+AW103+AW80</f>
        <v>10419121730.696095</v>
      </c>
      <c r="AX107" s="956"/>
      <c r="AY107" s="955"/>
      <c r="AZ107" s="954"/>
      <c r="BA107" s="386">
        <f>BA36+SUM(BA49:BA58)+BA103+BA80</f>
        <v>12278762200</v>
      </c>
      <c r="BB107" s="956"/>
      <c r="BC107" s="387">
        <f>BC36+SUM(BC49:BC58)+BC103+BC80</f>
        <v>11694402656.685446</v>
      </c>
      <c r="BD107" s="456"/>
      <c r="BE107" s="456"/>
      <c r="BF107" s="381"/>
      <c r="BG107" s="382"/>
      <c r="BH107" s="956"/>
      <c r="BI107" s="955"/>
      <c r="BJ107" s="954"/>
      <c r="BK107" s="386"/>
      <c r="BL107" s="956"/>
      <c r="BM107" s="387"/>
      <c r="BN107" s="456"/>
      <c r="BO107" s="3335"/>
      <c r="BP107" s="3335"/>
      <c r="BQ107" s="3335"/>
    </row>
    <row r="108" spans="1:69" s="462" customFormat="1" x14ac:dyDescent="0.35">
      <c r="A108" s="9168"/>
      <c r="B108" s="58"/>
      <c r="C108" s="390"/>
      <c r="D108" s="296" t="s">
        <v>579</v>
      </c>
      <c r="E108" s="392"/>
      <c r="F108" s="3337"/>
      <c r="G108" s="3338"/>
      <c r="H108" s="405"/>
      <c r="I108" s="406"/>
      <c r="J108" s="3339"/>
      <c r="K108" s="3338"/>
      <c r="L108" s="410"/>
      <c r="M108" s="3339"/>
      <c r="N108" s="3340"/>
      <c r="O108" s="405"/>
      <c r="P108" s="406"/>
      <c r="Q108" s="3341"/>
      <c r="R108" s="3339"/>
      <c r="S108" s="3338"/>
      <c r="T108" s="410"/>
      <c r="U108" s="3341"/>
      <c r="V108" s="411"/>
      <c r="W108" s="456"/>
      <c r="X108" s="577"/>
      <c r="Z108" s="405"/>
      <c r="AA108" s="406"/>
      <c r="AB108" s="3341"/>
      <c r="AC108" s="3339"/>
      <c r="AD108" s="3338"/>
      <c r="AE108" s="410"/>
      <c r="AF108" s="3341"/>
      <c r="AG108" s="411"/>
      <c r="AH108" s="456"/>
      <c r="AI108" s="3335"/>
      <c r="AK108" s="405"/>
      <c r="AL108" s="406"/>
      <c r="AM108" s="3341"/>
      <c r="AN108" s="3339"/>
      <c r="AO108" s="3338"/>
      <c r="AP108" s="410"/>
      <c r="AQ108" s="3341"/>
      <c r="AR108" s="411"/>
      <c r="AS108" s="456"/>
      <c r="AT108" s="58"/>
      <c r="AU108" s="296" t="s">
        <v>575</v>
      </c>
      <c r="AV108" s="405">
        <f>(AV105-AV107)/(AV18+AV19)</f>
        <v>3.7588015153254509E-2</v>
      </c>
      <c r="AW108" s="406">
        <f>(AW105-AW107)/(AW18+AW19)</f>
        <v>5.2219700580607702E-2</v>
      </c>
      <c r="AX108" s="3341"/>
      <c r="AY108" s="3339"/>
      <c r="AZ108" s="3338"/>
      <c r="BA108" s="410">
        <f>(BA105-BA107)/(BA18+BA19)</f>
        <v>6.0006925730979425E-2</v>
      </c>
      <c r="BB108" s="3341"/>
      <c r="BC108" s="411">
        <f>(BC105-BC107)/(BC18+BC19)</f>
        <v>7.2412701380038441E-2</v>
      </c>
      <c r="BD108" s="456"/>
      <c r="BE108" s="456"/>
      <c r="BF108" s="405"/>
      <c r="BG108" s="406"/>
      <c r="BH108" s="3341"/>
      <c r="BI108" s="3339"/>
      <c r="BJ108" s="3338"/>
      <c r="BK108" s="410"/>
      <c r="BL108" s="3341"/>
      <c r="BM108" s="411"/>
      <c r="BN108" s="456"/>
      <c r="BO108" s="3335"/>
      <c r="BP108" s="3335"/>
      <c r="BQ108" s="3335"/>
    </row>
    <row r="109" spans="1:69" s="462" customFormat="1" x14ac:dyDescent="0.35">
      <c r="A109" s="9168"/>
      <c r="B109" s="58"/>
      <c r="C109" s="390"/>
      <c r="D109" s="296"/>
      <c r="E109" s="392"/>
      <c r="F109" s="3337"/>
      <c r="G109" s="3338"/>
      <c r="H109" s="405"/>
      <c r="I109" s="406"/>
      <c r="J109" s="3339"/>
      <c r="K109" s="3338"/>
      <c r="L109" s="410"/>
      <c r="M109" s="3339"/>
      <c r="N109" s="3340"/>
      <c r="O109" s="405"/>
      <c r="P109" s="406"/>
      <c r="Q109" s="3341"/>
      <c r="R109" s="3339"/>
      <c r="S109" s="3338"/>
      <c r="T109" s="410"/>
      <c r="U109" s="3341"/>
      <c r="V109" s="411"/>
      <c r="W109" s="456"/>
      <c r="X109" s="577"/>
      <c r="Z109" s="405"/>
      <c r="AA109" s="406"/>
      <c r="AB109" s="3341"/>
      <c r="AC109" s="3339"/>
      <c r="AD109" s="3338"/>
      <c r="AE109" s="410"/>
      <c r="AF109" s="3341"/>
      <c r="AG109" s="411"/>
      <c r="AH109" s="456"/>
      <c r="AI109" s="3335"/>
      <c r="AK109" s="405"/>
      <c r="AL109" s="406"/>
      <c r="AM109" s="3341"/>
      <c r="AN109" s="3339"/>
      <c r="AO109" s="3338"/>
      <c r="AP109" s="410"/>
      <c r="AQ109" s="3341"/>
      <c r="AR109" s="411"/>
      <c r="AS109" s="456"/>
      <c r="AT109" s="58"/>
      <c r="AU109" s="296" t="s">
        <v>576</v>
      </c>
      <c r="AV109" s="405">
        <f>AV105/(AV17)</f>
        <v>0.30084747506027559</v>
      </c>
      <c r="AW109" s="406">
        <f>AW105/(AW17)</f>
        <v>0.30779847639793062</v>
      </c>
      <c r="AX109" s="3341"/>
      <c r="AY109" s="3339"/>
      <c r="AZ109" s="3338"/>
      <c r="BA109" s="410">
        <f>BA105/(BA17)</f>
        <v>0.30749920036161832</v>
      </c>
      <c r="BB109" s="3341"/>
      <c r="BC109" s="411">
        <f>BC105/(BC17)</f>
        <v>0.309914249876238</v>
      </c>
      <c r="BD109" s="456"/>
      <c r="BE109" s="456"/>
      <c r="BF109" s="405"/>
      <c r="BG109" s="406"/>
      <c r="BH109" s="3341"/>
      <c r="BI109" s="3339"/>
      <c r="BJ109" s="3338"/>
      <c r="BK109" s="410"/>
      <c r="BL109" s="3341"/>
      <c r="BM109" s="411"/>
      <c r="BN109" s="456"/>
      <c r="BO109" s="3335"/>
      <c r="BP109" s="3335"/>
      <c r="BQ109" s="3335"/>
    </row>
    <row r="110" spans="1:69" s="462" customFormat="1" x14ac:dyDescent="0.35">
      <c r="A110" s="9168"/>
      <c r="B110" s="58"/>
      <c r="C110" s="390"/>
      <c r="D110" s="980" t="s">
        <v>580</v>
      </c>
      <c r="E110" s="424"/>
      <c r="F110" s="3344"/>
      <c r="G110" s="3338"/>
      <c r="H110" s="405"/>
      <c r="I110" s="406"/>
      <c r="J110" s="3339"/>
      <c r="K110" s="3338"/>
      <c r="L110" s="410"/>
      <c r="M110" s="3339"/>
      <c r="N110" s="3340"/>
      <c r="O110" s="405"/>
      <c r="P110" s="406"/>
      <c r="Q110" s="3341"/>
      <c r="R110" s="3339"/>
      <c r="S110" s="3338"/>
      <c r="T110" s="410"/>
      <c r="U110" s="3341"/>
      <c r="V110" s="411"/>
      <c r="W110" s="456"/>
      <c r="X110" s="577"/>
      <c r="Z110" s="405"/>
      <c r="AA110" s="406"/>
      <c r="AB110" s="3341"/>
      <c r="AC110" s="3339"/>
      <c r="AD110" s="3338"/>
      <c r="AE110" s="410"/>
      <c r="AF110" s="3341"/>
      <c r="AG110" s="411"/>
      <c r="AH110" s="456"/>
      <c r="AI110" s="3335"/>
      <c r="AK110" s="405"/>
      <c r="AL110" s="406"/>
      <c r="AM110" s="3341"/>
      <c r="AN110" s="3339"/>
      <c r="AO110" s="3338"/>
      <c r="AP110" s="410"/>
      <c r="AQ110" s="3341"/>
      <c r="AR110" s="411"/>
      <c r="AS110" s="456"/>
      <c r="AT110" s="58"/>
      <c r="AU110" s="296"/>
      <c r="AV110" s="394"/>
      <c r="AW110" s="395"/>
      <c r="AX110"/>
      <c r="AY110" s="229"/>
      <c r="AZ110" s="392"/>
      <c r="BA110" s="396"/>
      <c r="BB110"/>
      <c r="BC110" s="1822"/>
      <c r="BD110" s="456"/>
      <c r="BE110" s="456"/>
      <c r="BF110" s="394"/>
      <c r="BG110" s="395"/>
      <c r="BH110"/>
      <c r="BI110" s="229"/>
      <c r="BJ110" s="392"/>
      <c r="BK110" s="396"/>
      <c r="BL110"/>
      <c r="BM110" s="1822"/>
      <c r="BN110" s="456"/>
      <c r="BO110" s="3335"/>
      <c r="BP110" s="3335"/>
      <c r="BQ110" s="3335"/>
    </row>
    <row r="111" spans="1:69" s="462" customFormat="1" x14ac:dyDescent="0.35">
      <c r="A111" s="9169"/>
      <c r="B111" s="85"/>
      <c r="C111" s="432"/>
      <c r="D111" s="86" t="s">
        <v>581</v>
      </c>
      <c r="E111" s="274"/>
      <c r="F111" s="3345"/>
      <c r="G111" s="3346"/>
      <c r="H111" s="1996"/>
      <c r="I111" s="1997"/>
      <c r="J111" s="988"/>
      <c r="K111" s="3346"/>
      <c r="L111" s="1998"/>
      <c r="M111" s="988"/>
      <c r="N111" s="3340"/>
      <c r="O111" s="1996"/>
      <c r="P111" s="1997"/>
      <c r="Q111" s="3347"/>
      <c r="R111" s="988"/>
      <c r="S111" s="3346"/>
      <c r="T111" s="1998"/>
      <c r="U111" s="3347"/>
      <c r="V111" s="1999"/>
      <c r="W111" s="456"/>
      <c r="X111" s="577"/>
      <c r="Z111" s="1996"/>
      <c r="AA111" s="1997"/>
      <c r="AB111" s="3347"/>
      <c r="AC111" s="988"/>
      <c r="AD111" s="3346"/>
      <c r="AE111" s="1998"/>
      <c r="AF111" s="3347"/>
      <c r="AG111" s="1999"/>
      <c r="AH111" s="456"/>
      <c r="AI111" s="3348"/>
      <c r="AK111" s="1996"/>
      <c r="AL111" s="1997"/>
      <c r="AM111" s="3347"/>
      <c r="AN111" s="988"/>
      <c r="AO111" s="3346"/>
      <c r="AP111" s="1998"/>
      <c r="AQ111" s="3347"/>
      <c r="AR111" s="1999"/>
      <c r="AS111" s="456"/>
      <c r="AT111" s="58"/>
      <c r="AU111" s="296" t="s">
        <v>577</v>
      </c>
      <c r="AV111" s="405">
        <f>AV105/((AV12))</f>
        <v>0.31064247625385893</v>
      </c>
      <c r="AW111" s="406">
        <f>AW105/((AW12))</f>
        <v>0.29278677518874846</v>
      </c>
      <c r="AX111" s="3341"/>
      <c r="AY111" s="3339"/>
      <c r="AZ111" s="3338"/>
      <c r="BA111" s="410">
        <f>BA105/((BA12))</f>
        <v>0.32219701150608765</v>
      </c>
      <c r="BB111" s="3341"/>
      <c r="BC111" s="411">
        <f>BC105/((BC12))</f>
        <v>-7.9388816230462336</v>
      </c>
      <c r="BD111" s="456"/>
      <c r="BE111" s="456"/>
      <c r="BF111" s="405">
        <f>BF105/((BF12))</f>
        <v>0.33722279333058769</v>
      </c>
      <c r="BG111" s="406">
        <f>BG105/((BG12))</f>
        <v>0.3208124948162126</v>
      </c>
      <c r="BH111" s="3341"/>
      <c r="BI111" s="3339"/>
      <c r="BJ111" s="3338"/>
      <c r="BK111" s="410">
        <f>BK105/((BK12))</f>
        <v>0.34824081401603585</v>
      </c>
      <c r="BL111" s="3341"/>
      <c r="BM111" s="411">
        <f>BM105/((BM12))</f>
        <v>0.31653423373524775</v>
      </c>
      <c r="BN111" s="456"/>
      <c r="BO111" s="3335"/>
      <c r="BP111" s="3335"/>
      <c r="BQ111" s="3348"/>
    </row>
    <row r="112" spans="1:69" s="462" customFormat="1" x14ac:dyDescent="0.35">
      <c r="C112" s="456"/>
      <c r="D112" s="2"/>
      <c r="E112" s="456"/>
      <c r="F112" s="456"/>
      <c r="G112" s="456"/>
      <c r="H112" s="459"/>
      <c r="I112" s="459"/>
      <c r="J112" s="7"/>
      <c r="K112" s="456"/>
      <c r="N112" s="456"/>
      <c r="O112" s="459"/>
      <c r="P112" s="459"/>
      <c r="Q112" s="459"/>
      <c r="R112" s="7"/>
      <c r="S112" s="456"/>
      <c r="W112" s="456"/>
      <c r="X112" s="577"/>
      <c r="Z112" s="459"/>
      <c r="AA112" s="459"/>
      <c r="AB112" s="459"/>
      <c r="AC112" s="7"/>
      <c r="AD112" s="456"/>
      <c r="AH112" s="456"/>
      <c r="AI112" s="577"/>
      <c r="AK112" s="459"/>
      <c r="AL112" s="459"/>
      <c r="AM112" s="459"/>
      <c r="AN112" s="7"/>
      <c r="AO112" s="456"/>
      <c r="AS112" s="456"/>
      <c r="AT112" s="58"/>
      <c r="AU112" s="59" t="s">
        <v>578</v>
      </c>
      <c r="AV112" s="572"/>
      <c r="AW112" s="1993"/>
      <c r="AX112" s="254"/>
      <c r="AY112" s="247"/>
      <c r="AZ112" s="1742"/>
      <c r="BA112" s="1994"/>
      <c r="BB112" s="254"/>
      <c r="BC112" s="1995"/>
      <c r="BD112" s="456"/>
      <c r="BE112" s="456"/>
      <c r="BF112" s="572"/>
      <c r="BG112" s="1993"/>
      <c r="BH112" s="254"/>
      <c r="BI112" s="247"/>
      <c r="BJ112" s="1742"/>
      <c r="BK112" s="1994"/>
      <c r="BL112" s="254"/>
      <c r="BM112" s="1995"/>
      <c r="BN112" s="456"/>
      <c r="BO112" s="3335"/>
      <c r="BP112" s="3335"/>
      <c r="BQ112" s="577"/>
    </row>
    <row r="113" spans="1:69" s="462" customFormat="1" x14ac:dyDescent="0.35">
      <c r="A113" s="455" t="s">
        <v>582</v>
      </c>
      <c r="B113" s="455"/>
      <c r="C113" s="456"/>
      <c r="D113" s="2"/>
      <c r="E113" s="456"/>
      <c r="F113" s="456"/>
      <c r="G113" s="456"/>
      <c r="H113" s="459"/>
      <c r="I113" s="459"/>
      <c r="J113" s="7"/>
      <c r="K113" s="456"/>
      <c r="N113" s="456"/>
      <c r="O113" s="459"/>
      <c r="P113" s="459"/>
      <c r="Q113" s="459"/>
      <c r="R113" s="7"/>
      <c r="S113" s="456"/>
      <c r="W113" s="456"/>
      <c r="X113" s="577"/>
      <c r="Z113" s="459"/>
      <c r="AA113" s="459"/>
      <c r="AB113" s="459"/>
      <c r="AC113" s="7"/>
      <c r="AD113" s="456"/>
      <c r="AH113" s="456"/>
      <c r="AI113" s="577"/>
      <c r="AK113" s="459"/>
      <c r="AL113" s="459"/>
      <c r="AM113" s="459"/>
      <c r="AN113" s="7"/>
      <c r="AO113" s="456"/>
      <c r="AS113" s="456"/>
      <c r="AT113" s="58"/>
      <c r="AU113" s="296" t="s">
        <v>579</v>
      </c>
      <c r="AV113" s="405"/>
      <c r="AW113" s="406"/>
      <c r="AX113" s="3341"/>
      <c r="AY113" s="3339"/>
      <c r="AZ113" s="3338"/>
      <c r="BA113" s="410"/>
      <c r="BB113" s="3341"/>
      <c r="BC113" s="411"/>
      <c r="BD113" s="456"/>
      <c r="BE113" s="456"/>
      <c r="BF113" s="405"/>
      <c r="BG113" s="406"/>
      <c r="BH113" s="3341"/>
      <c r="BI113" s="3339"/>
      <c r="BJ113" s="3338"/>
      <c r="BK113" s="410"/>
      <c r="BL113" s="3341"/>
      <c r="BM113" s="411"/>
      <c r="BN113" s="456"/>
      <c r="BO113" s="3335"/>
      <c r="BP113" s="3335"/>
      <c r="BQ113" s="577"/>
    </row>
    <row r="114" spans="1:69" s="462" customFormat="1" x14ac:dyDescent="0.35">
      <c r="A114" s="463">
        <v>1</v>
      </c>
      <c r="B114" s="464" t="str">
        <f>X20</f>
        <v xml:space="preserve">Debt servicing </v>
      </c>
      <c r="D114" s="709"/>
      <c r="E114" s="466"/>
      <c r="F114" s="466"/>
      <c r="G114" s="466"/>
      <c r="H114" s="466"/>
      <c r="I114" s="466"/>
      <c r="J114" s="467"/>
      <c r="K114" s="466"/>
      <c r="L114" s="466"/>
      <c r="M114" s="466"/>
      <c r="N114" s="456"/>
      <c r="O114" s="466"/>
      <c r="P114" s="466"/>
      <c r="Q114" s="466"/>
      <c r="R114" s="467"/>
      <c r="S114" s="466"/>
      <c r="T114" s="466"/>
      <c r="U114" s="466"/>
      <c r="V114" s="466"/>
      <c r="W114" s="456"/>
      <c r="X114" s="577"/>
      <c r="Z114" s="466"/>
      <c r="AA114" s="466"/>
      <c r="AB114" s="466"/>
      <c r="AC114" s="467"/>
      <c r="AD114" s="466"/>
      <c r="AE114" s="466"/>
      <c r="AF114" s="466"/>
      <c r="AG114" s="466"/>
      <c r="AH114" s="456"/>
      <c r="AI114" s="577"/>
      <c r="AK114" s="466"/>
      <c r="AL114" s="466"/>
      <c r="AM114" s="466"/>
      <c r="AN114" s="467"/>
      <c r="AO114" s="466"/>
      <c r="AP114" s="466"/>
      <c r="AQ114" s="466"/>
      <c r="AR114" s="466"/>
      <c r="AS114" s="456"/>
      <c r="AT114" s="58"/>
      <c r="AU114" s="296"/>
      <c r="AV114" s="405"/>
      <c r="AW114" s="406"/>
      <c r="AX114" s="3341"/>
      <c r="AY114" s="3339"/>
      <c r="AZ114" s="3338"/>
      <c r="BA114" s="410"/>
      <c r="BB114" s="3341"/>
      <c r="BC114" s="411"/>
      <c r="BD114" s="456"/>
      <c r="BE114" s="456"/>
      <c r="BF114" s="405"/>
      <c r="BG114" s="406"/>
      <c r="BH114" s="3341"/>
      <c r="BI114" s="3339"/>
      <c r="BJ114" s="3338"/>
      <c r="BK114" s="410"/>
      <c r="BL114" s="3341"/>
      <c r="BM114" s="411"/>
      <c r="BN114" s="456"/>
      <c r="BO114" s="3335"/>
      <c r="BP114" s="3335"/>
      <c r="BQ114" s="577"/>
    </row>
    <row r="115" spans="1:69" s="462" customFormat="1" x14ac:dyDescent="0.35">
      <c r="A115" s="468">
        <v>2</v>
      </c>
      <c r="B115" s="464" t="str">
        <f>X22</f>
        <v>Central Government, including transfers to local Governments</v>
      </c>
      <c r="D115" s="2"/>
      <c r="E115" s="456"/>
      <c r="F115" s="456"/>
      <c r="G115" s="456"/>
      <c r="H115" s="459"/>
      <c r="I115" s="459"/>
      <c r="J115" s="7"/>
      <c r="K115" s="456"/>
      <c r="N115" s="456"/>
      <c r="O115" s="459"/>
      <c r="P115" s="459"/>
      <c r="Q115" s="459"/>
      <c r="R115" s="7"/>
      <c r="S115" s="456"/>
      <c r="W115" s="456"/>
      <c r="X115" s="577"/>
      <c r="Z115" s="459"/>
      <c r="AA115" s="459"/>
      <c r="AB115" s="459"/>
      <c r="AC115" s="7"/>
      <c r="AD115" s="456"/>
      <c r="AH115" s="456"/>
      <c r="AI115" s="577"/>
      <c r="AK115" s="459"/>
      <c r="AL115" s="459"/>
      <c r="AM115" s="459"/>
      <c r="AN115" s="7"/>
      <c r="AO115" s="456"/>
      <c r="AS115" s="456"/>
      <c r="AT115" s="58"/>
      <c r="AU115" s="980" t="s">
        <v>580</v>
      </c>
      <c r="AV115" s="405"/>
      <c r="AW115" s="406"/>
      <c r="AX115" s="3341"/>
      <c r="AY115" s="3339"/>
      <c r="AZ115" s="3338"/>
      <c r="BA115" s="410"/>
      <c r="BB115" s="3341"/>
      <c r="BC115" s="411"/>
      <c r="BD115" s="456"/>
      <c r="BE115" s="456"/>
      <c r="BF115" s="405"/>
      <c r="BG115" s="406"/>
      <c r="BH115" s="3341"/>
      <c r="BI115" s="3339"/>
      <c r="BJ115" s="3338"/>
      <c r="BK115" s="410"/>
      <c r="BL115" s="3341"/>
      <c r="BM115" s="411"/>
      <c r="BN115" s="456"/>
      <c r="BO115" s="3335"/>
      <c r="BP115" s="3335"/>
      <c r="BQ115" s="577"/>
    </row>
    <row r="116" spans="1:69" s="462" customFormat="1" x14ac:dyDescent="0.35">
      <c r="A116" s="468"/>
      <c r="B116" s="469"/>
      <c r="D116" s="2"/>
      <c r="E116" s="456"/>
      <c r="F116" s="456"/>
      <c r="G116" s="456"/>
      <c r="H116" s="459"/>
      <c r="I116" s="459"/>
      <c r="J116" s="7"/>
      <c r="K116" s="456"/>
      <c r="N116" s="456"/>
      <c r="O116" s="459"/>
      <c r="P116" s="459"/>
      <c r="Q116" s="459"/>
      <c r="R116" s="7"/>
      <c r="S116" s="456"/>
      <c r="W116" s="456"/>
      <c r="X116" s="577"/>
      <c r="Z116" s="459"/>
      <c r="AA116" s="459"/>
      <c r="AB116" s="459"/>
      <c r="AC116" s="7"/>
      <c r="AD116" s="456"/>
      <c r="AH116" s="456"/>
      <c r="AI116" s="577"/>
      <c r="AK116" s="459"/>
      <c r="AL116" s="459"/>
      <c r="AM116" s="459"/>
      <c r="AN116" s="7"/>
      <c r="AO116" s="456"/>
      <c r="AS116" s="456"/>
      <c r="AT116" s="85"/>
      <c r="AU116" s="86" t="s">
        <v>581</v>
      </c>
      <c r="AV116" s="1996"/>
      <c r="AW116" s="1997"/>
      <c r="AX116" s="3347"/>
      <c r="AY116" s="988"/>
      <c r="AZ116" s="3346"/>
      <c r="BA116" s="1998"/>
      <c r="BB116" s="3347"/>
      <c r="BC116" s="1999"/>
      <c r="BD116" s="456"/>
      <c r="BE116" s="456"/>
      <c r="BF116" s="1996"/>
      <c r="BG116" s="1997"/>
      <c r="BH116" s="3347"/>
      <c r="BI116" s="988"/>
      <c r="BJ116" s="3346"/>
      <c r="BK116" s="1998"/>
      <c r="BL116" s="3347"/>
      <c r="BM116" s="1999"/>
      <c r="BN116" s="456"/>
      <c r="BO116" s="3348"/>
      <c r="BP116" s="3348"/>
      <c r="BQ116" s="577"/>
    </row>
    <row r="117" spans="1:69" s="462" customFormat="1" ht="17.25" customHeight="1" x14ac:dyDescent="0.3">
      <c r="A117" s="468"/>
      <c r="B117" s="469"/>
      <c r="D117" s="2"/>
      <c r="E117" s="456"/>
      <c r="F117" s="456"/>
      <c r="G117" s="456"/>
      <c r="H117" s="459"/>
      <c r="I117" s="459"/>
      <c r="J117" s="7"/>
      <c r="K117" s="456"/>
      <c r="N117" s="456"/>
      <c r="O117" s="459"/>
      <c r="P117" s="459"/>
      <c r="Q117" s="459"/>
      <c r="R117" s="7"/>
      <c r="S117" s="456"/>
      <c r="W117" s="456"/>
      <c r="X117" s="577"/>
      <c r="Z117" s="459"/>
      <c r="AA117" s="459"/>
      <c r="AB117" s="459"/>
      <c r="AC117" s="7"/>
      <c r="AD117" s="456"/>
      <c r="AH117" s="456"/>
      <c r="AI117" s="577"/>
      <c r="AK117" s="459"/>
      <c r="AL117" s="459"/>
      <c r="AM117" s="459"/>
      <c r="AN117" s="7"/>
      <c r="AO117" s="456"/>
      <c r="AS117" s="456"/>
      <c r="AU117" s="456"/>
      <c r="AV117" s="459"/>
      <c r="AW117" s="459"/>
      <c r="AX117" s="459"/>
      <c r="AY117" s="7"/>
      <c r="AZ117" s="456"/>
      <c r="BD117" s="456"/>
      <c r="BE117" s="456"/>
      <c r="BF117" s="459"/>
      <c r="BG117" s="459"/>
      <c r="BH117" s="459"/>
      <c r="BI117" s="7"/>
      <c r="BJ117" s="456"/>
      <c r="BN117" s="456"/>
      <c r="BO117" s="577"/>
      <c r="BP117" s="577"/>
      <c r="BQ117" s="577"/>
    </row>
    <row r="118" spans="1:69" x14ac:dyDescent="0.35">
      <c r="A118" s="468"/>
      <c r="B118" s="469"/>
      <c r="C118" s="462"/>
      <c r="E118" s="456"/>
      <c r="F118" s="456"/>
      <c r="G118" s="456"/>
      <c r="H118" s="459"/>
      <c r="I118" s="459"/>
      <c r="K118" s="456"/>
      <c r="L118" s="462"/>
      <c r="M118" s="462"/>
      <c r="O118" s="459"/>
      <c r="P118" s="459"/>
      <c r="Q118" s="459"/>
      <c r="S118" s="456"/>
      <c r="T118" s="462"/>
      <c r="U118" s="462"/>
      <c r="V118" s="462"/>
      <c r="Z118" s="459"/>
      <c r="AA118" s="459"/>
      <c r="AB118" s="459"/>
      <c r="AD118" s="456"/>
      <c r="AE118" s="462"/>
      <c r="AF118" s="462"/>
      <c r="AG118" s="462"/>
      <c r="AK118" s="459"/>
      <c r="AL118" s="459"/>
      <c r="AM118" s="459"/>
      <c r="AN118" s="7"/>
      <c r="AO118" s="456"/>
      <c r="AP118" s="462"/>
      <c r="AQ118" s="462"/>
      <c r="AR118" s="462"/>
      <c r="AS118" s="1"/>
      <c r="AT118" s="455"/>
      <c r="AU118" s="456"/>
      <c r="AV118" s="459"/>
      <c r="AW118" s="459"/>
      <c r="AX118" s="459"/>
      <c r="AY118" s="7"/>
      <c r="AZ118" s="456"/>
      <c r="BA118" s="462"/>
      <c r="BB118" s="462"/>
      <c r="BC118" s="462"/>
      <c r="BD118" s="456"/>
      <c r="BE118" s="456"/>
      <c r="BF118" s="459"/>
      <c r="BG118" s="459"/>
      <c r="BH118" s="459"/>
      <c r="BI118" s="7"/>
      <c r="BJ118" s="456"/>
      <c r="BK118" s="462"/>
      <c r="BL118" s="462"/>
      <c r="BM118" s="462"/>
      <c r="BN118" s="456"/>
      <c r="BO118" s="577"/>
      <c r="BP118" s="577"/>
    </row>
    <row r="119" spans="1:69" x14ac:dyDescent="0.35">
      <c r="A119" s="468"/>
      <c r="B119" s="469"/>
      <c r="C119" s="462"/>
      <c r="E119" s="456"/>
      <c r="F119" s="456"/>
      <c r="G119" s="456"/>
      <c r="H119" s="459"/>
      <c r="I119" s="459"/>
      <c r="K119" s="456"/>
      <c r="L119" s="462"/>
      <c r="M119" s="462"/>
      <c r="O119" s="459"/>
      <c r="P119" s="459"/>
      <c r="Q119" s="459"/>
      <c r="S119" s="456"/>
      <c r="T119" s="462"/>
      <c r="U119" s="462"/>
      <c r="V119" s="462"/>
      <c r="Z119" s="459"/>
      <c r="AA119" s="459"/>
      <c r="AB119" s="459"/>
      <c r="AD119" s="456"/>
      <c r="AE119" s="462"/>
      <c r="AF119" s="462"/>
      <c r="AG119" s="462"/>
      <c r="AK119" s="459"/>
      <c r="AL119" s="459"/>
      <c r="AM119" s="459"/>
      <c r="AN119" s="7"/>
      <c r="AO119" s="456"/>
      <c r="AP119" s="462"/>
      <c r="AQ119" s="462"/>
      <c r="AR119" s="462"/>
      <c r="AS119" s="1"/>
      <c r="AT119" s="464">
        <f>CA20</f>
        <v>0</v>
      </c>
      <c r="AU119" s="462"/>
      <c r="AV119" s="466"/>
      <c r="AW119" s="466"/>
      <c r="AX119" s="466"/>
      <c r="AY119" s="467"/>
      <c r="AZ119" s="466"/>
      <c r="BA119" s="466"/>
      <c r="BB119" s="466"/>
      <c r="BC119" s="466"/>
      <c r="BD119" s="456"/>
      <c r="BE119" s="456"/>
      <c r="BF119" s="466"/>
      <c r="BG119" s="466"/>
      <c r="BH119" s="466"/>
      <c r="BI119" s="467"/>
      <c r="BJ119" s="466"/>
      <c r="BK119" s="466"/>
      <c r="BL119" s="466"/>
      <c r="BM119" s="466"/>
      <c r="BN119" s="456"/>
      <c r="BO119" s="577"/>
      <c r="BP119" s="577"/>
    </row>
    <row r="120" spans="1:69" x14ac:dyDescent="0.35">
      <c r="A120" s="455" t="s">
        <v>583</v>
      </c>
      <c r="B120" s="455"/>
      <c r="C120" s="456"/>
      <c r="E120" s="456"/>
      <c r="F120" s="456"/>
      <c r="G120" s="456"/>
      <c r="H120" s="459"/>
      <c r="I120" s="459"/>
      <c r="K120" s="456"/>
      <c r="L120" s="462"/>
      <c r="M120" s="462"/>
      <c r="O120" s="459"/>
      <c r="P120" s="459"/>
      <c r="Q120" s="459"/>
      <c r="S120" s="456"/>
      <c r="T120" s="462"/>
      <c r="U120" s="462"/>
      <c r="V120" s="462"/>
      <c r="Z120" s="459"/>
      <c r="AA120" s="459"/>
      <c r="AB120" s="459"/>
      <c r="AD120" s="456"/>
      <c r="AE120" s="462"/>
      <c r="AF120" s="462"/>
      <c r="AG120" s="462"/>
      <c r="AK120" s="459"/>
      <c r="AL120" s="459"/>
      <c r="AM120" s="459"/>
      <c r="AN120" s="7"/>
      <c r="AO120" s="456"/>
      <c r="AP120" s="462"/>
      <c r="AQ120" s="462"/>
      <c r="AR120" s="462"/>
      <c r="AS120" s="1"/>
      <c r="AT120" s="464">
        <f>CA22</f>
        <v>0</v>
      </c>
      <c r="AU120" s="462"/>
      <c r="AV120" s="459"/>
      <c r="AW120" s="459"/>
      <c r="AX120" s="459"/>
      <c r="AY120" s="7"/>
      <c r="AZ120" s="456"/>
      <c r="BA120" s="462"/>
      <c r="BB120" s="462"/>
      <c r="BC120" s="462"/>
      <c r="BD120" s="456"/>
      <c r="BE120" s="456"/>
      <c r="BF120" s="459"/>
      <c r="BG120" s="459"/>
      <c r="BH120" s="459"/>
      <c r="BI120" s="7"/>
      <c r="BJ120" s="456"/>
      <c r="BK120" s="462"/>
      <c r="BL120" s="462"/>
      <c r="BM120" s="462"/>
      <c r="BN120" s="456"/>
      <c r="BO120" s="577"/>
      <c r="BP120" s="577"/>
    </row>
    <row r="121" spans="1:69" ht="73.5" customHeight="1" x14ac:dyDescent="0.35">
      <c r="A121" s="9170" t="s">
        <v>4092</v>
      </c>
      <c r="B121" s="9171"/>
      <c r="C121" s="9171"/>
      <c r="D121" s="9171"/>
      <c r="E121" s="9171"/>
      <c r="F121" s="9171"/>
      <c r="G121" s="9171"/>
      <c r="H121" s="9171"/>
      <c r="I121" s="9171"/>
      <c r="J121" s="9171"/>
      <c r="K121" s="9171"/>
      <c r="L121" s="9171"/>
      <c r="M121" s="9172"/>
      <c r="O121" s="3299"/>
      <c r="P121" s="3299"/>
      <c r="Q121" s="3299"/>
      <c r="R121" s="3299"/>
      <c r="S121" s="2978"/>
      <c r="T121" s="2978"/>
      <c r="U121" s="2978"/>
      <c r="V121" s="2978"/>
      <c r="Z121" s="3299"/>
      <c r="AA121" s="3299"/>
      <c r="AB121" s="3299"/>
      <c r="AC121" s="3299"/>
      <c r="AD121" s="2978"/>
      <c r="AE121" s="2978"/>
      <c r="AF121" s="2978"/>
      <c r="AG121" s="2978"/>
      <c r="AK121" s="3299"/>
      <c r="AL121" s="3299"/>
      <c r="AM121" s="3299"/>
      <c r="AN121" s="3299"/>
      <c r="AO121" s="2978"/>
      <c r="AP121" s="2978"/>
      <c r="AQ121" s="2978"/>
      <c r="AR121" s="2978"/>
      <c r="AS121" s="1"/>
      <c r="AT121" s="469"/>
      <c r="AU121" s="462"/>
      <c r="AV121" s="459"/>
      <c r="AW121" s="459"/>
      <c r="AX121" s="459"/>
      <c r="AY121" s="7"/>
      <c r="AZ121" s="456"/>
      <c r="BA121" s="462"/>
      <c r="BB121" s="462"/>
      <c r="BC121" s="462"/>
      <c r="BD121" s="456"/>
      <c r="BE121" s="456"/>
      <c r="BF121" s="459"/>
      <c r="BG121" s="459"/>
      <c r="BH121" s="459"/>
      <c r="BI121" s="7"/>
      <c r="BJ121" s="456"/>
      <c r="BK121" s="462"/>
      <c r="BL121" s="462"/>
      <c r="BM121" s="462"/>
      <c r="BN121" s="456"/>
      <c r="BO121" s="577"/>
      <c r="BP121" s="577"/>
    </row>
    <row r="122" spans="1:69" x14ac:dyDescent="0.35">
      <c r="A122" s="468"/>
      <c r="B122" s="469"/>
      <c r="C122" s="462"/>
      <c r="E122" s="456"/>
      <c r="F122" s="456"/>
      <c r="G122" s="456"/>
      <c r="H122" s="459"/>
      <c r="I122" s="459"/>
      <c r="K122" s="456"/>
      <c r="L122" s="462"/>
      <c r="M122" s="462"/>
      <c r="O122" s="459"/>
      <c r="P122" s="459"/>
      <c r="Q122" s="459"/>
      <c r="S122" s="456"/>
      <c r="T122" s="462"/>
      <c r="U122" s="462"/>
      <c r="V122" s="462"/>
      <c r="Z122" s="459"/>
      <c r="AA122" s="459"/>
      <c r="AB122" s="459"/>
      <c r="AD122" s="456"/>
      <c r="AE122" s="462"/>
      <c r="AF122" s="462"/>
      <c r="AG122" s="462"/>
      <c r="AT122" s="469"/>
      <c r="AU122" s="462"/>
      <c r="AV122" s="459"/>
      <c r="AW122" s="459"/>
      <c r="AX122" s="459"/>
      <c r="AY122" s="7"/>
      <c r="AZ122" s="456"/>
      <c r="BA122" s="462"/>
      <c r="BB122" s="462"/>
      <c r="BC122" s="462"/>
      <c r="BD122" s="456"/>
      <c r="BE122" s="456"/>
      <c r="BF122" s="459"/>
      <c r="BG122" s="459"/>
      <c r="BH122" s="459"/>
      <c r="BI122" s="7"/>
      <c r="BJ122" s="456"/>
      <c r="BK122" s="462"/>
      <c r="BL122" s="462"/>
      <c r="BM122" s="462"/>
      <c r="BN122" s="456"/>
      <c r="BO122" s="577"/>
      <c r="BP122" s="577"/>
    </row>
    <row r="123" spans="1:69" x14ac:dyDescent="0.35">
      <c r="A123" s="468"/>
      <c r="B123" s="469"/>
      <c r="C123" s="462"/>
      <c r="E123" s="456"/>
      <c r="F123" s="456"/>
      <c r="G123" s="456"/>
      <c r="H123" s="459"/>
      <c r="I123" s="459"/>
      <c r="K123" s="456"/>
      <c r="L123" s="462"/>
      <c r="M123" s="462"/>
      <c r="O123" s="459"/>
      <c r="P123" s="459"/>
      <c r="Q123" s="459"/>
      <c r="S123" s="456"/>
      <c r="T123" s="462"/>
      <c r="U123" s="462"/>
      <c r="V123" s="462"/>
      <c r="Z123" s="459"/>
      <c r="AA123" s="459"/>
      <c r="AB123" s="459"/>
      <c r="AD123" s="456"/>
      <c r="AE123" s="462"/>
      <c r="AF123" s="462"/>
      <c r="AG123" s="462"/>
      <c r="AT123" s="469"/>
      <c r="AU123" s="462"/>
      <c r="AV123" s="459"/>
      <c r="AW123" s="459"/>
      <c r="AX123" s="459"/>
      <c r="AY123" s="7"/>
      <c r="AZ123" s="456"/>
      <c r="BA123" s="462"/>
      <c r="BB123" s="462"/>
      <c r="BC123" s="462"/>
      <c r="BD123" s="1"/>
      <c r="BE123" s="1"/>
      <c r="BF123" s="459"/>
      <c r="BG123" s="459"/>
      <c r="BH123" s="459"/>
      <c r="BI123" s="7"/>
      <c r="BJ123" s="456"/>
      <c r="BK123" s="462"/>
      <c r="BL123" s="462"/>
      <c r="BM123" s="462"/>
      <c r="BN123" s="1"/>
    </row>
    <row r="124" spans="1:69" x14ac:dyDescent="0.35">
      <c r="A124" s="468"/>
      <c r="B124" s="469"/>
      <c r="C124" s="462"/>
      <c r="E124" s="456"/>
      <c r="F124" s="456"/>
      <c r="G124" s="456"/>
      <c r="H124" s="459"/>
      <c r="I124" s="459"/>
      <c r="K124" s="456"/>
      <c r="L124" s="462"/>
      <c r="M124" s="462"/>
      <c r="O124" s="459"/>
      <c r="P124" s="459"/>
      <c r="Q124" s="459"/>
      <c r="S124" s="456"/>
      <c r="T124" s="462"/>
      <c r="U124" s="462"/>
      <c r="V124" s="462"/>
      <c r="Z124" s="459"/>
      <c r="AA124" s="459"/>
      <c r="AB124" s="459"/>
      <c r="AD124" s="456"/>
      <c r="AE124" s="462"/>
      <c r="AF124" s="462"/>
      <c r="AG124" s="462"/>
      <c r="AT124" s="469"/>
      <c r="AU124" s="462"/>
      <c r="AV124" s="459"/>
      <c r="AW124" s="459"/>
      <c r="AX124" s="459"/>
      <c r="AY124" s="7"/>
      <c r="AZ124" s="456"/>
      <c r="BA124" s="462"/>
      <c r="BB124" s="462"/>
      <c r="BC124" s="462"/>
      <c r="BD124" s="1"/>
      <c r="BE124" s="1"/>
      <c r="BF124" s="459"/>
      <c r="BG124" s="459"/>
      <c r="BH124" s="459"/>
      <c r="BI124" s="7"/>
      <c r="BJ124" s="456"/>
      <c r="BK124" s="462"/>
      <c r="BL124" s="462"/>
      <c r="BM124" s="462"/>
      <c r="BN124" s="1"/>
    </row>
    <row r="125" spans="1:69" x14ac:dyDescent="0.35">
      <c r="A125" s="468"/>
      <c r="B125" s="469"/>
      <c r="C125" s="462"/>
      <c r="E125" s="456"/>
      <c r="F125" s="456"/>
      <c r="G125" s="456"/>
      <c r="H125" s="459"/>
      <c r="I125" s="459"/>
      <c r="K125" s="456"/>
      <c r="L125" s="462"/>
      <c r="M125" s="462"/>
      <c r="O125" s="459"/>
      <c r="P125" s="459"/>
      <c r="Q125" s="459"/>
      <c r="S125" s="456"/>
      <c r="T125" s="462"/>
      <c r="U125" s="462"/>
      <c r="V125" s="462"/>
      <c r="Z125" s="459"/>
      <c r="AA125" s="459"/>
      <c r="AB125" s="459"/>
      <c r="AD125" s="456"/>
      <c r="AE125" s="462"/>
      <c r="AF125" s="462"/>
      <c r="AG125" s="462"/>
      <c r="AT125" s="455"/>
      <c r="AU125" s="456"/>
      <c r="AV125" s="459"/>
      <c r="AW125" s="459"/>
      <c r="AX125" s="459"/>
      <c r="AY125" s="7"/>
      <c r="AZ125" s="456"/>
      <c r="BA125" s="462"/>
      <c r="BB125" s="462"/>
      <c r="BC125" s="462"/>
      <c r="BD125" s="1"/>
      <c r="BE125" s="1"/>
      <c r="BF125" s="459"/>
      <c r="BG125" s="459"/>
      <c r="BH125" s="459"/>
      <c r="BI125" s="7"/>
      <c r="BJ125" s="456"/>
      <c r="BK125" s="462"/>
      <c r="BL125" s="462"/>
      <c r="BM125" s="462"/>
      <c r="BN125" s="1"/>
    </row>
    <row r="126" spans="1:69" x14ac:dyDescent="0.35">
      <c r="A126" s="468"/>
      <c r="B126" s="469"/>
      <c r="C126" s="462"/>
      <c r="E126" s="456"/>
      <c r="F126" s="456"/>
      <c r="G126" s="456"/>
      <c r="H126" s="459"/>
      <c r="I126" s="459"/>
      <c r="K126" s="456"/>
      <c r="L126" s="462"/>
      <c r="M126" s="462"/>
      <c r="O126" s="459"/>
      <c r="P126" s="459"/>
      <c r="Q126" s="459"/>
      <c r="S126" s="456"/>
      <c r="T126" s="462"/>
      <c r="U126" s="462"/>
      <c r="V126" s="462"/>
      <c r="Z126" s="459"/>
      <c r="AA126" s="459"/>
      <c r="AB126" s="459"/>
      <c r="AD126" s="456"/>
      <c r="AE126" s="462"/>
      <c r="AF126" s="462"/>
      <c r="AG126" s="462"/>
      <c r="AU126"/>
      <c r="AV126" s="3299"/>
      <c r="AW126" s="3299"/>
      <c r="AX126" s="3299"/>
      <c r="AY126" s="3299"/>
      <c r="AZ126" s="2978"/>
      <c r="BA126" s="2978"/>
      <c r="BB126" s="2978"/>
      <c r="BC126" s="2978"/>
      <c r="BD126" s="1"/>
      <c r="BE126" s="1"/>
      <c r="BF126" s="3299"/>
      <c r="BG126" s="3299"/>
      <c r="BH126" s="3299"/>
      <c r="BI126" s="3299"/>
      <c r="BJ126" s="2978"/>
      <c r="BK126" s="2978"/>
      <c r="BL126" s="2978"/>
      <c r="BM126" s="2978"/>
      <c r="BN126" s="1"/>
    </row>
    <row r="127" spans="1:69" x14ac:dyDescent="0.35">
      <c r="A127" s="468"/>
      <c r="B127" s="469"/>
      <c r="C127" s="462"/>
      <c r="E127" s="456"/>
      <c r="F127" s="456"/>
      <c r="G127" s="456"/>
      <c r="H127" s="459"/>
      <c r="I127" s="459"/>
      <c r="K127" s="456"/>
      <c r="L127" s="462"/>
      <c r="M127" s="462"/>
      <c r="O127" s="459"/>
      <c r="P127" s="459"/>
      <c r="Q127" s="459"/>
      <c r="S127" s="456"/>
      <c r="T127" s="462"/>
      <c r="U127" s="462"/>
      <c r="V127" s="462"/>
      <c r="Z127" s="459"/>
      <c r="AA127" s="459"/>
      <c r="AB127" s="459"/>
      <c r="AD127" s="456"/>
      <c r="AE127" s="462"/>
      <c r="AF127" s="462"/>
      <c r="AG127" s="462"/>
      <c r="AT127" s="469"/>
      <c r="AU127" s="462"/>
    </row>
    <row r="128" spans="1:69" x14ac:dyDescent="0.35">
      <c r="AT128" s="469"/>
      <c r="AU128" s="462"/>
    </row>
    <row r="129" spans="46:47" x14ac:dyDescent="0.35">
      <c r="AT129" s="469"/>
      <c r="AU129" s="462"/>
    </row>
    <row r="130" spans="46:47" x14ac:dyDescent="0.35">
      <c r="AT130" s="469"/>
      <c r="AU130" s="462"/>
    </row>
    <row r="131" spans="46:47" x14ac:dyDescent="0.35">
      <c r="AT131" s="469"/>
      <c r="AU131" s="462"/>
    </row>
    <row r="132" spans="46:47" x14ac:dyDescent="0.35">
      <c r="AT132" s="469"/>
      <c r="AU132" s="462"/>
    </row>
  </sheetData>
  <mergeCells count="69">
    <mergeCell ref="BF7:BG7"/>
    <mergeCell ref="BI7:BI8"/>
    <mergeCell ref="BK7:BM7"/>
    <mergeCell ref="BF10:BG10"/>
    <mergeCell ref="BF33:BG33"/>
    <mergeCell ref="A95:A111"/>
    <mergeCell ref="A121:M121"/>
    <mergeCell ref="A33:A82"/>
    <mergeCell ref="H33:I33"/>
    <mergeCell ref="O33:P33"/>
    <mergeCell ref="Z33:AA33"/>
    <mergeCell ref="AK33:AL33"/>
    <mergeCell ref="A84:A93"/>
    <mergeCell ref="AC7:AC8"/>
    <mergeCell ref="AE7:AG7"/>
    <mergeCell ref="AK7:AL7"/>
    <mergeCell ref="AN7:AN8"/>
    <mergeCell ref="AP7:AR7"/>
    <mergeCell ref="A10:A31"/>
    <mergeCell ref="O10:P10"/>
    <mergeCell ref="Z10:AA10"/>
    <mergeCell ref="AK10:AL10"/>
    <mergeCell ref="BQ4:BQ5"/>
    <mergeCell ref="AE5:AG5"/>
    <mergeCell ref="AK5:AN5"/>
    <mergeCell ref="AP5:AR5"/>
    <mergeCell ref="H7:I7"/>
    <mergeCell ref="J7:J8"/>
    <mergeCell ref="L7:M7"/>
    <mergeCell ref="O7:P7"/>
    <mergeCell ref="R7:R8"/>
    <mergeCell ref="T7:V7"/>
    <mergeCell ref="Z7:AA7"/>
    <mergeCell ref="H5:J5"/>
    <mergeCell ref="L5:M5"/>
    <mergeCell ref="O5:R5"/>
    <mergeCell ref="T5:V5"/>
    <mergeCell ref="Z5:AC5"/>
    <mergeCell ref="F1:M1"/>
    <mergeCell ref="O1:V1"/>
    <mergeCell ref="Z1:AG1"/>
    <mergeCell ref="AK1:AR1"/>
    <mergeCell ref="H4:J4"/>
    <mergeCell ref="L4:M4"/>
    <mergeCell ref="O4:R4"/>
    <mergeCell ref="T4:V4"/>
    <mergeCell ref="X4:X5"/>
    <mergeCell ref="Z4:AC4"/>
    <mergeCell ref="AE4:AG4"/>
    <mergeCell ref="AI4:AI5"/>
    <mergeCell ref="AK4:AN4"/>
    <mergeCell ref="AP4:AR4"/>
    <mergeCell ref="AV1:BC1"/>
    <mergeCell ref="AV4:AY4"/>
    <mergeCell ref="BA4:BC4"/>
    <mergeCell ref="BP4:BP5"/>
    <mergeCell ref="AV5:AY5"/>
    <mergeCell ref="BA5:BC5"/>
    <mergeCell ref="BF1:BM1"/>
    <mergeCell ref="BF4:BI4"/>
    <mergeCell ref="BK4:BM4"/>
    <mergeCell ref="BO4:BO5"/>
    <mergeCell ref="BF5:BI5"/>
    <mergeCell ref="BK5:BM5"/>
    <mergeCell ref="AV7:AW7"/>
    <mergeCell ref="AY7:AY8"/>
    <mergeCell ref="BA7:BC7"/>
    <mergeCell ref="AV10:AW10"/>
    <mergeCell ref="AV33:AW33"/>
  </mergeCells>
  <hyperlinks>
    <hyperlink ref="Q10" r:id="rId1" xr:uid="{00000000-0004-0000-1C00-000000000000}"/>
    <hyperlink ref="U10" r:id="rId2" xr:uid="{00000000-0004-0000-1C00-000001000000}"/>
    <hyperlink ref="AF10" r:id="rId3" xr:uid="{00000000-0004-0000-1C00-000002000000}"/>
    <hyperlink ref="AB10" r:id="rId4" display="file:///C:\Users\H_CAST~1\AppData\Local\Temp\7zO0225322B\Raport%20privind%20executarea%20bugetului%20de%20stat%20pe%20anul%202016.doc" xr:uid="{00000000-0004-0000-1C00-000003000000}"/>
    <hyperlink ref="AQ10" r:id="rId5" xr:uid="{00000000-0004-0000-1C00-000004000000}"/>
    <hyperlink ref="AP10" r:id="rId6" xr:uid="{00000000-0004-0000-1C00-000005000000}"/>
    <hyperlink ref="AM10" r:id="rId7" xr:uid="{00000000-0004-0000-1C00-000006000000}"/>
    <hyperlink ref="AQ22" r:id="rId8" display="II. CHELTUIELI ŞI ACTIVE NEFINANCIARE" xr:uid="{00000000-0004-0000-1C00-000007000000}"/>
    <hyperlink ref="AE10" r:id="rId9" display="http://demo.weblex.md/item/view/iddbtype/1/id/LPLP20161216279/specialview/1/ref/mf" xr:uid="{00000000-0004-0000-1C00-000008000000}"/>
    <hyperlink ref="AP33" r:id="rId10" display="http://demo.weblex.md/item/view/iddbtype/1/id/36155e3103ab5f8c21e5f7e6a1ac75dd" xr:uid="{00000000-0004-0000-1C00-000009000000}"/>
    <hyperlink ref="AM20" r:id="rId11" display="Acţiuni generale Code 1701 'Datoria de stat internă' + Code 1702 'Datoria de stat externă'" xr:uid="{00000000-0004-0000-1C00-00000A000000}"/>
    <hyperlink ref="BB10" r:id="rId12" xr:uid="{2C6A04D4-69DB-4AC6-A102-D786AB02E728}"/>
    <hyperlink ref="BL10" r:id="rId13" xr:uid="{E11457D2-CE19-4514-8079-632F5B0FA640}"/>
  </hyperlinks>
  <pageMargins left="0.23622047244094491" right="0.23622047244094491" top="0.35433070866141736" bottom="0.35433070866141736" header="0.31496062992125984" footer="0.31496062992125984"/>
  <pageSetup paperSize="9" scale="39" orientation="portrait" horizontalDpi="4294967293" verticalDpi="1200" r:id="rId14"/>
  <legacy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37FA9-EB7E-4B7F-A399-CDE963F1C825}">
  <sheetPr>
    <tabColor rgb="FF61D697"/>
  </sheetPr>
  <dimension ref="A1:FL126"/>
  <sheetViews>
    <sheetView tabSelected="1" zoomScaleNormal="100" zoomScaleSheetLayoutView="80" workbookViewId="0">
      <pane xSplit="2" ySplit="10" topLeftCell="C11" activePane="bottomRight" state="frozen"/>
      <selection pane="topRight" activeCell="C3" sqref="C3"/>
      <selection pane="bottomLeft" activeCell="C3" sqref="C3"/>
      <selection pane="bottomRight" activeCell="A7" sqref="A7"/>
    </sheetView>
  </sheetViews>
  <sheetFormatPr defaultColWidth="8.6328125" defaultRowHeight="21.5" x14ac:dyDescent="0.9"/>
  <cols>
    <col min="1" max="1" width="6" style="8993" bestFit="1" customWidth="1"/>
    <col min="2" max="2" width="25.90625" style="8993" customWidth="1"/>
    <col min="3" max="3" width="1.453125" style="8987" customWidth="1"/>
    <col min="4" max="4" width="20.453125" style="9024" bestFit="1" customWidth="1"/>
    <col min="5" max="5" width="21.6328125" style="9024" customWidth="1"/>
    <col min="6" max="6" width="18.54296875" style="9025" customWidth="1"/>
    <col min="7" max="7" width="19.81640625" style="9026" bestFit="1" customWidth="1"/>
    <col min="8" max="9" width="22.08984375" style="9024" bestFit="1" customWidth="1"/>
    <col min="10" max="10" width="21.26953125" style="9024" bestFit="1" customWidth="1"/>
    <col min="11" max="11" width="22.453125" style="9024" bestFit="1" customWidth="1"/>
    <col min="12" max="12" width="9" style="9027" customWidth="1"/>
    <col min="13" max="13" width="1.453125" style="8987" customWidth="1"/>
    <col min="14" max="14" width="20" style="9024" bestFit="1" customWidth="1"/>
    <col min="15" max="15" width="21.36328125" style="9024" customWidth="1"/>
    <col min="16" max="16" width="17.6328125" style="9025" bestFit="1" customWidth="1"/>
    <col min="17" max="17" width="19.81640625" style="9026" bestFit="1" customWidth="1"/>
    <col min="18" max="18" width="20.81640625" style="9024" bestFit="1" customWidth="1"/>
    <col min="19" max="19" width="22.36328125" style="9024" bestFit="1" customWidth="1"/>
    <col min="20" max="20" width="21.36328125" style="9024" bestFit="1" customWidth="1"/>
    <col min="21" max="21" width="21.81640625" style="9024" bestFit="1" customWidth="1"/>
    <col min="22" max="22" width="9.54296875" style="9027" customWidth="1"/>
    <col min="23" max="23" width="1.453125" style="9001" customWidth="1"/>
    <col min="24" max="24" width="19.453125" style="9024" bestFit="1" customWidth="1"/>
    <col min="25" max="25" width="18.453125" style="9024" bestFit="1" customWidth="1"/>
    <col min="26" max="26" width="17.36328125" style="9025" bestFit="1" customWidth="1"/>
    <col min="27" max="27" width="19.81640625" style="9026" bestFit="1" customWidth="1"/>
    <col min="28" max="28" width="22.08984375" style="9024" bestFit="1" customWidth="1"/>
    <col min="29" max="29" width="21.26953125" style="9024" bestFit="1" customWidth="1"/>
    <col min="30" max="31" width="21.36328125" style="9024" bestFit="1" customWidth="1"/>
    <col min="32" max="32" width="8.453125" style="9027" customWidth="1"/>
    <col min="33" max="33" width="1.36328125" style="8988" customWidth="1"/>
    <col min="34" max="34" width="20.1796875" style="9024" bestFit="1" customWidth="1"/>
    <col min="35" max="35" width="19.453125" style="9024" bestFit="1" customWidth="1"/>
    <col min="36" max="36" width="19.1796875" style="9025" bestFit="1" customWidth="1"/>
    <col min="37" max="37" width="21.453125" style="9026" bestFit="1" customWidth="1"/>
    <col min="38" max="38" width="21.453125" style="9024" bestFit="1" customWidth="1"/>
    <col min="39" max="39" width="21.81640625" style="9024" bestFit="1" customWidth="1"/>
    <col min="40" max="40" width="22" style="9024" bestFit="1" customWidth="1"/>
    <col min="41" max="41" width="21.1796875" style="9024" bestFit="1" customWidth="1"/>
    <col min="42" max="42" width="7.81640625" style="9027" customWidth="1"/>
    <col min="43" max="43" width="1.453125" style="9077" customWidth="1"/>
    <col min="44" max="44" width="19.81640625" style="9024" bestFit="1" customWidth="1"/>
    <col min="45" max="45" width="20" style="9024" bestFit="1" customWidth="1"/>
    <col min="46" max="46" width="19.81640625" style="9024" bestFit="1" customWidth="1"/>
    <col min="47" max="47" width="20.81640625" style="9026" bestFit="1" customWidth="1"/>
    <col min="48" max="48" width="21.6328125" style="9024" bestFit="1" customWidth="1"/>
    <col min="49" max="49" width="21.81640625" style="9024" bestFit="1" customWidth="1"/>
    <col min="50" max="50" width="22" style="9024" bestFit="1" customWidth="1"/>
    <col min="51" max="51" width="21.1796875" style="9024" bestFit="1" customWidth="1"/>
    <col min="52" max="52" width="9.1796875" style="9027" customWidth="1"/>
    <col min="53" max="53" width="1.453125" style="8988" customWidth="1"/>
    <col min="54" max="58" width="8.1796875" style="9025" customWidth="1"/>
    <col min="59" max="59" width="1.453125" style="8988" customWidth="1"/>
    <col min="60" max="61" width="33.90625" style="9029" bestFit="1" customWidth="1"/>
    <col min="62" max="62" width="1.453125" style="8988" customWidth="1"/>
    <col min="63" max="67" width="17.81640625" style="9025" bestFit="1" customWidth="1"/>
    <col min="68" max="68" width="1.453125" style="8988" customWidth="1"/>
    <col min="69" max="73" width="16.36328125" style="9025" customWidth="1"/>
    <col min="74" max="74" width="1.453125" style="8987" customWidth="1"/>
    <col min="75" max="76" width="21.453125" style="8992" customWidth="1"/>
    <col min="77" max="77" width="1.36328125" style="8992" customWidth="1"/>
    <col min="78" max="79" width="21.453125" style="8992" customWidth="1"/>
    <col min="80" max="80" width="1.1796875" style="8992" customWidth="1"/>
    <col min="81" max="82" width="21.453125" style="8992" customWidth="1"/>
    <col min="83" max="83" width="1.1796875" style="8992" customWidth="1"/>
    <col min="84" max="84" width="21.453125" style="8992" customWidth="1"/>
    <col min="85" max="85" width="1.1796875" style="8992" customWidth="1"/>
    <col min="86" max="86" width="21.453125" style="8992" customWidth="1"/>
    <col min="87" max="87" width="1.36328125" style="8992" customWidth="1"/>
    <col min="88" max="88" width="21.453125" style="8992" customWidth="1"/>
    <col min="89" max="89" width="1.1796875" style="8992" customWidth="1"/>
    <col min="90" max="90" width="21.453125" style="8992" customWidth="1"/>
    <col min="91" max="107" width="8.6328125" style="8992"/>
    <col min="108" max="168" width="8.6328125" style="8987"/>
    <col min="169" max="16384" width="8.6328125" style="8993"/>
  </cols>
  <sheetData>
    <row r="1" spans="1:168" x14ac:dyDescent="0.9">
      <c r="A1" s="8987"/>
      <c r="B1" s="8999" t="s">
        <v>93</v>
      </c>
      <c r="D1" s="8973"/>
      <c r="E1" s="8974" t="s">
        <v>94</v>
      </c>
      <c r="F1" s="8975"/>
      <c r="G1" s="8976"/>
      <c r="H1" s="8977"/>
      <c r="I1" s="8977"/>
      <c r="J1" s="8977"/>
      <c r="K1" s="8977"/>
      <c r="L1" s="8978"/>
      <c r="M1" s="8972"/>
      <c r="N1" s="8973"/>
      <c r="O1" s="8974" t="s">
        <v>94</v>
      </c>
      <c r="P1" s="8975"/>
      <c r="Q1" s="8976"/>
      <c r="R1" s="8988"/>
      <c r="S1" s="8988"/>
      <c r="T1" s="8988"/>
      <c r="U1" s="8988"/>
      <c r="V1" s="9000"/>
      <c r="X1" s="9002"/>
      <c r="Y1" s="8988"/>
      <c r="Z1" s="8988"/>
      <c r="AA1" s="8990"/>
      <c r="AB1" s="8988"/>
      <c r="AC1" s="8988"/>
      <c r="AD1" s="8988"/>
      <c r="AE1" s="8988"/>
      <c r="AF1" s="9000"/>
      <c r="AG1" s="9003"/>
      <c r="AH1" s="8988"/>
      <c r="AI1" s="8988"/>
      <c r="AJ1" s="8988"/>
      <c r="AK1" s="8990"/>
      <c r="AL1" s="8988"/>
      <c r="AM1" s="8988"/>
      <c r="AN1" s="8988"/>
      <c r="AO1" s="8988"/>
      <c r="AP1" s="9000"/>
      <c r="AQ1" s="9003"/>
      <c r="AR1" s="8988"/>
      <c r="AS1" s="8988"/>
      <c r="AT1" s="8988"/>
      <c r="AU1" s="8990"/>
      <c r="AV1" s="8988"/>
      <c r="AW1" s="8988"/>
      <c r="AX1" s="8988"/>
      <c r="AY1" s="8988"/>
      <c r="AZ1" s="9000"/>
      <c r="BA1" s="9003"/>
      <c r="BB1" s="9003"/>
      <c r="BC1" s="9003"/>
      <c r="BD1" s="9003"/>
      <c r="BE1" s="9003"/>
      <c r="BF1" s="9003"/>
      <c r="BG1" s="9003"/>
      <c r="BH1" s="9004"/>
      <c r="BI1" s="9004"/>
      <c r="BJ1" s="9003"/>
      <c r="BK1" s="9003"/>
      <c r="BL1" s="9003"/>
      <c r="BM1" s="9003"/>
      <c r="BN1" s="9003"/>
      <c r="BO1" s="9003"/>
      <c r="BP1" s="9003"/>
      <c r="BQ1" s="9003"/>
      <c r="BR1" s="9003"/>
      <c r="BS1" s="9003"/>
      <c r="BT1" s="9003"/>
      <c r="BU1" s="9003"/>
      <c r="CE1" s="8991"/>
      <c r="CG1" s="8991"/>
    </row>
    <row r="2" spans="1:168" x14ac:dyDescent="0.9">
      <c r="A2" s="8987"/>
      <c r="B2" s="8987"/>
      <c r="D2" s="8979"/>
      <c r="E2" s="8980" t="s">
        <v>95</v>
      </c>
      <c r="F2" s="8981"/>
      <c r="G2" s="8976"/>
      <c r="H2" s="8977"/>
      <c r="I2" s="8977"/>
      <c r="J2" s="8977"/>
      <c r="K2" s="8977"/>
      <c r="L2" s="8978"/>
      <c r="M2" s="8972"/>
      <c r="N2" s="8979"/>
      <c r="O2" s="8980" t="s">
        <v>95</v>
      </c>
      <c r="P2" s="8981"/>
      <c r="Q2" s="8976"/>
      <c r="R2" s="8988"/>
      <c r="S2" s="8988"/>
      <c r="T2" s="8988"/>
      <c r="U2" s="8988"/>
      <c r="V2" s="9000"/>
      <c r="X2" s="8988"/>
      <c r="Y2" s="9005"/>
      <c r="Z2" s="8988"/>
      <c r="AA2" s="8990"/>
      <c r="AB2" s="8988"/>
      <c r="AC2" s="8988"/>
      <c r="AD2" s="8988"/>
      <c r="AE2" s="8988"/>
      <c r="AF2" s="9000"/>
      <c r="AH2" s="9005"/>
      <c r="AI2" s="8988"/>
      <c r="AJ2" s="8988"/>
      <c r="AK2" s="8990"/>
      <c r="AL2" s="8988"/>
      <c r="AM2" s="8988"/>
      <c r="AN2" s="8988"/>
      <c r="AO2" s="8988"/>
      <c r="AP2" s="9000"/>
      <c r="AQ2" s="8988"/>
      <c r="AR2" s="9005"/>
      <c r="AS2" s="8988"/>
      <c r="AT2" s="8988"/>
      <c r="AU2" s="8990"/>
      <c r="AV2" s="8988"/>
      <c r="AW2" s="8988"/>
      <c r="AX2" s="8988"/>
      <c r="AY2" s="8988"/>
      <c r="AZ2" s="9000"/>
      <c r="BA2" s="9005"/>
      <c r="BB2" s="8988"/>
      <c r="BC2" s="8988"/>
      <c r="BD2" s="8988"/>
      <c r="BE2" s="8988"/>
      <c r="BF2" s="8988"/>
      <c r="BG2" s="9005"/>
      <c r="BH2" s="8990"/>
      <c r="BI2" s="8990"/>
      <c r="BJ2" s="9005"/>
      <c r="BK2" s="8988"/>
      <c r="BL2" s="8988"/>
      <c r="BM2" s="8988"/>
      <c r="BN2" s="8988"/>
      <c r="BO2" s="8988"/>
      <c r="BP2" s="9005"/>
      <c r="BQ2" s="8988"/>
      <c r="BR2" s="8988"/>
      <c r="BS2" s="8988"/>
      <c r="BT2" s="8988"/>
      <c r="BU2" s="8988"/>
      <c r="CE2" s="8991"/>
      <c r="CG2" s="8991"/>
    </row>
    <row r="3" spans="1:168" x14ac:dyDescent="0.9">
      <c r="A3" s="8987"/>
      <c r="B3" s="8987"/>
      <c r="D3" s="8982" t="s">
        <v>39</v>
      </c>
      <c r="E3" s="8980" t="s">
        <v>96</v>
      </c>
      <c r="F3" s="8981"/>
      <c r="G3" s="8976"/>
      <c r="H3" s="8977"/>
      <c r="I3" s="8977"/>
      <c r="J3" s="8977"/>
      <c r="K3" s="8977"/>
      <c r="L3" s="8978"/>
      <c r="M3" s="8972"/>
      <c r="N3" s="8982" t="s">
        <v>39</v>
      </c>
      <c r="O3" s="8980" t="s">
        <v>96</v>
      </c>
      <c r="P3" s="8981"/>
      <c r="Q3" s="8976"/>
      <c r="R3" s="8988"/>
      <c r="S3" s="8988"/>
      <c r="T3" s="8988"/>
      <c r="U3" s="8988"/>
      <c r="V3" s="9000"/>
      <c r="X3" s="8988"/>
      <c r="Y3" s="9006"/>
      <c r="Z3" s="8988"/>
      <c r="AA3" s="8990"/>
      <c r="AB3" s="8988"/>
      <c r="AC3" s="8988"/>
      <c r="AD3" s="8988"/>
      <c r="AE3" s="8988"/>
      <c r="AF3" s="9000"/>
      <c r="AH3" s="9005"/>
      <c r="AI3" s="8988"/>
      <c r="AJ3" s="8988"/>
      <c r="AK3" s="8990"/>
      <c r="AL3" s="8988"/>
      <c r="AM3" s="8988"/>
      <c r="AN3" s="8988"/>
      <c r="AO3" s="8988"/>
      <c r="AP3" s="9000"/>
      <c r="AQ3" s="8988"/>
      <c r="AR3" s="9005"/>
      <c r="AS3" s="8988"/>
      <c r="AT3" s="8988"/>
      <c r="AU3" s="8990"/>
      <c r="AV3" s="8988"/>
      <c r="AW3" s="8988"/>
      <c r="AX3" s="8988"/>
      <c r="AY3" s="8988"/>
      <c r="AZ3" s="9000"/>
      <c r="BA3" s="9005"/>
      <c r="BB3" s="8988"/>
      <c r="BC3" s="8988"/>
      <c r="BD3" s="8988"/>
      <c r="BE3" s="8988"/>
      <c r="BF3" s="8988"/>
      <c r="BG3" s="9005"/>
      <c r="BH3" s="8990"/>
      <c r="BI3" s="8990"/>
      <c r="BJ3" s="9005"/>
      <c r="BK3" s="8988"/>
      <c r="BL3" s="8988"/>
      <c r="BM3" s="8988"/>
      <c r="BN3" s="8988"/>
      <c r="BO3" s="8988"/>
      <c r="BP3" s="9005"/>
      <c r="BQ3" s="8988"/>
      <c r="BR3" s="8988"/>
      <c r="BS3" s="8988"/>
      <c r="BT3" s="8988"/>
      <c r="BU3" s="8988"/>
      <c r="CE3" s="8991"/>
      <c r="CG3" s="8991"/>
    </row>
    <row r="4" spans="1:168" x14ac:dyDescent="0.9">
      <c r="A4" s="8987"/>
      <c r="B4" s="8987"/>
      <c r="D4" s="8982" t="s">
        <v>35</v>
      </c>
      <c r="E4" s="8980" t="s">
        <v>97</v>
      </c>
      <c r="F4" s="8981"/>
      <c r="G4" s="8976"/>
      <c r="H4" s="8977"/>
      <c r="I4" s="8977"/>
      <c r="J4" s="8977"/>
      <c r="K4" s="8977"/>
      <c r="L4" s="8978"/>
      <c r="M4" s="8972"/>
      <c r="N4" s="8982" t="s">
        <v>35</v>
      </c>
      <c r="O4" s="8980" t="s">
        <v>97</v>
      </c>
      <c r="P4" s="8981"/>
      <c r="Q4" s="8976"/>
      <c r="R4" s="8988"/>
      <c r="S4" s="8988"/>
      <c r="T4" s="8988"/>
      <c r="U4" s="8988"/>
      <c r="V4" s="9000"/>
      <c r="X4" s="8988"/>
      <c r="Y4" s="8988"/>
      <c r="Z4" s="8988"/>
      <c r="AA4" s="8990"/>
      <c r="AB4" s="8988"/>
      <c r="AC4" s="8988"/>
      <c r="AD4" s="8988"/>
      <c r="AE4" s="8988"/>
      <c r="AF4" s="9000"/>
      <c r="AH4" s="8988"/>
      <c r="AI4" s="8988"/>
      <c r="AJ4" s="8988"/>
      <c r="AK4" s="8990"/>
      <c r="AL4" s="8988"/>
      <c r="AM4" s="8988"/>
      <c r="AN4" s="8988"/>
      <c r="AO4" s="8988"/>
      <c r="AP4" s="9000"/>
      <c r="AQ4" s="8988"/>
      <c r="AR4" s="8988"/>
      <c r="AS4" s="8988"/>
      <c r="AT4" s="8988"/>
      <c r="AU4" s="8990"/>
      <c r="AV4" s="8988"/>
      <c r="AW4" s="8988"/>
      <c r="AX4" s="8988"/>
      <c r="AY4" s="8988"/>
      <c r="AZ4" s="9000"/>
      <c r="BB4" s="8988"/>
      <c r="BC4" s="8988"/>
      <c r="BD4" s="8988"/>
      <c r="BE4" s="8988"/>
      <c r="BF4" s="8988"/>
      <c r="BH4" s="8990"/>
      <c r="BI4" s="8990"/>
      <c r="BK4" s="8988"/>
      <c r="BL4" s="8988"/>
      <c r="BM4" s="8988"/>
      <c r="BN4" s="8988"/>
      <c r="BO4" s="8988"/>
      <c r="BQ4" s="8988"/>
      <c r="BR4" s="8988"/>
      <c r="BS4" s="8988"/>
      <c r="BT4" s="8988"/>
      <c r="BU4" s="8988"/>
      <c r="CE4" s="8991"/>
      <c r="CG4" s="8991"/>
    </row>
    <row r="5" spans="1:168" ht="22" thickBot="1" x14ac:dyDescent="0.95">
      <c r="A5" s="8987"/>
      <c r="B5" s="8987"/>
      <c r="D5" s="8983" t="s">
        <v>32</v>
      </c>
      <c r="E5" s="8984" t="s">
        <v>98</v>
      </c>
      <c r="F5" s="8985"/>
      <c r="G5" s="8976"/>
      <c r="H5" s="8977"/>
      <c r="I5" s="8977"/>
      <c r="J5" s="8977"/>
      <c r="K5" s="8977"/>
      <c r="L5" s="8978"/>
      <c r="M5" s="8972"/>
      <c r="N5" s="8983" t="s">
        <v>32</v>
      </c>
      <c r="O5" s="8984" t="s">
        <v>98</v>
      </c>
      <c r="P5" s="8985"/>
      <c r="Q5" s="8976"/>
      <c r="R5" s="8988"/>
      <c r="S5" s="8988"/>
      <c r="T5" s="8988"/>
      <c r="U5" s="8988"/>
      <c r="V5" s="9000"/>
      <c r="X5" s="8988"/>
      <c r="Y5" s="8988"/>
      <c r="Z5" s="8988"/>
      <c r="AA5" s="8990"/>
      <c r="AB5" s="8988"/>
      <c r="AC5" s="8988"/>
      <c r="AD5" s="8988"/>
      <c r="AE5" s="8988"/>
      <c r="AF5" s="9000"/>
      <c r="AH5" s="8988"/>
      <c r="AI5" s="8988"/>
      <c r="AJ5" s="8988"/>
      <c r="AK5" s="8990"/>
      <c r="AL5" s="8988"/>
      <c r="AM5" s="8988"/>
      <c r="AN5" s="8988"/>
      <c r="AO5" s="8988"/>
      <c r="AP5" s="9000"/>
      <c r="AQ5" s="8988"/>
      <c r="AR5" s="8988"/>
      <c r="AS5" s="8988"/>
      <c r="AT5" s="8988"/>
      <c r="AU5" s="8990"/>
      <c r="AV5" s="8988"/>
      <c r="AW5" s="8988"/>
      <c r="AX5" s="8988"/>
      <c r="AY5" s="8988"/>
      <c r="AZ5" s="9000"/>
      <c r="BB5" s="8988"/>
      <c r="BC5" s="8988"/>
      <c r="BD5" s="8988"/>
      <c r="BE5" s="8988"/>
      <c r="BF5" s="8988"/>
      <c r="BH5" s="8990"/>
      <c r="BI5" s="8990"/>
      <c r="BK5" s="8988"/>
      <c r="BL5" s="8988"/>
      <c r="BM5" s="8988"/>
      <c r="BN5" s="8988"/>
      <c r="BO5" s="8988"/>
      <c r="BQ5" s="8988"/>
      <c r="BR5" s="8988"/>
      <c r="BS5" s="8988"/>
      <c r="BT5" s="8988"/>
      <c r="BU5" s="8988"/>
      <c r="BW5" s="9007"/>
      <c r="CE5" s="8991"/>
      <c r="CG5" s="8991"/>
      <c r="EK5" s="8992"/>
      <c r="EL5" s="8992"/>
      <c r="EM5" s="8992"/>
      <c r="EN5" s="8992"/>
      <c r="EO5" s="8992"/>
      <c r="EP5" s="8992"/>
      <c r="EQ5" s="8992"/>
      <c r="ER5" s="8992"/>
      <c r="ES5" s="8992"/>
      <c r="ET5" s="8992"/>
      <c r="EU5" s="8992"/>
      <c r="EV5" s="8992"/>
      <c r="EW5" s="8992"/>
      <c r="EX5" s="8992"/>
    </row>
    <row r="6" spans="1:168" s="8987" customFormat="1" x14ac:dyDescent="0.9">
      <c r="D6" s="8977"/>
      <c r="E6" s="8977"/>
      <c r="F6" s="8977"/>
      <c r="G6" s="8976"/>
      <c r="H6" s="8977"/>
      <c r="I6" s="8977"/>
      <c r="J6" s="8977"/>
      <c r="K6" s="8977"/>
      <c r="L6" s="8978"/>
      <c r="M6" s="8972"/>
      <c r="N6" s="8977"/>
      <c r="O6" s="8977"/>
      <c r="P6" s="8977"/>
      <c r="Q6" s="8976"/>
      <c r="R6" s="8988"/>
      <c r="S6" s="8988"/>
      <c r="T6" s="8988"/>
      <c r="U6" s="8988"/>
      <c r="V6" s="9000"/>
      <c r="W6" s="9001"/>
      <c r="X6" s="8988"/>
      <c r="Y6" s="8988"/>
      <c r="Z6" s="8988"/>
      <c r="AA6" s="8990"/>
      <c r="AB6" s="8988"/>
      <c r="AC6" s="8988"/>
      <c r="AD6" s="8988"/>
      <c r="AE6" s="8988"/>
      <c r="AF6" s="9000"/>
      <c r="AG6" s="8988"/>
      <c r="AH6" s="8988"/>
      <c r="AI6" s="8988"/>
      <c r="AJ6" s="8988"/>
      <c r="AK6" s="8990"/>
      <c r="AL6" s="8988"/>
      <c r="AM6" s="8988"/>
      <c r="AN6" s="8988"/>
      <c r="AO6" s="8988"/>
      <c r="AP6" s="9000"/>
      <c r="AQ6" s="8988"/>
      <c r="AR6" s="8988"/>
      <c r="AS6" s="8988"/>
      <c r="AT6" s="8988"/>
      <c r="AU6" s="8990"/>
      <c r="AV6" s="8988"/>
      <c r="AW6" s="8988"/>
      <c r="AX6" s="8988"/>
      <c r="AY6" s="8988"/>
      <c r="AZ6" s="9000"/>
      <c r="BA6" s="8988"/>
      <c r="BB6" s="8988"/>
      <c r="BC6" s="8988"/>
      <c r="BD6" s="8988"/>
      <c r="BE6" s="8988"/>
      <c r="BF6" s="8988"/>
      <c r="BG6" s="8988"/>
      <c r="BH6" s="8990"/>
      <c r="BI6" s="8990"/>
      <c r="BJ6" s="8988"/>
      <c r="BK6" s="8988"/>
      <c r="BL6" s="8988"/>
      <c r="BM6" s="8988"/>
      <c r="BN6" s="8988"/>
      <c r="BO6" s="8988"/>
      <c r="BP6" s="8988"/>
      <c r="BQ6" s="8988"/>
      <c r="BR6" s="8988"/>
      <c r="BS6" s="8988"/>
      <c r="BT6" s="8988"/>
      <c r="BU6" s="8988"/>
      <c r="BW6" s="8992"/>
      <c r="BX6" s="8992"/>
      <c r="BY6" s="8992"/>
      <c r="BZ6" s="8992"/>
      <c r="CA6" s="8992"/>
      <c r="CB6" s="8992"/>
      <c r="CC6" s="8992"/>
      <c r="CD6" s="8992"/>
      <c r="CE6" s="8991"/>
      <c r="CF6" s="8992"/>
      <c r="CG6" s="8991"/>
      <c r="CH6" s="8992"/>
      <c r="CI6" s="8992"/>
      <c r="CJ6" s="8992"/>
      <c r="CK6" s="8992"/>
      <c r="CL6" s="8992"/>
      <c r="CM6" s="8992"/>
      <c r="CN6" s="8992"/>
      <c r="CO6" s="8992"/>
      <c r="CP6" s="8992"/>
      <c r="CQ6" s="8992"/>
      <c r="CR6" s="8992"/>
      <c r="CS6" s="8992"/>
      <c r="CT6" s="8992"/>
      <c r="CU6" s="8992"/>
      <c r="CV6" s="8992"/>
      <c r="CW6" s="8992"/>
      <c r="CX6" s="8992"/>
      <c r="CY6" s="8992"/>
      <c r="CZ6" s="8992"/>
      <c r="DA6" s="8992"/>
      <c r="DB6" s="8992"/>
      <c r="DC6" s="8992"/>
      <c r="EK6" s="8992"/>
      <c r="EL6" s="8992"/>
      <c r="EM6" s="8992"/>
      <c r="EN6" s="8992"/>
      <c r="EO6" s="8992"/>
      <c r="EP6" s="8992"/>
      <c r="EQ6" s="8992"/>
      <c r="ER6" s="8992"/>
      <c r="ES6" s="8992"/>
      <c r="ET6" s="8992"/>
      <c r="EU6" s="8992"/>
      <c r="EV6" s="8992"/>
      <c r="EW6" s="8992"/>
      <c r="EX6" s="8992"/>
    </row>
    <row r="7" spans="1:168" s="9008" customFormat="1" ht="17.5" customHeight="1" x14ac:dyDescent="0.35">
      <c r="A7" s="8989"/>
      <c r="B7" s="8989"/>
      <c r="C7" s="8989"/>
      <c r="D7" s="9108" t="s">
        <v>6777</v>
      </c>
      <c r="E7" s="9108"/>
      <c r="F7" s="9108"/>
      <c r="G7" s="9108"/>
      <c r="H7" s="9108"/>
      <c r="I7" s="9108"/>
      <c r="J7" s="9108"/>
      <c r="K7" s="9108"/>
      <c r="L7" s="9108"/>
      <c r="M7" s="9108"/>
      <c r="N7" s="9108"/>
      <c r="O7" s="9108"/>
      <c r="P7" s="9108"/>
      <c r="Q7" s="9108"/>
      <c r="R7" s="9108"/>
      <c r="S7" s="9108"/>
      <c r="T7" s="9108"/>
      <c r="U7" s="9108"/>
      <c r="V7" s="9108"/>
      <c r="W7" s="9108"/>
      <c r="X7" s="9108"/>
      <c r="Y7" s="9108"/>
      <c r="Z7" s="9108"/>
      <c r="AA7" s="9108"/>
      <c r="AB7" s="9108"/>
      <c r="AC7" s="9108"/>
      <c r="AD7" s="9108"/>
      <c r="AE7" s="9108"/>
      <c r="AF7" s="9108"/>
      <c r="AG7" s="9108"/>
      <c r="AH7" s="9108"/>
      <c r="AI7" s="9108"/>
      <c r="AJ7" s="9108"/>
      <c r="AK7" s="9108"/>
      <c r="AL7" s="9108"/>
      <c r="AM7" s="9108"/>
      <c r="AN7" s="9108"/>
      <c r="AO7" s="9108"/>
      <c r="AP7" s="9108"/>
      <c r="AQ7" s="9108"/>
      <c r="AR7" s="9108"/>
      <c r="AS7" s="9108"/>
      <c r="AT7" s="9108"/>
      <c r="AU7" s="9108"/>
      <c r="AV7" s="9108"/>
      <c r="AW7" s="9108"/>
      <c r="AX7" s="9108"/>
      <c r="AY7" s="9108"/>
      <c r="AZ7" s="9108"/>
      <c r="BA7" s="8989"/>
      <c r="BB7" s="8989"/>
      <c r="BC7" s="8989"/>
      <c r="BD7" s="8989"/>
      <c r="BE7" s="8989"/>
      <c r="BF7" s="8989"/>
      <c r="BG7" s="8989"/>
      <c r="BH7" s="8998"/>
      <c r="BI7" s="8998"/>
      <c r="BJ7" s="8989"/>
      <c r="BK7" s="8989"/>
      <c r="BL7" s="8989"/>
      <c r="BM7" s="8989"/>
      <c r="BN7" s="8989"/>
      <c r="BO7" s="8989"/>
      <c r="BP7" s="8989"/>
      <c r="BQ7" s="9109" t="s">
        <v>99</v>
      </c>
      <c r="BR7" s="9109"/>
      <c r="BS7" s="9109"/>
      <c r="BT7" s="9109"/>
      <c r="BU7" s="9109"/>
      <c r="BV7" s="8989"/>
      <c r="BW7" s="9103"/>
      <c r="BX7" s="9103"/>
      <c r="BY7" s="9103"/>
      <c r="BZ7" s="9103"/>
      <c r="CA7" s="9103"/>
      <c r="CB7" s="9103"/>
      <c r="CC7" s="9103"/>
      <c r="CD7" s="9103"/>
      <c r="CE7" s="8998"/>
      <c r="CF7" s="9103"/>
      <c r="CG7" s="9103"/>
      <c r="CH7" s="9103"/>
      <c r="CI7" s="9103"/>
      <c r="CJ7" s="9103"/>
      <c r="CK7" s="9103"/>
      <c r="CL7" s="9103"/>
      <c r="CM7" s="8998"/>
      <c r="CN7" s="8998"/>
      <c r="CO7" s="8998"/>
      <c r="CP7" s="8998"/>
      <c r="CQ7" s="8998"/>
      <c r="CR7" s="8998"/>
      <c r="CS7" s="8998"/>
      <c r="CT7" s="8998"/>
      <c r="CU7" s="8998"/>
      <c r="CV7" s="8998"/>
      <c r="CW7" s="8998"/>
      <c r="CX7" s="8998"/>
      <c r="CY7" s="8998"/>
      <c r="CZ7" s="8998"/>
      <c r="DA7" s="8998"/>
      <c r="DB7" s="8998"/>
      <c r="DC7" s="8998"/>
      <c r="DD7" s="8998"/>
      <c r="DE7" s="8998"/>
      <c r="DF7" s="8998"/>
      <c r="DG7" s="8998"/>
      <c r="DH7" s="8998"/>
      <c r="DI7" s="8998"/>
      <c r="DJ7" s="8998"/>
      <c r="DK7" s="8998"/>
      <c r="DL7" s="8998"/>
      <c r="DM7" s="8998"/>
      <c r="DN7" s="8998"/>
      <c r="DO7" s="8998"/>
      <c r="DP7" s="8998"/>
      <c r="DQ7" s="8998"/>
      <c r="DR7" s="8998"/>
      <c r="DS7" s="8998"/>
      <c r="DT7" s="8998"/>
      <c r="DU7" s="8998"/>
      <c r="DV7" s="8998"/>
      <c r="DW7" s="8998"/>
      <c r="DX7" s="8998"/>
      <c r="DY7" s="8998"/>
      <c r="DZ7" s="8998"/>
      <c r="EA7" s="8998"/>
      <c r="EB7" s="8998"/>
      <c r="EC7" s="8998"/>
      <c r="ED7" s="8998"/>
      <c r="EE7" s="8998"/>
      <c r="EF7" s="8998"/>
      <c r="EG7" s="8998"/>
      <c r="EH7" s="8998"/>
      <c r="EI7" s="8998"/>
      <c r="EJ7" s="8998"/>
      <c r="EK7" s="8998"/>
      <c r="EL7" s="8998"/>
      <c r="EM7" s="8998"/>
      <c r="EN7" s="8998"/>
      <c r="EO7" s="8998"/>
      <c r="EP7" s="8998"/>
      <c r="EQ7" s="8998"/>
      <c r="ER7" s="8998"/>
      <c r="ES7" s="8998"/>
      <c r="ET7" s="8998"/>
      <c r="EU7" s="8998"/>
      <c r="EV7" s="8998"/>
      <c r="EW7" s="8998"/>
      <c r="EX7" s="8998"/>
      <c r="EY7" s="8989"/>
      <c r="EZ7" s="8989"/>
      <c r="FA7" s="8989"/>
      <c r="FB7" s="8989"/>
      <c r="FC7" s="8989"/>
      <c r="FD7" s="8989"/>
      <c r="FE7" s="8989"/>
      <c r="FF7" s="8989"/>
      <c r="FG7" s="8989"/>
      <c r="FH7" s="8989"/>
      <c r="FI7" s="8989"/>
      <c r="FJ7" s="8989"/>
      <c r="FK7" s="8989"/>
      <c r="FL7" s="8989"/>
    </row>
    <row r="8" spans="1:168" s="9014" customFormat="1" x14ac:dyDescent="0.35">
      <c r="A8" s="9009"/>
      <c r="B8" s="9009"/>
      <c r="C8" s="9009"/>
      <c r="D8" s="9104">
        <v>2020</v>
      </c>
      <c r="E8" s="9105"/>
      <c r="F8" s="9105"/>
      <c r="G8" s="9105"/>
      <c r="H8" s="9105"/>
      <c r="I8" s="9105"/>
      <c r="J8" s="9105"/>
      <c r="K8" s="9105"/>
      <c r="L8" s="9105"/>
      <c r="M8" s="9009"/>
      <c r="N8" s="9104">
        <v>2019</v>
      </c>
      <c r="O8" s="9105"/>
      <c r="P8" s="9105"/>
      <c r="Q8" s="9105"/>
      <c r="R8" s="9105"/>
      <c r="S8" s="9105"/>
      <c r="T8" s="9105"/>
      <c r="U8" s="9105"/>
      <c r="V8" s="9105"/>
      <c r="W8" s="9010"/>
      <c r="X8" s="9105">
        <v>2018</v>
      </c>
      <c r="Y8" s="9105"/>
      <c r="Z8" s="9105"/>
      <c r="AA8" s="9105"/>
      <c r="AB8" s="9105"/>
      <c r="AC8" s="9105"/>
      <c r="AD8" s="9105"/>
      <c r="AE8" s="9105"/>
      <c r="AF8" s="9105"/>
      <c r="AG8" s="8989"/>
      <c r="AH8" s="9105">
        <v>2017</v>
      </c>
      <c r="AI8" s="9105"/>
      <c r="AJ8" s="9105"/>
      <c r="AK8" s="9105"/>
      <c r="AL8" s="9105"/>
      <c r="AM8" s="9105"/>
      <c r="AN8" s="9105"/>
      <c r="AO8" s="9105"/>
      <c r="AP8" s="9105"/>
      <c r="AQ8" s="8989"/>
      <c r="AR8" s="9106">
        <v>2016</v>
      </c>
      <c r="AS8" s="9106"/>
      <c r="AT8" s="9106"/>
      <c r="AU8" s="9106"/>
      <c r="AV8" s="9106"/>
      <c r="AW8" s="9106"/>
      <c r="AX8" s="9106"/>
      <c r="AY8" s="9106"/>
      <c r="AZ8" s="9106"/>
      <c r="BA8" s="9009"/>
      <c r="BB8" s="9011">
        <v>2020</v>
      </c>
      <c r="BC8" s="9011">
        <v>2019</v>
      </c>
      <c r="BD8" s="9011">
        <v>2018</v>
      </c>
      <c r="BE8" s="9011">
        <v>2017</v>
      </c>
      <c r="BF8" s="9011">
        <v>2016</v>
      </c>
      <c r="BG8" s="9009"/>
      <c r="BH8" s="8998"/>
      <c r="BI8" s="8998"/>
      <c r="BJ8" s="9009"/>
      <c r="BK8" s="9011">
        <v>2020</v>
      </c>
      <c r="BL8" s="9011">
        <v>2019</v>
      </c>
      <c r="BM8" s="9011">
        <v>2018</v>
      </c>
      <c r="BN8" s="9011">
        <v>2017</v>
      </c>
      <c r="BO8" s="9011">
        <v>2016</v>
      </c>
      <c r="BP8" s="8989"/>
      <c r="BQ8" s="9011">
        <v>2020</v>
      </c>
      <c r="BR8" s="9011">
        <v>2019</v>
      </c>
      <c r="BS8" s="9011">
        <v>2018</v>
      </c>
      <c r="BT8" s="9011">
        <v>2017</v>
      </c>
      <c r="BU8" s="9011">
        <v>2016</v>
      </c>
      <c r="BV8" s="9009"/>
      <c r="BW8" s="9107"/>
      <c r="BX8" s="9107"/>
      <c r="BY8" s="9010"/>
      <c r="BZ8" s="9107"/>
      <c r="CA8" s="9107"/>
      <c r="CB8" s="9010"/>
      <c r="CC8" s="9107"/>
      <c r="CD8" s="9107"/>
      <c r="CE8" s="8998"/>
      <c r="CF8" s="9012"/>
      <c r="CG8" s="8998"/>
      <c r="CH8" s="9010"/>
      <c r="CI8" s="9010"/>
      <c r="CJ8" s="9010"/>
      <c r="CK8" s="9010"/>
      <c r="CL8" s="9010"/>
      <c r="CM8" s="9013"/>
      <c r="CN8" s="9013"/>
      <c r="CO8" s="9013"/>
      <c r="CP8" s="9013"/>
      <c r="CQ8" s="9013"/>
      <c r="CR8" s="9013"/>
      <c r="CS8" s="9013"/>
      <c r="CT8" s="9013"/>
      <c r="CU8" s="9013"/>
      <c r="CV8" s="9013"/>
      <c r="CW8" s="9013"/>
      <c r="CX8" s="9013"/>
      <c r="CY8" s="9013"/>
      <c r="CZ8" s="9013"/>
      <c r="DA8" s="9013"/>
      <c r="DB8" s="9013"/>
      <c r="DC8" s="9013"/>
      <c r="DD8" s="9013"/>
      <c r="DE8" s="9013"/>
      <c r="DF8" s="9013"/>
      <c r="DG8" s="9013"/>
      <c r="DH8" s="9013"/>
      <c r="DI8" s="9013"/>
      <c r="DJ8" s="9013"/>
      <c r="DK8" s="9013"/>
      <c r="DL8" s="9013"/>
      <c r="DM8" s="9013"/>
      <c r="DN8" s="9013"/>
      <c r="DO8" s="9013"/>
      <c r="DP8" s="9013"/>
      <c r="DQ8" s="9013"/>
      <c r="DR8" s="9013"/>
      <c r="DS8" s="9013"/>
      <c r="DT8" s="9013"/>
      <c r="DU8" s="9013"/>
      <c r="DV8" s="9013"/>
      <c r="DW8" s="9013"/>
      <c r="DX8" s="9013"/>
      <c r="DY8" s="9013"/>
      <c r="DZ8" s="9013"/>
      <c r="EA8" s="9013"/>
      <c r="EB8" s="9013"/>
      <c r="EC8" s="9013"/>
      <c r="ED8" s="9013"/>
      <c r="EE8" s="9013"/>
      <c r="EF8" s="9013"/>
      <c r="EG8" s="9013"/>
      <c r="EH8" s="9013"/>
      <c r="EI8" s="9013"/>
      <c r="EJ8" s="9013"/>
      <c r="EK8" s="9013"/>
      <c r="EL8" s="9013"/>
      <c r="EM8" s="9013"/>
      <c r="EN8" s="9013"/>
      <c r="EO8" s="9013"/>
      <c r="EP8" s="9013"/>
      <c r="EQ8" s="9013"/>
      <c r="ER8" s="9013"/>
      <c r="ES8" s="9013"/>
      <c r="ET8" s="9013"/>
      <c r="EU8" s="9013"/>
      <c r="EV8" s="9013"/>
      <c r="EW8" s="9013"/>
      <c r="EX8" s="9013"/>
      <c r="EY8" s="9009"/>
      <c r="EZ8" s="9009"/>
      <c r="FA8" s="9009"/>
      <c r="FB8" s="9009"/>
      <c r="FC8" s="9009"/>
      <c r="FD8" s="9009"/>
      <c r="FE8" s="9009"/>
      <c r="FF8" s="9009"/>
      <c r="FG8" s="9009"/>
      <c r="FH8" s="9009"/>
      <c r="FI8" s="9009"/>
      <c r="FJ8" s="9009"/>
      <c r="FK8" s="9009"/>
      <c r="FL8" s="9009"/>
    </row>
    <row r="9" spans="1:168" s="8994" customFormat="1" ht="19.5" customHeight="1" thickBot="1" x14ac:dyDescent="0.95">
      <c r="A9" s="9015"/>
      <c r="B9" s="9015"/>
      <c r="C9" s="8987"/>
      <c r="D9" s="9111" t="s">
        <v>3</v>
      </c>
      <c r="E9" s="9111"/>
      <c r="F9" s="9111"/>
      <c r="G9" s="9112" t="s">
        <v>4</v>
      </c>
      <c r="H9" s="9112"/>
      <c r="I9" s="9112"/>
      <c r="J9" s="9112"/>
      <c r="K9" s="9112"/>
      <c r="L9" s="9016"/>
      <c r="M9" s="8987"/>
      <c r="N9" s="9111" t="s">
        <v>3</v>
      </c>
      <c r="O9" s="9111"/>
      <c r="P9" s="9111"/>
      <c r="Q9" s="9112" t="s">
        <v>4</v>
      </c>
      <c r="R9" s="9112"/>
      <c r="S9" s="9112"/>
      <c r="T9" s="9112"/>
      <c r="U9" s="9112"/>
      <c r="V9" s="9016"/>
      <c r="W9" s="9001"/>
      <c r="X9" s="9111" t="s">
        <v>3</v>
      </c>
      <c r="Y9" s="9111"/>
      <c r="Z9" s="9111"/>
      <c r="AA9" s="9112" t="s">
        <v>4</v>
      </c>
      <c r="AB9" s="9112"/>
      <c r="AC9" s="9112"/>
      <c r="AD9" s="9112"/>
      <c r="AE9" s="9112"/>
      <c r="AF9" s="9016"/>
      <c r="AG9" s="9002"/>
      <c r="AH9" s="9111" t="s">
        <v>3</v>
      </c>
      <c r="AI9" s="9111"/>
      <c r="AJ9" s="9111"/>
      <c r="AK9" s="9112" t="s">
        <v>4</v>
      </c>
      <c r="AL9" s="9112"/>
      <c r="AM9" s="9112"/>
      <c r="AN9" s="9112"/>
      <c r="AO9" s="9112"/>
      <c r="AP9" s="9016"/>
      <c r="AQ9" s="9002"/>
      <c r="AR9" s="9111" t="s">
        <v>3</v>
      </c>
      <c r="AS9" s="9111"/>
      <c r="AT9" s="9111"/>
      <c r="AU9" s="9113" t="s">
        <v>4</v>
      </c>
      <c r="AV9" s="9113"/>
      <c r="AW9" s="9113"/>
      <c r="AX9" s="9113"/>
      <c r="AY9" s="9113"/>
      <c r="BA9" s="9002"/>
      <c r="BB9" s="9109" t="s">
        <v>100</v>
      </c>
      <c r="BC9" s="9109"/>
      <c r="BD9" s="9109"/>
      <c r="BE9" s="9109"/>
      <c r="BF9" s="9109"/>
      <c r="BG9" s="9002"/>
      <c r="BH9" s="9090" t="s">
        <v>101</v>
      </c>
      <c r="BI9" s="9090" t="s">
        <v>101</v>
      </c>
      <c r="BJ9" s="9002"/>
      <c r="BK9" s="9109" t="s">
        <v>102</v>
      </c>
      <c r="BL9" s="9109"/>
      <c r="BM9" s="9109"/>
      <c r="BN9" s="9109"/>
      <c r="BO9" s="9109"/>
      <c r="BP9" s="9002"/>
      <c r="BQ9" s="9114" t="s">
        <v>103</v>
      </c>
      <c r="BR9" s="9114"/>
      <c r="BS9" s="9114"/>
      <c r="BT9" s="9114"/>
      <c r="BU9" s="9114"/>
      <c r="BV9" s="9017"/>
      <c r="BW9" s="9017"/>
      <c r="BX9" s="9017"/>
      <c r="BY9" s="9017"/>
      <c r="BZ9" s="9017"/>
      <c r="CA9" s="9017"/>
      <c r="CB9" s="9017"/>
      <c r="CC9" s="9017"/>
      <c r="CD9" s="9017"/>
      <c r="CE9" s="8998"/>
      <c r="CF9" s="9017"/>
      <c r="CG9" s="8998"/>
      <c r="CH9" s="9017"/>
      <c r="CI9" s="9017"/>
      <c r="CJ9" s="9017"/>
      <c r="CK9" s="9017"/>
      <c r="CL9" s="9017"/>
      <c r="CM9" s="9017"/>
      <c r="CN9" s="9017"/>
      <c r="CO9" s="9017"/>
      <c r="CP9" s="9017"/>
      <c r="CQ9" s="9017"/>
      <c r="CR9" s="9017"/>
      <c r="CS9" s="9017"/>
      <c r="CT9" s="9017"/>
      <c r="CU9" s="9017"/>
      <c r="CV9" s="9017"/>
      <c r="CW9" s="9017"/>
      <c r="CX9" s="9017"/>
      <c r="CY9" s="9017"/>
      <c r="CZ9" s="9017"/>
      <c r="DA9" s="9017"/>
      <c r="DB9" s="9017"/>
      <c r="DC9" s="9017"/>
      <c r="DD9" s="9017"/>
      <c r="DE9" s="9017"/>
      <c r="DF9" s="9017"/>
      <c r="DG9" s="9017"/>
      <c r="DH9" s="9017"/>
      <c r="DI9" s="9017"/>
      <c r="DJ9" s="9017"/>
      <c r="DK9" s="9017"/>
      <c r="DL9" s="9017"/>
      <c r="DM9" s="9017"/>
      <c r="DN9" s="9017"/>
      <c r="DO9" s="9017"/>
      <c r="DP9" s="9017"/>
      <c r="DQ9" s="9017"/>
      <c r="DR9" s="9017"/>
      <c r="DS9" s="9017"/>
      <c r="DT9" s="9017"/>
      <c r="DU9" s="9017"/>
      <c r="DV9" s="9017"/>
      <c r="DW9" s="9017"/>
      <c r="DX9" s="9017"/>
      <c r="DY9" s="9017"/>
      <c r="DZ9" s="9017"/>
      <c r="EA9" s="9017"/>
      <c r="EB9" s="9017"/>
      <c r="EC9" s="9017"/>
      <c r="ED9" s="9017"/>
      <c r="EE9" s="9017"/>
      <c r="EF9" s="9017"/>
      <c r="EG9" s="9017"/>
      <c r="EH9" s="9017"/>
      <c r="EI9" s="9017"/>
      <c r="EJ9" s="9017"/>
      <c r="EK9" s="9017"/>
      <c r="EL9" s="9017"/>
      <c r="EM9" s="9017"/>
      <c r="EN9" s="9017"/>
      <c r="EO9" s="9017"/>
      <c r="EP9" s="9017"/>
      <c r="EQ9" s="9017"/>
      <c r="ER9" s="9017"/>
      <c r="ES9" s="9017"/>
      <c r="ET9" s="9017"/>
      <c r="EU9" s="9017"/>
      <c r="EV9" s="9017"/>
      <c r="EW9" s="9017"/>
      <c r="EX9" s="9017"/>
      <c r="EY9" s="9015"/>
      <c r="EZ9" s="9015"/>
      <c r="FA9" s="9015"/>
      <c r="FB9" s="9015"/>
      <c r="FC9" s="9015"/>
      <c r="FD9" s="9015"/>
      <c r="FE9" s="9015"/>
      <c r="FF9" s="9015"/>
      <c r="FG9" s="9015"/>
      <c r="FH9" s="9015"/>
      <c r="FI9" s="9015"/>
      <c r="FJ9" s="9015"/>
      <c r="FK9" s="9015"/>
      <c r="FL9" s="9015"/>
    </row>
    <row r="10" spans="1:168" s="8996" customFormat="1" ht="65" thickBot="1" x14ac:dyDescent="0.95">
      <c r="A10" s="9018"/>
      <c r="B10" s="8996" t="s">
        <v>9</v>
      </c>
      <c r="C10" s="8987"/>
      <c r="D10" s="8996" t="s">
        <v>10</v>
      </c>
      <c r="E10" s="8996" t="s">
        <v>11</v>
      </c>
      <c r="F10" s="8995" t="s">
        <v>6787</v>
      </c>
      <c r="G10" s="9019" t="s">
        <v>13</v>
      </c>
      <c r="H10" s="8996" t="s">
        <v>6783</v>
      </c>
      <c r="I10" s="8996" t="s">
        <v>6784</v>
      </c>
      <c r="J10" s="8996" t="s">
        <v>6785</v>
      </c>
      <c r="K10" s="8996" t="s">
        <v>6786</v>
      </c>
      <c r="L10" s="9019" t="s">
        <v>104</v>
      </c>
      <c r="M10" s="8987"/>
      <c r="N10" s="8996" t="s">
        <v>10</v>
      </c>
      <c r="O10" s="8996" t="s">
        <v>11</v>
      </c>
      <c r="P10" s="8995" t="s">
        <v>6787</v>
      </c>
      <c r="Q10" s="9019" t="s">
        <v>13</v>
      </c>
      <c r="R10" s="8996" t="s">
        <v>6783</v>
      </c>
      <c r="S10" s="8996" t="s">
        <v>6784</v>
      </c>
      <c r="T10" s="8996" t="s">
        <v>6785</v>
      </c>
      <c r="U10" s="8996" t="s">
        <v>6786</v>
      </c>
      <c r="V10" s="9019" t="s">
        <v>104</v>
      </c>
      <c r="W10" s="9001"/>
      <c r="X10" s="8996" t="s">
        <v>10</v>
      </c>
      <c r="Y10" s="8996" t="s">
        <v>11</v>
      </c>
      <c r="Z10" s="8995" t="s">
        <v>6787</v>
      </c>
      <c r="AA10" s="9019" t="s">
        <v>13</v>
      </c>
      <c r="AB10" s="8996" t="s">
        <v>6783</v>
      </c>
      <c r="AC10" s="8996" t="s">
        <v>6784</v>
      </c>
      <c r="AD10" s="8996" t="s">
        <v>6785</v>
      </c>
      <c r="AE10" s="8996" t="s">
        <v>6786</v>
      </c>
      <c r="AF10" s="9019" t="s">
        <v>104</v>
      </c>
      <c r="AG10" s="9002"/>
      <c r="AH10" s="8996" t="s">
        <v>10</v>
      </c>
      <c r="AI10" s="8996" t="s">
        <v>11</v>
      </c>
      <c r="AJ10" s="8995" t="s">
        <v>6787</v>
      </c>
      <c r="AK10" s="9019" t="s">
        <v>13</v>
      </c>
      <c r="AL10" s="8996" t="s">
        <v>6783</v>
      </c>
      <c r="AM10" s="8996" t="s">
        <v>6784</v>
      </c>
      <c r="AN10" s="8996" t="s">
        <v>6785</v>
      </c>
      <c r="AO10" s="8996" t="s">
        <v>6786</v>
      </c>
      <c r="AP10" s="9019" t="s">
        <v>104</v>
      </c>
      <c r="AQ10" s="9002"/>
      <c r="AR10" s="8996" t="s">
        <v>10</v>
      </c>
      <c r="AS10" s="8996" t="s">
        <v>11</v>
      </c>
      <c r="AT10" s="8995" t="s">
        <v>6787</v>
      </c>
      <c r="AU10" s="9019" t="s">
        <v>13</v>
      </c>
      <c r="AV10" s="8996" t="s">
        <v>6783</v>
      </c>
      <c r="AW10" s="8996" t="s">
        <v>6784</v>
      </c>
      <c r="AX10" s="8996" t="s">
        <v>6785</v>
      </c>
      <c r="AY10" s="8996" t="s">
        <v>6786</v>
      </c>
      <c r="AZ10" s="9019" t="s">
        <v>104</v>
      </c>
      <c r="BA10" s="9002"/>
      <c r="BB10" s="8995"/>
      <c r="BC10" s="8995"/>
      <c r="BD10" s="8995"/>
      <c r="BE10" s="8995"/>
      <c r="BF10" s="8995"/>
      <c r="BG10" s="9002"/>
      <c r="BH10" s="9020">
        <v>2020</v>
      </c>
      <c r="BI10" s="9020" t="s">
        <v>105</v>
      </c>
      <c r="BJ10" s="9002"/>
      <c r="BK10" s="8995"/>
      <c r="BL10" s="8995"/>
      <c r="BM10" s="8995"/>
      <c r="BN10" s="8995"/>
      <c r="BO10" s="8995"/>
      <c r="BP10" s="9002"/>
      <c r="BQ10" s="9110" t="s">
        <v>106</v>
      </c>
      <c r="BR10" s="9110"/>
      <c r="BS10" s="9110"/>
      <c r="BT10" s="9110"/>
      <c r="BU10" s="9110"/>
      <c r="BV10" s="9021"/>
      <c r="BW10" s="9021"/>
      <c r="BX10" s="8997"/>
      <c r="BY10" s="8997"/>
      <c r="BZ10" s="8997"/>
      <c r="CA10" s="8997"/>
      <c r="CB10" s="8997"/>
      <c r="CC10" s="8997"/>
      <c r="CD10" s="8997"/>
      <c r="CE10" s="9022"/>
      <c r="CF10" s="8997"/>
      <c r="CG10" s="9022"/>
      <c r="CH10" s="8997"/>
      <c r="CI10" s="8997"/>
      <c r="CJ10" s="8997"/>
      <c r="CK10" s="8997"/>
      <c r="CL10" s="8997"/>
      <c r="CM10" s="9023"/>
      <c r="CN10" s="9023"/>
      <c r="CO10" s="9023"/>
      <c r="CP10" s="9023"/>
      <c r="CQ10" s="9023"/>
      <c r="CR10" s="9023"/>
      <c r="CS10" s="9023"/>
      <c r="CT10" s="9023"/>
      <c r="CU10" s="9023"/>
      <c r="CV10" s="9023"/>
      <c r="CW10" s="9023"/>
      <c r="CX10" s="9023"/>
      <c r="CY10" s="9023"/>
      <c r="CZ10" s="9023"/>
      <c r="DA10" s="9023"/>
      <c r="DB10" s="9023"/>
      <c r="DC10" s="9023"/>
      <c r="DD10" s="9023"/>
      <c r="DE10" s="9023"/>
      <c r="DF10" s="9023"/>
      <c r="DG10" s="9023"/>
      <c r="DH10" s="9023"/>
      <c r="DI10" s="9023"/>
      <c r="DJ10" s="9023"/>
      <c r="DK10" s="9023"/>
      <c r="DL10" s="9023"/>
      <c r="DM10" s="9023"/>
      <c r="DN10" s="9023"/>
      <c r="DO10" s="9023"/>
      <c r="DP10" s="9023"/>
      <c r="DQ10" s="9023"/>
      <c r="DR10" s="9023"/>
      <c r="DS10" s="9023"/>
      <c r="DT10" s="9023"/>
      <c r="DU10" s="9023"/>
      <c r="DV10" s="9023"/>
      <c r="DW10" s="9023"/>
      <c r="DX10" s="9023"/>
      <c r="DY10" s="9023"/>
      <c r="DZ10" s="9023"/>
      <c r="EA10" s="9023"/>
      <c r="EB10" s="9023"/>
      <c r="EC10" s="9023"/>
      <c r="ED10" s="9023"/>
      <c r="EE10" s="9023"/>
      <c r="EF10" s="9023"/>
      <c r="EG10" s="9023"/>
      <c r="EH10" s="9023"/>
      <c r="EI10" s="9023"/>
      <c r="EJ10" s="9023"/>
      <c r="EK10" s="9023"/>
      <c r="EL10" s="9023"/>
      <c r="EM10" s="9023"/>
      <c r="EN10" s="9023"/>
      <c r="EO10" s="9023"/>
      <c r="EP10" s="9023"/>
      <c r="EQ10" s="9023"/>
      <c r="ER10" s="9023"/>
      <c r="ES10" s="9023"/>
      <c r="ET10" s="9023"/>
      <c r="EU10" s="9023"/>
      <c r="EV10" s="9023"/>
      <c r="EW10" s="9023"/>
      <c r="EX10" s="9023"/>
      <c r="EY10" s="9018"/>
      <c r="EZ10" s="9018"/>
      <c r="FA10" s="9018"/>
      <c r="FB10" s="9018"/>
      <c r="FC10" s="9018"/>
      <c r="FD10" s="9018"/>
      <c r="FE10" s="9018"/>
      <c r="FF10" s="9018"/>
      <c r="FG10" s="9018"/>
      <c r="FH10" s="9018"/>
      <c r="FI10" s="9018"/>
      <c r="FJ10" s="9018"/>
      <c r="FK10" s="9018"/>
      <c r="FL10" s="9018"/>
    </row>
    <row r="11" spans="1:168" ht="14" customHeight="1" x14ac:dyDescent="0.9">
      <c r="AG11" s="9002"/>
      <c r="AK11" s="9028"/>
      <c r="AQ11" s="9002"/>
      <c r="AU11" s="9028"/>
      <c r="AX11" s="9025"/>
      <c r="AY11" s="9025"/>
      <c r="BA11" s="9002"/>
      <c r="BG11" s="9002"/>
      <c r="BJ11" s="9002"/>
      <c r="BP11" s="9002"/>
      <c r="BW11" s="9030"/>
      <c r="BZ11" s="9031"/>
      <c r="CE11" s="8991"/>
      <c r="CF11" s="9030"/>
      <c r="CG11" s="8991"/>
      <c r="CH11" s="9030"/>
      <c r="CJ11" s="9031"/>
      <c r="DD11" s="8992"/>
      <c r="DE11" s="8992"/>
      <c r="DF11" s="8992"/>
      <c r="DG11" s="8992"/>
      <c r="DH11" s="8992"/>
      <c r="DI11" s="8992"/>
      <c r="DJ11" s="8992"/>
      <c r="DK11" s="8992"/>
      <c r="DL11" s="8992"/>
      <c r="DM11" s="8992"/>
      <c r="DN11" s="8992"/>
      <c r="DO11" s="8992"/>
      <c r="DP11" s="8992"/>
      <c r="DQ11" s="8992"/>
      <c r="DR11" s="8992"/>
      <c r="DS11" s="8992"/>
      <c r="DT11" s="8992"/>
      <c r="DU11" s="8992"/>
      <c r="DV11" s="8992"/>
      <c r="DW11" s="8992"/>
      <c r="DX11" s="8992"/>
      <c r="DY11" s="8992"/>
      <c r="DZ11" s="8992"/>
      <c r="EA11" s="8992"/>
      <c r="EB11" s="8992"/>
      <c r="EC11" s="8992"/>
      <c r="ED11" s="8992"/>
      <c r="EE11" s="8992"/>
      <c r="EF11" s="8992"/>
      <c r="EG11" s="8992"/>
      <c r="EH11" s="8992"/>
      <c r="EI11" s="8992"/>
      <c r="EJ11" s="8992"/>
      <c r="EK11" s="8992"/>
      <c r="EL11" s="8992"/>
      <c r="EM11" s="8992"/>
      <c r="EN11" s="8992"/>
      <c r="EO11" s="8992"/>
      <c r="EP11" s="8992"/>
      <c r="EQ11" s="8992"/>
      <c r="ER11" s="8992"/>
      <c r="ES11" s="8992"/>
      <c r="ET11" s="8992"/>
      <c r="EU11" s="8992"/>
      <c r="EV11" s="8992"/>
      <c r="EW11" s="8992"/>
      <c r="EX11" s="8992"/>
    </row>
    <row r="12" spans="1:168" x14ac:dyDescent="0.9">
      <c r="A12" s="8993">
        <v>1</v>
      </c>
      <c r="B12" s="8943" t="s">
        <v>22</v>
      </c>
      <c r="D12" s="9032">
        <v>48365.84</v>
      </c>
      <c r="E12" s="9033">
        <v>0</v>
      </c>
      <c r="F12" s="9033">
        <v>0</v>
      </c>
      <c r="G12" s="9034">
        <v>0</v>
      </c>
      <c r="H12" s="9032">
        <v>436485</v>
      </c>
      <c r="I12" s="9033" t="s">
        <v>107</v>
      </c>
      <c r="J12" s="9035">
        <v>275846</v>
      </c>
      <c r="K12" s="9035">
        <v>275846</v>
      </c>
      <c r="L12" s="9027" t="s">
        <v>39</v>
      </c>
      <c r="N12" s="9032">
        <v>50182.6</v>
      </c>
      <c r="O12" s="9032">
        <v>50182.6</v>
      </c>
      <c r="P12" s="9033">
        <v>0</v>
      </c>
      <c r="Q12" s="9036">
        <v>2203</v>
      </c>
      <c r="R12" s="9032">
        <v>414822</v>
      </c>
      <c r="S12" s="9032">
        <v>412619</v>
      </c>
      <c r="T12" s="9035">
        <v>275522</v>
      </c>
      <c r="U12" s="9035">
        <v>273319</v>
      </c>
      <c r="V12" s="9027" t="s">
        <v>39</v>
      </c>
      <c r="X12" s="9032">
        <v>46093.2134043357</v>
      </c>
      <c r="Y12" s="9032">
        <v>41813.107949790246</v>
      </c>
      <c r="Z12" s="9037">
        <v>4280.1054545454535</v>
      </c>
      <c r="AA12" s="9035">
        <v>1802.85</v>
      </c>
      <c r="AB12" s="9032">
        <v>342870.54545454541</v>
      </c>
      <c r="AC12" s="9032">
        <v>341067.69545454544</v>
      </c>
      <c r="AD12" s="9035">
        <v>238964.72727272726</v>
      </c>
      <c r="AE12" s="9035">
        <v>237161.87727272726</v>
      </c>
      <c r="AF12" s="9027" t="s">
        <v>39</v>
      </c>
      <c r="AG12" s="9002"/>
      <c r="AH12" s="9032">
        <v>46245.461242952813</v>
      </c>
      <c r="AI12" s="9032">
        <v>39768.621589952818</v>
      </c>
      <c r="AJ12" s="9037">
        <v>6476.8396529999955</v>
      </c>
      <c r="AK12" s="9033">
        <v>0</v>
      </c>
      <c r="AL12" s="9038">
        <v>356000</v>
      </c>
      <c r="AM12" s="9032">
        <v>356000</v>
      </c>
      <c r="AN12" s="9035">
        <v>254000</v>
      </c>
      <c r="AO12" s="9035">
        <v>254000</v>
      </c>
      <c r="AP12" s="9027" t="s">
        <v>39</v>
      </c>
      <c r="AQ12" s="9002"/>
      <c r="AR12" s="9032">
        <v>55568.768725041402</v>
      </c>
      <c r="AS12" s="9032">
        <v>37102.706725041404</v>
      </c>
      <c r="AT12" s="9032">
        <v>18466.061999999998</v>
      </c>
      <c r="AU12" s="9039">
        <v>547.79999999999995</v>
      </c>
      <c r="AV12" s="9032">
        <v>445911</v>
      </c>
      <c r="AW12" s="9032">
        <v>445363.20000000001</v>
      </c>
      <c r="AX12" s="9035">
        <v>300149</v>
      </c>
      <c r="AY12" s="9035">
        <v>299601.2</v>
      </c>
      <c r="AZ12" s="9027" t="s">
        <v>39</v>
      </c>
      <c r="BA12" s="9002"/>
      <c r="BB12" s="9027" t="s">
        <v>39</v>
      </c>
      <c r="BC12" s="9027" t="s">
        <v>39</v>
      </c>
      <c r="BD12" s="9027" t="s">
        <v>39</v>
      </c>
      <c r="BE12" s="9027" t="s">
        <v>39</v>
      </c>
      <c r="BF12" s="9027" t="s">
        <v>39</v>
      </c>
      <c r="BG12" s="9002"/>
      <c r="BH12" s="9040" t="s">
        <v>416</v>
      </c>
      <c r="BI12" s="9040" t="s">
        <v>416</v>
      </c>
      <c r="BJ12" s="9002"/>
      <c r="BK12" s="9027">
        <v>1000000</v>
      </c>
      <c r="BL12" s="9027">
        <v>1000000</v>
      </c>
      <c r="BM12" s="9027">
        <v>1000000</v>
      </c>
      <c r="BN12" s="9027">
        <v>1000000</v>
      </c>
      <c r="BO12" s="9027">
        <v>1000000</v>
      </c>
      <c r="BP12" s="9002"/>
      <c r="BQ12" s="9027">
        <v>1547.289</v>
      </c>
      <c r="BR12" s="9027">
        <v>1469.596</v>
      </c>
      <c r="BS12" s="9027">
        <v>1327.69</v>
      </c>
      <c r="BT12" s="9027">
        <v>1285.46</v>
      </c>
      <c r="BU12" s="9027">
        <v>1222.9169999999999</v>
      </c>
      <c r="BV12" s="9002"/>
      <c r="BW12" s="9031"/>
      <c r="BX12" s="8991"/>
      <c r="BY12" s="8991"/>
      <c r="BZ12" s="9031"/>
      <c r="CA12" s="9031"/>
      <c r="CB12" s="8991"/>
      <c r="CC12" s="9031"/>
      <c r="CD12" s="9031"/>
      <c r="CE12" s="8991"/>
      <c r="CF12" s="9031"/>
      <c r="CG12" s="8991"/>
      <c r="CH12" s="9031"/>
      <c r="CI12" s="8991"/>
      <c r="CJ12" s="9031"/>
      <c r="CK12" s="8991"/>
      <c r="CL12" s="9031"/>
      <c r="CM12" s="8991"/>
      <c r="CN12" s="8991"/>
      <c r="CO12" s="8991"/>
      <c r="CP12" s="8991"/>
      <c r="CQ12" s="8991"/>
      <c r="CR12" s="8991"/>
      <c r="CS12" s="8991"/>
      <c r="CT12" s="8991"/>
      <c r="CU12" s="8991"/>
      <c r="CV12" s="8991"/>
      <c r="CW12" s="8991"/>
      <c r="CX12" s="8991"/>
      <c r="DD12" s="8992"/>
      <c r="DE12" s="8992"/>
      <c r="DF12" s="8992"/>
      <c r="DG12" s="8992"/>
      <c r="DH12" s="8992"/>
      <c r="DI12" s="8992"/>
      <c r="DJ12" s="8992"/>
      <c r="DK12" s="8992"/>
      <c r="DL12" s="8992"/>
      <c r="DM12" s="8992"/>
      <c r="DN12" s="8992"/>
      <c r="DO12" s="8992"/>
      <c r="DP12" s="8992"/>
      <c r="DQ12" s="8992"/>
      <c r="DR12" s="8992"/>
      <c r="DS12" s="8992"/>
      <c r="DT12" s="8992"/>
      <c r="DU12" s="8992"/>
      <c r="DV12" s="8992"/>
      <c r="DW12" s="8992"/>
      <c r="DX12" s="8992"/>
      <c r="DY12" s="8992"/>
      <c r="DZ12" s="8992"/>
      <c r="EA12" s="8992"/>
      <c r="EB12" s="8992"/>
      <c r="EC12" s="8992"/>
      <c r="ED12" s="8992"/>
      <c r="EE12" s="8992"/>
      <c r="EF12" s="8992"/>
      <c r="EG12" s="8992"/>
      <c r="EH12" s="8992"/>
      <c r="EI12" s="8992"/>
      <c r="EJ12" s="8992"/>
      <c r="EK12" s="8992"/>
      <c r="EL12" s="8992"/>
      <c r="EM12" s="8992"/>
      <c r="EN12" s="8992"/>
      <c r="EO12" s="8992"/>
      <c r="EP12" s="8992"/>
      <c r="EQ12" s="8992"/>
      <c r="ER12" s="8992"/>
      <c r="ES12" s="8992"/>
      <c r="ET12" s="8992"/>
      <c r="EU12" s="8992"/>
      <c r="EV12" s="8992"/>
      <c r="EW12" s="8992"/>
      <c r="EX12" s="8992"/>
    </row>
    <row r="13" spans="1:168" x14ac:dyDescent="0.9">
      <c r="A13" s="8993">
        <v>2</v>
      </c>
      <c r="B13" s="8943" t="s">
        <v>23</v>
      </c>
      <c r="D13" s="9032">
        <v>65053.151660043477</v>
      </c>
      <c r="E13" s="9032">
        <v>58210.840778714635</v>
      </c>
      <c r="F13" s="9035">
        <v>6842.3108813288418</v>
      </c>
      <c r="G13" s="9036">
        <v>34393.4</v>
      </c>
      <c r="H13" s="9032">
        <v>536473.60000000009</v>
      </c>
      <c r="I13" s="9032">
        <v>502080.20000000007</v>
      </c>
      <c r="J13" s="9035">
        <v>271834.44000000018</v>
      </c>
      <c r="K13" s="9035">
        <v>237441.04000000015</v>
      </c>
      <c r="L13" s="9027" t="s">
        <v>39</v>
      </c>
      <c r="N13" s="9032">
        <v>61715.34623610539</v>
      </c>
      <c r="O13" s="9032">
        <v>54479.21760291457</v>
      </c>
      <c r="P13" s="9035">
        <v>7236.1286331908195</v>
      </c>
      <c r="Q13" s="9036">
        <v>35142.82</v>
      </c>
      <c r="R13" s="9032">
        <v>491897.24000000005</v>
      </c>
      <c r="S13" s="9032">
        <v>456754.42000000004</v>
      </c>
      <c r="T13" s="9035">
        <v>241276.34000000008</v>
      </c>
      <c r="U13" s="9035">
        <v>206133.52000000008</v>
      </c>
      <c r="V13" s="9027" t="s">
        <v>39</v>
      </c>
      <c r="X13" s="9032">
        <v>55078383.899624944</v>
      </c>
      <c r="Y13" s="9032">
        <v>52826820.925871052</v>
      </c>
      <c r="Z13" s="9035">
        <v>2251562.9737538919</v>
      </c>
      <c r="AA13" s="9036">
        <v>36513000</v>
      </c>
      <c r="AB13" s="9032">
        <v>476137000</v>
      </c>
      <c r="AC13" s="9032">
        <v>439624000</v>
      </c>
      <c r="AD13" s="9035">
        <v>229454000</v>
      </c>
      <c r="AE13" s="9035">
        <v>192941000</v>
      </c>
      <c r="AF13" s="9027" t="s">
        <v>39</v>
      </c>
      <c r="AG13" s="9002"/>
      <c r="AH13" s="9032">
        <v>51141337.379975192</v>
      </c>
      <c r="AI13" s="9032">
        <v>49240170.652427159</v>
      </c>
      <c r="AJ13" s="9035">
        <v>1901166.727548033</v>
      </c>
      <c r="AK13" s="9039">
        <v>41500000</v>
      </c>
      <c r="AL13" s="9038">
        <v>459959000</v>
      </c>
      <c r="AM13" s="9032">
        <v>418459000</v>
      </c>
      <c r="AN13" s="9035">
        <v>206380000</v>
      </c>
      <c r="AO13" s="9035">
        <v>164880000</v>
      </c>
      <c r="AP13" s="9027" t="s">
        <v>39</v>
      </c>
      <c r="AQ13" s="9002"/>
      <c r="AR13" s="9032">
        <v>47930748.564370722</v>
      </c>
      <c r="AS13" s="9032">
        <v>44272212.360178895</v>
      </c>
      <c r="AT13" s="9032">
        <v>3658536.2041918263</v>
      </c>
      <c r="AU13" s="9039">
        <v>72518000</v>
      </c>
      <c r="AV13" s="9032">
        <v>431209000</v>
      </c>
      <c r="AW13" s="9032">
        <v>358691000</v>
      </c>
      <c r="AX13" s="9035">
        <v>229684000</v>
      </c>
      <c r="AY13" s="9035">
        <v>157166000</v>
      </c>
      <c r="AZ13" s="9027" t="s">
        <v>39</v>
      </c>
      <c r="BA13" s="9002"/>
      <c r="BB13" s="9027" t="s">
        <v>39</v>
      </c>
      <c r="BC13" s="9027" t="s">
        <v>39</v>
      </c>
      <c r="BD13" s="9027" t="s">
        <v>39</v>
      </c>
      <c r="BE13" s="9027" t="s">
        <v>39</v>
      </c>
      <c r="BF13" s="9027" t="s">
        <v>39</v>
      </c>
      <c r="BG13" s="9002"/>
      <c r="BH13" s="9040" t="s">
        <v>586</v>
      </c>
      <c r="BI13" s="9040" t="s">
        <v>586</v>
      </c>
      <c r="BJ13" s="9002"/>
      <c r="BK13" s="9027">
        <v>1000</v>
      </c>
      <c r="BL13" s="9027">
        <v>1000</v>
      </c>
      <c r="BM13" s="9027">
        <v>1000</v>
      </c>
      <c r="BN13" s="9027">
        <v>1000</v>
      </c>
      <c r="BO13" s="9027">
        <v>1000</v>
      </c>
      <c r="BP13" s="9002"/>
      <c r="BQ13" s="9027">
        <v>1607.9780000000001</v>
      </c>
      <c r="BR13" s="9027">
        <v>1679.2470000000001</v>
      </c>
      <c r="BS13" s="9027">
        <v>1635.7149999999999</v>
      </c>
      <c r="BT13" s="9027">
        <v>1550.646</v>
      </c>
      <c r="BU13" s="9027">
        <v>1472.479</v>
      </c>
      <c r="BV13" s="9002"/>
      <c r="BW13" s="9031"/>
      <c r="BX13" s="8991"/>
      <c r="BY13" s="8991"/>
      <c r="BZ13" s="9031"/>
      <c r="CA13" s="9031"/>
      <c r="CB13" s="8991"/>
      <c r="CC13" s="9031"/>
      <c r="CD13" s="9031"/>
      <c r="CE13" s="8991"/>
      <c r="CF13" s="9031"/>
      <c r="CG13" s="8991"/>
      <c r="CH13" s="9031"/>
      <c r="CI13" s="8991"/>
      <c r="CJ13" s="9031"/>
      <c r="CK13" s="8991"/>
      <c r="CL13" s="9031"/>
      <c r="CM13" s="8991"/>
      <c r="CN13" s="8991"/>
      <c r="CO13" s="8991"/>
      <c r="CP13" s="8991"/>
      <c r="CQ13" s="8991"/>
      <c r="CR13" s="8991"/>
      <c r="CS13" s="8991"/>
      <c r="CT13" s="8991"/>
      <c r="CU13" s="8991"/>
      <c r="CV13" s="8991"/>
      <c r="CW13" s="8991"/>
      <c r="CX13" s="8991"/>
      <c r="DD13" s="8992"/>
      <c r="DE13" s="8992"/>
      <c r="DF13" s="8992"/>
      <c r="DG13" s="8992"/>
      <c r="DH13" s="8992"/>
      <c r="DI13" s="8992"/>
      <c r="DJ13" s="8992"/>
      <c r="DK13" s="8992"/>
      <c r="DL13" s="8992"/>
      <c r="DM13" s="8992"/>
      <c r="DN13" s="8992"/>
      <c r="DO13" s="8992"/>
      <c r="DP13" s="8992"/>
      <c r="DQ13" s="8992"/>
      <c r="DR13" s="8992"/>
      <c r="DS13" s="8992"/>
      <c r="DT13" s="8992"/>
      <c r="DU13" s="8992"/>
      <c r="DV13" s="8992"/>
      <c r="DW13" s="8992"/>
      <c r="DX13" s="8992"/>
      <c r="DY13" s="8992"/>
      <c r="DZ13" s="8992"/>
      <c r="EA13" s="8992"/>
      <c r="EB13" s="8992"/>
      <c r="EC13" s="8992"/>
      <c r="ED13" s="8992"/>
      <c r="EE13" s="8992"/>
      <c r="EF13" s="8992"/>
      <c r="EG13" s="8992"/>
      <c r="EH13" s="8992"/>
      <c r="EI13" s="8992"/>
      <c r="EJ13" s="8992"/>
      <c r="EK13" s="8992"/>
      <c r="EL13" s="8992"/>
      <c r="EM13" s="8992"/>
      <c r="EN13" s="8992"/>
      <c r="EO13" s="8992"/>
      <c r="EP13" s="8992"/>
      <c r="EQ13" s="8992"/>
      <c r="ER13" s="8992"/>
      <c r="ES13" s="8992"/>
      <c r="ET13" s="8992"/>
      <c r="EU13" s="8992"/>
      <c r="EV13" s="8992"/>
      <c r="EW13" s="8992"/>
      <c r="EX13" s="8992"/>
    </row>
    <row r="14" spans="1:168" x14ac:dyDescent="0.9">
      <c r="A14" s="8993">
        <v>3</v>
      </c>
      <c r="B14" s="8943" t="s">
        <v>24</v>
      </c>
      <c r="D14" s="9038">
        <v>71961.818181818177</v>
      </c>
      <c r="E14" s="9038">
        <v>41866.909090909088</v>
      </c>
      <c r="F14" s="9041">
        <v>30094.909090909088</v>
      </c>
      <c r="G14" s="9036">
        <v>65368.800000000003</v>
      </c>
      <c r="H14" s="9032">
        <v>424803.27272727265</v>
      </c>
      <c r="I14" s="9032">
        <v>359434.47272727266</v>
      </c>
      <c r="J14" s="9035">
        <v>259976.72727272724</v>
      </c>
      <c r="K14" s="9035">
        <v>194607.92727272725</v>
      </c>
      <c r="L14" s="9027" t="s">
        <v>39</v>
      </c>
      <c r="N14" s="9038">
        <v>63244.4</v>
      </c>
      <c r="O14" s="9038">
        <v>37543</v>
      </c>
      <c r="P14" s="9041">
        <v>25701.4</v>
      </c>
      <c r="Q14" s="9036">
        <v>49497</v>
      </c>
      <c r="R14" s="9032">
        <v>389203</v>
      </c>
      <c r="S14" s="9032">
        <v>339706</v>
      </c>
      <c r="T14" s="9035">
        <v>238148</v>
      </c>
      <c r="U14" s="9035">
        <v>188651</v>
      </c>
      <c r="V14" s="9027" t="s">
        <v>39</v>
      </c>
      <c r="X14" s="9038">
        <v>39239.5</v>
      </c>
      <c r="Y14" s="9038">
        <v>28584.6</v>
      </c>
      <c r="Z14" s="9041">
        <v>10654.900000000001</v>
      </c>
      <c r="AA14" s="9036">
        <v>55477</v>
      </c>
      <c r="AB14" s="9032">
        <v>325756</v>
      </c>
      <c r="AC14" s="9032">
        <v>270279</v>
      </c>
      <c r="AD14" s="9035">
        <v>223264</v>
      </c>
      <c r="AE14" s="9035">
        <v>167787</v>
      </c>
      <c r="AF14" s="9027" t="s">
        <v>39</v>
      </c>
      <c r="AG14" s="9002"/>
      <c r="AH14" s="9038">
        <v>42846.3</v>
      </c>
      <c r="AI14" s="9038">
        <v>32083.5</v>
      </c>
      <c r="AJ14" s="9041">
        <v>10762.800000000003</v>
      </c>
      <c r="AK14" s="9039">
        <v>35316</v>
      </c>
      <c r="AL14" s="9038">
        <v>266886</v>
      </c>
      <c r="AM14" s="9032">
        <v>231570</v>
      </c>
      <c r="AN14" s="9035">
        <v>179404</v>
      </c>
      <c r="AO14" s="9035">
        <v>144088</v>
      </c>
      <c r="AP14" s="9027" t="s">
        <v>39</v>
      </c>
      <c r="AQ14" s="9002"/>
      <c r="AR14" s="9038">
        <v>37805.5</v>
      </c>
      <c r="AS14" s="9038">
        <v>28995.7</v>
      </c>
      <c r="AT14" s="9041">
        <v>8809.7999999999993</v>
      </c>
      <c r="AU14" s="9039">
        <v>33090.800000000003</v>
      </c>
      <c r="AV14" s="9038">
        <v>239267</v>
      </c>
      <c r="AW14" s="9032">
        <v>206176.2</v>
      </c>
      <c r="AX14" s="9035">
        <v>157249.60000000001</v>
      </c>
      <c r="AY14" s="9035">
        <v>124158.8</v>
      </c>
      <c r="AZ14" s="9027" t="s">
        <v>39</v>
      </c>
      <c r="BA14" s="9002"/>
      <c r="BB14" s="9027" t="s">
        <v>39</v>
      </c>
      <c r="BC14" s="9027" t="s">
        <v>39</v>
      </c>
      <c r="BD14" s="9027" t="s">
        <v>39</v>
      </c>
      <c r="BE14" s="9027" t="s">
        <v>39</v>
      </c>
      <c r="BF14" s="9027" t="s">
        <v>39</v>
      </c>
      <c r="BG14" s="9002"/>
      <c r="BH14" s="9040" t="s">
        <v>745</v>
      </c>
      <c r="BI14" s="9040" t="s">
        <v>745</v>
      </c>
      <c r="BJ14" s="9002"/>
      <c r="BK14" s="9027">
        <v>10000000</v>
      </c>
      <c r="BL14" s="9027">
        <v>10000000</v>
      </c>
      <c r="BM14" s="9027">
        <v>10000000</v>
      </c>
      <c r="BN14" s="9027">
        <v>10000000</v>
      </c>
      <c r="BO14" s="9027">
        <v>10000000</v>
      </c>
      <c r="BP14" s="9002"/>
      <c r="BQ14" s="9027">
        <v>27393.324000000001</v>
      </c>
      <c r="BR14" s="9027">
        <v>25424.84</v>
      </c>
      <c r="BS14" s="9027">
        <v>22504.81</v>
      </c>
      <c r="BT14" s="9027">
        <v>19758.153999999999</v>
      </c>
      <c r="BU14" s="9027">
        <v>17328.636999999999</v>
      </c>
      <c r="BV14" s="9002"/>
      <c r="BW14" s="9031"/>
      <c r="BX14" s="8991"/>
      <c r="BY14" s="8991"/>
      <c r="BZ14" s="9031"/>
      <c r="CA14" s="9031"/>
      <c r="CB14" s="8991"/>
      <c r="CC14" s="9031"/>
      <c r="CD14" s="9031"/>
      <c r="CE14" s="8991"/>
      <c r="CF14" s="9031"/>
      <c r="CG14" s="8991"/>
      <c r="CH14" s="9031"/>
      <c r="CI14" s="8991"/>
      <c r="CJ14" s="9031"/>
      <c r="CK14" s="8991"/>
      <c r="CL14" s="9031"/>
      <c r="CM14" s="8991"/>
      <c r="CN14" s="8991"/>
      <c r="CO14" s="8991"/>
      <c r="CP14" s="8991"/>
      <c r="CQ14" s="8991"/>
      <c r="CR14" s="8991"/>
      <c r="CS14" s="8991"/>
      <c r="CT14" s="8991"/>
      <c r="CU14" s="8991"/>
      <c r="CV14" s="8991"/>
      <c r="CW14" s="8991"/>
      <c r="CX14" s="8991"/>
      <c r="DD14" s="8992"/>
      <c r="DE14" s="8992"/>
      <c r="DF14" s="8992"/>
      <c r="DG14" s="8992"/>
      <c r="DH14" s="8992"/>
      <c r="DI14" s="8992"/>
      <c r="DJ14" s="8992"/>
      <c r="DK14" s="8992"/>
      <c r="DL14" s="8992"/>
      <c r="DM14" s="8992"/>
      <c r="DN14" s="8992"/>
      <c r="DO14" s="8992"/>
      <c r="DP14" s="8992"/>
      <c r="DQ14" s="8992"/>
      <c r="DR14" s="8992"/>
      <c r="DS14" s="8992"/>
      <c r="DT14" s="8992"/>
      <c r="DU14" s="8992"/>
      <c r="DV14" s="8992"/>
      <c r="DW14" s="8992"/>
      <c r="DX14" s="8992"/>
      <c r="DY14" s="8992"/>
      <c r="DZ14" s="8992"/>
      <c r="EA14" s="8992"/>
      <c r="EB14" s="8992"/>
      <c r="EC14" s="8992"/>
      <c r="ED14" s="8992"/>
      <c r="EE14" s="8992"/>
      <c r="EF14" s="8992"/>
      <c r="EG14" s="8992"/>
      <c r="EH14" s="8992"/>
      <c r="EI14" s="8992"/>
      <c r="EJ14" s="8992"/>
      <c r="EK14" s="8992"/>
      <c r="EL14" s="8992"/>
      <c r="EM14" s="8992"/>
      <c r="EN14" s="8992"/>
      <c r="EO14" s="8992"/>
      <c r="EP14" s="8992"/>
      <c r="EQ14" s="8992"/>
      <c r="ER14" s="8992"/>
      <c r="ES14" s="8992"/>
      <c r="ET14" s="8992"/>
      <c r="EU14" s="8992"/>
      <c r="EV14" s="8992"/>
      <c r="EW14" s="8992"/>
      <c r="EX14" s="8992"/>
    </row>
    <row r="15" spans="1:168" x14ac:dyDescent="0.9">
      <c r="A15" s="8993">
        <v>4</v>
      </c>
      <c r="B15" s="8943" t="s">
        <v>25</v>
      </c>
      <c r="D15" s="9032">
        <v>266939.07490655628</v>
      </c>
      <c r="E15" s="9032">
        <v>221891.70723107198</v>
      </c>
      <c r="F15" s="9041">
        <v>45047.367675484304</v>
      </c>
      <c r="G15" s="9036">
        <v>176282.9</v>
      </c>
      <c r="H15" s="9038">
        <v>1565094.4</v>
      </c>
      <c r="I15" s="9032">
        <v>1388811.5</v>
      </c>
      <c r="J15" s="9035">
        <v>934149.3</v>
      </c>
      <c r="K15" s="9035">
        <v>757866.4</v>
      </c>
      <c r="L15" s="9027" t="s">
        <v>35</v>
      </c>
      <c r="N15" s="9032">
        <v>258691.215162476</v>
      </c>
      <c r="O15" s="9032">
        <v>209082.59651200002</v>
      </c>
      <c r="P15" s="9041">
        <v>49608.618650475983</v>
      </c>
      <c r="Q15" s="9036">
        <v>139372.70000000001</v>
      </c>
      <c r="R15" s="9038">
        <v>1125516.0000000002</v>
      </c>
      <c r="S15" s="9032">
        <v>986143.30000000028</v>
      </c>
      <c r="T15" s="9035">
        <v>775568.5</v>
      </c>
      <c r="U15" s="9035">
        <v>636195.80000000005</v>
      </c>
      <c r="V15" s="9027" t="s">
        <v>39</v>
      </c>
      <c r="X15" s="9032">
        <v>248518904.94987771</v>
      </c>
      <c r="Y15" s="9032">
        <v>186256000</v>
      </c>
      <c r="Z15" s="9041">
        <v>62262904.949877709</v>
      </c>
      <c r="AA15" s="9036">
        <v>128497200</v>
      </c>
      <c r="AB15" s="9038">
        <v>1230645800</v>
      </c>
      <c r="AC15" s="9032">
        <v>1102148600</v>
      </c>
      <c r="AD15" s="9035">
        <v>751707100</v>
      </c>
      <c r="AE15" s="9035">
        <v>623209900</v>
      </c>
      <c r="AF15" s="9027" t="s">
        <v>39</v>
      </c>
      <c r="AG15" s="9002"/>
      <c r="AH15" s="9032">
        <v>243792409.97275504</v>
      </c>
      <c r="AI15" s="9032">
        <v>179818981.97275504</v>
      </c>
      <c r="AJ15" s="9041">
        <v>63973428</v>
      </c>
      <c r="AK15" s="9039">
        <v>89672799.849510908</v>
      </c>
      <c r="AL15" s="9038">
        <v>1462429313.1427495</v>
      </c>
      <c r="AM15" s="9032">
        <v>1372756513.2932386</v>
      </c>
      <c r="AN15" s="9035">
        <v>736347321.62425303</v>
      </c>
      <c r="AO15" s="9035">
        <v>646674521.77474213</v>
      </c>
      <c r="AP15" s="9027" t="s">
        <v>35</v>
      </c>
      <c r="AQ15" s="9002"/>
      <c r="AR15" s="9032">
        <v>203088393.29504678</v>
      </c>
      <c r="AS15" s="9032">
        <v>187993583.89722392</v>
      </c>
      <c r="AT15" s="9041">
        <v>15094809.397822857</v>
      </c>
      <c r="AU15" s="9039">
        <v>28926266.767681267</v>
      </c>
      <c r="AV15" s="9038">
        <v>1047854703.2339216</v>
      </c>
      <c r="AW15" s="9032">
        <v>1018928436.4662404</v>
      </c>
      <c r="AX15" s="9035">
        <v>730135266.76768124</v>
      </c>
      <c r="AY15" s="9035">
        <v>701209000</v>
      </c>
      <c r="AZ15" s="9027" t="s">
        <v>35</v>
      </c>
      <c r="BA15" s="9002"/>
      <c r="BB15" s="9027" t="s">
        <v>35</v>
      </c>
      <c r="BC15" s="9027" t="s">
        <v>39</v>
      </c>
      <c r="BD15" s="9027" t="s">
        <v>39</v>
      </c>
      <c r="BE15" s="9027" t="s">
        <v>35</v>
      </c>
      <c r="BF15" s="9027" t="s">
        <v>35</v>
      </c>
      <c r="BG15" s="9002"/>
      <c r="BH15" s="9040" t="s">
        <v>837</v>
      </c>
      <c r="BI15" s="9040" t="s">
        <v>837</v>
      </c>
      <c r="BJ15" s="9002"/>
      <c r="BK15" s="9027">
        <v>1000</v>
      </c>
      <c r="BL15" s="9027">
        <v>1000</v>
      </c>
      <c r="BM15" s="9027">
        <v>1000</v>
      </c>
      <c r="BN15" s="9027">
        <v>1000</v>
      </c>
      <c r="BO15" s="9027">
        <v>1000</v>
      </c>
      <c r="BP15" s="9002"/>
      <c r="BQ15" s="9027">
        <v>9008.81</v>
      </c>
      <c r="BR15" s="9027">
        <v>8432.2479999999996</v>
      </c>
      <c r="BS15" s="9027">
        <v>7915.66</v>
      </c>
      <c r="BT15" s="9027">
        <v>7375.3019999999997</v>
      </c>
      <c r="BU15" s="9027">
        <v>7005.23</v>
      </c>
      <c r="BV15" s="9002"/>
      <c r="BW15" s="9031"/>
      <c r="BX15" s="8991"/>
      <c r="BY15" s="8991"/>
      <c r="BZ15" s="9031"/>
      <c r="CA15" s="9031"/>
      <c r="CB15" s="8991"/>
      <c r="CC15" s="9031"/>
      <c r="CD15" s="9031"/>
      <c r="CE15" s="8991"/>
      <c r="CF15" s="9031"/>
      <c r="CG15" s="8991"/>
      <c r="CH15" s="9031"/>
      <c r="CI15" s="8991"/>
      <c r="CJ15" s="9031"/>
      <c r="CK15" s="8991"/>
      <c r="CL15" s="9031"/>
      <c r="CM15" s="8991"/>
      <c r="CN15" s="8991"/>
      <c r="CO15" s="8991"/>
      <c r="CP15" s="8991"/>
      <c r="CQ15" s="8991"/>
      <c r="CR15" s="8991"/>
      <c r="CS15" s="8991"/>
      <c r="CT15" s="8991"/>
      <c r="CU15" s="8991"/>
      <c r="CV15" s="8991"/>
      <c r="CW15" s="8991"/>
      <c r="CX15" s="8991"/>
      <c r="DD15" s="8992"/>
      <c r="DE15" s="8992"/>
      <c r="DF15" s="8992"/>
      <c r="DG15" s="8992"/>
      <c r="DH15" s="8992"/>
      <c r="DI15" s="8992"/>
      <c r="DJ15" s="8992"/>
      <c r="DK15" s="8992"/>
      <c r="DL15" s="8992"/>
      <c r="DM15" s="8992"/>
      <c r="DN15" s="8992"/>
      <c r="DO15" s="8992"/>
      <c r="DP15" s="8992"/>
      <c r="DQ15" s="8992"/>
      <c r="DR15" s="8992"/>
      <c r="DS15" s="8992"/>
      <c r="DT15" s="8992"/>
      <c r="DU15" s="8992"/>
      <c r="DV15" s="8992"/>
      <c r="DW15" s="8992"/>
      <c r="DX15" s="8992"/>
      <c r="DY15" s="8992"/>
      <c r="DZ15" s="8992"/>
      <c r="EA15" s="8992"/>
      <c r="EB15" s="8992"/>
      <c r="EC15" s="8992"/>
      <c r="ED15" s="8992"/>
      <c r="EE15" s="8992"/>
      <c r="EF15" s="8992"/>
      <c r="EG15" s="8992"/>
      <c r="EH15" s="8992"/>
      <c r="EI15" s="8992"/>
      <c r="EJ15" s="8992"/>
      <c r="EK15" s="8992"/>
      <c r="EL15" s="8992"/>
      <c r="EM15" s="8992"/>
      <c r="EN15" s="8992"/>
      <c r="EO15" s="8992"/>
      <c r="EP15" s="8992"/>
      <c r="EQ15" s="8992"/>
      <c r="ER15" s="8992"/>
      <c r="ES15" s="8992"/>
      <c r="ET15" s="8992"/>
      <c r="EU15" s="8992"/>
      <c r="EV15" s="8992"/>
      <c r="EW15" s="8992"/>
      <c r="EX15" s="8992"/>
    </row>
    <row r="16" spans="1:168" x14ac:dyDescent="0.9">
      <c r="A16" s="8993">
        <v>5</v>
      </c>
      <c r="B16" s="8943" t="s">
        <v>26</v>
      </c>
      <c r="D16" s="9032">
        <v>12215.423571124236</v>
      </c>
      <c r="E16" s="9032">
        <v>8111.8980662711037</v>
      </c>
      <c r="F16" s="9041">
        <v>4103.5255048531326</v>
      </c>
      <c r="G16" s="9036">
        <v>1952.1689740178572</v>
      </c>
      <c r="H16" s="9032">
        <v>63420.667145099666</v>
      </c>
      <c r="I16" s="9032">
        <v>61468.49817108181</v>
      </c>
      <c r="J16" s="9035">
        <v>34207.556042454744</v>
      </c>
      <c r="K16" s="9035">
        <v>32255.387068436885</v>
      </c>
      <c r="L16" s="9042" t="s">
        <v>35</v>
      </c>
      <c r="N16" s="9032">
        <v>9497.2890000000007</v>
      </c>
      <c r="O16" s="9032">
        <v>7632.24</v>
      </c>
      <c r="P16" s="9041">
        <v>1865.0490000000009</v>
      </c>
      <c r="Q16" s="9036">
        <v>4148.9429999999993</v>
      </c>
      <c r="R16" s="9032">
        <v>46593.81</v>
      </c>
      <c r="S16" s="9032">
        <v>42444.866999999998</v>
      </c>
      <c r="T16" s="9035">
        <v>30308.34</v>
      </c>
      <c r="U16" s="9035">
        <v>26159.397000000001</v>
      </c>
      <c r="V16" s="9027" t="s">
        <v>39</v>
      </c>
      <c r="X16" s="9032">
        <v>10852.524000000001</v>
      </c>
      <c r="Y16" s="9032">
        <v>6730.87</v>
      </c>
      <c r="Z16" s="9041">
        <v>4121.6540000000014</v>
      </c>
      <c r="AA16" s="9036">
        <v>4758.7710000000006</v>
      </c>
      <c r="AB16" s="9032">
        <v>59201.091999999997</v>
      </c>
      <c r="AC16" s="9032">
        <v>54442.320999999996</v>
      </c>
      <c r="AD16" s="9035">
        <v>30364.445</v>
      </c>
      <c r="AE16" s="9035">
        <v>25605.673999999999</v>
      </c>
      <c r="AF16" s="9027" t="s">
        <v>39</v>
      </c>
      <c r="AG16" s="9002"/>
      <c r="AH16" s="9032">
        <v>10482587.96597451</v>
      </c>
      <c r="AI16" s="9032">
        <v>7113142.7271947786</v>
      </c>
      <c r="AJ16" s="9041">
        <v>3369445.2387797311</v>
      </c>
      <c r="AK16" s="9039">
        <v>4365532.9847829621</v>
      </c>
      <c r="AL16" s="9032">
        <v>48974808.263098061</v>
      </c>
      <c r="AM16" s="9032">
        <v>44609275.278315097</v>
      </c>
      <c r="AN16" s="9035">
        <v>27233333.622328885</v>
      </c>
      <c r="AO16" s="9035">
        <v>22867800.637545921</v>
      </c>
      <c r="AP16" s="9027" t="s">
        <v>35</v>
      </c>
      <c r="AQ16" s="9002"/>
      <c r="AR16" s="9032">
        <v>8988854</v>
      </c>
      <c r="AS16" s="9032">
        <v>6506140</v>
      </c>
      <c r="AT16" s="9041">
        <v>2482714</v>
      </c>
      <c r="AU16" s="9039">
        <v>5358135</v>
      </c>
      <c r="AV16" s="9032">
        <v>47937499</v>
      </c>
      <c r="AW16" s="9032">
        <v>42579364</v>
      </c>
      <c r="AX16" s="9035">
        <v>26129643</v>
      </c>
      <c r="AY16" s="9035">
        <v>20771508</v>
      </c>
      <c r="AZ16" s="9027" t="s">
        <v>39</v>
      </c>
      <c r="BA16" s="9002"/>
      <c r="BB16" s="9027" t="s">
        <v>35</v>
      </c>
      <c r="BC16" s="9027" t="s">
        <v>39</v>
      </c>
      <c r="BD16" s="9027" t="s">
        <v>39</v>
      </c>
      <c r="BE16" s="9027" t="s">
        <v>35</v>
      </c>
      <c r="BF16" s="9027" t="s">
        <v>39</v>
      </c>
      <c r="BG16" s="9002"/>
      <c r="BH16" s="9040" t="s">
        <v>1008</v>
      </c>
      <c r="BI16" s="9040" t="s">
        <v>1008</v>
      </c>
      <c r="BJ16" s="9002"/>
      <c r="BK16" s="9027">
        <v>1000000</v>
      </c>
      <c r="BL16" s="9027">
        <v>1000000</v>
      </c>
      <c r="BM16" s="9027">
        <v>1000000</v>
      </c>
      <c r="BN16" s="9027">
        <v>1000</v>
      </c>
      <c r="BO16" s="9027">
        <v>1000</v>
      </c>
      <c r="BP16" s="9002"/>
      <c r="BQ16" s="9027">
        <v>178.37</v>
      </c>
      <c r="BR16" s="9027">
        <v>172.75899999999999</v>
      </c>
      <c r="BS16" s="9027">
        <v>163.45599999999999</v>
      </c>
      <c r="BT16" s="9027">
        <v>152.38999999999999</v>
      </c>
      <c r="BU16" s="9027">
        <v>136.911</v>
      </c>
      <c r="BV16" s="9002"/>
      <c r="BW16" s="9031"/>
      <c r="BX16" s="8991"/>
      <c r="BY16" s="8991"/>
      <c r="BZ16" s="9031"/>
      <c r="CA16" s="9031"/>
      <c r="CB16" s="8991"/>
      <c r="CC16" s="9031"/>
      <c r="CD16" s="9031"/>
      <c r="CE16" s="8991"/>
      <c r="CF16" s="9031"/>
      <c r="CG16" s="8991"/>
      <c r="CH16" s="9031"/>
      <c r="CI16" s="8991"/>
      <c r="CJ16" s="9031"/>
      <c r="CK16" s="8991"/>
      <c r="CL16" s="9031"/>
      <c r="CM16" s="8991"/>
      <c r="CN16" s="8991"/>
      <c r="CO16" s="8991"/>
      <c r="CP16" s="8991"/>
      <c r="CQ16" s="8991"/>
      <c r="CR16" s="8991"/>
      <c r="CS16" s="8991"/>
      <c r="CT16" s="8991"/>
      <c r="CU16" s="8991"/>
      <c r="CV16" s="8991"/>
      <c r="CW16" s="8991"/>
      <c r="CX16" s="8991"/>
      <c r="DD16" s="8992"/>
      <c r="DE16" s="8992"/>
      <c r="DF16" s="8992"/>
      <c r="DG16" s="8992"/>
      <c r="DH16" s="8992"/>
      <c r="DI16" s="8992"/>
      <c r="DJ16" s="8992"/>
      <c r="DK16" s="8992"/>
      <c r="DL16" s="8992"/>
      <c r="DM16" s="8992"/>
      <c r="DN16" s="8992"/>
      <c r="DO16" s="8992"/>
      <c r="DP16" s="8992"/>
      <c r="DQ16" s="8992"/>
      <c r="DR16" s="8992"/>
      <c r="DS16" s="8992"/>
      <c r="DT16" s="8992"/>
      <c r="DU16" s="8992"/>
      <c r="DV16" s="8992"/>
      <c r="DW16" s="8992"/>
      <c r="DX16" s="8992"/>
      <c r="DY16" s="8992"/>
      <c r="DZ16" s="8992"/>
      <c r="EA16" s="8992"/>
      <c r="EB16" s="8992"/>
      <c r="EC16" s="8992"/>
      <c r="ED16" s="8992"/>
      <c r="EE16" s="8992"/>
      <c r="EF16" s="8992"/>
      <c r="EG16" s="8992"/>
      <c r="EH16" s="8992"/>
      <c r="EI16" s="8992"/>
      <c r="EJ16" s="8992"/>
      <c r="EK16" s="8992"/>
      <c r="EL16" s="8992"/>
      <c r="EM16" s="8992"/>
      <c r="EN16" s="8992"/>
      <c r="EO16" s="8992"/>
      <c r="EP16" s="8992"/>
      <c r="EQ16" s="8992"/>
      <c r="ER16" s="8992"/>
      <c r="ES16" s="8992"/>
      <c r="ET16" s="8992"/>
      <c r="EU16" s="8992"/>
      <c r="EV16" s="8992"/>
      <c r="EW16" s="8992"/>
      <c r="EX16" s="8992"/>
    </row>
    <row r="17" spans="1:154" x14ac:dyDescent="0.9">
      <c r="A17" s="8993">
        <v>6</v>
      </c>
      <c r="B17" s="8943" t="s">
        <v>27</v>
      </c>
      <c r="D17" s="9032">
        <v>628873.44819983013</v>
      </c>
      <c r="E17" s="9032">
        <v>544890.00593426265</v>
      </c>
      <c r="F17" s="9041">
        <v>83983.442265567486</v>
      </c>
      <c r="G17" s="9036">
        <v>144323.89600000001</v>
      </c>
      <c r="H17" s="9032">
        <v>2244752.3809278528</v>
      </c>
      <c r="I17" s="9032">
        <v>2100428.4849278526</v>
      </c>
      <c r="J17" s="9035">
        <v>1603944.7664873092</v>
      </c>
      <c r="K17" s="9035">
        <v>1459620.8704873093</v>
      </c>
      <c r="L17" s="9027" t="s">
        <v>35</v>
      </c>
      <c r="N17" s="9032">
        <v>558676.21690083412</v>
      </c>
      <c r="O17" s="9032">
        <v>532120.34993183403</v>
      </c>
      <c r="P17" s="9041">
        <v>26555.866969000082</v>
      </c>
      <c r="Q17" s="9036">
        <v>117070</v>
      </c>
      <c r="R17" s="9032">
        <v>2141580</v>
      </c>
      <c r="S17" s="9032">
        <v>2024510</v>
      </c>
      <c r="T17" s="9035">
        <v>1609790</v>
      </c>
      <c r="U17" s="9035">
        <v>1492720</v>
      </c>
      <c r="V17" s="9027" t="s">
        <v>35</v>
      </c>
      <c r="X17" s="9032">
        <v>547447.99034899997</v>
      </c>
      <c r="Y17" s="9032">
        <v>516873.83684600005</v>
      </c>
      <c r="Z17" s="9041">
        <v>30574.153502999921</v>
      </c>
      <c r="AA17" s="9036">
        <v>97320</v>
      </c>
      <c r="AB17" s="9032">
        <v>2074260</v>
      </c>
      <c r="AC17" s="9032">
        <v>1976940</v>
      </c>
      <c r="AD17" s="9035">
        <v>1393560</v>
      </c>
      <c r="AE17" s="9035">
        <v>1296240</v>
      </c>
      <c r="AF17" s="9027" t="s">
        <v>39</v>
      </c>
      <c r="AG17" s="9002"/>
      <c r="AH17" s="9032">
        <v>461044.96547683905</v>
      </c>
      <c r="AI17" s="9032">
        <v>342808.55534803512</v>
      </c>
      <c r="AJ17" s="9041">
        <v>118236.41012880392</v>
      </c>
      <c r="AK17" s="9039">
        <v>75000</v>
      </c>
      <c r="AL17" s="9032">
        <v>2116416.5929999999</v>
      </c>
      <c r="AM17" s="9032">
        <v>2041416.5929999999</v>
      </c>
      <c r="AN17" s="9035">
        <v>1300809.584</v>
      </c>
      <c r="AO17" s="9035">
        <v>1225809.584</v>
      </c>
      <c r="AP17" s="9027" t="s">
        <v>35</v>
      </c>
      <c r="AQ17" s="9002"/>
      <c r="AR17" s="9032">
        <v>417726.89399999991</v>
      </c>
      <c r="AS17" s="9032">
        <v>382198.14299999998</v>
      </c>
      <c r="AT17" s="9041">
        <v>35528.750999999931</v>
      </c>
      <c r="AU17" s="9039">
        <v>229100</v>
      </c>
      <c r="AV17" s="9032">
        <v>1816020</v>
      </c>
      <c r="AW17" s="9032">
        <v>1586920</v>
      </c>
      <c r="AX17" s="9035">
        <v>1280150</v>
      </c>
      <c r="AY17" s="9035">
        <v>1051050</v>
      </c>
      <c r="AZ17" s="9027" t="s">
        <v>39</v>
      </c>
      <c r="BA17" s="9002"/>
      <c r="BB17" s="9027" t="s">
        <v>35</v>
      </c>
      <c r="BC17" s="9027" t="s">
        <v>35</v>
      </c>
      <c r="BD17" s="9027" t="s">
        <v>39</v>
      </c>
      <c r="BE17" s="9027" t="s">
        <v>35</v>
      </c>
      <c r="BF17" s="9027" t="s">
        <v>39</v>
      </c>
      <c r="BG17" s="9002"/>
      <c r="BH17" s="9040" t="s">
        <v>837</v>
      </c>
      <c r="BI17" s="9040" t="s">
        <v>837</v>
      </c>
      <c r="BJ17" s="9002"/>
      <c r="BK17" s="9027">
        <v>1000000</v>
      </c>
      <c r="BL17" s="9027">
        <v>1000000</v>
      </c>
      <c r="BM17" s="9027">
        <v>1000000</v>
      </c>
      <c r="BN17" s="9027">
        <v>1000000</v>
      </c>
      <c r="BO17" s="9027">
        <v>1000000</v>
      </c>
      <c r="BP17" s="9002"/>
      <c r="BQ17" s="9027">
        <v>9988.366</v>
      </c>
      <c r="BR17" s="9027">
        <v>9369.1880000000001</v>
      </c>
      <c r="BS17" s="9027">
        <v>8920.4210000000003</v>
      </c>
      <c r="BT17" s="9027">
        <v>8191.299</v>
      </c>
      <c r="BU17" s="9027">
        <v>7605.1229999999996</v>
      </c>
      <c r="BV17" s="9002"/>
      <c r="BW17" s="9031"/>
      <c r="BX17" s="8991"/>
      <c r="BY17" s="8991"/>
      <c r="BZ17" s="9031"/>
      <c r="CA17" s="9031"/>
      <c r="CB17" s="8991"/>
      <c r="CC17" s="9031"/>
      <c r="CD17" s="9031"/>
      <c r="CE17" s="8991"/>
      <c r="CF17" s="9031"/>
      <c r="CG17" s="8991"/>
      <c r="CH17" s="9031"/>
      <c r="CI17" s="8991"/>
      <c r="CJ17" s="9031"/>
      <c r="CK17" s="8991"/>
      <c r="CL17" s="9031"/>
      <c r="CM17" s="8991"/>
      <c r="CN17" s="8991"/>
      <c r="CO17" s="8991"/>
      <c r="CP17" s="8991"/>
      <c r="CQ17" s="8991"/>
      <c r="CR17" s="8991"/>
      <c r="CS17" s="8991"/>
      <c r="CT17" s="8991"/>
      <c r="CU17" s="8991"/>
      <c r="CV17" s="8991"/>
      <c r="CW17" s="8991"/>
      <c r="CX17" s="8991"/>
      <c r="DD17" s="8992"/>
      <c r="DE17" s="8992"/>
      <c r="DF17" s="8992"/>
      <c r="DG17" s="8992"/>
      <c r="DH17" s="8992"/>
      <c r="DI17" s="8992"/>
      <c r="DJ17" s="8992"/>
      <c r="DK17" s="8992"/>
      <c r="DL17" s="8992"/>
      <c r="DM17" s="8992"/>
      <c r="DN17" s="8992"/>
      <c r="DO17" s="8992"/>
      <c r="DP17" s="8992"/>
      <c r="DQ17" s="8992"/>
      <c r="DR17" s="8992"/>
      <c r="DS17" s="8992"/>
      <c r="DT17" s="8992"/>
      <c r="DU17" s="8992"/>
      <c r="DV17" s="8992"/>
      <c r="DW17" s="8992"/>
      <c r="DX17" s="8992"/>
      <c r="DY17" s="8992"/>
      <c r="DZ17" s="8992"/>
      <c r="EA17" s="8992"/>
      <c r="EB17" s="8992"/>
      <c r="EC17" s="8992"/>
      <c r="ED17" s="8992"/>
      <c r="EE17" s="8992"/>
      <c r="EF17" s="8992"/>
      <c r="EG17" s="8992"/>
      <c r="EH17" s="8992"/>
      <c r="EI17" s="8992"/>
      <c r="EJ17" s="8992"/>
      <c r="EK17" s="8992"/>
      <c r="EL17" s="8992"/>
      <c r="EM17" s="8992"/>
      <c r="EN17" s="8992"/>
      <c r="EO17" s="8992"/>
      <c r="EP17" s="8992"/>
      <c r="EQ17" s="8992"/>
      <c r="ER17" s="8992"/>
      <c r="ES17" s="8992"/>
      <c r="ET17" s="8992"/>
      <c r="EU17" s="8992"/>
      <c r="EV17" s="8992"/>
      <c r="EW17" s="8992"/>
      <c r="EX17" s="8992"/>
    </row>
    <row r="18" spans="1:154" x14ac:dyDescent="0.9">
      <c r="A18" s="8993">
        <v>7</v>
      </c>
      <c r="B18" s="8943" t="s">
        <v>28</v>
      </c>
      <c r="D18" s="9032">
        <v>320180264376</v>
      </c>
      <c r="E18" s="9032">
        <v>314332784589</v>
      </c>
      <c r="F18" s="9041">
        <v>5847479787</v>
      </c>
      <c r="G18" s="9036">
        <v>58175264755</v>
      </c>
      <c r="H18" s="9038">
        <v>1519654058520</v>
      </c>
      <c r="I18" s="9032">
        <v>1461478793765</v>
      </c>
      <c r="J18" s="9035">
        <v>940598586443</v>
      </c>
      <c r="K18" s="9035">
        <v>882423321688</v>
      </c>
      <c r="L18" s="9027" t="s">
        <v>32</v>
      </c>
      <c r="N18" s="9032">
        <v>296717952377</v>
      </c>
      <c r="O18" s="9032">
        <v>290012179005</v>
      </c>
      <c r="P18" s="9041">
        <v>6705773372</v>
      </c>
      <c r="Q18" s="9036">
        <v>65093104667</v>
      </c>
      <c r="R18" s="9038">
        <v>1388174793623</v>
      </c>
      <c r="S18" s="9032">
        <v>1323081688956</v>
      </c>
      <c r="T18" s="9035">
        <v>868616895408</v>
      </c>
      <c r="U18" s="9035">
        <v>803523790741</v>
      </c>
      <c r="V18" s="9027" t="s">
        <v>32</v>
      </c>
      <c r="X18" s="9032">
        <v>290506938988</v>
      </c>
      <c r="Y18" s="9032">
        <v>288514638015</v>
      </c>
      <c r="Z18" s="9041">
        <v>1992300973</v>
      </c>
      <c r="AA18" s="9036">
        <v>65093104667</v>
      </c>
      <c r="AB18" s="9038">
        <v>1388174793623</v>
      </c>
      <c r="AC18" s="9032">
        <v>1323081688956</v>
      </c>
      <c r="AD18" s="9035">
        <v>868616895408</v>
      </c>
      <c r="AE18" s="9035">
        <v>803523790741</v>
      </c>
      <c r="AF18" s="9027" t="s">
        <v>32</v>
      </c>
      <c r="AG18" s="9002"/>
      <c r="AH18" s="9032">
        <v>276293.60626600002</v>
      </c>
      <c r="AI18" s="9032">
        <v>270201.30529300001</v>
      </c>
      <c r="AJ18" s="9041">
        <v>6092.3009730000049</v>
      </c>
      <c r="AK18" s="9039">
        <v>61553.434251999999</v>
      </c>
      <c r="AL18" s="9038">
        <v>1326831.9234500001</v>
      </c>
      <c r="AM18" s="9032">
        <v>1265278.4891980002</v>
      </c>
      <c r="AN18" s="9035">
        <v>813463.46564399998</v>
      </c>
      <c r="AO18" s="9035">
        <v>751910.03139200003</v>
      </c>
      <c r="AP18" s="9027" t="s">
        <v>32</v>
      </c>
      <c r="AQ18" s="9002"/>
      <c r="AR18" s="9032">
        <v>244718.93176820001</v>
      </c>
      <c r="AS18" s="9032">
        <v>230383.90888</v>
      </c>
      <c r="AT18" s="9041">
        <v>14335.022888200008</v>
      </c>
      <c r="AU18" s="9039">
        <v>47940.696225</v>
      </c>
      <c r="AV18" s="9038">
        <v>1260658.0646580001</v>
      </c>
      <c r="AW18" s="9032">
        <v>1212717.3684330001</v>
      </c>
      <c r="AX18" s="9035">
        <v>742412.61893800006</v>
      </c>
      <c r="AY18" s="9035">
        <v>694471.92271300009</v>
      </c>
      <c r="AZ18" s="9027" t="s">
        <v>32</v>
      </c>
      <c r="BA18" s="9002"/>
      <c r="BB18" s="9027" t="s">
        <v>32</v>
      </c>
      <c r="BC18" s="9027" t="s">
        <v>32</v>
      </c>
      <c r="BD18" s="9027" t="s">
        <v>32</v>
      </c>
      <c r="BE18" s="9027" t="s">
        <v>32</v>
      </c>
      <c r="BF18" s="9027" t="s">
        <v>32</v>
      </c>
      <c r="BG18" s="9002"/>
      <c r="BH18" s="9040" t="s">
        <v>1293</v>
      </c>
      <c r="BI18" s="9040" t="s">
        <v>1293</v>
      </c>
      <c r="BJ18" s="9002"/>
      <c r="BK18" s="9027">
        <v>1</v>
      </c>
      <c r="BL18" s="9027">
        <v>1</v>
      </c>
      <c r="BM18" s="9027">
        <v>1</v>
      </c>
      <c r="BN18" s="9027">
        <v>1000000</v>
      </c>
      <c r="BO18" s="9027">
        <v>1000000</v>
      </c>
      <c r="BP18" s="9002"/>
      <c r="BQ18" s="9027">
        <v>5821.3770000000004</v>
      </c>
      <c r="BR18" s="9027">
        <v>5559.5860000000002</v>
      </c>
      <c r="BS18" s="9027">
        <v>5414.4849999999997</v>
      </c>
      <c r="BT18" s="9027">
        <v>5485.0680000000002</v>
      </c>
      <c r="BU18" s="9027">
        <v>4897.1009999999997</v>
      </c>
      <c r="BV18" s="9002"/>
      <c r="BW18" s="9031"/>
      <c r="BX18" s="8991"/>
      <c r="BY18" s="8991"/>
      <c r="BZ18" s="9031"/>
      <c r="CA18" s="9031"/>
      <c r="CB18" s="8991"/>
      <c r="CC18" s="9031"/>
      <c r="CD18" s="9031"/>
      <c r="CE18" s="8991"/>
      <c r="CF18" s="9031"/>
      <c r="CG18" s="8991"/>
      <c r="CH18" s="9031"/>
      <c r="CI18" s="8991"/>
      <c r="CJ18" s="9031"/>
      <c r="CK18" s="8991"/>
      <c r="CL18" s="9031"/>
      <c r="CM18" s="8991"/>
      <c r="CN18" s="8991"/>
      <c r="CO18" s="8991"/>
      <c r="CP18" s="8991"/>
      <c r="CQ18" s="8991"/>
      <c r="CR18" s="8991"/>
      <c r="CS18" s="8991"/>
      <c r="CT18" s="8991"/>
      <c r="CU18" s="8991"/>
      <c r="CV18" s="8991"/>
      <c r="CW18" s="8991"/>
      <c r="CX18" s="8991"/>
      <c r="EK18" s="8992"/>
      <c r="EL18" s="8992"/>
      <c r="EM18" s="8992"/>
      <c r="EN18" s="8992"/>
      <c r="EO18" s="8992"/>
      <c r="EP18" s="8992"/>
      <c r="EQ18" s="8992"/>
      <c r="ER18" s="8992"/>
      <c r="ES18" s="8992"/>
      <c r="ET18" s="8992"/>
      <c r="EU18" s="8992"/>
      <c r="EV18" s="8992"/>
      <c r="EW18" s="8992"/>
      <c r="EX18" s="8992"/>
    </row>
    <row r="19" spans="1:154" x14ac:dyDescent="0.9">
      <c r="A19" s="8993">
        <v>8</v>
      </c>
      <c r="B19" s="8943" t="s">
        <v>29</v>
      </c>
      <c r="D19" s="9032">
        <v>3147.0607609659628</v>
      </c>
      <c r="E19" s="9032">
        <v>2780.2832727272726</v>
      </c>
      <c r="F19" s="9041">
        <v>366.77748823869024</v>
      </c>
      <c r="G19" s="9036">
        <v>468.56727272727272</v>
      </c>
      <c r="H19" s="9038">
        <v>24218.454545454544</v>
      </c>
      <c r="I19" s="9032">
        <v>23749.887272727272</v>
      </c>
      <c r="J19" s="9035">
        <v>15967.636363636364</v>
      </c>
      <c r="K19" s="9035">
        <v>15499.069090909092</v>
      </c>
      <c r="L19" s="9027" t="s">
        <v>39</v>
      </c>
      <c r="N19" s="9032">
        <v>3307.7759198361514</v>
      </c>
      <c r="O19" s="9032">
        <v>2689.6860000000001</v>
      </c>
      <c r="P19" s="9041">
        <v>618.08991983615124</v>
      </c>
      <c r="Q19" s="9036">
        <v>441.5</v>
      </c>
      <c r="R19" s="9038">
        <v>22211.219999999998</v>
      </c>
      <c r="S19" s="9032">
        <v>21769.719999999998</v>
      </c>
      <c r="T19" s="9035">
        <v>15239.43</v>
      </c>
      <c r="U19" s="9035">
        <v>14797.93</v>
      </c>
      <c r="V19" s="9027" t="s">
        <v>39</v>
      </c>
      <c r="X19" s="9032">
        <v>2714.9813189432525</v>
      </c>
      <c r="Y19" s="9032">
        <v>2153.2570000000001</v>
      </c>
      <c r="Z19" s="9041">
        <v>561.72431894325246</v>
      </c>
      <c r="AA19" s="9036">
        <v>385.26</v>
      </c>
      <c r="AB19" s="9038">
        <v>19027.09</v>
      </c>
      <c r="AC19" s="9032">
        <v>18641.830000000002</v>
      </c>
      <c r="AD19" s="9035">
        <v>13296.95</v>
      </c>
      <c r="AE19" s="9035">
        <v>12911.69</v>
      </c>
      <c r="AF19" s="9027" t="s">
        <v>39</v>
      </c>
      <c r="AG19" s="9002"/>
      <c r="AH19" s="9032">
        <v>2164.0990000000002</v>
      </c>
      <c r="AI19" s="9032">
        <v>2164.0990000000002</v>
      </c>
      <c r="AJ19" s="9043">
        <v>0</v>
      </c>
      <c r="AK19" s="9039">
        <v>333.78</v>
      </c>
      <c r="AL19" s="9032">
        <v>17584.78</v>
      </c>
      <c r="AM19" s="9032">
        <v>17251</v>
      </c>
      <c r="AN19" s="9035">
        <v>12377.5</v>
      </c>
      <c r="AO19" s="9035">
        <v>12043.72</v>
      </c>
      <c r="AP19" s="9027" t="s">
        <v>39</v>
      </c>
      <c r="AQ19" s="9002"/>
      <c r="AR19" s="9032">
        <v>1945.1</v>
      </c>
      <c r="AS19" s="9032">
        <v>1908</v>
      </c>
      <c r="AT19" s="9041">
        <v>37.099999999999909</v>
      </c>
      <c r="AU19" s="9039">
        <v>334.97</v>
      </c>
      <c r="AV19" s="9032">
        <v>14110.35</v>
      </c>
      <c r="AW19" s="9032">
        <v>13775.380000000001</v>
      </c>
      <c r="AX19" s="9035">
        <v>10325.06</v>
      </c>
      <c r="AY19" s="9035">
        <v>9990.09</v>
      </c>
      <c r="AZ19" s="9027" t="s">
        <v>39</v>
      </c>
      <c r="BA19" s="9002"/>
      <c r="BB19" s="9027" t="s">
        <v>39</v>
      </c>
      <c r="BC19" s="9027" t="s">
        <v>39</v>
      </c>
      <c r="BD19" s="9027" t="s">
        <v>39</v>
      </c>
      <c r="BE19" s="9027" t="s">
        <v>39</v>
      </c>
      <c r="BF19" s="9027" t="s">
        <v>39</v>
      </c>
      <c r="BG19" s="9002"/>
      <c r="BH19" s="9040" t="s">
        <v>1589</v>
      </c>
      <c r="BI19" s="9040" t="s">
        <v>1589</v>
      </c>
      <c r="BJ19" s="9002"/>
      <c r="BK19" s="9027">
        <v>1000000000</v>
      </c>
      <c r="BL19" s="9027">
        <v>1000000000</v>
      </c>
      <c r="BM19" s="9027">
        <v>1000000000</v>
      </c>
      <c r="BN19" s="9027">
        <v>1000000000</v>
      </c>
      <c r="BO19" s="9027">
        <v>1000000000</v>
      </c>
      <c r="BP19" s="9002"/>
      <c r="BQ19" s="9027">
        <v>103511.609</v>
      </c>
      <c r="BR19" s="9027">
        <v>110014.048</v>
      </c>
      <c r="BS19" s="9027">
        <v>99544.274999999994</v>
      </c>
      <c r="BT19" s="9027">
        <v>89830.524999999994</v>
      </c>
      <c r="BU19" s="9027">
        <v>81241.865999999995</v>
      </c>
      <c r="BV19" s="9002"/>
      <c r="BW19" s="9031"/>
      <c r="BX19" s="8991"/>
      <c r="BY19" s="8991"/>
      <c r="BZ19" s="9031"/>
      <c r="CA19" s="9031"/>
      <c r="CB19" s="8991"/>
      <c r="CC19" s="9031"/>
      <c r="CD19" s="9031"/>
      <c r="CE19" s="8991"/>
      <c r="CF19" s="9031"/>
      <c r="CG19" s="8991"/>
      <c r="CH19" s="9031"/>
      <c r="CI19" s="8991"/>
      <c r="CJ19" s="9031"/>
      <c r="CK19" s="8991"/>
      <c r="CL19" s="9031"/>
      <c r="CM19" s="8991"/>
      <c r="CN19" s="8991"/>
      <c r="CO19" s="8991"/>
      <c r="CP19" s="8991"/>
      <c r="CQ19" s="8991"/>
      <c r="CR19" s="8991"/>
      <c r="CS19" s="8991"/>
      <c r="CT19" s="8991"/>
      <c r="CU19" s="8991"/>
      <c r="CV19" s="8991"/>
      <c r="CW19" s="8991"/>
      <c r="CX19" s="8991"/>
      <c r="EK19" s="8992"/>
      <c r="EL19" s="8992"/>
      <c r="EM19" s="8992"/>
      <c r="EN19" s="8992"/>
      <c r="EO19" s="8992"/>
      <c r="EP19" s="8992"/>
      <c r="EQ19" s="8992"/>
      <c r="ER19" s="8992"/>
      <c r="ES19" s="8992"/>
      <c r="ET19" s="8992"/>
      <c r="EU19" s="8992"/>
      <c r="EV19" s="8992"/>
      <c r="EW19" s="8992"/>
      <c r="EX19" s="8992"/>
    </row>
    <row r="20" spans="1:154" x14ac:dyDescent="0.9">
      <c r="A20" s="8993">
        <v>9</v>
      </c>
      <c r="B20" s="8943" t="s">
        <v>30</v>
      </c>
      <c r="D20" s="9032">
        <v>799.029301278915</v>
      </c>
      <c r="E20" s="9032">
        <v>799.15141572577068</v>
      </c>
      <c r="F20" s="9043" t="s">
        <v>107</v>
      </c>
      <c r="G20" s="9036">
        <v>770</v>
      </c>
      <c r="H20" s="9038">
        <v>4101.6000000000004</v>
      </c>
      <c r="I20" s="9032">
        <v>3331.6000000000004</v>
      </c>
      <c r="J20" s="9035">
        <v>3169.6</v>
      </c>
      <c r="K20" s="9035">
        <v>2399.6</v>
      </c>
      <c r="L20" s="9042" t="s">
        <v>35</v>
      </c>
      <c r="N20" s="9032">
        <v>727.9993626224533</v>
      </c>
      <c r="O20" s="9032">
        <v>677.52696298486592</v>
      </c>
      <c r="P20" s="9041">
        <v>50.472399637587387</v>
      </c>
      <c r="Q20" s="9036">
        <v>963.6</v>
      </c>
      <c r="R20" s="9038">
        <v>4634</v>
      </c>
      <c r="S20" s="9032">
        <v>3670.4</v>
      </c>
      <c r="T20" s="9035">
        <v>3430</v>
      </c>
      <c r="U20" s="9035">
        <v>2466.4</v>
      </c>
      <c r="V20" s="9042" t="s">
        <v>35</v>
      </c>
      <c r="X20" s="9032">
        <v>668.90466733778715</v>
      </c>
      <c r="Y20" s="9032">
        <v>633.00466733778717</v>
      </c>
      <c r="Z20" s="9041">
        <v>35.899999999999977</v>
      </c>
      <c r="AA20" s="9036">
        <v>1031.0999999999999</v>
      </c>
      <c r="AB20" s="9038">
        <v>4169.6000000000004</v>
      </c>
      <c r="AC20" s="9032">
        <v>3138.5000000000005</v>
      </c>
      <c r="AD20" s="9035">
        <v>3216.5</v>
      </c>
      <c r="AE20" s="9035">
        <v>2185.4</v>
      </c>
      <c r="AF20" s="9027" t="s">
        <v>39</v>
      </c>
      <c r="AG20" s="9002"/>
      <c r="AH20" s="9032">
        <v>623469.31707061583</v>
      </c>
      <c r="AI20" s="9032">
        <v>546697.27287363191</v>
      </c>
      <c r="AJ20" s="9041">
        <v>76772.044196983916</v>
      </c>
      <c r="AK20" s="9039">
        <v>726100</v>
      </c>
      <c r="AL20" s="9032">
        <v>4363800</v>
      </c>
      <c r="AM20" s="9032">
        <v>3637700</v>
      </c>
      <c r="AN20" s="9035">
        <v>2878800</v>
      </c>
      <c r="AO20" s="9035">
        <v>2152700</v>
      </c>
      <c r="AP20" s="9027" t="s">
        <v>35</v>
      </c>
      <c r="AQ20" s="9002"/>
      <c r="AR20" s="9032">
        <v>513456.64598784898</v>
      </c>
      <c r="AS20" s="9032">
        <v>446177.55113604077</v>
      </c>
      <c r="AT20" s="9041">
        <v>67279.094851808215</v>
      </c>
      <c r="AU20" s="9039">
        <v>595600</v>
      </c>
      <c r="AV20" s="9032">
        <v>4451500</v>
      </c>
      <c r="AW20" s="9032">
        <v>3855900</v>
      </c>
      <c r="AX20" s="9035">
        <v>2936900</v>
      </c>
      <c r="AY20" s="9035">
        <v>2341300</v>
      </c>
      <c r="AZ20" s="9027" t="s">
        <v>39</v>
      </c>
      <c r="BA20" s="9002"/>
      <c r="BB20" s="9027" t="s">
        <v>35</v>
      </c>
      <c r="BC20" s="9027" t="s">
        <v>35</v>
      </c>
      <c r="BD20" s="9027" t="s">
        <v>39</v>
      </c>
      <c r="BE20" s="9027" t="s">
        <v>35</v>
      </c>
      <c r="BF20" s="9027" t="s">
        <v>39</v>
      </c>
      <c r="BG20" s="9002"/>
      <c r="BH20" s="9040" t="s">
        <v>837</v>
      </c>
      <c r="BI20" s="9040" t="s">
        <v>837</v>
      </c>
      <c r="BJ20" s="9002"/>
      <c r="BK20" s="9027">
        <v>1000000000</v>
      </c>
      <c r="BL20" s="9027">
        <v>1000000000</v>
      </c>
      <c r="BM20" s="9027">
        <v>1000000000</v>
      </c>
      <c r="BN20" s="9027">
        <v>1000000</v>
      </c>
      <c r="BO20" s="9027">
        <v>1000000</v>
      </c>
      <c r="BP20" s="9002"/>
      <c r="BQ20" s="9027">
        <v>22954.712</v>
      </c>
      <c r="BR20" s="9027">
        <v>22854.838</v>
      </c>
      <c r="BS20" s="9027">
        <v>21492.534</v>
      </c>
      <c r="BT20" s="9027">
        <v>20328.363000000001</v>
      </c>
      <c r="BU20" s="9027">
        <v>19344.838</v>
      </c>
      <c r="BV20" s="9002"/>
      <c r="BW20" s="9031"/>
      <c r="BX20" s="8991"/>
      <c r="BY20" s="8991"/>
      <c r="BZ20" s="9031"/>
      <c r="CA20" s="9031"/>
      <c r="CB20" s="8991"/>
      <c r="CC20" s="9031"/>
      <c r="CD20" s="9031"/>
      <c r="CE20" s="8991"/>
      <c r="CF20" s="9031"/>
      <c r="CG20" s="8991"/>
      <c r="CH20" s="9031"/>
      <c r="CI20" s="8991"/>
      <c r="CJ20" s="9031"/>
      <c r="CK20" s="8991"/>
      <c r="CL20" s="9031"/>
      <c r="CM20" s="8991"/>
      <c r="CN20" s="8991"/>
      <c r="CO20" s="8991"/>
      <c r="CP20" s="8991"/>
      <c r="CQ20" s="8991"/>
      <c r="CR20" s="8991"/>
      <c r="CS20" s="8991"/>
      <c r="CT20" s="8991"/>
      <c r="CU20" s="8991"/>
      <c r="CV20" s="8991"/>
      <c r="CW20" s="8991"/>
      <c r="CX20" s="8991"/>
      <c r="EK20" s="8992"/>
      <c r="EL20" s="8992"/>
      <c r="EM20" s="8992"/>
      <c r="EN20" s="8992"/>
      <c r="EO20" s="8992"/>
      <c r="EP20" s="8992"/>
      <c r="EQ20" s="8992"/>
      <c r="ER20" s="8992"/>
      <c r="ES20" s="8992"/>
      <c r="ET20" s="8992"/>
      <c r="EU20" s="8992"/>
      <c r="EV20" s="8992"/>
      <c r="EW20" s="8992"/>
      <c r="EX20" s="8992"/>
    </row>
    <row r="21" spans="1:154" x14ac:dyDescent="0.9">
      <c r="A21" s="8993">
        <v>10</v>
      </c>
      <c r="B21" s="8943" t="s">
        <v>108</v>
      </c>
      <c r="D21" s="9033" t="s">
        <v>107</v>
      </c>
      <c r="E21" s="9033" t="s">
        <v>107</v>
      </c>
      <c r="F21" s="9044" t="s">
        <v>107</v>
      </c>
      <c r="G21" s="9043">
        <v>0</v>
      </c>
      <c r="H21" s="9043">
        <v>0</v>
      </c>
      <c r="I21" s="9033">
        <v>0</v>
      </c>
      <c r="J21" s="9033">
        <v>0</v>
      </c>
      <c r="K21" s="9033">
        <v>0</v>
      </c>
      <c r="L21" s="9045"/>
      <c r="N21" s="9032">
        <v>26103954.501348957</v>
      </c>
      <c r="O21" s="9032">
        <v>24690544.263242427</v>
      </c>
      <c r="P21" s="9037">
        <v>1413410.2381065302</v>
      </c>
      <c r="Q21" s="9038">
        <v>6709197.8425780647</v>
      </c>
      <c r="R21" s="9038">
        <v>208468078.97256815</v>
      </c>
      <c r="S21" s="9032">
        <v>201758881.1299901</v>
      </c>
      <c r="T21" s="9035">
        <v>137253089.38994613</v>
      </c>
      <c r="U21" s="9035">
        <v>130543891.54736806</v>
      </c>
      <c r="V21" s="9027" t="s">
        <v>35</v>
      </c>
      <c r="X21" s="9032">
        <v>19298107.303842105</v>
      </c>
      <c r="Y21" s="9032">
        <v>18493673.190567736</v>
      </c>
      <c r="Z21" s="9041">
        <v>804434.11327436939</v>
      </c>
      <c r="AA21" s="9036">
        <v>9085492</v>
      </c>
      <c r="AB21" s="9041">
        <v>201167704</v>
      </c>
      <c r="AC21" s="9035">
        <v>192082212</v>
      </c>
      <c r="AD21" s="9035">
        <v>120014726</v>
      </c>
      <c r="AE21" s="9035">
        <v>110929234</v>
      </c>
      <c r="AF21" s="9027" t="s">
        <v>39</v>
      </c>
      <c r="AG21" s="9002"/>
      <c r="AH21" s="9033"/>
      <c r="AI21" s="9033"/>
      <c r="AJ21" s="9043"/>
      <c r="AK21" s="9034"/>
      <c r="AL21" s="9033"/>
      <c r="AM21" s="9033"/>
      <c r="AN21" s="9033"/>
      <c r="AO21" s="9033"/>
      <c r="AQ21" s="9002"/>
      <c r="AR21" s="9033"/>
      <c r="AS21" s="9033"/>
      <c r="AT21" s="9043"/>
      <c r="AU21" s="9034"/>
      <c r="AV21" s="9033"/>
      <c r="AW21" s="9033"/>
      <c r="AX21" s="9033"/>
      <c r="AY21" s="9033"/>
      <c r="BA21" s="9002"/>
      <c r="BB21" s="9027">
        <v>0</v>
      </c>
      <c r="BC21" s="9027" t="s">
        <v>35</v>
      </c>
      <c r="BD21" s="9027" t="s">
        <v>39</v>
      </c>
      <c r="BE21" s="9027">
        <v>0</v>
      </c>
      <c r="BF21" s="9027">
        <v>0</v>
      </c>
      <c r="BG21" s="9002"/>
      <c r="BH21" s="9040" t="s">
        <v>837</v>
      </c>
      <c r="BI21" s="9040" t="s">
        <v>837</v>
      </c>
      <c r="BJ21" s="9002"/>
      <c r="BK21" s="9027">
        <v>1000</v>
      </c>
      <c r="BL21" s="9027">
        <v>1000</v>
      </c>
      <c r="BM21" s="9027">
        <v>1000</v>
      </c>
      <c r="BN21" s="9027"/>
      <c r="BO21" s="9027"/>
      <c r="BP21" s="9002"/>
      <c r="BQ21" s="9027">
        <v>1371.893</v>
      </c>
      <c r="BR21" s="9027">
        <v>1333.9849999999999</v>
      </c>
      <c r="BS21" s="9027">
        <v>1265.6400000000001</v>
      </c>
      <c r="BT21" s="9027">
        <v>1203.3240000000001</v>
      </c>
      <c r="BU21" s="9027">
        <v>1081.5160000000001</v>
      </c>
      <c r="BV21" s="9002"/>
      <c r="BW21" s="9031"/>
      <c r="BX21" s="8991"/>
      <c r="BY21" s="8991"/>
      <c r="BZ21" s="9031"/>
      <c r="CA21" s="9031"/>
      <c r="CB21" s="8991"/>
      <c r="CC21" s="9031"/>
      <c r="CD21" s="9031"/>
      <c r="CE21" s="8991"/>
      <c r="CF21" s="9031"/>
      <c r="CG21" s="8991"/>
      <c r="CH21" s="9031"/>
      <c r="CI21" s="8991"/>
      <c r="CJ21" s="9031"/>
      <c r="CK21" s="8991"/>
      <c r="CL21" s="9031"/>
      <c r="CM21" s="8991"/>
      <c r="CN21" s="8991"/>
      <c r="CO21" s="8991"/>
      <c r="CP21" s="8991"/>
      <c r="CQ21" s="8991"/>
      <c r="CR21" s="8991"/>
      <c r="CS21" s="8991"/>
      <c r="CT21" s="8991"/>
      <c r="CU21" s="8991"/>
      <c r="CV21" s="8991"/>
      <c r="CW21" s="8991"/>
      <c r="CX21" s="8991"/>
      <c r="EK21" s="8992"/>
      <c r="EL21" s="8992"/>
      <c r="EM21" s="8992"/>
      <c r="EN21" s="8992"/>
      <c r="EO21" s="8992"/>
      <c r="EP21" s="8992"/>
      <c r="EQ21" s="8992"/>
      <c r="ER21" s="8992"/>
      <c r="ES21" s="8992"/>
      <c r="ET21" s="8992"/>
      <c r="EU21" s="8992"/>
      <c r="EV21" s="8992"/>
      <c r="EW21" s="8992"/>
      <c r="EX21" s="8992"/>
    </row>
    <row r="22" spans="1:154" x14ac:dyDescent="0.9">
      <c r="A22" s="8993">
        <v>11</v>
      </c>
      <c r="B22" s="8943" t="s">
        <v>109</v>
      </c>
      <c r="D22" s="9032">
        <v>171951.818979</v>
      </c>
      <c r="E22" s="9032">
        <v>146917.23730900002</v>
      </c>
      <c r="F22" s="9041">
        <v>25034.581669999985</v>
      </c>
      <c r="G22" s="9036">
        <v>58878</v>
      </c>
      <c r="H22" s="9038">
        <v>1196674</v>
      </c>
      <c r="I22" s="9032">
        <v>1137796</v>
      </c>
      <c r="J22" s="9035">
        <v>794878</v>
      </c>
      <c r="K22" s="9035">
        <v>736000</v>
      </c>
      <c r="L22" s="9027" t="s">
        <v>32</v>
      </c>
      <c r="N22" s="9032">
        <v>159906.06439000001</v>
      </c>
      <c r="O22" s="9032">
        <v>137460.48139000003</v>
      </c>
      <c r="P22" s="9041">
        <v>22445.582999999984</v>
      </c>
      <c r="Q22" s="9036">
        <v>203580</v>
      </c>
      <c r="R22" s="9038">
        <v>1106555</v>
      </c>
      <c r="S22" s="9032">
        <v>902975</v>
      </c>
      <c r="T22" s="9035">
        <v>793580</v>
      </c>
      <c r="U22" s="9035">
        <v>590000</v>
      </c>
      <c r="V22" s="9027" t="s">
        <v>32</v>
      </c>
      <c r="X22" s="9032">
        <v>140811412140</v>
      </c>
      <c r="Y22" s="9032">
        <v>123897107140</v>
      </c>
      <c r="Z22" s="9041">
        <v>16914305000</v>
      </c>
      <c r="AA22" s="9036">
        <v>515715000000</v>
      </c>
      <c r="AB22" s="9038">
        <v>1343034000000</v>
      </c>
      <c r="AC22" s="9032">
        <v>827319000000</v>
      </c>
      <c r="AD22" s="9035">
        <v>1068715000000</v>
      </c>
      <c r="AE22" s="9035">
        <v>553000000000</v>
      </c>
      <c r="AF22" s="9027" t="s">
        <v>32</v>
      </c>
      <c r="AG22" s="9002"/>
      <c r="AH22" s="9032">
        <v>142546514740</v>
      </c>
      <c r="AI22" s="9032">
        <v>123407418740</v>
      </c>
      <c r="AJ22" s="9041">
        <v>19139096000</v>
      </c>
      <c r="AK22" s="9036">
        <v>192238000000</v>
      </c>
      <c r="AL22" s="9032">
        <v>966110000000</v>
      </c>
      <c r="AM22" s="9032">
        <v>773872000000</v>
      </c>
      <c r="AN22" s="9035">
        <v>734698000000</v>
      </c>
      <c r="AO22" s="9035">
        <v>542460000000</v>
      </c>
      <c r="AP22" s="9027" t="s">
        <v>32</v>
      </c>
      <c r="AQ22" s="9002"/>
      <c r="AR22" s="9032">
        <v>145241633251</v>
      </c>
      <c r="AS22" s="9032">
        <v>131466175651</v>
      </c>
      <c r="AT22" s="9041">
        <v>13775457600</v>
      </c>
      <c r="AU22" s="9039">
        <v>39041147000</v>
      </c>
      <c r="AV22" s="9032">
        <v>759630561866</v>
      </c>
      <c r="AW22" s="9032">
        <v>720589414866</v>
      </c>
      <c r="AX22" s="9035">
        <v>551924127635</v>
      </c>
      <c r="AY22" s="9035">
        <v>512882980635</v>
      </c>
      <c r="AZ22" s="9027" t="s">
        <v>32</v>
      </c>
      <c r="BA22" s="9002"/>
      <c r="BB22" s="9027" t="s">
        <v>32</v>
      </c>
      <c r="BC22" s="9027" t="s">
        <v>32</v>
      </c>
      <c r="BD22" s="9027" t="s">
        <v>32</v>
      </c>
      <c r="BE22" s="9027" t="s">
        <v>32</v>
      </c>
      <c r="BF22" s="9027" t="s">
        <v>32</v>
      </c>
      <c r="BG22" s="9002"/>
      <c r="BH22" s="9040" t="s">
        <v>1808</v>
      </c>
      <c r="BI22" s="9040" t="s">
        <v>1808</v>
      </c>
      <c r="BJ22" s="9002"/>
      <c r="BK22" s="9027">
        <v>1000000</v>
      </c>
      <c r="BL22" s="9027">
        <v>1000000</v>
      </c>
      <c r="BM22" s="9027">
        <v>1</v>
      </c>
      <c r="BN22" s="9027">
        <v>1</v>
      </c>
      <c r="BO22" s="9027">
        <v>1</v>
      </c>
      <c r="BP22" s="9002"/>
      <c r="BQ22" s="9027">
        <v>6227.9250000000002</v>
      </c>
      <c r="BR22" s="9027">
        <v>6406.3670000000002</v>
      </c>
      <c r="BS22" s="9027">
        <v>6127.3180000000002</v>
      </c>
      <c r="BT22" s="9027">
        <v>5854.5720000000001</v>
      </c>
      <c r="BU22" s="9027">
        <v>6047.1459999999997</v>
      </c>
      <c r="BV22" s="9002"/>
      <c r="BW22" s="9031"/>
      <c r="BX22" s="8991"/>
      <c r="BY22" s="8991"/>
      <c r="BZ22" s="9031"/>
      <c r="CA22" s="9031"/>
      <c r="CB22" s="8991"/>
      <c r="CC22" s="9031"/>
      <c r="CD22" s="9031"/>
      <c r="CE22" s="8991"/>
      <c r="CF22" s="9031"/>
      <c r="CG22" s="8991"/>
      <c r="CH22" s="9031"/>
      <c r="CI22" s="8991"/>
      <c r="CJ22" s="9031"/>
      <c r="CK22" s="8991"/>
      <c r="CL22" s="9031"/>
      <c r="CM22" s="8991"/>
      <c r="CN22" s="8991"/>
      <c r="CO22" s="8991"/>
      <c r="CP22" s="8991"/>
      <c r="CQ22" s="8991"/>
      <c r="CR22" s="8991"/>
      <c r="CS22" s="8991"/>
      <c r="CT22" s="8991"/>
      <c r="CU22" s="8991"/>
      <c r="CV22" s="8991"/>
      <c r="CW22" s="8991"/>
      <c r="CX22" s="8991"/>
      <c r="EK22" s="8992"/>
      <c r="EL22" s="8992"/>
      <c r="EM22" s="8992"/>
      <c r="EN22" s="8992"/>
      <c r="EO22" s="8992"/>
      <c r="EP22" s="8992"/>
      <c r="EQ22" s="8992"/>
      <c r="ER22" s="8992"/>
      <c r="ES22" s="8992"/>
      <c r="ET22" s="8992"/>
      <c r="EU22" s="8992"/>
      <c r="EV22" s="8992"/>
      <c r="EW22" s="8992"/>
      <c r="EX22" s="8992"/>
    </row>
    <row r="23" spans="1:154" x14ac:dyDescent="0.9">
      <c r="A23" s="8993">
        <v>12</v>
      </c>
      <c r="B23" s="8943" t="s">
        <v>88</v>
      </c>
      <c r="D23" s="9032">
        <v>15707.308925875597</v>
      </c>
      <c r="E23" s="9032">
        <v>12057.238390463395</v>
      </c>
      <c r="F23" s="9041">
        <v>3650.0705354122019</v>
      </c>
      <c r="G23" s="9036">
        <v>288.9917361985851</v>
      </c>
      <c r="H23" s="9038">
        <v>80343.653231506396</v>
      </c>
      <c r="I23" s="9032">
        <v>80054.66149530781</v>
      </c>
      <c r="J23" s="9035">
        <v>38975.387498888027</v>
      </c>
      <c r="K23" s="9035">
        <v>38686.395762689441</v>
      </c>
      <c r="L23" s="9027" t="s">
        <v>35</v>
      </c>
      <c r="N23" s="9032">
        <v>12256.354023393978</v>
      </c>
      <c r="O23" s="9032">
        <v>10985.924241000001</v>
      </c>
      <c r="P23" s="9041">
        <v>1270.4297823939778</v>
      </c>
      <c r="Q23" s="9036">
        <v>193.810776</v>
      </c>
      <c r="R23" s="9038">
        <v>83727.913358999998</v>
      </c>
      <c r="S23" s="9032">
        <v>83534.102583</v>
      </c>
      <c r="T23" s="9035">
        <v>48400.707770000001</v>
      </c>
      <c r="U23" s="9035">
        <v>48206.896994000002</v>
      </c>
      <c r="V23" s="9027" t="s">
        <v>39</v>
      </c>
      <c r="X23" s="9033">
        <v>0</v>
      </c>
      <c r="Y23" s="9033">
        <v>0</v>
      </c>
      <c r="Z23" s="9043" t="s">
        <v>107</v>
      </c>
      <c r="AA23" s="9036">
        <v>382</v>
      </c>
      <c r="AB23" s="9038">
        <v>95525</v>
      </c>
      <c r="AC23" s="9032">
        <v>95143</v>
      </c>
      <c r="AD23" s="9035">
        <v>58373</v>
      </c>
      <c r="AE23" s="9035">
        <v>57991</v>
      </c>
      <c r="AF23" s="9027" t="s">
        <v>35</v>
      </c>
      <c r="AG23" s="9002"/>
      <c r="AH23" s="9033" t="s">
        <v>107</v>
      </c>
      <c r="AI23" s="9033" t="s">
        <v>107</v>
      </c>
      <c r="AJ23" s="9043" t="s">
        <v>107</v>
      </c>
      <c r="AK23" s="9034" t="s">
        <v>107</v>
      </c>
      <c r="AL23" s="9043" t="s">
        <v>107</v>
      </c>
      <c r="AM23" s="9033" t="s">
        <v>107</v>
      </c>
      <c r="AN23" s="9033" t="s">
        <v>107</v>
      </c>
      <c r="AO23" s="9033" t="s">
        <v>107</v>
      </c>
      <c r="AP23" s="9042"/>
      <c r="AQ23" s="9002"/>
      <c r="AR23" s="9033" t="s">
        <v>107</v>
      </c>
      <c r="AS23" s="9033" t="s">
        <v>107</v>
      </c>
      <c r="AT23" s="9043" t="s">
        <v>107</v>
      </c>
      <c r="AU23" s="9034" t="s">
        <v>107</v>
      </c>
      <c r="AV23" s="9043" t="s">
        <v>107</v>
      </c>
      <c r="AW23" s="9033" t="s">
        <v>107</v>
      </c>
      <c r="AX23" s="9033" t="s">
        <v>107</v>
      </c>
      <c r="AY23" s="9033" t="s">
        <v>107</v>
      </c>
      <c r="BA23" s="9002"/>
      <c r="BB23" s="9027" t="s">
        <v>35</v>
      </c>
      <c r="BC23" s="9027" t="s">
        <v>39</v>
      </c>
      <c r="BD23" s="9027" t="s">
        <v>35</v>
      </c>
      <c r="BE23" s="9027">
        <v>0</v>
      </c>
      <c r="BF23" s="9027">
        <v>0</v>
      </c>
      <c r="BG23" s="9002"/>
      <c r="BH23" s="9040" t="s">
        <v>1913</v>
      </c>
      <c r="BI23" s="9040" t="s">
        <v>1913</v>
      </c>
      <c r="BJ23" s="9002"/>
      <c r="BK23" s="9027">
        <v>1000000</v>
      </c>
      <c r="BL23" s="9027">
        <v>1000000</v>
      </c>
      <c r="BM23" s="9027">
        <v>1000000</v>
      </c>
      <c r="BN23" s="9027"/>
      <c r="BO23" s="9027"/>
      <c r="BP23" s="9002"/>
      <c r="BQ23" s="9027">
        <v>524.17600000000004</v>
      </c>
      <c r="BR23" s="9027">
        <v>522.04499999999996</v>
      </c>
      <c r="BS23" s="9027">
        <v>490.95800000000003</v>
      </c>
      <c r="BT23" s="9027">
        <v>469.21699999999998</v>
      </c>
      <c r="BU23" s="9027">
        <v>450.15899999999999</v>
      </c>
      <c r="BV23" s="9002"/>
      <c r="BW23" s="9031"/>
      <c r="BX23" s="8991"/>
      <c r="BY23" s="8991"/>
      <c r="BZ23" s="9031"/>
      <c r="CA23" s="9031"/>
      <c r="CB23" s="8991"/>
      <c r="CC23" s="9031"/>
      <c r="CD23" s="9031"/>
      <c r="CE23" s="8991"/>
      <c r="CF23" s="9031"/>
      <c r="CG23" s="8991"/>
      <c r="CH23" s="9031"/>
      <c r="CI23" s="8991"/>
      <c r="CJ23" s="9031"/>
      <c r="CK23" s="8991"/>
      <c r="CL23" s="9031"/>
      <c r="CM23" s="8991"/>
      <c r="CN23" s="8991"/>
      <c r="CO23" s="8991"/>
      <c r="CP23" s="8991"/>
      <c r="CQ23" s="8991"/>
      <c r="CR23" s="8991"/>
      <c r="CS23" s="8991"/>
      <c r="CT23" s="8991"/>
      <c r="CU23" s="8991"/>
      <c r="CV23" s="8991"/>
      <c r="CW23" s="8991"/>
      <c r="CX23" s="8991"/>
    </row>
    <row r="24" spans="1:154" x14ac:dyDescent="0.9">
      <c r="A24" s="8993">
        <v>13</v>
      </c>
      <c r="B24" s="8943" t="s">
        <v>33</v>
      </c>
      <c r="D24" s="9032">
        <v>190857.91815169086</v>
      </c>
      <c r="E24" s="9032">
        <v>160666.66888766256</v>
      </c>
      <c r="F24" s="9041">
        <v>30191.249264028302</v>
      </c>
      <c r="G24" s="9036">
        <v>151873.37454647935</v>
      </c>
      <c r="H24" s="9043">
        <v>1540835.5347408182</v>
      </c>
      <c r="I24" s="9032">
        <v>1388962.1601943388</v>
      </c>
      <c r="J24" s="9035">
        <v>1182925.597884513</v>
      </c>
      <c r="K24" s="9035">
        <v>1031052.2233380337</v>
      </c>
      <c r="L24" s="9027" t="s">
        <v>35</v>
      </c>
      <c r="N24" s="9032">
        <v>190890.76865699998</v>
      </c>
      <c r="O24" s="9032">
        <v>159664.41939299999</v>
      </c>
      <c r="P24" s="9041">
        <v>31226.349263999989</v>
      </c>
      <c r="Q24" s="9036">
        <v>241798.39894899999</v>
      </c>
      <c r="R24" s="9038">
        <v>1604279.8762769999</v>
      </c>
      <c r="S24" s="9032">
        <v>1362481.4773279999</v>
      </c>
      <c r="T24" s="9035">
        <v>1301927.1840300001</v>
      </c>
      <c r="U24" s="9035">
        <v>1060128.7850810001</v>
      </c>
      <c r="V24" s="9027" t="s">
        <v>39</v>
      </c>
      <c r="X24" s="9032">
        <v>214553.25735169207</v>
      </c>
      <c r="Y24" s="9032">
        <v>163901.25735169207</v>
      </c>
      <c r="Z24" s="9041">
        <v>50652</v>
      </c>
      <c r="AA24" s="9036">
        <v>166800</v>
      </c>
      <c r="AB24" s="9038">
        <v>1468900</v>
      </c>
      <c r="AC24" s="9032">
        <v>1302100</v>
      </c>
      <c r="AD24" s="9035">
        <v>1265900</v>
      </c>
      <c r="AE24" s="9035">
        <v>1099100</v>
      </c>
      <c r="AF24" s="9027" t="s">
        <v>35</v>
      </c>
      <c r="AG24" s="9002"/>
      <c r="AH24" s="9032">
        <v>286715236172</v>
      </c>
      <c r="AI24" s="9032">
        <v>227165236172</v>
      </c>
      <c r="AJ24" s="9041">
        <v>59550000000</v>
      </c>
      <c r="AK24" s="9036">
        <v>27600000000</v>
      </c>
      <c r="AL24" s="9038">
        <v>2107117000000</v>
      </c>
      <c r="AM24" s="9032">
        <v>2079517000000</v>
      </c>
      <c r="AN24" s="9035">
        <v>1128697481253</v>
      </c>
      <c r="AO24" s="9035">
        <v>1101097481253</v>
      </c>
      <c r="AP24" s="9027" t="s">
        <v>32</v>
      </c>
      <c r="AQ24" s="9002"/>
      <c r="AR24" s="9032">
        <v>290263782879</v>
      </c>
      <c r="AS24" s="9032">
        <v>200586782879</v>
      </c>
      <c r="AT24" s="9041">
        <v>89677000000</v>
      </c>
      <c r="AU24" s="9039">
        <v>22625000000</v>
      </c>
      <c r="AV24" s="9032">
        <v>2454717036830</v>
      </c>
      <c r="AW24" s="9032">
        <v>2432092036830</v>
      </c>
      <c r="AX24" s="9035">
        <v>1104861035782</v>
      </c>
      <c r="AY24" s="9035">
        <v>1082236035782</v>
      </c>
      <c r="AZ24" s="9027" t="s">
        <v>32</v>
      </c>
      <c r="BA24" s="9002"/>
      <c r="BB24" s="9046" t="s">
        <v>35</v>
      </c>
      <c r="BC24" s="9046" t="s">
        <v>39</v>
      </c>
      <c r="BD24" s="9046" t="s">
        <v>35</v>
      </c>
      <c r="BE24" s="9046" t="s">
        <v>32</v>
      </c>
      <c r="BF24" s="9046" t="s">
        <v>32</v>
      </c>
      <c r="BG24" s="9002"/>
      <c r="BH24" s="9040" t="s">
        <v>837</v>
      </c>
      <c r="BI24" s="9040" t="s">
        <v>837</v>
      </c>
      <c r="BJ24" s="9002"/>
      <c r="BK24" s="9027">
        <v>1000000</v>
      </c>
      <c r="BL24" s="9027">
        <v>1000000</v>
      </c>
      <c r="BM24" s="9027">
        <v>1</v>
      </c>
      <c r="BN24" s="9027">
        <v>1</v>
      </c>
      <c r="BO24" s="9027">
        <v>1</v>
      </c>
      <c r="BP24" s="9002"/>
      <c r="BQ24" s="9027">
        <v>5936.527</v>
      </c>
      <c r="BR24" s="9027">
        <v>7493.8090000000002</v>
      </c>
      <c r="BS24" s="9027">
        <v>7577.8130000000001</v>
      </c>
      <c r="BT24" s="9027">
        <v>6453.2349999999997</v>
      </c>
      <c r="BU24" s="9027">
        <v>6021.9639999999999</v>
      </c>
      <c r="BV24" s="9002"/>
      <c r="BW24" s="9031"/>
      <c r="BX24" s="8991"/>
      <c r="BY24" s="8991"/>
      <c r="BZ24" s="9031"/>
      <c r="CA24" s="9031"/>
      <c r="CB24" s="8991"/>
      <c r="CC24" s="9031"/>
      <c r="CD24" s="9031"/>
      <c r="CE24" s="8991"/>
      <c r="CF24" s="9031"/>
      <c r="CG24" s="8991"/>
      <c r="CH24" s="9031"/>
      <c r="CI24" s="8991"/>
      <c r="CJ24" s="9031"/>
      <c r="CK24" s="8991"/>
      <c r="CL24" s="9031"/>
      <c r="CM24" s="8991"/>
      <c r="CN24" s="8991"/>
      <c r="CO24" s="8991"/>
      <c r="CP24" s="8991"/>
      <c r="CQ24" s="8991"/>
      <c r="CR24" s="8991"/>
      <c r="CS24" s="8991"/>
      <c r="CT24" s="8991"/>
      <c r="CU24" s="8991"/>
      <c r="CV24" s="8991"/>
      <c r="CW24" s="8991"/>
      <c r="CX24" s="8991"/>
    </row>
    <row r="25" spans="1:154" x14ac:dyDescent="0.9">
      <c r="A25" s="8993">
        <v>14</v>
      </c>
      <c r="B25" s="8943" t="s">
        <v>1370</v>
      </c>
      <c r="D25" s="9032">
        <v>1394367.718401788</v>
      </c>
      <c r="E25" s="9032">
        <v>1235872.7428234234</v>
      </c>
      <c r="F25" s="9041">
        <v>158494.97557836468</v>
      </c>
      <c r="G25" s="9036">
        <v>1926300</v>
      </c>
      <c r="H25" s="9038">
        <v>7420400</v>
      </c>
      <c r="I25" s="9032">
        <v>5494100</v>
      </c>
      <c r="J25" s="9035">
        <v>5515100</v>
      </c>
      <c r="K25" s="9035">
        <v>3588799.9999999995</v>
      </c>
      <c r="L25" s="9027" t="s">
        <v>35</v>
      </c>
      <c r="N25" s="9032">
        <v>1327359.7105911588</v>
      </c>
      <c r="O25" s="9032">
        <v>1204509.041924</v>
      </c>
      <c r="P25" s="9041">
        <v>122850.66866715881</v>
      </c>
      <c r="Q25" s="9036">
        <v>1769300</v>
      </c>
      <c r="R25" s="9038">
        <v>6286100</v>
      </c>
      <c r="S25" s="9032">
        <v>4516800</v>
      </c>
      <c r="T25" s="9035">
        <v>4671600</v>
      </c>
      <c r="U25" s="9035">
        <v>2902300</v>
      </c>
      <c r="V25" s="9027" t="s">
        <v>35</v>
      </c>
      <c r="X25" s="9032">
        <v>1251118.6165428094</v>
      </c>
      <c r="Y25" s="9032">
        <v>1113922.7771680001</v>
      </c>
      <c r="Z25" s="9041">
        <v>137195.83937480929</v>
      </c>
      <c r="AA25" s="9036">
        <v>1547200</v>
      </c>
      <c r="AB25" s="9038">
        <v>6627715.7437730003</v>
      </c>
      <c r="AC25" s="9032">
        <v>5080515.7437730003</v>
      </c>
      <c r="AD25" s="9035">
        <v>4320100</v>
      </c>
      <c r="AE25" s="9035">
        <v>2772900</v>
      </c>
      <c r="AF25" s="9027" t="s">
        <v>39</v>
      </c>
      <c r="AG25" s="9002"/>
      <c r="AH25" s="9032">
        <v>1002620.577258</v>
      </c>
      <c r="AI25" s="9032">
        <v>916314.88160700002</v>
      </c>
      <c r="AJ25" s="9041">
        <v>86305.695651000016</v>
      </c>
      <c r="AK25" s="9036">
        <v>1973416.8189999999</v>
      </c>
      <c r="AL25" s="9038">
        <v>6706001.0389999999</v>
      </c>
      <c r="AM25" s="9032">
        <v>4732584.22</v>
      </c>
      <c r="AN25" s="9035">
        <v>4741317.1619999995</v>
      </c>
      <c r="AO25" s="9035">
        <v>2767900.3429999999</v>
      </c>
      <c r="AP25" s="9027" t="s">
        <v>39</v>
      </c>
      <c r="AQ25" s="9002"/>
      <c r="AR25" s="9032">
        <v>1067017.413613</v>
      </c>
      <c r="AS25" s="9032">
        <v>889133.18990200013</v>
      </c>
      <c r="AT25" s="9041">
        <v>177884.22371099982</v>
      </c>
      <c r="AU25" s="9039">
        <v>1352400</v>
      </c>
      <c r="AV25" s="9038">
        <v>5484000</v>
      </c>
      <c r="AW25" s="9032">
        <v>4131600</v>
      </c>
      <c r="AX25" s="9035">
        <v>3766200</v>
      </c>
      <c r="AY25" s="9035">
        <v>2413800</v>
      </c>
      <c r="AZ25" s="9027" t="s">
        <v>39</v>
      </c>
      <c r="BA25" s="9002"/>
      <c r="BB25" s="9027" t="s">
        <v>35</v>
      </c>
      <c r="BC25" s="9027" t="s">
        <v>35</v>
      </c>
      <c r="BD25" s="9027" t="s">
        <v>39</v>
      </c>
      <c r="BE25" s="9027" t="s">
        <v>39</v>
      </c>
      <c r="BF25" s="9027" t="s">
        <v>39</v>
      </c>
      <c r="BG25" s="9002"/>
      <c r="BH25" s="9040" t="s">
        <v>837</v>
      </c>
      <c r="BI25" s="9040" t="s">
        <v>837</v>
      </c>
      <c r="BJ25" s="9002"/>
      <c r="BK25" s="9027">
        <v>1000000</v>
      </c>
      <c r="BL25" s="9027">
        <v>1000000</v>
      </c>
      <c r="BM25" s="9027">
        <v>1000000</v>
      </c>
      <c r="BN25" s="9027">
        <v>1000000</v>
      </c>
      <c r="BO25" s="9027">
        <v>1000000</v>
      </c>
      <c r="BP25" s="9002"/>
      <c r="BQ25" s="9027">
        <v>35192.985999999997</v>
      </c>
      <c r="BR25" s="9027">
        <v>34298.892999999996</v>
      </c>
      <c r="BS25" s="9027">
        <v>32222.266</v>
      </c>
      <c r="BT25" s="9027">
        <v>29955.01</v>
      </c>
      <c r="BU25" s="9027">
        <v>28423.874</v>
      </c>
      <c r="BV25" s="9002"/>
      <c r="BW25" s="9031"/>
      <c r="BX25" s="8991"/>
      <c r="BY25" s="8991"/>
      <c r="BZ25" s="9031"/>
      <c r="CA25" s="9031"/>
      <c r="CB25" s="8991"/>
      <c r="CC25" s="9031"/>
      <c r="CD25" s="9031"/>
      <c r="CE25" s="8991"/>
      <c r="CF25" s="9031"/>
      <c r="CG25" s="8991"/>
      <c r="CH25" s="9031"/>
      <c r="CI25" s="8991"/>
      <c r="CJ25" s="9031"/>
      <c r="CK25" s="8991"/>
      <c r="CL25" s="9031"/>
      <c r="CM25" s="8991"/>
      <c r="CN25" s="8991"/>
      <c r="CO25" s="8991"/>
      <c r="CP25" s="8991"/>
      <c r="CQ25" s="8991"/>
      <c r="CR25" s="8991"/>
      <c r="CS25" s="8991"/>
      <c r="CT25" s="8991"/>
      <c r="CU25" s="8991"/>
      <c r="CV25" s="8991"/>
      <c r="CW25" s="8991"/>
      <c r="CX25" s="8991"/>
    </row>
    <row r="26" spans="1:154" x14ac:dyDescent="0.9">
      <c r="A26" s="8993">
        <v>15</v>
      </c>
      <c r="B26" s="8943" t="s">
        <v>36</v>
      </c>
      <c r="D26" s="9032">
        <v>26927281.044255279</v>
      </c>
      <c r="E26" s="9033" t="s">
        <v>107</v>
      </c>
      <c r="F26" s="9044" t="s">
        <v>107</v>
      </c>
      <c r="G26" s="9036">
        <v>36988240</v>
      </c>
      <c r="H26" s="9038">
        <v>159099660</v>
      </c>
      <c r="I26" s="9032">
        <v>122111420</v>
      </c>
      <c r="J26" s="9035">
        <v>137383133</v>
      </c>
      <c r="K26" s="9035">
        <v>100394893</v>
      </c>
      <c r="L26" s="9027" t="s">
        <v>32</v>
      </c>
      <c r="N26" s="9032">
        <v>24941203.697430436</v>
      </c>
      <c r="O26" s="9033">
        <v>0</v>
      </c>
      <c r="P26" s="9033" t="s">
        <v>107</v>
      </c>
      <c r="Q26" s="9036">
        <v>36034669</v>
      </c>
      <c r="R26" s="9038">
        <v>152823050</v>
      </c>
      <c r="S26" s="9032">
        <v>116788381</v>
      </c>
      <c r="T26" s="9035">
        <v>120353732</v>
      </c>
      <c r="U26" s="9035">
        <v>84319063</v>
      </c>
      <c r="V26" s="9027" t="s">
        <v>32</v>
      </c>
      <c r="X26" s="9032">
        <v>23381488.993741937</v>
      </c>
      <c r="Y26" s="9033"/>
      <c r="Z26" s="9033"/>
      <c r="AA26" s="9036">
        <v>26519619</v>
      </c>
      <c r="AB26" s="9038">
        <v>132798032</v>
      </c>
      <c r="AC26" s="9032">
        <v>106278413</v>
      </c>
      <c r="AD26" s="9035">
        <v>108806925</v>
      </c>
      <c r="AE26" s="9035">
        <v>82287306</v>
      </c>
      <c r="AF26" s="9027" t="s">
        <v>32</v>
      </c>
      <c r="AG26" s="9002"/>
      <c r="AH26" s="9032">
        <v>18330063.07014031</v>
      </c>
      <c r="AI26" s="9033"/>
      <c r="AJ26" s="9033"/>
      <c r="AK26" s="9036">
        <v>27161123</v>
      </c>
      <c r="AL26" s="9038">
        <v>131646000</v>
      </c>
      <c r="AM26" s="9032">
        <v>104484877</v>
      </c>
      <c r="AN26" s="9035">
        <v>105594096</v>
      </c>
      <c r="AO26" s="9035">
        <v>78432973</v>
      </c>
      <c r="AP26" s="9027" t="s">
        <v>32</v>
      </c>
      <c r="AQ26" s="9002"/>
      <c r="AR26" s="9032">
        <v>18158305.583259799</v>
      </c>
      <c r="AS26" s="9033"/>
      <c r="AT26" s="9033"/>
      <c r="AU26" s="9039">
        <v>17001958</v>
      </c>
      <c r="AV26" s="9038">
        <v>125099652</v>
      </c>
      <c r="AW26" s="9032">
        <v>108097694</v>
      </c>
      <c r="AX26" s="9035">
        <v>93979960</v>
      </c>
      <c r="AY26" s="9035">
        <v>76978002</v>
      </c>
      <c r="AZ26" s="9027" t="s">
        <v>32</v>
      </c>
      <c r="BA26" s="9002"/>
      <c r="BB26" s="9027" t="s">
        <v>32</v>
      </c>
      <c r="BC26" s="9027" t="s">
        <v>32</v>
      </c>
      <c r="BD26" s="9027" t="s">
        <v>32</v>
      </c>
      <c r="BE26" s="9027" t="s">
        <v>32</v>
      </c>
      <c r="BF26" s="9027" t="s">
        <v>32</v>
      </c>
      <c r="BG26" s="9002"/>
      <c r="BH26" s="9040" t="s">
        <v>2013</v>
      </c>
      <c r="BI26" s="9040" t="s">
        <v>2013</v>
      </c>
      <c r="BJ26" s="9002"/>
      <c r="BK26" s="9027">
        <v>1000</v>
      </c>
      <c r="BL26" s="9027">
        <v>1000</v>
      </c>
      <c r="BM26" s="9027">
        <v>1000</v>
      </c>
      <c r="BN26" s="9027">
        <v>1000</v>
      </c>
      <c r="BO26" s="9027">
        <v>1000</v>
      </c>
      <c r="BP26" s="9002"/>
      <c r="BQ26" s="9027">
        <v>611.32500000000005</v>
      </c>
      <c r="BR26" s="9027">
        <v>594.702</v>
      </c>
      <c r="BS26" s="9027">
        <v>535.43799999999999</v>
      </c>
      <c r="BT26" s="9027">
        <v>491.72699999999998</v>
      </c>
      <c r="BU26" s="9027">
        <v>465.375</v>
      </c>
      <c r="BV26" s="9002"/>
      <c r="BW26" s="9031"/>
      <c r="BX26" s="8991"/>
      <c r="BY26" s="8991"/>
      <c r="BZ26" s="9031"/>
      <c r="CA26" s="9031"/>
      <c r="CB26" s="8991"/>
      <c r="CC26" s="9031"/>
      <c r="CD26" s="9031"/>
      <c r="CE26" s="8991"/>
      <c r="CF26" s="9031"/>
      <c r="CG26" s="8991"/>
      <c r="CH26" s="9031"/>
      <c r="CI26" s="8991"/>
      <c r="CJ26" s="9031"/>
      <c r="CK26" s="8991"/>
      <c r="CL26" s="9031"/>
      <c r="CM26" s="8991"/>
      <c r="CN26" s="8991"/>
      <c r="CO26" s="8991"/>
      <c r="CP26" s="8991"/>
      <c r="CQ26" s="8991"/>
      <c r="CR26" s="8991"/>
      <c r="CS26" s="8991"/>
      <c r="CT26" s="8991"/>
      <c r="CU26" s="8991"/>
      <c r="CV26" s="8991"/>
      <c r="CW26" s="8991"/>
      <c r="CX26" s="8991"/>
    </row>
    <row r="27" spans="1:154" x14ac:dyDescent="0.9">
      <c r="A27" s="8993">
        <v>16</v>
      </c>
      <c r="B27" s="8943" t="s">
        <v>37</v>
      </c>
      <c r="D27" s="8993">
        <v>2348670.6</v>
      </c>
      <c r="E27" s="8993">
        <v>2316990.7999999998</v>
      </c>
      <c r="F27" s="9041">
        <v>31679.800000000279</v>
      </c>
      <c r="G27" s="9047">
        <v>537742</v>
      </c>
      <c r="H27" s="9038">
        <v>9545385</v>
      </c>
      <c r="I27" s="9032">
        <v>9007643</v>
      </c>
      <c r="J27" s="9035">
        <v>8784392</v>
      </c>
      <c r="K27" s="9035">
        <v>8246650</v>
      </c>
      <c r="L27" s="9027" t="s">
        <v>35</v>
      </c>
      <c r="N27" s="8993">
        <v>1440895</v>
      </c>
      <c r="O27" s="8993">
        <v>1363157</v>
      </c>
      <c r="P27" s="9041">
        <v>77738</v>
      </c>
      <c r="Q27" s="9047">
        <v>253185</v>
      </c>
      <c r="R27" s="9038">
        <v>8241634</v>
      </c>
      <c r="S27" s="9032">
        <v>7988449</v>
      </c>
      <c r="T27" s="9035">
        <v>7126914</v>
      </c>
      <c r="U27" s="9035">
        <v>6873729</v>
      </c>
      <c r="V27" s="9027" t="s">
        <v>39</v>
      </c>
      <c r="X27" s="8993">
        <v>1055717.4849760002</v>
      </c>
      <c r="Y27" s="8993">
        <v>1006741.7933960001</v>
      </c>
      <c r="Z27" s="9041">
        <v>48975.691580000101</v>
      </c>
      <c r="AA27" s="9047">
        <v>190526.36939499999</v>
      </c>
      <c r="AB27" s="9038">
        <v>6266942.5204489995</v>
      </c>
      <c r="AC27" s="9032">
        <v>6076416.1510539996</v>
      </c>
      <c r="AD27" s="9035">
        <v>5770160.133556</v>
      </c>
      <c r="AE27" s="9035">
        <v>5579633.764161</v>
      </c>
      <c r="AF27" s="9027" t="s">
        <v>35</v>
      </c>
      <c r="AG27" s="9002"/>
      <c r="AH27" s="8993">
        <v>810057.82199999993</v>
      </c>
      <c r="AI27" s="8993">
        <v>804775.19499999995</v>
      </c>
      <c r="AJ27" s="9041">
        <v>5282.6269999999786</v>
      </c>
      <c r="AK27" s="9047">
        <v>150279.9</v>
      </c>
      <c r="AL27" s="9038">
        <v>4375045.6870000008</v>
      </c>
      <c r="AM27" s="9032">
        <v>4224765.7870000005</v>
      </c>
      <c r="AN27" s="9035">
        <v>3830609.38</v>
      </c>
      <c r="AO27" s="9035">
        <v>3680329.48</v>
      </c>
      <c r="AP27" s="8993" t="s">
        <v>35</v>
      </c>
      <c r="AQ27" s="9002"/>
      <c r="AR27" s="8993">
        <v>794877.04115200008</v>
      </c>
      <c r="AS27" s="8993">
        <v>763577.44115199998</v>
      </c>
      <c r="AT27" s="9041">
        <v>31299.600000000093</v>
      </c>
      <c r="AU27" s="9048">
        <v>230128.1</v>
      </c>
      <c r="AV27" s="9038">
        <v>4124331</v>
      </c>
      <c r="AW27" s="9032">
        <v>3894202.9</v>
      </c>
      <c r="AX27" s="9035">
        <v>3786344</v>
      </c>
      <c r="AY27" s="9035">
        <v>3556215.9</v>
      </c>
      <c r="AZ27" s="9027" t="s">
        <v>39</v>
      </c>
      <c r="BA27" s="9002"/>
      <c r="BB27" s="9027" t="s">
        <v>35</v>
      </c>
      <c r="BC27" s="9027" t="s">
        <v>39</v>
      </c>
      <c r="BD27" s="9027" t="s">
        <v>35</v>
      </c>
      <c r="BE27" s="9027" t="s">
        <v>35</v>
      </c>
      <c r="BF27" s="9027" t="s">
        <v>39</v>
      </c>
      <c r="BG27" s="9002"/>
      <c r="BH27" s="9040" t="s">
        <v>2068</v>
      </c>
      <c r="BI27" s="9040" t="s">
        <v>2068</v>
      </c>
      <c r="BJ27" s="9002"/>
      <c r="BK27" s="9027">
        <v>1000000</v>
      </c>
      <c r="BL27" s="9027">
        <v>1000000</v>
      </c>
      <c r="BM27" s="9027">
        <v>1000000</v>
      </c>
      <c r="BN27" s="9027">
        <v>1000000</v>
      </c>
      <c r="BO27" s="9027">
        <v>1000000</v>
      </c>
      <c r="BP27" s="9002"/>
      <c r="BQ27" s="9027">
        <v>90181.047999999995</v>
      </c>
      <c r="BR27" s="9027">
        <v>83048.34</v>
      </c>
      <c r="BS27" s="9027">
        <v>76495.5</v>
      </c>
      <c r="BT27" s="9027">
        <v>55676.093000000001</v>
      </c>
      <c r="BU27" s="9027">
        <v>37517.392</v>
      </c>
      <c r="BV27" s="9002"/>
      <c r="BW27" s="9031"/>
      <c r="BX27" s="8991"/>
      <c r="BY27" s="8991"/>
      <c r="BZ27" s="9031"/>
      <c r="CA27" s="9031"/>
      <c r="CB27" s="8991"/>
      <c r="CC27" s="9031"/>
      <c r="CD27" s="9031"/>
      <c r="CE27" s="8991"/>
      <c r="CF27" s="9031"/>
      <c r="CG27" s="8991"/>
      <c r="CH27" s="9031"/>
      <c r="CI27" s="8991"/>
      <c r="CJ27" s="9031"/>
      <c r="CK27" s="8991"/>
      <c r="CL27" s="9031"/>
      <c r="CM27" s="8991"/>
      <c r="CN27" s="8991"/>
      <c r="CO27" s="8991"/>
      <c r="CP27" s="8991"/>
      <c r="CQ27" s="8991"/>
      <c r="CR27" s="8991"/>
      <c r="CS27" s="8991"/>
      <c r="CT27" s="8991"/>
      <c r="CU27" s="8991"/>
      <c r="CV27" s="8991"/>
      <c r="CW27" s="8991"/>
      <c r="CX27" s="8991"/>
    </row>
    <row r="28" spans="1:154" x14ac:dyDescent="0.9">
      <c r="A28" s="8993">
        <v>17</v>
      </c>
      <c r="B28" s="8943" t="s">
        <v>110</v>
      </c>
      <c r="D28" s="9049" t="s">
        <v>107</v>
      </c>
      <c r="E28" s="9033" t="s">
        <v>107</v>
      </c>
      <c r="F28" s="9044" t="s">
        <v>107</v>
      </c>
      <c r="G28" s="9033">
        <v>0</v>
      </c>
      <c r="H28" s="9043" t="s">
        <v>107</v>
      </c>
      <c r="I28" s="9033" t="s">
        <v>107</v>
      </c>
      <c r="J28" s="9033" t="s">
        <v>107</v>
      </c>
      <c r="K28" s="9033" t="s">
        <v>107</v>
      </c>
      <c r="L28" s="9045" t="s">
        <v>107</v>
      </c>
      <c r="N28" s="8993">
        <v>43314.5</v>
      </c>
      <c r="O28" s="9033" t="s">
        <v>107</v>
      </c>
      <c r="P28" s="9044" t="s">
        <v>107</v>
      </c>
      <c r="Q28" s="9033">
        <v>0</v>
      </c>
      <c r="R28" s="9038">
        <v>346915.5</v>
      </c>
      <c r="S28" s="9033" t="s">
        <v>107</v>
      </c>
      <c r="T28" s="9035">
        <v>346915.5</v>
      </c>
      <c r="U28" s="9033" t="s">
        <v>107</v>
      </c>
      <c r="V28" s="9027" t="s">
        <v>32</v>
      </c>
      <c r="X28" s="8993">
        <v>45849.8</v>
      </c>
      <c r="Y28" s="9033" t="s">
        <v>107</v>
      </c>
      <c r="Z28" s="9044" t="s">
        <v>107</v>
      </c>
      <c r="AA28" s="9033">
        <v>0</v>
      </c>
      <c r="AB28" s="9038">
        <v>313387.90000000002</v>
      </c>
      <c r="AC28" s="9033" t="s">
        <v>107</v>
      </c>
      <c r="AD28" s="9035">
        <v>90922.5</v>
      </c>
      <c r="AE28" s="9033" t="s">
        <v>107</v>
      </c>
      <c r="AF28" s="9027" t="s">
        <v>32</v>
      </c>
      <c r="AG28" s="9002"/>
      <c r="AH28" s="9049"/>
      <c r="AI28" s="9033"/>
      <c r="AJ28" s="9044"/>
      <c r="AK28" s="9033"/>
      <c r="AL28" s="9043"/>
      <c r="AM28" s="9033"/>
      <c r="AN28" s="9033"/>
      <c r="AO28" s="9033"/>
      <c r="AP28" s="8993"/>
      <c r="AQ28" s="9002"/>
      <c r="AR28" s="9049"/>
      <c r="AS28" s="9033"/>
      <c r="AT28" s="9033"/>
      <c r="AU28" s="9033"/>
      <c r="AV28" s="9043"/>
      <c r="AW28" s="9033"/>
      <c r="AX28" s="9033"/>
      <c r="AY28" s="9033"/>
      <c r="BA28" s="9002"/>
      <c r="BB28" s="9027" t="s">
        <v>107</v>
      </c>
      <c r="BC28" s="9027" t="s">
        <v>32</v>
      </c>
      <c r="BD28" s="9027" t="s">
        <v>32</v>
      </c>
      <c r="BE28" s="9027">
        <v>0</v>
      </c>
      <c r="BF28" s="9027">
        <v>0</v>
      </c>
      <c r="BG28" s="9002"/>
      <c r="BH28" s="9040" t="s">
        <v>2113</v>
      </c>
      <c r="BI28" s="9040" t="s">
        <v>2113</v>
      </c>
      <c r="BJ28" s="9002"/>
      <c r="BK28" s="9027">
        <v>1000000</v>
      </c>
      <c r="BL28" s="9027">
        <v>1000000</v>
      </c>
      <c r="BM28" s="9027">
        <v>1000000</v>
      </c>
      <c r="BN28" s="9027">
        <v>1000000</v>
      </c>
      <c r="BO28" s="9027">
        <v>1000000</v>
      </c>
      <c r="BP28" s="9002"/>
      <c r="BQ28" s="9027">
        <v>3374.3490000000002</v>
      </c>
      <c r="BR28" s="9027">
        <v>2690.7510000000002</v>
      </c>
      <c r="BS28" s="9027">
        <v>2200.1210000000001</v>
      </c>
      <c r="BT28" s="9027">
        <v>1832.7860000000001</v>
      </c>
      <c r="BU28" s="9027">
        <v>1568.097</v>
      </c>
      <c r="BV28" s="9002"/>
      <c r="BW28" s="9031"/>
      <c r="BX28" s="8991"/>
      <c r="BY28" s="8991"/>
      <c r="BZ28" s="9031"/>
      <c r="CA28" s="9031"/>
      <c r="CB28" s="8991"/>
      <c r="CC28" s="9031"/>
      <c r="CD28" s="9031"/>
      <c r="CE28" s="8991"/>
      <c r="CF28" s="9031"/>
      <c r="CG28" s="8991"/>
      <c r="CH28" s="9031"/>
      <c r="CI28" s="8991"/>
      <c r="CJ28" s="9031"/>
      <c r="CK28" s="8991"/>
      <c r="CL28" s="9031"/>
      <c r="CM28" s="8991"/>
      <c r="CN28" s="8991"/>
      <c r="CO28" s="8991"/>
      <c r="CP28" s="8991"/>
      <c r="CQ28" s="8991"/>
      <c r="CR28" s="8991"/>
      <c r="CS28" s="8991"/>
      <c r="CT28" s="8991"/>
      <c r="CU28" s="8991"/>
      <c r="CV28" s="8991"/>
      <c r="CW28" s="8991"/>
      <c r="CX28" s="8991"/>
    </row>
    <row r="29" spans="1:154" x14ac:dyDescent="0.9">
      <c r="A29" s="8993">
        <v>18</v>
      </c>
      <c r="B29" s="8943" t="s">
        <v>6782</v>
      </c>
      <c r="D29" s="8993">
        <v>2827324499.5609732</v>
      </c>
      <c r="E29" s="9033">
        <v>0</v>
      </c>
      <c r="F29" s="9044" t="s">
        <v>107</v>
      </c>
      <c r="G29" s="9047">
        <v>4216170790</v>
      </c>
      <c r="H29" s="9038">
        <v>19661961686</v>
      </c>
      <c r="I29" s="9032">
        <v>15445790896</v>
      </c>
      <c r="J29" s="9035">
        <v>17435285847</v>
      </c>
      <c r="K29" s="9035">
        <v>13219115057</v>
      </c>
      <c r="L29" s="9027" t="s">
        <v>39</v>
      </c>
      <c r="N29" s="8993">
        <v>2655746484.9323363</v>
      </c>
      <c r="O29" s="9033" t="s">
        <v>107</v>
      </c>
      <c r="P29" s="9033" t="s">
        <v>107</v>
      </c>
      <c r="Q29" s="9047">
        <v>3983967770</v>
      </c>
      <c r="R29" s="9038">
        <v>15129184259</v>
      </c>
      <c r="S29" s="9032">
        <v>11145216489</v>
      </c>
      <c r="T29" s="9035">
        <v>14342426602</v>
      </c>
      <c r="U29" s="9035">
        <v>10358458832</v>
      </c>
      <c r="V29" s="9027" t="s">
        <v>39</v>
      </c>
      <c r="X29" s="8993">
        <v>1964164173.0455492</v>
      </c>
      <c r="Y29" s="9033">
        <v>0</v>
      </c>
      <c r="Z29" s="9041">
        <v>1964164173.0455492</v>
      </c>
      <c r="AA29" s="9047">
        <v>4148583270</v>
      </c>
      <c r="AB29" s="9038">
        <v>13041975453</v>
      </c>
      <c r="AC29" s="9032">
        <v>8893392183</v>
      </c>
      <c r="AD29" s="9035">
        <v>12361001486</v>
      </c>
      <c r="AE29" s="9035">
        <v>8212418216</v>
      </c>
      <c r="AF29" s="9027" t="s">
        <v>39</v>
      </c>
      <c r="AG29" s="9002"/>
      <c r="AH29" s="9049">
        <v>0</v>
      </c>
      <c r="AI29" s="9049">
        <v>0</v>
      </c>
      <c r="AJ29" s="9043">
        <v>0</v>
      </c>
      <c r="AK29" s="9047">
        <v>3777746829</v>
      </c>
      <c r="AL29" s="8993">
        <v>10914265276</v>
      </c>
      <c r="AM29" s="8993">
        <v>7136518447</v>
      </c>
      <c r="AN29" s="9035">
        <v>10348325422</v>
      </c>
      <c r="AO29" s="9035">
        <v>6570578593</v>
      </c>
      <c r="AP29" s="9027" t="s">
        <v>35</v>
      </c>
      <c r="AQ29" s="9002"/>
      <c r="AR29" s="8993">
        <v>1303527.9048885112</v>
      </c>
      <c r="AS29" s="8993">
        <v>1222899.9019162159</v>
      </c>
      <c r="AT29" s="9041">
        <v>80628.002972295275</v>
      </c>
      <c r="AU29" s="9048">
        <v>3603725.8908619653</v>
      </c>
      <c r="AV29" s="9038">
        <v>14522788.875896748</v>
      </c>
      <c r="AW29" s="9032">
        <v>10919062.985034782</v>
      </c>
      <c r="AX29" s="9035">
        <v>13763659.000133157</v>
      </c>
      <c r="AY29" s="9035">
        <v>10159933.109271191</v>
      </c>
      <c r="AZ29" s="9027" t="s">
        <v>35</v>
      </c>
      <c r="BA29" s="9002"/>
      <c r="BB29" s="9027" t="s">
        <v>39</v>
      </c>
      <c r="BC29" s="9027" t="s">
        <v>39</v>
      </c>
      <c r="BD29" s="9027" t="s">
        <v>39</v>
      </c>
      <c r="BE29" s="9027" t="s">
        <v>35</v>
      </c>
      <c r="BF29" s="9027" t="s">
        <v>35</v>
      </c>
      <c r="BG29" s="9002"/>
      <c r="BH29" s="9040" t="s">
        <v>2155</v>
      </c>
      <c r="BI29" s="9040" t="s">
        <v>2155</v>
      </c>
      <c r="BJ29" s="9002"/>
      <c r="BK29" s="9027">
        <v>1</v>
      </c>
      <c r="BL29" s="9027">
        <v>1</v>
      </c>
      <c r="BM29" s="9027">
        <v>1</v>
      </c>
      <c r="BN29" s="9027">
        <v>1</v>
      </c>
      <c r="BO29" s="9027">
        <v>1</v>
      </c>
      <c r="BP29" s="9002"/>
      <c r="BQ29" s="9027">
        <v>96.046999999999997</v>
      </c>
      <c r="BR29" s="9027">
        <v>90.793999999999997</v>
      </c>
      <c r="BS29" s="9027">
        <v>80.445999999999998</v>
      </c>
      <c r="BT29" s="9027">
        <v>70.141999999999996</v>
      </c>
      <c r="BU29" s="9027">
        <v>64.39</v>
      </c>
      <c r="BV29" s="9002"/>
      <c r="BW29" s="9031"/>
      <c r="BX29" s="8991"/>
      <c r="BY29" s="8991"/>
      <c r="BZ29" s="9031"/>
      <c r="CA29" s="9031"/>
      <c r="CB29" s="8991"/>
      <c r="CC29" s="9031"/>
      <c r="CD29" s="9031"/>
      <c r="CE29" s="8991"/>
      <c r="CF29" s="9031"/>
      <c r="CG29" s="8991"/>
      <c r="CH29" s="9031"/>
      <c r="CI29" s="8991"/>
      <c r="CJ29" s="9031"/>
      <c r="CK29" s="8991"/>
      <c r="CL29" s="9031"/>
      <c r="CM29" s="8991"/>
      <c r="CN29" s="8991"/>
      <c r="CO29" s="8991"/>
      <c r="CP29" s="8991"/>
      <c r="CQ29" s="8991"/>
      <c r="CR29" s="8991"/>
      <c r="CS29" s="8991"/>
      <c r="CT29" s="8991"/>
      <c r="CU29" s="8991"/>
      <c r="CV29" s="8991"/>
      <c r="CW29" s="8991"/>
      <c r="CX29" s="8991"/>
    </row>
    <row r="30" spans="1:154" x14ac:dyDescent="0.9">
      <c r="A30" s="8993">
        <v>19</v>
      </c>
      <c r="B30" s="8943" t="s">
        <v>40</v>
      </c>
      <c r="D30" s="8993">
        <v>17371.605611176525</v>
      </c>
      <c r="E30" s="8993">
        <v>14755.865391994006</v>
      </c>
      <c r="F30" s="8993">
        <v>2615.7402191825186</v>
      </c>
      <c r="G30" s="9047">
        <v>24599.258892999998</v>
      </c>
      <c r="H30" s="8993">
        <v>96400.430181999996</v>
      </c>
      <c r="I30" s="8993">
        <v>71801.171288999991</v>
      </c>
      <c r="J30" s="9035">
        <v>84317.557050999982</v>
      </c>
      <c r="K30" s="9050">
        <v>59718.298157999991</v>
      </c>
      <c r="L30" s="9027" t="s">
        <v>32</v>
      </c>
      <c r="N30" s="8993">
        <v>13546035864.25872</v>
      </c>
      <c r="O30" s="8993">
        <v>12008775583</v>
      </c>
      <c r="P30" s="8993">
        <v>1537260281.2587204</v>
      </c>
      <c r="Q30" s="9047">
        <v>19595109697</v>
      </c>
      <c r="R30" s="8993">
        <v>70189825158</v>
      </c>
      <c r="S30" s="8993">
        <v>50594715461</v>
      </c>
      <c r="T30" s="9035">
        <v>64155373580</v>
      </c>
      <c r="U30" s="9050">
        <v>44560263883</v>
      </c>
      <c r="V30" s="9027" t="s">
        <v>32</v>
      </c>
      <c r="X30" s="8993">
        <v>11459762874.000717</v>
      </c>
      <c r="Y30" s="9032">
        <v>8919968531</v>
      </c>
      <c r="Z30" s="9041">
        <v>2539794343.0007172</v>
      </c>
      <c r="AA30" s="9047">
        <v>14909848896</v>
      </c>
      <c r="AB30" s="8993">
        <v>59513731568</v>
      </c>
      <c r="AC30" s="8993">
        <v>44603882672</v>
      </c>
      <c r="AD30" s="9035">
        <v>52617429677</v>
      </c>
      <c r="AE30" s="9050">
        <v>37707580781</v>
      </c>
      <c r="AF30" s="9027" t="s">
        <v>32</v>
      </c>
      <c r="AG30" s="9002"/>
      <c r="AH30" s="8993">
        <v>9921344552.8375645</v>
      </c>
      <c r="AI30" s="8993">
        <v>7897796572</v>
      </c>
      <c r="AJ30" s="9041">
        <v>2023547980.8375645</v>
      </c>
      <c r="AK30" s="9036">
        <v>13940521981</v>
      </c>
      <c r="AL30" s="9038">
        <v>54394794955</v>
      </c>
      <c r="AM30" s="9032">
        <v>40454272974</v>
      </c>
      <c r="AN30" s="9035">
        <v>47267083184</v>
      </c>
      <c r="AO30" s="9035">
        <v>33326561203</v>
      </c>
      <c r="AP30" s="9027" t="s">
        <v>32</v>
      </c>
      <c r="AQ30" s="9002"/>
      <c r="AR30" s="8993">
        <v>10368238933.213207</v>
      </c>
      <c r="AS30" s="8993">
        <v>8196042281</v>
      </c>
      <c r="AT30" s="9041">
        <v>2172196652.2132072</v>
      </c>
      <c r="AU30" s="9039">
        <v>10490600361</v>
      </c>
      <c r="AV30" s="9038">
        <v>43505103547</v>
      </c>
      <c r="AW30" s="9032">
        <v>33014503186</v>
      </c>
      <c r="AX30" s="9035">
        <v>36828226285</v>
      </c>
      <c r="AY30" s="9035">
        <v>26337625924</v>
      </c>
      <c r="AZ30" s="9027" t="s">
        <v>32</v>
      </c>
      <c r="BA30" s="9002"/>
      <c r="BB30" s="9027" t="s">
        <v>32</v>
      </c>
      <c r="BC30" s="9027" t="s">
        <v>32</v>
      </c>
      <c r="BD30" s="9027" t="s">
        <v>32</v>
      </c>
      <c r="BE30" s="9027" t="s">
        <v>32</v>
      </c>
      <c r="BF30" s="9027" t="s">
        <v>32</v>
      </c>
      <c r="BG30" s="9002"/>
      <c r="BH30" s="9040" t="s">
        <v>2233</v>
      </c>
      <c r="BI30" s="9040" t="s">
        <v>2233</v>
      </c>
      <c r="BJ30" s="9002"/>
      <c r="BK30" s="9027">
        <v>1</v>
      </c>
      <c r="BL30" s="9027">
        <v>1</v>
      </c>
      <c r="BM30" s="9027">
        <v>1</v>
      </c>
      <c r="BN30" s="9027">
        <v>1</v>
      </c>
      <c r="BO30" s="9027">
        <v>1</v>
      </c>
      <c r="BP30" s="9002"/>
      <c r="BQ30" s="9027">
        <v>383.48599999999999</v>
      </c>
      <c r="BR30" s="9027">
        <v>356.54399999999998</v>
      </c>
      <c r="BS30" s="9027">
        <v>308.58699999999999</v>
      </c>
      <c r="BT30" s="9027">
        <v>262.798</v>
      </c>
      <c r="BU30" s="9027">
        <v>219.595</v>
      </c>
      <c r="BV30" s="9002"/>
      <c r="BW30" s="9031"/>
      <c r="BX30" s="8991"/>
      <c r="BY30" s="8991"/>
      <c r="BZ30" s="9031"/>
      <c r="CA30" s="9031"/>
      <c r="CB30" s="8991"/>
      <c r="CC30" s="9031"/>
      <c r="CD30" s="9031"/>
      <c r="CE30" s="8991"/>
      <c r="CF30" s="9031"/>
      <c r="CG30" s="8991"/>
      <c r="CH30" s="9031"/>
      <c r="CI30" s="8991"/>
      <c r="CJ30" s="9031"/>
      <c r="CK30" s="8991"/>
      <c r="CL30" s="9031"/>
      <c r="CM30" s="8991"/>
      <c r="CN30" s="8991"/>
      <c r="CO30" s="8991"/>
      <c r="CP30" s="8991"/>
      <c r="CQ30" s="8991"/>
      <c r="CR30" s="8991"/>
      <c r="CS30" s="8991"/>
      <c r="CT30" s="8991"/>
      <c r="CU30" s="8991"/>
      <c r="CV30" s="8991"/>
      <c r="CW30" s="8991"/>
      <c r="CX30" s="8991"/>
    </row>
    <row r="31" spans="1:154" x14ac:dyDescent="0.9">
      <c r="A31" s="8993">
        <v>20</v>
      </c>
      <c r="B31" s="8943" t="s">
        <v>42</v>
      </c>
      <c r="D31" s="9024">
        <v>1207.2933333333335</v>
      </c>
      <c r="E31" s="9032">
        <v>1206.0800000000002</v>
      </c>
      <c r="F31" s="9041">
        <v>1.2133333333333667</v>
      </c>
      <c r="G31" s="9047">
        <v>1077.1333333333334</v>
      </c>
      <c r="H31" s="8993">
        <v>13178.484567344633</v>
      </c>
      <c r="I31" s="8993">
        <v>12101.351234011299</v>
      </c>
      <c r="J31" s="9035">
        <v>9802.2933333333331</v>
      </c>
      <c r="K31" s="9050">
        <v>8725.16</v>
      </c>
      <c r="L31" s="9027" t="s">
        <v>35</v>
      </c>
      <c r="N31" s="9024">
        <v>2252.6299999999997</v>
      </c>
      <c r="O31" s="9032">
        <v>2151.6</v>
      </c>
      <c r="P31" s="9041">
        <v>101.02999999999975</v>
      </c>
      <c r="Q31" s="9047">
        <v>577</v>
      </c>
      <c r="R31" s="8993">
        <v>16882.73</v>
      </c>
      <c r="S31" s="8993">
        <v>16305.73</v>
      </c>
      <c r="T31" s="9035">
        <v>12895.3</v>
      </c>
      <c r="U31" s="9050">
        <v>12318.3</v>
      </c>
      <c r="V31" s="9027" t="s">
        <v>39</v>
      </c>
      <c r="X31" s="9024">
        <v>2228326665.2024517</v>
      </c>
      <c r="Y31" s="9032">
        <v>1938165243.9672186</v>
      </c>
      <c r="Z31" s="9041">
        <v>290161421.23523307</v>
      </c>
      <c r="AA31" s="9047">
        <v>775855210.85486376</v>
      </c>
      <c r="AB31" s="8993">
        <v>20410925565.939487</v>
      </c>
      <c r="AC31" s="8993">
        <v>19635070355.084625</v>
      </c>
      <c r="AD31" s="9035">
        <v>11710861782.086672</v>
      </c>
      <c r="AE31" s="9050">
        <v>10935006571.231808</v>
      </c>
      <c r="AF31" s="9027" t="s">
        <v>35</v>
      </c>
      <c r="AG31" s="9002"/>
      <c r="AH31" s="9024">
        <v>2242930000</v>
      </c>
      <c r="AI31" s="9032">
        <v>1916560000</v>
      </c>
      <c r="AJ31" s="9041">
        <v>326370000</v>
      </c>
      <c r="AK31" s="9036">
        <v>756300000</v>
      </c>
      <c r="AL31" s="8993">
        <v>16057600000</v>
      </c>
      <c r="AM31" s="9032">
        <v>15301300000</v>
      </c>
      <c r="AN31" s="9035">
        <v>10662600000</v>
      </c>
      <c r="AO31" s="9050">
        <v>9906300000</v>
      </c>
      <c r="AP31" s="9027" t="s">
        <v>39</v>
      </c>
      <c r="AQ31" s="9002"/>
      <c r="AR31" s="9024">
        <v>1635243392.0340183</v>
      </c>
      <c r="AS31" s="9032">
        <v>1488373179.3152668</v>
      </c>
      <c r="AT31" s="9041">
        <v>146870212.71875143</v>
      </c>
      <c r="AU31" s="9039">
        <v>942800000</v>
      </c>
      <c r="AV31" s="8993">
        <v>12362270000</v>
      </c>
      <c r="AW31" s="9032">
        <v>11419470000</v>
      </c>
      <c r="AX31" s="9035">
        <v>8680200000</v>
      </c>
      <c r="AY31" s="9050">
        <v>7737400000</v>
      </c>
      <c r="AZ31" s="9027" t="s">
        <v>39</v>
      </c>
      <c r="BA31" s="9002"/>
      <c r="BB31" s="9027" t="s">
        <v>35</v>
      </c>
      <c r="BC31" s="9027" t="s">
        <v>39</v>
      </c>
      <c r="BD31" s="9027" t="s">
        <v>35</v>
      </c>
      <c r="BE31" s="9027" t="s">
        <v>39</v>
      </c>
      <c r="BF31" s="9027" t="s">
        <v>39</v>
      </c>
      <c r="BG31" s="9002"/>
      <c r="BH31" s="9040" t="s">
        <v>2372</v>
      </c>
      <c r="BI31" s="9040" t="s">
        <v>2372</v>
      </c>
      <c r="BJ31" s="9002"/>
      <c r="BK31" s="9027">
        <v>1000000000</v>
      </c>
      <c r="BL31" s="9027">
        <v>1000000000</v>
      </c>
      <c r="BM31" s="9027">
        <v>1000</v>
      </c>
      <c r="BN31" s="9027">
        <v>1000</v>
      </c>
      <c r="BO31" s="9027">
        <v>1000</v>
      </c>
      <c r="BP31" s="9002"/>
      <c r="BQ31" s="9027">
        <v>147187.84599999999</v>
      </c>
      <c r="BR31" s="9027">
        <v>124109.147</v>
      </c>
      <c r="BS31" s="9027">
        <v>106845.292</v>
      </c>
      <c r="BT31" s="9027">
        <v>93833.884000000005</v>
      </c>
      <c r="BU31" s="9027">
        <v>77087.903000000006</v>
      </c>
      <c r="BV31" s="9002"/>
      <c r="BW31" s="9031"/>
      <c r="BX31" s="8991"/>
      <c r="BY31" s="8991"/>
      <c r="BZ31" s="9031"/>
      <c r="CA31" s="9031"/>
      <c r="CB31" s="8991"/>
      <c r="CC31" s="9031"/>
      <c r="CD31" s="9031"/>
      <c r="CE31" s="8991"/>
      <c r="CF31" s="9031"/>
      <c r="CG31" s="8991"/>
      <c r="CH31" s="9031"/>
      <c r="CI31" s="8991"/>
      <c r="CJ31" s="9031"/>
      <c r="CK31" s="8991"/>
      <c r="CL31" s="9031"/>
      <c r="CM31" s="8991"/>
      <c r="CN31" s="8991"/>
      <c r="CO31" s="8991"/>
      <c r="CP31" s="8991"/>
      <c r="CQ31" s="8991"/>
      <c r="CR31" s="8991"/>
      <c r="CS31" s="8991"/>
      <c r="CT31" s="8991"/>
      <c r="CU31" s="8991"/>
      <c r="CV31" s="8991"/>
      <c r="CW31" s="8991"/>
      <c r="CX31" s="8991"/>
    </row>
    <row r="32" spans="1:154" x14ac:dyDescent="0.9">
      <c r="A32" s="8993">
        <v>21</v>
      </c>
      <c r="B32" s="8943" t="s">
        <v>43</v>
      </c>
      <c r="D32" s="9024">
        <v>55521069.543127611</v>
      </c>
      <c r="E32" s="9032">
        <v>52490015.962122686</v>
      </c>
      <c r="F32" s="9041">
        <v>3031053.5810049251</v>
      </c>
      <c r="G32" s="9047">
        <v>18596407.451930676</v>
      </c>
      <c r="H32" s="8993">
        <v>326849403.82860041</v>
      </c>
      <c r="I32" s="8993">
        <v>308252996.3766697</v>
      </c>
      <c r="J32" s="9035">
        <v>254048396.53508532</v>
      </c>
      <c r="K32" s="9050">
        <v>235451989.08315465</v>
      </c>
      <c r="L32" s="9027" t="s">
        <v>35</v>
      </c>
      <c r="N32" s="9024">
        <v>54388125.51540342</v>
      </c>
      <c r="O32" s="9032">
        <v>44368417.439739086</v>
      </c>
      <c r="P32" s="9041">
        <v>10019708.075664334</v>
      </c>
      <c r="Q32" s="9047">
        <v>17647894</v>
      </c>
      <c r="R32" s="8993">
        <v>291593473</v>
      </c>
      <c r="S32" s="8993">
        <v>273945579</v>
      </c>
      <c r="T32" s="9035">
        <v>225331034</v>
      </c>
      <c r="U32" s="9050">
        <v>207683140</v>
      </c>
      <c r="V32" s="9027" t="s">
        <v>39</v>
      </c>
      <c r="X32" s="9024">
        <v>48298672.309558719</v>
      </c>
      <c r="Y32" s="9032">
        <v>44368417.439739086</v>
      </c>
      <c r="Z32" s="9041">
        <v>3930254.8698196337</v>
      </c>
      <c r="AA32" s="9047">
        <v>17671538</v>
      </c>
      <c r="AB32" s="8993">
        <v>270099423</v>
      </c>
      <c r="AC32" s="8993">
        <v>252427885</v>
      </c>
      <c r="AD32" s="9035">
        <v>211083300</v>
      </c>
      <c r="AE32" s="9050">
        <v>193411762</v>
      </c>
      <c r="AF32" s="9027" t="s">
        <v>39</v>
      </c>
      <c r="AG32" s="9002"/>
      <c r="AH32" s="9024">
        <v>45738084.439739093</v>
      </c>
      <c r="AI32" s="9032">
        <v>44368417.439739086</v>
      </c>
      <c r="AJ32" s="9041">
        <v>1369667.0000000075</v>
      </c>
      <c r="AK32" s="9039">
        <v>14828323</v>
      </c>
      <c r="AL32" s="9032">
        <v>246820058</v>
      </c>
      <c r="AM32" s="9032">
        <v>231991735</v>
      </c>
      <c r="AN32" s="9035">
        <v>188201800</v>
      </c>
      <c r="AO32" s="9050">
        <v>173373477</v>
      </c>
      <c r="AP32" s="9027" t="s">
        <v>39</v>
      </c>
      <c r="AQ32" s="9002"/>
      <c r="AR32" s="9024">
        <v>34429662.558004782</v>
      </c>
      <c r="AS32" s="9032">
        <v>31982644.558004785</v>
      </c>
      <c r="AT32" s="9041">
        <v>2447017.9999999963</v>
      </c>
      <c r="AU32" s="9039">
        <v>20251831</v>
      </c>
      <c r="AV32" s="9032">
        <v>192068882</v>
      </c>
      <c r="AW32" s="9032">
        <v>171817051</v>
      </c>
      <c r="AX32" s="9035">
        <v>161404000</v>
      </c>
      <c r="AY32" s="9050">
        <v>141152169</v>
      </c>
      <c r="AZ32" s="9027" t="s">
        <v>39</v>
      </c>
      <c r="BA32" s="9002"/>
      <c r="BB32" s="9027" t="s">
        <v>35</v>
      </c>
      <c r="BC32" s="9027" t="s">
        <v>39</v>
      </c>
      <c r="BD32" s="9027" t="s">
        <v>39</v>
      </c>
      <c r="BE32" s="9027" t="s">
        <v>39</v>
      </c>
      <c r="BF32" s="9027" t="s">
        <v>39</v>
      </c>
      <c r="BG32" s="9002"/>
      <c r="BH32" s="9040" t="s">
        <v>2474</v>
      </c>
      <c r="BI32" s="9040" t="s">
        <v>2474</v>
      </c>
      <c r="BJ32" s="9002"/>
      <c r="BK32" s="9027">
        <v>1000</v>
      </c>
      <c r="BL32" s="9027">
        <v>1000</v>
      </c>
      <c r="BM32" s="9027">
        <v>1000</v>
      </c>
      <c r="BN32" s="9027">
        <v>1000</v>
      </c>
      <c r="BO32" s="9027">
        <v>1000</v>
      </c>
      <c r="BP32" s="9002"/>
      <c r="BQ32" s="9027">
        <v>1140.7570000000001</v>
      </c>
      <c r="BR32" s="9027">
        <v>1078.729</v>
      </c>
      <c r="BS32" s="9027">
        <v>994.47199999999998</v>
      </c>
      <c r="BT32" s="9027">
        <v>980.49800000000005</v>
      </c>
      <c r="BU32" s="9027">
        <v>925.67700000000002</v>
      </c>
      <c r="BV32" s="9002"/>
      <c r="BW32" s="9031"/>
      <c r="BX32" s="8991"/>
      <c r="BY32" s="8991"/>
      <c r="BZ32" s="9031"/>
      <c r="CA32" s="9031"/>
      <c r="CB32" s="8991"/>
      <c r="CC32" s="9031"/>
      <c r="CD32" s="9031"/>
      <c r="CE32" s="8991"/>
      <c r="CF32" s="9031"/>
      <c r="CG32" s="8991"/>
      <c r="CH32" s="9031"/>
      <c r="CI32" s="8991"/>
      <c r="CJ32" s="9031"/>
      <c r="CK32" s="8991"/>
      <c r="CL32" s="9031"/>
      <c r="CM32" s="8991"/>
      <c r="CN32" s="8991"/>
      <c r="CO32" s="8991"/>
      <c r="CP32" s="8991"/>
      <c r="CQ32" s="8991"/>
      <c r="CR32" s="8991"/>
      <c r="CS32" s="8991"/>
      <c r="CT32" s="8991"/>
      <c r="CU32" s="8991"/>
      <c r="CV32" s="8991"/>
      <c r="CW32" s="8991"/>
      <c r="CX32" s="8991"/>
    </row>
    <row r="33" spans="1:102" x14ac:dyDescent="0.9">
      <c r="A33" s="8993">
        <v>22</v>
      </c>
      <c r="B33" s="8943" t="s">
        <v>44</v>
      </c>
      <c r="D33" s="9024">
        <v>19708061336.007458</v>
      </c>
      <c r="E33" s="9032">
        <v>14937291665.310717</v>
      </c>
      <c r="F33" s="9041">
        <v>4770769670.6967411</v>
      </c>
      <c r="G33" s="9047">
        <v>14728765714.285713</v>
      </c>
      <c r="H33" s="8993">
        <v>129399710949.26749</v>
      </c>
      <c r="I33" s="8993">
        <v>114670945234.98178</v>
      </c>
      <c r="J33" s="9035">
        <v>98410422857.142853</v>
      </c>
      <c r="K33" s="9050">
        <v>83681657142.857147</v>
      </c>
      <c r="L33" s="9027" t="s">
        <v>35</v>
      </c>
      <c r="N33" s="9024">
        <v>18910416691.085323</v>
      </c>
      <c r="O33" s="9032">
        <v>14403257210.4333</v>
      </c>
      <c r="P33" s="9041">
        <v>4507159480.6520233</v>
      </c>
      <c r="Q33" s="9047">
        <v>14090521771.636364</v>
      </c>
      <c r="R33" s="8993">
        <v>114322085634.7171</v>
      </c>
      <c r="S33" s="8993">
        <v>100231563863.08073</v>
      </c>
      <c r="T33" s="9035">
        <v>83792746633.090912</v>
      </c>
      <c r="U33" s="9050">
        <v>69702224861.454544</v>
      </c>
      <c r="V33" s="9027" t="s">
        <v>35</v>
      </c>
      <c r="X33" s="9024">
        <v>17567841638.52005</v>
      </c>
      <c r="Y33" s="9032">
        <v>14271638333.130001</v>
      </c>
      <c r="Z33" s="9041">
        <v>3296203305.390049</v>
      </c>
      <c r="AA33" s="9047">
        <v>1949106327.2</v>
      </c>
      <c r="AB33" s="8993">
        <v>98271749138.25618</v>
      </c>
      <c r="AC33" s="8993">
        <v>96322642811.056183</v>
      </c>
      <c r="AD33" s="9035">
        <v>76286971696.495804</v>
      </c>
      <c r="AE33" s="9050">
        <v>74337865369.295807</v>
      </c>
      <c r="AF33" s="9027" t="s">
        <v>35</v>
      </c>
      <c r="AG33" s="9002"/>
      <c r="AH33" s="9024">
        <v>14845501886.802258</v>
      </c>
      <c r="AI33" s="9032">
        <v>11722634896.15274</v>
      </c>
      <c r="AJ33" s="9041">
        <v>3122866990.6495171</v>
      </c>
      <c r="AK33" s="9036">
        <v>11472250264.59</v>
      </c>
      <c r="AL33" s="9024">
        <v>106626681806.39001</v>
      </c>
      <c r="AM33" s="9032">
        <v>95154431541.800018</v>
      </c>
      <c r="AN33" s="9035">
        <v>83679730807.690002</v>
      </c>
      <c r="AO33" s="9050">
        <v>72207480543.100006</v>
      </c>
      <c r="AP33" s="9027" t="s">
        <v>39</v>
      </c>
      <c r="AQ33" s="9002"/>
      <c r="AR33" s="9024">
        <v>11787707228.16</v>
      </c>
      <c r="AS33" s="9032">
        <v>11568184966.42</v>
      </c>
      <c r="AT33" s="9041">
        <v>219522261.73999977</v>
      </c>
      <c r="AU33" s="9039">
        <v>1308247274.54</v>
      </c>
      <c r="AV33" s="9024">
        <v>63364560178.5</v>
      </c>
      <c r="AW33" s="9032">
        <v>62056312903.959999</v>
      </c>
      <c r="AX33" s="9035">
        <v>57433353831.199997</v>
      </c>
      <c r="AY33" s="9050">
        <v>56125106556.659996</v>
      </c>
      <c r="AZ33" s="9027" t="s">
        <v>35</v>
      </c>
      <c r="BA33" s="9002"/>
      <c r="BB33" s="9027" t="s">
        <v>35</v>
      </c>
      <c r="BC33" s="9027" t="s">
        <v>35</v>
      </c>
      <c r="BD33" s="9027" t="s">
        <v>35</v>
      </c>
      <c r="BE33" s="9027" t="s">
        <v>39</v>
      </c>
      <c r="BF33" s="9027" t="s">
        <v>35</v>
      </c>
      <c r="BG33" s="9002"/>
      <c r="BH33" s="9040" t="s">
        <v>1293</v>
      </c>
      <c r="BI33" s="9040" t="s">
        <v>1293</v>
      </c>
      <c r="BJ33" s="9002"/>
      <c r="BK33" s="9027">
        <v>1</v>
      </c>
      <c r="BL33" s="9027">
        <v>1</v>
      </c>
      <c r="BM33" s="9027">
        <v>1</v>
      </c>
      <c r="BN33" s="9027">
        <v>1</v>
      </c>
      <c r="BO33" s="9027">
        <v>1</v>
      </c>
      <c r="BP33" s="9002"/>
      <c r="BQ33" s="9027">
        <v>1449.8879999999999</v>
      </c>
      <c r="BR33" s="9027">
        <v>1244.0139999999999</v>
      </c>
      <c r="BS33" s="9027">
        <v>1076.413</v>
      </c>
      <c r="BT33" s="9027">
        <v>986.91899999999998</v>
      </c>
      <c r="BU33" s="9027">
        <v>844.47900000000004</v>
      </c>
      <c r="BV33" s="9002"/>
      <c r="BW33" s="9031"/>
      <c r="BX33" s="8991"/>
      <c r="BY33" s="8991"/>
      <c r="BZ33" s="9031"/>
      <c r="CA33" s="9031"/>
      <c r="CB33" s="8991"/>
      <c r="CC33" s="9031"/>
      <c r="CD33" s="9031"/>
      <c r="CE33" s="8991"/>
      <c r="CF33" s="9031"/>
      <c r="CG33" s="8991"/>
      <c r="CH33" s="9031"/>
      <c r="CI33" s="8991"/>
      <c r="CJ33" s="9031"/>
      <c r="CK33" s="8991"/>
      <c r="CL33" s="9031"/>
      <c r="CM33" s="8991"/>
      <c r="CN33" s="8991"/>
      <c r="CO33" s="8991"/>
      <c r="CP33" s="8991"/>
      <c r="CQ33" s="8991"/>
      <c r="CR33" s="8991"/>
      <c r="CS33" s="8991"/>
      <c r="CT33" s="8991"/>
      <c r="CU33" s="8991"/>
      <c r="CV33" s="8991"/>
      <c r="CW33" s="8991"/>
      <c r="CX33" s="8991"/>
    </row>
    <row r="34" spans="1:102" x14ac:dyDescent="0.9">
      <c r="A34" s="8993">
        <v>23</v>
      </c>
      <c r="B34" s="8943" t="s">
        <v>45</v>
      </c>
      <c r="D34" s="9032">
        <v>38900930127</v>
      </c>
      <c r="E34" s="9033" t="s">
        <v>107</v>
      </c>
      <c r="F34" s="9033" t="s">
        <v>107</v>
      </c>
      <c r="G34" s="9036">
        <v>124867148489</v>
      </c>
      <c r="H34" s="8993">
        <v>331184557656</v>
      </c>
      <c r="I34" s="8993">
        <v>206317409167</v>
      </c>
      <c r="J34" s="9035">
        <v>297739954111</v>
      </c>
      <c r="K34" s="9050">
        <v>172872805622</v>
      </c>
      <c r="L34" s="8993" t="s">
        <v>39</v>
      </c>
      <c r="N34" s="9032">
        <v>36035741892</v>
      </c>
      <c r="O34" s="9033" t="s">
        <v>107</v>
      </c>
      <c r="P34" s="9033" t="s">
        <v>107</v>
      </c>
      <c r="Q34" s="9036">
        <v>77963397628</v>
      </c>
      <c r="R34" s="8993">
        <v>239506001212</v>
      </c>
      <c r="S34" s="8993">
        <v>161542603584</v>
      </c>
      <c r="T34" s="9035">
        <v>213602656574</v>
      </c>
      <c r="U34" s="9050">
        <v>135639258946</v>
      </c>
      <c r="V34" s="8993" t="s">
        <v>39</v>
      </c>
      <c r="W34" s="8992"/>
      <c r="X34" s="9032">
        <v>34951428769</v>
      </c>
      <c r="Y34" s="9033"/>
      <c r="Z34" s="9033"/>
      <c r="AA34" s="9036">
        <v>67041940742</v>
      </c>
      <c r="AB34" s="8993">
        <v>237279111117</v>
      </c>
      <c r="AC34" s="8993">
        <v>170237170375</v>
      </c>
      <c r="AD34" s="9035">
        <v>206810049202</v>
      </c>
      <c r="AE34" s="9050">
        <v>139768108460</v>
      </c>
      <c r="AF34" s="8993" t="s">
        <v>39</v>
      </c>
      <c r="AG34" s="9002"/>
      <c r="AH34" s="9032">
        <v>32144727983</v>
      </c>
      <c r="AI34" s="9033"/>
      <c r="AJ34" s="9033"/>
      <c r="AK34" s="9036">
        <v>66848636514</v>
      </c>
      <c r="AL34" s="9032">
        <v>215808776000</v>
      </c>
      <c r="AM34" s="9032">
        <v>148960139486</v>
      </c>
      <c r="AN34" s="9035">
        <v>192927124235</v>
      </c>
      <c r="AO34" s="9050">
        <v>126078487721</v>
      </c>
      <c r="AP34" s="9027" t="s">
        <v>39</v>
      </c>
      <c r="AQ34" s="9002"/>
      <c r="AR34" s="9032">
        <v>31145800359.400002</v>
      </c>
      <c r="AS34" s="9033"/>
      <c r="AT34" s="9033"/>
      <c r="AU34" s="9039">
        <v>54385561761.600006</v>
      </c>
      <c r="AV34" s="9032">
        <v>227284482738.79999</v>
      </c>
      <c r="AW34" s="9032">
        <v>172898920977.19998</v>
      </c>
      <c r="AX34" s="9035">
        <v>175115130063.5</v>
      </c>
      <c r="AY34" s="9050">
        <v>120729568301.90001</v>
      </c>
      <c r="AZ34" s="9027" t="s">
        <v>39</v>
      </c>
      <c r="BA34" s="9002"/>
      <c r="BB34" s="9027" t="s">
        <v>39</v>
      </c>
      <c r="BC34" s="9027" t="s">
        <v>39</v>
      </c>
      <c r="BD34" s="9027" t="s">
        <v>39</v>
      </c>
      <c r="BE34" s="9027" t="s">
        <v>39</v>
      </c>
      <c r="BF34" s="9027" t="s">
        <v>39</v>
      </c>
      <c r="BG34" s="9002"/>
      <c r="BH34" s="9040" t="s">
        <v>2942</v>
      </c>
      <c r="BI34" s="9040" t="s">
        <v>2942</v>
      </c>
      <c r="BJ34" s="9002"/>
      <c r="BK34" s="9027">
        <v>1</v>
      </c>
      <c r="BL34" s="9027">
        <v>1</v>
      </c>
      <c r="BM34" s="9027">
        <v>1</v>
      </c>
      <c r="BN34" s="9027">
        <v>1</v>
      </c>
      <c r="BO34" s="9027">
        <v>1</v>
      </c>
      <c r="BP34" s="9002"/>
      <c r="BQ34" s="9027">
        <v>585.73400000000004</v>
      </c>
      <c r="BR34" s="9027">
        <v>614.91800000000001</v>
      </c>
      <c r="BS34" s="9027">
        <v>575.28499999999997</v>
      </c>
      <c r="BT34" s="9027">
        <v>543.40300000000002</v>
      </c>
      <c r="BU34" s="9027">
        <v>495.92200000000003</v>
      </c>
      <c r="BV34" s="9002"/>
      <c r="BW34" s="9031"/>
      <c r="BX34" s="8991"/>
      <c r="BY34" s="8991"/>
      <c r="BZ34" s="9031"/>
      <c r="CA34" s="9031"/>
      <c r="CB34" s="8991"/>
      <c r="CC34" s="9031"/>
      <c r="CD34" s="9031"/>
      <c r="CE34" s="8991"/>
      <c r="CF34" s="9031"/>
      <c r="CG34" s="8991"/>
      <c r="CH34" s="9031"/>
      <c r="CI34" s="8991"/>
      <c r="CJ34" s="9031"/>
      <c r="CK34" s="8991"/>
      <c r="CL34" s="9031"/>
      <c r="CM34" s="8991"/>
      <c r="CN34" s="8991"/>
      <c r="CO34" s="8991"/>
      <c r="CP34" s="8991"/>
      <c r="CQ34" s="8991"/>
      <c r="CR34" s="8991"/>
      <c r="CS34" s="8991"/>
      <c r="CT34" s="8991"/>
      <c r="CU34" s="8991"/>
      <c r="CV34" s="8991"/>
      <c r="CW34" s="8991"/>
      <c r="CX34" s="8991"/>
    </row>
    <row r="35" spans="1:102" x14ac:dyDescent="0.9">
      <c r="A35" s="8993">
        <v>24</v>
      </c>
      <c r="B35" s="8943" t="s">
        <v>111</v>
      </c>
      <c r="D35" s="9032">
        <v>515.6578437913173</v>
      </c>
      <c r="E35" s="9032">
        <v>448.01604800000001</v>
      </c>
      <c r="F35" s="9041">
        <v>67.641795791317293</v>
      </c>
      <c r="G35" s="9036">
        <v>437.202</v>
      </c>
      <c r="H35" s="8993">
        <v>2565.4430000000002</v>
      </c>
      <c r="I35" s="8993">
        <v>2128.241</v>
      </c>
      <c r="J35" s="9035">
        <v>1970.499</v>
      </c>
      <c r="K35" s="9050">
        <v>1533.297</v>
      </c>
      <c r="L35" s="8993" t="s">
        <v>39</v>
      </c>
      <c r="N35" s="9032">
        <v>499.13518726318358</v>
      </c>
      <c r="O35" s="9032">
        <v>430.97704799999997</v>
      </c>
      <c r="P35" s="9041">
        <v>68.158139263183614</v>
      </c>
      <c r="Q35" s="9036">
        <v>375.72300000000001</v>
      </c>
      <c r="R35" s="8993">
        <v>2405.9319999999998</v>
      </c>
      <c r="S35" s="8993">
        <v>2030.2089999999998</v>
      </c>
      <c r="T35" s="9035">
        <v>1863.925</v>
      </c>
      <c r="U35" s="9050">
        <v>1488.202</v>
      </c>
      <c r="V35" s="8993" t="s">
        <v>39</v>
      </c>
      <c r="W35" s="8992"/>
      <c r="X35" s="9032">
        <v>433.06296284224322</v>
      </c>
      <c r="Y35" s="9032">
        <v>379.50619779999994</v>
      </c>
      <c r="Z35" s="9041">
        <v>53.556765042243285</v>
      </c>
      <c r="AA35" s="9036">
        <v>323.89</v>
      </c>
      <c r="AB35" s="8993">
        <v>2146.6509999999998</v>
      </c>
      <c r="AC35" s="8993">
        <v>1822.761</v>
      </c>
      <c r="AD35" s="9035">
        <v>1676.9780000000001</v>
      </c>
      <c r="AE35" s="9050">
        <v>1353.0880000000002</v>
      </c>
      <c r="AF35" s="8993" t="s">
        <v>39</v>
      </c>
      <c r="AG35" s="9002"/>
      <c r="AH35" s="9032">
        <v>376.94153699968973</v>
      </c>
      <c r="AI35" s="9032">
        <v>315.35908654661017</v>
      </c>
      <c r="AJ35" s="9041">
        <v>61.582450453079559</v>
      </c>
      <c r="AK35" s="9036">
        <v>271.233</v>
      </c>
      <c r="AL35" s="8993">
        <v>2109.9760000000001</v>
      </c>
      <c r="AM35" s="8993">
        <v>1838.7430000000002</v>
      </c>
      <c r="AN35" s="9035">
        <v>1587.7270000000001</v>
      </c>
      <c r="AO35" s="9050">
        <v>1316.4940000000001</v>
      </c>
      <c r="AP35" s="8993" t="s">
        <v>39</v>
      </c>
      <c r="AQ35" s="9002"/>
      <c r="AR35" s="9032">
        <v>337.02872226196871</v>
      </c>
      <c r="AS35" s="9032">
        <v>289.96705478199999</v>
      </c>
      <c r="AT35" s="9041">
        <v>47.061667479968719</v>
      </c>
      <c r="AU35" s="9036">
        <v>215.328</v>
      </c>
      <c r="AV35" s="8993">
        <v>1781.9449999999999</v>
      </c>
      <c r="AW35" s="8993">
        <v>1566.617</v>
      </c>
      <c r="AX35" s="9035">
        <v>1302.981</v>
      </c>
      <c r="AY35" s="9050">
        <v>1087.653</v>
      </c>
      <c r="AZ35" s="8993" t="s">
        <v>39</v>
      </c>
      <c r="BA35" s="9002"/>
      <c r="BB35" s="9027" t="s">
        <v>39</v>
      </c>
      <c r="BC35" s="9027" t="s">
        <v>39</v>
      </c>
      <c r="BD35" s="9027" t="s">
        <v>39</v>
      </c>
      <c r="BE35" s="9027" t="s">
        <v>39</v>
      </c>
      <c r="BF35" s="9027" t="s">
        <v>39</v>
      </c>
      <c r="BG35" s="9002"/>
      <c r="BH35" s="9040" t="s">
        <v>3079</v>
      </c>
      <c r="BI35" s="9040" t="s">
        <v>3079</v>
      </c>
      <c r="BJ35" s="9002"/>
      <c r="BK35" s="9027">
        <v>1000000000</v>
      </c>
      <c r="BL35" s="9027">
        <v>1000000000</v>
      </c>
      <c r="BM35" s="9027">
        <v>1000000000</v>
      </c>
      <c r="BN35" s="9027">
        <v>1000000000</v>
      </c>
      <c r="BO35" s="9027">
        <v>1000000000</v>
      </c>
      <c r="BP35" s="9002"/>
      <c r="BQ35" s="9027">
        <v>10752.992</v>
      </c>
      <c r="BR35" s="9027">
        <v>10255.654</v>
      </c>
      <c r="BS35" s="9027">
        <v>9340.3070000000007</v>
      </c>
      <c r="BT35" s="9027">
        <v>8483.3960000000006</v>
      </c>
      <c r="BU35" s="9027">
        <v>7594.0640000000003</v>
      </c>
      <c r="BV35" s="9002"/>
      <c r="BW35" s="9031"/>
      <c r="BX35" s="8991"/>
      <c r="BY35" s="8991"/>
      <c r="BZ35" s="9031"/>
      <c r="CA35" s="9031"/>
      <c r="CB35" s="8991"/>
      <c r="CC35" s="9031"/>
      <c r="CD35" s="9031"/>
      <c r="CE35" s="8991"/>
      <c r="CF35" s="9031"/>
      <c r="CG35" s="8991"/>
      <c r="CH35" s="9031"/>
      <c r="CI35" s="8991"/>
      <c r="CJ35" s="9031"/>
      <c r="CK35" s="8991"/>
      <c r="CL35" s="9031"/>
      <c r="CM35" s="8991"/>
      <c r="CN35" s="8991"/>
      <c r="CO35" s="8991"/>
      <c r="CP35" s="8991"/>
      <c r="CQ35" s="8991"/>
      <c r="CR35" s="8991"/>
      <c r="CS35" s="8991"/>
      <c r="CT35" s="8991"/>
      <c r="CU35" s="8991"/>
      <c r="CV35" s="8991"/>
      <c r="CW35" s="8991"/>
      <c r="CX35" s="8991"/>
    </row>
    <row r="36" spans="1:102" x14ac:dyDescent="0.9">
      <c r="A36" s="8993">
        <v>25</v>
      </c>
      <c r="B36" s="8943" t="s">
        <v>112</v>
      </c>
      <c r="D36" s="9035">
        <v>3846.527</v>
      </c>
      <c r="E36" s="9033" t="s">
        <v>107</v>
      </c>
      <c r="F36" s="9033" t="s">
        <v>107</v>
      </c>
      <c r="G36" s="9039">
        <v>3718</v>
      </c>
      <c r="H36" s="9050">
        <v>35693</v>
      </c>
      <c r="I36" s="9050">
        <v>31975</v>
      </c>
      <c r="J36" s="9035">
        <v>22818</v>
      </c>
      <c r="K36" s="9050">
        <v>19100</v>
      </c>
      <c r="L36" s="9027" t="s">
        <v>32</v>
      </c>
      <c r="N36" s="9032">
        <v>3420.6544100000001</v>
      </c>
      <c r="O36" s="9033" t="s">
        <v>107</v>
      </c>
      <c r="P36" s="9033" t="s">
        <v>107</v>
      </c>
      <c r="Q36" s="9036">
        <v>3556.9070000000002</v>
      </c>
      <c r="R36" s="8993">
        <v>33394.074999999997</v>
      </c>
      <c r="S36" s="8993">
        <v>29837.167999999998</v>
      </c>
      <c r="T36" s="9035">
        <v>21920.906999999999</v>
      </c>
      <c r="U36" s="9050">
        <v>18364</v>
      </c>
      <c r="V36" s="8993" t="s">
        <v>32</v>
      </c>
      <c r="W36" s="8992"/>
      <c r="X36" s="9032">
        <v>4187.9260000000004</v>
      </c>
      <c r="Y36" s="9033"/>
      <c r="Z36" s="9033"/>
      <c r="AA36" s="9036">
        <v>2857.4119999999998</v>
      </c>
      <c r="AB36" s="8993">
        <v>32809.411999999997</v>
      </c>
      <c r="AC36" s="8993">
        <v>29951.999999999996</v>
      </c>
      <c r="AD36" s="9035">
        <v>20157.412</v>
      </c>
      <c r="AE36" s="9050">
        <v>17300</v>
      </c>
      <c r="AF36" s="8993" t="s">
        <v>32</v>
      </c>
      <c r="AG36" s="9002"/>
      <c r="AH36" s="9032">
        <v>4538.1399999999994</v>
      </c>
      <c r="AI36" s="9032">
        <v>2715.4</v>
      </c>
      <c r="AJ36" s="9041">
        <v>1822.7399999999993</v>
      </c>
      <c r="AK36" s="9036">
        <v>1881</v>
      </c>
      <c r="AL36" s="9032">
        <v>32402</v>
      </c>
      <c r="AM36" s="9032">
        <v>30521</v>
      </c>
      <c r="AN36" s="9035">
        <v>18861</v>
      </c>
      <c r="AO36" s="9050">
        <v>16980</v>
      </c>
      <c r="AP36" s="9027" t="s">
        <v>32</v>
      </c>
      <c r="AQ36" s="9002"/>
      <c r="AR36" s="9051"/>
      <c r="AS36" s="9033"/>
      <c r="AT36" s="9044"/>
      <c r="AU36" s="9035">
        <v>6721.18</v>
      </c>
      <c r="AV36" s="9032">
        <v>34433.5</v>
      </c>
      <c r="AW36" s="9032">
        <v>27712.32</v>
      </c>
      <c r="AX36" s="9035">
        <v>24826.29</v>
      </c>
      <c r="AY36" s="9050">
        <v>18105.11</v>
      </c>
      <c r="AZ36" s="9027" t="s">
        <v>39</v>
      </c>
      <c r="BA36" s="9002"/>
      <c r="BB36" s="9027" t="s">
        <v>32</v>
      </c>
      <c r="BC36" s="9027" t="s">
        <v>32</v>
      </c>
      <c r="BD36" s="9027" t="s">
        <v>32</v>
      </c>
      <c r="BE36" s="9027" t="s">
        <v>32</v>
      </c>
      <c r="BF36" s="9027" t="s">
        <v>39</v>
      </c>
      <c r="BG36" s="9002"/>
      <c r="BH36" s="9040" t="s">
        <v>3201</v>
      </c>
      <c r="BI36" s="9040" t="s">
        <v>3201</v>
      </c>
      <c r="BJ36" s="9002"/>
      <c r="BK36" s="9027">
        <v>1000000000</v>
      </c>
      <c r="BL36" s="9027">
        <v>1000000000</v>
      </c>
      <c r="BM36" s="9027">
        <v>1000000000</v>
      </c>
      <c r="BN36" s="9027">
        <v>1000000000</v>
      </c>
      <c r="BO36" s="9027">
        <v>1000000000</v>
      </c>
      <c r="BP36" s="9002"/>
      <c r="BQ36" s="9027">
        <v>170472.62899999999</v>
      </c>
      <c r="BR36" s="9027">
        <v>163086.36199999999</v>
      </c>
      <c r="BS36" s="9027">
        <v>152414</v>
      </c>
      <c r="BT36" s="9027">
        <v>140697.75</v>
      </c>
      <c r="BU36" s="9027">
        <v>129279.11900000001</v>
      </c>
      <c r="BV36" s="9002"/>
      <c r="BW36" s="9031"/>
      <c r="BX36" s="8991"/>
      <c r="BY36" s="8991"/>
      <c r="BZ36" s="9031"/>
      <c r="CA36" s="9031"/>
      <c r="CB36" s="8991"/>
      <c r="CC36" s="9031"/>
      <c r="CD36" s="9031"/>
      <c r="CE36" s="8991"/>
      <c r="CF36" s="9031"/>
      <c r="CG36" s="8991"/>
      <c r="CH36" s="9031"/>
      <c r="CI36" s="8991"/>
      <c r="CJ36" s="9031"/>
      <c r="CK36" s="8991"/>
      <c r="CL36" s="9031"/>
      <c r="CM36" s="8991"/>
      <c r="CN36" s="8991"/>
      <c r="CO36" s="8991"/>
      <c r="CP36" s="8991"/>
      <c r="CQ36" s="8991"/>
      <c r="CR36" s="8991"/>
      <c r="CS36" s="8991"/>
      <c r="CT36" s="8991"/>
      <c r="CU36" s="8991"/>
      <c r="CV36" s="8991"/>
      <c r="CW36" s="8991"/>
      <c r="CX36" s="8991"/>
    </row>
    <row r="37" spans="1:102" x14ac:dyDescent="0.9">
      <c r="A37" s="8993">
        <v>26</v>
      </c>
      <c r="B37" s="8943" t="s">
        <v>47</v>
      </c>
      <c r="D37" s="9032">
        <v>2720.4829265471762</v>
      </c>
      <c r="E37" s="9032">
        <v>2655.5859065471764</v>
      </c>
      <c r="F37" s="9041">
        <v>64.897019999999884</v>
      </c>
      <c r="G37" s="9036">
        <v>479.5</v>
      </c>
      <c r="H37" s="8993">
        <v>16412.5</v>
      </c>
      <c r="I37" s="8993">
        <v>15933</v>
      </c>
      <c r="J37" s="9035">
        <v>13521</v>
      </c>
      <c r="K37" s="9050">
        <v>13041.5</v>
      </c>
      <c r="L37" s="8993" t="s">
        <v>39</v>
      </c>
      <c r="N37" s="9032">
        <v>2577.4421818885826</v>
      </c>
      <c r="O37" s="9032">
        <v>2507.3371388885826</v>
      </c>
      <c r="P37" s="9041">
        <v>70.105043000000023</v>
      </c>
      <c r="Q37" s="9036">
        <v>482.6</v>
      </c>
      <c r="R37" s="8993">
        <v>15925.7</v>
      </c>
      <c r="S37" s="8993">
        <v>15443.1</v>
      </c>
      <c r="T37" s="9035">
        <v>13102.7</v>
      </c>
      <c r="U37" s="9050">
        <v>12620.1</v>
      </c>
      <c r="V37" s="8993" t="s">
        <v>39</v>
      </c>
      <c r="W37" s="8992"/>
      <c r="X37" s="9032">
        <v>2663.8905562155064</v>
      </c>
      <c r="Y37" s="9032">
        <v>2555.7583648037416</v>
      </c>
      <c r="Z37" s="9041">
        <v>108.13219141176478</v>
      </c>
      <c r="AA37" s="9036">
        <v>327.39999999999998</v>
      </c>
      <c r="AB37" s="8993">
        <v>14914.1</v>
      </c>
      <c r="AC37" s="8993">
        <v>14586.7</v>
      </c>
      <c r="AD37" s="9035">
        <v>12113</v>
      </c>
      <c r="AE37" s="9050">
        <v>11785.6</v>
      </c>
      <c r="AF37" s="8993" t="s">
        <v>39</v>
      </c>
      <c r="AG37" s="9002"/>
      <c r="AH37" s="9032">
        <v>2536.5141600387892</v>
      </c>
      <c r="AI37" s="9032">
        <v>2403.4054320387891</v>
      </c>
      <c r="AJ37" s="9041">
        <v>133.10872800000016</v>
      </c>
      <c r="AK37" s="9036">
        <v>254.6</v>
      </c>
      <c r="AL37" s="8993">
        <v>14051.2</v>
      </c>
      <c r="AM37" s="8993">
        <v>13796.6</v>
      </c>
      <c r="AN37" s="9035">
        <v>12262.8</v>
      </c>
      <c r="AO37" s="9050">
        <v>12008.199999999999</v>
      </c>
      <c r="AP37" s="9027" t="s">
        <v>39</v>
      </c>
      <c r="AQ37" s="9002"/>
      <c r="AR37" s="9032">
        <v>2434.9068230654852</v>
      </c>
      <c r="AS37" s="9032">
        <v>2348.9068230654852</v>
      </c>
      <c r="AT37" s="9041">
        <v>86</v>
      </c>
      <c r="AU37" s="9039">
        <v>274.10000000000002</v>
      </c>
      <c r="AV37" s="8993">
        <v>15321.1</v>
      </c>
      <c r="AW37" s="8993">
        <v>15047</v>
      </c>
      <c r="AX37" s="9035">
        <v>11180.7</v>
      </c>
      <c r="AY37" s="9050">
        <v>10906.6</v>
      </c>
      <c r="AZ37" s="9027" t="s">
        <v>39</v>
      </c>
      <c r="BA37" s="9002"/>
      <c r="BB37" s="9027" t="s">
        <v>39</v>
      </c>
      <c r="BC37" s="9027" t="s">
        <v>39</v>
      </c>
      <c r="BD37" s="9027" t="s">
        <v>39</v>
      </c>
      <c r="BE37" s="9027" t="s">
        <v>39</v>
      </c>
      <c r="BF37" s="9027" t="s">
        <v>39</v>
      </c>
      <c r="BG37" s="9002"/>
      <c r="BH37" s="9040" t="s">
        <v>3244</v>
      </c>
      <c r="BI37" s="9040" t="s">
        <v>3244</v>
      </c>
      <c r="BJ37" s="9002"/>
      <c r="BK37" s="9027">
        <v>1000000</v>
      </c>
      <c r="BL37" s="9027">
        <v>1000000</v>
      </c>
      <c r="BM37" s="9027">
        <v>1000000</v>
      </c>
      <c r="BN37" s="9027">
        <v>1000000</v>
      </c>
      <c r="BO37" s="9027">
        <v>1000000</v>
      </c>
      <c r="BP37" s="9002"/>
      <c r="BQ37" s="9027">
        <v>32.718000000000004</v>
      </c>
      <c r="BR37" s="9027">
        <v>32.938000000000002</v>
      </c>
      <c r="BS37" s="9027">
        <v>31.914000000000001</v>
      </c>
      <c r="BT37" s="9027">
        <v>30.626999999999999</v>
      </c>
      <c r="BU37" s="9027">
        <v>31.196999999999999</v>
      </c>
      <c r="BV37" s="9002"/>
      <c r="BW37" s="9031"/>
      <c r="BX37" s="8991"/>
      <c r="BY37" s="8991"/>
      <c r="BZ37" s="9031"/>
      <c r="CA37" s="9031"/>
      <c r="CB37" s="8991"/>
      <c r="CC37" s="9031"/>
      <c r="CD37" s="9031"/>
      <c r="CE37" s="8991"/>
      <c r="CF37" s="9031"/>
      <c r="CG37" s="8991"/>
      <c r="CH37" s="9031"/>
      <c r="CI37" s="8991"/>
      <c r="CJ37" s="9031"/>
      <c r="CK37" s="8991"/>
      <c r="CL37" s="9031"/>
      <c r="CM37" s="8991"/>
      <c r="CN37" s="8991"/>
      <c r="CO37" s="8991"/>
      <c r="CP37" s="8991"/>
      <c r="CQ37" s="8991"/>
      <c r="CR37" s="8991"/>
      <c r="CS37" s="8991"/>
      <c r="CT37" s="8991"/>
      <c r="CU37" s="8991"/>
      <c r="CV37" s="8991"/>
      <c r="CW37" s="8991"/>
      <c r="CX37" s="8991"/>
    </row>
    <row r="38" spans="1:102" x14ac:dyDescent="0.9">
      <c r="A38" s="8993">
        <v>27</v>
      </c>
      <c r="B38" s="8943" t="s">
        <v>48</v>
      </c>
      <c r="D38" s="9032">
        <v>73.413404437086953</v>
      </c>
      <c r="E38" s="9033">
        <v>0</v>
      </c>
      <c r="F38" s="9043" t="s">
        <v>107</v>
      </c>
      <c r="G38" s="9036">
        <v>65.200988999999993</v>
      </c>
      <c r="H38" s="8993">
        <v>513.04356299999995</v>
      </c>
      <c r="I38" s="8993">
        <v>447.84257399999996</v>
      </c>
      <c r="J38" s="9035">
        <v>465.27356299999991</v>
      </c>
      <c r="K38" s="9050">
        <v>400.07257399999992</v>
      </c>
      <c r="L38" s="8993" t="s">
        <v>39</v>
      </c>
      <c r="N38" s="9032">
        <v>77.216353699398709</v>
      </c>
      <c r="O38" s="9033">
        <v>0</v>
      </c>
      <c r="P38" s="9041">
        <v>77.216353699398709</v>
      </c>
      <c r="Q38" s="9036">
        <v>26.422000000000001</v>
      </c>
      <c r="R38" s="8993">
        <v>540.15300000000002</v>
      </c>
      <c r="S38" s="8993">
        <v>513.73099999999999</v>
      </c>
      <c r="T38" s="9035">
        <v>523.00900000000001</v>
      </c>
      <c r="U38" s="9050">
        <v>496.58699999999999</v>
      </c>
      <c r="V38" s="8993" t="s">
        <v>39</v>
      </c>
      <c r="W38" s="8992"/>
      <c r="X38" s="9032">
        <v>75.410592539027348</v>
      </c>
      <c r="Y38" s="9032">
        <v>75.410592539027348</v>
      </c>
      <c r="Z38" s="9041">
        <v>0</v>
      </c>
      <c r="AA38" s="9036">
        <v>13.017000000000001</v>
      </c>
      <c r="AB38" s="8993">
        <v>473.90199999999999</v>
      </c>
      <c r="AC38" s="8993">
        <v>460.88499999999999</v>
      </c>
      <c r="AD38" s="9035">
        <v>432.21199999999993</v>
      </c>
      <c r="AE38" s="9050">
        <v>419.19499999999994</v>
      </c>
      <c r="AF38" s="8993" t="s">
        <v>39</v>
      </c>
      <c r="AG38" s="9002"/>
      <c r="AH38" s="9032">
        <v>90.507687402135829</v>
      </c>
      <c r="AI38" s="9032">
        <v>90.507687402135829</v>
      </c>
      <c r="AJ38" s="9041">
        <v>0</v>
      </c>
      <c r="AK38" s="9039">
        <v>32.752000000000002</v>
      </c>
      <c r="AL38" s="8993">
        <v>555.779</v>
      </c>
      <c r="AM38" s="8993">
        <v>523.02700000000004</v>
      </c>
      <c r="AN38" s="9035">
        <v>489.22300000000001</v>
      </c>
      <c r="AO38" s="9050">
        <v>456.471</v>
      </c>
      <c r="AP38" s="9027" t="s">
        <v>39</v>
      </c>
      <c r="AQ38" s="9002"/>
      <c r="AR38" s="9032">
        <v>81.543975000000003</v>
      </c>
      <c r="AS38" s="9032">
        <v>81.543975000000003</v>
      </c>
      <c r="AT38" s="9041">
        <v>0</v>
      </c>
      <c r="AU38" s="9039">
        <v>8.6266160000000003</v>
      </c>
      <c r="AV38" s="8993">
        <v>559.44774700000005</v>
      </c>
      <c r="AW38" s="8993">
        <v>550.82113100000004</v>
      </c>
      <c r="AX38" s="9035">
        <v>557.36025600000005</v>
      </c>
      <c r="AY38" s="9050">
        <v>548.73364000000004</v>
      </c>
      <c r="AZ38" s="9027" t="s">
        <v>39</v>
      </c>
      <c r="BA38" s="9002"/>
      <c r="BB38" s="9027" t="s">
        <v>39</v>
      </c>
      <c r="BC38" s="9027" t="s">
        <v>39</v>
      </c>
      <c r="BD38" s="9027" t="s">
        <v>39</v>
      </c>
      <c r="BE38" s="9027" t="s">
        <v>39</v>
      </c>
      <c r="BF38" s="9027" t="s">
        <v>39</v>
      </c>
      <c r="BG38" s="9002"/>
      <c r="BH38" s="9040" t="s">
        <v>3367</v>
      </c>
      <c r="BI38" s="9040" t="s">
        <v>3367</v>
      </c>
      <c r="BJ38" s="9002"/>
      <c r="BK38" s="9027">
        <v>1000000</v>
      </c>
      <c r="BL38" s="9027">
        <v>1000000</v>
      </c>
      <c r="BM38" s="9027">
        <v>1000000</v>
      </c>
      <c r="BN38" s="9027">
        <v>1000000</v>
      </c>
      <c r="BO38" s="9027">
        <v>1000000</v>
      </c>
      <c r="BP38" s="9002"/>
      <c r="BQ38" s="9027">
        <v>3.0369999999999999</v>
      </c>
      <c r="BR38" s="9027">
        <v>3.08</v>
      </c>
      <c r="BS38" s="9027">
        <v>3.2639999999999998</v>
      </c>
      <c r="BT38" s="9027">
        <v>3.3210000000000002</v>
      </c>
      <c r="BU38" s="9027">
        <v>3.2559999999999998</v>
      </c>
      <c r="BV38" s="9002"/>
      <c r="BW38" s="9031"/>
      <c r="BX38" s="8991"/>
      <c r="BY38" s="8991"/>
      <c r="BZ38" s="9031"/>
      <c r="CA38" s="9031"/>
      <c r="CB38" s="8991"/>
      <c r="CC38" s="9031"/>
      <c r="CD38" s="9031"/>
      <c r="CE38" s="8991"/>
      <c r="CF38" s="9031"/>
      <c r="CG38" s="8991"/>
      <c r="CH38" s="9031"/>
      <c r="CI38" s="8991"/>
      <c r="CJ38" s="9031"/>
      <c r="CK38" s="8991"/>
      <c r="CL38" s="9031"/>
      <c r="CM38" s="8991"/>
      <c r="CN38" s="8991"/>
      <c r="CO38" s="8991"/>
      <c r="CP38" s="8991"/>
      <c r="CQ38" s="8991"/>
      <c r="CR38" s="8991"/>
      <c r="CS38" s="8991"/>
      <c r="CT38" s="8991"/>
      <c r="CU38" s="8991"/>
      <c r="CV38" s="8991"/>
      <c r="CW38" s="8991"/>
      <c r="CX38" s="8991"/>
    </row>
    <row r="39" spans="1:102" x14ac:dyDescent="0.9">
      <c r="A39" s="8993">
        <v>28</v>
      </c>
      <c r="B39" s="8943" t="s">
        <v>49</v>
      </c>
      <c r="D39" s="9032">
        <v>1553933735.6927001</v>
      </c>
      <c r="E39" s="9032">
        <v>1343025714.3052952</v>
      </c>
      <c r="F39" s="9041">
        <v>210908021.38740492</v>
      </c>
      <c r="G39" s="9036">
        <v>418116940.14328629</v>
      </c>
      <c r="H39" s="9024">
        <v>9462606688.8228493</v>
      </c>
      <c r="I39" s="8993">
        <v>9044489748.6795635</v>
      </c>
      <c r="J39" s="9035">
        <v>5434249364.1117048</v>
      </c>
      <c r="K39" s="9050">
        <v>5016132423.9684181</v>
      </c>
      <c r="L39" s="8993" t="s">
        <v>39</v>
      </c>
      <c r="N39" s="9032">
        <v>1482897523.9584818</v>
      </c>
      <c r="O39" s="9032">
        <v>1245292466.4149926</v>
      </c>
      <c r="P39" s="9041">
        <v>237605057.54348922</v>
      </c>
      <c r="Q39" s="9036">
        <v>356000000</v>
      </c>
      <c r="R39" s="9024">
        <v>7921100000</v>
      </c>
      <c r="S39" s="8993">
        <v>7565100000</v>
      </c>
      <c r="T39" s="9035">
        <v>5066500000</v>
      </c>
      <c r="U39" s="9050">
        <v>4710500000</v>
      </c>
      <c r="V39" s="8993" t="s">
        <v>39</v>
      </c>
      <c r="W39" s="8992"/>
      <c r="X39" s="9032">
        <v>1260942400.7416234</v>
      </c>
      <c r="Y39" s="9032">
        <v>1096203547.6916232</v>
      </c>
      <c r="Z39" s="9041">
        <v>164738853.05000019</v>
      </c>
      <c r="AA39" s="9036">
        <v>363605399</v>
      </c>
      <c r="AB39" s="9024">
        <v>6400476895</v>
      </c>
      <c r="AC39" s="8993">
        <v>6036871496</v>
      </c>
      <c r="AD39" s="9035">
        <v>4374770060</v>
      </c>
      <c r="AE39" s="9050">
        <v>4011164661</v>
      </c>
      <c r="AF39" s="8993" t="s">
        <v>39</v>
      </c>
      <c r="AG39" s="9002"/>
      <c r="AH39" s="9032">
        <v>1074785481.9900002</v>
      </c>
      <c r="AI39" s="9032">
        <v>679077813.70000005</v>
      </c>
      <c r="AJ39" s="9041">
        <v>395707668.2900002</v>
      </c>
      <c r="AK39" s="9036">
        <v>336270000</v>
      </c>
      <c r="AL39" s="9024">
        <v>5989363473.5442095</v>
      </c>
      <c r="AM39" s="8993">
        <v>5653093473.5442095</v>
      </c>
      <c r="AN39" s="9035">
        <v>4667424760.5734196</v>
      </c>
      <c r="AO39" s="9050">
        <v>4331154760.5734196</v>
      </c>
      <c r="AP39" s="9027" t="s">
        <v>39</v>
      </c>
      <c r="AQ39" s="9002"/>
      <c r="AR39" s="9032">
        <v>1011394652.520523</v>
      </c>
      <c r="AS39" s="9032">
        <v>811183502.41052294</v>
      </c>
      <c r="AT39" s="9041">
        <v>200211150.11000001</v>
      </c>
      <c r="AU39" s="9039">
        <v>629100000</v>
      </c>
      <c r="AV39" s="9024">
        <v>5240400000</v>
      </c>
      <c r="AW39" s="8993">
        <v>4611300000</v>
      </c>
      <c r="AX39" s="9035">
        <v>3618800000</v>
      </c>
      <c r="AY39" s="9050">
        <v>2989700000</v>
      </c>
      <c r="AZ39" s="9027" t="s">
        <v>39</v>
      </c>
      <c r="BA39" s="9002"/>
      <c r="BB39" s="9027" t="s">
        <v>39</v>
      </c>
      <c r="BC39" s="9027" t="s">
        <v>39</v>
      </c>
      <c r="BD39" s="9027" t="s">
        <v>39</v>
      </c>
      <c r="BE39" s="9027" t="s">
        <v>39</v>
      </c>
      <c r="BF39" s="9027" t="s">
        <v>39</v>
      </c>
      <c r="BG39" s="9002"/>
      <c r="BH39" s="9040" t="s">
        <v>3436</v>
      </c>
      <c r="BI39" s="9040" t="s">
        <v>3436</v>
      </c>
      <c r="BJ39" s="9002"/>
      <c r="BK39" s="9027">
        <v>1000</v>
      </c>
      <c r="BL39" s="9027">
        <v>1000</v>
      </c>
      <c r="BM39" s="9027">
        <v>1000</v>
      </c>
      <c r="BN39" s="9027">
        <v>1000</v>
      </c>
      <c r="BO39" s="9027">
        <v>1000</v>
      </c>
      <c r="BP39" s="9002"/>
      <c r="BQ39" s="9027">
        <v>49919.476999999999</v>
      </c>
      <c r="BR39" s="9027">
        <v>51035.216999999997</v>
      </c>
      <c r="BS39" s="9027">
        <v>45886.302000000003</v>
      </c>
      <c r="BT39" s="9027">
        <v>41058.841</v>
      </c>
      <c r="BU39" s="9027">
        <v>37637.589999999997</v>
      </c>
      <c r="BV39" s="9002"/>
      <c r="BW39" s="9031"/>
      <c r="BX39" s="8991"/>
      <c r="BY39" s="8991"/>
      <c r="BZ39" s="9031"/>
      <c r="CA39" s="9031"/>
      <c r="CB39" s="8991"/>
      <c r="CC39" s="9031"/>
      <c r="CD39" s="9031"/>
      <c r="CE39" s="8991"/>
      <c r="CF39" s="9031"/>
      <c r="CG39" s="8991"/>
      <c r="CH39" s="9031"/>
      <c r="CI39" s="8991"/>
      <c r="CJ39" s="9031"/>
      <c r="CK39" s="8991"/>
      <c r="CL39" s="9031"/>
      <c r="CM39" s="8991"/>
      <c r="CN39" s="8991"/>
      <c r="CO39" s="8991"/>
      <c r="CP39" s="8991"/>
      <c r="CQ39" s="8991"/>
      <c r="CR39" s="8991"/>
      <c r="CS39" s="8991"/>
      <c r="CT39" s="8991"/>
      <c r="CU39" s="8991"/>
      <c r="CV39" s="8991"/>
      <c r="CW39" s="8991"/>
      <c r="CX39" s="8991"/>
    </row>
    <row r="40" spans="1:102" x14ac:dyDescent="0.9">
      <c r="A40" s="8993">
        <v>29</v>
      </c>
      <c r="B40" s="8943" t="s">
        <v>50</v>
      </c>
      <c r="D40" s="9032">
        <v>364686.3610591524</v>
      </c>
      <c r="E40" s="9032">
        <v>338098.03105915239</v>
      </c>
      <c r="F40" s="9041">
        <v>26588.330000000016</v>
      </c>
      <c r="G40" s="9036">
        <v>261544</v>
      </c>
      <c r="H40" s="8993">
        <v>1781346</v>
      </c>
      <c r="I40" s="8993">
        <v>1519802</v>
      </c>
      <c r="J40" s="9035">
        <v>1413972</v>
      </c>
      <c r="K40" s="9050">
        <v>1152428</v>
      </c>
      <c r="L40" s="9027" t="s">
        <v>39</v>
      </c>
      <c r="N40" s="9032">
        <v>288806.19358900428</v>
      </c>
      <c r="O40" s="9032">
        <v>265135.7135890043</v>
      </c>
      <c r="P40" s="9041">
        <v>23670.479999999981</v>
      </c>
      <c r="Q40" s="9036">
        <v>224319</v>
      </c>
      <c r="R40" s="8993">
        <v>1446732</v>
      </c>
      <c r="S40" s="8993">
        <v>1222413</v>
      </c>
      <c r="T40" s="9035">
        <v>1165419</v>
      </c>
      <c r="U40" s="9050">
        <v>941100</v>
      </c>
      <c r="V40" s="9027" t="s">
        <v>39</v>
      </c>
      <c r="X40" s="9032">
        <v>231070.23207646565</v>
      </c>
      <c r="Y40" s="9032">
        <v>206077.93874313234</v>
      </c>
      <c r="Z40" s="9041">
        <v>24992.293333333306</v>
      </c>
      <c r="AA40" s="9036">
        <v>190321</v>
      </c>
      <c r="AB40" s="8993">
        <v>1288582</v>
      </c>
      <c r="AC40" s="8993">
        <v>1098261</v>
      </c>
      <c r="AD40" s="9035">
        <v>1061267</v>
      </c>
      <c r="AE40" s="9050">
        <v>870946</v>
      </c>
      <c r="AF40" s="9027" t="s">
        <v>39</v>
      </c>
      <c r="AG40" s="9002"/>
      <c r="AH40" s="9032">
        <v>157259.99459944191</v>
      </c>
      <c r="AI40" s="9032">
        <v>135968.31891427311</v>
      </c>
      <c r="AJ40" s="9041">
        <v>21291.675685168797</v>
      </c>
      <c r="AK40" s="9036">
        <v>195197.93450599999</v>
      </c>
      <c r="AL40" s="8993">
        <v>1130769.7149673023</v>
      </c>
      <c r="AM40" s="8993">
        <v>935571.78046130226</v>
      </c>
      <c r="AN40" s="9035">
        <v>874957.93450600002</v>
      </c>
      <c r="AO40" s="9050">
        <v>679760</v>
      </c>
      <c r="AP40" s="9027" t="s">
        <v>39</v>
      </c>
      <c r="AQ40" s="9002"/>
      <c r="AR40" s="9032">
        <v>180389.07230403333</v>
      </c>
      <c r="AS40" s="9032">
        <v>169656.8686560333</v>
      </c>
      <c r="AT40" s="9041">
        <v>10732.203648000024</v>
      </c>
      <c r="AU40" s="9039">
        <v>132577</v>
      </c>
      <c r="AV40" s="8993">
        <v>895908</v>
      </c>
      <c r="AW40" s="8993">
        <v>763331</v>
      </c>
      <c r="AX40" s="9035">
        <v>727969</v>
      </c>
      <c r="AY40" s="9050">
        <v>595392</v>
      </c>
      <c r="AZ40" s="9027" t="s">
        <v>39</v>
      </c>
      <c r="BA40" s="9002"/>
      <c r="BB40" s="9027" t="s">
        <v>39</v>
      </c>
      <c r="BC40" s="9027" t="s">
        <v>39</v>
      </c>
      <c r="BD40" s="9027" t="s">
        <v>39</v>
      </c>
      <c r="BE40" s="9027" t="s">
        <v>39</v>
      </c>
      <c r="BF40" s="9027" t="s">
        <v>39</v>
      </c>
      <c r="BG40" s="9002"/>
      <c r="BH40" s="9040" t="s">
        <v>3551</v>
      </c>
      <c r="BI40" s="9040" t="s">
        <v>3551</v>
      </c>
      <c r="BJ40" s="9002"/>
      <c r="BK40" s="9027">
        <v>1000000</v>
      </c>
      <c r="BL40" s="9027">
        <v>1000000</v>
      </c>
      <c r="BM40" s="9027">
        <v>1000000</v>
      </c>
      <c r="BN40" s="9027">
        <v>1000000</v>
      </c>
      <c r="BO40" s="9027">
        <v>1000000</v>
      </c>
      <c r="BP40" s="9002"/>
      <c r="BQ40" s="9027">
        <v>8815.34</v>
      </c>
      <c r="BR40" s="9027">
        <v>8219.8529999999992</v>
      </c>
      <c r="BS40" s="9027">
        <v>7235.94</v>
      </c>
      <c r="BT40" s="9027">
        <v>6531.2240000000002</v>
      </c>
      <c r="BU40" s="9027">
        <v>5552.0659999999998</v>
      </c>
      <c r="BV40" s="9002"/>
      <c r="BW40" s="9031"/>
      <c r="BX40" s="8991"/>
      <c r="BY40" s="8991"/>
      <c r="BZ40" s="9031"/>
      <c r="CA40" s="9031"/>
      <c r="CB40" s="8991"/>
      <c r="CC40" s="9031"/>
      <c r="CD40" s="9031"/>
      <c r="CE40" s="8991"/>
      <c r="CF40" s="9031"/>
      <c r="CG40" s="8991"/>
      <c r="CH40" s="9031"/>
      <c r="CI40" s="8991"/>
      <c r="CJ40" s="9031"/>
      <c r="CK40" s="8991"/>
      <c r="CL40" s="9031"/>
      <c r="CM40" s="8991"/>
      <c r="CN40" s="8991"/>
      <c r="CO40" s="8991"/>
      <c r="CP40" s="8991"/>
      <c r="CQ40" s="8991"/>
      <c r="CR40" s="8991"/>
      <c r="CS40" s="8991"/>
      <c r="CT40" s="8991"/>
      <c r="CU40" s="8991"/>
      <c r="CV40" s="8991"/>
      <c r="CW40" s="8991"/>
      <c r="CX40" s="8991"/>
    </row>
    <row r="41" spans="1:102" x14ac:dyDescent="0.9">
      <c r="A41" s="8993">
        <v>30</v>
      </c>
      <c r="B41" s="8943" t="s">
        <v>51</v>
      </c>
      <c r="D41" s="9032">
        <v>420859964154.763</v>
      </c>
      <c r="E41" s="9033">
        <v>0</v>
      </c>
      <c r="F41" s="9033" t="s">
        <v>107</v>
      </c>
      <c r="G41" s="9036">
        <v>114707000000</v>
      </c>
      <c r="H41" s="9032">
        <v>2267312000000</v>
      </c>
      <c r="I41" s="8993">
        <v>2152605000000</v>
      </c>
      <c r="J41" s="9035">
        <v>1611602000000</v>
      </c>
      <c r="K41" s="9050">
        <v>1496895000000</v>
      </c>
      <c r="L41" s="9027" t="s">
        <v>35</v>
      </c>
      <c r="N41" s="9032">
        <v>378484415038.37073</v>
      </c>
      <c r="O41" s="9033">
        <v>0</v>
      </c>
      <c r="P41" s="9033" t="s">
        <v>107</v>
      </c>
      <c r="Q41" s="9036">
        <v>93551000000</v>
      </c>
      <c r="R41" s="9032">
        <v>1994133000000</v>
      </c>
      <c r="S41" s="8993">
        <v>1900582000000</v>
      </c>
      <c r="T41" s="9035">
        <v>1318849000000</v>
      </c>
      <c r="U41" s="9050">
        <v>1225298000000</v>
      </c>
      <c r="V41" s="9027" t="s">
        <v>35</v>
      </c>
      <c r="X41" s="9032">
        <v>367182676238.84113</v>
      </c>
      <c r="Y41" s="9033">
        <v>0</v>
      </c>
      <c r="Z41" s="9033" t="s">
        <v>107</v>
      </c>
      <c r="AA41" s="9036">
        <v>71298000000</v>
      </c>
      <c r="AB41" s="9032">
        <v>1789037000000</v>
      </c>
      <c r="AC41" s="8993">
        <v>1717739000000</v>
      </c>
      <c r="AD41" s="9035">
        <v>1174106000000</v>
      </c>
      <c r="AE41" s="9050">
        <v>1102808000000</v>
      </c>
      <c r="AF41" s="9027" t="s">
        <v>35</v>
      </c>
      <c r="AG41" s="9002"/>
      <c r="AH41" s="9032">
        <v>334473556141.31879</v>
      </c>
      <c r="AI41" s="9033">
        <v>0</v>
      </c>
      <c r="AJ41" s="9033" t="s">
        <v>107</v>
      </c>
      <c r="AK41" s="9039">
        <v>160010590000</v>
      </c>
      <c r="AL41" s="9032">
        <v>1633972005000</v>
      </c>
      <c r="AM41" s="8993">
        <v>1473961415000</v>
      </c>
      <c r="AN41" s="9035">
        <v>1403772580000</v>
      </c>
      <c r="AO41" s="9050">
        <v>1243761990000</v>
      </c>
      <c r="AP41" s="9027" t="s">
        <v>35</v>
      </c>
      <c r="AQ41" s="9002"/>
      <c r="AR41" s="9032">
        <v>307518348258.26581</v>
      </c>
      <c r="AS41" s="9032">
        <v>303735410258.26581</v>
      </c>
      <c r="AT41" s="9041">
        <v>3782938000</v>
      </c>
      <c r="AU41" s="9039">
        <v>160010590000</v>
      </c>
      <c r="AV41" s="9032">
        <v>2016072296000</v>
      </c>
      <c r="AW41" s="8993">
        <v>1856061706000</v>
      </c>
      <c r="AX41" s="9035">
        <v>1472379991000</v>
      </c>
      <c r="AY41" s="9050">
        <v>1312369401000</v>
      </c>
      <c r="AZ41" s="9027" t="s">
        <v>35</v>
      </c>
      <c r="BA41" s="9002"/>
      <c r="BB41" s="9027" t="s">
        <v>35</v>
      </c>
      <c r="BC41" s="9027" t="s">
        <v>35</v>
      </c>
      <c r="BD41" s="9027" t="s">
        <v>35</v>
      </c>
      <c r="BE41" s="9027" t="s">
        <v>35</v>
      </c>
      <c r="BF41" s="9027" t="s">
        <v>35</v>
      </c>
      <c r="BG41" s="9002"/>
      <c r="BH41" s="9040" t="s">
        <v>3663</v>
      </c>
      <c r="BI41" s="9040" t="s">
        <v>3663</v>
      </c>
      <c r="BJ41" s="9002"/>
      <c r="BK41" s="9027">
        <v>1</v>
      </c>
      <c r="BL41" s="9027">
        <v>1</v>
      </c>
      <c r="BM41" s="9027">
        <v>1</v>
      </c>
      <c r="BN41" s="9027">
        <v>1</v>
      </c>
      <c r="BO41" s="9027">
        <v>1</v>
      </c>
      <c r="BP41" s="9002"/>
      <c r="BQ41" s="9027">
        <v>10053.308999999999</v>
      </c>
      <c r="BR41" s="9027">
        <v>10124.715</v>
      </c>
      <c r="BS41" s="9027">
        <v>9481.9590000000007</v>
      </c>
      <c r="BT41" s="9027">
        <v>8922.0380000000005</v>
      </c>
      <c r="BU41" s="9027">
        <v>8311.9259999999995</v>
      </c>
      <c r="BV41" s="9002"/>
      <c r="BW41" s="9031"/>
      <c r="BX41" s="8991"/>
      <c r="BY41" s="8991"/>
      <c r="BZ41" s="9031"/>
      <c r="CA41" s="9031"/>
      <c r="CB41" s="8991"/>
      <c r="CC41" s="9031"/>
      <c r="CD41" s="9031"/>
      <c r="CE41" s="8991"/>
      <c r="CF41" s="9031"/>
      <c r="CG41" s="8991"/>
      <c r="CH41" s="9031"/>
      <c r="CI41" s="8991"/>
      <c r="CJ41" s="9031"/>
      <c r="CK41" s="8991"/>
      <c r="CL41" s="9031"/>
      <c r="CM41" s="8991"/>
      <c r="CN41" s="8991"/>
      <c r="CO41" s="8991"/>
      <c r="CP41" s="8991"/>
      <c r="CQ41" s="8991"/>
      <c r="CR41" s="8991"/>
      <c r="CS41" s="8991"/>
      <c r="CT41" s="8991"/>
      <c r="CU41" s="8991"/>
      <c r="CV41" s="8991"/>
      <c r="CW41" s="8991"/>
      <c r="CX41" s="8991"/>
    </row>
    <row r="42" spans="1:102" x14ac:dyDescent="0.9">
      <c r="A42" s="8993">
        <v>31</v>
      </c>
      <c r="B42" s="8943" t="s">
        <v>52</v>
      </c>
      <c r="D42" s="9032">
        <v>8138.3725700000005</v>
      </c>
      <c r="E42" s="9033">
        <v>0</v>
      </c>
      <c r="F42" s="9043" t="s">
        <v>107</v>
      </c>
      <c r="G42" s="9036">
        <v>2300</v>
      </c>
      <c r="H42" s="9032">
        <v>70026</v>
      </c>
      <c r="I42" s="8993">
        <v>67726</v>
      </c>
      <c r="J42" s="9035">
        <v>45320</v>
      </c>
      <c r="K42" s="9050">
        <v>43020</v>
      </c>
      <c r="L42" s="9027" t="s">
        <v>32</v>
      </c>
      <c r="N42" s="9032">
        <v>6814.5471689999986</v>
      </c>
      <c r="O42" s="9033">
        <v>0</v>
      </c>
      <c r="P42" s="9043" t="s">
        <v>107</v>
      </c>
      <c r="Q42" s="9036">
        <v>3076</v>
      </c>
      <c r="R42" s="9032">
        <v>55743</v>
      </c>
      <c r="S42" s="8993">
        <v>52667</v>
      </c>
      <c r="T42" s="9035">
        <v>33051</v>
      </c>
      <c r="U42" s="9050">
        <v>29975</v>
      </c>
      <c r="V42" s="9027" t="s">
        <v>32</v>
      </c>
      <c r="X42" s="9033">
        <v>0</v>
      </c>
      <c r="Y42" s="9033">
        <v>0</v>
      </c>
      <c r="Z42" s="9043">
        <v>0</v>
      </c>
      <c r="AA42" s="9036">
        <v>26500</v>
      </c>
      <c r="AB42" s="9032">
        <v>540600</v>
      </c>
      <c r="AC42" s="8993">
        <v>514100</v>
      </c>
      <c r="AD42" s="9035">
        <v>312800</v>
      </c>
      <c r="AE42" s="9050">
        <v>286300</v>
      </c>
      <c r="AF42" s="9027" t="s">
        <v>32</v>
      </c>
      <c r="AG42" s="9002"/>
      <c r="AH42" s="9032">
        <v>72231.735547000004</v>
      </c>
      <c r="AI42" s="9032">
        <v>70894.697046999994</v>
      </c>
      <c r="AJ42" s="9041">
        <v>1337.0385000000097</v>
      </c>
      <c r="AK42" s="9036">
        <v>18000</v>
      </c>
      <c r="AL42" s="9032">
        <v>488860</v>
      </c>
      <c r="AM42" s="8993">
        <v>470860</v>
      </c>
      <c r="AN42" s="9035">
        <v>290600</v>
      </c>
      <c r="AO42" s="9050">
        <v>272600</v>
      </c>
      <c r="AP42" s="9027" t="s">
        <v>32</v>
      </c>
      <c r="AQ42" s="9002"/>
      <c r="AR42" s="9032">
        <v>60484.87371</v>
      </c>
      <c r="AS42" s="9032">
        <v>58040.87371</v>
      </c>
      <c r="AT42" s="9041">
        <v>2444</v>
      </c>
      <c r="AU42" s="9039">
        <v>17200</v>
      </c>
      <c r="AV42" s="9032">
        <v>488640</v>
      </c>
      <c r="AW42" s="8993">
        <v>471440</v>
      </c>
      <c r="AX42" s="9035">
        <v>278390</v>
      </c>
      <c r="AY42" s="9050">
        <v>261190</v>
      </c>
      <c r="AZ42" s="9027" t="s">
        <v>32</v>
      </c>
      <c r="BA42" s="9002"/>
      <c r="BB42" s="9027" t="s">
        <v>32</v>
      </c>
      <c r="BC42" s="9027" t="s">
        <v>32</v>
      </c>
      <c r="BD42" s="9027" t="s">
        <v>32</v>
      </c>
      <c r="BE42" s="9027" t="s">
        <v>32</v>
      </c>
      <c r="BF42" s="9027" t="s">
        <v>32</v>
      </c>
      <c r="BG42" s="9002"/>
      <c r="BH42" s="9040" t="s">
        <v>3789</v>
      </c>
      <c r="BI42" s="9040" t="s">
        <v>3789</v>
      </c>
      <c r="BJ42" s="9002"/>
      <c r="BK42" s="9027">
        <v>100000</v>
      </c>
      <c r="BL42" s="9027">
        <v>100000</v>
      </c>
      <c r="BM42" s="9027">
        <v>100000</v>
      </c>
      <c r="BN42" s="9027">
        <v>100000</v>
      </c>
      <c r="BO42" s="9027">
        <v>100000</v>
      </c>
      <c r="BP42" s="9002"/>
      <c r="BQ42" s="9027">
        <v>294.38900000000001</v>
      </c>
      <c r="BR42" s="9027">
        <v>289.47800000000001</v>
      </c>
      <c r="BS42" s="9027">
        <v>262.32</v>
      </c>
      <c r="BT42" s="9027">
        <v>243.40700000000001</v>
      </c>
      <c r="BU42" s="9027">
        <v>225.47300000000001</v>
      </c>
      <c r="BV42" s="9002"/>
      <c r="BW42" s="9031"/>
      <c r="BX42" s="8991"/>
      <c r="BY42" s="8991"/>
      <c r="BZ42" s="9031"/>
      <c r="CA42" s="9031"/>
      <c r="CB42" s="8991"/>
      <c r="CC42" s="9031"/>
      <c r="CD42" s="9031"/>
      <c r="CE42" s="8991"/>
      <c r="CF42" s="9031"/>
      <c r="CG42" s="8991"/>
      <c r="CH42" s="9031"/>
      <c r="CI42" s="8991"/>
      <c r="CJ42" s="9031"/>
      <c r="CK42" s="8991"/>
      <c r="CL42" s="9031"/>
      <c r="CM42" s="8991"/>
      <c r="CN42" s="8991"/>
      <c r="CO42" s="8991"/>
      <c r="CP42" s="8991"/>
      <c r="CQ42" s="8991"/>
      <c r="CR42" s="8991"/>
      <c r="CS42" s="8991"/>
      <c r="CT42" s="8991"/>
      <c r="CU42" s="8991"/>
      <c r="CV42" s="8991"/>
      <c r="CW42" s="8991"/>
      <c r="CX42" s="8991"/>
    </row>
    <row r="43" spans="1:102" x14ac:dyDescent="0.9">
      <c r="A43" s="8993">
        <v>32</v>
      </c>
      <c r="B43" s="8943" t="s">
        <v>53</v>
      </c>
      <c r="D43" s="9032">
        <v>11887000000</v>
      </c>
      <c r="E43" s="9033">
        <v>0</v>
      </c>
      <c r="F43" s="9043" t="s">
        <v>107</v>
      </c>
      <c r="G43" s="9036">
        <v>1684200000</v>
      </c>
      <c r="H43" s="9024">
        <v>49640500000</v>
      </c>
      <c r="I43" s="8993">
        <v>47956300000</v>
      </c>
      <c r="J43" s="9035">
        <v>46083000000</v>
      </c>
      <c r="K43" s="9050">
        <v>44398800000</v>
      </c>
      <c r="L43" s="9042" t="s">
        <v>35</v>
      </c>
      <c r="N43" s="9032">
        <v>12328022144.550009</v>
      </c>
      <c r="O43" s="9033">
        <v>0</v>
      </c>
      <c r="P43" s="9043" t="s">
        <v>107</v>
      </c>
      <c r="Q43" s="9036">
        <v>1619600000</v>
      </c>
      <c r="R43" s="9024">
        <v>43073900000</v>
      </c>
      <c r="S43" s="8993">
        <v>41454300000</v>
      </c>
      <c r="T43" s="9035">
        <v>40060200000</v>
      </c>
      <c r="U43" s="9050">
        <v>38440600000</v>
      </c>
      <c r="V43" s="9042" t="s">
        <v>39</v>
      </c>
      <c r="X43" s="9032">
        <v>10568814724.380465</v>
      </c>
      <c r="Y43" s="9032">
        <v>10419121730.696095</v>
      </c>
      <c r="Z43" s="9041">
        <v>149692993.68437004</v>
      </c>
      <c r="AA43" s="9036">
        <v>1504900000</v>
      </c>
      <c r="AB43" s="9024">
        <v>38708300000</v>
      </c>
      <c r="AC43" s="8993">
        <v>37203400000</v>
      </c>
      <c r="AD43" s="9035">
        <v>35841700000</v>
      </c>
      <c r="AE43" s="9050">
        <v>34336800000</v>
      </c>
      <c r="AF43" s="9027" t="s">
        <v>39</v>
      </c>
      <c r="AG43" s="9002"/>
      <c r="AH43" s="9032">
        <v>8929463800</v>
      </c>
      <c r="AI43" s="9032">
        <v>8674212900</v>
      </c>
      <c r="AJ43" s="9041">
        <v>255250900</v>
      </c>
      <c r="AK43" s="9036">
        <v>1929000000</v>
      </c>
      <c r="AL43" s="9024">
        <v>35479100000</v>
      </c>
      <c r="AM43" s="8993">
        <v>33550100000</v>
      </c>
      <c r="AN43" s="9035">
        <v>35479100000</v>
      </c>
      <c r="AO43" s="9050">
        <v>33550100000</v>
      </c>
      <c r="AP43" s="9027" t="s">
        <v>39</v>
      </c>
      <c r="AQ43" s="9002"/>
      <c r="AR43" s="9032">
        <v>8929463800</v>
      </c>
      <c r="AS43" s="9032">
        <v>8674212900</v>
      </c>
      <c r="AT43" s="9041">
        <v>255250900</v>
      </c>
      <c r="AU43" s="9039">
        <v>1747200000</v>
      </c>
      <c r="AV43" s="9024">
        <v>32313300000</v>
      </c>
      <c r="AW43" s="8993">
        <v>30566100000</v>
      </c>
      <c r="AX43" s="9035">
        <v>32313300000</v>
      </c>
      <c r="AY43" s="9050">
        <v>30566100000</v>
      </c>
      <c r="AZ43" s="9027" t="s">
        <v>39</v>
      </c>
      <c r="BA43" s="9002"/>
      <c r="BB43" s="9027" t="s">
        <v>35</v>
      </c>
      <c r="BC43" s="9027" t="s">
        <v>39</v>
      </c>
      <c r="BD43" s="9027" t="s">
        <v>39</v>
      </c>
      <c r="BE43" s="9027" t="s">
        <v>39</v>
      </c>
      <c r="BF43" s="9027" t="s">
        <v>39</v>
      </c>
      <c r="BG43" s="9002"/>
      <c r="BH43" s="9040" t="s">
        <v>3907</v>
      </c>
      <c r="BI43" s="9040" t="s">
        <v>3907</v>
      </c>
      <c r="BJ43" s="9002"/>
      <c r="BK43" s="9027">
        <v>1</v>
      </c>
      <c r="BL43" s="9027">
        <v>1</v>
      </c>
      <c r="BM43" s="9027">
        <v>1</v>
      </c>
      <c r="BN43" s="9027">
        <v>1</v>
      </c>
      <c r="BO43" s="9027">
        <v>1</v>
      </c>
      <c r="BP43" s="9002"/>
      <c r="BQ43" s="9027">
        <v>206.352</v>
      </c>
      <c r="BR43" s="9027">
        <v>210.37799999999999</v>
      </c>
      <c r="BS43" s="9027">
        <v>192.50899999999999</v>
      </c>
      <c r="BT43" s="9027">
        <v>178.881</v>
      </c>
      <c r="BU43" s="9027">
        <v>160.815</v>
      </c>
      <c r="BV43" s="9002"/>
      <c r="BW43" s="9031"/>
      <c r="BX43" s="8991"/>
      <c r="BY43" s="8991"/>
      <c r="BZ43" s="9031"/>
      <c r="CA43" s="9031"/>
      <c r="CB43" s="8991"/>
      <c r="CC43" s="9031"/>
      <c r="CD43" s="9031"/>
      <c r="CE43" s="8991"/>
      <c r="CF43" s="9031"/>
      <c r="CG43" s="8991"/>
      <c r="CH43" s="9031"/>
      <c r="CI43" s="8991"/>
      <c r="CJ43" s="9031"/>
      <c r="CK43" s="8991"/>
      <c r="CL43" s="9031"/>
      <c r="CM43" s="8991"/>
      <c r="CN43" s="8991"/>
      <c r="CO43" s="8991"/>
      <c r="CP43" s="8991"/>
      <c r="CQ43" s="8991"/>
      <c r="CR43" s="8991"/>
      <c r="CS43" s="8991"/>
      <c r="CT43" s="8991"/>
      <c r="CU43" s="8991"/>
      <c r="CV43" s="8991"/>
      <c r="CW43" s="8991"/>
      <c r="CX43" s="8991"/>
    </row>
    <row r="44" spans="1:102" x14ac:dyDescent="0.9">
      <c r="A44" s="8993">
        <v>33</v>
      </c>
      <c r="B44" s="8943" t="s">
        <v>54</v>
      </c>
      <c r="D44" s="9032">
        <v>61018.764999999999</v>
      </c>
      <c r="E44" s="9032">
        <v>56778.171000000002</v>
      </c>
      <c r="F44" s="9035">
        <v>4240.5939999999973</v>
      </c>
      <c r="G44" s="9036">
        <v>75621.5</v>
      </c>
      <c r="H44" s="9032">
        <v>340223.10000000003</v>
      </c>
      <c r="I44" s="8993">
        <v>264601.60000000003</v>
      </c>
      <c r="J44" s="9035">
        <v>271658.80000000005</v>
      </c>
      <c r="K44" s="9050">
        <v>196037.30000000002</v>
      </c>
      <c r="L44" s="9027" t="s">
        <v>39</v>
      </c>
      <c r="N44" s="9032">
        <v>58214.876000000004</v>
      </c>
      <c r="O44" s="9032">
        <v>50995.356</v>
      </c>
      <c r="P44" s="9032">
        <v>7219.5200000000041</v>
      </c>
      <c r="Q44" s="9036">
        <v>75470.8</v>
      </c>
      <c r="R44" s="9032">
        <v>313621.5</v>
      </c>
      <c r="S44" s="8993">
        <v>238150.7</v>
      </c>
      <c r="T44" s="9035">
        <v>241569</v>
      </c>
      <c r="U44" s="9050">
        <v>166098.20000000001</v>
      </c>
      <c r="V44" s="9027" t="s">
        <v>39</v>
      </c>
      <c r="X44" s="9032">
        <v>47585.285051305196</v>
      </c>
      <c r="Y44" s="9035">
        <v>45750.544209732303</v>
      </c>
      <c r="Z44" s="9035">
        <v>1834.7408415728933</v>
      </c>
      <c r="AA44" s="9036">
        <v>71802.3</v>
      </c>
      <c r="AB44" s="9032">
        <v>289890</v>
      </c>
      <c r="AC44" s="8993">
        <v>218087.7</v>
      </c>
      <c r="AD44" s="9035">
        <v>222739.20000000001</v>
      </c>
      <c r="AE44" s="9050">
        <v>150936.9</v>
      </c>
      <c r="AF44" s="9027" t="s">
        <v>39</v>
      </c>
      <c r="AG44" s="9002"/>
      <c r="AH44" s="9032">
        <v>46275.735999999997</v>
      </c>
      <c r="AI44" s="9032">
        <v>41381.015999999996</v>
      </c>
      <c r="AJ44" s="9041">
        <v>4894.7200000000012</v>
      </c>
      <c r="AK44" s="9036">
        <v>18740.933333333334</v>
      </c>
      <c r="AL44" s="9032">
        <v>202380.53333333333</v>
      </c>
      <c r="AM44" s="8993">
        <v>183639.59999999998</v>
      </c>
      <c r="AN44" s="9035">
        <v>165697.46666666667</v>
      </c>
      <c r="AO44" s="9050">
        <v>146956.53333333333</v>
      </c>
      <c r="AP44" s="9027" t="s">
        <v>35</v>
      </c>
      <c r="AQ44" s="9002"/>
      <c r="AR44" s="9032">
        <v>44146.261999999995</v>
      </c>
      <c r="AS44" s="9032">
        <v>38122.250999999997</v>
      </c>
      <c r="AT44" s="9041">
        <v>6024.0109999999986</v>
      </c>
      <c r="AU44" s="9039">
        <v>45578.400000000001</v>
      </c>
      <c r="AV44" s="9032">
        <v>220626.80000000002</v>
      </c>
      <c r="AW44" s="8993">
        <v>175048.40000000002</v>
      </c>
      <c r="AX44" s="9035">
        <v>170356.2</v>
      </c>
      <c r="AY44" s="9050">
        <v>124777.80000000002</v>
      </c>
      <c r="AZ44" s="9027" t="s">
        <v>39</v>
      </c>
      <c r="BA44" s="9002"/>
      <c r="BB44" s="9027" t="s">
        <v>39</v>
      </c>
      <c r="BC44" s="9027" t="s">
        <v>39</v>
      </c>
      <c r="BD44" s="9027" t="s">
        <v>39</v>
      </c>
      <c r="BE44" s="9027" t="s">
        <v>35</v>
      </c>
      <c r="BF44" s="9027" t="s">
        <v>39</v>
      </c>
      <c r="BG44" s="9002"/>
      <c r="BH44" s="9040" t="s">
        <v>4093</v>
      </c>
      <c r="BI44" s="9040" t="s">
        <v>4093</v>
      </c>
      <c r="BJ44" s="9002"/>
      <c r="BK44" s="9027">
        <v>1000000</v>
      </c>
      <c r="BL44" s="9027">
        <v>1000000</v>
      </c>
      <c r="BM44" s="9027">
        <v>1000000</v>
      </c>
      <c r="BN44" s="9027">
        <v>1000000</v>
      </c>
      <c r="BO44" s="9027">
        <v>1000000</v>
      </c>
      <c r="BP44" s="9002"/>
      <c r="BQ44" s="9027">
        <v>974.51099999999997</v>
      </c>
      <c r="BR44" s="9027">
        <v>962.62099999999998</v>
      </c>
      <c r="BS44" s="9027">
        <v>895.56700000000001</v>
      </c>
      <c r="BT44" s="9027">
        <v>840.52599999999995</v>
      </c>
      <c r="BU44" s="9027">
        <v>752.702</v>
      </c>
      <c r="BV44" s="9002"/>
      <c r="BW44" s="9031"/>
      <c r="BX44" s="8991"/>
      <c r="BY44" s="8991"/>
      <c r="BZ44" s="9031"/>
      <c r="CA44" s="9031"/>
      <c r="CB44" s="8991"/>
      <c r="CC44" s="9031"/>
      <c r="CD44" s="9031"/>
      <c r="CE44" s="8991"/>
      <c r="CF44" s="9031"/>
      <c r="CG44" s="8991"/>
      <c r="CH44" s="9031"/>
      <c r="CI44" s="8991"/>
      <c r="CJ44" s="9031"/>
      <c r="CK44" s="8991"/>
      <c r="CL44" s="9031"/>
      <c r="CM44" s="8991"/>
      <c r="CN44" s="8991"/>
      <c r="CO44" s="8991"/>
      <c r="CP44" s="8991"/>
      <c r="CQ44" s="8991"/>
      <c r="CR44" s="8991"/>
      <c r="CS44" s="8991"/>
      <c r="CT44" s="8991"/>
      <c r="CU44" s="8991"/>
      <c r="CV44" s="8991"/>
      <c r="CW44" s="8991"/>
      <c r="CX44" s="8991"/>
    </row>
    <row r="45" spans="1:102" x14ac:dyDescent="0.9">
      <c r="A45" s="8993">
        <v>34</v>
      </c>
      <c r="B45" s="8943" t="s">
        <v>113</v>
      </c>
      <c r="D45" s="9032">
        <v>168034164.69406384</v>
      </c>
      <c r="E45" s="9032">
        <v>167575147.05416119</v>
      </c>
      <c r="F45" s="9037">
        <v>459017.63990265131</v>
      </c>
      <c r="G45" s="9038">
        <v>22077622.845902681</v>
      </c>
      <c r="H45" s="9032">
        <v>1127905884.479739</v>
      </c>
      <c r="I45" s="8993">
        <v>1105828261.6338363</v>
      </c>
      <c r="J45" s="9035">
        <v>811115517.37828994</v>
      </c>
      <c r="K45" s="9050">
        <v>789037894.53238726</v>
      </c>
      <c r="L45" s="9027" t="s">
        <v>35</v>
      </c>
      <c r="N45" s="9032">
        <v>159216509.60973233</v>
      </c>
      <c r="O45" s="9032">
        <v>155704664.9415977</v>
      </c>
      <c r="P45" s="9037">
        <v>3511844.6681346297</v>
      </c>
      <c r="Q45" s="9038">
        <v>16943782.086034644</v>
      </c>
      <c r="R45" s="9032">
        <v>1060054008.6678575</v>
      </c>
      <c r="S45" s="8993">
        <v>1043110226.5818229</v>
      </c>
      <c r="T45" s="9035">
        <v>752923054.34483957</v>
      </c>
      <c r="U45" s="9050">
        <v>735979272.25880492</v>
      </c>
      <c r="V45" s="9027" t="s">
        <v>35</v>
      </c>
      <c r="X45" s="9032">
        <v>139113692.42358217</v>
      </c>
      <c r="Y45" s="9032">
        <v>135614592.4235822</v>
      </c>
      <c r="Z45" s="9041">
        <v>3499099.9999999702</v>
      </c>
      <c r="AA45" s="9036">
        <v>16247300</v>
      </c>
      <c r="AB45" s="9032">
        <v>967633300</v>
      </c>
      <c r="AC45" s="8993">
        <v>951386000</v>
      </c>
      <c r="AD45" s="9035">
        <v>696919600</v>
      </c>
      <c r="AE45" s="9050">
        <v>680672300</v>
      </c>
      <c r="AF45" s="9027" t="s">
        <v>35</v>
      </c>
      <c r="AG45" s="9002"/>
      <c r="AH45" s="9032">
        <v>124337910.95790999</v>
      </c>
      <c r="AI45" s="9032">
        <v>111931307.95790999</v>
      </c>
      <c r="AJ45" s="9041">
        <v>12406603</v>
      </c>
      <c r="AK45" s="9036">
        <v>10023700</v>
      </c>
      <c r="AL45" s="9032">
        <v>727363700</v>
      </c>
      <c r="AM45" s="8993">
        <v>717340000</v>
      </c>
      <c r="AN45" s="9035">
        <v>518614300</v>
      </c>
      <c r="AO45" s="9050">
        <v>508590600</v>
      </c>
      <c r="AP45" s="9027" t="s">
        <v>39</v>
      </c>
      <c r="AQ45" s="9002"/>
      <c r="AR45" s="9032">
        <v>94599786.66094166</v>
      </c>
      <c r="AS45" s="9032">
        <v>93749549.353941664</v>
      </c>
      <c r="AT45" s="9041">
        <v>850237.3069999963</v>
      </c>
      <c r="AU45" s="9039">
        <v>8673040</v>
      </c>
      <c r="AV45" s="9032">
        <v>493337237</v>
      </c>
      <c r="AW45" s="8993">
        <v>484664197</v>
      </c>
      <c r="AX45" s="9035">
        <v>370986807</v>
      </c>
      <c r="AY45" s="9050">
        <v>362313767</v>
      </c>
      <c r="AZ45" s="9027" t="s">
        <v>39</v>
      </c>
      <c r="BA45" s="9002"/>
      <c r="BB45" s="9027" t="s">
        <v>35</v>
      </c>
      <c r="BC45" s="9027" t="s">
        <v>35</v>
      </c>
      <c r="BD45" s="9027" t="s">
        <v>35</v>
      </c>
      <c r="BE45" s="9027" t="s">
        <v>39</v>
      </c>
      <c r="BF45" s="9027" t="s">
        <v>39</v>
      </c>
      <c r="BG45" s="9002"/>
      <c r="BH45" s="9040" t="s">
        <v>4189</v>
      </c>
      <c r="BI45" s="9040" t="s">
        <v>4189</v>
      </c>
      <c r="BJ45" s="9002"/>
      <c r="BK45" s="9027">
        <v>1000</v>
      </c>
      <c r="BL45" s="9027">
        <v>1000</v>
      </c>
      <c r="BM45" s="9027">
        <v>1000</v>
      </c>
      <c r="BN45" s="9027">
        <v>1000</v>
      </c>
      <c r="BO45" s="9027">
        <v>1000</v>
      </c>
      <c r="BP45" s="9002"/>
      <c r="BQ45" s="9027">
        <v>3914.701</v>
      </c>
      <c r="BR45" s="9027">
        <v>3858.93</v>
      </c>
      <c r="BS45" s="9027">
        <v>3455.9490000000001</v>
      </c>
      <c r="BT45" s="9027">
        <v>3077.145</v>
      </c>
      <c r="BU45" s="9027">
        <v>2608.1840000000002</v>
      </c>
      <c r="BV45" s="9002"/>
      <c r="BW45" s="9031"/>
      <c r="BX45" s="8991"/>
      <c r="BY45" s="8991"/>
      <c r="BZ45" s="9031"/>
      <c r="CA45" s="9031"/>
      <c r="CB45" s="8991"/>
      <c r="CC45" s="9031"/>
      <c r="CD45" s="9031"/>
      <c r="CE45" s="8991"/>
      <c r="CF45" s="9031"/>
      <c r="CG45" s="8991"/>
      <c r="CH45" s="9031"/>
      <c r="CI45" s="8991"/>
      <c r="CJ45" s="9031"/>
      <c r="CK45" s="8991"/>
      <c r="CL45" s="9031"/>
      <c r="CM45" s="8991"/>
      <c r="CN45" s="8991"/>
      <c r="CO45" s="8991"/>
      <c r="CP45" s="8991"/>
      <c r="CQ45" s="8991"/>
      <c r="CR45" s="8991"/>
      <c r="CS45" s="8991"/>
      <c r="CT45" s="8991"/>
      <c r="CU45" s="8991"/>
      <c r="CV45" s="8991"/>
      <c r="CW45" s="8991"/>
      <c r="CX45" s="8991"/>
    </row>
    <row r="46" spans="1:102" x14ac:dyDescent="0.9">
      <c r="A46" s="8993">
        <v>35</v>
      </c>
      <c r="B46" s="8943" t="s">
        <v>57</v>
      </c>
      <c r="D46" s="9033" t="s">
        <v>107</v>
      </c>
      <c r="E46" s="9033" t="s">
        <v>107</v>
      </c>
      <c r="F46" s="9044" t="s">
        <v>107</v>
      </c>
      <c r="G46" s="9033" t="s">
        <v>107</v>
      </c>
      <c r="H46" s="9033" t="s">
        <v>107</v>
      </c>
      <c r="I46" s="9033" t="s">
        <v>107</v>
      </c>
      <c r="J46" s="9033" t="s">
        <v>107</v>
      </c>
      <c r="K46" s="9049" t="s">
        <v>107</v>
      </c>
      <c r="L46" s="9045" t="s">
        <v>107</v>
      </c>
      <c r="N46" s="9032">
        <v>17444.775368655242</v>
      </c>
      <c r="O46" s="9032">
        <v>125.11159606770801</v>
      </c>
      <c r="P46" s="9037">
        <v>17319.663772587533</v>
      </c>
      <c r="Q46" s="9033">
        <v>0</v>
      </c>
      <c r="R46" s="9032">
        <v>76649.103900394111</v>
      </c>
      <c r="S46" s="9033" t="s">
        <v>107</v>
      </c>
      <c r="T46" s="9033">
        <v>0</v>
      </c>
      <c r="U46" s="9049">
        <v>0</v>
      </c>
      <c r="V46" s="9027" t="s">
        <v>35</v>
      </c>
      <c r="X46" s="9032">
        <v>18268.610144710001</v>
      </c>
      <c r="Y46" s="9032">
        <v>12702.148365459998</v>
      </c>
      <c r="Z46" s="9041">
        <v>5566.461779250003</v>
      </c>
      <c r="AA46" s="9036">
        <v>16811.784642999999</v>
      </c>
      <c r="AB46" s="9032">
        <v>93603.730585999991</v>
      </c>
      <c r="AC46" s="8993">
        <v>76791.945942999999</v>
      </c>
      <c r="AD46" s="9035">
        <v>72118.163532999999</v>
      </c>
      <c r="AE46" s="9050">
        <v>55306.37889</v>
      </c>
      <c r="AF46" s="9027" t="s">
        <v>39</v>
      </c>
      <c r="AG46" s="9002"/>
      <c r="AH46" s="9032">
        <v>18061.658881629999</v>
      </c>
      <c r="AI46" s="9032">
        <v>12052.353757909999</v>
      </c>
      <c r="AJ46" s="9041">
        <v>6009.3051237199998</v>
      </c>
      <c r="AK46" s="9036">
        <v>14220.316048999999</v>
      </c>
      <c r="AL46" s="9032">
        <v>96268.811189910004</v>
      </c>
      <c r="AM46" s="8993">
        <v>82048.495140910003</v>
      </c>
      <c r="AN46" s="9035">
        <v>72921.70123839</v>
      </c>
      <c r="AO46" s="9050">
        <v>58701.385189389999</v>
      </c>
      <c r="AP46" s="9027" t="s">
        <v>39</v>
      </c>
      <c r="AQ46" s="9002"/>
      <c r="AR46" s="9032">
        <v>15519.222666666665</v>
      </c>
      <c r="AS46" s="9032">
        <v>10587.353333333333</v>
      </c>
      <c r="AT46" s="9041">
        <v>4931.8693333333322</v>
      </c>
      <c r="AU46" s="9039">
        <v>12130.641333333333</v>
      </c>
      <c r="AV46" s="9032">
        <v>76382.093333333323</v>
      </c>
      <c r="AW46" s="8993">
        <v>64251.45199999999</v>
      </c>
      <c r="AX46" s="9035">
        <v>58205.905333333329</v>
      </c>
      <c r="AY46" s="9050">
        <v>46075.263999999996</v>
      </c>
      <c r="AZ46" s="9027" t="s">
        <v>35</v>
      </c>
      <c r="BA46" s="9002"/>
      <c r="BB46" s="9027" t="s">
        <v>107</v>
      </c>
      <c r="BC46" s="9027" t="s">
        <v>35</v>
      </c>
      <c r="BD46" s="9027" t="s">
        <v>39</v>
      </c>
      <c r="BE46" s="9027" t="s">
        <v>39</v>
      </c>
      <c r="BF46" s="9027" t="s">
        <v>35</v>
      </c>
      <c r="BG46" s="9002"/>
      <c r="BH46" s="9040" t="s">
        <v>4323</v>
      </c>
      <c r="BI46" s="9040" t="s">
        <v>4323</v>
      </c>
      <c r="BJ46" s="9002"/>
      <c r="BK46" s="9027">
        <v>1000000</v>
      </c>
      <c r="BL46" s="9027">
        <v>1000000</v>
      </c>
      <c r="BM46" s="9027">
        <v>1000000</v>
      </c>
      <c r="BN46" s="9027">
        <v>1000000</v>
      </c>
      <c r="BO46" s="9027">
        <v>1000000</v>
      </c>
      <c r="BP46" s="9002"/>
      <c r="BQ46" s="9027">
        <v>433.44799999999998</v>
      </c>
      <c r="BR46" s="9027">
        <v>417.70499999999998</v>
      </c>
      <c r="BS46" s="9027">
        <v>410.988</v>
      </c>
      <c r="BT46" s="9027">
        <v>414.279</v>
      </c>
      <c r="BU46" s="9027">
        <v>380.26100000000002</v>
      </c>
      <c r="BV46" s="9002"/>
      <c r="BW46" s="9031"/>
      <c r="BX46" s="8991"/>
      <c r="BY46" s="8991"/>
      <c r="BZ46" s="9031"/>
      <c r="CA46" s="9031"/>
      <c r="CB46" s="8991"/>
      <c r="CC46" s="9031"/>
      <c r="CD46" s="9031"/>
      <c r="CE46" s="8991"/>
      <c r="CF46" s="9031"/>
      <c r="CG46" s="8991"/>
      <c r="CH46" s="9031"/>
      <c r="CI46" s="8991"/>
      <c r="CJ46" s="9031"/>
      <c r="CK46" s="8991"/>
      <c r="CL46" s="9031"/>
      <c r="CM46" s="8991"/>
      <c r="CN46" s="8991"/>
      <c r="CO46" s="8991"/>
      <c r="CP46" s="8991"/>
      <c r="CQ46" s="8991"/>
      <c r="CR46" s="8991"/>
      <c r="CS46" s="8991"/>
      <c r="CT46" s="8991"/>
      <c r="CU46" s="8991"/>
      <c r="CV46" s="8991"/>
      <c r="CW46" s="8991"/>
      <c r="CX46" s="8991"/>
    </row>
    <row r="47" spans="1:102" x14ac:dyDescent="0.9">
      <c r="A47" s="8993">
        <v>36</v>
      </c>
      <c r="B47" s="8943" t="s">
        <v>58</v>
      </c>
      <c r="D47" s="9032">
        <v>271.95123903282297</v>
      </c>
      <c r="E47" s="9032">
        <v>253.79016509982301</v>
      </c>
      <c r="F47" s="9037">
        <v>18.161073932999955</v>
      </c>
      <c r="G47" s="9032">
        <v>288.98666666666668</v>
      </c>
      <c r="H47" s="9032">
        <v>1762.8933333333332</v>
      </c>
      <c r="I47" s="8993">
        <v>1473.9066666666665</v>
      </c>
      <c r="J47" s="9035">
        <v>947.69333333333327</v>
      </c>
      <c r="K47" s="9050">
        <v>658.70666666666659</v>
      </c>
      <c r="L47" s="9027" t="s">
        <v>35</v>
      </c>
      <c r="N47" s="9032">
        <v>267.26618703899709</v>
      </c>
      <c r="O47" s="9032">
        <v>226.5761634089971</v>
      </c>
      <c r="P47" s="9037">
        <v>40.690023629999985</v>
      </c>
      <c r="Q47" s="9032">
        <v>48.155499999999996</v>
      </c>
      <c r="R47" s="9032">
        <v>1603.0855000000001</v>
      </c>
      <c r="S47" s="8993">
        <v>1554.93</v>
      </c>
      <c r="T47" s="9035">
        <v>663.21549999999991</v>
      </c>
      <c r="U47" s="9050">
        <v>615.05999999999995</v>
      </c>
      <c r="V47" s="9027" t="s">
        <v>39</v>
      </c>
      <c r="X47" s="9032">
        <v>199.53524703462509</v>
      </c>
      <c r="Y47" s="9032">
        <v>101.90624703462507</v>
      </c>
      <c r="Z47" s="9041">
        <v>97.629000000000019</v>
      </c>
      <c r="AA47" s="9036">
        <v>41.942499999999995</v>
      </c>
      <c r="AB47" s="9032">
        <v>1464.2525000000001</v>
      </c>
      <c r="AC47" s="8993">
        <v>1422.31</v>
      </c>
      <c r="AD47" s="9035">
        <v>596.39250000000004</v>
      </c>
      <c r="AE47" s="9050">
        <v>554.45000000000005</v>
      </c>
      <c r="AF47" s="9027" t="s">
        <v>39</v>
      </c>
      <c r="AG47" s="9002"/>
      <c r="AH47" s="9032">
        <v>213.42958016579743</v>
      </c>
      <c r="AI47" s="9032">
        <v>204.62083707908366</v>
      </c>
      <c r="AJ47" s="9041">
        <v>8.8087430867137755</v>
      </c>
      <c r="AK47" s="9036">
        <v>162.88</v>
      </c>
      <c r="AL47" s="9032">
        <v>1363.12</v>
      </c>
      <c r="AM47" s="8993">
        <v>1200.2399999999998</v>
      </c>
      <c r="AN47" s="9035">
        <v>710.78</v>
      </c>
      <c r="AO47" s="9050">
        <v>547.9</v>
      </c>
      <c r="AP47" s="9027" t="s">
        <v>39</v>
      </c>
      <c r="AQ47" s="9002"/>
      <c r="AR47" s="9032">
        <v>217.08300619600001</v>
      </c>
      <c r="AS47" s="9032">
        <v>207.456585663</v>
      </c>
      <c r="AT47" s="9041">
        <v>9.6264205330000152</v>
      </c>
      <c r="AU47" s="9039">
        <v>117.14</v>
      </c>
      <c r="AV47" s="9032">
        <v>1341.0500000000002</v>
      </c>
      <c r="AW47" s="8993">
        <v>1223.9100000000001</v>
      </c>
      <c r="AX47" s="9035">
        <v>671.13</v>
      </c>
      <c r="AY47" s="9050">
        <v>553.99</v>
      </c>
      <c r="AZ47" s="9027" t="s">
        <v>39</v>
      </c>
      <c r="BA47" s="9002"/>
      <c r="BB47" s="9027" t="s">
        <v>35</v>
      </c>
      <c r="BC47" s="9027" t="s">
        <v>39</v>
      </c>
      <c r="BD47" s="9027" t="s">
        <v>39</v>
      </c>
      <c r="BE47" s="9027" t="s">
        <v>39</v>
      </c>
      <c r="BF47" s="9027" t="s">
        <v>39</v>
      </c>
      <c r="BG47" s="9002"/>
      <c r="BH47" s="9040" t="s">
        <v>4420</v>
      </c>
      <c r="BI47" s="9040" t="s">
        <v>4420</v>
      </c>
      <c r="BJ47" s="9002"/>
      <c r="BK47" s="9027">
        <v>1000000000</v>
      </c>
      <c r="BL47" s="9027">
        <v>1000000000</v>
      </c>
      <c r="BM47" s="9027">
        <v>1000000000</v>
      </c>
      <c r="BN47" s="9027">
        <v>1000000000</v>
      </c>
      <c r="BO47" s="9027">
        <v>1000000000</v>
      </c>
      <c r="BP47" s="9002"/>
      <c r="BQ47" s="9027">
        <v>7909.3450000000003</v>
      </c>
      <c r="BR47" s="9027">
        <v>7564.9530000000004</v>
      </c>
      <c r="BS47" s="9027">
        <v>7134.2539999999999</v>
      </c>
      <c r="BT47" s="9027">
        <v>6497.0140000000001</v>
      </c>
      <c r="BU47" s="9027">
        <v>6135.41</v>
      </c>
      <c r="BV47" s="9002"/>
      <c r="BW47" s="9031"/>
      <c r="BX47" s="8991"/>
      <c r="BY47" s="8991"/>
      <c r="BZ47" s="9031"/>
      <c r="CA47" s="9031"/>
      <c r="CB47" s="8991"/>
      <c r="CC47" s="9031"/>
      <c r="CD47" s="9031"/>
      <c r="CE47" s="8991"/>
      <c r="CF47" s="9031"/>
      <c r="CG47" s="8991"/>
      <c r="CH47" s="9031"/>
      <c r="CI47" s="8991"/>
      <c r="CJ47" s="9031"/>
      <c r="CK47" s="8991"/>
      <c r="CL47" s="9031"/>
      <c r="CM47" s="8991"/>
      <c r="CN47" s="8991"/>
      <c r="CO47" s="8991"/>
      <c r="CP47" s="8991"/>
      <c r="CQ47" s="8991"/>
      <c r="CR47" s="8991"/>
      <c r="CS47" s="8991"/>
      <c r="CT47" s="8991"/>
      <c r="CU47" s="8991"/>
      <c r="CV47" s="8991"/>
      <c r="CW47" s="8991"/>
      <c r="CX47" s="8991"/>
    </row>
    <row r="48" spans="1:102" x14ac:dyDescent="0.9">
      <c r="A48" s="8993">
        <v>37</v>
      </c>
      <c r="B48" s="8986" t="s">
        <v>6778</v>
      </c>
      <c r="C48" s="9052"/>
      <c r="D48" s="9053">
        <v>48303.588665802257</v>
      </c>
      <c r="E48" s="9053">
        <v>32947.386817802253</v>
      </c>
      <c r="F48" s="9054">
        <v>15356.201848000004</v>
      </c>
      <c r="G48" s="9055">
        <v>2617.062191</v>
      </c>
      <c r="H48" s="9056">
        <v>109011.673289</v>
      </c>
      <c r="I48" s="9052">
        <v>106394.61109799999</v>
      </c>
      <c r="J48" s="9056">
        <v>58009.915825000004</v>
      </c>
      <c r="K48" s="9052">
        <v>60626.978016000001</v>
      </c>
      <c r="L48" s="9057" t="s">
        <v>39</v>
      </c>
      <c r="N48" s="9053">
        <v>41876.622576775095</v>
      </c>
      <c r="O48" s="9053">
        <v>31411.2694387751</v>
      </c>
      <c r="P48" s="9054">
        <v>10465.353137999995</v>
      </c>
      <c r="Q48" s="9055">
        <v>3311.0913959999998</v>
      </c>
      <c r="R48" s="9056">
        <v>117914.9716</v>
      </c>
      <c r="S48" s="9052">
        <v>114603.880204</v>
      </c>
      <c r="T48" s="9056">
        <v>62123.655826999995</v>
      </c>
      <c r="U48" s="9052">
        <v>65434.747222999998</v>
      </c>
      <c r="V48" s="9057" t="s">
        <v>39</v>
      </c>
      <c r="X48" s="9053">
        <v>41860.017401215038</v>
      </c>
      <c r="Y48" s="9053">
        <v>28586.600173215043</v>
      </c>
      <c r="Z48" s="9054">
        <v>13273.417227999995</v>
      </c>
      <c r="AA48" s="9055">
        <v>3150.7358519999998</v>
      </c>
      <c r="AB48" s="9056">
        <v>127638.69055499999</v>
      </c>
      <c r="AC48" s="9052">
        <v>124487.954703</v>
      </c>
      <c r="AD48" s="9056">
        <v>54932.816671</v>
      </c>
      <c r="AE48" s="9052">
        <v>58083.552522999998</v>
      </c>
      <c r="AF48" s="9057" t="s">
        <v>39</v>
      </c>
      <c r="AG48" s="9002"/>
      <c r="AH48" s="9033"/>
      <c r="AI48" s="9033"/>
      <c r="AJ48" s="9043"/>
      <c r="AK48" s="9034"/>
      <c r="AL48" s="9033"/>
      <c r="AM48" s="9049"/>
      <c r="AN48" s="9033"/>
      <c r="AO48" s="9049"/>
      <c r="AP48" s="9045"/>
      <c r="AQ48" s="9002"/>
      <c r="AR48" s="9033"/>
      <c r="AS48" s="9033"/>
      <c r="AT48" s="9043"/>
      <c r="AU48" s="9034"/>
      <c r="AV48" s="9033"/>
      <c r="AW48" s="9049"/>
      <c r="AX48" s="9033"/>
      <c r="AY48" s="9049"/>
      <c r="AZ48" s="9045"/>
      <c r="BA48" s="9002"/>
      <c r="BB48" s="9027" t="s">
        <v>39</v>
      </c>
      <c r="BC48" s="9027" t="s">
        <v>39</v>
      </c>
      <c r="BD48" s="9027" t="s">
        <v>39</v>
      </c>
      <c r="BE48" s="9027">
        <v>0</v>
      </c>
      <c r="BF48" s="9027">
        <v>0</v>
      </c>
      <c r="BG48" s="9002"/>
      <c r="BH48" s="9040" t="s">
        <v>4527</v>
      </c>
      <c r="BI48" s="9040" t="s">
        <v>4527</v>
      </c>
      <c r="BJ48" s="9002"/>
      <c r="BK48" s="9027">
        <v>1000000</v>
      </c>
      <c r="BL48" s="9027">
        <v>1000000</v>
      </c>
      <c r="BM48" s="9027">
        <v>1000000</v>
      </c>
      <c r="BN48" s="9027"/>
      <c r="BO48" s="9027"/>
      <c r="BP48" s="9002"/>
      <c r="BQ48" s="9057" t="s">
        <v>6773</v>
      </c>
      <c r="BR48" s="9057" t="s">
        <v>6773</v>
      </c>
      <c r="BS48" s="9057" t="s">
        <v>6773</v>
      </c>
      <c r="BT48" s="9057" t="s">
        <v>6773</v>
      </c>
      <c r="BU48" s="9057" t="s">
        <v>6773</v>
      </c>
      <c r="BV48" s="9002"/>
      <c r="BW48" s="9031"/>
      <c r="BX48" s="8991"/>
      <c r="BY48" s="8991"/>
      <c r="BZ48" s="9031"/>
      <c r="CA48" s="9031"/>
      <c r="CB48" s="8991"/>
      <c r="CC48" s="9031"/>
      <c r="CD48" s="9031"/>
      <c r="CE48" s="8991"/>
      <c r="CF48" s="9031"/>
      <c r="CG48" s="8991"/>
      <c r="CH48" s="9031"/>
      <c r="CI48" s="8991"/>
      <c r="CJ48" s="9031"/>
      <c r="CK48" s="8991"/>
      <c r="CL48" s="9031"/>
      <c r="CM48" s="8991"/>
      <c r="CN48" s="8991"/>
      <c r="CO48" s="8991"/>
      <c r="CP48" s="8991"/>
      <c r="CQ48" s="8991"/>
      <c r="CR48" s="8991"/>
      <c r="CS48" s="8991"/>
      <c r="CT48" s="8991"/>
      <c r="CU48" s="8991"/>
      <c r="CV48" s="8991"/>
      <c r="CW48" s="8991"/>
      <c r="CX48" s="8991"/>
    </row>
    <row r="49" spans="1:107" x14ac:dyDescent="0.9">
      <c r="A49" s="8993">
        <v>38</v>
      </c>
      <c r="B49" s="8986" t="s">
        <v>6779</v>
      </c>
      <c r="C49" s="9052"/>
      <c r="D49" s="9053">
        <v>69913.130930078914</v>
      </c>
      <c r="E49" s="9053">
        <v>23317.205513078905</v>
      </c>
      <c r="F49" s="9054">
        <v>46595.925417000006</v>
      </c>
      <c r="G49" s="9055">
        <v>1250</v>
      </c>
      <c r="H49" s="9056">
        <v>259250.81973300001</v>
      </c>
      <c r="I49" s="9052">
        <v>258000.81973300001</v>
      </c>
      <c r="J49" s="9056">
        <v>72645.220027000003</v>
      </c>
      <c r="K49" s="9052">
        <v>73895.220027000003</v>
      </c>
      <c r="L49" s="9057" t="s">
        <v>32</v>
      </c>
      <c r="N49" s="9053">
        <v>71608.873543302805</v>
      </c>
      <c r="O49" s="9053">
        <v>25327.048156102795</v>
      </c>
      <c r="P49" s="9054">
        <v>46281.825387200006</v>
      </c>
      <c r="Q49" s="9055">
        <v>4402.0771431399999</v>
      </c>
      <c r="R49" s="9056">
        <v>217936.20945300002</v>
      </c>
      <c r="S49" s="9052">
        <v>213534.13230986003</v>
      </c>
      <c r="T49" s="9056">
        <v>77991.373713719993</v>
      </c>
      <c r="U49" s="9052">
        <v>82393.450856859999</v>
      </c>
      <c r="V49" s="9057" t="s">
        <v>32</v>
      </c>
      <c r="X49" s="9053">
        <v>51614.861959715949</v>
      </c>
      <c r="Y49" s="9053">
        <v>22298.028041385947</v>
      </c>
      <c r="Z49" s="9054">
        <v>29316.833918330001</v>
      </c>
      <c r="AA49" s="9055">
        <v>2493.277</v>
      </c>
      <c r="AB49" s="9056">
        <v>253816.53600000002</v>
      </c>
      <c r="AC49" s="9052">
        <v>251323.25900000002</v>
      </c>
      <c r="AD49" s="9056">
        <v>84396.694999999992</v>
      </c>
      <c r="AE49" s="9052">
        <v>86889.971999999994</v>
      </c>
      <c r="AF49" s="9057" t="s">
        <v>32</v>
      </c>
      <c r="AG49" s="9002"/>
      <c r="AH49" s="9033"/>
      <c r="AI49" s="9033"/>
      <c r="AJ49" s="9043"/>
      <c r="AK49" s="9034"/>
      <c r="AL49" s="9033"/>
      <c r="AM49" s="9049"/>
      <c r="AN49" s="9033"/>
      <c r="AO49" s="9049"/>
      <c r="AP49" s="9045"/>
      <c r="AQ49" s="9002"/>
      <c r="AR49" s="9033"/>
      <c r="AS49" s="9033"/>
      <c r="AT49" s="9043"/>
      <c r="AU49" s="9034"/>
      <c r="AV49" s="9033"/>
      <c r="AW49" s="9049"/>
      <c r="AX49" s="9033"/>
      <c r="AY49" s="9049"/>
      <c r="AZ49" s="9045"/>
      <c r="BA49" s="9002"/>
      <c r="BB49" s="9027" t="s">
        <v>32</v>
      </c>
      <c r="BC49" s="9027" t="s">
        <v>32</v>
      </c>
      <c r="BD49" s="9027" t="s">
        <v>32</v>
      </c>
      <c r="BE49" s="9027">
        <v>0</v>
      </c>
      <c r="BF49" s="9027">
        <v>0</v>
      </c>
      <c r="BG49" s="9002"/>
      <c r="BH49" s="9040" t="s">
        <v>4527</v>
      </c>
      <c r="BI49" s="9040" t="s">
        <v>4527</v>
      </c>
      <c r="BJ49" s="9002"/>
      <c r="BK49" s="9027">
        <v>1000000</v>
      </c>
      <c r="BL49" s="9027">
        <v>1000000</v>
      </c>
      <c r="BM49" s="9027">
        <v>1000000</v>
      </c>
      <c r="BN49" s="9027"/>
      <c r="BO49" s="9027"/>
      <c r="BP49" s="9002"/>
      <c r="BQ49" s="9057" t="s">
        <v>6773</v>
      </c>
      <c r="BR49" s="9057" t="s">
        <v>6773</v>
      </c>
      <c r="BS49" s="9057" t="s">
        <v>6773</v>
      </c>
      <c r="BT49" s="9057" t="s">
        <v>6773</v>
      </c>
      <c r="BU49" s="9057" t="s">
        <v>6773</v>
      </c>
      <c r="BV49" s="9002"/>
      <c r="BW49" s="9031"/>
      <c r="BX49" s="8991"/>
      <c r="BY49" s="8991"/>
      <c r="BZ49" s="9031"/>
      <c r="CA49" s="9031"/>
      <c r="CB49" s="8991"/>
      <c r="CC49" s="9031"/>
      <c r="CD49" s="9031"/>
      <c r="CE49" s="8991"/>
      <c r="CF49" s="9031"/>
      <c r="CG49" s="8991"/>
      <c r="CH49" s="9031"/>
      <c r="CI49" s="8991"/>
      <c r="CJ49" s="9031"/>
      <c r="CK49" s="8991"/>
      <c r="CL49" s="9031"/>
      <c r="CM49" s="8991"/>
      <c r="CN49" s="8991"/>
      <c r="CO49" s="8991"/>
      <c r="CP49" s="8991"/>
      <c r="CQ49" s="8991"/>
      <c r="CR49" s="8991"/>
      <c r="CS49" s="8991"/>
      <c r="CT49" s="8991"/>
      <c r="CU49" s="8991"/>
      <c r="CV49" s="8991"/>
      <c r="CW49" s="8991"/>
      <c r="CX49" s="8991"/>
    </row>
    <row r="50" spans="1:107" x14ac:dyDescent="0.9">
      <c r="A50" s="8993">
        <v>39</v>
      </c>
      <c r="B50" s="8986" t="s">
        <v>6780</v>
      </c>
      <c r="C50" s="9052"/>
      <c r="D50" s="9053">
        <v>30656.717999999997</v>
      </c>
      <c r="E50" s="9053">
        <v>30518.911999999997</v>
      </c>
      <c r="F50" s="9054">
        <v>137.80600000000049</v>
      </c>
      <c r="G50" s="9055">
        <v>11851.88300138217</v>
      </c>
      <c r="H50" s="9056">
        <v>104537.23000138218</v>
      </c>
      <c r="I50" s="9052">
        <v>92685.347000000009</v>
      </c>
      <c r="J50" s="9056">
        <v>63396.921998617836</v>
      </c>
      <c r="K50" s="9052">
        <v>75248.805000000008</v>
      </c>
      <c r="L50" s="9057" t="s">
        <v>39</v>
      </c>
      <c r="N50" s="9053">
        <v>34226.869449999998</v>
      </c>
      <c r="O50" s="9053">
        <v>32198.962000000003</v>
      </c>
      <c r="P50" s="9054">
        <v>2027.9074499999952</v>
      </c>
      <c r="Q50" s="9055">
        <v>7008.4489999999996</v>
      </c>
      <c r="R50" s="9056">
        <v>131738.171</v>
      </c>
      <c r="S50" s="9052">
        <v>124729.72200000001</v>
      </c>
      <c r="T50" s="9056">
        <v>86431.311000000002</v>
      </c>
      <c r="U50" s="9052">
        <v>93439.76</v>
      </c>
      <c r="V50" s="9057" t="s">
        <v>39</v>
      </c>
      <c r="X50" s="9053">
        <v>40336.311206668688</v>
      </c>
      <c r="Y50" s="9053">
        <v>31738.153187005355</v>
      </c>
      <c r="Z50" s="9054">
        <v>8598.1580196633331</v>
      </c>
      <c r="AA50" s="9055">
        <v>6081.38</v>
      </c>
      <c r="AB50" s="9056">
        <v>155716.201</v>
      </c>
      <c r="AC50" s="9052">
        <v>149634.821</v>
      </c>
      <c r="AD50" s="9056">
        <v>73684.153999999995</v>
      </c>
      <c r="AE50" s="9052">
        <v>79765.534</v>
      </c>
      <c r="AF50" s="9057" t="s">
        <v>39</v>
      </c>
      <c r="AG50" s="9002"/>
      <c r="AH50" s="9033"/>
      <c r="AI50" s="9033"/>
      <c r="AJ50" s="9043"/>
      <c r="AK50" s="9034"/>
      <c r="AL50" s="9033"/>
      <c r="AM50" s="9049"/>
      <c r="AN50" s="9033"/>
      <c r="AO50" s="9049"/>
      <c r="AP50" s="9045"/>
      <c r="AQ50" s="9002"/>
      <c r="AR50" s="9033"/>
      <c r="AS50" s="9033"/>
      <c r="AT50" s="9043"/>
      <c r="AU50" s="9034"/>
      <c r="AV50" s="9033"/>
      <c r="AW50" s="9049"/>
      <c r="AX50" s="9033"/>
      <c r="AY50" s="9049"/>
      <c r="AZ50" s="9045"/>
      <c r="BA50" s="9002"/>
      <c r="BB50" s="9027" t="s">
        <v>39</v>
      </c>
      <c r="BC50" s="9027" t="s">
        <v>39</v>
      </c>
      <c r="BD50" s="9027" t="s">
        <v>39</v>
      </c>
      <c r="BE50" s="9027">
        <v>0</v>
      </c>
      <c r="BF50" s="9027">
        <v>0</v>
      </c>
      <c r="BG50" s="9002"/>
      <c r="BH50" s="9040" t="s">
        <v>4527</v>
      </c>
      <c r="BI50" s="9040" t="s">
        <v>4527</v>
      </c>
      <c r="BJ50" s="9002"/>
      <c r="BK50" s="9027">
        <v>1000000</v>
      </c>
      <c r="BL50" s="9027">
        <v>1000000</v>
      </c>
      <c r="BM50" s="9027">
        <v>1000000</v>
      </c>
      <c r="BN50" s="9027"/>
      <c r="BO50" s="9027"/>
      <c r="BP50" s="9002"/>
      <c r="BQ50" s="9057" t="s">
        <v>6773</v>
      </c>
      <c r="BR50" s="9057" t="s">
        <v>6773</v>
      </c>
      <c r="BS50" s="9057" t="s">
        <v>6773</v>
      </c>
      <c r="BT50" s="9057" t="s">
        <v>6773</v>
      </c>
      <c r="BU50" s="9057" t="s">
        <v>6773</v>
      </c>
      <c r="BV50" s="9002"/>
      <c r="BW50" s="9031"/>
      <c r="BX50" s="8991"/>
      <c r="BY50" s="8991"/>
      <c r="BZ50" s="9031"/>
      <c r="CA50" s="9031"/>
      <c r="CB50" s="8991"/>
      <c r="CC50" s="9031"/>
      <c r="CD50" s="9031"/>
      <c r="CE50" s="8991"/>
      <c r="CF50" s="9031"/>
      <c r="CG50" s="8991"/>
      <c r="CH50" s="9031"/>
      <c r="CI50" s="8991"/>
      <c r="CJ50" s="9031"/>
      <c r="CK50" s="8991"/>
      <c r="CL50" s="9031"/>
      <c r="CM50" s="8991"/>
      <c r="CN50" s="8991"/>
      <c r="CO50" s="8991"/>
      <c r="CP50" s="8991"/>
      <c r="CQ50" s="8991"/>
      <c r="CR50" s="8991"/>
      <c r="CS50" s="8991"/>
      <c r="CT50" s="8991"/>
      <c r="CU50" s="8991"/>
      <c r="CV50" s="8991"/>
      <c r="CW50" s="8991"/>
      <c r="CX50" s="8991"/>
    </row>
    <row r="51" spans="1:107" x14ac:dyDescent="0.9">
      <c r="A51" s="8993">
        <v>40</v>
      </c>
      <c r="B51" s="8986" t="s">
        <v>6781</v>
      </c>
      <c r="C51" s="9052"/>
      <c r="D51" s="9053">
        <v>15966.709092940355</v>
      </c>
      <c r="E51" s="9053">
        <v>11998.214904940354</v>
      </c>
      <c r="F51" s="9054">
        <v>3968.4941880000006</v>
      </c>
      <c r="G51" s="9055">
        <v>11851.88300138217</v>
      </c>
      <c r="H51" s="9056">
        <v>53094.973762666661</v>
      </c>
      <c r="I51" s="9052">
        <v>41243.090761284489</v>
      </c>
      <c r="J51" s="9056">
        <v>43363.871578666665</v>
      </c>
      <c r="K51" s="9052">
        <v>31511.988577284494</v>
      </c>
      <c r="L51" s="9057" t="s">
        <v>39</v>
      </c>
      <c r="N51" s="9053">
        <v>21476.102382529829</v>
      </c>
      <c r="O51" s="9053">
        <v>13180.918731529828</v>
      </c>
      <c r="P51" s="9054">
        <v>8295.1836510000012</v>
      </c>
      <c r="Q51" s="9055">
        <v>14955.432086999999</v>
      </c>
      <c r="R51" s="9056">
        <v>95118.265653999988</v>
      </c>
      <c r="S51" s="9052">
        <v>80162.833566999994</v>
      </c>
      <c r="T51" s="9056">
        <v>42423.555834999999</v>
      </c>
      <c r="U51" s="9052">
        <v>27468.123747999998</v>
      </c>
      <c r="V51" s="9057" t="s">
        <v>39</v>
      </c>
      <c r="X51" s="9053">
        <v>41860.017401215038</v>
      </c>
      <c r="Y51" s="9053">
        <v>28586.600173215043</v>
      </c>
      <c r="Z51" s="9054">
        <v>13273.417227999995</v>
      </c>
      <c r="AA51" s="9055">
        <v>3150.7358519999998</v>
      </c>
      <c r="AB51" s="9056">
        <v>127638.69055499999</v>
      </c>
      <c r="AC51" s="9052">
        <v>124487.954703</v>
      </c>
      <c r="AD51" s="9056">
        <v>54932.816671</v>
      </c>
      <c r="AE51" s="9052">
        <v>58083.552522999998</v>
      </c>
      <c r="AF51" s="9057" t="s">
        <v>39</v>
      </c>
      <c r="AG51" s="9002"/>
      <c r="AH51" s="9033"/>
      <c r="AI51" s="9033"/>
      <c r="AJ51" s="9043"/>
      <c r="AK51" s="9034"/>
      <c r="AL51" s="9033"/>
      <c r="AM51" s="9049"/>
      <c r="AN51" s="9033"/>
      <c r="AO51" s="9049"/>
      <c r="AP51" s="9045"/>
      <c r="AQ51" s="9002"/>
      <c r="AR51" s="9033"/>
      <c r="AS51" s="9033"/>
      <c r="AT51" s="9043"/>
      <c r="AU51" s="9034"/>
      <c r="AV51" s="9033"/>
      <c r="AW51" s="9049"/>
      <c r="AX51" s="9033"/>
      <c r="AY51" s="9049"/>
      <c r="AZ51" s="9045"/>
      <c r="BA51" s="9002"/>
      <c r="BB51" s="9027" t="s">
        <v>39</v>
      </c>
      <c r="BC51" s="9027" t="s">
        <v>39</v>
      </c>
      <c r="BD51" s="9027" t="s">
        <v>39</v>
      </c>
      <c r="BE51" s="9027">
        <v>0</v>
      </c>
      <c r="BF51" s="9027">
        <v>0</v>
      </c>
      <c r="BG51" s="9002"/>
      <c r="BH51" s="9040" t="s">
        <v>4527</v>
      </c>
      <c r="BI51" s="9040" t="s">
        <v>4527</v>
      </c>
      <c r="BJ51" s="9002"/>
      <c r="BK51" s="9027">
        <v>1000000</v>
      </c>
      <c r="BL51" s="9027">
        <v>1000000</v>
      </c>
      <c r="BM51" s="9027">
        <v>1000000</v>
      </c>
      <c r="BN51" s="9027"/>
      <c r="BO51" s="9027"/>
      <c r="BP51" s="9002"/>
      <c r="BQ51" s="9057" t="s">
        <v>6773</v>
      </c>
      <c r="BR51" s="9057" t="s">
        <v>6773</v>
      </c>
      <c r="BS51" s="9057" t="s">
        <v>6773</v>
      </c>
      <c r="BT51" s="9057" t="s">
        <v>6773</v>
      </c>
      <c r="BU51" s="9057" t="s">
        <v>6773</v>
      </c>
      <c r="BV51" s="9002"/>
      <c r="BW51" s="9031"/>
      <c r="BX51" s="8991"/>
      <c r="BY51" s="8991"/>
      <c r="BZ51" s="9031"/>
      <c r="CA51" s="9031"/>
      <c r="CB51" s="8991"/>
      <c r="CC51" s="9031"/>
      <c r="CD51" s="9031"/>
      <c r="CE51" s="8991"/>
      <c r="CF51" s="9031"/>
      <c r="CG51" s="8991"/>
      <c r="CH51" s="9031"/>
      <c r="CI51" s="8991"/>
      <c r="CJ51" s="9031"/>
      <c r="CK51" s="8991"/>
      <c r="CL51" s="9031"/>
      <c r="CM51" s="8991"/>
      <c r="CN51" s="8991"/>
      <c r="CO51" s="8991"/>
      <c r="CP51" s="8991"/>
      <c r="CQ51" s="8991"/>
      <c r="CR51" s="8991"/>
      <c r="CS51" s="8991"/>
      <c r="CT51" s="8991"/>
      <c r="CU51" s="8991"/>
      <c r="CV51" s="8991"/>
      <c r="CW51" s="8991"/>
      <c r="CX51" s="8991"/>
    </row>
    <row r="52" spans="1:107" s="8987" customFormat="1" x14ac:dyDescent="0.9">
      <c r="A52" s="8993">
        <v>41</v>
      </c>
      <c r="B52" s="8986" t="s">
        <v>59</v>
      </c>
      <c r="C52" s="9052"/>
      <c r="D52" s="9053">
        <v>74132.140106825565</v>
      </c>
      <c r="E52" s="9053">
        <v>65502.206106825564</v>
      </c>
      <c r="F52" s="9053">
        <v>8629.9340000000011</v>
      </c>
      <c r="G52" s="9055">
        <v>13206.175999999999</v>
      </c>
      <c r="H52" s="9053">
        <v>379961.05</v>
      </c>
      <c r="I52" s="9053">
        <v>366754.87400000001</v>
      </c>
      <c r="J52" s="9053">
        <v>276150.73</v>
      </c>
      <c r="K52" s="9053">
        <v>262944.554</v>
      </c>
      <c r="L52" s="9057" t="s">
        <v>32</v>
      </c>
      <c r="N52" s="9053">
        <v>80815.782989470026</v>
      </c>
      <c r="O52" s="9053">
        <v>68084.071989470031</v>
      </c>
      <c r="P52" s="9053">
        <v>12731.710999999996</v>
      </c>
      <c r="Q52" s="9055">
        <v>20668.974000000002</v>
      </c>
      <c r="R52" s="9053">
        <v>352286.91800000006</v>
      </c>
      <c r="S52" s="9053">
        <v>331617.94400000008</v>
      </c>
      <c r="T52" s="9053">
        <v>179209.37514336227</v>
      </c>
      <c r="U52" s="9053">
        <v>158540.40114336228</v>
      </c>
      <c r="V52" s="9057" t="s">
        <v>32</v>
      </c>
      <c r="W52" s="9001"/>
      <c r="X52" s="9053">
        <v>63880.922249222036</v>
      </c>
      <c r="Y52" s="9053">
        <v>55821.537249222034</v>
      </c>
      <c r="Z52" s="9053">
        <v>8059.385000000002</v>
      </c>
      <c r="AA52" s="9055">
        <v>22051.432000000001</v>
      </c>
      <c r="AB52" s="9053">
        <v>338630.41799999995</v>
      </c>
      <c r="AC52" s="9053">
        <v>316578.98599999992</v>
      </c>
      <c r="AD52" s="9053">
        <v>271719.13399999996</v>
      </c>
      <c r="AE52" s="9053">
        <v>249667.70199999999</v>
      </c>
      <c r="AF52" s="9057" t="s">
        <v>32</v>
      </c>
      <c r="AG52" s="9002"/>
      <c r="AH52" s="9053">
        <v>59231.862532036313</v>
      </c>
      <c r="AI52" s="9053">
        <v>45621.745532036315</v>
      </c>
      <c r="AJ52" s="9053">
        <v>13610.116999999998</v>
      </c>
      <c r="AK52" s="9055">
        <v>25357.254999999997</v>
      </c>
      <c r="AL52" s="9053">
        <v>281519.17100000003</v>
      </c>
      <c r="AM52" s="9053">
        <v>256161.91600000003</v>
      </c>
      <c r="AN52" s="9053">
        <v>213460.978</v>
      </c>
      <c r="AO52" s="9053">
        <v>188103.723</v>
      </c>
      <c r="AP52" s="9057" t="s">
        <v>32</v>
      </c>
      <c r="AQ52" s="9053"/>
      <c r="AR52" s="9053">
        <v>59231.862532036313</v>
      </c>
      <c r="AS52" s="9053">
        <v>45621.745532036315</v>
      </c>
      <c r="AT52" s="9053">
        <v>13610.116999999998</v>
      </c>
      <c r="AU52" s="9055">
        <v>25357.254999999997</v>
      </c>
      <c r="AV52" s="9053">
        <v>281519.17100000003</v>
      </c>
      <c r="AW52" s="9053">
        <v>256161.91600000003</v>
      </c>
      <c r="AX52" s="9053">
        <v>213460.978</v>
      </c>
      <c r="AY52" s="9053">
        <v>188103.723</v>
      </c>
      <c r="AZ52" s="9057" t="s">
        <v>32</v>
      </c>
      <c r="BA52" s="9002"/>
      <c r="BB52" s="9027" t="s">
        <v>32</v>
      </c>
      <c r="BC52" s="9027" t="s">
        <v>32</v>
      </c>
      <c r="BD52" s="9027" t="s">
        <v>32</v>
      </c>
      <c r="BE52" s="9027" t="s">
        <v>32</v>
      </c>
      <c r="BF52" s="9027" t="s">
        <v>32</v>
      </c>
      <c r="BG52" s="9002"/>
      <c r="BH52" s="9040" t="s">
        <v>4755</v>
      </c>
      <c r="BI52" s="9040" t="s">
        <v>4755</v>
      </c>
      <c r="BJ52" s="9002"/>
      <c r="BK52" s="9027">
        <v>1000000</v>
      </c>
      <c r="BL52" s="9027">
        <v>1000000</v>
      </c>
      <c r="BM52" s="9027">
        <v>1000000</v>
      </c>
      <c r="BN52" s="9027">
        <v>1000000</v>
      </c>
      <c r="BO52" s="9027">
        <v>1000000</v>
      </c>
      <c r="BP52" s="9002"/>
      <c r="BQ52" s="9057" t="s">
        <v>6773</v>
      </c>
      <c r="BR52" s="9057" t="s">
        <v>6773</v>
      </c>
      <c r="BS52" s="9057" t="s">
        <v>6773</v>
      </c>
      <c r="BT52" s="9057" t="s">
        <v>6773</v>
      </c>
      <c r="BU52" s="9057" t="s">
        <v>6773</v>
      </c>
      <c r="BV52" s="9002"/>
      <c r="BW52" s="8991"/>
      <c r="BX52" s="8991"/>
      <c r="BY52" s="8991"/>
      <c r="BZ52" s="8991"/>
      <c r="CA52" s="8991"/>
      <c r="CB52" s="8991"/>
      <c r="CC52" s="8991"/>
      <c r="CD52" s="8991"/>
      <c r="CE52" s="8991"/>
      <c r="CF52" s="8991"/>
      <c r="CG52" s="8991"/>
      <c r="CH52" s="8991"/>
      <c r="CI52" s="8991"/>
      <c r="CJ52" s="8991"/>
      <c r="CK52" s="8991"/>
      <c r="CL52" s="8991"/>
      <c r="CM52" s="8991"/>
      <c r="CN52" s="8991"/>
      <c r="CO52" s="8991"/>
      <c r="CP52" s="8991"/>
      <c r="CQ52" s="8991"/>
      <c r="CR52" s="8991"/>
      <c r="CS52" s="8991"/>
      <c r="CT52" s="8991"/>
      <c r="CU52" s="8991"/>
      <c r="CV52" s="8991"/>
      <c r="CW52" s="8991"/>
      <c r="CX52" s="8991"/>
      <c r="CY52" s="8992"/>
      <c r="CZ52" s="8992"/>
      <c r="DA52" s="8992"/>
      <c r="DB52" s="8992"/>
      <c r="DC52" s="8992"/>
    </row>
    <row r="53" spans="1:107" s="8987" customFormat="1" x14ac:dyDescent="0.9">
      <c r="A53" s="8993">
        <v>42</v>
      </c>
      <c r="B53" s="8986" t="s">
        <v>60</v>
      </c>
      <c r="C53" s="9052"/>
      <c r="D53" s="9053">
        <v>256472.56011671387</v>
      </c>
      <c r="E53" s="9053">
        <v>235873.99748491909</v>
      </c>
      <c r="F53" s="9053">
        <v>20598.562631794775</v>
      </c>
      <c r="G53" s="9055">
        <v>22875.898965093842</v>
      </c>
      <c r="H53" s="9053">
        <v>963008.83127270394</v>
      </c>
      <c r="I53" s="9053">
        <v>940132.93230761006</v>
      </c>
      <c r="J53" s="9053">
        <v>762605.15688198234</v>
      </c>
      <c r="K53" s="9053">
        <v>739729.25791688845</v>
      </c>
      <c r="L53" s="9057" t="s">
        <v>35</v>
      </c>
      <c r="N53" s="9053">
        <v>207706.1457040183</v>
      </c>
      <c r="O53" s="9053">
        <v>197953.1457040183</v>
      </c>
      <c r="P53" s="9053">
        <v>9753</v>
      </c>
      <c r="Q53" s="9055">
        <v>22900</v>
      </c>
      <c r="R53" s="9053">
        <v>781800</v>
      </c>
      <c r="S53" s="9053">
        <v>758900</v>
      </c>
      <c r="T53" s="9053">
        <v>659200</v>
      </c>
      <c r="U53" s="9053">
        <v>636300</v>
      </c>
      <c r="V53" s="9057" t="s">
        <v>35</v>
      </c>
      <c r="W53" s="9001"/>
      <c r="X53" s="9053">
        <v>210469.98577345512</v>
      </c>
      <c r="Y53" s="9053">
        <v>198204.36677345511</v>
      </c>
      <c r="Z53" s="9053">
        <v>12265.619000000006</v>
      </c>
      <c r="AA53" s="9055">
        <v>17498</v>
      </c>
      <c r="AB53" s="9053">
        <v>854361</v>
      </c>
      <c r="AC53" s="9053">
        <v>836863</v>
      </c>
      <c r="AD53" s="9053">
        <v>619804</v>
      </c>
      <c r="AE53" s="9053">
        <v>602306</v>
      </c>
      <c r="AF53" s="9057" t="s">
        <v>39</v>
      </c>
      <c r="AG53" s="9002"/>
      <c r="AH53" s="9053">
        <v>166916.33010078676</v>
      </c>
      <c r="AI53" s="9053">
        <v>156438.81910078679</v>
      </c>
      <c r="AJ53" s="9053">
        <v>10477.510999999969</v>
      </c>
      <c r="AK53" s="9055">
        <v>15319</v>
      </c>
      <c r="AL53" s="9053">
        <v>761011</v>
      </c>
      <c r="AM53" s="9053">
        <v>745692</v>
      </c>
      <c r="AN53" s="9053">
        <v>550918</v>
      </c>
      <c r="AO53" s="9053">
        <v>535599</v>
      </c>
      <c r="AP53" s="9057" t="s">
        <v>39</v>
      </c>
      <c r="AQ53" s="9053"/>
      <c r="AR53" s="9053">
        <v>164899.67384227947</v>
      </c>
      <c r="AS53" s="9053">
        <v>155766.00199572701</v>
      </c>
      <c r="AT53" s="9053">
        <v>9133.6718465524609</v>
      </c>
      <c r="AU53" s="9055">
        <v>15942.334423566879</v>
      </c>
      <c r="AV53" s="9053">
        <v>921958.16943369398</v>
      </c>
      <c r="AW53" s="9053">
        <v>906015.83501012705</v>
      </c>
      <c r="AX53" s="9053">
        <v>731544.14642356697</v>
      </c>
      <c r="AY53" s="9053">
        <v>715601.81200000003</v>
      </c>
      <c r="AZ53" s="9057" t="s">
        <v>35</v>
      </c>
      <c r="BA53" s="9002"/>
      <c r="BB53" s="9027" t="s">
        <v>35</v>
      </c>
      <c r="BC53" s="9027" t="s">
        <v>35</v>
      </c>
      <c r="BD53" s="9027" t="s">
        <v>39</v>
      </c>
      <c r="BE53" s="9027" t="s">
        <v>39</v>
      </c>
      <c r="BF53" s="9027" t="s">
        <v>35</v>
      </c>
      <c r="BG53" s="9002"/>
      <c r="BH53" s="9040" t="s">
        <v>4881</v>
      </c>
      <c r="BI53" s="9040" t="s">
        <v>4881</v>
      </c>
      <c r="BJ53" s="9002"/>
      <c r="BK53" s="9027">
        <v>1000000</v>
      </c>
      <c r="BL53" s="9027">
        <v>1000000</v>
      </c>
      <c r="BM53" s="9027">
        <v>1000000</v>
      </c>
      <c r="BN53" s="9027">
        <v>1000000</v>
      </c>
      <c r="BO53" s="9027">
        <v>1000000</v>
      </c>
      <c r="BP53" s="9002"/>
      <c r="BQ53" s="9057" t="s">
        <v>6773</v>
      </c>
      <c r="BR53" s="9057" t="s">
        <v>6773</v>
      </c>
      <c r="BS53" s="9057" t="s">
        <v>6773</v>
      </c>
      <c r="BT53" s="9057" t="s">
        <v>6773</v>
      </c>
      <c r="BU53" s="9057" t="s">
        <v>6773</v>
      </c>
      <c r="BV53" s="9002"/>
      <c r="BW53" s="8991"/>
      <c r="BX53" s="8991"/>
      <c r="BY53" s="8991"/>
      <c r="BZ53" s="8991"/>
      <c r="CA53" s="8991"/>
      <c r="CB53" s="8991"/>
      <c r="CC53" s="8991"/>
      <c r="CD53" s="8991"/>
      <c r="CE53" s="8991"/>
      <c r="CF53" s="8991"/>
      <c r="CG53" s="8991"/>
      <c r="CH53" s="8991"/>
      <c r="CI53" s="8991"/>
      <c r="CJ53" s="8991"/>
      <c r="CK53" s="8991"/>
      <c r="CL53" s="8991"/>
      <c r="CM53" s="8991"/>
      <c r="CN53" s="8991"/>
      <c r="CO53" s="8991"/>
      <c r="CP53" s="8991"/>
      <c r="CQ53" s="8991"/>
      <c r="CR53" s="8991"/>
      <c r="CS53" s="8991"/>
      <c r="CT53" s="8991"/>
      <c r="CU53" s="8991"/>
      <c r="CV53" s="8991"/>
      <c r="CW53" s="8991"/>
      <c r="CX53" s="8991"/>
      <c r="CY53" s="8992"/>
      <c r="CZ53" s="8992"/>
      <c r="DA53" s="8992"/>
      <c r="DB53" s="8992"/>
      <c r="DC53" s="8992"/>
    </row>
    <row r="54" spans="1:107" x14ac:dyDescent="0.9">
      <c r="A54" s="8993">
        <v>43</v>
      </c>
      <c r="B54" s="8943" t="s">
        <v>61</v>
      </c>
      <c r="D54" s="9032">
        <v>2709.3294890560137</v>
      </c>
      <c r="E54" s="9033">
        <v>2296.7932298499577</v>
      </c>
      <c r="F54" s="9032">
        <v>412.536259206056</v>
      </c>
      <c r="G54" s="9034">
        <v>0</v>
      </c>
      <c r="H54" s="9032">
        <v>17989.3</v>
      </c>
      <c r="I54" s="9033" t="s">
        <v>107</v>
      </c>
      <c r="J54" s="9033">
        <v>0</v>
      </c>
      <c r="K54" s="9033">
        <v>0</v>
      </c>
      <c r="L54" s="9027" t="s">
        <v>39</v>
      </c>
      <c r="N54" s="9032">
        <v>2878.3126325991798</v>
      </c>
      <c r="O54" s="9032">
        <v>2340.5426325991798</v>
      </c>
      <c r="P54" s="9032">
        <v>537.77</v>
      </c>
      <c r="Q54" s="9034">
        <v>0</v>
      </c>
      <c r="R54" s="9032">
        <v>17852.400000000001</v>
      </c>
      <c r="S54" s="9033" t="s">
        <v>107</v>
      </c>
      <c r="T54" s="9033">
        <v>0</v>
      </c>
      <c r="U54" s="9033">
        <v>0</v>
      </c>
      <c r="V54" s="9027" t="s">
        <v>35</v>
      </c>
      <c r="X54" s="9032">
        <v>2907.9</v>
      </c>
      <c r="Y54" s="9032">
        <v>2771.114366388073</v>
      </c>
      <c r="Z54" s="9032">
        <v>136.7856336119271</v>
      </c>
      <c r="AA54" s="9036">
        <v>1853.3</v>
      </c>
      <c r="AB54" s="9032">
        <v>16134.1</v>
      </c>
      <c r="AC54" s="9032">
        <v>14280.800000000001</v>
      </c>
      <c r="AD54" s="9035">
        <v>13319.4</v>
      </c>
      <c r="AE54" s="9035">
        <v>11466.1</v>
      </c>
      <c r="AF54" s="9027" t="s">
        <v>39</v>
      </c>
      <c r="AG54" s="9002"/>
      <c r="AH54" s="9032">
        <v>2651.2</v>
      </c>
      <c r="AI54" s="9032">
        <v>2521.4062394348366</v>
      </c>
      <c r="AJ54" s="9032">
        <v>129.79376056516321</v>
      </c>
      <c r="AK54" s="9036">
        <v>1633.9</v>
      </c>
      <c r="AL54" s="9032">
        <v>13319.9</v>
      </c>
      <c r="AM54" s="9032">
        <v>11686</v>
      </c>
      <c r="AN54" s="9035">
        <v>11786.199999999999</v>
      </c>
      <c r="AO54" s="9035">
        <v>10152.299999999999</v>
      </c>
      <c r="AP54" s="9027" t="s">
        <v>39</v>
      </c>
      <c r="AQ54" s="9002"/>
      <c r="AR54" s="9032">
        <v>2228.0340000000001</v>
      </c>
      <c r="AS54" s="9032">
        <v>2054.9340000000002</v>
      </c>
      <c r="AT54" s="9032">
        <v>173.09999999999991</v>
      </c>
      <c r="AU54" s="9039">
        <v>1264.3</v>
      </c>
      <c r="AV54" s="9032">
        <v>13572.4</v>
      </c>
      <c r="AW54" s="9032">
        <v>12308.1</v>
      </c>
      <c r="AX54" s="9035">
        <v>9447.5</v>
      </c>
      <c r="AY54" s="9035">
        <v>8183.2</v>
      </c>
      <c r="AZ54" s="9027" t="s">
        <v>39</v>
      </c>
      <c r="BA54" s="9002"/>
      <c r="BB54" s="9027" t="s">
        <v>39</v>
      </c>
      <c r="BC54" s="9027" t="s">
        <v>35</v>
      </c>
      <c r="BD54" s="9027" t="s">
        <v>39</v>
      </c>
      <c r="BE54" s="9027" t="s">
        <v>39</v>
      </c>
      <c r="BF54" s="9027" t="s">
        <v>39</v>
      </c>
      <c r="BG54" s="9002"/>
      <c r="BH54" s="9040" t="s">
        <v>4992</v>
      </c>
      <c r="BI54" s="9040" t="s">
        <v>4992</v>
      </c>
      <c r="BJ54" s="9002"/>
      <c r="BK54" s="9027">
        <v>1000000</v>
      </c>
      <c r="BL54" s="9027">
        <v>1000000</v>
      </c>
      <c r="BM54" s="9027">
        <v>1000000</v>
      </c>
      <c r="BN54" s="9027">
        <v>1000000</v>
      </c>
      <c r="BO54" s="9027">
        <v>1000000</v>
      </c>
      <c r="BP54" s="9002"/>
      <c r="BQ54" s="9027">
        <v>81.539000000000001</v>
      </c>
      <c r="BR54" s="9027">
        <v>84.108999999999995</v>
      </c>
      <c r="BS54" s="9027">
        <v>79.405000000000001</v>
      </c>
      <c r="BT54" s="9027">
        <v>72.522000000000006</v>
      </c>
      <c r="BU54" s="9027">
        <v>65.037999999999997</v>
      </c>
      <c r="BV54" s="9002"/>
      <c r="BW54" s="9031"/>
      <c r="BX54" s="8991"/>
      <c r="BY54" s="8991"/>
      <c r="BZ54" s="9031"/>
      <c r="CA54" s="9031"/>
      <c r="CB54" s="8991"/>
      <c r="CC54" s="9031"/>
      <c r="CD54" s="9031"/>
      <c r="CE54" s="8991"/>
      <c r="CF54" s="9031"/>
      <c r="CG54" s="8991"/>
      <c r="CH54" s="9031"/>
      <c r="CI54" s="8991"/>
      <c r="CJ54" s="9031"/>
      <c r="CK54" s="8991"/>
      <c r="CL54" s="9031"/>
      <c r="CM54" s="8991"/>
      <c r="CN54" s="8991"/>
      <c r="CO54" s="8991"/>
      <c r="CP54" s="8991"/>
      <c r="CQ54" s="8991"/>
      <c r="CR54" s="8991"/>
      <c r="CS54" s="8991"/>
      <c r="CT54" s="8991"/>
      <c r="CU54" s="8991"/>
      <c r="CV54" s="8991"/>
      <c r="CW54" s="8991"/>
      <c r="CX54" s="8991"/>
    </row>
    <row r="55" spans="1:107" x14ac:dyDescent="0.9">
      <c r="A55" s="8993">
        <v>44</v>
      </c>
      <c r="B55" s="8943" t="s">
        <v>63</v>
      </c>
      <c r="D55" s="9032">
        <v>258.58629528500001</v>
      </c>
      <c r="E55" s="9033">
        <v>0</v>
      </c>
      <c r="F55" s="9033">
        <v>0</v>
      </c>
      <c r="G55" s="9036">
        <v>139.1</v>
      </c>
      <c r="H55" s="9032">
        <v>2695.9999999999995</v>
      </c>
      <c r="I55" s="9032">
        <v>2556.8999999999996</v>
      </c>
      <c r="J55" s="9035">
        <v>1502.1</v>
      </c>
      <c r="K55" s="9035">
        <v>1363</v>
      </c>
      <c r="L55" s="9027" t="s">
        <v>39</v>
      </c>
      <c r="N55" s="9032">
        <v>253.15393236</v>
      </c>
      <c r="O55" s="9033"/>
      <c r="P55" s="9033"/>
      <c r="Q55" s="9036">
        <v>102.5</v>
      </c>
      <c r="R55" s="9032">
        <v>2565.6999999999998</v>
      </c>
      <c r="S55" s="9032">
        <v>2463.1999999999998</v>
      </c>
      <c r="T55" s="9035">
        <v>1343.4</v>
      </c>
      <c r="U55" s="9035">
        <v>1240.9000000000001</v>
      </c>
      <c r="V55" s="9027" t="s">
        <v>39</v>
      </c>
      <c r="X55" s="9032">
        <v>240.5</v>
      </c>
      <c r="Y55" s="9033"/>
      <c r="Z55" s="9033"/>
      <c r="AA55" s="9036">
        <v>246.8</v>
      </c>
      <c r="AB55" s="9032">
        <v>2148.8000000000002</v>
      </c>
      <c r="AC55" s="9032">
        <v>1902.0000000000002</v>
      </c>
      <c r="AD55" s="9035">
        <v>1336.4</v>
      </c>
      <c r="AE55" s="9035">
        <v>1089.6000000000001</v>
      </c>
      <c r="AF55" s="9027" t="s">
        <v>39</v>
      </c>
      <c r="AG55" s="9002"/>
      <c r="AH55" s="9032">
        <v>213.86760281400001</v>
      </c>
      <c r="AI55" s="9058"/>
      <c r="AJ55" s="9058"/>
      <c r="AK55" s="9036">
        <v>188.60000000000002</v>
      </c>
      <c r="AL55" s="9032">
        <v>1945.5</v>
      </c>
      <c r="AM55" s="9032">
        <v>1756.9</v>
      </c>
      <c r="AN55" s="9035">
        <v>1186</v>
      </c>
      <c r="AO55" s="9035">
        <v>997.39999999999986</v>
      </c>
      <c r="AP55" s="9027" t="s">
        <v>39</v>
      </c>
      <c r="AQ55" s="9002"/>
      <c r="AR55" s="9032">
        <v>204.8</v>
      </c>
      <c r="AS55" s="9033" t="s">
        <v>107</v>
      </c>
      <c r="AT55" s="9033" t="s">
        <v>107</v>
      </c>
      <c r="AU55" s="9039">
        <v>145.10000000000002</v>
      </c>
      <c r="AV55" s="9032">
        <v>1736.1000000000001</v>
      </c>
      <c r="AW55" s="9032">
        <v>1591</v>
      </c>
      <c r="AX55" s="9035">
        <v>1015.1999999999999</v>
      </c>
      <c r="AY55" s="9035">
        <v>870.09999999999991</v>
      </c>
      <c r="AZ55" s="9027" t="s">
        <v>39</v>
      </c>
      <c r="BA55" s="9002"/>
      <c r="BB55" s="9027" t="s">
        <v>39</v>
      </c>
      <c r="BC55" s="9027" t="s">
        <v>39</v>
      </c>
      <c r="BD55" s="9027" t="s">
        <v>39</v>
      </c>
      <c r="BE55" s="9027" t="s">
        <v>39</v>
      </c>
      <c r="BF55" s="9027" t="s">
        <v>39</v>
      </c>
      <c r="BG55" s="9002"/>
      <c r="BH55" s="9040" t="s">
        <v>5129</v>
      </c>
      <c r="BI55" s="9040" t="s">
        <v>5129</v>
      </c>
      <c r="BJ55" s="9002"/>
      <c r="BK55" s="9027">
        <v>1000000000</v>
      </c>
      <c r="BL55" s="9027">
        <v>1000000000</v>
      </c>
      <c r="BM55" s="9027">
        <v>1000000000</v>
      </c>
      <c r="BN55" s="9027">
        <v>1000000000</v>
      </c>
      <c r="BO55" s="9027">
        <v>1000000000</v>
      </c>
      <c r="BP55" s="9002"/>
      <c r="BQ55" s="9027">
        <v>9746</v>
      </c>
      <c r="BR55" s="9027">
        <v>9315</v>
      </c>
      <c r="BS55" s="9027">
        <v>8302</v>
      </c>
      <c r="BT55" s="9027">
        <v>7694</v>
      </c>
      <c r="BU55" s="9027">
        <v>6842</v>
      </c>
      <c r="BV55" s="9002"/>
      <c r="BW55" s="9031"/>
      <c r="BX55" s="8991"/>
      <c r="BY55" s="8991"/>
      <c r="BZ55" s="9031"/>
      <c r="CA55" s="9031"/>
      <c r="CB55" s="8991"/>
      <c r="CC55" s="9031"/>
      <c r="CD55" s="9031"/>
      <c r="CE55" s="8991"/>
      <c r="CF55" s="9031"/>
      <c r="CG55" s="8991"/>
      <c r="CH55" s="9031"/>
      <c r="CI55" s="8991"/>
      <c r="CJ55" s="9031"/>
      <c r="CK55" s="8991"/>
      <c r="CL55" s="9031"/>
      <c r="CM55" s="8991"/>
      <c r="CN55" s="8991"/>
      <c r="CO55" s="8991"/>
      <c r="CP55" s="8991"/>
      <c r="CQ55" s="8991"/>
      <c r="CR55" s="8991"/>
      <c r="CS55" s="8991"/>
      <c r="CT55" s="8991"/>
      <c r="CU55" s="8991"/>
      <c r="CV55" s="8991"/>
      <c r="CW55" s="8991"/>
      <c r="CX55" s="8991"/>
    </row>
    <row r="56" spans="1:107" x14ac:dyDescent="0.9">
      <c r="A56" s="8993">
        <v>45</v>
      </c>
      <c r="B56" s="8943" t="s">
        <v>64</v>
      </c>
      <c r="D56" s="9032">
        <v>431538.66666666669</v>
      </c>
      <c r="E56" s="9033">
        <v>0</v>
      </c>
      <c r="F56" s="9033">
        <v>0</v>
      </c>
      <c r="G56" s="9036">
        <v>196042.66666666666</v>
      </c>
      <c r="H56" s="9059">
        <v>2700299</v>
      </c>
      <c r="I56" s="9032">
        <v>2504256.3333333335</v>
      </c>
      <c r="J56" s="9035">
        <v>2234072.3333333335</v>
      </c>
      <c r="K56" s="9035">
        <v>2038029.6666666667</v>
      </c>
      <c r="L56" s="9027" t="s">
        <v>35</v>
      </c>
      <c r="N56" s="9032">
        <v>398998</v>
      </c>
      <c r="O56" s="9033">
        <v>0</v>
      </c>
      <c r="P56" s="9033">
        <v>0</v>
      </c>
      <c r="Q56" s="9036">
        <v>181864</v>
      </c>
      <c r="R56" s="9059">
        <v>2322492.7599999998</v>
      </c>
      <c r="S56" s="9032">
        <v>2140628.7599999998</v>
      </c>
      <c r="T56" s="9035">
        <v>1859122</v>
      </c>
      <c r="U56" s="9035">
        <v>1677258</v>
      </c>
      <c r="V56" s="9027" t="s">
        <v>35</v>
      </c>
      <c r="X56" s="9032">
        <v>461214</v>
      </c>
      <c r="Y56" s="9033">
        <v>0</v>
      </c>
      <c r="Z56" s="9033">
        <v>0</v>
      </c>
      <c r="AA56" s="9036">
        <v>120639</v>
      </c>
      <c r="AB56" s="9059">
        <v>2345339</v>
      </c>
      <c r="AC56" s="9032">
        <v>2224700</v>
      </c>
      <c r="AD56" s="9035">
        <v>1559579</v>
      </c>
      <c r="AE56" s="9035">
        <v>1438940</v>
      </c>
      <c r="AF56" s="9027" t="s">
        <v>39</v>
      </c>
      <c r="AG56" s="9002"/>
      <c r="AH56" s="9032">
        <v>414552</v>
      </c>
      <c r="AI56" s="9058" t="s">
        <v>107</v>
      </c>
      <c r="AJ56" s="9058">
        <v>0</v>
      </c>
      <c r="AK56" s="9036">
        <v>150190</v>
      </c>
      <c r="AL56" s="9059">
        <v>2716736</v>
      </c>
      <c r="AM56" s="9032">
        <v>2566546</v>
      </c>
      <c r="AN56" s="9035">
        <v>1516132</v>
      </c>
      <c r="AO56" s="9035">
        <v>1365942</v>
      </c>
      <c r="AP56" s="9027" t="s">
        <v>39</v>
      </c>
      <c r="AQ56" s="9002"/>
      <c r="AR56" s="9032">
        <v>398208.54000000004</v>
      </c>
      <c r="AS56" s="9035">
        <v>315168.14850000001</v>
      </c>
      <c r="AT56" s="9035">
        <v>83040.391500000027</v>
      </c>
      <c r="AU56" s="9036">
        <v>153950</v>
      </c>
      <c r="AV56" s="9059">
        <v>2538842</v>
      </c>
      <c r="AW56" s="9032">
        <v>2384892</v>
      </c>
      <c r="AX56" s="9035">
        <v>1478150</v>
      </c>
      <c r="AY56" s="9035">
        <v>1324200</v>
      </c>
      <c r="AZ56" s="9027" t="s">
        <v>39</v>
      </c>
      <c r="BA56" s="9002"/>
      <c r="BB56" s="9027" t="s">
        <v>35</v>
      </c>
      <c r="BC56" s="9027" t="s">
        <v>35</v>
      </c>
      <c r="BD56" s="9027" t="s">
        <v>39</v>
      </c>
      <c r="BE56" s="9027" t="s">
        <v>39</v>
      </c>
      <c r="BF56" s="9027" t="s">
        <v>39</v>
      </c>
      <c r="BG56" s="9002"/>
      <c r="BH56" s="9040" t="s">
        <v>5220</v>
      </c>
      <c r="BI56" s="9040" t="s">
        <v>5220</v>
      </c>
      <c r="BJ56" s="9002"/>
      <c r="BK56" s="9027">
        <v>1000</v>
      </c>
      <c r="BL56" s="9027">
        <v>1000</v>
      </c>
      <c r="BM56" s="9027">
        <v>1000</v>
      </c>
      <c r="BN56" s="9027">
        <v>1000</v>
      </c>
      <c r="BO56" s="9027">
        <v>1000</v>
      </c>
      <c r="BP56" s="9002"/>
      <c r="BQ56" s="9027">
        <v>10.247</v>
      </c>
      <c r="BR56" s="9027">
        <v>9.4239999999999995</v>
      </c>
      <c r="BS56" s="9027">
        <v>8.6189999999999998</v>
      </c>
      <c r="BT56" s="9027">
        <v>8.1539999999999999</v>
      </c>
      <c r="BU56" s="9027">
        <v>7.6980000000000004</v>
      </c>
      <c r="BV56" s="9002"/>
      <c r="BW56" s="9031"/>
      <c r="BX56" s="8991"/>
      <c r="BY56" s="8991"/>
      <c r="BZ56" s="9031"/>
      <c r="CA56" s="9031"/>
      <c r="CB56" s="8991"/>
      <c r="CC56" s="9031"/>
      <c r="CD56" s="9031"/>
      <c r="CE56" s="8991"/>
      <c r="CF56" s="9031"/>
      <c r="CG56" s="8991"/>
      <c r="CH56" s="9031"/>
      <c r="CI56" s="8991"/>
      <c r="CJ56" s="9031"/>
      <c r="CK56" s="8991"/>
      <c r="CL56" s="9031"/>
      <c r="CM56" s="8991"/>
      <c r="CN56" s="8991"/>
      <c r="CO56" s="8991"/>
      <c r="CP56" s="8991"/>
      <c r="CQ56" s="8991"/>
      <c r="CR56" s="8991"/>
      <c r="CS56" s="8991"/>
      <c r="CT56" s="8991"/>
      <c r="CU56" s="8991"/>
      <c r="CV56" s="8991"/>
      <c r="CW56" s="8991"/>
      <c r="CX56" s="8991"/>
    </row>
    <row r="57" spans="1:107" x14ac:dyDescent="0.9">
      <c r="A57" s="8993">
        <v>46</v>
      </c>
      <c r="B57" s="8943" t="s">
        <v>65</v>
      </c>
      <c r="D57" s="9032">
        <v>740.53357288200004</v>
      </c>
      <c r="E57" s="9032">
        <v>694.38957288200004</v>
      </c>
      <c r="F57" s="9035">
        <v>46.144000000000005</v>
      </c>
      <c r="G57" s="9036">
        <v>289.14999999999998</v>
      </c>
      <c r="H57" s="9032">
        <v>3806.8900000000003</v>
      </c>
      <c r="I57" s="9032">
        <v>3517.7400000000002</v>
      </c>
      <c r="J57" s="9035">
        <v>2381.36</v>
      </c>
      <c r="K57" s="9035">
        <v>2092.21</v>
      </c>
      <c r="L57" s="9027" t="s">
        <v>35</v>
      </c>
      <c r="N57" s="9032">
        <v>668.96844283400003</v>
      </c>
      <c r="O57" s="9032">
        <v>635.97242283399999</v>
      </c>
      <c r="P57" s="9035">
        <v>32.996020000000044</v>
      </c>
      <c r="Q57" s="9036">
        <v>837.6</v>
      </c>
      <c r="R57" s="9032">
        <v>3888.5299999999997</v>
      </c>
      <c r="S57" s="9032">
        <v>3050.93</v>
      </c>
      <c r="T57" s="9035">
        <v>2662.43</v>
      </c>
      <c r="U57" s="9035">
        <v>1824.83</v>
      </c>
      <c r="V57" s="9027" t="s">
        <v>39</v>
      </c>
      <c r="X57" s="9032">
        <v>629521</v>
      </c>
      <c r="Y57" s="9032">
        <v>597080</v>
      </c>
      <c r="Z57" s="9035">
        <v>32441</v>
      </c>
      <c r="AA57" s="9036">
        <v>829710</v>
      </c>
      <c r="AB57" s="9032">
        <v>3510650</v>
      </c>
      <c r="AC57" s="9032">
        <v>2680940</v>
      </c>
      <c r="AD57" s="9035">
        <v>2355910</v>
      </c>
      <c r="AE57" s="9035">
        <v>1526200</v>
      </c>
      <c r="AF57" s="9027" t="s">
        <v>39</v>
      </c>
      <c r="AG57" s="9002"/>
      <c r="AH57" s="9032">
        <v>563866.51092100004</v>
      </c>
      <c r="AI57" s="9032">
        <v>531366.02297500009</v>
      </c>
      <c r="AJ57" s="9035">
        <v>32500.48794599995</v>
      </c>
      <c r="AK57" s="9039">
        <v>738470</v>
      </c>
      <c r="AL57" s="9035">
        <v>3304038</v>
      </c>
      <c r="AM57" s="9035">
        <v>2565568</v>
      </c>
      <c r="AN57" s="9035">
        <v>2098630</v>
      </c>
      <c r="AO57" s="9035">
        <v>1360160</v>
      </c>
      <c r="AP57" s="9027" t="s">
        <v>39</v>
      </c>
      <c r="AQ57" s="9002"/>
      <c r="AR57" s="9032">
        <v>564390.01938886882</v>
      </c>
      <c r="AS57" s="9032">
        <v>479500.30066629557</v>
      </c>
      <c r="AT57" s="9035">
        <v>84889.718722573249</v>
      </c>
      <c r="AU57" s="9036">
        <v>612320</v>
      </c>
      <c r="AV57" s="9032">
        <v>3147089</v>
      </c>
      <c r="AW57" s="9032">
        <v>2534769</v>
      </c>
      <c r="AX57" s="9035">
        <v>1976551</v>
      </c>
      <c r="AY57" s="9035">
        <v>1364231</v>
      </c>
      <c r="AZ57" s="9027" t="s">
        <v>39</v>
      </c>
      <c r="BA57" s="9002"/>
      <c r="BB57" s="9027" t="s">
        <v>35</v>
      </c>
      <c r="BC57" s="9027" t="s">
        <v>39</v>
      </c>
      <c r="BD57" s="9027" t="s">
        <v>39</v>
      </c>
      <c r="BE57" s="9027" t="s">
        <v>39</v>
      </c>
      <c r="BF57" s="9027" t="s">
        <v>39</v>
      </c>
      <c r="BG57" s="9002"/>
      <c r="BH57" s="9040" t="s">
        <v>417</v>
      </c>
      <c r="BI57" s="9040" t="s">
        <v>417</v>
      </c>
      <c r="BJ57" s="9002"/>
      <c r="BK57" s="9027">
        <v>1000000</v>
      </c>
      <c r="BL57" s="9027">
        <v>1000000</v>
      </c>
      <c r="BM57" s="9027">
        <v>1000000</v>
      </c>
      <c r="BN57" s="9027">
        <v>1000000</v>
      </c>
      <c r="BO57" s="9027">
        <v>1000000</v>
      </c>
      <c r="BP57" s="9002"/>
      <c r="BQ57" s="9027">
        <v>14185.437</v>
      </c>
      <c r="BR57" s="9027">
        <v>13655.367</v>
      </c>
      <c r="BS57" s="9027">
        <v>12840.09</v>
      </c>
      <c r="BT57" s="9027">
        <v>12191.796</v>
      </c>
      <c r="BU57" s="9027">
        <v>11283.396000000001</v>
      </c>
      <c r="BV57" s="9002"/>
      <c r="BW57" s="9031"/>
      <c r="BX57" s="8991"/>
      <c r="BY57" s="8991"/>
      <c r="BZ57" s="9031"/>
      <c r="CA57" s="9031"/>
      <c r="CB57" s="8991"/>
      <c r="CC57" s="9031"/>
      <c r="CD57" s="9031"/>
      <c r="CE57" s="8991"/>
      <c r="CF57" s="9031"/>
      <c r="CG57" s="8991"/>
      <c r="CH57" s="9031"/>
      <c r="CI57" s="8991"/>
      <c r="CJ57" s="9031"/>
      <c r="CK57" s="8991"/>
      <c r="CL57" s="9031"/>
      <c r="CM57" s="8991"/>
      <c r="CN57" s="8991"/>
      <c r="CO57" s="8991"/>
      <c r="CP57" s="8991"/>
      <c r="CQ57" s="8991"/>
      <c r="CR57" s="8991"/>
      <c r="CS57" s="8991"/>
      <c r="CT57" s="8991"/>
      <c r="CU57" s="8991"/>
      <c r="CV57" s="8991"/>
      <c r="CW57" s="8991"/>
      <c r="CX57" s="8991"/>
    </row>
    <row r="58" spans="1:107" x14ac:dyDescent="0.9">
      <c r="A58" s="8993">
        <v>47</v>
      </c>
      <c r="B58" s="8943" t="s">
        <v>66</v>
      </c>
      <c r="D58" s="9032">
        <v>1155946.6686085395</v>
      </c>
      <c r="E58" s="9032">
        <v>1044769.6686085394</v>
      </c>
      <c r="F58" s="9035">
        <v>111177.00000000012</v>
      </c>
      <c r="G58" s="9036">
        <v>1690400</v>
      </c>
      <c r="H58" s="9032">
        <v>9182424</v>
      </c>
      <c r="I58" s="9032">
        <v>7492024</v>
      </c>
      <c r="J58" s="9035">
        <v>8007145</v>
      </c>
      <c r="K58" s="9035">
        <v>6316745</v>
      </c>
      <c r="L58" s="9027" t="s">
        <v>35</v>
      </c>
      <c r="N58" s="9032">
        <v>794743.15025836136</v>
      </c>
      <c r="O58" s="9032">
        <v>782400.15025836136</v>
      </c>
      <c r="P58" s="9035">
        <v>12343</v>
      </c>
      <c r="Q58" s="9036">
        <v>1152130</v>
      </c>
      <c r="R58" s="9032">
        <v>6410152</v>
      </c>
      <c r="S58" s="9032">
        <v>5258022</v>
      </c>
      <c r="T58" s="9035">
        <v>5880871</v>
      </c>
      <c r="U58" s="9035">
        <v>4728741</v>
      </c>
      <c r="V58" s="9027" t="s">
        <v>39</v>
      </c>
      <c r="X58" s="9032">
        <v>862384.06825834524</v>
      </c>
      <c r="Y58" s="9032">
        <v>852995.06825834524</v>
      </c>
      <c r="Z58" s="9035">
        <v>9389</v>
      </c>
      <c r="AA58" s="9036">
        <v>1015310</v>
      </c>
      <c r="AB58" s="9032">
        <v>5652605</v>
      </c>
      <c r="AC58" s="9032">
        <v>4637295</v>
      </c>
      <c r="AD58" s="9035">
        <v>4991994</v>
      </c>
      <c r="AE58" s="9035">
        <v>3976684</v>
      </c>
      <c r="AF58" s="9027" t="s">
        <v>39</v>
      </c>
      <c r="AG58" s="9002"/>
      <c r="AH58" s="9032">
        <v>605787.03971520241</v>
      </c>
      <c r="AI58" s="9032">
        <v>534872.58516974782</v>
      </c>
      <c r="AJ58" s="9035">
        <v>70914.454545454588</v>
      </c>
      <c r="AK58" s="9039">
        <v>580444.36363636365</v>
      </c>
      <c r="AL58" s="9035">
        <v>5040705.8181818184</v>
      </c>
      <c r="AM58" s="9035">
        <v>4460261.4545454551</v>
      </c>
      <c r="AN58" s="9035">
        <v>4027797.8181818184</v>
      </c>
      <c r="AO58" s="9035">
        <v>3447353.4545454546</v>
      </c>
      <c r="AP58" s="9027" t="s">
        <v>39</v>
      </c>
      <c r="AQ58" s="9002"/>
      <c r="AR58" s="9032">
        <v>744795.60359483433</v>
      </c>
      <c r="AS58" s="9032">
        <v>714051.60359483433</v>
      </c>
      <c r="AT58" s="9035">
        <v>30744</v>
      </c>
      <c r="AU58" s="9036">
        <v>203372</v>
      </c>
      <c r="AV58" s="9032">
        <v>4720228.7007609168</v>
      </c>
      <c r="AW58" s="9032">
        <v>4516856.7007609168</v>
      </c>
      <c r="AX58" s="9035">
        <v>3300880</v>
      </c>
      <c r="AY58" s="9035">
        <v>3097508</v>
      </c>
      <c r="AZ58" s="9027" t="s">
        <v>39</v>
      </c>
      <c r="BA58" s="9002"/>
      <c r="BB58" s="9027" t="s">
        <v>35</v>
      </c>
      <c r="BC58" s="9027" t="s">
        <v>39</v>
      </c>
      <c r="BD58" s="9027" t="s">
        <v>39</v>
      </c>
      <c r="BE58" s="9027" t="s">
        <v>39</v>
      </c>
      <c r="BF58" s="9027" t="s">
        <v>39</v>
      </c>
      <c r="BG58" s="9002"/>
      <c r="BH58" s="9040" t="s">
        <v>5409</v>
      </c>
      <c r="BI58" s="9040" t="s">
        <v>5409</v>
      </c>
      <c r="BJ58" s="9002"/>
      <c r="BK58" s="9027">
        <v>1000000</v>
      </c>
      <c r="BL58" s="9027">
        <v>1000000</v>
      </c>
      <c r="BM58" s="9027">
        <v>1000000</v>
      </c>
      <c r="BN58" s="9027">
        <v>1000000</v>
      </c>
      <c r="BO58" s="9027">
        <v>1000000</v>
      </c>
      <c r="BP58" s="9002"/>
      <c r="BQ58" s="9027">
        <v>41344.008000000002</v>
      </c>
      <c r="BR58" s="9027">
        <v>37137.730000000003</v>
      </c>
      <c r="BS58" s="9027">
        <v>32401.626</v>
      </c>
      <c r="BT58" s="9027">
        <v>27465.429</v>
      </c>
      <c r="BU58" s="9027">
        <v>24296.286</v>
      </c>
      <c r="BV58" s="9002"/>
      <c r="BW58" s="9031"/>
      <c r="BX58" s="8991"/>
      <c r="BY58" s="8991"/>
      <c r="BZ58" s="9031"/>
      <c r="CA58" s="9031"/>
      <c r="CB58" s="8991"/>
      <c r="CC58" s="9031"/>
      <c r="CD58" s="9031"/>
      <c r="CE58" s="8991"/>
      <c r="CF58" s="9031"/>
      <c r="CG58" s="8991"/>
      <c r="CH58" s="9031"/>
      <c r="CI58" s="8991"/>
      <c r="CJ58" s="9031"/>
      <c r="CK58" s="8991"/>
      <c r="CL58" s="9031"/>
      <c r="CM58" s="8991"/>
      <c r="CN58" s="8991"/>
      <c r="CO58" s="8991"/>
      <c r="CP58" s="8991"/>
      <c r="CQ58" s="8991"/>
      <c r="CR58" s="8991"/>
      <c r="CS58" s="8991"/>
      <c r="CT58" s="8991"/>
      <c r="CU58" s="8991"/>
      <c r="CV58" s="8991"/>
      <c r="CW58" s="8991"/>
      <c r="CX58" s="8991"/>
    </row>
    <row r="59" spans="1:107" x14ac:dyDescent="0.9">
      <c r="A59" s="8993">
        <v>48</v>
      </c>
      <c r="B59" s="8943" t="s">
        <v>67</v>
      </c>
      <c r="D59" s="9032">
        <v>8905.3333333333339</v>
      </c>
      <c r="E59" s="9053">
        <v>8905.3333333333339</v>
      </c>
      <c r="F59" s="9044">
        <v>0</v>
      </c>
      <c r="G59" s="9035">
        <v>2378.6666666666665</v>
      </c>
      <c r="H59" s="9032">
        <v>202278.66666666666</v>
      </c>
      <c r="I59" s="9032">
        <v>199900</v>
      </c>
      <c r="J59" s="9035">
        <v>169658.66666666666</v>
      </c>
      <c r="K59" s="9035">
        <v>167280</v>
      </c>
      <c r="L59" s="9027" t="s">
        <v>35</v>
      </c>
      <c r="N59" s="9032">
        <v>2807.8167613333335</v>
      </c>
      <c r="O59" s="9053">
        <v>2807.8167613333335</v>
      </c>
      <c r="P59" s="9044">
        <v>0</v>
      </c>
      <c r="Q59" s="9033">
        <v>0</v>
      </c>
      <c r="R59" s="9032">
        <v>121336</v>
      </c>
      <c r="S59" s="9032">
        <v>121336</v>
      </c>
      <c r="T59" s="9035">
        <v>115191</v>
      </c>
      <c r="U59" s="9035">
        <v>115191</v>
      </c>
      <c r="V59" s="9027" t="s">
        <v>39</v>
      </c>
      <c r="X59" s="9032">
        <v>2171.1993866666667</v>
      </c>
      <c r="Y59" s="9032">
        <v>2171.1993866666667</v>
      </c>
      <c r="Z59" s="9033">
        <v>0</v>
      </c>
      <c r="AA59" s="9036">
        <v>57.909155999999996</v>
      </c>
      <c r="AB59" s="9032">
        <v>46320.576238666668</v>
      </c>
      <c r="AC59" s="9032">
        <v>46262.667082666667</v>
      </c>
      <c r="AD59" s="9035">
        <v>45982.489926666669</v>
      </c>
      <c r="AE59" s="9035">
        <v>45924.580770666667</v>
      </c>
      <c r="AF59" s="9027" t="s">
        <v>35</v>
      </c>
      <c r="AG59" s="9002"/>
      <c r="AH59" s="9032">
        <v>960000000</v>
      </c>
      <c r="AI59" s="9053">
        <v>960000000</v>
      </c>
      <c r="AJ59" s="9033">
        <v>0</v>
      </c>
      <c r="AK59" s="9039">
        <v>4000000</v>
      </c>
      <c r="AL59" s="9035">
        <v>32840000000</v>
      </c>
      <c r="AM59" s="9035">
        <v>32836000000</v>
      </c>
      <c r="AN59" s="9035">
        <v>30297000000</v>
      </c>
      <c r="AO59" s="9035">
        <v>30293000000</v>
      </c>
      <c r="AP59" s="9027" t="s">
        <v>39</v>
      </c>
      <c r="AQ59" s="9002"/>
      <c r="AR59" s="9032">
        <v>667619908</v>
      </c>
      <c r="AS59" s="9033" t="s">
        <v>107</v>
      </c>
      <c r="AT59" s="9033" t="s">
        <v>107</v>
      </c>
      <c r="AU59" s="9036">
        <v>43000000</v>
      </c>
      <c r="AV59" s="9032">
        <v>17527000000</v>
      </c>
      <c r="AW59" s="9032">
        <v>17484000000</v>
      </c>
      <c r="AX59" s="9035">
        <v>14770000000</v>
      </c>
      <c r="AY59" s="9035">
        <v>14727000000</v>
      </c>
      <c r="AZ59" s="9027" t="s">
        <v>39</v>
      </c>
      <c r="BA59" s="9002"/>
      <c r="BB59" s="9027" t="s">
        <v>35</v>
      </c>
      <c r="BC59" s="9027" t="s">
        <v>39</v>
      </c>
      <c r="BD59" s="9027" t="s">
        <v>35</v>
      </c>
      <c r="BE59" s="9027" t="s">
        <v>39</v>
      </c>
      <c r="BF59" s="9027" t="s">
        <v>39</v>
      </c>
      <c r="BG59" s="9002"/>
      <c r="BH59" s="9040" t="s">
        <v>5545</v>
      </c>
      <c r="BI59" s="9040" t="s">
        <v>5545</v>
      </c>
      <c r="BJ59" s="9002"/>
      <c r="BK59" s="9027">
        <v>1000000</v>
      </c>
      <c r="BL59" s="9027">
        <v>1000000</v>
      </c>
      <c r="BM59" s="9027">
        <v>1000000</v>
      </c>
      <c r="BN59" s="9027">
        <v>1</v>
      </c>
      <c r="BO59" s="9027">
        <v>1</v>
      </c>
      <c r="BP59" s="9002"/>
      <c r="BQ59" s="9027">
        <v>736.55700000000002</v>
      </c>
      <c r="BR59" s="9027">
        <v>725.23699999999997</v>
      </c>
      <c r="BS59" s="9027">
        <v>660.31500000000005</v>
      </c>
      <c r="BT59" s="9027">
        <v>397.13799999999998</v>
      </c>
      <c r="BU59" s="9027">
        <v>164.374</v>
      </c>
      <c r="BV59" s="9002"/>
      <c r="BW59" s="9031"/>
      <c r="BX59" s="8991"/>
      <c r="BY59" s="8991"/>
      <c r="BZ59" s="9031"/>
      <c r="CA59" s="9031"/>
      <c r="CB59" s="8991"/>
      <c r="CC59" s="9031"/>
      <c r="CD59" s="9031"/>
      <c r="CE59" s="8991"/>
      <c r="CF59" s="9031"/>
      <c r="CG59" s="8991"/>
      <c r="CH59" s="9031"/>
      <c r="CI59" s="8991"/>
      <c r="CJ59" s="9031"/>
      <c r="CK59" s="8991"/>
      <c r="CL59" s="9031"/>
      <c r="CM59" s="8991"/>
      <c r="CN59" s="8991"/>
      <c r="CO59" s="8991"/>
      <c r="CP59" s="8991"/>
      <c r="CQ59" s="8991"/>
      <c r="CR59" s="8991"/>
      <c r="CS59" s="8991"/>
      <c r="CT59" s="8991"/>
      <c r="CU59" s="8991"/>
      <c r="CV59" s="8991"/>
      <c r="CW59" s="8991"/>
      <c r="CX59" s="8991"/>
    </row>
    <row r="60" spans="1:107" x14ac:dyDescent="0.9">
      <c r="A60" s="8993">
        <v>49</v>
      </c>
      <c r="B60" s="8943" t="s">
        <v>114</v>
      </c>
      <c r="D60" s="9033" t="s">
        <v>107</v>
      </c>
      <c r="E60" s="9033" t="s">
        <v>107</v>
      </c>
      <c r="F60" s="9033" t="s">
        <v>107</v>
      </c>
      <c r="G60" s="9034" t="s">
        <v>107</v>
      </c>
      <c r="H60" s="9033" t="s">
        <v>107</v>
      </c>
      <c r="I60" s="9033" t="s">
        <v>107</v>
      </c>
      <c r="J60" s="9033" t="s">
        <v>107</v>
      </c>
      <c r="K60" s="9033" t="s">
        <v>107</v>
      </c>
      <c r="L60" s="9045" t="s">
        <v>107</v>
      </c>
      <c r="N60" s="9032">
        <v>4419.2</v>
      </c>
      <c r="O60" s="9033">
        <v>0</v>
      </c>
      <c r="P60" s="9033" t="s">
        <v>107</v>
      </c>
      <c r="Q60" s="9036">
        <v>1354.1</v>
      </c>
      <c r="R60" s="9032">
        <v>23216.1</v>
      </c>
      <c r="S60" s="9032">
        <v>21862</v>
      </c>
      <c r="T60" s="9035">
        <v>17160.3</v>
      </c>
      <c r="U60" s="9035">
        <v>15806.199999999999</v>
      </c>
      <c r="V60" s="9027" t="s">
        <v>39</v>
      </c>
      <c r="X60" s="9032">
        <v>3826.6</v>
      </c>
      <c r="Y60" s="9033">
        <v>0</v>
      </c>
      <c r="Z60" s="9033" t="s">
        <v>107</v>
      </c>
      <c r="AA60" s="9036">
        <v>1356.4</v>
      </c>
      <c r="AB60" s="9032">
        <v>23386.3</v>
      </c>
      <c r="AC60" s="9032">
        <v>22029.899999999998</v>
      </c>
      <c r="AD60" s="9035">
        <v>16107.900000000001</v>
      </c>
      <c r="AE60" s="9035">
        <v>14751.500000000002</v>
      </c>
      <c r="AF60" s="9027" t="s">
        <v>39</v>
      </c>
      <c r="AG60" s="9002"/>
      <c r="AH60" s="9033"/>
      <c r="AI60" s="9033"/>
      <c r="AJ60" s="9044"/>
      <c r="AK60" s="9033"/>
      <c r="AL60" s="9033"/>
      <c r="AM60" s="9033"/>
      <c r="AN60" s="9033"/>
      <c r="AO60" s="9033"/>
      <c r="AQ60" s="9002"/>
      <c r="AR60" s="9032">
        <v>3029.6</v>
      </c>
      <c r="AS60" s="9032">
        <v>2765.2000000000003</v>
      </c>
      <c r="AT60" s="9035">
        <v>264.39999999999964</v>
      </c>
      <c r="AU60" s="9036">
        <v>820.66666666666663</v>
      </c>
      <c r="AV60" s="9032">
        <v>16751.866666666669</v>
      </c>
      <c r="AW60" s="9032">
        <v>15931.200000000003</v>
      </c>
      <c r="AX60" s="9035">
        <v>12815.066666666666</v>
      </c>
      <c r="AY60" s="9035">
        <v>11994.4</v>
      </c>
      <c r="AZ60" s="9027" t="s">
        <v>39</v>
      </c>
      <c r="BA60" s="9002"/>
      <c r="BB60" s="9027" t="s">
        <v>107</v>
      </c>
      <c r="BC60" s="9027" t="s">
        <v>39</v>
      </c>
      <c r="BD60" s="9027" t="s">
        <v>39</v>
      </c>
      <c r="BE60" s="9027">
        <v>0</v>
      </c>
      <c r="BF60" s="9027" t="s">
        <v>39</v>
      </c>
      <c r="BG60" s="9002"/>
      <c r="BH60" s="9040" t="s">
        <v>5618</v>
      </c>
      <c r="BI60" s="9040" t="s">
        <v>5618</v>
      </c>
      <c r="BJ60" s="9002"/>
      <c r="BK60" s="9027">
        <v>1000000</v>
      </c>
      <c r="BL60" s="9027">
        <v>1000000</v>
      </c>
      <c r="BM60" s="9027">
        <v>1000000</v>
      </c>
      <c r="BN60" s="9027">
        <v>1000000</v>
      </c>
      <c r="BO60" s="9027">
        <v>1000000</v>
      </c>
      <c r="BP60" s="9002"/>
      <c r="BQ60" s="9027">
        <v>82.543000000000006</v>
      </c>
      <c r="BR60" s="9027">
        <v>77.355000000000004</v>
      </c>
      <c r="BS60" s="9027">
        <v>68.843999999999994</v>
      </c>
      <c r="BT60" s="9027">
        <v>61.093000000000004</v>
      </c>
      <c r="BU60" s="9027">
        <v>54.470999999999997</v>
      </c>
      <c r="BV60" s="9002"/>
      <c r="BW60" s="9031"/>
      <c r="BX60" s="8991"/>
      <c r="BY60" s="8991"/>
      <c r="BZ60" s="9031"/>
      <c r="CA60" s="9031"/>
      <c r="CB60" s="8991"/>
      <c r="CC60" s="9031"/>
      <c r="CD60" s="9031"/>
      <c r="CE60" s="8991"/>
      <c r="CF60" s="9031"/>
      <c r="CG60" s="8991"/>
      <c r="CH60" s="9031"/>
      <c r="CI60" s="8991"/>
      <c r="CJ60" s="9031"/>
      <c r="CK60" s="8991"/>
      <c r="CL60" s="9031"/>
      <c r="CM60" s="8991"/>
      <c r="CN60" s="8991"/>
      <c r="CO60" s="8991"/>
      <c r="CP60" s="8991"/>
      <c r="CQ60" s="8991"/>
      <c r="CR60" s="8991"/>
      <c r="CS60" s="8991"/>
      <c r="CT60" s="8991"/>
      <c r="CU60" s="8991"/>
      <c r="CV60" s="8991"/>
      <c r="CW60" s="8991"/>
      <c r="CX60" s="8991"/>
    </row>
    <row r="61" spans="1:107" s="8987" customFormat="1" x14ac:dyDescent="0.9">
      <c r="A61" s="8993">
        <v>50</v>
      </c>
      <c r="B61" s="8943" t="s">
        <v>68</v>
      </c>
      <c r="D61" s="9053">
        <v>4679.4670870050004</v>
      </c>
      <c r="E61" s="9053">
        <v>3493.7567480000002</v>
      </c>
      <c r="F61" s="9053">
        <v>1185.7103390050002</v>
      </c>
      <c r="G61" s="9055">
        <v>7862.58</v>
      </c>
      <c r="H61" s="9053">
        <v>33105.299999999996</v>
      </c>
      <c r="I61" s="9053">
        <v>25242.719999999994</v>
      </c>
      <c r="J61" s="9053">
        <v>20856.8</v>
      </c>
      <c r="K61" s="9053">
        <v>12994.22</v>
      </c>
      <c r="L61" s="9057" t="s">
        <v>32</v>
      </c>
      <c r="N61" s="9053">
        <v>4670.0724458259992</v>
      </c>
      <c r="O61" s="9053">
        <v>3458.2894893229995</v>
      </c>
      <c r="P61" s="9053">
        <v>1211.7829565029997</v>
      </c>
      <c r="Q61" s="9055">
        <v>9628.43732026</v>
      </c>
      <c r="R61" s="9053">
        <v>32475.949482418997</v>
      </c>
      <c r="S61" s="9053">
        <v>22847.512162158997</v>
      </c>
      <c r="T61" s="9053">
        <v>20642.558368067999</v>
      </c>
      <c r="U61" s="9053">
        <v>11014.121047807999</v>
      </c>
      <c r="V61" s="9057" t="s">
        <v>32</v>
      </c>
      <c r="W61" s="9001"/>
      <c r="X61" s="9053">
        <v>4659.5250371059992</v>
      </c>
      <c r="Y61" s="9053">
        <v>3501.023215106</v>
      </c>
      <c r="Z61" s="9053">
        <v>1158.5018219999993</v>
      </c>
      <c r="AA61" s="9055">
        <v>9572.2083619999994</v>
      </c>
      <c r="AB61" s="9053">
        <v>31711.985884000998</v>
      </c>
      <c r="AC61" s="9053">
        <v>22139.777522001001</v>
      </c>
      <c r="AD61" s="9053">
        <v>20279.316043552</v>
      </c>
      <c r="AE61" s="9053">
        <v>10707.107681552001</v>
      </c>
      <c r="AF61" s="9057" t="s">
        <v>32</v>
      </c>
      <c r="AG61" s="9002"/>
      <c r="AH61" s="9053">
        <v>4801.0482469999997</v>
      </c>
      <c r="AI61" s="9033"/>
      <c r="AJ61" s="9033"/>
      <c r="AK61" s="9055">
        <v>8009.341187</v>
      </c>
      <c r="AL61" s="9053">
        <v>29539.603197</v>
      </c>
      <c r="AM61" s="9053">
        <v>21530.262009999999</v>
      </c>
      <c r="AN61" s="9053">
        <v>18084.418645999998</v>
      </c>
      <c r="AO61" s="9053">
        <v>10075.077459</v>
      </c>
      <c r="AP61" s="9057" t="s">
        <v>32</v>
      </c>
      <c r="AQ61" s="9002"/>
      <c r="AR61" s="9053">
        <v>3910.4621764099998</v>
      </c>
      <c r="AS61" s="9033"/>
      <c r="AT61" s="9033"/>
      <c r="AU61" s="9055">
        <v>6396.6019999999999</v>
      </c>
      <c r="AV61" s="9053">
        <v>22535.491999999998</v>
      </c>
      <c r="AW61" s="9053">
        <v>16138.89</v>
      </c>
      <c r="AX61" s="9053">
        <v>16586.441999999999</v>
      </c>
      <c r="AY61" s="9053">
        <v>10189.84</v>
      </c>
      <c r="AZ61" s="9057" t="s">
        <v>32</v>
      </c>
      <c r="BA61" s="9002"/>
      <c r="BB61" s="9027" t="s">
        <v>32</v>
      </c>
      <c r="BC61" s="9027" t="s">
        <v>32</v>
      </c>
      <c r="BD61" s="9027" t="s">
        <v>32</v>
      </c>
      <c r="BE61" s="9027" t="s">
        <v>32</v>
      </c>
      <c r="BF61" s="9027" t="s">
        <v>32</v>
      </c>
      <c r="BG61" s="9002"/>
      <c r="BH61" s="9040" t="s">
        <v>101</v>
      </c>
      <c r="BI61" s="9040" t="s">
        <v>5666</v>
      </c>
      <c r="BJ61" s="9002"/>
      <c r="BK61" s="9027">
        <v>1000000000</v>
      </c>
      <c r="BL61" s="9027">
        <v>1000000000</v>
      </c>
      <c r="BM61" s="9027">
        <v>1000000000</v>
      </c>
      <c r="BN61" s="9027">
        <v>1000000000</v>
      </c>
      <c r="BO61" s="9027">
        <v>1000000000</v>
      </c>
      <c r="BP61" s="9002"/>
      <c r="BQ61" s="9057" t="s">
        <v>6773</v>
      </c>
      <c r="BR61" s="9057" t="s">
        <v>6773</v>
      </c>
      <c r="BS61" s="9057" t="s">
        <v>6773</v>
      </c>
      <c r="BT61" s="9057" t="s">
        <v>6773</v>
      </c>
      <c r="BU61" s="9057" t="s">
        <v>6773</v>
      </c>
      <c r="BV61" s="9002"/>
      <c r="BW61" s="9031"/>
      <c r="BX61" s="9031"/>
      <c r="BY61" s="8991"/>
      <c r="BZ61" s="8992"/>
      <c r="CA61" s="9031"/>
      <c r="CB61" s="8991"/>
      <c r="CC61" s="8991"/>
      <c r="CD61" s="8991"/>
      <c r="CE61" s="8991"/>
      <c r="CF61" s="9031"/>
      <c r="CG61" s="8991"/>
      <c r="CH61" s="9031"/>
      <c r="CI61" s="8991"/>
      <c r="CJ61" s="8992"/>
      <c r="CK61" s="8991"/>
      <c r="CL61" s="8991"/>
      <c r="CM61" s="8991"/>
      <c r="CN61" s="8991"/>
      <c r="CO61" s="8991"/>
      <c r="CP61" s="8991"/>
      <c r="CQ61" s="8991"/>
      <c r="CR61" s="8991"/>
      <c r="CS61" s="8991"/>
      <c r="CT61" s="8991"/>
      <c r="CU61" s="8991"/>
      <c r="CV61" s="8991"/>
      <c r="CW61" s="8991"/>
      <c r="CX61" s="8991"/>
      <c r="CY61" s="8992"/>
      <c r="CZ61" s="8992"/>
      <c r="DA61" s="8992"/>
      <c r="DB61" s="8992"/>
      <c r="DC61" s="8992"/>
    </row>
    <row r="62" spans="1:107" s="8987" customFormat="1" x14ac:dyDescent="0.9">
      <c r="A62" s="8993">
        <v>51</v>
      </c>
      <c r="B62" s="8943" t="s">
        <v>69</v>
      </c>
      <c r="D62" s="9053">
        <v>187165.11410331092</v>
      </c>
      <c r="E62" s="9053">
        <v>148618.2163901109</v>
      </c>
      <c r="F62" s="9060">
        <v>38546.897713200015</v>
      </c>
      <c r="G62" s="9033">
        <v>0</v>
      </c>
      <c r="H62" s="9053">
        <v>1158800</v>
      </c>
      <c r="I62" s="9033" t="s">
        <v>107</v>
      </c>
      <c r="J62" s="9053">
        <v>740000</v>
      </c>
      <c r="K62" s="9033"/>
      <c r="L62" s="9057" t="s">
        <v>39</v>
      </c>
      <c r="N62" s="9053">
        <v>196853.92474309797</v>
      </c>
      <c r="O62" s="9053">
        <v>103456.47252603403</v>
      </c>
      <c r="P62" s="9060">
        <v>93397.452217063939</v>
      </c>
      <c r="Q62" s="9033">
        <v>0</v>
      </c>
      <c r="R62" s="9053">
        <v>1101800</v>
      </c>
      <c r="S62" s="9033" t="s">
        <v>107</v>
      </c>
      <c r="T62" s="9053">
        <v>709000</v>
      </c>
      <c r="U62" s="9053">
        <v>709000</v>
      </c>
      <c r="V62" s="9057" t="s">
        <v>39</v>
      </c>
      <c r="W62" s="9001"/>
      <c r="X62" s="9053">
        <v>175235.50540200001</v>
      </c>
      <c r="Y62" s="9053">
        <v>147186.71700959999</v>
      </c>
      <c r="Z62" s="9060">
        <v>28048.78839240002</v>
      </c>
      <c r="AA62" s="9033">
        <v>0</v>
      </c>
      <c r="AB62" s="9053">
        <v>913388.9930218379</v>
      </c>
      <c r="AC62" s="9033" t="s">
        <v>107</v>
      </c>
      <c r="AD62" s="9053">
        <v>596606.18145563314</v>
      </c>
      <c r="AE62" s="9033" t="s">
        <v>107</v>
      </c>
      <c r="AF62" s="9057" t="s">
        <v>35</v>
      </c>
      <c r="AG62" s="9002"/>
      <c r="AH62" s="9053">
        <v>98289.334077527354</v>
      </c>
      <c r="AI62" s="9053">
        <v>82259.867285788336</v>
      </c>
      <c r="AJ62" s="9053">
        <v>16029.466791739018</v>
      </c>
      <c r="AK62" s="9033">
        <v>0</v>
      </c>
      <c r="AL62" s="9053">
        <v>687200</v>
      </c>
      <c r="AM62" s="9053">
        <v>687200</v>
      </c>
      <c r="AN62" s="9053">
        <v>470200</v>
      </c>
      <c r="AO62" s="9053">
        <v>470200</v>
      </c>
      <c r="AP62" s="9057" t="s">
        <v>39</v>
      </c>
      <c r="AQ62" s="9002"/>
      <c r="AR62" s="9053">
        <v>93143.544000000009</v>
      </c>
      <c r="AS62" s="9053">
        <v>85676.469818181824</v>
      </c>
      <c r="AT62" s="9053">
        <v>7467.074181818185</v>
      </c>
      <c r="AU62" s="9033">
        <v>0</v>
      </c>
      <c r="AV62" s="9053">
        <v>601541.2950946379</v>
      </c>
      <c r="AW62" s="9053">
        <v>601541.2950946379</v>
      </c>
      <c r="AX62" s="9053">
        <v>393473.46613545821</v>
      </c>
      <c r="AY62" s="9053">
        <v>393473.46613545821</v>
      </c>
      <c r="AZ62" s="9057" t="s">
        <v>35</v>
      </c>
      <c r="BA62" s="9002"/>
      <c r="BB62" s="9027" t="s">
        <v>39</v>
      </c>
      <c r="BC62" s="9027" t="s">
        <v>39</v>
      </c>
      <c r="BD62" s="9027" t="s">
        <v>35</v>
      </c>
      <c r="BE62" s="9027" t="s">
        <v>39</v>
      </c>
      <c r="BF62" s="9027" t="s">
        <v>35</v>
      </c>
      <c r="BG62" s="9002"/>
      <c r="BH62" s="9040" t="s">
        <v>5809</v>
      </c>
      <c r="BI62" s="9040" t="s">
        <v>5809</v>
      </c>
      <c r="BJ62" s="9002"/>
      <c r="BK62" s="9027">
        <v>1000000</v>
      </c>
      <c r="BL62" s="9027">
        <v>1000000</v>
      </c>
      <c r="BM62" s="9027">
        <v>1000000</v>
      </c>
      <c r="BN62" s="9027">
        <v>1000000</v>
      </c>
      <c r="BO62" s="9027">
        <v>1000000</v>
      </c>
      <c r="BP62" s="9002"/>
      <c r="BQ62" s="9057" t="s">
        <v>6773</v>
      </c>
      <c r="BR62" s="9057" t="s">
        <v>6773</v>
      </c>
      <c r="BS62" s="9057" t="s">
        <v>6773</v>
      </c>
      <c r="BT62" s="9057" t="s">
        <v>6773</v>
      </c>
      <c r="BU62" s="9057" t="s">
        <v>6773</v>
      </c>
      <c r="BV62" s="9002"/>
      <c r="BW62" s="9031"/>
      <c r="BX62" s="9031"/>
      <c r="BY62" s="8991"/>
      <c r="BZ62" s="9031"/>
      <c r="CA62" s="9031"/>
      <c r="CB62" s="8991"/>
      <c r="CC62" s="8991"/>
      <c r="CD62" s="8991"/>
      <c r="CE62" s="8991"/>
      <c r="CF62" s="9031"/>
      <c r="CG62" s="8991"/>
      <c r="CH62" s="9031"/>
      <c r="CI62" s="8991"/>
      <c r="CJ62" s="9031"/>
      <c r="CK62" s="8991"/>
      <c r="CL62" s="8991"/>
      <c r="CM62" s="8991"/>
      <c r="CN62" s="8991"/>
      <c r="CO62" s="8991"/>
      <c r="CP62" s="8991"/>
      <c r="CQ62" s="8991"/>
      <c r="CR62" s="8991"/>
      <c r="CS62" s="8991"/>
      <c r="CT62" s="8991"/>
      <c r="CU62" s="8991"/>
      <c r="CV62" s="8991"/>
      <c r="CW62" s="8991"/>
      <c r="CX62" s="8991"/>
      <c r="CY62" s="8992"/>
      <c r="CZ62" s="8992"/>
      <c r="DA62" s="8992"/>
      <c r="DB62" s="8992"/>
      <c r="DC62" s="8992"/>
    </row>
    <row r="63" spans="1:107" x14ac:dyDescent="0.9">
      <c r="A63" s="8993">
        <v>52</v>
      </c>
      <c r="B63" s="8943" t="s">
        <v>70</v>
      </c>
      <c r="D63" s="9032">
        <v>106636424.27228524</v>
      </c>
      <c r="E63" s="9032">
        <v>105566011.00228526</v>
      </c>
      <c r="F63" s="9035">
        <v>1070413.2699999809</v>
      </c>
      <c r="G63" s="9036">
        <v>6113350.9100000001</v>
      </c>
      <c r="H63" s="9032">
        <v>1135573764.7700002</v>
      </c>
      <c r="I63" s="9032">
        <v>1129460413.8600001</v>
      </c>
      <c r="J63" s="9035">
        <v>969257211.76000011</v>
      </c>
      <c r="K63" s="9035">
        <v>963143860.85000014</v>
      </c>
      <c r="L63" s="9027" t="s">
        <v>39</v>
      </c>
      <c r="N63" s="9032">
        <v>125092186.2422317</v>
      </c>
      <c r="O63" s="9032">
        <v>122796319.02223168</v>
      </c>
      <c r="P63" s="9035">
        <v>2295867.2200000137</v>
      </c>
      <c r="Q63" s="9036">
        <v>3016022.65</v>
      </c>
      <c r="R63" s="9032">
        <v>1233297173.1699998</v>
      </c>
      <c r="S63" s="9032">
        <v>1230281150.5199997</v>
      </c>
      <c r="T63" s="9035">
        <v>915401727.8299998</v>
      </c>
      <c r="U63" s="9035">
        <v>912385705.17999983</v>
      </c>
      <c r="V63" s="9027" t="s">
        <v>39</v>
      </c>
      <c r="X63" s="9032">
        <v>105993.99507399256</v>
      </c>
      <c r="Y63" s="9033" t="s">
        <v>107</v>
      </c>
      <c r="Z63" s="9033" t="s">
        <v>107</v>
      </c>
      <c r="AA63" s="9033">
        <v>0</v>
      </c>
      <c r="AB63" s="9032">
        <v>1158159.098</v>
      </c>
      <c r="AC63" s="9032">
        <v>1158159.098</v>
      </c>
      <c r="AD63" s="9035">
        <v>822061.14800000004</v>
      </c>
      <c r="AE63" s="9035">
        <v>822061.14800000004</v>
      </c>
      <c r="AF63" s="9027" t="s">
        <v>39</v>
      </c>
      <c r="AG63" s="9002"/>
      <c r="AH63" s="9032">
        <v>113650.60611062071</v>
      </c>
      <c r="AI63" s="9032">
        <v>112546.99514062071</v>
      </c>
      <c r="AJ63" s="9037">
        <v>1103.6109699999943</v>
      </c>
      <c r="AK63" s="9033">
        <v>0</v>
      </c>
      <c r="AL63" s="9032">
        <v>1184989.0659999999</v>
      </c>
      <c r="AM63" s="9032">
        <v>1184989.0659999999</v>
      </c>
      <c r="AN63" s="9032">
        <v>944775.85800000001</v>
      </c>
      <c r="AO63" s="9032">
        <v>944775.85800000001</v>
      </c>
      <c r="AP63" s="9027" t="s">
        <v>39</v>
      </c>
      <c r="AQ63" s="9002"/>
      <c r="AR63" s="9032">
        <v>133343.18601342628</v>
      </c>
      <c r="AS63" s="9032">
        <v>131221.19783342627</v>
      </c>
      <c r="AT63" s="9035">
        <v>2121.9881800000148</v>
      </c>
      <c r="AU63" s="9033">
        <v>0</v>
      </c>
      <c r="AV63" s="9032">
        <v>1629934.8401000001</v>
      </c>
      <c r="AW63" s="9032">
        <v>1629934.8401000001</v>
      </c>
      <c r="AX63" s="9032">
        <v>1048550.2528599999</v>
      </c>
      <c r="AY63" s="9032">
        <v>1048550.2528599999</v>
      </c>
      <c r="AZ63" s="9027" t="s">
        <v>39</v>
      </c>
      <c r="BA63" s="9002"/>
      <c r="BB63" s="9027" t="s">
        <v>39</v>
      </c>
      <c r="BC63" s="9027" t="s">
        <v>39</v>
      </c>
      <c r="BD63" s="9027" t="s">
        <v>39</v>
      </c>
      <c r="BE63" s="9027" t="s">
        <v>39</v>
      </c>
      <c r="BF63" s="9027" t="s">
        <v>39</v>
      </c>
      <c r="BG63" s="9002"/>
      <c r="BH63" s="9040" t="s">
        <v>5912</v>
      </c>
      <c r="BI63" s="9040" t="s">
        <v>5912</v>
      </c>
      <c r="BJ63" s="9002"/>
      <c r="BK63" s="9027">
        <v>1</v>
      </c>
      <c r="BL63" s="9027">
        <v>1</v>
      </c>
      <c r="BM63" s="9027">
        <v>1000</v>
      </c>
      <c r="BN63" s="9027">
        <v>1000</v>
      </c>
      <c r="BO63" s="9027">
        <v>1000</v>
      </c>
      <c r="BP63" s="9002"/>
      <c r="BQ63" s="9027">
        <v>1.5649999999999999</v>
      </c>
      <c r="BR63" s="9027">
        <v>1.6739999999999999</v>
      </c>
      <c r="BS63" s="9027">
        <v>1.56</v>
      </c>
      <c r="BT63" s="9027">
        <v>1.599</v>
      </c>
      <c r="BU63" s="9027">
        <v>1.651</v>
      </c>
      <c r="BV63" s="9002"/>
      <c r="BW63" s="9031"/>
      <c r="BX63" s="8991"/>
      <c r="BY63" s="8991"/>
      <c r="BZ63" s="9031"/>
      <c r="CA63" s="9031"/>
      <c r="CB63" s="8991"/>
      <c r="CC63" s="9031"/>
      <c r="CD63" s="9031"/>
      <c r="CE63" s="8991"/>
      <c r="CF63" s="9031"/>
      <c r="CG63" s="8991"/>
      <c r="CH63" s="9031"/>
      <c r="CI63" s="8991"/>
      <c r="CJ63" s="9031"/>
      <c r="CK63" s="8991"/>
      <c r="CL63" s="9031"/>
      <c r="CM63" s="8991"/>
      <c r="CN63" s="8991"/>
      <c r="CO63" s="8991"/>
      <c r="CP63" s="8991"/>
      <c r="CQ63" s="8991"/>
      <c r="CR63" s="8991"/>
      <c r="CS63" s="8991"/>
      <c r="CT63" s="8991"/>
      <c r="CU63" s="8991"/>
      <c r="CV63" s="8991"/>
      <c r="CW63" s="8991"/>
      <c r="CX63" s="8991"/>
    </row>
    <row r="64" spans="1:107" x14ac:dyDescent="0.9">
      <c r="A64" s="8993">
        <v>53</v>
      </c>
      <c r="B64" s="8943" t="s">
        <v>71</v>
      </c>
      <c r="D64" s="9032">
        <v>179425815000</v>
      </c>
      <c r="E64" s="9032">
        <v>166165605000</v>
      </c>
      <c r="F64" s="9037">
        <v>13260210000</v>
      </c>
      <c r="G64" s="9032">
        <v>604670000000</v>
      </c>
      <c r="H64" s="9032">
        <v>1463830000000</v>
      </c>
      <c r="I64" s="9032">
        <v>859160000000</v>
      </c>
      <c r="J64" s="9035">
        <v>1134470000000</v>
      </c>
      <c r="K64" s="9035">
        <v>529800000000</v>
      </c>
      <c r="L64" s="9027" t="s">
        <v>32</v>
      </c>
      <c r="N64" s="9032">
        <v>173133181000</v>
      </c>
      <c r="O64" s="9032">
        <v>157509716000</v>
      </c>
      <c r="P64" s="9037">
        <v>15623465000</v>
      </c>
      <c r="Q64" s="9032">
        <v>569290000000</v>
      </c>
      <c r="R64" s="9032">
        <v>1426940000000</v>
      </c>
      <c r="S64" s="9032">
        <v>857650000000</v>
      </c>
      <c r="T64" s="9035">
        <v>1152350000000</v>
      </c>
      <c r="U64" s="9035">
        <v>583060000000</v>
      </c>
      <c r="V64" s="9027" t="s">
        <v>32</v>
      </c>
      <c r="X64" s="9032">
        <v>161923860000</v>
      </c>
      <c r="Y64" s="9032">
        <v>148602148000</v>
      </c>
      <c r="Z64" s="9037">
        <v>13321712000</v>
      </c>
      <c r="AA64" s="9032">
        <v>457980000000</v>
      </c>
      <c r="AB64" s="9032">
        <v>1307560000000</v>
      </c>
      <c r="AC64" s="9032">
        <v>849580000000</v>
      </c>
      <c r="AD64" s="9035">
        <v>997430000000</v>
      </c>
      <c r="AE64" s="9035">
        <v>539450000000</v>
      </c>
      <c r="AF64" s="9027" t="s">
        <v>32</v>
      </c>
      <c r="AG64" s="9002"/>
      <c r="AH64" s="9032">
        <v>139650141000</v>
      </c>
      <c r="AI64" s="9032">
        <v>126760477000</v>
      </c>
      <c r="AJ64" s="9035">
        <v>12889664000</v>
      </c>
      <c r="AK64" s="9039">
        <v>514190000000</v>
      </c>
      <c r="AL64" s="9035">
        <v>1333720000000</v>
      </c>
      <c r="AM64" s="9035">
        <v>819530000000</v>
      </c>
      <c r="AN64" s="9035">
        <v>1020190000000</v>
      </c>
      <c r="AO64" s="9035">
        <v>506000000000</v>
      </c>
      <c r="AP64" s="9027" t="s">
        <v>32</v>
      </c>
      <c r="AQ64" s="9002"/>
      <c r="AR64" s="9032">
        <v>128172002428.87967</v>
      </c>
      <c r="AS64" s="9032">
        <v>126012735757.12326</v>
      </c>
      <c r="AT64" s="9035">
        <v>2159266671.7564087</v>
      </c>
      <c r="AU64" s="9036">
        <v>305356316425.52527</v>
      </c>
      <c r="AV64" s="9032">
        <v>1155186316425.5251</v>
      </c>
      <c r="AW64" s="9032">
        <v>849829999999.99988</v>
      </c>
      <c r="AX64" s="9035">
        <v>822806316425.52539</v>
      </c>
      <c r="AY64" s="9035">
        <v>517450000000.00006</v>
      </c>
      <c r="AZ64" s="9027" t="s">
        <v>32</v>
      </c>
      <c r="BA64" s="9002"/>
      <c r="BB64" s="9027" t="s">
        <v>32</v>
      </c>
      <c r="BC64" s="9027" t="s">
        <v>32</v>
      </c>
      <c r="BD64" s="9027" t="s">
        <v>32</v>
      </c>
      <c r="BE64" s="9027" t="s">
        <v>32</v>
      </c>
      <c r="BF64" s="9027" t="s">
        <v>32</v>
      </c>
      <c r="BG64" s="9002"/>
      <c r="BH64" s="9040" t="s">
        <v>3663</v>
      </c>
      <c r="BI64" s="9040" t="s">
        <v>3663</v>
      </c>
      <c r="BJ64" s="9002"/>
      <c r="BK64" s="9027">
        <v>1</v>
      </c>
      <c r="BL64" s="9027">
        <v>1</v>
      </c>
      <c r="BM64" s="9027">
        <v>1</v>
      </c>
      <c r="BN64" s="9027">
        <v>1</v>
      </c>
      <c r="BO64" s="9027">
        <v>1</v>
      </c>
      <c r="BP64" s="9002"/>
      <c r="BQ64" s="9027">
        <v>4359.8540000000003</v>
      </c>
      <c r="BR64" s="9027">
        <v>4230.509</v>
      </c>
      <c r="BS64" s="9027">
        <v>3950.4470000000001</v>
      </c>
      <c r="BT64" s="9027">
        <v>3713.5740000000001</v>
      </c>
      <c r="BU64" s="9027">
        <v>3574.4</v>
      </c>
      <c r="BV64" s="9002"/>
      <c r="BW64" s="9031"/>
      <c r="BX64" s="8991"/>
      <c r="BY64" s="8991"/>
      <c r="BZ64" s="9031"/>
      <c r="CA64" s="9031"/>
      <c r="CB64" s="8991"/>
      <c r="CC64" s="9031"/>
      <c r="CD64" s="9031"/>
      <c r="CE64" s="8991"/>
      <c r="CF64" s="9031"/>
      <c r="CG64" s="8991"/>
      <c r="CH64" s="9031"/>
      <c r="CI64" s="8991"/>
      <c r="CJ64" s="9031"/>
      <c r="CK64" s="8991"/>
      <c r="CL64" s="9031"/>
      <c r="CM64" s="8991"/>
      <c r="CN64" s="8991"/>
      <c r="CO64" s="8991"/>
      <c r="CP64" s="8991"/>
      <c r="CQ64" s="8991"/>
      <c r="CR64" s="8991"/>
      <c r="CS64" s="8991"/>
      <c r="CT64" s="8991"/>
      <c r="CU64" s="8991"/>
      <c r="CV64" s="8991"/>
      <c r="CW64" s="8991"/>
      <c r="CX64" s="8991"/>
    </row>
    <row r="65" spans="1:168" x14ac:dyDescent="0.9">
      <c r="A65" s="8993">
        <v>54</v>
      </c>
      <c r="B65" s="8943" t="s">
        <v>72</v>
      </c>
      <c r="D65" s="9032">
        <v>3381.9181629654654</v>
      </c>
      <c r="E65" s="9032">
        <v>2810.5630000000001</v>
      </c>
      <c r="F65" s="9035">
        <v>571.3551629654653</v>
      </c>
      <c r="G65" s="9036">
        <v>4122.6100000000006</v>
      </c>
      <c r="H65" s="9032">
        <v>28347.15</v>
      </c>
      <c r="I65" s="9032">
        <v>24224.54</v>
      </c>
      <c r="J65" s="9035">
        <v>16283.4</v>
      </c>
      <c r="K65" s="9035">
        <v>12160.789999999999</v>
      </c>
      <c r="L65" s="9027" t="s">
        <v>39</v>
      </c>
      <c r="N65" s="9032">
        <v>2478.09</v>
      </c>
      <c r="O65" s="9032">
        <v>1975.546</v>
      </c>
      <c r="P65" s="9035">
        <v>502.5440000000001</v>
      </c>
      <c r="Q65" s="9036">
        <v>4310.34</v>
      </c>
      <c r="R65" s="9032">
        <v>24205.75</v>
      </c>
      <c r="S65" s="9032">
        <v>19895.41</v>
      </c>
      <c r="T65" s="9035">
        <v>14158.64</v>
      </c>
      <c r="U65" s="9035">
        <v>9848.2999999999993</v>
      </c>
      <c r="V65" s="9027" t="s">
        <v>39</v>
      </c>
      <c r="X65" s="9032">
        <v>2312.1844930193306</v>
      </c>
      <c r="Y65" s="9032">
        <v>1965.4034930193304</v>
      </c>
      <c r="Z65" s="9035">
        <v>346.78100000000018</v>
      </c>
      <c r="AA65" s="9036">
        <v>3945.6</v>
      </c>
      <c r="AB65" s="9032">
        <v>20167.2</v>
      </c>
      <c r="AC65" s="9032">
        <v>16221.6</v>
      </c>
      <c r="AD65" s="9035">
        <v>12601.1</v>
      </c>
      <c r="AE65" s="9035">
        <v>8655.5</v>
      </c>
      <c r="AF65" s="9027" t="s">
        <v>39</v>
      </c>
      <c r="AG65" s="9002"/>
      <c r="AH65" s="9032">
        <v>2265999510633.4292</v>
      </c>
      <c r="AI65" s="9032">
        <v>1902765510633.4292</v>
      </c>
      <c r="AJ65" s="9035">
        <v>363234000000</v>
      </c>
      <c r="AK65" s="9039">
        <v>3049000000000</v>
      </c>
      <c r="AL65" s="9035">
        <v>17401000000000</v>
      </c>
      <c r="AM65" s="9035">
        <v>14352000000000</v>
      </c>
      <c r="AN65" s="9035">
        <v>10683000000000</v>
      </c>
      <c r="AO65" s="9035">
        <v>7634000000000</v>
      </c>
      <c r="AP65" s="9027" t="s">
        <v>39</v>
      </c>
      <c r="AQ65" s="9002"/>
      <c r="AR65" s="9032">
        <v>2021497334552.3054</v>
      </c>
      <c r="AS65" s="9032">
        <v>1766539334552.3054</v>
      </c>
      <c r="AT65" s="9035">
        <v>254958000000</v>
      </c>
      <c r="AU65" s="9036">
        <v>3333000000000</v>
      </c>
      <c r="AV65" s="9032">
        <v>16727000000000</v>
      </c>
      <c r="AW65" s="9032">
        <v>13394000000000</v>
      </c>
      <c r="AX65" s="9035">
        <v>10820000000000</v>
      </c>
      <c r="AY65" s="9035">
        <v>7487000000000</v>
      </c>
      <c r="AZ65" s="9027" t="s">
        <v>39</v>
      </c>
      <c r="BA65" s="9002"/>
      <c r="BB65" s="9027" t="s">
        <v>39</v>
      </c>
      <c r="BC65" s="9027" t="s">
        <v>39</v>
      </c>
      <c r="BD65" s="9027" t="s">
        <v>39</v>
      </c>
      <c r="BE65" s="9027" t="s">
        <v>39</v>
      </c>
      <c r="BF65" s="9027" t="s">
        <v>39</v>
      </c>
      <c r="BG65" s="9002"/>
      <c r="BH65" s="9040" t="s">
        <v>6122</v>
      </c>
      <c r="BI65" s="9040" t="s">
        <v>6122</v>
      </c>
      <c r="BJ65" s="9002"/>
      <c r="BK65" s="9027">
        <v>1000000000</v>
      </c>
      <c r="BL65" s="9027">
        <v>1000000000</v>
      </c>
      <c r="BM65" s="9027">
        <v>1000000000</v>
      </c>
      <c r="BN65" s="9027">
        <v>1</v>
      </c>
      <c r="BO65" s="9027">
        <v>1</v>
      </c>
      <c r="BP65" s="9002"/>
      <c r="BQ65" s="9027">
        <v>143904</v>
      </c>
      <c r="BR65" s="9027">
        <v>139711</v>
      </c>
      <c r="BS65" s="9027">
        <v>127107</v>
      </c>
      <c r="BT65" s="9027">
        <v>114080</v>
      </c>
      <c r="BU65" s="9027">
        <v>104528</v>
      </c>
      <c r="BV65" s="9002"/>
      <c r="BW65" s="9031"/>
      <c r="BX65" s="8991"/>
      <c r="BY65" s="8991"/>
      <c r="BZ65" s="9031"/>
      <c r="CA65" s="9031"/>
      <c r="CB65" s="8991"/>
      <c r="CC65" s="9031"/>
      <c r="CD65" s="9031"/>
      <c r="CE65" s="8991"/>
      <c r="CF65" s="9031"/>
      <c r="CG65" s="8991"/>
      <c r="CH65" s="9031"/>
      <c r="CI65" s="8991"/>
      <c r="CJ65" s="9031"/>
      <c r="CK65" s="8991"/>
      <c r="CL65" s="9031"/>
      <c r="CM65" s="8991"/>
      <c r="CN65" s="8991"/>
      <c r="CO65" s="8991"/>
      <c r="CP65" s="8991"/>
      <c r="CQ65" s="8991"/>
      <c r="CR65" s="8991"/>
      <c r="CS65" s="8991"/>
      <c r="CT65" s="8991"/>
      <c r="CU65" s="8991"/>
      <c r="CV65" s="8991"/>
      <c r="CW65" s="8991"/>
      <c r="CX65" s="8991"/>
    </row>
    <row r="66" spans="1:168" x14ac:dyDescent="0.9">
      <c r="A66" s="8993">
        <v>55</v>
      </c>
      <c r="B66" s="8943" t="s">
        <v>115</v>
      </c>
      <c r="D66" s="9033">
        <v>0</v>
      </c>
      <c r="E66" s="9033">
        <v>0</v>
      </c>
      <c r="F66" s="9044" t="s">
        <v>107</v>
      </c>
      <c r="G66" s="9033">
        <v>0</v>
      </c>
      <c r="H66" s="9033" t="s">
        <v>107</v>
      </c>
      <c r="I66" s="9033" t="s">
        <v>107</v>
      </c>
      <c r="J66" s="9033" t="s">
        <v>107</v>
      </c>
      <c r="K66" s="9033">
        <v>0</v>
      </c>
      <c r="L66" s="9045" t="s">
        <v>107</v>
      </c>
      <c r="N66" s="9032">
        <v>33536.1</v>
      </c>
      <c r="O66" s="9033">
        <v>0</v>
      </c>
      <c r="P66" s="9044" t="s">
        <v>107</v>
      </c>
      <c r="Q66" s="9033">
        <v>0</v>
      </c>
      <c r="R66" s="9032">
        <v>118008.6</v>
      </c>
      <c r="S66" s="9033" t="s">
        <v>107</v>
      </c>
      <c r="T66" s="9033" t="s">
        <v>107</v>
      </c>
      <c r="U66" s="9035">
        <v>110960.1</v>
      </c>
      <c r="V66" s="9027" t="s">
        <v>39</v>
      </c>
      <c r="X66" s="9032">
        <v>20631.900000000001</v>
      </c>
      <c r="Y66" s="9033">
        <v>0</v>
      </c>
      <c r="Z66" s="9044" t="s">
        <v>107</v>
      </c>
      <c r="AA66" s="9033">
        <v>0</v>
      </c>
      <c r="AB66" s="9032">
        <v>79736.121984199999</v>
      </c>
      <c r="AC66" s="9033" t="s">
        <v>107</v>
      </c>
      <c r="AD66" s="9033" t="s">
        <v>107</v>
      </c>
      <c r="AE66" s="9035">
        <v>74335.721984200005</v>
      </c>
      <c r="AF66" s="9027" t="s">
        <v>39</v>
      </c>
      <c r="AG66" s="9002"/>
      <c r="AH66" s="9032">
        <v>15977.7</v>
      </c>
      <c r="AI66" s="9033">
        <v>0</v>
      </c>
      <c r="AJ66" s="9044" t="s">
        <v>107</v>
      </c>
      <c r="AK66" s="9033">
        <v>0</v>
      </c>
      <c r="AL66" s="9035">
        <v>49344.9</v>
      </c>
      <c r="AM66" s="9033" t="s">
        <v>107</v>
      </c>
      <c r="AN66" s="9033" t="s">
        <v>107</v>
      </c>
      <c r="AO66" s="9035">
        <v>46110.1</v>
      </c>
      <c r="AP66" s="9027" t="s">
        <v>39</v>
      </c>
      <c r="AQ66" s="9002"/>
      <c r="AR66" s="9032">
        <v>13744.030862700001</v>
      </c>
      <c r="AS66" s="9033">
        <v>0</v>
      </c>
      <c r="AT66" s="9044"/>
      <c r="AU66" s="9033">
        <v>0</v>
      </c>
      <c r="AV66" s="9032">
        <v>40930.000599699997</v>
      </c>
      <c r="AW66" s="9033" t="s">
        <v>107</v>
      </c>
      <c r="AX66" s="9033"/>
      <c r="AY66" s="9035">
        <v>38798.200599699994</v>
      </c>
      <c r="AZ66" s="9027" t="s">
        <v>39</v>
      </c>
      <c r="BA66" s="9002"/>
      <c r="BB66" s="9027" t="s">
        <v>107</v>
      </c>
      <c r="BC66" s="9027" t="s">
        <v>39</v>
      </c>
      <c r="BD66" s="9027" t="s">
        <v>39</v>
      </c>
      <c r="BE66" s="9027" t="s">
        <v>39</v>
      </c>
      <c r="BF66" s="9027" t="s">
        <v>39</v>
      </c>
      <c r="BG66" s="9002"/>
      <c r="BH66" s="9040" t="s">
        <v>6237</v>
      </c>
      <c r="BI66" s="9040" t="s">
        <v>6237</v>
      </c>
      <c r="BJ66" s="9002"/>
      <c r="BK66" s="9027">
        <v>1000000000</v>
      </c>
      <c r="BL66" s="9027">
        <v>1000000000</v>
      </c>
      <c r="BM66" s="9027">
        <v>1000000000</v>
      </c>
      <c r="BN66" s="9027">
        <v>1000000000</v>
      </c>
      <c r="BO66" s="9027">
        <v>1000000000</v>
      </c>
      <c r="BP66" s="9002"/>
      <c r="BQ66" s="9027">
        <v>602551.4</v>
      </c>
      <c r="BR66" s="9027">
        <v>529391.4</v>
      </c>
      <c r="BS66" s="9027">
        <v>424728.74400000001</v>
      </c>
      <c r="BT66" s="9027">
        <v>317476.36900000001</v>
      </c>
      <c r="BU66" s="9027">
        <v>255421.86199999999</v>
      </c>
      <c r="BV66" s="9002"/>
      <c r="BW66" s="9031"/>
      <c r="BX66" s="8991"/>
      <c r="BY66" s="8991"/>
      <c r="BZ66" s="9031"/>
      <c r="CA66" s="9031"/>
      <c r="CB66" s="8991"/>
      <c r="CC66" s="9031"/>
      <c r="CD66" s="9031"/>
      <c r="CE66" s="8991"/>
      <c r="CF66" s="9031"/>
      <c r="CG66" s="8991"/>
      <c r="CH66" s="9031"/>
      <c r="CI66" s="8991"/>
      <c r="CJ66" s="9031"/>
      <c r="CK66" s="8991"/>
      <c r="CL66" s="9031"/>
      <c r="CM66" s="8991"/>
      <c r="CN66" s="8991"/>
      <c r="CO66" s="8991"/>
      <c r="CP66" s="8991"/>
      <c r="CQ66" s="8991"/>
      <c r="CR66" s="8991"/>
      <c r="CS66" s="8991"/>
      <c r="CT66" s="8991"/>
      <c r="CU66" s="8991"/>
      <c r="CV66" s="8991"/>
      <c r="CW66" s="8991"/>
      <c r="CX66" s="8991"/>
    </row>
    <row r="67" spans="1:168" x14ac:dyDescent="0.9">
      <c r="A67" s="8993">
        <v>56</v>
      </c>
      <c r="B67" s="8943" t="s">
        <v>73</v>
      </c>
      <c r="D67" s="9032">
        <v>248480.00026038624</v>
      </c>
      <c r="E67" s="9033">
        <v>0</v>
      </c>
      <c r="F67" s="9033" t="s">
        <v>107</v>
      </c>
      <c r="G67" s="9036">
        <v>118830</v>
      </c>
      <c r="H67" s="9032">
        <v>1458880</v>
      </c>
      <c r="I67" s="9032">
        <v>1340050</v>
      </c>
      <c r="J67" s="9035">
        <v>1147004</v>
      </c>
      <c r="K67" s="9035">
        <v>1028174</v>
      </c>
      <c r="L67" s="9027" t="s">
        <v>35</v>
      </c>
      <c r="N67" s="9032">
        <v>245235.00025698575</v>
      </c>
      <c r="O67" s="9033">
        <v>0</v>
      </c>
      <c r="P67" s="9033" t="s">
        <v>107</v>
      </c>
      <c r="Q67" s="9036">
        <v>107984</v>
      </c>
      <c r="R67" s="9032">
        <v>1747987</v>
      </c>
      <c r="S67" s="9032">
        <v>1640003</v>
      </c>
      <c r="T67" s="9035">
        <v>1309616</v>
      </c>
      <c r="U67" s="9035">
        <v>1201632</v>
      </c>
      <c r="V67" s="9027" t="s">
        <v>39</v>
      </c>
      <c r="X67" s="9032">
        <v>288788.47580278711</v>
      </c>
      <c r="Y67" s="9033"/>
      <c r="Z67" s="9033"/>
      <c r="AA67" s="9036">
        <v>112518</v>
      </c>
      <c r="AB67" s="9032">
        <v>1562400</v>
      </c>
      <c r="AC67" s="9032">
        <v>1449882</v>
      </c>
      <c r="AD67" s="9035">
        <v>1144035</v>
      </c>
      <c r="AE67" s="9035">
        <v>1031517</v>
      </c>
      <c r="AF67" s="9027" t="s">
        <v>39</v>
      </c>
      <c r="AG67" s="9002"/>
      <c r="AH67" s="9035">
        <v>230974</v>
      </c>
      <c r="AI67" s="9033"/>
      <c r="AJ67" s="9033"/>
      <c r="AK67" s="9039">
        <v>153744</v>
      </c>
      <c r="AL67" s="9035">
        <v>1676944</v>
      </c>
      <c r="AM67" s="9035">
        <v>1523200</v>
      </c>
      <c r="AN67" s="9035">
        <v>1258579</v>
      </c>
      <c r="AO67" s="9035">
        <v>1104835</v>
      </c>
      <c r="AP67" s="9027" t="s">
        <v>39</v>
      </c>
      <c r="AQ67" s="9002"/>
      <c r="AR67" s="9035">
        <v>195635</v>
      </c>
      <c r="AS67" s="9033"/>
      <c r="AT67" s="9033"/>
      <c r="AU67" s="9039">
        <v>67068</v>
      </c>
      <c r="AV67" s="9035">
        <v>1273200</v>
      </c>
      <c r="AW67" s="9035">
        <v>1206132</v>
      </c>
      <c r="AX67" s="9035">
        <v>1005019</v>
      </c>
      <c r="AY67" s="9035">
        <v>937951</v>
      </c>
      <c r="AZ67" s="9027" t="s">
        <v>39</v>
      </c>
      <c r="BA67" s="9002"/>
      <c r="BB67" s="9027" t="s">
        <v>35</v>
      </c>
      <c r="BC67" s="9027" t="s">
        <v>39</v>
      </c>
      <c r="BD67" s="9027" t="s">
        <v>39</v>
      </c>
      <c r="BE67" s="9027" t="s">
        <v>39</v>
      </c>
      <c r="BF67" s="9027" t="s">
        <v>39</v>
      </c>
      <c r="BG67" s="9002"/>
      <c r="BH67" s="9040" t="s">
        <v>6275</v>
      </c>
      <c r="BI67" s="9040" t="s">
        <v>6275</v>
      </c>
      <c r="BJ67" s="9002"/>
      <c r="BK67" s="9027">
        <v>1000000000</v>
      </c>
      <c r="BL67" s="9027">
        <v>1000000000</v>
      </c>
      <c r="BM67" s="9027">
        <v>1000000000</v>
      </c>
      <c r="BN67" s="9027">
        <v>1000000000</v>
      </c>
      <c r="BO67" s="9027">
        <v>1000000000</v>
      </c>
      <c r="BP67" s="9002"/>
      <c r="BQ67" s="9027">
        <v>7966321.5480000004</v>
      </c>
      <c r="BR67" s="9027">
        <v>7615567.5259999996</v>
      </c>
      <c r="BS67" s="9027">
        <v>6977294.1320000002</v>
      </c>
      <c r="BT67" s="9027">
        <v>6293904.5539999995</v>
      </c>
      <c r="BU67" s="9027">
        <v>5639401.0029999996</v>
      </c>
      <c r="BV67" s="9002"/>
      <c r="BW67" s="9031"/>
      <c r="BX67" s="8991"/>
      <c r="BY67" s="8991"/>
      <c r="BZ67" s="9031"/>
      <c r="CA67" s="9031"/>
      <c r="CB67" s="8991"/>
      <c r="CC67" s="9031"/>
      <c r="CD67" s="9031"/>
      <c r="CE67" s="8991"/>
      <c r="CF67" s="9031"/>
      <c r="CG67" s="8991"/>
      <c r="CH67" s="9031"/>
      <c r="CI67" s="8991"/>
      <c r="CJ67" s="9031"/>
      <c r="CK67" s="8991"/>
      <c r="CL67" s="9031"/>
      <c r="CM67" s="8991"/>
      <c r="CN67" s="8991"/>
      <c r="CO67" s="8991"/>
      <c r="CP67" s="8991"/>
      <c r="CQ67" s="8991"/>
      <c r="CR67" s="8991"/>
      <c r="CS67" s="8991"/>
      <c r="CT67" s="8991"/>
      <c r="CU67" s="8991"/>
      <c r="CV67" s="8991"/>
      <c r="CW67" s="8991"/>
      <c r="CX67" s="8991"/>
    </row>
    <row r="68" spans="1:168" x14ac:dyDescent="0.9">
      <c r="A68" s="8993">
        <v>57</v>
      </c>
      <c r="B68" s="8943" t="s">
        <v>74</v>
      </c>
      <c r="D68" s="9032">
        <v>13121648466</v>
      </c>
      <c r="E68" s="9033" t="s">
        <v>107</v>
      </c>
      <c r="F68" s="9033" t="s">
        <v>107</v>
      </c>
      <c r="G68" s="9036">
        <v>20798548000</v>
      </c>
      <c r="H68" s="9032">
        <v>90135291000</v>
      </c>
      <c r="I68" s="9032">
        <v>69336743000</v>
      </c>
      <c r="J68" s="9035">
        <v>63030743000</v>
      </c>
      <c r="K68" s="9035">
        <v>42232195000</v>
      </c>
      <c r="L68" s="9027" t="s">
        <v>32</v>
      </c>
      <c r="N68" s="9032">
        <v>14298362554.484867</v>
      </c>
      <c r="O68" s="9033" t="s">
        <v>107</v>
      </c>
      <c r="P68" s="9033" t="s">
        <v>107</v>
      </c>
      <c r="Q68" s="9036">
        <v>15311059000</v>
      </c>
      <c r="R68" s="9032">
        <v>75251740000</v>
      </c>
      <c r="S68" s="9032">
        <v>59940681000</v>
      </c>
      <c r="T68" s="9035">
        <v>54400840000</v>
      </c>
      <c r="U68" s="9035">
        <v>39089781000</v>
      </c>
      <c r="V68" s="9027" t="s">
        <v>32</v>
      </c>
      <c r="X68" s="9032">
        <v>12789154933.565332</v>
      </c>
      <c r="Y68" s="9033" t="s">
        <v>107</v>
      </c>
      <c r="Z68" s="9033" t="s">
        <v>107</v>
      </c>
      <c r="AA68" s="9036">
        <v>12253011000</v>
      </c>
      <c r="AB68" s="9032">
        <v>68444600000</v>
      </c>
      <c r="AC68" s="9032">
        <v>56191589000</v>
      </c>
      <c r="AD68" s="9035">
        <v>53781696000</v>
      </c>
      <c r="AE68" s="9035">
        <v>41528685000</v>
      </c>
      <c r="AF68" s="9027" t="s">
        <v>32</v>
      </c>
      <c r="AG68" s="9002"/>
      <c r="AH68" s="9032">
        <v>11240523485.33288</v>
      </c>
      <c r="AI68" s="9033" t="s">
        <v>107</v>
      </c>
      <c r="AJ68" s="9033">
        <v>0</v>
      </c>
      <c r="AK68" s="9039">
        <v>8407567000</v>
      </c>
      <c r="AL68" s="9035">
        <v>61616302000</v>
      </c>
      <c r="AM68" s="9035">
        <v>53208735000</v>
      </c>
      <c r="AN68" s="9035">
        <v>49999659000</v>
      </c>
      <c r="AO68" s="9035">
        <v>41592092000</v>
      </c>
      <c r="AP68" s="9027" t="s">
        <v>32</v>
      </c>
      <c r="AQ68" s="9002"/>
      <c r="AR68" s="9032">
        <v>9412183944.7361259</v>
      </c>
      <c r="AS68" s="9033" t="s">
        <v>107</v>
      </c>
      <c r="AT68" s="9033" t="s">
        <v>107</v>
      </c>
      <c r="AU68" s="9036">
        <v>7164825847</v>
      </c>
      <c r="AV68" s="9032">
        <v>53135825364</v>
      </c>
      <c r="AW68" s="9032">
        <v>45970999517</v>
      </c>
      <c r="AX68" s="9033" t="s">
        <v>107</v>
      </c>
      <c r="AY68" s="9033" t="s">
        <v>107</v>
      </c>
      <c r="AZ68" s="9027" t="s">
        <v>32</v>
      </c>
      <c r="BA68" s="9002"/>
      <c r="BB68" s="9027" t="s">
        <v>32</v>
      </c>
      <c r="BC68" s="9027" t="s">
        <v>32</v>
      </c>
      <c r="BD68" s="9027" t="s">
        <v>32</v>
      </c>
      <c r="BE68" s="9027" t="s">
        <v>32</v>
      </c>
      <c r="BF68" s="9027" t="s">
        <v>32</v>
      </c>
      <c r="BG68" s="9002"/>
      <c r="BH68" s="9040" t="s">
        <v>3551</v>
      </c>
      <c r="BI68" s="9040" t="s">
        <v>3551</v>
      </c>
      <c r="BJ68" s="9002"/>
      <c r="BK68" s="9027">
        <v>1</v>
      </c>
      <c r="BL68" s="9027">
        <v>1</v>
      </c>
      <c r="BM68" s="9027">
        <v>1</v>
      </c>
      <c r="BN68" s="9027">
        <v>1</v>
      </c>
      <c r="BO68" s="9027">
        <v>1</v>
      </c>
      <c r="BP68" s="9002"/>
      <c r="BQ68" s="9027">
        <v>354.39600000000002</v>
      </c>
      <c r="BR68" s="9027">
        <v>300.44900000000001</v>
      </c>
      <c r="BS68" s="9027">
        <v>275.17500000000001</v>
      </c>
      <c r="BT68" s="9027">
        <v>246.25200000000001</v>
      </c>
      <c r="BU68" s="9027">
        <v>216.09800000000001</v>
      </c>
      <c r="BV68" s="9002"/>
      <c r="BW68" s="9031"/>
      <c r="BX68" s="8991"/>
      <c r="BY68" s="8991"/>
      <c r="BZ68" s="9031"/>
      <c r="CA68" s="9031"/>
      <c r="CB68" s="8991"/>
      <c r="CC68" s="9031"/>
      <c r="CD68" s="9031"/>
      <c r="CE68" s="8991"/>
      <c r="CF68" s="9031"/>
      <c r="CG68" s="8991"/>
      <c r="CH68" s="9031"/>
      <c r="CI68" s="8991"/>
      <c r="CJ68" s="9031"/>
      <c r="CK68" s="8991"/>
      <c r="CL68" s="9031"/>
      <c r="CM68" s="8991"/>
      <c r="CN68" s="8991"/>
      <c r="CO68" s="8991"/>
      <c r="CP68" s="8991"/>
      <c r="CQ68" s="8991"/>
      <c r="CR68" s="8991"/>
      <c r="CS68" s="8991"/>
      <c r="CT68" s="8991"/>
      <c r="CU68" s="8991"/>
      <c r="CV68" s="8991"/>
      <c r="CW68" s="8991"/>
      <c r="CX68" s="8991"/>
      <c r="DD68" s="8992"/>
      <c r="DE68" s="8992"/>
      <c r="DF68" s="8992"/>
      <c r="DG68" s="8992"/>
      <c r="DH68" s="8992"/>
      <c r="DI68" s="8992"/>
      <c r="DJ68" s="8992"/>
      <c r="DK68" s="8992"/>
      <c r="DL68" s="8992"/>
      <c r="DM68" s="8992"/>
      <c r="DN68" s="8992"/>
      <c r="DO68" s="8992"/>
      <c r="DP68" s="8992"/>
      <c r="DQ68" s="8992"/>
      <c r="DR68" s="8992"/>
      <c r="DS68" s="8992"/>
      <c r="DT68" s="8992"/>
      <c r="DU68" s="8992"/>
      <c r="DV68" s="8992"/>
      <c r="DW68" s="8992"/>
      <c r="DX68" s="8992"/>
      <c r="DY68" s="8992"/>
      <c r="DZ68" s="8992"/>
      <c r="EA68" s="8992"/>
      <c r="EB68" s="8992"/>
      <c r="EC68" s="8992"/>
      <c r="ED68" s="8992"/>
      <c r="EE68" s="8992"/>
      <c r="EF68" s="8992"/>
      <c r="EG68" s="8992"/>
      <c r="EH68" s="8992"/>
      <c r="EI68" s="8992"/>
      <c r="EJ68" s="8992"/>
      <c r="EK68" s="8992"/>
      <c r="EL68" s="8992"/>
      <c r="EM68" s="8992"/>
      <c r="EN68" s="8992"/>
      <c r="EO68" s="8992"/>
      <c r="EP68" s="8992"/>
    </row>
    <row r="69" spans="1:168" s="9073" customFormat="1" ht="22" thickBot="1" x14ac:dyDescent="0.95">
      <c r="A69" s="8993">
        <v>58</v>
      </c>
      <c r="B69" s="8952" t="s">
        <v>75</v>
      </c>
      <c r="C69" s="9061"/>
      <c r="D69" s="9062">
        <v>14843652408.939379</v>
      </c>
      <c r="E69" s="9062">
        <v>14516538711.606045</v>
      </c>
      <c r="F69" s="9063">
        <v>327113697.33333397</v>
      </c>
      <c r="G69" s="9064">
        <v>9926530620</v>
      </c>
      <c r="H69" s="9062">
        <v>87538375536.018723</v>
      </c>
      <c r="I69" s="9062">
        <v>77611844916.018723</v>
      </c>
      <c r="J69" s="9065">
        <v>64058269664.248726</v>
      </c>
      <c r="K69" s="9065">
        <v>54131739044.248726</v>
      </c>
      <c r="L69" s="9066" t="s">
        <v>35</v>
      </c>
      <c r="M69" s="9061"/>
      <c r="N69" s="9062">
        <v>2325803737.4942603</v>
      </c>
      <c r="O69" s="9062">
        <v>2260231630.8275933</v>
      </c>
      <c r="P69" s="9063">
        <v>65572106.666666985</v>
      </c>
      <c r="Q69" s="9064">
        <v>351114000</v>
      </c>
      <c r="R69" s="9062">
        <v>8287077520.0480976</v>
      </c>
      <c r="S69" s="9062">
        <v>7935963520.0480976</v>
      </c>
      <c r="T69" s="9065">
        <v>6389552520.0480976</v>
      </c>
      <c r="U69" s="9065">
        <v>6038438520.0480976</v>
      </c>
      <c r="V69" s="9066" t="s">
        <v>35</v>
      </c>
      <c r="W69" s="9067"/>
      <c r="X69" s="9062">
        <v>1401192543.8943627</v>
      </c>
      <c r="Y69" s="9062">
        <v>1365320794.5610292</v>
      </c>
      <c r="Z69" s="9065">
        <v>35871749.333333492</v>
      </c>
      <c r="AA69" s="9064">
        <v>229100000</v>
      </c>
      <c r="AB69" s="9062">
        <v>5615529808</v>
      </c>
      <c r="AC69" s="9062">
        <v>5386429808</v>
      </c>
      <c r="AD69" s="9065">
        <v>4791000000</v>
      </c>
      <c r="AE69" s="9065">
        <v>4561900000</v>
      </c>
      <c r="AF69" s="9066" t="s">
        <v>39</v>
      </c>
      <c r="AG69" s="9068"/>
      <c r="AH69" s="9062">
        <v>1282510646.0913205</v>
      </c>
      <c r="AI69" s="9062">
        <v>1274720728.7579873</v>
      </c>
      <c r="AJ69" s="9065">
        <v>7789917.3333332539</v>
      </c>
      <c r="AK69" s="9069">
        <v>1044829354.6666666</v>
      </c>
      <c r="AL69" s="9065">
        <v>7046299086.666667</v>
      </c>
      <c r="AM69" s="9065">
        <v>6001469732</v>
      </c>
      <c r="AN69" s="9065">
        <v>7046299086.666667</v>
      </c>
      <c r="AO69" s="9065">
        <v>6001469732</v>
      </c>
      <c r="AP69" s="9066" t="s">
        <v>35</v>
      </c>
      <c r="AQ69" s="9068"/>
      <c r="AR69" s="9062">
        <v>1278057352.3101127</v>
      </c>
      <c r="AS69" s="9062">
        <v>1278057352.310113</v>
      </c>
      <c r="AT69" s="9070">
        <v>0</v>
      </c>
      <c r="AU69" s="9064">
        <v>120200000</v>
      </c>
      <c r="AV69" s="9062">
        <v>4902200000</v>
      </c>
      <c r="AW69" s="9062">
        <v>4782000000</v>
      </c>
      <c r="AX69" s="9065">
        <v>3934800000</v>
      </c>
      <c r="AY69" s="9065">
        <v>3814600000</v>
      </c>
      <c r="AZ69" s="9066" t="s">
        <v>35</v>
      </c>
      <c r="BA69" s="9068"/>
      <c r="BB69" s="9066" t="s">
        <v>35</v>
      </c>
      <c r="BC69" s="9066" t="s">
        <v>35</v>
      </c>
      <c r="BD69" s="9066" t="s">
        <v>39</v>
      </c>
      <c r="BE69" s="9066" t="s">
        <v>35</v>
      </c>
      <c r="BF69" s="9066" t="s">
        <v>35</v>
      </c>
      <c r="BG69" s="9068"/>
      <c r="BH69" s="9071" t="s">
        <v>116</v>
      </c>
      <c r="BI69" s="9072" t="s">
        <v>5912</v>
      </c>
      <c r="BJ69" s="9068"/>
      <c r="BK69" s="9066">
        <v>1</v>
      </c>
      <c r="BL69" s="9066">
        <v>1</v>
      </c>
      <c r="BM69" s="9066">
        <v>1</v>
      </c>
      <c r="BN69" s="9066">
        <v>1</v>
      </c>
      <c r="BO69" s="9066">
        <v>1</v>
      </c>
      <c r="BP69" s="9068"/>
      <c r="BQ69" s="9066">
        <v>1124.6690000000001</v>
      </c>
      <c r="BR69" s="9066">
        <v>159.64099999999999</v>
      </c>
      <c r="BS69" s="9066">
        <v>23.515999999999998</v>
      </c>
      <c r="BT69" s="9066">
        <v>22.041</v>
      </c>
      <c r="BU69" s="9066">
        <v>20.548999999999999</v>
      </c>
      <c r="BV69" s="9002"/>
      <c r="BW69" s="9031"/>
      <c r="BX69" s="8991"/>
      <c r="BY69" s="8991"/>
      <c r="BZ69" s="9031"/>
      <c r="CA69" s="9031"/>
      <c r="CB69" s="8991"/>
      <c r="CC69" s="9031"/>
      <c r="CD69" s="9031"/>
      <c r="CE69" s="8991"/>
      <c r="CF69" s="9031"/>
      <c r="CG69" s="8991"/>
      <c r="CH69" s="9031"/>
      <c r="CI69" s="8991"/>
      <c r="CJ69" s="9031"/>
      <c r="CK69" s="8991"/>
      <c r="CL69" s="9031"/>
      <c r="CM69" s="8991"/>
      <c r="CN69" s="8991"/>
      <c r="CO69" s="8991"/>
      <c r="CP69" s="8991"/>
      <c r="CQ69" s="8991"/>
      <c r="CR69" s="8991"/>
      <c r="CS69" s="8991"/>
      <c r="CT69" s="8991"/>
      <c r="CU69" s="8991"/>
      <c r="CV69" s="8991"/>
      <c r="CW69" s="8991"/>
      <c r="CX69" s="8991"/>
      <c r="CY69" s="8992"/>
      <c r="CZ69" s="8992"/>
      <c r="DA69" s="8992"/>
      <c r="DB69" s="8992"/>
      <c r="DC69" s="8992"/>
      <c r="DD69" s="8992"/>
      <c r="DE69" s="8992"/>
      <c r="DF69" s="8992"/>
      <c r="DG69" s="8992"/>
      <c r="DH69" s="8992"/>
      <c r="DI69" s="8992"/>
      <c r="DJ69" s="8992"/>
      <c r="DK69" s="8992"/>
      <c r="DL69" s="8992"/>
      <c r="DM69" s="8992"/>
      <c r="DN69" s="8992"/>
      <c r="DO69" s="8992"/>
      <c r="DP69" s="8992"/>
      <c r="DQ69" s="8992"/>
      <c r="DR69" s="8992"/>
      <c r="DS69" s="8992"/>
      <c r="DT69" s="8992"/>
      <c r="DU69" s="8992"/>
      <c r="DV69" s="8992"/>
      <c r="DW69" s="8992"/>
      <c r="DX69" s="8992"/>
      <c r="DY69" s="8992"/>
      <c r="DZ69" s="8992"/>
      <c r="EA69" s="8992"/>
      <c r="EB69" s="8992"/>
      <c r="EC69" s="8992"/>
      <c r="ED69" s="8992"/>
      <c r="EE69" s="8992"/>
      <c r="EF69" s="8992"/>
      <c r="EG69" s="8992"/>
      <c r="EH69" s="8992"/>
      <c r="EI69" s="8992"/>
      <c r="EJ69" s="8992"/>
      <c r="EK69" s="8992"/>
      <c r="EL69" s="8992"/>
      <c r="EM69" s="8992"/>
      <c r="EN69" s="8992"/>
      <c r="EO69" s="8992"/>
      <c r="EP69" s="8992"/>
      <c r="EQ69" s="9061"/>
      <c r="ER69" s="9061"/>
      <c r="ES69" s="9061"/>
      <c r="ET69" s="9061"/>
      <c r="EU69" s="9061"/>
      <c r="EV69" s="9061"/>
      <c r="EW69" s="9061"/>
      <c r="EX69" s="9061"/>
      <c r="EY69" s="9061"/>
      <c r="EZ69" s="9061"/>
      <c r="FA69" s="9061"/>
      <c r="FB69" s="9061"/>
      <c r="FC69" s="9061"/>
      <c r="FD69" s="9061"/>
      <c r="FE69" s="9061"/>
      <c r="FF69" s="9061"/>
      <c r="FG69" s="9061"/>
      <c r="FH69" s="9061"/>
      <c r="FI69" s="9061"/>
      <c r="FJ69" s="9061"/>
      <c r="FK69" s="9061"/>
      <c r="FL69" s="9061"/>
    </row>
    <row r="70" spans="1:168" s="8987" customFormat="1" x14ac:dyDescent="0.9">
      <c r="B70" s="8992"/>
      <c r="C70" s="8992"/>
      <c r="D70" s="8990"/>
      <c r="E70" s="8990"/>
      <c r="F70" s="8990"/>
      <c r="G70" s="8990"/>
      <c r="H70" s="8988"/>
      <c r="I70" s="8988"/>
      <c r="J70" s="8988"/>
      <c r="K70" s="8988"/>
      <c r="L70" s="9000"/>
      <c r="M70" s="8992"/>
      <c r="N70" s="8990"/>
      <c r="O70" s="8990"/>
      <c r="P70" s="8990"/>
      <c r="Q70" s="8990"/>
      <c r="R70" s="8988"/>
      <c r="S70" s="8988"/>
      <c r="T70" s="8988"/>
      <c r="U70" s="8988"/>
      <c r="V70" s="9000"/>
      <c r="W70" s="9001"/>
      <c r="X70" s="8988"/>
      <c r="Y70" s="8988"/>
      <c r="Z70" s="8990"/>
      <c r="AA70" s="8990"/>
      <c r="AB70" s="8988"/>
      <c r="AC70" s="8988"/>
      <c r="AD70" s="8988"/>
      <c r="AE70" s="8988"/>
      <c r="AF70" s="9000"/>
      <c r="AG70" s="8988"/>
      <c r="AH70" s="8988"/>
      <c r="AI70" s="8988"/>
      <c r="AJ70" s="8988"/>
      <c r="AK70" s="8988"/>
      <c r="AL70" s="8988"/>
      <c r="AM70" s="8988"/>
      <c r="AN70" s="8988"/>
      <c r="AO70" s="8988"/>
      <c r="AP70" s="9000"/>
      <c r="AQ70" s="8988"/>
      <c r="AR70" s="8988"/>
      <c r="AS70" s="8988"/>
      <c r="AT70" s="8990"/>
      <c r="AU70" s="8990"/>
      <c r="AV70" s="8988"/>
      <c r="AW70" s="8988"/>
      <c r="AX70" s="8988"/>
      <c r="AY70" s="8988"/>
      <c r="AZ70" s="9000"/>
      <c r="BA70" s="8988"/>
      <c r="BB70" s="8988"/>
      <c r="BC70" s="8988"/>
      <c r="BD70" s="8988"/>
      <c r="BE70" s="8988"/>
      <c r="BF70" s="8988"/>
      <c r="BG70" s="8988"/>
      <c r="BH70" s="8990"/>
      <c r="BI70" s="8990"/>
      <c r="BJ70" s="8988"/>
      <c r="BK70" s="8988"/>
      <c r="BL70" s="8988"/>
      <c r="BM70" s="8988"/>
      <c r="BN70" s="8988"/>
      <c r="BO70" s="8988"/>
      <c r="BP70" s="8988"/>
      <c r="BQ70" s="8988"/>
      <c r="BR70" s="8988"/>
      <c r="BS70" s="8988"/>
      <c r="BT70" s="8988"/>
      <c r="BU70" s="8988"/>
      <c r="BV70" s="9002"/>
      <c r="BW70" s="8992"/>
      <c r="BX70" s="8992"/>
      <c r="BY70" s="8992"/>
      <c r="BZ70" s="8992"/>
      <c r="CA70" s="8992"/>
      <c r="CB70" s="8992"/>
      <c r="CC70" s="8992"/>
      <c r="CD70" s="8992"/>
      <c r="CE70" s="8991"/>
      <c r="CF70" s="8992"/>
      <c r="CG70" s="8991"/>
      <c r="CH70" s="8992"/>
      <c r="CI70" s="8992"/>
      <c r="CJ70" s="8992"/>
      <c r="CK70" s="8992"/>
      <c r="CL70" s="8992"/>
      <c r="CM70" s="8992"/>
      <c r="CN70" s="8992"/>
      <c r="CO70" s="8992"/>
      <c r="CP70" s="8992"/>
      <c r="CQ70" s="8992"/>
      <c r="CR70" s="8992"/>
      <c r="CS70" s="8992"/>
      <c r="CT70" s="8992"/>
      <c r="CU70" s="8992"/>
      <c r="CV70" s="8992"/>
      <c r="CW70" s="8992"/>
      <c r="CX70" s="8992"/>
      <c r="CY70" s="8992"/>
      <c r="CZ70" s="8992"/>
      <c r="DA70" s="8992"/>
      <c r="DB70" s="8992"/>
      <c r="DC70" s="8992"/>
      <c r="DD70" s="8992"/>
      <c r="DE70" s="8992"/>
      <c r="DF70" s="8992"/>
      <c r="DG70" s="8992"/>
      <c r="DH70" s="8992"/>
      <c r="DI70" s="8992"/>
      <c r="DJ70" s="8992"/>
      <c r="DK70" s="8992"/>
      <c r="DL70" s="8992"/>
      <c r="DM70" s="8992"/>
      <c r="DN70" s="8992"/>
      <c r="DO70" s="8992"/>
      <c r="DP70" s="8992"/>
      <c r="DQ70" s="8992"/>
      <c r="DR70" s="8992"/>
      <c r="DS70" s="8992"/>
      <c r="DT70" s="8992"/>
      <c r="DU70" s="8992"/>
      <c r="DV70" s="8992"/>
      <c r="DW70" s="8992"/>
      <c r="DX70" s="8992"/>
      <c r="DY70" s="8992"/>
      <c r="DZ70" s="8992"/>
      <c r="EA70" s="8992"/>
      <c r="EB70" s="8992"/>
      <c r="EC70" s="8992"/>
      <c r="ED70" s="8992"/>
      <c r="EE70" s="8992"/>
      <c r="EF70" s="8992"/>
      <c r="EG70" s="8992"/>
      <c r="EH70" s="8992"/>
      <c r="EI70" s="8992"/>
      <c r="EJ70" s="8992"/>
      <c r="EK70" s="8992"/>
      <c r="EL70" s="8992"/>
      <c r="EM70" s="8992"/>
      <c r="EN70" s="8992"/>
      <c r="EO70" s="8992"/>
      <c r="EP70" s="8992"/>
    </row>
    <row r="71" spans="1:168" s="8987" customFormat="1" x14ac:dyDescent="0.9">
      <c r="B71" s="8992"/>
      <c r="C71" s="8992"/>
      <c r="D71" s="8990"/>
      <c r="E71" s="8990"/>
      <c r="F71" s="8990"/>
      <c r="G71" s="8990"/>
      <c r="H71" s="8990"/>
      <c r="I71" s="8988"/>
      <c r="J71" s="8988"/>
      <c r="K71" s="8988"/>
      <c r="L71" s="9000"/>
      <c r="M71" s="8992"/>
      <c r="N71" s="8990"/>
      <c r="O71" s="8990"/>
      <c r="P71" s="8990"/>
      <c r="Q71" s="8990"/>
      <c r="R71" s="8990"/>
      <c r="S71" s="8988"/>
      <c r="T71" s="8988"/>
      <c r="U71" s="8988"/>
      <c r="V71" s="9000"/>
      <c r="W71" s="9001"/>
      <c r="X71" s="8988"/>
      <c r="Y71" s="8988"/>
      <c r="Z71" s="8990"/>
      <c r="AA71" s="8990"/>
      <c r="AB71" s="8988"/>
      <c r="AC71" s="8988"/>
      <c r="AD71" s="8988"/>
      <c r="AE71" s="8988"/>
      <c r="AF71" s="9000"/>
      <c r="AG71" s="8988"/>
      <c r="AH71" s="8988"/>
      <c r="AI71" s="8988"/>
      <c r="AK71" s="8988"/>
      <c r="AL71" s="8988"/>
      <c r="AM71" s="8988"/>
      <c r="AN71" s="8988"/>
      <c r="AO71" s="8988"/>
      <c r="AP71" s="9000"/>
      <c r="AQ71" s="8988"/>
      <c r="AR71" s="8988"/>
      <c r="AS71" s="8988"/>
      <c r="AT71" s="8990"/>
      <c r="AU71" s="8990"/>
      <c r="AV71" s="8988"/>
      <c r="AW71" s="8988"/>
      <c r="AX71" s="8988"/>
      <c r="AY71" s="8988"/>
      <c r="AZ71" s="9000"/>
      <c r="BA71" s="8988"/>
      <c r="BB71" s="8988"/>
      <c r="BC71" s="8988"/>
      <c r="BD71" s="8988"/>
      <c r="BE71" s="8988"/>
      <c r="BF71" s="8988"/>
      <c r="BG71" s="8988"/>
      <c r="BH71" s="8990"/>
      <c r="BI71" s="8990"/>
      <c r="BJ71" s="8988"/>
      <c r="BK71" s="8988"/>
      <c r="BL71" s="8988"/>
      <c r="BM71" s="8988"/>
      <c r="BN71" s="8988"/>
      <c r="BO71" s="8988"/>
      <c r="BP71" s="8988"/>
      <c r="BQ71" s="8988"/>
      <c r="BR71" s="8988"/>
      <c r="BS71" s="8988"/>
      <c r="BT71" s="8988"/>
      <c r="BU71" s="8988"/>
      <c r="BV71" s="9002"/>
      <c r="BW71" s="8992"/>
      <c r="BX71" s="8992"/>
      <c r="BY71" s="8992"/>
      <c r="BZ71" s="8992"/>
      <c r="CA71" s="8992"/>
      <c r="CB71" s="8992"/>
      <c r="CC71" s="8992"/>
      <c r="CD71" s="8992"/>
      <c r="CE71" s="8991"/>
      <c r="CF71" s="8992"/>
      <c r="CG71" s="8991"/>
      <c r="CH71" s="8992"/>
      <c r="CI71" s="8992"/>
      <c r="CJ71" s="8992"/>
      <c r="CK71" s="8992"/>
      <c r="CL71" s="8992"/>
      <c r="CM71" s="8992"/>
      <c r="CN71" s="8992"/>
      <c r="CO71" s="8992"/>
      <c r="CP71" s="8992"/>
      <c r="CQ71" s="8992"/>
      <c r="CR71" s="8992"/>
      <c r="CS71" s="8992"/>
      <c r="CT71" s="8992"/>
      <c r="CU71" s="8992"/>
      <c r="CV71" s="8992"/>
      <c r="CW71" s="8992"/>
      <c r="CX71" s="8992"/>
      <c r="CY71" s="8992"/>
      <c r="CZ71" s="8992"/>
      <c r="DA71" s="8992"/>
      <c r="DB71" s="8992"/>
      <c r="DC71" s="8992"/>
      <c r="DD71" s="8992"/>
      <c r="DE71" s="8992"/>
      <c r="DF71" s="8992"/>
      <c r="DG71" s="8992"/>
      <c r="DH71" s="8992"/>
      <c r="DI71" s="8992"/>
      <c r="DJ71" s="8992"/>
      <c r="DK71" s="8992"/>
      <c r="DL71" s="8992"/>
      <c r="DM71" s="8992"/>
      <c r="DN71" s="8992"/>
      <c r="DO71" s="8992"/>
      <c r="DP71" s="8992"/>
      <c r="DQ71" s="8992"/>
      <c r="DR71" s="8992"/>
      <c r="DS71" s="8992"/>
      <c r="DT71" s="8992"/>
      <c r="DU71" s="8992"/>
      <c r="DV71" s="8992"/>
      <c r="DW71" s="8992"/>
      <c r="DX71" s="8992"/>
      <c r="DY71" s="8992"/>
      <c r="DZ71" s="8992"/>
      <c r="EA71" s="8992"/>
      <c r="EB71" s="8992"/>
      <c r="EC71" s="8992"/>
      <c r="ED71" s="8992"/>
      <c r="EE71" s="8992"/>
      <c r="EF71" s="8992"/>
      <c r="EG71" s="8992"/>
      <c r="EH71" s="8992"/>
      <c r="EI71" s="8992"/>
      <c r="EJ71" s="8992"/>
      <c r="EK71" s="8992"/>
      <c r="EL71" s="8992"/>
      <c r="EM71" s="8992"/>
      <c r="EN71" s="8992"/>
      <c r="EO71" s="8992"/>
      <c r="EP71" s="8992"/>
    </row>
    <row r="72" spans="1:168" s="8987" customFormat="1" x14ac:dyDescent="0.9">
      <c r="B72" s="8992"/>
      <c r="C72" s="8992"/>
      <c r="D72" s="8990"/>
      <c r="E72" s="8990"/>
      <c r="F72" s="8990"/>
      <c r="G72" s="8990"/>
      <c r="H72" s="8990"/>
      <c r="I72" s="8990"/>
      <c r="J72" s="8990"/>
      <c r="K72" s="8990"/>
      <c r="L72" s="9001"/>
      <c r="M72" s="8992"/>
      <c r="N72" s="8990"/>
      <c r="O72" s="8990"/>
      <c r="P72" s="8990"/>
      <c r="Q72" s="8990"/>
      <c r="R72" s="8990"/>
      <c r="S72" s="8990"/>
      <c r="T72" s="8990"/>
      <c r="U72" s="8990"/>
      <c r="V72" s="9001"/>
      <c r="W72" s="9001"/>
      <c r="X72" s="8990"/>
      <c r="Y72" s="8990"/>
      <c r="Z72" s="8990"/>
      <c r="AA72" s="8990"/>
      <c r="AB72" s="8990"/>
      <c r="AC72" s="8990"/>
      <c r="AD72" s="8990"/>
      <c r="AE72" s="8990"/>
      <c r="AF72" s="9001"/>
      <c r="AG72" s="8990"/>
      <c r="AH72" s="8990"/>
      <c r="AI72" s="8990"/>
      <c r="AJ72" s="8990"/>
      <c r="AK72" s="8990"/>
      <c r="AL72" s="8990"/>
      <c r="AM72" s="8990"/>
      <c r="AN72" s="8990"/>
      <c r="AO72" s="8990"/>
      <c r="AP72" s="9001"/>
      <c r="AQ72" s="8990"/>
      <c r="AR72" s="8990"/>
      <c r="AS72" s="8990"/>
      <c r="AT72" s="8990"/>
      <c r="AU72" s="8990"/>
      <c r="AV72" s="8990"/>
      <c r="AW72" s="8990"/>
      <c r="AX72" s="8990"/>
      <c r="AY72" s="8990"/>
      <c r="AZ72" s="9001"/>
      <c r="BA72" s="8990"/>
      <c r="BB72" s="8990"/>
      <c r="BC72" s="8990"/>
      <c r="BD72" s="8990"/>
      <c r="BE72" s="8990"/>
      <c r="BF72" s="8988"/>
      <c r="BG72" s="8988"/>
      <c r="BH72" s="8990"/>
      <c r="BI72" s="8990"/>
      <c r="BJ72" s="8988"/>
      <c r="BK72" s="8988"/>
      <c r="BL72" s="8988"/>
      <c r="BM72" s="8988"/>
      <c r="BN72" s="8988"/>
      <c r="BO72" s="8988"/>
      <c r="BP72" s="8988"/>
      <c r="BQ72" s="8988"/>
      <c r="BR72" s="8988"/>
      <c r="BS72" s="8988"/>
      <c r="BT72" s="8988"/>
      <c r="BU72" s="8988"/>
      <c r="BV72" s="9002"/>
      <c r="BW72" s="8992"/>
      <c r="BX72" s="8992"/>
      <c r="BY72" s="8992"/>
      <c r="BZ72" s="8992"/>
      <c r="CA72" s="8992"/>
      <c r="CB72" s="8992"/>
      <c r="CC72" s="8992"/>
      <c r="CD72" s="8992"/>
      <c r="CE72" s="8991"/>
      <c r="CF72" s="8992"/>
      <c r="CG72" s="8991"/>
      <c r="CH72" s="8992"/>
      <c r="CI72" s="8992"/>
      <c r="CJ72" s="8992"/>
      <c r="CK72" s="8992"/>
      <c r="CL72" s="8992"/>
      <c r="CM72" s="8992"/>
      <c r="CN72" s="8992"/>
      <c r="CO72" s="8992"/>
      <c r="CP72" s="8992"/>
      <c r="CQ72" s="8992"/>
      <c r="CR72" s="8992"/>
      <c r="CS72" s="8992"/>
      <c r="CT72" s="8992"/>
      <c r="CU72" s="8992"/>
      <c r="CV72" s="8992"/>
      <c r="CW72" s="8992"/>
      <c r="CX72" s="8992"/>
      <c r="CY72" s="8992"/>
      <c r="CZ72" s="8992"/>
      <c r="DA72" s="8992"/>
      <c r="DB72" s="8992"/>
      <c r="DC72" s="8992"/>
      <c r="DD72" s="8992"/>
      <c r="DE72" s="8992"/>
      <c r="DF72" s="8992"/>
      <c r="DG72" s="8992"/>
      <c r="DH72" s="8992"/>
      <c r="DI72" s="8992"/>
      <c r="DJ72" s="8992"/>
      <c r="DK72" s="8992"/>
      <c r="DL72" s="8992"/>
      <c r="DM72" s="8992"/>
      <c r="DN72" s="8992"/>
      <c r="DO72" s="8992"/>
      <c r="DP72" s="8992"/>
      <c r="DQ72" s="8992"/>
      <c r="DR72" s="8992"/>
      <c r="DS72" s="8992"/>
      <c r="DT72" s="8992"/>
      <c r="DU72" s="8992"/>
      <c r="DV72" s="8992"/>
      <c r="DW72" s="8992"/>
      <c r="DX72" s="8992"/>
      <c r="DY72" s="8992"/>
      <c r="DZ72" s="8992"/>
      <c r="EA72" s="8992"/>
      <c r="EB72" s="8992"/>
      <c r="EC72" s="8992"/>
      <c r="ED72" s="8992"/>
      <c r="EE72" s="8992"/>
      <c r="EF72" s="8992"/>
      <c r="EG72" s="8992"/>
      <c r="EH72" s="8992"/>
      <c r="EI72" s="8992"/>
      <c r="EJ72" s="8992"/>
      <c r="EK72" s="8992"/>
      <c r="EL72" s="8992"/>
      <c r="EM72" s="8992"/>
      <c r="EN72" s="8992"/>
      <c r="EO72" s="8992"/>
      <c r="EP72" s="8992"/>
    </row>
    <row r="73" spans="1:168" s="8987" customFormat="1" x14ac:dyDescent="0.9">
      <c r="B73" s="8992"/>
      <c r="C73" s="8992"/>
      <c r="D73" s="8990"/>
      <c r="E73" s="8990"/>
      <c r="F73" s="8990"/>
      <c r="G73" s="8990"/>
      <c r="H73" s="9074"/>
      <c r="I73" s="8990"/>
      <c r="J73" s="8990"/>
      <c r="K73" s="9074"/>
      <c r="L73" s="9001"/>
      <c r="M73" s="8992"/>
      <c r="N73" s="8990"/>
      <c r="O73" s="8990"/>
      <c r="P73" s="8990"/>
      <c r="Q73" s="8990"/>
      <c r="R73" s="9074"/>
      <c r="S73" s="8990"/>
      <c r="T73" s="8990"/>
      <c r="U73" s="9074"/>
      <c r="V73" s="9001"/>
      <c r="W73" s="9001"/>
      <c r="X73" s="8990"/>
      <c r="Y73" s="8990"/>
      <c r="Z73" s="8990"/>
      <c r="AA73" s="8990"/>
      <c r="AB73" s="9074"/>
      <c r="AC73" s="9074"/>
      <c r="AD73" s="8990"/>
      <c r="AE73" s="8990"/>
      <c r="AF73" s="9001"/>
      <c r="AG73" s="8990"/>
      <c r="AH73" s="8990"/>
      <c r="AI73" s="8990"/>
      <c r="AJ73" s="8990"/>
      <c r="AK73" s="8990"/>
      <c r="AL73" s="8990"/>
      <c r="AM73" s="8990"/>
      <c r="AN73" s="8990"/>
      <c r="AO73" s="8990"/>
      <c r="AP73" s="9001"/>
      <c r="AQ73" s="8990"/>
      <c r="AR73" s="8990"/>
      <c r="AS73" s="8990"/>
      <c r="AT73" s="8990"/>
      <c r="AU73" s="8990"/>
      <c r="AV73" s="8990"/>
      <c r="AW73" s="8990"/>
      <c r="AX73" s="9074"/>
      <c r="AY73" s="9074"/>
      <c r="AZ73" s="9001"/>
      <c r="BA73" s="8990"/>
      <c r="BB73" s="8990"/>
      <c r="BC73" s="8990"/>
      <c r="BD73" s="8990"/>
      <c r="BE73" s="8990"/>
      <c r="BF73" s="8988"/>
      <c r="BG73" s="8988"/>
      <c r="BH73" s="8990"/>
      <c r="BI73" s="8990"/>
      <c r="BJ73" s="8988"/>
      <c r="BK73" s="8988"/>
      <c r="BL73" s="8988"/>
      <c r="BM73" s="8988"/>
      <c r="BN73" s="8988"/>
      <c r="BO73" s="8988"/>
      <c r="BP73" s="8988"/>
      <c r="BQ73" s="8988"/>
      <c r="BR73" s="8988"/>
      <c r="BS73" s="8988"/>
      <c r="BT73" s="8988"/>
      <c r="BU73" s="8988"/>
      <c r="BW73" s="8992"/>
      <c r="BX73" s="8992"/>
      <c r="BY73" s="8992"/>
      <c r="BZ73" s="8992"/>
      <c r="CA73" s="8992"/>
      <c r="CB73" s="8992"/>
      <c r="CC73" s="8992"/>
      <c r="CD73" s="8992"/>
      <c r="CE73" s="8991"/>
      <c r="CF73" s="8992"/>
      <c r="CG73" s="8991"/>
      <c r="CH73" s="8992"/>
      <c r="CI73" s="8992"/>
      <c r="CJ73" s="8992"/>
      <c r="CK73" s="8992"/>
      <c r="CL73" s="8992"/>
      <c r="CM73" s="8992"/>
      <c r="CN73" s="8992"/>
      <c r="CO73" s="8992"/>
      <c r="CP73" s="8992"/>
      <c r="CQ73" s="8992"/>
      <c r="CR73" s="8992"/>
      <c r="CS73" s="8992"/>
      <c r="CT73" s="8992"/>
      <c r="CU73" s="8992"/>
      <c r="CV73" s="8992"/>
      <c r="CW73" s="8992"/>
      <c r="CX73" s="8992"/>
      <c r="CY73" s="8992"/>
      <c r="CZ73" s="8992"/>
      <c r="DA73" s="8992"/>
      <c r="DB73" s="8992"/>
      <c r="DC73" s="8992"/>
      <c r="DD73" s="8992"/>
      <c r="DE73" s="8992"/>
      <c r="DF73" s="8992"/>
      <c r="DG73" s="8992"/>
      <c r="DH73" s="8992"/>
      <c r="DI73" s="8992"/>
      <c r="DJ73" s="8992"/>
      <c r="DK73" s="8992"/>
      <c r="DL73" s="8992"/>
      <c r="DM73" s="8992"/>
      <c r="DN73" s="8992"/>
      <c r="DO73" s="8992"/>
      <c r="DP73" s="8992"/>
      <c r="DQ73" s="8992"/>
      <c r="DR73" s="8992"/>
      <c r="DS73" s="8992"/>
      <c r="DT73" s="8992"/>
      <c r="DU73" s="8992"/>
      <c r="DV73" s="8992"/>
      <c r="DW73" s="8992"/>
      <c r="DX73" s="8992"/>
      <c r="DY73" s="8992"/>
      <c r="DZ73" s="8992"/>
      <c r="EA73" s="8992"/>
      <c r="EB73" s="8992"/>
      <c r="EC73" s="8992"/>
      <c r="ED73" s="8992"/>
      <c r="EE73" s="8992"/>
      <c r="EF73" s="8992"/>
      <c r="EG73" s="8992"/>
      <c r="EH73" s="8992"/>
      <c r="EI73" s="8992"/>
      <c r="EJ73" s="8992"/>
      <c r="EK73" s="8992"/>
      <c r="EL73" s="8992"/>
      <c r="EM73" s="8992"/>
      <c r="EN73" s="8992"/>
      <c r="EO73" s="8992"/>
      <c r="EP73" s="8992"/>
    </row>
    <row r="74" spans="1:168" s="8987" customFormat="1" x14ac:dyDescent="0.9">
      <c r="B74" s="8992"/>
      <c r="C74" s="8992"/>
      <c r="D74" s="8990"/>
      <c r="E74" s="9074"/>
      <c r="F74" s="8990"/>
      <c r="G74" s="8990"/>
      <c r="H74" s="8990"/>
      <c r="I74" s="8990"/>
      <c r="J74" s="8990"/>
      <c r="K74" s="8990"/>
      <c r="L74" s="9001"/>
      <c r="M74" s="8992"/>
      <c r="N74" s="8990"/>
      <c r="O74" s="9074"/>
      <c r="P74" s="8990"/>
      <c r="Q74" s="8990"/>
      <c r="R74" s="8990"/>
      <c r="S74" s="8990"/>
      <c r="T74" s="8990"/>
      <c r="U74" s="8990"/>
      <c r="V74" s="9001"/>
      <c r="W74" s="9001"/>
      <c r="X74" s="8990"/>
      <c r="Y74" s="8990"/>
      <c r="Z74" s="8990"/>
      <c r="AA74" s="8990"/>
      <c r="AB74" s="8990"/>
      <c r="AC74" s="8990"/>
      <c r="AD74" s="8990"/>
      <c r="AE74" s="8990"/>
      <c r="AF74" s="9001"/>
      <c r="AG74" s="8990"/>
      <c r="AH74" s="8990"/>
      <c r="AI74" s="8990"/>
      <c r="AJ74" s="8990"/>
      <c r="AK74" s="8990"/>
      <c r="AL74" s="8990"/>
      <c r="AM74" s="8990"/>
      <c r="AN74" s="8990"/>
      <c r="AO74" s="8990"/>
      <c r="AP74" s="9001"/>
      <c r="AQ74" s="8990"/>
      <c r="AR74" s="8990"/>
      <c r="AS74" s="9074"/>
      <c r="AT74" s="8990"/>
      <c r="AU74" s="8990"/>
      <c r="AV74" s="8990"/>
      <c r="AW74" s="8990"/>
      <c r="AX74" s="8990"/>
      <c r="AY74" s="8990"/>
      <c r="AZ74" s="9001"/>
      <c r="BA74" s="8990"/>
      <c r="BB74" s="8990"/>
      <c r="BC74" s="8990"/>
      <c r="BD74" s="8990"/>
      <c r="BE74" s="8990"/>
      <c r="BF74" s="8988"/>
      <c r="BG74" s="8988"/>
      <c r="BH74" s="8990"/>
      <c r="BI74" s="8990"/>
      <c r="BJ74" s="8988"/>
      <c r="BK74" s="8988"/>
      <c r="BL74" s="8988"/>
      <c r="BM74" s="8988"/>
      <c r="BN74" s="8988"/>
      <c r="BO74" s="8988"/>
      <c r="BP74" s="8988"/>
      <c r="BQ74" s="8988"/>
      <c r="BR74" s="8988"/>
      <c r="BS74" s="8988"/>
      <c r="BT74" s="8988"/>
      <c r="BU74" s="8988"/>
      <c r="BW74" s="8992"/>
      <c r="BX74" s="8992"/>
      <c r="BY74" s="8992"/>
      <c r="BZ74" s="8992"/>
      <c r="CA74" s="8992"/>
      <c r="CB74" s="8992"/>
      <c r="CC74" s="8992"/>
      <c r="CD74" s="8992"/>
      <c r="CE74" s="8991"/>
      <c r="CF74" s="8992"/>
      <c r="CG74" s="8991"/>
      <c r="CH74" s="8992"/>
      <c r="CI74" s="8992"/>
      <c r="CJ74" s="8992"/>
      <c r="CK74" s="8992"/>
      <c r="CL74" s="8992"/>
      <c r="CM74" s="8992"/>
      <c r="CN74" s="8992"/>
      <c r="CO74" s="8992"/>
      <c r="CP74" s="8992"/>
      <c r="CQ74" s="8992"/>
      <c r="CR74" s="8992"/>
      <c r="CS74" s="8992"/>
      <c r="CT74" s="8992"/>
      <c r="CU74" s="8992"/>
      <c r="CV74" s="8992"/>
      <c r="CW74" s="8992"/>
      <c r="CX74" s="8992"/>
      <c r="CY74" s="8992"/>
      <c r="CZ74" s="8992"/>
      <c r="DA74" s="8992"/>
      <c r="DB74" s="8992"/>
      <c r="DC74" s="8992"/>
      <c r="DD74" s="8992"/>
      <c r="DE74" s="8992"/>
      <c r="DF74" s="8992"/>
      <c r="DG74" s="8992"/>
      <c r="DH74" s="8992"/>
      <c r="DI74" s="8992"/>
      <c r="DJ74" s="8992"/>
      <c r="DK74" s="8992"/>
      <c r="DL74" s="8992"/>
      <c r="DM74" s="8992"/>
      <c r="DN74" s="8992"/>
      <c r="DO74" s="8992"/>
      <c r="DP74" s="8992"/>
      <c r="DQ74" s="8992"/>
      <c r="DR74" s="8992"/>
      <c r="DS74" s="8992"/>
      <c r="DT74" s="8992"/>
      <c r="DU74" s="8992"/>
      <c r="DV74" s="8992"/>
      <c r="DW74" s="8992"/>
      <c r="DX74" s="8992"/>
      <c r="DY74" s="8992"/>
      <c r="DZ74" s="8992"/>
      <c r="EA74" s="8992"/>
      <c r="EB74" s="8992"/>
      <c r="EC74" s="8992"/>
      <c r="ED74" s="8992"/>
      <c r="EE74" s="8992"/>
      <c r="EF74" s="8992"/>
      <c r="EG74" s="8992"/>
      <c r="EH74" s="8992"/>
      <c r="EI74" s="8992"/>
      <c r="EJ74" s="8992"/>
      <c r="EK74" s="8992"/>
      <c r="EL74" s="8992"/>
      <c r="EM74" s="8992"/>
      <c r="EN74" s="8992"/>
      <c r="EO74" s="8992"/>
      <c r="EP74" s="8992"/>
    </row>
    <row r="75" spans="1:168" s="8987" customFormat="1" x14ac:dyDescent="0.9">
      <c r="B75" s="8992"/>
      <c r="C75" s="8992"/>
      <c r="D75" s="8990"/>
      <c r="E75" s="8990"/>
      <c r="F75" s="8990"/>
      <c r="G75" s="8990"/>
      <c r="H75" s="8990"/>
      <c r="I75" s="8990"/>
      <c r="J75" s="8990"/>
      <c r="K75" s="8990"/>
      <c r="L75" s="9001"/>
      <c r="M75" s="8992"/>
      <c r="N75" s="8990"/>
      <c r="O75" s="8990"/>
      <c r="P75" s="8990"/>
      <c r="Q75" s="8990"/>
      <c r="R75" s="8990"/>
      <c r="S75" s="8990"/>
      <c r="T75" s="8990"/>
      <c r="U75" s="8990"/>
      <c r="V75" s="9001"/>
      <c r="W75" s="9001"/>
      <c r="X75" s="8990"/>
      <c r="Y75" s="8990"/>
      <c r="Z75" s="8990"/>
      <c r="AA75" s="8990"/>
      <c r="AB75" s="8990"/>
      <c r="AC75" s="8990"/>
      <c r="AD75" s="8990"/>
      <c r="AE75" s="8990"/>
      <c r="AF75" s="9001"/>
      <c r="AG75" s="8990"/>
      <c r="AH75" s="8990"/>
      <c r="AI75" s="8990"/>
      <c r="AJ75" s="8990"/>
      <c r="AK75" s="8990"/>
      <c r="AL75" s="8990"/>
      <c r="AM75" s="8990"/>
      <c r="AN75" s="8990"/>
      <c r="AO75" s="8990"/>
      <c r="AP75" s="9001"/>
      <c r="AQ75" s="8990"/>
      <c r="AR75" s="8990"/>
      <c r="AS75" s="8990"/>
      <c r="AT75" s="8990"/>
      <c r="AU75" s="8990"/>
      <c r="AV75" s="8990"/>
      <c r="AW75" s="8990"/>
      <c r="AX75" s="8990"/>
      <c r="AY75" s="8990"/>
      <c r="AZ75" s="9001"/>
      <c r="BA75" s="8990"/>
      <c r="BB75" s="8990"/>
      <c r="BC75" s="8990"/>
      <c r="BD75" s="8990"/>
      <c r="BE75" s="8990"/>
      <c r="BF75" s="8988"/>
      <c r="BG75" s="8988"/>
      <c r="BH75" s="8990"/>
      <c r="BI75" s="8990"/>
      <c r="BJ75" s="8988"/>
      <c r="BK75" s="8988"/>
      <c r="BL75" s="8988"/>
      <c r="BM75" s="8988"/>
      <c r="BN75" s="8988"/>
      <c r="BO75" s="8988"/>
      <c r="BP75" s="8988"/>
      <c r="BQ75" s="8988"/>
      <c r="BR75" s="8988"/>
      <c r="BS75" s="8988"/>
      <c r="BT75" s="8988"/>
      <c r="BU75" s="8988"/>
      <c r="BW75" s="8992"/>
      <c r="BX75" s="8992"/>
      <c r="BY75" s="8992"/>
      <c r="BZ75" s="8992"/>
      <c r="CA75" s="8992"/>
      <c r="CB75" s="8992"/>
      <c r="CC75" s="8992"/>
      <c r="CD75" s="8992"/>
      <c r="CE75" s="8991"/>
      <c r="CF75" s="8992"/>
      <c r="CG75" s="8991"/>
      <c r="CH75" s="8992"/>
      <c r="CI75" s="8992"/>
      <c r="CJ75" s="8992"/>
      <c r="CK75" s="8992"/>
      <c r="CL75" s="8992"/>
      <c r="CM75" s="8992"/>
      <c r="CN75" s="8992"/>
      <c r="CO75" s="8992"/>
      <c r="CP75" s="8992"/>
      <c r="CQ75" s="8992"/>
      <c r="CR75" s="8992"/>
      <c r="CS75" s="8992"/>
      <c r="CT75" s="8992"/>
      <c r="CU75" s="8992"/>
      <c r="CV75" s="8992"/>
      <c r="CW75" s="8992"/>
      <c r="CX75" s="8992"/>
      <c r="CY75" s="8992"/>
      <c r="CZ75" s="8992"/>
      <c r="DA75" s="8992"/>
      <c r="DB75" s="8992"/>
      <c r="DC75" s="8992"/>
      <c r="DD75" s="8992"/>
      <c r="DE75" s="8992"/>
      <c r="DF75" s="8992"/>
      <c r="DG75" s="8992"/>
      <c r="DH75" s="8992"/>
      <c r="DI75" s="8992"/>
      <c r="DJ75" s="8992"/>
      <c r="DK75" s="8992"/>
      <c r="DL75" s="8992"/>
      <c r="DM75" s="8992"/>
      <c r="DN75" s="8992"/>
      <c r="DO75" s="8992"/>
      <c r="DP75" s="8992"/>
      <c r="DQ75" s="8992"/>
      <c r="DR75" s="8992"/>
      <c r="DS75" s="8992"/>
      <c r="DT75" s="8992"/>
      <c r="DU75" s="8992"/>
      <c r="DV75" s="8992"/>
      <c r="DW75" s="8992"/>
      <c r="DX75" s="8992"/>
      <c r="DY75" s="8992"/>
      <c r="DZ75" s="8992"/>
      <c r="EA75" s="8992"/>
      <c r="EB75" s="8992"/>
      <c r="EC75" s="8992"/>
      <c r="ED75" s="8992"/>
      <c r="EE75" s="8992"/>
      <c r="EF75" s="8992"/>
      <c r="EG75" s="8992"/>
      <c r="EH75" s="8992"/>
      <c r="EI75" s="8992"/>
      <c r="EJ75" s="8992"/>
      <c r="EK75" s="8992"/>
      <c r="EL75" s="8992"/>
      <c r="EM75" s="8992"/>
      <c r="EN75" s="8992"/>
      <c r="EO75" s="8992"/>
      <c r="EP75" s="8992"/>
    </row>
    <row r="76" spans="1:168" s="8987" customFormat="1" x14ac:dyDescent="0.9">
      <c r="B76" s="8992"/>
      <c r="C76" s="8992"/>
      <c r="D76" s="9075"/>
      <c r="E76" s="8990"/>
      <c r="F76" s="8990"/>
      <c r="G76" s="8990"/>
      <c r="H76" s="8990"/>
      <c r="I76" s="8990"/>
      <c r="J76" s="8990"/>
      <c r="K76" s="8990"/>
      <c r="L76" s="9001"/>
      <c r="M76" s="8992"/>
      <c r="N76" s="9076"/>
      <c r="O76" s="8990"/>
      <c r="P76" s="8990"/>
      <c r="Q76" s="8990"/>
      <c r="R76" s="8990"/>
      <c r="S76" s="8990"/>
      <c r="T76" s="8990"/>
      <c r="U76" s="8990"/>
      <c r="V76" s="9001"/>
      <c r="W76" s="9001"/>
      <c r="X76" s="8990"/>
      <c r="Y76" s="8990"/>
      <c r="Z76" s="8990"/>
      <c r="AA76" s="8990"/>
      <c r="AB76" s="8990"/>
      <c r="AC76" s="8990"/>
      <c r="AD76" s="8990"/>
      <c r="AE76" s="8990"/>
      <c r="AF76" s="9001"/>
      <c r="AG76" s="8990"/>
      <c r="AH76" s="8990"/>
      <c r="AI76" s="8990"/>
      <c r="AJ76" s="8990"/>
      <c r="AK76" s="8990"/>
      <c r="AL76" s="8990"/>
      <c r="AM76" s="8990"/>
      <c r="AN76" s="8990"/>
      <c r="AO76" s="8990"/>
      <c r="AP76" s="9001"/>
      <c r="AQ76" s="8990"/>
      <c r="AR76" s="8990"/>
      <c r="AS76" s="8990"/>
      <c r="AT76" s="8990"/>
      <c r="AU76" s="8990"/>
      <c r="AV76" s="8990"/>
      <c r="AW76" s="8990"/>
      <c r="AX76" s="9074"/>
      <c r="AY76" s="8990"/>
      <c r="AZ76" s="9001"/>
      <c r="BA76" s="8990"/>
      <c r="BB76" s="8990"/>
      <c r="BC76" s="8990"/>
      <c r="BD76" s="8990"/>
      <c r="BE76" s="8990"/>
      <c r="BF76" s="8988"/>
      <c r="BG76" s="8988"/>
      <c r="BH76" s="8990"/>
      <c r="BI76" s="8990"/>
      <c r="BJ76" s="8988"/>
      <c r="BK76" s="8988"/>
      <c r="BL76" s="8988"/>
      <c r="BM76" s="8988"/>
      <c r="BN76" s="8988"/>
      <c r="BO76" s="8988"/>
      <c r="BP76" s="8988"/>
      <c r="BQ76" s="8988"/>
      <c r="BR76" s="8988"/>
      <c r="BS76" s="8988"/>
      <c r="BT76" s="8988"/>
      <c r="BU76" s="8988"/>
      <c r="BW76" s="8992"/>
      <c r="BX76" s="8992"/>
      <c r="BY76" s="8992"/>
      <c r="BZ76" s="8992"/>
      <c r="CA76" s="8992"/>
      <c r="CB76" s="8992"/>
      <c r="CC76" s="8992"/>
      <c r="CD76" s="8992"/>
      <c r="CE76" s="8991"/>
      <c r="CF76" s="8992"/>
      <c r="CG76" s="8991"/>
      <c r="CH76" s="8992"/>
      <c r="CI76" s="8992"/>
      <c r="CJ76" s="8992"/>
      <c r="CK76" s="8992"/>
      <c r="CL76" s="8992"/>
      <c r="CM76" s="8992"/>
      <c r="CN76" s="8992"/>
      <c r="CO76" s="8992"/>
      <c r="CP76" s="8992"/>
      <c r="CQ76" s="8992"/>
      <c r="CR76" s="8992"/>
      <c r="CS76" s="8992"/>
      <c r="CT76" s="8992"/>
      <c r="CU76" s="8992"/>
      <c r="CV76" s="8992"/>
      <c r="CW76" s="8992"/>
      <c r="CX76" s="8992"/>
      <c r="CY76" s="8992"/>
      <c r="CZ76" s="8992"/>
      <c r="DA76" s="8992"/>
      <c r="DB76" s="8992"/>
      <c r="DC76" s="8992"/>
    </row>
    <row r="77" spans="1:168" s="8987" customFormat="1" x14ac:dyDescent="0.9">
      <c r="B77" s="8992"/>
      <c r="C77" s="8992"/>
      <c r="D77" s="9074"/>
      <c r="E77" s="8990"/>
      <c r="F77" s="8990"/>
      <c r="G77" s="8990"/>
      <c r="H77" s="8990"/>
      <c r="I77" s="8990"/>
      <c r="J77" s="8990"/>
      <c r="K77" s="8990"/>
      <c r="L77" s="9001"/>
      <c r="M77" s="8992"/>
      <c r="N77" s="9074"/>
      <c r="O77" s="8990"/>
      <c r="P77" s="8990"/>
      <c r="Q77" s="8990"/>
      <c r="R77" s="8990"/>
      <c r="S77" s="8990"/>
      <c r="T77" s="8990"/>
      <c r="U77" s="8990"/>
      <c r="V77" s="9001"/>
      <c r="W77" s="9001"/>
      <c r="X77" s="9076"/>
      <c r="Y77" s="8990"/>
      <c r="Z77" s="8990"/>
      <c r="AA77" s="8990"/>
      <c r="AB77" s="8990"/>
      <c r="AC77" s="8990"/>
      <c r="AD77" s="8990"/>
      <c r="AE77" s="8990"/>
      <c r="AF77" s="9001"/>
      <c r="AG77" s="8990"/>
      <c r="AH77" s="9076"/>
      <c r="AI77" s="8990"/>
      <c r="AJ77" s="8990"/>
      <c r="AK77" s="8990"/>
      <c r="AL77" s="8990"/>
      <c r="AM77" s="8990"/>
      <c r="AN77" s="8990"/>
      <c r="AO77" s="8990"/>
      <c r="AP77" s="9001"/>
      <c r="AQ77" s="8990"/>
      <c r="AR77" s="9076"/>
      <c r="AS77" s="8990"/>
      <c r="AT77" s="8990"/>
      <c r="AU77" s="8990"/>
      <c r="AV77" s="8990"/>
      <c r="AW77" s="8990"/>
      <c r="AX77" s="8990"/>
      <c r="AY77" s="8990"/>
      <c r="AZ77" s="9001"/>
      <c r="BA77" s="8990"/>
      <c r="BB77" s="8990"/>
      <c r="BC77" s="8990"/>
      <c r="BD77" s="8990"/>
      <c r="BE77" s="8990"/>
      <c r="BF77" s="8988"/>
      <c r="BG77" s="8988"/>
      <c r="BH77" s="8990"/>
      <c r="BI77" s="8990"/>
      <c r="BJ77" s="8988"/>
      <c r="BK77" s="8988"/>
      <c r="BL77" s="8988"/>
      <c r="BM77" s="8988"/>
      <c r="BN77" s="8988"/>
      <c r="BO77" s="8988"/>
      <c r="BP77" s="8988"/>
      <c r="BQ77" s="8988"/>
      <c r="BR77" s="8988"/>
      <c r="BS77" s="8988"/>
      <c r="BT77" s="8988"/>
      <c r="BU77" s="8988"/>
      <c r="BW77" s="8992"/>
      <c r="BX77" s="8992"/>
      <c r="BY77" s="8992"/>
      <c r="BZ77" s="8992"/>
      <c r="CA77" s="8992"/>
      <c r="CB77" s="8992"/>
      <c r="CC77" s="8992"/>
      <c r="CD77" s="8992"/>
      <c r="CE77" s="8991"/>
      <c r="CF77" s="8992"/>
      <c r="CG77" s="8991"/>
      <c r="CH77" s="8992"/>
      <c r="CI77" s="8992"/>
      <c r="CJ77" s="8992"/>
      <c r="CK77" s="8992"/>
      <c r="CL77" s="8992"/>
      <c r="CM77" s="8992"/>
      <c r="CN77" s="8992"/>
      <c r="CO77" s="8992"/>
      <c r="CP77" s="8992"/>
      <c r="CQ77" s="8992"/>
      <c r="CR77" s="8992"/>
      <c r="CS77" s="8992"/>
      <c r="CT77" s="8992"/>
      <c r="CU77" s="8992"/>
      <c r="CV77" s="8992"/>
      <c r="CW77" s="8992"/>
      <c r="CX77" s="8992"/>
      <c r="CY77" s="8992"/>
      <c r="CZ77" s="8992"/>
      <c r="DA77" s="8992"/>
      <c r="DB77" s="8992"/>
      <c r="DC77" s="8992"/>
    </row>
    <row r="78" spans="1:168" s="8987" customFormat="1" x14ac:dyDescent="0.9">
      <c r="B78" s="8992"/>
      <c r="C78" s="8992"/>
      <c r="D78" s="8990"/>
      <c r="E78" s="8990"/>
      <c r="F78" s="8990"/>
      <c r="G78" s="8990"/>
      <c r="H78" s="8990"/>
      <c r="I78" s="8990"/>
      <c r="J78" s="8990"/>
      <c r="K78" s="8990"/>
      <c r="L78" s="9001"/>
      <c r="M78" s="8992"/>
      <c r="N78" s="8990"/>
      <c r="O78" s="8990"/>
      <c r="P78" s="8990"/>
      <c r="Q78" s="8990"/>
      <c r="R78" s="8990"/>
      <c r="S78" s="8990"/>
      <c r="T78" s="8990"/>
      <c r="U78" s="8990"/>
      <c r="V78" s="9001"/>
      <c r="W78" s="9001"/>
      <c r="X78" s="8990"/>
      <c r="Y78" s="8990"/>
      <c r="Z78" s="8990"/>
      <c r="AA78" s="8990"/>
      <c r="AB78" s="8990"/>
      <c r="AC78" s="8990"/>
      <c r="AD78" s="8990"/>
      <c r="AE78" s="8990"/>
      <c r="AF78" s="9001"/>
      <c r="AG78" s="8990"/>
      <c r="AH78" s="8990"/>
      <c r="AI78" s="8990"/>
      <c r="AJ78" s="8990"/>
      <c r="AK78" s="8990"/>
      <c r="AL78" s="8990"/>
      <c r="AM78" s="8990"/>
      <c r="AN78" s="8990"/>
      <c r="AO78" s="8990"/>
      <c r="AP78" s="9001"/>
      <c r="AQ78" s="8990"/>
      <c r="AR78" s="8990"/>
      <c r="AS78" s="8990"/>
      <c r="AT78" s="8990"/>
      <c r="AU78" s="8990"/>
      <c r="AV78" s="8990"/>
      <c r="AW78" s="8990"/>
      <c r="AX78" s="8990"/>
      <c r="AY78" s="8990"/>
      <c r="AZ78" s="9001"/>
      <c r="BA78" s="8990"/>
      <c r="BB78" s="8990"/>
      <c r="BC78" s="8990"/>
      <c r="BD78" s="8990"/>
      <c r="BE78" s="8990"/>
      <c r="BF78" s="8988"/>
      <c r="BG78" s="8988"/>
      <c r="BH78" s="8990"/>
      <c r="BI78" s="8990"/>
      <c r="BJ78" s="8988"/>
      <c r="BK78" s="8988"/>
      <c r="BL78" s="8988"/>
      <c r="BM78" s="8988"/>
      <c r="BN78" s="8988"/>
      <c r="BO78" s="8988"/>
      <c r="BP78" s="8988"/>
      <c r="BQ78" s="8988"/>
      <c r="BR78" s="8988"/>
      <c r="BS78" s="8988"/>
      <c r="BT78" s="8988"/>
      <c r="BU78" s="8988"/>
      <c r="BW78" s="8992"/>
      <c r="BX78" s="8992"/>
      <c r="BY78" s="8992"/>
      <c r="BZ78" s="8992"/>
      <c r="CA78" s="8992"/>
      <c r="CB78" s="8992"/>
      <c r="CC78" s="8992"/>
      <c r="CD78" s="8992"/>
      <c r="CE78" s="8991"/>
      <c r="CF78" s="8992"/>
      <c r="CG78" s="8991"/>
      <c r="CH78" s="8992"/>
      <c r="CI78" s="8992"/>
      <c r="CJ78" s="8992"/>
      <c r="CK78" s="8992"/>
      <c r="CL78" s="8992"/>
      <c r="CM78" s="8992"/>
      <c r="CN78" s="8992"/>
      <c r="CO78" s="8992"/>
      <c r="CP78" s="8992"/>
      <c r="CQ78" s="8992"/>
      <c r="CR78" s="8992"/>
      <c r="CS78" s="8992"/>
      <c r="CT78" s="8992"/>
      <c r="CU78" s="8992"/>
      <c r="CV78" s="8992"/>
      <c r="CW78" s="8992"/>
      <c r="CX78" s="8992"/>
      <c r="CY78" s="8992"/>
      <c r="CZ78" s="8992"/>
      <c r="DA78" s="8992"/>
      <c r="DB78" s="8992"/>
      <c r="DC78" s="8992"/>
    </row>
    <row r="79" spans="1:168" s="8987" customFormat="1" x14ac:dyDescent="0.9">
      <c r="B79" s="8992"/>
      <c r="C79" s="8992"/>
      <c r="D79" s="8990"/>
      <c r="E79" s="8990"/>
      <c r="F79" s="8990"/>
      <c r="G79" s="8990"/>
      <c r="H79" s="8990"/>
      <c r="I79" s="8990"/>
      <c r="J79" s="8990"/>
      <c r="K79" s="8990"/>
      <c r="L79" s="9001"/>
      <c r="M79" s="8992"/>
      <c r="N79" s="8990"/>
      <c r="O79" s="8990"/>
      <c r="P79" s="8990"/>
      <c r="Q79" s="8990"/>
      <c r="R79" s="8990"/>
      <c r="S79" s="8990"/>
      <c r="T79" s="8990"/>
      <c r="U79" s="8990"/>
      <c r="V79" s="9001"/>
      <c r="W79" s="9001"/>
      <c r="X79" s="8990"/>
      <c r="Y79" s="8990"/>
      <c r="Z79" s="8990"/>
      <c r="AA79" s="8990"/>
      <c r="AB79" s="8990"/>
      <c r="AC79" s="8990"/>
      <c r="AD79" s="8990"/>
      <c r="AE79" s="8990"/>
      <c r="AF79" s="9001"/>
      <c r="AG79" s="8990"/>
      <c r="AH79" s="8990"/>
      <c r="AI79" s="8990"/>
      <c r="AJ79" s="8990"/>
      <c r="AK79" s="8990"/>
      <c r="AL79" s="8990"/>
      <c r="AM79" s="8990"/>
      <c r="AN79" s="8990"/>
      <c r="AO79" s="8990"/>
      <c r="AP79" s="9001"/>
      <c r="AQ79" s="8990"/>
      <c r="AR79" s="8990"/>
      <c r="AS79" s="8990"/>
      <c r="AT79" s="8990"/>
      <c r="AU79" s="8990"/>
      <c r="AV79" s="8990"/>
      <c r="AW79" s="8990"/>
      <c r="AX79" s="8990"/>
      <c r="AY79" s="8990"/>
      <c r="AZ79" s="9001"/>
      <c r="BA79" s="8990"/>
      <c r="BB79" s="8990"/>
      <c r="BC79" s="8990"/>
      <c r="BD79" s="8990"/>
      <c r="BE79" s="8990"/>
      <c r="BF79" s="8988"/>
      <c r="BG79" s="8988"/>
      <c r="BH79" s="8990"/>
      <c r="BI79" s="8990"/>
      <c r="BJ79" s="8988"/>
      <c r="BK79" s="8988"/>
      <c r="BL79" s="8988"/>
      <c r="BM79" s="8988"/>
      <c r="BN79" s="8988"/>
      <c r="BO79" s="8988"/>
      <c r="BP79" s="8988"/>
      <c r="BQ79" s="8988"/>
      <c r="BR79" s="8988"/>
      <c r="BS79" s="8988"/>
      <c r="BT79" s="8988"/>
      <c r="BU79" s="8988"/>
      <c r="BW79" s="8992"/>
      <c r="BX79" s="8992"/>
      <c r="BY79" s="8992"/>
      <c r="BZ79" s="8992"/>
      <c r="CA79" s="8992"/>
      <c r="CB79" s="8992"/>
      <c r="CC79" s="8992"/>
      <c r="CD79" s="8992"/>
      <c r="CE79" s="8991"/>
      <c r="CF79" s="8992"/>
      <c r="CG79" s="8991"/>
      <c r="CH79" s="8992"/>
      <c r="CI79" s="8992"/>
      <c r="CJ79" s="8992"/>
      <c r="CK79" s="8992"/>
      <c r="CL79" s="8992"/>
      <c r="CM79" s="8992"/>
      <c r="CN79" s="8992"/>
      <c r="CO79" s="8992"/>
      <c r="CP79" s="8992"/>
      <c r="CQ79" s="8992"/>
      <c r="CR79" s="8992"/>
      <c r="CS79" s="8992"/>
      <c r="CT79" s="8992"/>
      <c r="CU79" s="8992"/>
      <c r="CV79" s="8992"/>
      <c r="CW79" s="8992"/>
      <c r="CX79" s="8992"/>
      <c r="CY79" s="8992"/>
      <c r="CZ79" s="8992"/>
      <c r="DA79" s="8992"/>
      <c r="DB79" s="8992"/>
      <c r="DC79" s="8992"/>
    </row>
    <row r="80" spans="1:168" s="8987" customFormat="1" x14ac:dyDescent="0.9">
      <c r="B80" s="8992"/>
      <c r="C80" s="8992"/>
      <c r="D80" s="8990"/>
      <c r="E80" s="8990"/>
      <c r="F80" s="8990"/>
      <c r="G80" s="8990"/>
      <c r="H80" s="8990"/>
      <c r="I80" s="8990"/>
      <c r="J80" s="8990"/>
      <c r="K80" s="8990"/>
      <c r="L80" s="9001"/>
      <c r="M80" s="8992"/>
      <c r="N80" s="8990"/>
      <c r="O80" s="8990"/>
      <c r="P80" s="8990"/>
      <c r="Q80" s="8990"/>
      <c r="R80" s="8990"/>
      <c r="S80" s="8990"/>
      <c r="T80" s="8990"/>
      <c r="U80" s="8990"/>
      <c r="V80" s="9001"/>
      <c r="W80" s="9001"/>
      <c r="X80" s="8990"/>
      <c r="Y80" s="8990"/>
      <c r="Z80" s="8990"/>
      <c r="AA80" s="8990"/>
      <c r="AB80" s="8990"/>
      <c r="AC80" s="8990"/>
      <c r="AD80" s="8990"/>
      <c r="AE80" s="8990"/>
      <c r="AF80" s="9001"/>
      <c r="AG80" s="8990"/>
      <c r="AH80" s="8990"/>
      <c r="AI80" s="8990"/>
      <c r="AJ80" s="8990"/>
      <c r="AK80" s="8990"/>
      <c r="AL80" s="8990"/>
      <c r="AM80" s="8990"/>
      <c r="AN80" s="8990"/>
      <c r="AO80" s="8990"/>
      <c r="AP80" s="9001"/>
      <c r="AQ80" s="8990"/>
      <c r="AR80" s="8990"/>
      <c r="AS80" s="8990"/>
      <c r="AT80" s="8990"/>
      <c r="AU80" s="8990"/>
      <c r="AV80" s="8990"/>
      <c r="AW80" s="8990"/>
      <c r="AX80" s="8990"/>
      <c r="AY80" s="8990"/>
      <c r="AZ80" s="9001"/>
      <c r="BA80" s="8990"/>
      <c r="BB80" s="8990"/>
      <c r="BC80" s="8990"/>
      <c r="BD80" s="8990"/>
      <c r="BE80" s="8990"/>
      <c r="BF80" s="8988"/>
      <c r="BG80" s="8988"/>
      <c r="BH80" s="8990"/>
      <c r="BI80" s="8990"/>
      <c r="BJ80" s="8988"/>
      <c r="BK80" s="8988"/>
      <c r="BL80" s="8988"/>
      <c r="BM80" s="8988"/>
      <c r="BN80" s="8988"/>
      <c r="BO80" s="8988"/>
      <c r="BP80" s="8988"/>
      <c r="BQ80" s="8988"/>
      <c r="BR80" s="8988"/>
      <c r="BS80" s="8988"/>
      <c r="BT80" s="8988"/>
      <c r="BU80" s="8988"/>
      <c r="BW80" s="8992"/>
      <c r="BX80" s="8992"/>
      <c r="BY80" s="8992"/>
      <c r="BZ80" s="8992"/>
      <c r="CA80" s="8992"/>
      <c r="CB80" s="8992"/>
      <c r="CC80" s="8992"/>
      <c r="CD80" s="8992"/>
      <c r="CE80" s="8991"/>
      <c r="CF80" s="8992"/>
      <c r="CG80" s="8991"/>
      <c r="CH80" s="8992"/>
      <c r="CI80" s="8992"/>
      <c r="CJ80" s="8992"/>
      <c r="CK80" s="8992"/>
      <c r="CL80" s="8992"/>
      <c r="CM80" s="8992"/>
      <c r="CN80" s="8992"/>
      <c r="CO80" s="8992"/>
      <c r="CP80" s="8992"/>
      <c r="CQ80" s="8992"/>
      <c r="CR80" s="8992"/>
      <c r="CS80" s="8992"/>
      <c r="CT80" s="8992"/>
      <c r="CU80" s="8992"/>
      <c r="CV80" s="8992"/>
      <c r="CW80" s="8992"/>
      <c r="CX80" s="8992"/>
      <c r="CY80" s="8992"/>
      <c r="CZ80" s="8992"/>
      <c r="DA80" s="8992"/>
      <c r="DB80" s="8992"/>
      <c r="DC80" s="8992"/>
    </row>
    <row r="81" spans="2:107" s="8987" customFormat="1" x14ac:dyDescent="0.9">
      <c r="B81" s="8992"/>
      <c r="C81" s="8992"/>
      <c r="D81" s="8990"/>
      <c r="E81" s="8990"/>
      <c r="F81" s="8990"/>
      <c r="G81" s="8990"/>
      <c r="H81" s="8990"/>
      <c r="I81" s="8990"/>
      <c r="J81" s="8990"/>
      <c r="K81" s="8990"/>
      <c r="L81" s="9001"/>
      <c r="M81" s="8992"/>
      <c r="N81" s="8990"/>
      <c r="O81" s="8990"/>
      <c r="P81" s="8990"/>
      <c r="Q81" s="8990"/>
      <c r="R81" s="8990"/>
      <c r="S81" s="8990"/>
      <c r="T81" s="8990"/>
      <c r="U81" s="8990"/>
      <c r="V81" s="9001"/>
      <c r="W81" s="9001"/>
      <c r="X81" s="8990"/>
      <c r="Y81" s="8990"/>
      <c r="Z81" s="8990"/>
      <c r="AA81" s="8990"/>
      <c r="AB81" s="8990"/>
      <c r="AC81" s="8990"/>
      <c r="AD81" s="8990"/>
      <c r="AE81" s="8990"/>
      <c r="AF81" s="9001"/>
      <c r="AG81" s="8990"/>
      <c r="AH81" s="8990"/>
      <c r="AI81" s="8990"/>
      <c r="AJ81" s="8990"/>
      <c r="AK81" s="8990"/>
      <c r="AL81" s="8990"/>
      <c r="AM81" s="8990"/>
      <c r="AN81" s="8990"/>
      <c r="AO81" s="8990"/>
      <c r="AP81" s="9001"/>
      <c r="AQ81" s="8990"/>
      <c r="AR81" s="8990"/>
      <c r="AS81" s="8990"/>
      <c r="AT81" s="8990"/>
      <c r="AU81" s="8990"/>
      <c r="AV81" s="8990"/>
      <c r="AW81" s="8990"/>
      <c r="AX81" s="8990"/>
      <c r="AY81" s="8990"/>
      <c r="AZ81" s="9001"/>
      <c r="BA81" s="8990"/>
      <c r="BB81" s="8990"/>
      <c r="BC81" s="8990"/>
      <c r="BD81" s="8990"/>
      <c r="BE81" s="8990"/>
      <c r="BF81" s="8988"/>
      <c r="BG81" s="8988"/>
      <c r="BH81" s="8990"/>
      <c r="BI81" s="8990"/>
      <c r="BJ81" s="8988"/>
      <c r="BK81" s="8988"/>
      <c r="BL81" s="8988"/>
      <c r="BM81" s="8988"/>
      <c r="BN81" s="8988"/>
      <c r="BO81" s="8988"/>
      <c r="BP81" s="8988"/>
      <c r="BQ81" s="8988"/>
      <c r="BR81" s="8988"/>
      <c r="BS81" s="8988"/>
      <c r="BT81" s="8988"/>
      <c r="BU81" s="8988"/>
      <c r="BW81" s="8992"/>
      <c r="BX81" s="8992"/>
      <c r="BY81" s="8992"/>
      <c r="BZ81" s="8992"/>
      <c r="CA81" s="8992"/>
      <c r="CB81" s="8992"/>
      <c r="CC81" s="8992"/>
      <c r="CD81" s="8992"/>
      <c r="CE81" s="8991"/>
      <c r="CF81" s="8992"/>
      <c r="CG81" s="8991"/>
      <c r="CH81" s="8992"/>
      <c r="CI81" s="8992"/>
      <c r="CJ81" s="8992"/>
      <c r="CK81" s="8992"/>
      <c r="CL81" s="8992"/>
      <c r="CM81" s="8992"/>
      <c r="CN81" s="8992"/>
      <c r="CO81" s="8992"/>
      <c r="CP81" s="8992"/>
      <c r="CQ81" s="8992"/>
      <c r="CR81" s="8992"/>
      <c r="CS81" s="8992"/>
      <c r="CT81" s="8992"/>
      <c r="CU81" s="8992"/>
      <c r="CV81" s="8992"/>
      <c r="CW81" s="8992"/>
      <c r="CX81" s="8992"/>
      <c r="CY81" s="8992"/>
      <c r="CZ81" s="8992"/>
      <c r="DA81" s="8992"/>
      <c r="DB81" s="8992"/>
      <c r="DC81" s="8992"/>
    </row>
    <row r="82" spans="2:107" s="8987" customFormat="1" x14ac:dyDescent="0.9">
      <c r="B82" s="8992"/>
      <c r="C82" s="8992"/>
      <c r="D82" s="8990"/>
      <c r="E82" s="8990"/>
      <c r="F82" s="8990"/>
      <c r="G82" s="8990"/>
      <c r="H82" s="8990"/>
      <c r="I82" s="8990"/>
      <c r="J82" s="8990"/>
      <c r="K82" s="8990"/>
      <c r="L82" s="9001"/>
      <c r="M82" s="8992"/>
      <c r="N82" s="8990"/>
      <c r="O82" s="8990"/>
      <c r="P82" s="8990"/>
      <c r="Q82" s="8990"/>
      <c r="R82" s="8990"/>
      <c r="S82" s="8990"/>
      <c r="T82" s="8990"/>
      <c r="U82" s="8990"/>
      <c r="V82" s="9001"/>
      <c r="W82" s="9001"/>
      <c r="X82" s="8990"/>
      <c r="Y82" s="8990"/>
      <c r="Z82" s="8990"/>
      <c r="AA82" s="8990"/>
      <c r="AB82" s="8990"/>
      <c r="AC82" s="8990"/>
      <c r="AD82" s="8990"/>
      <c r="AE82" s="8990"/>
      <c r="AF82" s="9001"/>
      <c r="AG82" s="8990"/>
      <c r="AH82" s="8990"/>
      <c r="AI82" s="8990"/>
      <c r="AJ82" s="8990"/>
      <c r="AK82" s="8990"/>
      <c r="AL82" s="8990"/>
      <c r="AM82" s="8990"/>
      <c r="AN82" s="8990"/>
      <c r="AO82" s="8990"/>
      <c r="AP82" s="9001"/>
      <c r="AQ82" s="8990"/>
      <c r="AR82" s="8990"/>
      <c r="AS82" s="8990"/>
      <c r="AT82" s="8990"/>
      <c r="AU82" s="8990"/>
      <c r="AV82" s="8990"/>
      <c r="AW82" s="8990"/>
      <c r="AX82" s="8990"/>
      <c r="AY82" s="8990"/>
      <c r="AZ82" s="9001"/>
      <c r="BA82" s="8990"/>
      <c r="BB82" s="8990"/>
      <c r="BC82" s="8990"/>
      <c r="BD82" s="8990"/>
      <c r="BE82" s="8990"/>
      <c r="BF82" s="8988"/>
      <c r="BG82" s="8988"/>
      <c r="BH82" s="8990"/>
      <c r="BI82" s="8990"/>
      <c r="BJ82" s="8988"/>
      <c r="BK82" s="8988"/>
      <c r="BL82" s="8988"/>
      <c r="BM82" s="8988"/>
      <c r="BN82" s="8988"/>
      <c r="BO82" s="8988"/>
      <c r="BP82" s="8988"/>
      <c r="BQ82" s="8988"/>
      <c r="BR82" s="8988"/>
      <c r="BS82" s="8988"/>
      <c r="BT82" s="8988"/>
      <c r="BU82" s="8988"/>
      <c r="BW82" s="8992"/>
      <c r="BX82" s="8992"/>
      <c r="BY82" s="8992"/>
      <c r="BZ82" s="8992"/>
      <c r="CA82" s="8992"/>
      <c r="CB82" s="8992"/>
      <c r="CC82" s="8992"/>
      <c r="CD82" s="8992"/>
      <c r="CE82" s="8991"/>
      <c r="CF82" s="8992"/>
      <c r="CG82" s="8991"/>
      <c r="CH82" s="8992"/>
      <c r="CI82" s="8992"/>
      <c r="CJ82" s="8992"/>
      <c r="CK82" s="8992"/>
      <c r="CL82" s="8992"/>
      <c r="CM82" s="8992"/>
      <c r="CN82" s="8992"/>
      <c r="CO82" s="8992"/>
      <c r="CP82" s="8992"/>
      <c r="CQ82" s="8992"/>
      <c r="CR82" s="8992"/>
      <c r="CS82" s="8992"/>
      <c r="CT82" s="8992"/>
      <c r="CU82" s="8992"/>
      <c r="CV82" s="8992"/>
      <c r="CW82" s="8992"/>
      <c r="CX82" s="8992"/>
      <c r="CY82" s="8992"/>
      <c r="CZ82" s="8992"/>
      <c r="DA82" s="8992"/>
      <c r="DB82" s="8992"/>
      <c r="DC82" s="8992"/>
    </row>
    <row r="83" spans="2:107" s="8987" customFormat="1" x14ac:dyDescent="0.9">
      <c r="B83" s="8992"/>
      <c r="C83" s="8992"/>
      <c r="D83" s="8990"/>
      <c r="E83" s="8990"/>
      <c r="F83" s="8990"/>
      <c r="G83" s="8990"/>
      <c r="H83" s="8990"/>
      <c r="I83" s="8990"/>
      <c r="J83" s="8990"/>
      <c r="K83" s="8990"/>
      <c r="L83" s="9001"/>
      <c r="M83" s="8992"/>
      <c r="N83" s="8990"/>
      <c r="O83" s="8990"/>
      <c r="P83" s="8990"/>
      <c r="Q83" s="8990"/>
      <c r="R83" s="8990"/>
      <c r="S83" s="8990"/>
      <c r="T83" s="8990"/>
      <c r="U83" s="8990"/>
      <c r="V83" s="9001"/>
      <c r="W83" s="9001"/>
      <c r="X83" s="8990"/>
      <c r="Y83" s="8990"/>
      <c r="Z83" s="8990"/>
      <c r="AA83" s="8990"/>
      <c r="AB83" s="8990"/>
      <c r="AC83" s="8990"/>
      <c r="AD83" s="8990"/>
      <c r="AE83" s="8990"/>
      <c r="AF83" s="9001"/>
      <c r="AG83" s="8990"/>
      <c r="AH83" s="8990"/>
      <c r="AI83" s="8990"/>
      <c r="AJ83" s="8990"/>
      <c r="AK83" s="8990"/>
      <c r="AL83" s="8990"/>
      <c r="AM83" s="8990"/>
      <c r="AN83" s="8990"/>
      <c r="AO83" s="8990"/>
      <c r="AP83" s="9001"/>
      <c r="AQ83" s="8990"/>
      <c r="AR83" s="8990"/>
      <c r="AS83" s="8990"/>
      <c r="AT83" s="8990"/>
      <c r="AU83" s="8990"/>
      <c r="AV83" s="8990"/>
      <c r="AW83" s="8990"/>
      <c r="AX83" s="8990"/>
      <c r="AY83" s="8990"/>
      <c r="AZ83" s="9001"/>
      <c r="BA83" s="8990"/>
      <c r="BB83" s="8990"/>
      <c r="BC83" s="8990"/>
      <c r="BD83" s="8990"/>
      <c r="BE83" s="8990"/>
      <c r="BF83" s="8988"/>
      <c r="BG83" s="8988"/>
      <c r="BH83" s="8990"/>
      <c r="BI83" s="8990"/>
      <c r="BJ83" s="8988"/>
      <c r="BK83" s="8988"/>
      <c r="BL83" s="8988"/>
      <c r="BM83" s="8988"/>
      <c r="BN83" s="8988"/>
      <c r="BO83" s="8988"/>
      <c r="BP83" s="8988"/>
      <c r="BQ83" s="8988"/>
      <c r="BR83" s="8988"/>
      <c r="BS83" s="8988"/>
      <c r="BT83" s="8988"/>
      <c r="BU83" s="8988"/>
      <c r="BW83" s="8992"/>
      <c r="BX83" s="8992"/>
      <c r="BY83" s="8992"/>
      <c r="BZ83" s="8992"/>
      <c r="CA83" s="8992"/>
      <c r="CB83" s="8992"/>
      <c r="CC83" s="8992"/>
      <c r="CD83" s="8992"/>
      <c r="CE83" s="8991"/>
      <c r="CF83" s="8992"/>
      <c r="CG83" s="8991"/>
      <c r="CH83" s="8992"/>
      <c r="CI83" s="8992"/>
      <c r="CJ83" s="8992"/>
      <c r="CK83" s="8992"/>
      <c r="CL83" s="8992"/>
      <c r="CM83" s="8992"/>
      <c r="CN83" s="8992"/>
      <c r="CO83" s="8992"/>
      <c r="CP83" s="8992"/>
      <c r="CQ83" s="8992"/>
      <c r="CR83" s="8992"/>
      <c r="CS83" s="8992"/>
      <c r="CT83" s="8992"/>
      <c r="CU83" s="8992"/>
      <c r="CV83" s="8992"/>
      <c r="CW83" s="8992"/>
      <c r="CX83" s="8992"/>
      <c r="CY83" s="8992"/>
      <c r="CZ83" s="8992"/>
      <c r="DA83" s="8992"/>
      <c r="DB83" s="8992"/>
      <c r="DC83" s="8992"/>
    </row>
    <row r="84" spans="2:107" s="8987" customFormat="1" x14ac:dyDescent="0.9">
      <c r="B84" s="8992"/>
      <c r="C84" s="8992"/>
      <c r="D84" s="8990"/>
      <c r="E84" s="8990"/>
      <c r="F84" s="8990"/>
      <c r="G84" s="8990"/>
      <c r="H84" s="8990"/>
      <c r="I84" s="8990"/>
      <c r="J84" s="8990"/>
      <c r="K84" s="8990"/>
      <c r="L84" s="9001"/>
      <c r="M84" s="8992"/>
      <c r="N84" s="8990"/>
      <c r="O84" s="8990"/>
      <c r="P84" s="8990"/>
      <c r="Q84" s="8990"/>
      <c r="R84" s="8990"/>
      <c r="S84" s="8990"/>
      <c r="T84" s="8990"/>
      <c r="U84" s="8990"/>
      <c r="V84" s="9001"/>
      <c r="W84" s="9001"/>
      <c r="X84" s="8990"/>
      <c r="Y84" s="8990"/>
      <c r="Z84" s="8990"/>
      <c r="AA84" s="8990"/>
      <c r="AB84" s="8990"/>
      <c r="AC84" s="8990"/>
      <c r="AD84" s="8990"/>
      <c r="AE84" s="8990"/>
      <c r="AF84" s="9001"/>
      <c r="AG84" s="8990"/>
      <c r="AH84" s="8990"/>
      <c r="AI84" s="8990"/>
      <c r="AJ84" s="8990"/>
      <c r="AK84" s="8990"/>
      <c r="AL84" s="8990"/>
      <c r="AM84" s="8990"/>
      <c r="AN84" s="8990"/>
      <c r="AO84" s="8990"/>
      <c r="AP84" s="9001"/>
      <c r="AQ84" s="8990"/>
      <c r="AR84" s="8990"/>
      <c r="AS84" s="8990"/>
      <c r="AT84" s="8990"/>
      <c r="AU84" s="8990"/>
      <c r="AV84" s="8990"/>
      <c r="AW84" s="8990"/>
      <c r="AX84" s="8990"/>
      <c r="AY84" s="8990"/>
      <c r="AZ84" s="9001"/>
      <c r="BA84" s="8990"/>
      <c r="BB84" s="8990"/>
      <c r="BC84" s="8990"/>
      <c r="BD84" s="8990"/>
      <c r="BE84" s="8990"/>
      <c r="BF84" s="8988"/>
      <c r="BG84" s="8988"/>
      <c r="BH84" s="8990"/>
      <c r="BI84" s="8990"/>
      <c r="BJ84" s="8988"/>
      <c r="BK84" s="8988"/>
      <c r="BL84" s="8988"/>
      <c r="BM84" s="8988"/>
      <c r="BN84" s="8988"/>
      <c r="BO84" s="8988"/>
      <c r="BP84" s="8988"/>
      <c r="BQ84" s="8988"/>
      <c r="BR84" s="8988"/>
      <c r="BS84" s="8988"/>
      <c r="BT84" s="8988"/>
      <c r="BU84" s="8988"/>
      <c r="BW84" s="8992"/>
      <c r="BX84" s="8992"/>
      <c r="BY84" s="8992"/>
      <c r="BZ84" s="8992"/>
      <c r="CA84" s="8992"/>
      <c r="CB84" s="8992"/>
      <c r="CC84" s="8992"/>
      <c r="CD84" s="8992"/>
      <c r="CE84" s="8991"/>
      <c r="CF84" s="8992"/>
      <c r="CG84" s="8991"/>
      <c r="CH84" s="8992"/>
      <c r="CI84" s="8992"/>
      <c r="CJ84" s="8992"/>
      <c r="CK84" s="8992"/>
      <c r="CL84" s="8992"/>
      <c r="CM84" s="8992"/>
      <c r="CN84" s="8992"/>
      <c r="CO84" s="8992"/>
      <c r="CP84" s="8992"/>
      <c r="CQ84" s="8992"/>
      <c r="CR84" s="8992"/>
      <c r="CS84" s="8992"/>
      <c r="CT84" s="8992"/>
      <c r="CU84" s="8992"/>
      <c r="CV84" s="8992"/>
      <c r="CW84" s="8992"/>
      <c r="CX84" s="8992"/>
      <c r="CY84" s="8992"/>
      <c r="CZ84" s="8992"/>
      <c r="DA84" s="8992"/>
      <c r="DB84" s="8992"/>
      <c r="DC84" s="8992"/>
    </row>
    <row r="85" spans="2:107" s="8987" customFormat="1" x14ac:dyDescent="0.9">
      <c r="B85" s="8992"/>
      <c r="C85" s="8992"/>
      <c r="D85" s="8990"/>
      <c r="E85" s="8990"/>
      <c r="F85" s="8990"/>
      <c r="G85" s="8990"/>
      <c r="H85" s="8990"/>
      <c r="I85" s="8990"/>
      <c r="J85" s="8990"/>
      <c r="K85" s="8990"/>
      <c r="L85" s="9001"/>
      <c r="M85" s="8992"/>
      <c r="N85" s="8990"/>
      <c r="O85" s="8990"/>
      <c r="P85" s="8990"/>
      <c r="Q85" s="8990"/>
      <c r="R85" s="8990"/>
      <c r="S85" s="8990"/>
      <c r="T85" s="8990"/>
      <c r="U85" s="8990"/>
      <c r="V85" s="9001"/>
      <c r="W85" s="9001"/>
      <c r="X85" s="8990"/>
      <c r="Y85" s="8990"/>
      <c r="Z85" s="8990"/>
      <c r="AA85" s="8990"/>
      <c r="AB85" s="8990"/>
      <c r="AC85" s="8990"/>
      <c r="AD85" s="8990"/>
      <c r="AE85" s="8990"/>
      <c r="AF85" s="9001"/>
      <c r="AG85" s="8990"/>
      <c r="AH85" s="8990"/>
      <c r="AI85" s="8990"/>
      <c r="AJ85" s="8990"/>
      <c r="AK85" s="8990"/>
      <c r="AL85" s="8990"/>
      <c r="AM85" s="8990"/>
      <c r="AN85" s="8990"/>
      <c r="AO85" s="8990"/>
      <c r="AP85" s="9001"/>
      <c r="AQ85" s="8990"/>
      <c r="AR85" s="8990"/>
      <c r="AS85" s="8990"/>
      <c r="AT85" s="8990"/>
      <c r="AU85" s="8990"/>
      <c r="AV85" s="8990"/>
      <c r="AW85" s="8990"/>
      <c r="AX85" s="8990"/>
      <c r="AY85" s="8990"/>
      <c r="AZ85" s="9001"/>
      <c r="BA85" s="8990"/>
      <c r="BB85" s="8990"/>
      <c r="BC85" s="8990"/>
      <c r="BD85" s="8990"/>
      <c r="BE85" s="8990"/>
      <c r="BF85" s="8988"/>
      <c r="BG85" s="8988"/>
      <c r="BH85" s="8990"/>
      <c r="BI85" s="8990"/>
      <c r="BJ85" s="8988"/>
      <c r="BK85" s="8988"/>
      <c r="BL85" s="8988"/>
      <c r="BM85" s="8988"/>
      <c r="BN85" s="8988"/>
      <c r="BO85" s="8988"/>
      <c r="BP85" s="8988"/>
      <c r="BQ85" s="8988"/>
      <c r="BR85" s="8988"/>
      <c r="BS85" s="8988"/>
      <c r="BT85" s="8988"/>
      <c r="BU85" s="8988"/>
      <c r="BW85" s="8992"/>
      <c r="BX85" s="8992"/>
      <c r="BY85" s="8992"/>
      <c r="BZ85" s="8992"/>
      <c r="CA85" s="8992"/>
      <c r="CB85" s="8992"/>
      <c r="CC85" s="8992"/>
      <c r="CD85" s="8992"/>
      <c r="CE85" s="8991"/>
      <c r="CF85" s="8992"/>
      <c r="CG85" s="8991"/>
      <c r="CH85" s="8992"/>
      <c r="CI85" s="8992"/>
      <c r="CJ85" s="8992"/>
      <c r="CK85" s="8992"/>
      <c r="CL85" s="8992"/>
      <c r="CM85" s="8992"/>
      <c r="CN85" s="8992"/>
      <c r="CO85" s="8992"/>
      <c r="CP85" s="8992"/>
      <c r="CQ85" s="8992"/>
      <c r="CR85" s="8992"/>
      <c r="CS85" s="8992"/>
      <c r="CT85" s="8992"/>
      <c r="CU85" s="8992"/>
      <c r="CV85" s="8992"/>
      <c r="CW85" s="8992"/>
      <c r="CX85" s="8992"/>
      <c r="CY85" s="8992"/>
      <c r="CZ85" s="8992"/>
      <c r="DA85" s="8992"/>
      <c r="DB85" s="8992"/>
      <c r="DC85" s="8992"/>
    </row>
    <row r="86" spans="2:107" s="8987" customFormat="1" x14ac:dyDescent="0.9">
      <c r="B86" s="8992"/>
      <c r="C86" s="8992"/>
      <c r="D86" s="8990"/>
      <c r="E86" s="8990"/>
      <c r="F86" s="8990"/>
      <c r="G86" s="8990"/>
      <c r="H86" s="8990"/>
      <c r="I86" s="8990"/>
      <c r="J86" s="8990"/>
      <c r="K86" s="8990"/>
      <c r="L86" s="9001"/>
      <c r="M86" s="8992"/>
      <c r="N86" s="8990"/>
      <c r="O86" s="8990"/>
      <c r="P86" s="8990"/>
      <c r="Q86" s="8990"/>
      <c r="R86" s="8990"/>
      <c r="S86" s="8990"/>
      <c r="T86" s="8990"/>
      <c r="U86" s="8990"/>
      <c r="V86" s="9001"/>
      <c r="W86" s="9001"/>
      <c r="X86" s="8990"/>
      <c r="Y86" s="8990"/>
      <c r="Z86" s="8990"/>
      <c r="AA86" s="8990"/>
      <c r="AB86" s="8990"/>
      <c r="AC86" s="8990"/>
      <c r="AD86" s="8990"/>
      <c r="AE86" s="8990"/>
      <c r="AF86" s="9001"/>
      <c r="AG86" s="8990"/>
      <c r="AH86" s="8990"/>
      <c r="AI86" s="8990"/>
      <c r="AJ86" s="8990"/>
      <c r="AK86" s="8990"/>
      <c r="AL86" s="8990"/>
      <c r="AM86" s="8990"/>
      <c r="AN86" s="8990"/>
      <c r="AO86" s="8990"/>
      <c r="AP86" s="9001"/>
      <c r="AQ86" s="8990"/>
      <c r="AR86" s="8990"/>
      <c r="AS86" s="8990"/>
      <c r="AT86" s="8990"/>
      <c r="AU86" s="8990"/>
      <c r="AV86" s="8990"/>
      <c r="AW86" s="8990"/>
      <c r="AX86" s="8990"/>
      <c r="AY86" s="8990"/>
      <c r="AZ86" s="9001"/>
      <c r="BA86" s="8990"/>
      <c r="BB86" s="8990"/>
      <c r="BC86" s="8990"/>
      <c r="BD86" s="8990"/>
      <c r="BE86" s="8990"/>
      <c r="BF86" s="8988"/>
      <c r="BG86" s="8988"/>
      <c r="BH86" s="8990"/>
      <c r="BI86" s="8990"/>
      <c r="BJ86" s="8988"/>
      <c r="BK86" s="8988"/>
      <c r="BL86" s="8988"/>
      <c r="BM86" s="8988"/>
      <c r="BN86" s="8988"/>
      <c r="BO86" s="8988"/>
      <c r="BP86" s="8988"/>
      <c r="BQ86" s="8988"/>
      <c r="BR86" s="8988"/>
      <c r="BS86" s="8988"/>
      <c r="BT86" s="8988"/>
      <c r="BU86" s="8988"/>
      <c r="BW86" s="8992"/>
      <c r="BX86" s="8992"/>
      <c r="BY86" s="8992"/>
      <c r="BZ86" s="8992"/>
      <c r="CA86" s="8992"/>
      <c r="CB86" s="8992"/>
      <c r="CC86" s="8992"/>
      <c r="CD86" s="8992"/>
      <c r="CE86" s="8991"/>
      <c r="CF86" s="8992"/>
      <c r="CG86" s="8991"/>
      <c r="CH86" s="8992"/>
      <c r="CI86" s="8992"/>
      <c r="CJ86" s="8992"/>
      <c r="CK86" s="8992"/>
      <c r="CL86" s="8992"/>
      <c r="CM86" s="8992"/>
      <c r="CN86" s="8992"/>
      <c r="CO86" s="8992"/>
      <c r="CP86" s="8992"/>
      <c r="CQ86" s="8992"/>
      <c r="CR86" s="8992"/>
      <c r="CS86" s="8992"/>
      <c r="CT86" s="8992"/>
      <c r="CU86" s="8992"/>
      <c r="CV86" s="8992"/>
      <c r="CW86" s="8992"/>
      <c r="CX86" s="8992"/>
      <c r="CY86" s="8992"/>
      <c r="CZ86" s="8992"/>
      <c r="DA86" s="8992"/>
      <c r="DB86" s="8992"/>
      <c r="DC86" s="8992"/>
    </row>
    <row r="87" spans="2:107" s="8987" customFormat="1" x14ac:dyDescent="0.9">
      <c r="B87" s="8992"/>
      <c r="C87" s="8992"/>
      <c r="D87" s="8990"/>
      <c r="E87" s="8990"/>
      <c r="F87" s="8990"/>
      <c r="G87" s="8990"/>
      <c r="H87" s="8990"/>
      <c r="I87" s="8990"/>
      <c r="J87" s="8990"/>
      <c r="K87" s="8990"/>
      <c r="L87" s="9001"/>
      <c r="M87" s="8992"/>
      <c r="N87" s="8990"/>
      <c r="O87" s="8990"/>
      <c r="P87" s="8990"/>
      <c r="Q87" s="8990"/>
      <c r="R87" s="8990"/>
      <c r="S87" s="8990"/>
      <c r="T87" s="8990"/>
      <c r="U87" s="8990"/>
      <c r="V87" s="9001"/>
      <c r="W87" s="9001"/>
      <c r="X87" s="8990"/>
      <c r="Y87" s="8990"/>
      <c r="Z87" s="8990"/>
      <c r="AA87" s="8990"/>
      <c r="AB87" s="8990"/>
      <c r="AC87" s="8990"/>
      <c r="AD87" s="8990"/>
      <c r="AE87" s="8990"/>
      <c r="AF87" s="9001"/>
      <c r="AG87" s="8990"/>
      <c r="AH87" s="8990"/>
      <c r="AI87" s="8990"/>
      <c r="AJ87" s="8990"/>
      <c r="AK87" s="8990"/>
      <c r="AL87" s="8990"/>
      <c r="AM87" s="8990"/>
      <c r="AN87" s="8990"/>
      <c r="AO87" s="8990"/>
      <c r="AP87" s="9001"/>
      <c r="AQ87" s="8990"/>
      <c r="AR87" s="8990"/>
      <c r="AS87" s="8990"/>
      <c r="AT87" s="8990"/>
      <c r="AU87" s="8990"/>
      <c r="AV87" s="8990"/>
      <c r="AW87" s="8990"/>
      <c r="AX87" s="8990"/>
      <c r="AY87" s="8990"/>
      <c r="AZ87" s="9001"/>
      <c r="BA87" s="8990"/>
      <c r="BB87" s="8990"/>
      <c r="BC87" s="8990"/>
      <c r="BD87" s="8990"/>
      <c r="BE87" s="8990"/>
      <c r="BF87" s="8988"/>
      <c r="BG87" s="8988"/>
      <c r="BH87" s="8990"/>
      <c r="BI87" s="8990"/>
      <c r="BJ87" s="8988"/>
      <c r="BK87" s="8988"/>
      <c r="BL87" s="8988"/>
      <c r="BM87" s="8988"/>
      <c r="BN87" s="8988"/>
      <c r="BO87" s="8988"/>
      <c r="BP87" s="8988"/>
      <c r="BQ87" s="8988"/>
      <c r="BR87" s="8988"/>
      <c r="BS87" s="8988"/>
      <c r="BT87" s="8988"/>
      <c r="BU87" s="8988"/>
      <c r="BW87" s="8992"/>
      <c r="BX87" s="8992"/>
      <c r="BY87" s="8992"/>
      <c r="BZ87" s="8992"/>
      <c r="CA87" s="8992"/>
      <c r="CB87" s="8992"/>
      <c r="CC87" s="8992"/>
      <c r="CD87" s="8992"/>
      <c r="CE87" s="8991"/>
      <c r="CF87" s="8992"/>
      <c r="CG87" s="8991"/>
      <c r="CH87" s="8992"/>
      <c r="CI87" s="8992"/>
      <c r="CJ87" s="8992"/>
      <c r="CK87" s="8992"/>
      <c r="CL87" s="8992"/>
      <c r="CM87" s="8992"/>
      <c r="CN87" s="8992"/>
      <c r="CO87" s="8992"/>
      <c r="CP87" s="8992"/>
      <c r="CQ87" s="8992"/>
      <c r="CR87" s="8992"/>
      <c r="CS87" s="8992"/>
      <c r="CT87" s="8992"/>
      <c r="CU87" s="8992"/>
      <c r="CV87" s="8992"/>
      <c r="CW87" s="8992"/>
      <c r="CX87" s="8992"/>
      <c r="CY87" s="8992"/>
      <c r="CZ87" s="8992"/>
      <c r="DA87" s="8992"/>
      <c r="DB87" s="8992"/>
      <c r="DC87" s="8992"/>
    </row>
    <row r="88" spans="2:107" s="8987" customFormat="1" x14ac:dyDescent="0.9">
      <c r="B88" s="8992"/>
      <c r="C88" s="8992"/>
      <c r="D88" s="8990"/>
      <c r="E88" s="8990"/>
      <c r="F88" s="8990"/>
      <c r="G88" s="8990"/>
      <c r="H88" s="8990"/>
      <c r="I88" s="8990"/>
      <c r="J88" s="8990"/>
      <c r="K88" s="8990"/>
      <c r="L88" s="9001"/>
      <c r="M88" s="8992"/>
      <c r="N88" s="8990"/>
      <c r="O88" s="8990"/>
      <c r="P88" s="8990"/>
      <c r="Q88" s="8990"/>
      <c r="R88" s="8990"/>
      <c r="S88" s="8990"/>
      <c r="T88" s="8990"/>
      <c r="U88" s="8990"/>
      <c r="V88" s="9001"/>
      <c r="W88" s="9001"/>
      <c r="X88" s="8990"/>
      <c r="Y88" s="8990"/>
      <c r="Z88" s="8990"/>
      <c r="AA88" s="8990"/>
      <c r="AB88" s="8990"/>
      <c r="AC88" s="8990"/>
      <c r="AD88" s="8990"/>
      <c r="AE88" s="8990"/>
      <c r="AF88" s="9001"/>
      <c r="AG88" s="8990"/>
      <c r="AH88" s="8990"/>
      <c r="AI88" s="8990"/>
      <c r="AJ88" s="8990"/>
      <c r="AK88" s="8990"/>
      <c r="AL88" s="8990"/>
      <c r="AM88" s="8990"/>
      <c r="AN88" s="8990"/>
      <c r="AO88" s="8990"/>
      <c r="AP88" s="9001"/>
      <c r="AQ88" s="8990"/>
      <c r="AR88" s="8990"/>
      <c r="AS88" s="8990"/>
      <c r="AT88" s="8990"/>
      <c r="AU88" s="8990"/>
      <c r="AV88" s="8990"/>
      <c r="AW88" s="8990"/>
      <c r="AX88" s="8990"/>
      <c r="AY88" s="8990"/>
      <c r="AZ88" s="9001"/>
      <c r="BA88" s="8990"/>
      <c r="BB88" s="8990"/>
      <c r="BC88" s="8990"/>
      <c r="BD88" s="8990"/>
      <c r="BE88" s="8990"/>
      <c r="BF88" s="8988"/>
      <c r="BG88" s="8988"/>
      <c r="BH88" s="8990"/>
      <c r="BI88" s="8990"/>
      <c r="BJ88" s="8988"/>
      <c r="BK88" s="8988"/>
      <c r="BL88" s="8988"/>
      <c r="BM88" s="8988"/>
      <c r="BN88" s="8988"/>
      <c r="BO88" s="8988"/>
      <c r="BP88" s="8988"/>
      <c r="BQ88" s="8988"/>
      <c r="BR88" s="8988"/>
      <c r="BS88" s="8988"/>
      <c r="BT88" s="8988"/>
      <c r="BU88" s="8988"/>
      <c r="BW88" s="8992"/>
      <c r="BX88" s="8992"/>
      <c r="BY88" s="8992"/>
      <c r="BZ88" s="8992"/>
      <c r="CA88" s="8992"/>
      <c r="CB88" s="8992"/>
      <c r="CC88" s="8992"/>
      <c r="CD88" s="8992"/>
      <c r="CE88" s="8991"/>
      <c r="CF88" s="8992"/>
      <c r="CG88" s="8991"/>
      <c r="CH88" s="8992"/>
      <c r="CI88" s="8992"/>
      <c r="CJ88" s="8992"/>
      <c r="CK88" s="8992"/>
      <c r="CL88" s="8992"/>
      <c r="CM88" s="8992"/>
      <c r="CN88" s="8992"/>
      <c r="CO88" s="8992"/>
      <c r="CP88" s="8992"/>
      <c r="CQ88" s="8992"/>
      <c r="CR88" s="8992"/>
      <c r="CS88" s="8992"/>
      <c r="CT88" s="8992"/>
      <c r="CU88" s="8992"/>
      <c r="CV88" s="8992"/>
      <c r="CW88" s="8992"/>
      <c r="CX88" s="8992"/>
      <c r="CY88" s="8992"/>
      <c r="CZ88" s="8992"/>
      <c r="DA88" s="8992"/>
      <c r="DB88" s="8992"/>
      <c r="DC88" s="8992"/>
    </row>
    <row r="89" spans="2:107" s="8987" customFormat="1" x14ac:dyDescent="0.9">
      <c r="B89" s="8992"/>
      <c r="C89" s="8992"/>
      <c r="D89" s="8990"/>
      <c r="E89" s="8990"/>
      <c r="F89" s="8990"/>
      <c r="G89" s="8990"/>
      <c r="H89" s="8990"/>
      <c r="I89" s="8990"/>
      <c r="J89" s="8990"/>
      <c r="K89" s="8990"/>
      <c r="L89" s="9001"/>
      <c r="M89" s="8992"/>
      <c r="N89" s="8990"/>
      <c r="O89" s="8990"/>
      <c r="P89" s="8990"/>
      <c r="Q89" s="8990"/>
      <c r="R89" s="8990"/>
      <c r="S89" s="8990"/>
      <c r="T89" s="8990"/>
      <c r="U89" s="8990"/>
      <c r="V89" s="9001"/>
      <c r="W89" s="9001"/>
      <c r="X89" s="8990"/>
      <c r="Y89" s="8990"/>
      <c r="Z89" s="8990"/>
      <c r="AA89" s="8990"/>
      <c r="AB89" s="8990"/>
      <c r="AC89" s="8990"/>
      <c r="AD89" s="8990"/>
      <c r="AE89" s="8990"/>
      <c r="AF89" s="9001"/>
      <c r="AG89" s="8990"/>
      <c r="AH89" s="8990"/>
      <c r="AI89" s="8990"/>
      <c r="AJ89" s="8990"/>
      <c r="AK89" s="8990"/>
      <c r="AL89" s="8990"/>
      <c r="AM89" s="8990"/>
      <c r="AN89" s="8990"/>
      <c r="AO89" s="8990"/>
      <c r="AP89" s="9001"/>
      <c r="AQ89" s="8990"/>
      <c r="AR89" s="8990"/>
      <c r="AS89" s="8990"/>
      <c r="AT89" s="8990"/>
      <c r="AU89" s="8990"/>
      <c r="AV89" s="8990"/>
      <c r="AW89" s="8990"/>
      <c r="AX89" s="8990"/>
      <c r="AY89" s="8990"/>
      <c r="AZ89" s="9001"/>
      <c r="BA89" s="8990"/>
      <c r="BB89" s="8990"/>
      <c r="BC89" s="8990"/>
      <c r="BD89" s="8990"/>
      <c r="BE89" s="8990"/>
      <c r="BF89" s="8988"/>
      <c r="BG89" s="8988"/>
      <c r="BH89" s="8990"/>
      <c r="BI89" s="8990"/>
      <c r="BJ89" s="8988"/>
      <c r="BK89" s="8988"/>
      <c r="BL89" s="8988"/>
      <c r="BM89" s="8988"/>
      <c r="BN89" s="8988"/>
      <c r="BO89" s="8988"/>
      <c r="BP89" s="8988"/>
      <c r="BQ89" s="8988"/>
      <c r="BR89" s="8988"/>
      <c r="BS89" s="8988"/>
      <c r="BT89" s="8988"/>
      <c r="BU89" s="8988"/>
      <c r="BW89" s="8992"/>
      <c r="BX89" s="8992"/>
      <c r="BY89" s="8992"/>
      <c r="BZ89" s="8992"/>
      <c r="CA89" s="8992"/>
      <c r="CB89" s="8992"/>
      <c r="CC89" s="8992"/>
      <c r="CD89" s="8992"/>
      <c r="CE89" s="8991"/>
      <c r="CF89" s="8992"/>
      <c r="CG89" s="8991"/>
      <c r="CH89" s="8992"/>
      <c r="CI89" s="8992"/>
      <c r="CJ89" s="8992"/>
      <c r="CK89" s="8992"/>
      <c r="CL89" s="8992"/>
      <c r="CM89" s="8992"/>
      <c r="CN89" s="8992"/>
      <c r="CO89" s="8992"/>
      <c r="CP89" s="8992"/>
      <c r="CQ89" s="8992"/>
      <c r="CR89" s="8992"/>
      <c r="CS89" s="8992"/>
      <c r="CT89" s="8992"/>
      <c r="CU89" s="8992"/>
      <c r="CV89" s="8992"/>
      <c r="CW89" s="8992"/>
      <c r="CX89" s="8992"/>
      <c r="CY89" s="8992"/>
      <c r="CZ89" s="8992"/>
      <c r="DA89" s="8992"/>
      <c r="DB89" s="8992"/>
      <c r="DC89" s="8992"/>
    </row>
    <row r="90" spans="2:107" s="8987" customFormat="1" x14ac:dyDescent="0.9">
      <c r="B90" s="8992"/>
      <c r="C90" s="8992"/>
      <c r="D90" s="8990"/>
      <c r="E90" s="8990"/>
      <c r="F90" s="8990"/>
      <c r="G90" s="8990"/>
      <c r="H90" s="8990"/>
      <c r="I90" s="8990"/>
      <c r="J90" s="8990"/>
      <c r="K90" s="8990"/>
      <c r="L90" s="9001"/>
      <c r="M90" s="8992"/>
      <c r="N90" s="8990"/>
      <c r="O90" s="8990"/>
      <c r="P90" s="8990"/>
      <c r="Q90" s="8990"/>
      <c r="R90" s="8990"/>
      <c r="S90" s="8990"/>
      <c r="T90" s="8990"/>
      <c r="U90" s="8990"/>
      <c r="V90" s="9001"/>
      <c r="W90" s="9001"/>
      <c r="X90" s="8990"/>
      <c r="Y90" s="8990"/>
      <c r="Z90" s="8990"/>
      <c r="AA90" s="8990"/>
      <c r="AB90" s="8990"/>
      <c r="AC90" s="8990"/>
      <c r="AD90" s="8990"/>
      <c r="AE90" s="8990"/>
      <c r="AF90" s="9001"/>
      <c r="AG90" s="8990"/>
      <c r="AH90" s="8990"/>
      <c r="AI90" s="8990"/>
      <c r="AJ90" s="8990"/>
      <c r="AK90" s="8990"/>
      <c r="AL90" s="8990"/>
      <c r="AM90" s="8990"/>
      <c r="AN90" s="8990"/>
      <c r="AO90" s="8990"/>
      <c r="AP90" s="9001"/>
      <c r="AQ90" s="8990"/>
      <c r="AR90" s="8990"/>
      <c r="AS90" s="8990"/>
      <c r="AT90" s="8990"/>
      <c r="AU90" s="8990"/>
      <c r="AV90" s="8990"/>
      <c r="AW90" s="8990"/>
      <c r="AX90" s="8990"/>
      <c r="AY90" s="8990"/>
      <c r="AZ90" s="9001"/>
      <c r="BA90" s="8990"/>
      <c r="BB90" s="8990"/>
      <c r="BC90" s="8990"/>
      <c r="BD90" s="8990"/>
      <c r="BE90" s="8990"/>
      <c r="BF90" s="8988"/>
      <c r="BG90" s="8988"/>
      <c r="BH90" s="8990"/>
      <c r="BI90" s="8990"/>
      <c r="BJ90" s="8988"/>
      <c r="BK90" s="8988"/>
      <c r="BL90" s="8988"/>
      <c r="BM90" s="8988"/>
      <c r="BN90" s="8988"/>
      <c r="BO90" s="8988"/>
      <c r="BP90" s="8988"/>
      <c r="BQ90" s="8988"/>
      <c r="BR90" s="8988"/>
      <c r="BS90" s="8988"/>
      <c r="BT90" s="8988"/>
      <c r="BU90" s="8988"/>
      <c r="BW90" s="8992"/>
      <c r="BX90" s="8992"/>
      <c r="BY90" s="8992"/>
      <c r="BZ90" s="8992"/>
      <c r="CA90" s="8992"/>
      <c r="CB90" s="8992"/>
      <c r="CC90" s="8992"/>
      <c r="CD90" s="8992"/>
      <c r="CE90" s="8991"/>
      <c r="CF90" s="8992"/>
      <c r="CG90" s="8991"/>
      <c r="CH90" s="8992"/>
      <c r="CI90" s="8992"/>
      <c r="CJ90" s="8992"/>
      <c r="CK90" s="8992"/>
      <c r="CL90" s="8992"/>
      <c r="CM90" s="8992"/>
      <c r="CN90" s="8992"/>
      <c r="CO90" s="8992"/>
      <c r="CP90" s="8992"/>
      <c r="CQ90" s="8992"/>
      <c r="CR90" s="8992"/>
      <c r="CS90" s="8992"/>
      <c r="CT90" s="8992"/>
      <c r="CU90" s="8992"/>
      <c r="CV90" s="8992"/>
      <c r="CW90" s="8992"/>
      <c r="CX90" s="8992"/>
      <c r="CY90" s="8992"/>
      <c r="CZ90" s="8992"/>
      <c r="DA90" s="8992"/>
      <c r="DB90" s="8992"/>
      <c r="DC90" s="8992"/>
    </row>
    <row r="91" spans="2:107" s="8987" customFormat="1" x14ac:dyDescent="0.9">
      <c r="B91" s="8992"/>
      <c r="C91" s="8992"/>
      <c r="D91" s="8990"/>
      <c r="E91" s="8990"/>
      <c r="F91" s="8990"/>
      <c r="G91" s="8990"/>
      <c r="H91" s="8990"/>
      <c r="I91" s="8990"/>
      <c r="J91" s="8990"/>
      <c r="K91" s="8990"/>
      <c r="L91" s="9001"/>
      <c r="M91" s="8992"/>
      <c r="N91" s="8990"/>
      <c r="O91" s="8990"/>
      <c r="P91" s="8990"/>
      <c r="Q91" s="8990"/>
      <c r="R91" s="8990"/>
      <c r="S91" s="8990"/>
      <c r="T91" s="8990"/>
      <c r="U91" s="8990"/>
      <c r="V91" s="9001"/>
      <c r="W91" s="9001"/>
      <c r="X91" s="8990"/>
      <c r="Y91" s="8990"/>
      <c r="Z91" s="8990"/>
      <c r="AA91" s="8990"/>
      <c r="AB91" s="8990"/>
      <c r="AC91" s="8990"/>
      <c r="AD91" s="8990"/>
      <c r="AE91" s="8990"/>
      <c r="AF91" s="9001"/>
      <c r="AG91" s="8990"/>
      <c r="AH91" s="8990"/>
      <c r="AI91" s="8990"/>
      <c r="AJ91" s="8990"/>
      <c r="AK91" s="8990"/>
      <c r="AL91" s="8990"/>
      <c r="AM91" s="8990"/>
      <c r="AN91" s="8990"/>
      <c r="AO91" s="8990"/>
      <c r="AP91" s="9001"/>
      <c r="AQ91" s="8990"/>
      <c r="AR91" s="8990"/>
      <c r="AS91" s="8990"/>
      <c r="AT91" s="8990"/>
      <c r="AU91" s="8990"/>
      <c r="AV91" s="8990"/>
      <c r="AW91" s="8990"/>
      <c r="AX91" s="8990"/>
      <c r="AY91" s="8990"/>
      <c r="AZ91" s="9001"/>
      <c r="BA91" s="8990"/>
      <c r="BB91" s="8990"/>
      <c r="BC91" s="8990"/>
      <c r="BD91" s="8990"/>
      <c r="BE91" s="8990"/>
      <c r="BF91" s="8988"/>
      <c r="BG91" s="8988"/>
      <c r="BH91" s="8990"/>
      <c r="BI91" s="8990"/>
      <c r="BJ91" s="8988"/>
      <c r="BK91" s="8988"/>
      <c r="BL91" s="8988"/>
      <c r="BM91" s="8988"/>
      <c r="BN91" s="8988"/>
      <c r="BO91" s="8988"/>
      <c r="BP91" s="8988"/>
      <c r="BQ91" s="8988"/>
      <c r="BR91" s="8988"/>
      <c r="BS91" s="8988"/>
      <c r="BT91" s="8988"/>
      <c r="BU91" s="8988"/>
      <c r="BW91" s="8992"/>
      <c r="BX91" s="8992"/>
      <c r="BY91" s="8992"/>
      <c r="BZ91" s="8992"/>
      <c r="CA91" s="8992"/>
      <c r="CB91" s="8992"/>
      <c r="CC91" s="8992"/>
      <c r="CD91" s="8992"/>
      <c r="CE91" s="8991"/>
      <c r="CF91" s="8992"/>
      <c r="CG91" s="8991"/>
      <c r="CH91" s="8992"/>
      <c r="CI91" s="8992"/>
      <c r="CJ91" s="8992"/>
      <c r="CK91" s="8992"/>
      <c r="CL91" s="8992"/>
      <c r="CM91" s="8992"/>
      <c r="CN91" s="8992"/>
      <c r="CO91" s="8992"/>
      <c r="CP91" s="8992"/>
      <c r="CQ91" s="8992"/>
      <c r="CR91" s="8992"/>
      <c r="CS91" s="8992"/>
      <c r="CT91" s="8992"/>
      <c r="CU91" s="8992"/>
      <c r="CV91" s="8992"/>
      <c r="CW91" s="8992"/>
      <c r="CX91" s="8992"/>
      <c r="CY91" s="8992"/>
      <c r="CZ91" s="8992"/>
      <c r="DA91" s="8992"/>
      <c r="DB91" s="8992"/>
      <c r="DC91" s="8992"/>
    </row>
    <row r="92" spans="2:107" s="8987" customFormat="1" x14ac:dyDescent="0.9">
      <c r="B92" s="8992"/>
      <c r="C92" s="8992"/>
      <c r="D92" s="8990"/>
      <c r="E92" s="8990"/>
      <c r="F92" s="8990"/>
      <c r="G92" s="8990"/>
      <c r="H92" s="8990"/>
      <c r="I92" s="8990"/>
      <c r="J92" s="8990"/>
      <c r="K92" s="8990"/>
      <c r="L92" s="9001"/>
      <c r="M92" s="8992"/>
      <c r="N92" s="8990"/>
      <c r="O92" s="8990"/>
      <c r="P92" s="8990"/>
      <c r="Q92" s="8990"/>
      <c r="R92" s="8990"/>
      <c r="S92" s="8990"/>
      <c r="T92" s="8990"/>
      <c r="U92" s="8990"/>
      <c r="V92" s="9001"/>
      <c r="W92" s="9001"/>
      <c r="X92" s="8990"/>
      <c r="Y92" s="8990"/>
      <c r="Z92" s="8990"/>
      <c r="AA92" s="8990"/>
      <c r="AB92" s="8990"/>
      <c r="AC92" s="8990"/>
      <c r="AD92" s="8990"/>
      <c r="AE92" s="8990"/>
      <c r="AF92" s="9001"/>
      <c r="AG92" s="8990"/>
      <c r="AH92" s="8990"/>
      <c r="AI92" s="8990"/>
      <c r="AJ92" s="8990"/>
      <c r="AK92" s="8990"/>
      <c r="AL92" s="8990"/>
      <c r="AM92" s="8990"/>
      <c r="AN92" s="8990"/>
      <c r="AO92" s="8990"/>
      <c r="AP92" s="9001"/>
      <c r="AQ92" s="8990"/>
      <c r="AR92" s="8990"/>
      <c r="AS92" s="8990"/>
      <c r="AT92" s="8990"/>
      <c r="AU92" s="8990"/>
      <c r="AV92" s="8990"/>
      <c r="AW92" s="8990"/>
      <c r="AX92" s="8990"/>
      <c r="AY92" s="8990"/>
      <c r="AZ92" s="9001"/>
      <c r="BA92" s="8990"/>
      <c r="BB92" s="8990"/>
      <c r="BC92" s="8990"/>
      <c r="BD92" s="8990"/>
      <c r="BE92" s="8990"/>
      <c r="BF92" s="8988"/>
      <c r="BG92" s="8988"/>
      <c r="BH92" s="8990"/>
      <c r="BI92" s="8990"/>
      <c r="BJ92" s="8988"/>
      <c r="BK92" s="8988"/>
      <c r="BL92" s="8988"/>
      <c r="BM92" s="8988"/>
      <c r="BN92" s="8988"/>
      <c r="BO92" s="8988"/>
      <c r="BP92" s="8988"/>
      <c r="BQ92" s="8988"/>
      <c r="BR92" s="8988"/>
      <c r="BS92" s="8988"/>
      <c r="BT92" s="8988"/>
      <c r="BU92" s="8988"/>
      <c r="BW92" s="8992"/>
      <c r="BX92" s="8992"/>
      <c r="BY92" s="8992"/>
      <c r="BZ92" s="8992"/>
      <c r="CA92" s="8992"/>
      <c r="CB92" s="8992"/>
      <c r="CC92" s="8992"/>
      <c r="CD92" s="8992"/>
      <c r="CE92" s="8991"/>
      <c r="CF92" s="8992"/>
      <c r="CG92" s="8991"/>
      <c r="CH92" s="8992"/>
      <c r="CI92" s="8992"/>
      <c r="CJ92" s="8992"/>
      <c r="CK92" s="8992"/>
      <c r="CL92" s="8992"/>
      <c r="CM92" s="8992"/>
      <c r="CN92" s="8992"/>
      <c r="CO92" s="8992"/>
      <c r="CP92" s="8992"/>
      <c r="CQ92" s="8992"/>
      <c r="CR92" s="8992"/>
      <c r="CS92" s="8992"/>
      <c r="CT92" s="8992"/>
      <c r="CU92" s="8992"/>
      <c r="CV92" s="8992"/>
      <c r="CW92" s="8992"/>
      <c r="CX92" s="8992"/>
      <c r="CY92" s="8992"/>
      <c r="CZ92" s="8992"/>
      <c r="DA92" s="8992"/>
      <c r="DB92" s="8992"/>
      <c r="DC92" s="8992"/>
    </row>
    <row r="93" spans="2:107" s="8987" customFormat="1" x14ac:dyDescent="0.9">
      <c r="B93" s="8992"/>
      <c r="C93" s="8992"/>
      <c r="D93" s="8990"/>
      <c r="E93" s="8990"/>
      <c r="F93" s="8990"/>
      <c r="G93" s="8990"/>
      <c r="H93" s="8990"/>
      <c r="I93" s="8990"/>
      <c r="J93" s="8990"/>
      <c r="K93" s="8990"/>
      <c r="L93" s="9001"/>
      <c r="M93" s="8992"/>
      <c r="N93" s="8990"/>
      <c r="O93" s="8990"/>
      <c r="P93" s="8990"/>
      <c r="Q93" s="8990"/>
      <c r="R93" s="8990"/>
      <c r="S93" s="8990"/>
      <c r="T93" s="8990"/>
      <c r="U93" s="8990"/>
      <c r="V93" s="9001"/>
      <c r="W93" s="9001"/>
      <c r="X93" s="8990"/>
      <c r="Y93" s="8990"/>
      <c r="Z93" s="8990"/>
      <c r="AA93" s="8990"/>
      <c r="AB93" s="8990"/>
      <c r="AC93" s="8990"/>
      <c r="AD93" s="8990"/>
      <c r="AE93" s="8990"/>
      <c r="AF93" s="9001"/>
      <c r="AG93" s="8990"/>
      <c r="AH93" s="8990"/>
      <c r="AI93" s="8990"/>
      <c r="AJ93" s="8990"/>
      <c r="AK93" s="8990"/>
      <c r="AL93" s="8990"/>
      <c r="AM93" s="8990"/>
      <c r="AN93" s="8990"/>
      <c r="AO93" s="8990"/>
      <c r="AP93" s="9001"/>
      <c r="AQ93" s="8990"/>
      <c r="AR93" s="8990"/>
      <c r="AS93" s="8990"/>
      <c r="AT93" s="8990"/>
      <c r="AU93" s="8990"/>
      <c r="AV93" s="8990"/>
      <c r="AW93" s="8990"/>
      <c r="AX93" s="8990"/>
      <c r="AY93" s="8990"/>
      <c r="AZ93" s="9001"/>
      <c r="BA93" s="8990"/>
      <c r="BB93" s="8990"/>
      <c r="BC93" s="8990"/>
      <c r="BD93" s="8990"/>
      <c r="BE93" s="8990"/>
      <c r="BF93" s="8988"/>
      <c r="BG93" s="8988"/>
      <c r="BH93" s="8990"/>
      <c r="BI93" s="8990"/>
      <c r="BJ93" s="8988"/>
      <c r="BK93" s="8988"/>
      <c r="BL93" s="8988"/>
      <c r="BM93" s="8988"/>
      <c r="BN93" s="8988"/>
      <c r="BO93" s="8988"/>
      <c r="BP93" s="8988"/>
      <c r="BQ93" s="8988"/>
      <c r="BR93" s="8988"/>
      <c r="BS93" s="8988"/>
      <c r="BT93" s="8988"/>
      <c r="BU93" s="8988"/>
      <c r="BW93" s="8992"/>
      <c r="BX93" s="8992"/>
      <c r="BY93" s="8992"/>
      <c r="BZ93" s="8992"/>
      <c r="CA93" s="8992"/>
      <c r="CB93" s="8992"/>
      <c r="CC93" s="8992"/>
      <c r="CD93" s="8992"/>
      <c r="CE93" s="8991"/>
      <c r="CF93" s="8992"/>
      <c r="CG93" s="8991"/>
      <c r="CH93" s="8992"/>
      <c r="CI93" s="8992"/>
      <c r="CJ93" s="8992"/>
      <c r="CK93" s="8992"/>
      <c r="CL93" s="8992"/>
      <c r="CM93" s="8992"/>
      <c r="CN93" s="8992"/>
      <c r="CO93" s="8992"/>
      <c r="CP93" s="8992"/>
      <c r="CQ93" s="8992"/>
      <c r="CR93" s="8992"/>
      <c r="CS93" s="8992"/>
      <c r="CT93" s="8992"/>
      <c r="CU93" s="8992"/>
      <c r="CV93" s="8992"/>
      <c r="CW93" s="8992"/>
      <c r="CX93" s="8992"/>
      <c r="CY93" s="8992"/>
      <c r="CZ93" s="8992"/>
      <c r="DA93" s="8992"/>
      <c r="DB93" s="8992"/>
      <c r="DC93" s="8992"/>
    </row>
    <row r="94" spans="2:107" s="8987" customFormat="1" x14ac:dyDescent="0.9">
      <c r="B94" s="8992"/>
      <c r="C94" s="8992"/>
      <c r="D94" s="8990"/>
      <c r="E94" s="8990"/>
      <c r="F94" s="8990"/>
      <c r="G94" s="8990"/>
      <c r="H94" s="8990"/>
      <c r="I94" s="8990"/>
      <c r="J94" s="8990"/>
      <c r="K94" s="8990"/>
      <c r="L94" s="9001"/>
      <c r="M94" s="8992"/>
      <c r="N94" s="8990"/>
      <c r="O94" s="8990"/>
      <c r="P94" s="8990"/>
      <c r="Q94" s="8990"/>
      <c r="R94" s="8990"/>
      <c r="S94" s="8990"/>
      <c r="T94" s="8990"/>
      <c r="U94" s="8990"/>
      <c r="V94" s="9001"/>
      <c r="W94" s="9001"/>
      <c r="X94" s="8990"/>
      <c r="Y94" s="8990"/>
      <c r="Z94" s="8990"/>
      <c r="AA94" s="8990"/>
      <c r="AB94" s="8990"/>
      <c r="AC94" s="8990"/>
      <c r="AD94" s="8990"/>
      <c r="AE94" s="8990"/>
      <c r="AF94" s="9001"/>
      <c r="AG94" s="8990"/>
      <c r="AH94" s="8990"/>
      <c r="AI94" s="8990"/>
      <c r="AJ94" s="8990"/>
      <c r="AK94" s="8990"/>
      <c r="AL94" s="8990"/>
      <c r="AM94" s="8990"/>
      <c r="AN94" s="8990"/>
      <c r="AO94" s="8990"/>
      <c r="AP94" s="9001"/>
      <c r="AQ94" s="8990"/>
      <c r="AR94" s="8990"/>
      <c r="AS94" s="8990"/>
      <c r="AT94" s="8990"/>
      <c r="AU94" s="8990"/>
      <c r="AV94" s="8990"/>
      <c r="AW94" s="8990"/>
      <c r="AX94" s="8990"/>
      <c r="AY94" s="8990"/>
      <c r="AZ94" s="9001"/>
      <c r="BA94" s="8990"/>
      <c r="BB94" s="8990"/>
      <c r="BC94" s="8990"/>
      <c r="BD94" s="8990"/>
      <c r="BE94" s="8990"/>
      <c r="BF94" s="8988"/>
      <c r="BG94" s="8988"/>
      <c r="BH94" s="8990"/>
      <c r="BI94" s="8990"/>
      <c r="BJ94" s="8988"/>
      <c r="BK94" s="8988"/>
      <c r="BL94" s="8988"/>
      <c r="BM94" s="8988"/>
      <c r="BN94" s="8988"/>
      <c r="BO94" s="8988"/>
      <c r="BP94" s="8988"/>
      <c r="BQ94" s="8988"/>
      <c r="BR94" s="8988"/>
      <c r="BS94" s="8988"/>
      <c r="BT94" s="8988"/>
      <c r="BU94" s="8988"/>
      <c r="BW94" s="8992"/>
      <c r="BX94" s="8992"/>
      <c r="BY94" s="8992"/>
      <c r="BZ94" s="8992"/>
      <c r="CA94" s="8992"/>
      <c r="CB94" s="8992"/>
      <c r="CC94" s="8992"/>
      <c r="CD94" s="8992"/>
      <c r="CE94" s="8991"/>
      <c r="CF94" s="8992"/>
      <c r="CG94" s="8991"/>
      <c r="CH94" s="8992"/>
      <c r="CI94" s="8992"/>
      <c r="CJ94" s="8992"/>
      <c r="CK94" s="8992"/>
      <c r="CL94" s="8992"/>
      <c r="CM94" s="8992"/>
      <c r="CN94" s="8992"/>
      <c r="CO94" s="8992"/>
      <c r="CP94" s="8992"/>
      <c r="CQ94" s="8992"/>
      <c r="CR94" s="8992"/>
      <c r="CS94" s="8992"/>
      <c r="CT94" s="8992"/>
      <c r="CU94" s="8992"/>
      <c r="CV94" s="8992"/>
      <c r="CW94" s="8992"/>
      <c r="CX94" s="8992"/>
      <c r="CY94" s="8992"/>
      <c r="CZ94" s="8992"/>
      <c r="DA94" s="8992"/>
      <c r="DB94" s="8992"/>
      <c r="DC94" s="8992"/>
    </row>
    <row r="95" spans="2:107" s="8987" customFormat="1" x14ac:dyDescent="0.9">
      <c r="B95" s="8992"/>
      <c r="C95" s="8992"/>
      <c r="D95" s="8990"/>
      <c r="E95" s="8990"/>
      <c r="F95" s="8990"/>
      <c r="G95" s="8990"/>
      <c r="H95" s="8990"/>
      <c r="I95" s="8990"/>
      <c r="J95" s="8990"/>
      <c r="K95" s="8990"/>
      <c r="L95" s="9001"/>
      <c r="M95" s="8992"/>
      <c r="N95" s="8990"/>
      <c r="O95" s="8990"/>
      <c r="P95" s="8990"/>
      <c r="Q95" s="8990"/>
      <c r="R95" s="8990"/>
      <c r="S95" s="8990"/>
      <c r="T95" s="8990"/>
      <c r="U95" s="8990"/>
      <c r="V95" s="9001"/>
      <c r="W95" s="9001"/>
      <c r="X95" s="8990"/>
      <c r="Y95" s="8990"/>
      <c r="Z95" s="8990"/>
      <c r="AA95" s="8990"/>
      <c r="AB95" s="8990"/>
      <c r="AC95" s="8990"/>
      <c r="AD95" s="8990"/>
      <c r="AE95" s="8990"/>
      <c r="AF95" s="9001"/>
      <c r="AG95" s="8990"/>
      <c r="AH95" s="8990"/>
      <c r="AI95" s="8990"/>
      <c r="AJ95" s="8990"/>
      <c r="AK95" s="8990"/>
      <c r="AL95" s="8990"/>
      <c r="AM95" s="8990"/>
      <c r="AN95" s="8990"/>
      <c r="AO95" s="8990"/>
      <c r="AP95" s="9001"/>
      <c r="AQ95" s="8990"/>
      <c r="AR95" s="8990"/>
      <c r="AS95" s="8990"/>
      <c r="AT95" s="8990"/>
      <c r="AU95" s="8990"/>
      <c r="AV95" s="8990"/>
      <c r="AW95" s="8990"/>
      <c r="AX95" s="8990"/>
      <c r="AY95" s="8990"/>
      <c r="AZ95" s="9001"/>
      <c r="BA95" s="8990"/>
      <c r="BB95" s="8990"/>
      <c r="BC95" s="8990"/>
      <c r="BD95" s="8990"/>
      <c r="BE95" s="8990"/>
      <c r="BF95" s="8988"/>
      <c r="BG95" s="8988"/>
      <c r="BH95" s="8990"/>
      <c r="BI95" s="8990"/>
      <c r="BJ95" s="8988"/>
      <c r="BK95" s="8988"/>
      <c r="BL95" s="8988"/>
      <c r="BM95" s="8988"/>
      <c r="BN95" s="8988"/>
      <c r="BO95" s="8988"/>
      <c r="BP95" s="8988"/>
      <c r="BQ95" s="8988"/>
      <c r="BR95" s="8988"/>
      <c r="BS95" s="8988"/>
      <c r="BT95" s="8988"/>
      <c r="BU95" s="8988"/>
      <c r="BW95" s="8992"/>
      <c r="BX95" s="8992"/>
      <c r="BY95" s="8992"/>
      <c r="BZ95" s="8992"/>
      <c r="CA95" s="8992"/>
      <c r="CB95" s="8992"/>
      <c r="CC95" s="8992"/>
      <c r="CD95" s="8992"/>
      <c r="CE95" s="8991"/>
      <c r="CF95" s="8992"/>
      <c r="CG95" s="8991"/>
      <c r="CH95" s="8992"/>
      <c r="CI95" s="8992"/>
      <c r="CJ95" s="8992"/>
      <c r="CK95" s="8992"/>
      <c r="CL95" s="8992"/>
      <c r="CM95" s="8992"/>
      <c r="CN95" s="8992"/>
      <c r="CO95" s="8992"/>
      <c r="CP95" s="8992"/>
      <c r="CQ95" s="8992"/>
      <c r="CR95" s="8992"/>
      <c r="CS95" s="8992"/>
      <c r="CT95" s="8992"/>
      <c r="CU95" s="8992"/>
      <c r="CV95" s="8992"/>
      <c r="CW95" s="8992"/>
      <c r="CX95" s="8992"/>
      <c r="CY95" s="8992"/>
      <c r="CZ95" s="8992"/>
      <c r="DA95" s="8992"/>
      <c r="DB95" s="8992"/>
      <c r="DC95" s="8992"/>
    </row>
    <row r="96" spans="2:107" s="8987" customFormat="1" x14ac:dyDescent="0.9">
      <c r="B96" s="8992"/>
      <c r="C96" s="8992"/>
      <c r="D96" s="8990"/>
      <c r="E96" s="8990"/>
      <c r="F96" s="8990"/>
      <c r="G96" s="8990"/>
      <c r="H96" s="8990"/>
      <c r="I96" s="8990"/>
      <c r="J96" s="8990"/>
      <c r="K96" s="8990"/>
      <c r="L96" s="9001"/>
      <c r="M96" s="8992"/>
      <c r="N96" s="8990"/>
      <c r="O96" s="8990"/>
      <c r="P96" s="8990"/>
      <c r="Q96" s="8990"/>
      <c r="R96" s="8990"/>
      <c r="S96" s="8990"/>
      <c r="T96" s="8990"/>
      <c r="U96" s="8990"/>
      <c r="V96" s="9001"/>
      <c r="W96" s="9001"/>
      <c r="X96" s="8990"/>
      <c r="Y96" s="8990"/>
      <c r="Z96" s="8990"/>
      <c r="AA96" s="8990"/>
      <c r="AB96" s="8990"/>
      <c r="AC96" s="8990"/>
      <c r="AD96" s="8990"/>
      <c r="AE96" s="8990"/>
      <c r="AF96" s="9001"/>
      <c r="AG96" s="8990"/>
      <c r="AH96" s="8990"/>
      <c r="AI96" s="8990"/>
      <c r="AJ96" s="8990"/>
      <c r="AK96" s="8990"/>
      <c r="AL96" s="8990"/>
      <c r="AM96" s="8990"/>
      <c r="AN96" s="8990"/>
      <c r="AO96" s="8990"/>
      <c r="AP96" s="9001"/>
      <c r="AQ96" s="8990"/>
      <c r="AR96" s="8990"/>
      <c r="AS96" s="8990"/>
      <c r="AT96" s="8990"/>
      <c r="AU96" s="8990"/>
      <c r="AV96" s="8990"/>
      <c r="AW96" s="8990"/>
      <c r="AX96" s="8990"/>
      <c r="AY96" s="8990"/>
      <c r="AZ96" s="9001"/>
      <c r="BA96" s="8990"/>
      <c r="BB96" s="8990"/>
      <c r="BC96" s="8990"/>
      <c r="BD96" s="8990"/>
      <c r="BE96" s="8990"/>
      <c r="BF96" s="8988"/>
      <c r="BG96" s="8988"/>
      <c r="BH96" s="8990"/>
      <c r="BI96" s="8990"/>
      <c r="BJ96" s="8988"/>
      <c r="BK96" s="8988"/>
      <c r="BL96" s="8988"/>
      <c r="BM96" s="8988"/>
      <c r="BN96" s="8988"/>
      <c r="BO96" s="8988"/>
      <c r="BP96" s="8988"/>
      <c r="BQ96" s="8988"/>
      <c r="BR96" s="8988"/>
      <c r="BS96" s="8988"/>
      <c r="BT96" s="8988"/>
      <c r="BU96" s="8988"/>
      <c r="BW96" s="8992"/>
      <c r="BX96" s="8992"/>
      <c r="BY96" s="8992"/>
      <c r="BZ96" s="8992"/>
      <c r="CA96" s="8992"/>
      <c r="CB96" s="8992"/>
      <c r="CC96" s="8992"/>
      <c r="CD96" s="8992"/>
      <c r="CE96" s="8991"/>
      <c r="CF96" s="8992"/>
      <c r="CG96" s="8991"/>
      <c r="CH96" s="8992"/>
      <c r="CI96" s="8992"/>
      <c r="CJ96" s="8992"/>
      <c r="CK96" s="8992"/>
      <c r="CL96" s="8992"/>
      <c r="CM96" s="8992"/>
      <c r="CN96" s="8992"/>
      <c r="CO96" s="8992"/>
      <c r="CP96" s="8992"/>
      <c r="CQ96" s="8992"/>
      <c r="CR96" s="8992"/>
      <c r="CS96" s="8992"/>
      <c r="CT96" s="8992"/>
      <c r="CU96" s="8992"/>
      <c r="CV96" s="8992"/>
      <c r="CW96" s="8992"/>
      <c r="CX96" s="8992"/>
      <c r="CY96" s="8992"/>
      <c r="CZ96" s="8992"/>
      <c r="DA96" s="8992"/>
      <c r="DB96" s="8992"/>
      <c r="DC96" s="8992"/>
    </row>
    <row r="97" spans="2:107" s="8987" customFormat="1" x14ac:dyDescent="0.9">
      <c r="B97" s="8992"/>
      <c r="C97" s="8992"/>
      <c r="D97" s="8990"/>
      <c r="E97" s="8990"/>
      <c r="F97" s="8990"/>
      <c r="G97" s="8990"/>
      <c r="H97" s="8990"/>
      <c r="I97" s="8990"/>
      <c r="J97" s="8990"/>
      <c r="K97" s="8990"/>
      <c r="L97" s="9001"/>
      <c r="M97" s="8992"/>
      <c r="N97" s="8990"/>
      <c r="O97" s="8990"/>
      <c r="P97" s="8990"/>
      <c r="Q97" s="8990"/>
      <c r="R97" s="8990"/>
      <c r="S97" s="8990"/>
      <c r="T97" s="8990"/>
      <c r="U97" s="8990"/>
      <c r="V97" s="9001"/>
      <c r="W97" s="9001"/>
      <c r="X97" s="8990"/>
      <c r="Y97" s="8990"/>
      <c r="Z97" s="8990"/>
      <c r="AA97" s="8990"/>
      <c r="AB97" s="8990"/>
      <c r="AC97" s="8990"/>
      <c r="AD97" s="8990"/>
      <c r="AE97" s="8990"/>
      <c r="AF97" s="9001"/>
      <c r="AG97" s="8990"/>
      <c r="AH97" s="8990"/>
      <c r="AI97" s="8990"/>
      <c r="AJ97" s="8990"/>
      <c r="AK97" s="8990"/>
      <c r="AL97" s="8990"/>
      <c r="AM97" s="8990"/>
      <c r="AN97" s="8990"/>
      <c r="AO97" s="8990"/>
      <c r="AP97" s="9001"/>
      <c r="AQ97" s="8990"/>
      <c r="AR97" s="8990"/>
      <c r="AS97" s="8990"/>
      <c r="AT97" s="8990"/>
      <c r="AU97" s="8990"/>
      <c r="AV97" s="8990"/>
      <c r="AW97" s="8990"/>
      <c r="AX97" s="8990"/>
      <c r="AY97" s="8990"/>
      <c r="AZ97" s="9001"/>
      <c r="BA97" s="8990"/>
      <c r="BB97" s="8990"/>
      <c r="BC97" s="8990"/>
      <c r="BD97" s="8990"/>
      <c r="BE97" s="8990"/>
      <c r="BF97" s="8988"/>
      <c r="BG97" s="8988"/>
      <c r="BH97" s="8990"/>
      <c r="BI97" s="8990"/>
      <c r="BJ97" s="8988"/>
      <c r="BK97" s="8988"/>
      <c r="BL97" s="8988"/>
      <c r="BM97" s="8988"/>
      <c r="BN97" s="8988"/>
      <c r="BO97" s="8988"/>
      <c r="BP97" s="8988"/>
      <c r="BQ97" s="8988"/>
      <c r="BR97" s="8988"/>
      <c r="BS97" s="8988"/>
      <c r="BT97" s="8988"/>
      <c r="BU97" s="8988"/>
      <c r="BW97" s="8992"/>
      <c r="BX97" s="8992"/>
      <c r="BY97" s="8992"/>
      <c r="BZ97" s="8992"/>
      <c r="CA97" s="8992"/>
      <c r="CB97" s="8992"/>
      <c r="CC97" s="8992"/>
      <c r="CD97" s="8992"/>
      <c r="CE97" s="8991"/>
      <c r="CF97" s="8992"/>
      <c r="CG97" s="8991"/>
      <c r="CH97" s="8992"/>
      <c r="CI97" s="8992"/>
      <c r="CJ97" s="8992"/>
      <c r="CK97" s="8992"/>
      <c r="CL97" s="8992"/>
      <c r="CM97" s="8992"/>
      <c r="CN97" s="8992"/>
      <c r="CO97" s="8992"/>
      <c r="CP97" s="8992"/>
      <c r="CQ97" s="8992"/>
      <c r="CR97" s="8992"/>
      <c r="CS97" s="8992"/>
      <c r="CT97" s="8992"/>
      <c r="CU97" s="8992"/>
      <c r="CV97" s="8992"/>
      <c r="CW97" s="8992"/>
      <c r="CX97" s="8992"/>
      <c r="CY97" s="8992"/>
      <c r="CZ97" s="8992"/>
      <c r="DA97" s="8992"/>
      <c r="DB97" s="8992"/>
      <c r="DC97" s="8992"/>
    </row>
    <row r="98" spans="2:107" s="8987" customFormat="1" x14ac:dyDescent="0.9">
      <c r="B98" s="8992"/>
      <c r="C98" s="8992"/>
      <c r="D98" s="8990"/>
      <c r="E98" s="8990"/>
      <c r="F98" s="8990"/>
      <c r="G98" s="8990"/>
      <c r="H98" s="8990"/>
      <c r="I98" s="8990"/>
      <c r="J98" s="8990"/>
      <c r="K98" s="8990"/>
      <c r="L98" s="9001"/>
      <c r="M98" s="8992"/>
      <c r="N98" s="8990"/>
      <c r="O98" s="8990"/>
      <c r="P98" s="8990"/>
      <c r="Q98" s="8990"/>
      <c r="R98" s="8990"/>
      <c r="S98" s="8990"/>
      <c r="T98" s="8990"/>
      <c r="U98" s="8990"/>
      <c r="V98" s="9001"/>
      <c r="W98" s="9001"/>
      <c r="X98" s="8990"/>
      <c r="Y98" s="8990"/>
      <c r="Z98" s="8990"/>
      <c r="AA98" s="8990"/>
      <c r="AB98" s="8990"/>
      <c r="AC98" s="8990"/>
      <c r="AD98" s="8990"/>
      <c r="AE98" s="8990"/>
      <c r="AF98" s="9001"/>
      <c r="AG98" s="8990"/>
      <c r="AH98" s="8990"/>
      <c r="AI98" s="8990"/>
      <c r="AJ98" s="8990"/>
      <c r="AK98" s="8990"/>
      <c r="AL98" s="8990"/>
      <c r="AM98" s="8990"/>
      <c r="AN98" s="8990"/>
      <c r="AO98" s="8990"/>
      <c r="AP98" s="9001"/>
      <c r="AQ98" s="8990"/>
      <c r="AR98" s="8990"/>
      <c r="AS98" s="8990"/>
      <c r="AT98" s="8990"/>
      <c r="AU98" s="8990"/>
      <c r="AV98" s="8990"/>
      <c r="AW98" s="8990"/>
      <c r="AX98" s="8990"/>
      <c r="AY98" s="8990"/>
      <c r="AZ98" s="9001"/>
      <c r="BA98" s="8990"/>
      <c r="BB98" s="8990"/>
      <c r="BC98" s="8990"/>
      <c r="BD98" s="8990"/>
      <c r="BE98" s="8990"/>
      <c r="BF98" s="8988"/>
      <c r="BG98" s="8988"/>
      <c r="BH98" s="8990"/>
      <c r="BI98" s="8990"/>
      <c r="BJ98" s="8988"/>
      <c r="BK98" s="8988"/>
      <c r="BL98" s="8988"/>
      <c r="BM98" s="8988"/>
      <c r="BN98" s="8988"/>
      <c r="BO98" s="8988"/>
      <c r="BP98" s="8988"/>
      <c r="BQ98" s="8988"/>
      <c r="BR98" s="8988"/>
      <c r="BS98" s="8988"/>
      <c r="BT98" s="8988"/>
      <c r="BU98" s="8988"/>
      <c r="BW98" s="8992"/>
      <c r="BX98" s="8992"/>
      <c r="BY98" s="8992"/>
      <c r="BZ98" s="8992"/>
      <c r="CA98" s="8992"/>
      <c r="CB98" s="8992"/>
      <c r="CC98" s="8992"/>
      <c r="CD98" s="8992"/>
      <c r="CE98" s="8991"/>
      <c r="CF98" s="8992"/>
      <c r="CG98" s="8991"/>
      <c r="CH98" s="8992"/>
      <c r="CI98" s="8992"/>
      <c r="CJ98" s="8992"/>
      <c r="CK98" s="8992"/>
      <c r="CL98" s="8992"/>
      <c r="CM98" s="8992"/>
      <c r="CN98" s="8992"/>
      <c r="CO98" s="8992"/>
      <c r="CP98" s="8992"/>
      <c r="CQ98" s="8992"/>
      <c r="CR98" s="8992"/>
      <c r="CS98" s="8992"/>
      <c r="CT98" s="8992"/>
      <c r="CU98" s="8992"/>
      <c r="CV98" s="8992"/>
      <c r="CW98" s="8992"/>
      <c r="CX98" s="8992"/>
      <c r="CY98" s="8992"/>
      <c r="CZ98" s="8992"/>
      <c r="DA98" s="8992"/>
      <c r="DB98" s="8992"/>
      <c r="DC98" s="8992"/>
    </row>
    <row r="99" spans="2:107" s="8987" customFormat="1" x14ac:dyDescent="0.9">
      <c r="B99" s="8992"/>
      <c r="C99" s="8992"/>
      <c r="D99" s="8990"/>
      <c r="E99" s="8990"/>
      <c r="F99" s="8990"/>
      <c r="G99" s="8990"/>
      <c r="H99" s="8990"/>
      <c r="I99" s="8990"/>
      <c r="J99" s="8990"/>
      <c r="K99" s="8990"/>
      <c r="L99" s="9001"/>
      <c r="M99" s="8992"/>
      <c r="N99" s="8990"/>
      <c r="O99" s="8990"/>
      <c r="P99" s="8990"/>
      <c r="Q99" s="8990"/>
      <c r="R99" s="8990"/>
      <c r="S99" s="8990"/>
      <c r="T99" s="8990"/>
      <c r="U99" s="8990"/>
      <c r="V99" s="9001"/>
      <c r="W99" s="9001"/>
      <c r="X99" s="8990"/>
      <c r="Y99" s="8990"/>
      <c r="Z99" s="8990"/>
      <c r="AA99" s="8990"/>
      <c r="AB99" s="8990"/>
      <c r="AC99" s="8990"/>
      <c r="AD99" s="8990"/>
      <c r="AE99" s="8990"/>
      <c r="AF99" s="9001"/>
      <c r="AG99" s="8990"/>
      <c r="AH99" s="8990"/>
      <c r="AI99" s="8990"/>
      <c r="AJ99" s="8990"/>
      <c r="AK99" s="8990"/>
      <c r="AL99" s="8990"/>
      <c r="AM99" s="8990"/>
      <c r="AN99" s="8990"/>
      <c r="AO99" s="8990"/>
      <c r="AP99" s="9001"/>
      <c r="AQ99" s="8990"/>
      <c r="AR99" s="8990"/>
      <c r="AS99" s="8990"/>
      <c r="AT99" s="8990"/>
      <c r="AU99" s="8990"/>
      <c r="AV99" s="8990"/>
      <c r="AW99" s="8990"/>
      <c r="AX99" s="8990"/>
      <c r="AY99" s="8990"/>
      <c r="AZ99" s="9001"/>
      <c r="BA99" s="8990"/>
      <c r="BB99" s="8990"/>
      <c r="BC99" s="8990"/>
      <c r="BD99" s="8990"/>
      <c r="BE99" s="8990"/>
      <c r="BF99" s="8988"/>
      <c r="BG99" s="8988"/>
      <c r="BH99" s="8990"/>
      <c r="BI99" s="8990"/>
      <c r="BJ99" s="8988"/>
      <c r="BK99" s="8988"/>
      <c r="BL99" s="8988"/>
      <c r="BM99" s="8988"/>
      <c r="BN99" s="8988"/>
      <c r="BO99" s="8988"/>
      <c r="BP99" s="8988"/>
      <c r="BQ99" s="8988"/>
      <c r="BR99" s="8988"/>
      <c r="BS99" s="8988"/>
      <c r="BT99" s="8988"/>
      <c r="BU99" s="8988"/>
      <c r="BW99" s="8992"/>
      <c r="BX99" s="8992"/>
      <c r="BY99" s="8992"/>
      <c r="BZ99" s="8992"/>
      <c r="CA99" s="8992"/>
      <c r="CB99" s="8992"/>
      <c r="CC99" s="8992"/>
      <c r="CD99" s="8992"/>
      <c r="CE99" s="8992"/>
      <c r="CF99" s="8992"/>
      <c r="CG99" s="8992"/>
      <c r="CH99" s="8992"/>
      <c r="CI99" s="8992"/>
      <c r="CJ99" s="8992"/>
      <c r="CK99" s="8992"/>
      <c r="CL99" s="8992"/>
      <c r="CM99" s="8992"/>
      <c r="CN99" s="8992"/>
      <c r="CO99" s="8992"/>
      <c r="CP99" s="8992"/>
      <c r="CQ99" s="8992"/>
      <c r="CR99" s="8992"/>
      <c r="CS99" s="8992"/>
      <c r="CT99" s="8992"/>
      <c r="CU99" s="8992"/>
      <c r="CV99" s="8992"/>
      <c r="CW99" s="8992"/>
      <c r="CX99" s="8992"/>
      <c r="CY99" s="8992"/>
      <c r="CZ99" s="8992"/>
      <c r="DA99" s="8992"/>
      <c r="DB99" s="8992"/>
      <c r="DC99" s="8992"/>
    </row>
    <row r="100" spans="2:107" s="8987" customFormat="1" x14ac:dyDescent="0.9">
      <c r="B100" s="8992"/>
      <c r="C100" s="8992"/>
      <c r="D100" s="8990"/>
      <c r="E100" s="8990"/>
      <c r="F100" s="8990"/>
      <c r="G100" s="8990"/>
      <c r="H100" s="8990"/>
      <c r="I100" s="8990"/>
      <c r="J100" s="8990"/>
      <c r="K100" s="8990"/>
      <c r="L100" s="9001"/>
      <c r="M100" s="8992"/>
      <c r="N100" s="8990"/>
      <c r="O100" s="8990"/>
      <c r="P100" s="8990"/>
      <c r="Q100" s="8990"/>
      <c r="R100" s="8990"/>
      <c r="S100" s="8990"/>
      <c r="T100" s="8990"/>
      <c r="U100" s="8990"/>
      <c r="V100" s="9001"/>
      <c r="W100" s="9001"/>
      <c r="X100" s="8990"/>
      <c r="Y100" s="8990"/>
      <c r="Z100" s="8990"/>
      <c r="AA100" s="8990"/>
      <c r="AB100" s="8990"/>
      <c r="AC100" s="8990"/>
      <c r="AD100" s="8990"/>
      <c r="AE100" s="8990"/>
      <c r="AF100" s="9001"/>
      <c r="AG100" s="8990"/>
      <c r="AH100" s="8990"/>
      <c r="AI100" s="8990"/>
      <c r="AJ100" s="8990"/>
      <c r="AK100" s="8990"/>
      <c r="AL100" s="8990"/>
      <c r="AM100" s="8990"/>
      <c r="AN100" s="8990"/>
      <c r="AO100" s="8990"/>
      <c r="AP100" s="9001"/>
      <c r="AQ100" s="8990"/>
      <c r="AR100" s="8990"/>
      <c r="AS100" s="8990"/>
      <c r="AT100" s="8990"/>
      <c r="AU100" s="8990"/>
      <c r="AV100" s="8990"/>
      <c r="AW100" s="8990"/>
      <c r="AX100" s="8990"/>
      <c r="AY100" s="8990"/>
      <c r="AZ100" s="9001"/>
      <c r="BA100" s="8990"/>
      <c r="BB100" s="8990"/>
      <c r="BC100" s="8990"/>
      <c r="BD100" s="8990"/>
      <c r="BE100" s="8990"/>
      <c r="BF100" s="8988"/>
      <c r="BG100" s="8988"/>
      <c r="BH100" s="8990"/>
      <c r="BI100" s="8990"/>
      <c r="BJ100" s="8988"/>
      <c r="BK100" s="8988"/>
      <c r="BL100" s="8988"/>
      <c r="BM100" s="8988"/>
      <c r="BN100" s="8988"/>
      <c r="BO100" s="8988"/>
      <c r="BP100" s="8988"/>
      <c r="BQ100" s="8988"/>
      <c r="BR100" s="8988"/>
      <c r="BS100" s="8988"/>
      <c r="BT100" s="8988"/>
      <c r="BU100" s="8988"/>
      <c r="BW100" s="8992"/>
      <c r="BX100" s="8992"/>
      <c r="BY100" s="8992"/>
      <c r="BZ100" s="8992"/>
      <c r="CA100" s="8992"/>
      <c r="CB100" s="8992"/>
      <c r="CC100" s="8992"/>
      <c r="CD100" s="8992"/>
      <c r="CE100" s="8992"/>
      <c r="CF100" s="8992"/>
      <c r="CG100" s="8992"/>
      <c r="CH100" s="8992"/>
      <c r="CI100" s="8992"/>
      <c r="CJ100" s="8992"/>
      <c r="CK100" s="8992"/>
      <c r="CL100" s="8992"/>
      <c r="CM100" s="8992"/>
      <c r="CN100" s="8992"/>
      <c r="CO100" s="8992"/>
      <c r="CP100" s="8992"/>
      <c r="CQ100" s="8992"/>
      <c r="CR100" s="8992"/>
      <c r="CS100" s="8992"/>
      <c r="CT100" s="8992"/>
      <c r="CU100" s="8992"/>
      <c r="CV100" s="8992"/>
      <c r="CW100" s="8992"/>
      <c r="CX100" s="8992"/>
      <c r="CY100" s="8992"/>
      <c r="CZ100" s="8992"/>
      <c r="DA100" s="8992"/>
      <c r="DB100" s="8992"/>
      <c r="DC100" s="8992"/>
    </row>
    <row r="101" spans="2:107" s="8987" customFormat="1" x14ac:dyDescent="0.9">
      <c r="B101" s="8992"/>
      <c r="C101" s="8992"/>
      <c r="D101" s="8990"/>
      <c r="E101" s="8990"/>
      <c r="F101" s="8990"/>
      <c r="G101" s="8990"/>
      <c r="H101" s="8990"/>
      <c r="I101" s="8990"/>
      <c r="J101" s="8990"/>
      <c r="K101" s="8990"/>
      <c r="L101" s="9001"/>
      <c r="M101" s="8992"/>
      <c r="N101" s="8990"/>
      <c r="O101" s="8990"/>
      <c r="P101" s="8990"/>
      <c r="Q101" s="8990"/>
      <c r="R101" s="8990"/>
      <c r="S101" s="8990"/>
      <c r="T101" s="8990"/>
      <c r="U101" s="8990"/>
      <c r="V101" s="9001"/>
      <c r="W101" s="9001"/>
      <c r="X101" s="8990"/>
      <c r="Y101" s="8990"/>
      <c r="Z101" s="8990"/>
      <c r="AA101" s="8990"/>
      <c r="AB101" s="8990"/>
      <c r="AC101" s="8990"/>
      <c r="AD101" s="8990"/>
      <c r="AE101" s="8990"/>
      <c r="AF101" s="9001"/>
      <c r="AG101" s="8990"/>
      <c r="AH101" s="8990"/>
      <c r="AI101" s="8990"/>
      <c r="AJ101" s="8990"/>
      <c r="AK101" s="8990"/>
      <c r="AL101" s="8990"/>
      <c r="AM101" s="8990"/>
      <c r="AN101" s="8990"/>
      <c r="AO101" s="8990"/>
      <c r="AP101" s="9001"/>
      <c r="AQ101" s="8990"/>
      <c r="AR101" s="8990"/>
      <c r="AS101" s="8990"/>
      <c r="AT101" s="8990"/>
      <c r="AU101" s="8990"/>
      <c r="AV101" s="8990"/>
      <c r="AW101" s="8990"/>
      <c r="AX101" s="8990"/>
      <c r="AY101" s="8990"/>
      <c r="AZ101" s="9001"/>
      <c r="BA101" s="8990"/>
      <c r="BB101" s="8990"/>
      <c r="BC101" s="8990"/>
      <c r="BD101" s="8990"/>
      <c r="BE101" s="8990"/>
      <c r="BF101" s="8988"/>
      <c r="BG101" s="8988"/>
      <c r="BH101" s="8990"/>
      <c r="BI101" s="8990"/>
      <c r="BJ101" s="8988"/>
      <c r="BK101" s="8988"/>
      <c r="BL101" s="8988"/>
      <c r="BM101" s="8988"/>
      <c r="BN101" s="8988"/>
      <c r="BO101" s="8988"/>
      <c r="BP101" s="8988"/>
      <c r="BQ101" s="8988"/>
      <c r="BR101" s="8988"/>
      <c r="BS101" s="8988"/>
      <c r="BT101" s="8988"/>
      <c r="BU101" s="8988"/>
      <c r="BW101" s="8992"/>
      <c r="BX101" s="8992"/>
      <c r="BY101" s="8992"/>
      <c r="BZ101" s="8992"/>
      <c r="CA101" s="8992"/>
      <c r="CB101" s="8992"/>
      <c r="CC101" s="8992"/>
      <c r="CD101" s="8992"/>
      <c r="CE101" s="8992"/>
      <c r="CF101" s="8992"/>
      <c r="CG101" s="8992"/>
      <c r="CH101" s="8992"/>
      <c r="CI101" s="8992"/>
      <c r="CJ101" s="8992"/>
      <c r="CK101" s="8992"/>
      <c r="CL101" s="8992"/>
      <c r="CM101" s="8992"/>
      <c r="CN101" s="8992"/>
      <c r="CO101" s="8992"/>
      <c r="CP101" s="8992"/>
      <c r="CQ101" s="8992"/>
      <c r="CR101" s="8992"/>
      <c r="CS101" s="8992"/>
      <c r="CT101" s="8992"/>
      <c r="CU101" s="8992"/>
      <c r="CV101" s="8992"/>
      <c r="CW101" s="8992"/>
      <c r="CX101" s="8992"/>
      <c r="CY101" s="8992"/>
      <c r="CZ101" s="8992"/>
      <c r="DA101" s="8992"/>
      <c r="DB101" s="8992"/>
      <c r="DC101" s="8992"/>
    </row>
    <row r="102" spans="2:107" s="8987" customFormat="1" x14ac:dyDescent="0.9">
      <c r="B102" s="8992"/>
      <c r="C102" s="8992"/>
      <c r="D102" s="8990"/>
      <c r="E102" s="8990"/>
      <c r="F102" s="8990"/>
      <c r="G102" s="8990"/>
      <c r="H102" s="8990"/>
      <c r="I102" s="8990"/>
      <c r="J102" s="8990"/>
      <c r="K102" s="8990"/>
      <c r="L102" s="9001"/>
      <c r="M102" s="8992"/>
      <c r="N102" s="8990"/>
      <c r="O102" s="8990"/>
      <c r="P102" s="8990"/>
      <c r="Q102" s="8990"/>
      <c r="R102" s="8990"/>
      <c r="S102" s="8990"/>
      <c r="T102" s="8990"/>
      <c r="U102" s="8990"/>
      <c r="V102" s="9001"/>
      <c r="W102" s="9001"/>
      <c r="X102" s="8990"/>
      <c r="Y102" s="8990"/>
      <c r="Z102" s="8990"/>
      <c r="AA102" s="8990"/>
      <c r="AB102" s="8990"/>
      <c r="AC102" s="8990"/>
      <c r="AD102" s="8990"/>
      <c r="AE102" s="8990"/>
      <c r="AF102" s="9001"/>
      <c r="AG102" s="8990"/>
      <c r="AH102" s="8990"/>
      <c r="AI102" s="8990"/>
      <c r="AJ102" s="8990"/>
      <c r="AK102" s="8990"/>
      <c r="AL102" s="8990"/>
      <c r="AM102" s="8990"/>
      <c r="AN102" s="8990"/>
      <c r="AO102" s="8990"/>
      <c r="AP102" s="9001"/>
      <c r="AQ102" s="8990"/>
      <c r="AR102" s="8990"/>
      <c r="AS102" s="8990"/>
      <c r="AT102" s="8990"/>
      <c r="AU102" s="8990"/>
      <c r="AV102" s="8990"/>
      <c r="AW102" s="8990"/>
      <c r="AX102" s="8990"/>
      <c r="AY102" s="8990"/>
      <c r="AZ102" s="9001"/>
      <c r="BA102" s="8990"/>
      <c r="BB102" s="8990"/>
      <c r="BC102" s="8990"/>
      <c r="BD102" s="8990"/>
      <c r="BE102" s="8990"/>
      <c r="BF102" s="8988"/>
      <c r="BG102" s="8988"/>
      <c r="BH102" s="8990"/>
      <c r="BI102" s="8990"/>
      <c r="BJ102" s="8988"/>
      <c r="BK102" s="8988"/>
      <c r="BL102" s="8988"/>
      <c r="BM102" s="8988"/>
      <c r="BN102" s="8988"/>
      <c r="BO102" s="8988"/>
      <c r="BP102" s="8988"/>
      <c r="BQ102" s="8988"/>
      <c r="BR102" s="8988"/>
      <c r="BS102" s="8988"/>
      <c r="BT102" s="8988"/>
      <c r="BU102" s="8988"/>
      <c r="BW102" s="8992"/>
      <c r="BX102" s="8992"/>
      <c r="BY102" s="8992"/>
      <c r="BZ102" s="8992"/>
      <c r="CA102" s="8992"/>
      <c r="CB102" s="8992"/>
      <c r="CC102" s="8992"/>
      <c r="CD102" s="8992"/>
      <c r="CE102" s="8992"/>
      <c r="CF102" s="8992"/>
      <c r="CG102" s="8992"/>
      <c r="CH102" s="8992"/>
      <c r="CI102" s="8992"/>
      <c r="CJ102" s="8992"/>
      <c r="CK102" s="8992"/>
      <c r="CL102" s="8992"/>
      <c r="CM102" s="8992"/>
      <c r="CN102" s="8992"/>
      <c r="CO102" s="8992"/>
      <c r="CP102" s="8992"/>
      <c r="CQ102" s="8992"/>
      <c r="CR102" s="8992"/>
      <c r="CS102" s="8992"/>
      <c r="CT102" s="8992"/>
      <c r="CU102" s="8992"/>
      <c r="CV102" s="8992"/>
      <c r="CW102" s="8992"/>
      <c r="CX102" s="8992"/>
      <c r="CY102" s="8992"/>
      <c r="CZ102" s="8992"/>
      <c r="DA102" s="8992"/>
      <c r="DB102" s="8992"/>
      <c r="DC102" s="8992"/>
    </row>
    <row r="103" spans="2:107" s="8987" customFormat="1" x14ac:dyDescent="0.9">
      <c r="B103" s="8992"/>
      <c r="C103" s="8992"/>
      <c r="D103" s="8990"/>
      <c r="E103" s="8990"/>
      <c r="F103" s="8990"/>
      <c r="G103" s="8990"/>
      <c r="H103" s="8990"/>
      <c r="I103" s="8990"/>
      <c r="J103" s="8990"/>
      <c r="K103" s="8990"/>
      <c r="L103" s="9001"/>
      <c r="M103" s="8992"/>
      <c r="N103" s="8990"/>
      <c r="O103" s="8990"/>
      <c r="P103" s="8990"/>
      <c r="Q103" s="8990"/>
      <c r="R103" s="8990"/>
      <c r="S103" s="8990"/>
      <c r="T103" s="8990"/>
      <c r="U103" s="8990"/>
      <c r="V103" s="9001"/>
      <c r="W103" s="9001"/>
      <c r="X103" s="8990"/>
      <c r="Y103" s="8990"/>
      <c r="Z103" s="8990"/>
      <c r="AA103" s="8990"/>
      <c r="AB103" s="8990"/>
      <c r="AC103" s="8990"/>
      <c r="AD103" s="8990"/>
      <c r="AE103" s="8990"/>
      <c r="AF103" s="9001"/>
      <c r="AG103" s="8990"/>
      <c r="AH103" s="8990"/>
      <c r="AI103" s="8990"/>
      <c r="AJ103" s="8990"/>
      <c r="AK103" s="8990"/>
      <c r="AL103" s="8990"/>
      <c r="AM103" s="8990"/>
      <c r="AN103" s="8990"/>
      <c r="AO103" s="8990"/>
      <c r="AP103" s="9001"/>
      <c r="AQ103" s="8990"/>
      <c r="AR103" s="8990"/>
      <c r="AS103" s="8990"/>
      <c r="AT103" s="8990"/>
      <c r="AU103" s="8990"/>
      <c r="AV103" s="8990"/>
      <c r="AW103" s="8990"/>
      <c r="AX103" s="8990"/>
      <c r="AY103" s="8990"/>
      <c r="AZ103" s="9001"/>
      <c r="BA103" s="8990"/>
      <c r="BB103" s="8990"/>
      <c r="BC103" s="8990"/>
      <c r="BD103" s="8990"/>
      <c r="BE103" s="8990"/>
      <c r="BF103" s="8988"/>
      <c r="BG103" s="8988"/>
      <c r="BH103" s="8990"/>
      <c r="BI103" s="8990"/>
      <c r="BJ103" s="8988"/>
      <c r="BK103" s="8988"/>
      <c r="BL103" s="8988"/>
      <c r="BM103" s="8988"/>
      <c r="BN103" s="8988"/>
      <c r="BO103" s="8988"/>
      <c r="BP103" s="8988"/>
      <c r="BQ103" s="8988"/>
      <c r="BR103" s="8988"/>
      <c r="BS103" s="8988"/>
      <c r="BT103" s="8988"/>
      <c r="BU103" s="8988"/>
      <c r="BW103" s="8992"/>
      <c r="BX103" s="8992"/>
      <c r="BY103" s="8992"/>
      <c r="BZ103" s="8992"/>
      <c r="CA103" s="8992"/>
      <c r="CB103" s="8992"/>
      <c r="CC103" s="8992"/>
      <c r="CD103" s="8992"/>
      <c r="CE103" s="8992"/>
      <c r="CF103" s="8992"/>
      <c r="CG103" s="8992"/>
      <c r="CH103" s="8992"/>
      <c r="CI103" s="8992"/>
      <c r="CJ103" s="8992"/>
      <c r="CK103" s="8992"/>
      <c r="CL103" s="8992"/>
      <c r="CM103" s="8992"/>
      <c r="CN103" s="8992"/>
      <c r="CO103" s="8992"/>
      <c r="CP103" s="8992"/>
      <c r="CQ103" s="8992"/>
      <c r="CR103" s="8992"/>
      <c r="CS103" s="8992"/>
      <c r="CT103" s="8992"/>
      <c r="CU103" s="8992"/>
      <c r="CV103" s="8992"/>
      <c r="CW103" s="8992"/>
      <c r="CX103" s="8992"/>
      <c r="CY103" s="8992"/>
      <c r="CZ103" s="8992"/>
      <c r="DA103" s="8992"/>
      <c r="DB103" s="8992"/>
      <c r="DC103" s="8992"/>
    </row>
    <row r="104" spans="2:107" s="8987" customFormat="1" x14ac:dyDescent="0.9">
      <c r="B104" s="8992"/>
      <c r="C104" s="8992"/>
      <c r="D104" s="8990"/>
      <c r="E104" s="8990"/>
      <c r="F104" s="8990"/>
      <c r="G104" s="8990"/>
      <c r="H104" s="8990"/>
      <c r="I104" s="8990"/>
      <c r="J104" s="8990"/>
      <c r="K104" s="8990"/>
      <c r="L104" s="9001"/>
      <c r="M104" s="8992"/>
      <c r="N104" s="8990"/>
      <c r="O104" s="8990"/>
      <c r="P104" s="8990"/>
      <c r="Q104" s="8990"/>
      <c r="R104" s="8990"/>
      <c r="S104" s="8990"/>
      <c r="T104" s="8990"/>
      <c r="U104" s="8990"/>
      <c r="V104" s="9001"/>
      <c r="W104" s="9001"/>
      <c r="X104" s="8990"/>
      <c r="Y104" s="8990"/>
      <c r="Z104" s="8990"/>
      <c r="AA104" s="8990"/>
      <c r="AB104" s="8990"/>
      <c r="AC104" s="8990"/>
      <c r="AD104" s="8990"/>
      <c r="AE104" s="8990"/>
      <c r="AF104" s="9001"/>
      <c r="AG104" s="8990"/>
      <c r="AH104" s="8990"/>
      <c r="AI104" s="8990"/>
      <c r="AJ104" s="8990"/>
      <c r="AK104" s="8990"/>
      <c r="AL104" s="8990"/>
      <c r="AM104" s="8990"/>
      <c r="AN104" s="8990"/>
      <c r="AO104" s="8990"/>
      <c r="AP104" s="9001"/>
      <c r="AQ104" s="8990"/>
      <c r="AR104" s="8990"/>
      <c r="AS104" s="8990"/>
      <c r="AT104" s="8990"/>
      <c r="AU104" s="8990"/>
      <c r="AV104" s="8990"/>
      <c r="AW104" s="8990"/>
      <c r="AX104" s="8990"/>
      <c r="AY104" s="8990"/>
      <c r="AZ104" s="9001"/>
      <c r="BA104" s="8990"/>
      <c r="BB104" s="8990"/>
      <c r="BC104" s="8990"/>
      <c r="BD104" s="8990"/>
      <c r="BE104" s="8990"/>
      <c r="BF104" s="8988"/>
      <c r="BG104" s="8988"/>
      <c r="BH104" s="8990"/>
      <c r="BI104" s="8990"/>
      <c r="BJ104" s="8988"/>
      <c r="BK104" s="8988"/>
      <c r="BL104" s="8988"/>
      <c r="BM104" s="8988"/>
      <c r="BN104" s="8988"/>
      <c r="BO104" s="8988"/>
      <c r="BP104" s="8988"/>
      <c r="BQ104" s="8988"/>
      <c r="BR104" s="8988"/>
      <c r="BS104" s="8988"/>
      <c r="BT104" s="8988"/>
      <c r="BU104" s="8988"/>
      <c r="BW104" s="8992"/>
      <c r="BX104" s="8992"/>
      <c r="BY104" s="8992"/>
      <c r="BZ104" s="8992"/>
      <c r="CA104" s="8992"/>
      <c r="CB104" s="8992"/>
      <c r="CC104" s="8992"/>
      <c r="CD104" s="8992"/>
      <c r="CE104" s="8992"/>
      <c r="CF104" s="8992"/>
      <c r="CG104" s="8992"/>
      <c r="CH104" s="8992"/>
      <c r="CI104" s="8992"/>
      <c r="CJ104" s="8992"/>
      <c r="CK104" s="8992"/>
      <c r="CL104" s="8992"/>
      <c r="CM104" s="8992"/>
      <c r="CN104" s="8992"/>
      <c r="CO104" s="8992"/>
      <c r="CP104" s="8992"/>
      <c r="CQ104" s="8992"/>
      <c r="CR104" s="8992"/>
      <c r="CS104" s="8992"/>
      <c r="CT104" s="8992"/>
      <c r="CU104" s="8992"/>
      <c r="CV104" s="8992"/>
      <c r="CW104" s="8992"/>
      <c r="CX104" s="8992"/>
      <c r="CY104" s="8992"/>
      <c r="CZ104" s="8992"/>
      <c r="DA104" s="8992"/>
      <c r="DB104" s="8992"/>
      <c r="DC104" s="8992"/>
    </row>
    <row r="105" spans="2:107" s="8987" customFormat="1" x14ac:dyDescent="0.9">
      <c r="B105" s="8992"/>
      <c r="C105" s="8992"/>
      <c r="D105" s="8990"/>
      <c r="E105" s="8990"/>
      <c r="F105" s="8990"/>
      <c r="G105" s="8990"/>
      <c r="H105" s="8990"/>
      <c r="I105" s="8990"/>
      <c r="J105" s="8990"/>
      <c r="K105" s="8990"/>
      <c r="L105" s="9001"/>
      <c r="M105" s="8992"/>
      <c r="N105" s="8990"/>
      <c r="O105" s="8990"/>
      <c r="P105" s="8990"/>
      <c r="Q105" s="8990"/>
      <c r="R105" s="8990"/>
      <c r="S105" s="8990"/>
      <c r="T105" s="8990"/>
      <c r="U105" s="8990"/>
      <c r="V105" s="9001"/>
      <c r="W105" s="9001"/>
      <c r="X105" s="8990"/>
      <c r="Y105" s="8990"/>
      <c r="Z105" s="8990"/>
      <c r="AA105" s="8990"/>
      <c r="AB105" s="8990"/>
      <c r="AC105" s="8990"/>
      <c r="AD105" s="8990"/>
      <c r="AE105" s="8990"/>
      <c r="AF105" s="9001"/>
      <c r="AG105" s="8990"/>
      <c r="AH105" s="8990"/>
      <c r="AI105" s="8990"/>
      <c r="AJ105" s="8990"/>
      <c r="AK105" s="8990"/>
      <c r="AL105" s="8990"/>
      <c r="AM105" s="8990"/>
      <c r="AN105" s="8990"/>
      <c r="AO105" s="8990"/>
      <c r="AP105" s="9001"/>
      <c r="AQ105" s="8990"/>
      <c r="AR105" s="8990"/>
      <c r="AS105" s="8990"/>
      <c r="AT105" s="8990"/>
      <c r="AU105" s="8990"/>
      <c r="AV105" s="8990"/>
      <c r="AW105" s="8990"/>
      <c r="AX105" s="8990"/>
      <c r="AY105" s="8990"/>
      <c r="AZ105" s="9001"/>
      <c r="BA105" s="8990"/>
      <c r="BB105" s="8990"/>
      <c r="BC105" s="8990"/>
      <c r="BD105" s="8990"/>
      <c r="BE105" s="8990"/>
      <c r="BF105" s="8988"/>
      <c r="BG105" s="8988"/>
      <c r="BH105" s="8990"/>
      <c r="BI105" s="8990"/>
      <c r="BJ105" s="8988"/>
      <c r="BK105" s="8988"/>
      <c r="BL105" s="8988"/>
      <c r="BM105" s="8988"/>
      <c r="BN105" s="8988"/>
      <c r="BO105" s="8988"/>
      <c r="BP105" s="8988"/>
      <c r="BQ105" s="8988"/>
      <c r="BR105" s="8988"/>
      <c r="BS105" s="8988"/>
      <c r="BT105" s="8988"/>
      <c r="BU105" s="8988"/>
      <c r="BW105" s="8992"/>
      <c r="BX105" s="8992"/>
      <c r="BY105" s="8992"/>
      <c r="BZ105" s="8992"/>
      <c r="CA105" s="8992"/>
      <c r="CB105" s="8992"/>
      <c r="CC105" s="8992"/>
      <c r="CD105" s="8992"/>
      <c r="CE105" s="8992"/>
      <c r="CF105" s="8992"/>
      <c r="CG105" s="8992"/>
      <c r="CH105" s="8992"/>
      <c r="CI105" s="8992"/>
      <c r="CJ105" s="8992"/>
      <c r="CK105" s="8992"/>
      <c r="CL105" s="8992"/>
      <c r="CM105" s="8992"/>
      <c r="CN105" s="8992"/>
      <c r="CO105" s="8992"/>
      <c r="CP105" s="8992"/>
      <c r="CQ105" s="8992"/>
      <c r="CR105" s="8992"/>
      <c r="CS105" s="8992"/>
      <c r="CT105" s="8992"/>
      <c r="CU105" s="8992"/>
      <c r="CV105" s="8992"/>
      <c r="CW105" s="8992"/>
      <c r="CX105" s="8992"/>
      <c r="CY105" s="8992"/>
      <c r="CZ105" s="8992"/>
      <c r="DA105" s="8992"/>
      <c r="DB105" s="8992"/>
      <c r="DC105" s="8992"/>
    </row>
    <row r="106" spans="2:107" s="8987" customFormat="1" x14ac:dyDescent="0.9">
      <c r="B106" s="8992"/>
      <c r="C106" s="8992"/>
      <c r="D106" s="8990"/>
      <c r="E106" s="8990"/>
      <c r="F106" s="8990"/>
      <c r="G106" s="8990"/>
      <c r="H106" s="8990"/>
      <c r="I106" s="8990"/>
      <c r="J106" s="8990"/>
      <c r="K106" s="8990"/>
      <c r="L106" s="9001"/>
      <c r="M106" s="8992"/>
      <c r="N106" s="8990"/>
      <c r="O106" s="8990"/>
      <c r="P106" s="8990"/>
      <c r="Q106" s="8990"/>
      <c r="R106" s="8990"/>
      <c r="S106" s="8990"/>
      <c r="T106" s="8990"/>
      <c r="U106" s="8990"/>
      <c r="V106" s="9001"/>
      <c r="W106" s="9001"/>
      <c r="X106" s="8990"/>
      <c r="Y106" s="8990"/>
      <c r="Z106" s="8990"/>
      <c r="AA106" s="8990"/>
      <c r="AB106" s="8990"/>
      <c r="AC106" s="8990"/>
      <c r="AD106" s="8990"/>
      <c r="AE106" s="8990"/>
      <c r="AF106" s="9001"/>
      <c r="AG106" s="8990"/>
      <c r="AH106" s="8990"/>
      <c r="AI106" s="8990"/>
      <c r="AJ106" s="8990"/>
      <c r="AK106" s="8990"/>
      <c r="AL106" s="8990"/>
      <c r="AM106" s="8990"/>
      <c r="AN106" s="8990"/>
      <c r="AO106" s="8990"/>
      <c r="AP106" s="9001"/>
      <c r="AQ106" s="8990"/>
      <c r="AR106" s="8990"/>
      <c r="AS106" s="8990"/>
      <c r="AT106" s="8990"/>
      <c r="AU106" s="8990"/>
      <c r="AV106" s="8990"/>
      <c r="AW106" s="8990"/>
      <c r="AX106" s="8990"/>
      <c r="AY106" s="8990"/>
      <c r="AZ106" s="9001"/>
      <c r="BA106" s="8990"/>
      <c r="BB106" s="8990"/>
      <c r="BC106" s="8990"/>
      <c r="BD106" s="8990"/>
      <c r="BE106" s="8990"/>
      <c r="BF106" s="8988"/>
      <c r="BG106" s="8988"/>
      <c r="BH106" s="8990"/>
      <c r="BI106" s="8990"/>
      <c r="BJ106" s="8988"/>
      <c r="BK106" s="8988"/>
      <c r="BL106" s="8988"/>
      <c r="BM106" s="8988"/>
      <c r="BN106" s="8988"/>
      <c r="BO106" s="8988"/>
      <c r="BP106" s="8988"/>
      <c r="BQ106" s="8988"/>
      <c r="BR106" s="8988"/>
      <c r="BS106" s="8988"/>
      <c r="BT106" s="8988"/>
      <c r="BU106" s="8988"/>
      <c r="BW106" s="8992"/>
      <c r="BX106" s="8992"/>
      <c r="BY106" s="8992"/>
      <c r="BZ106" s="8992"/>
      <c r="CA106" s="8992"/>
      <c r="CB106" s="8992"/>
      <c r="CC106" s="8992"/>
      <c r="CD106" s="8992"/>
      <c r="CE106" s="8992"/>
      <c r="CF106" s="8992"/>
      <c r="CG106" s="8992"/>
      <c r="CH106" s="8992"/>
      <c r="CI106" s="8992"/>
      <c r="CJ106" s="8992"/>
      <c r="CK106" s="8992"/>
      <c r="CL106" s="8992"/>
      <c r="CM106" s="8992"/>
      <c r="CN106" s="8992"/>
      <c r="CO106" s="8992"/>
      <c r="CP106" s="8992"/>
      <c r="CQ106" s="8992"/>
      <c r="CR106" s="8992"/>
      <c r="CS106" s="8992"/>
      <c r="CT106" s="8992"/>
      <c r="CU106" s="8992"/>
      <c r="CV106" s="8992"/>
      <c r="CW106" s="8992"/>
      <c r="CX106" s="8992"/>
      <c r="CY106" s="8992"/>
      <c r="CZ106" s="8992"/>
      <c r="DA106" s="8992"/>
      <c r="DB106" s="8992"/>
      <c r="DC106" s="8992"/>
    </row>
    <row r="107" spans="2:107" s="8987" customFormat="1" x14ac:dyDescent="0.9">
      <c r="B107" s="8992"/>
      <c r="C107" s="8992"/>
      <c r="D107" s="8990"/>
      <c r="E107" s="8990"/>
      <c r="F107" s="8990"/>
      <c r="G107" s="8990"/>
      <c r="H107" s="8990"/>
      <c r="I107" s="8990"/>
      <c r="J107" s="8990"/>
      <c r="K107" s="8990"/>
      <c r="L107" s="9001"/>
      <c r="M107" s="8992"/>
      <c r="N107" s="8990"/>
      <c r="O107" s="8990"/>
      <c r="P107" s="8990"/>
      <c r="Q107" s="8990"/>
      <c r="R107" s="8990"/>
      <c r="S107" s="8990"/>
      <c r="T107" s="8990"/>
      <c r="U107" s="8990"/>
      <c r="V107" s="9001"/>
      <c r="W107" s="9001"/>
      <c r="X107" s="8990"/>
      <c r="Y107" s="8990"/>
      <c r="Z107" s="8990"/>
      <c r="AA107" s="8990"/>
      <c r="AB107" s="8990"/>
      <c r="AC107" s="8990"/>
      <c r="AD107" s="8990"/>
      <c r="AE107" s="8990"/>
      <c r="AF107" s="9001"/>
      <c r="AG107" s="8990"/>
      <c r="AH107" s="8990"/>
      <c r="AI107" s="8990"/>
      <c r="AJ107" s="8990"/>
      <c r="AK107" s="8990"/>
      <c r="AL107" s="8990"/>
      <c r="AM107" s="8990"/>
      <c r="AN107" s="8990"/>
      <c r="AO107" s="8990"/>
      <c r="AP107" s="9001"/>
      <c r="AQ107" s="8990"/>
      <c r="AR107" s="8990"/>
      <c r="AS107" s="8990"/>
      <c r="AT107" s="8990"/>
      <c r="AU107" s="8990"/>
      <c r="AV107" s="8990"/>
      <c r="AW107" s="8990"/>
      <c r="AX107" s="8990"/>
      <c r="AY107" s="8990"/>
      <c r="AZ107" s="9001"/>
      <c r="BA107" s="8990"/>
      <c r="BB107" s="8990"/>
      <c r="BC107" s="8990"/>
      <c r="BD107" s="8990"/>
      <c r="BE107" s="8990"/>
      <c r="BF107" s="8988"/>
      <c r="BG107" s="8988"/>
      <c r="BH107" s="8990"/>
      <c r="BI107" s="8990"/>
      <c r="BJ107" s="8988"/>
      <c r="BK107" s="8988"/>
      <c r="BL107" s="8988"/>
      <c r="BM107" s="8988"/>
      <c r="BN107" s="8988"/>
      <c r="BO107" s="8988"/>
      <c r="BP107" s="8988"/>
      <c r="BQ107" s="8988"/>
      <c r="BR107" s="8988"/>
      <c r="BS107" s="8988"/>
      <c r="BT107" s="8988"/>
      <c r="BU107" s="8988"/>
      <c r="BW107" s="8992"/>
      <c r="BX107" s="8992"/>
      <c r="BY107" s="8992"/>
      <c r="BZ107" s="8992"/>
      <c r="CA107" s="8992"/>
      <c r="CB107" s="8992"/>
      <c r="CC107" s="8992"/>
      <c r="CD107" s="8992"/>
      <c r="CE107" s="8992"/>
      <c r="CF107" s="8992"/>
      <c r="CG107" s="8992"/>
      <c r="CH107" s="8992"/>
      <c r="CI107" s="8992"/>
      <c r="CJ107" s="8992"/>
      <c r="CK107" s="8992"/>
      <c r="CL107" s="8992"/>
      <c r="CM107" s="8992"/>
      <c r="CN107" s="8992"/>
      <c r="CO107" s="8992"/>
      <c r="CP107" s="8992"/>
      <c r="CQ107" s="8992"/>
      <c r="CR107" s="8992"/>
      <c r="CS107" s="8992"/>
      <c r="CT107" s="8992"/>
      <c r="CU107" s="8992"/>
      <c r="CV107" s="8992"/>
      <c r="CW107" s="8992"/>
      <c r="CX107" s="8992"/>
      <c r="CY107" s="8992"/>
      <c r="CZ107" s="8992"/>
      <c r="DA107" s="8992"/>
      <c r="DB107" s="8992"/>
      <c r="DC107" s="8992"/>
    </row>
    <row r="108" spans="2:107" s="8987" customFormat="1" x14ac:dyDescent="0.9">
      <c r="B108" s="8992"/>
      <c r="C108" s="8992"/>
      <c r="D108" s="8990"/>
      <c r="E108" s="8990"/>
      <c r="F108" s="8990"/>
      <c r="G108" s="8990"/>
      <c r="H108" s="8990"/>
      <c r="I108" s="8990"/>
      <c r="J108" s="8990"/>
      <c r="K108" s="8990"/>
      <c r="L108" s="9001"/>
      <c r="M108" s="8992"/>
      <c r="N108" s="8990"/>
      <c r="O108" s="8990"/>
      <c r="P108" s="8990"/>
      <c r="Q108" s="8990"/>
      <c r="R108" s="8990"/>
      <c r="S108" s="8990"/>
      <c r="T108" s="8990"/>
      <c r="U108" s="8990"/>
      <c r="V108" s="9001"/>
      <c r="W108" s="9001"/>
      <c r="X108" s="8990"/>
      <c r="Y108" s="8990"/>
      <c r="Z108" s="8990"/>
      <c r="AA108" s="8990"/>
      <c r="AB108" s="8990"/>
      <c r="AC108" s="8990"/>
      <c r="AD108" s="8990"/>
      <c r="AE108" s="8990"/>
      <c r="AF108" s="9001"/>
      <c r="AG108" s="8990"/>
      <c r="AH108" s="8990"/>
      <c r="AI108" s="8990"/>
      <c r="AJ108" s="8990"/>
      <c r="AK108" s="8990"/>
      <c r="AL108" s="8990"/>
      <c r="AM108" s="8990"/>
      <c r="AN108" s="8990"/>
      <c r="AO108" s="8990"/>
      <c r="AP108" s="9001"/>
      <c r="AQ108" s="8990"/>
      <c r="AR108" s="8990"/>
      <c r="AS108" s="8990"/>
      <c r="AT108" s="8990"/>
      <c r="AU108" s="8990"/>
      <c r="AV108" s="8990"/>
      <c r="AW108" s="8990"/>
      <c r="AX108" s="8990"/>
      <c r="AY108" s="8990"/>
      <c r="AZ108" s="9001"/>
      <c r="BA108" s="8990"/>
      <c r="BB108" s="8990"/>
      <c r="BC108" s="8990"/>
      <c r="BD108" s="8990"/>
      <c r="BE108" s="8990"/>
      <c r="BF108" s="8988"/>
      <c r="BG108" s="8988"/>
      <c r="BH108" s="8990"/>
      <c r="BI108" s="8990"/>
      <c r="BJ108" s="8988"/>
      <c r="BK108" s="8988"/>
      <c r="BL108" s="8988"/>
      <c r="BM108" s="8988"/>
      <c r="BN108" s="8988"/>
      <c r="BO108" s="8988"/>
      <c r="BP108" s="8988"/>
      <c r="BQ108" s="8988"/>
      <c r="BR108" s="8988"/>
      <c r="BS108" s="8988"/>
      <c r="BT108" s="8988"/>
      <c r="BU108" s="8988"/>
      <c r="BW108" s="8992"/>
      <c r="BX108" s="8992"/>
      <c r="BY108" s="8992"/>
      <c r="BZ108" s="8992"/>
      <c r="CA108" s="8992"/>
      <c r="CB108" s="8992"/>
      <c r="CC108" s="8992"/>
      <c r="CD108" s="8992"/>
      <c r="CE108" s="8992"/>
      <c r="CF108" s="8992"/>
      <c r="CG108" s="8992"/>
      <c r="CH108" s="8992"/>
      <c r="CI108" s="8992"/>
      <c r="CJ108" s="8992"/>
      <c r="CK108" s="8992"/>
      <c r="CL108" s="8992"/>
      <c r="CM108" s="8992"/>
      <c r="CN108" s="8992"/>
      <c r="CO108" s="8992"/>
      <c r="CP108" s="8992"/>
      <c r="CQ108" s="8992"/>
      <c r="CR108" s="8992"/>
      <c r="CS108" s="8992"/>
      <c r="CT108" s="8992"/>
      <c r="CU108" s="8992"/>
      <c r="CV108" s="8992"/>
      <c r="CW108" s="8992"/>
      <c r="CX108" s="8992"/>
      <c r="CY108" s="8992"/>
      <c r="CZ108" s="8992"/>
      <c r="DA108" s="8992"/>
      <c r="DB108" s="8992"/>
      <c r="DC108" s="8992"/>
    </row>
    <row r="109" spans="2:107" s="8987" customFormat="1" x14ac:dyDescent="0.9">
      <c r="B109" s="8992"/>
      <c r="C109" s="8992"/>
      <c r="D109" s="8990"/>
      <c r="E109" s="8990"/>
      <c r="F109" s="8990"/>
      <c r="G109" s="8990"/>
      <c r="H109" s="8990"/>
      <c r="I109" s="8990"/>
      <c r="J109" s="8990"/>
      <c r="K109" s="8990"/>
      <c r="L109" s="9001"/>
      <c r="M109" s="8992"/>
      <c r="N109" s="8990"/>
      <c r="O109" s="8990"/>
      <c r="P109" s="8990"/>
      <c r="Q109" s="8990"/>
      <c r="R109" s="8990"/>
      <c r="S109" s="8990"/>
      <c r="T109" s="8990"/>
      <c r="U109" s="8990"/>
      <c r="V109" s="9001"/>
      <c r="W109" s="9001"/>
      <c r="X109" s="8990"/>
      <c r="Y109" s="8990"/>
      <c r="Z109" s="8990"/>
      <c r="AA109" s="8990"/>
      <c r="AB109" s="8990"/>
      <c r="AC109" s="8990"/>
      <c r="AD109" s="8990"/>
      <c r="AE109" s="8990"/>
      <c r="AF109" s="9001"/>
      <c r="AG109" s="8990"/>
      <c r="AH109" s="8990"/>
      <c r="AI109" s="8990"/>
      <c r="AJ109" s="8990"/>
      <c r="AK109" s="8990"/>
      <c r="AL109" s="8990"/>
      <c r="AM109" s="8990"/>
      <c r="AN109" s="8990"/>
      <c r="AO109" s="8990"/>
      <c r="AP109" s="9001"/>
      <c r="AQ109" s="8990"/>
      <c r="AR109" s="8990"/>
      <c r="AS109" s="8990"/>
      <c r="AT109" s="8990"/>
      <c r="AU109" s="8990"/>
      <c r="AV109" s="8990"/>
      <c r="AW109" s="8990"/>
      <c r="AX109" s="8990"/>
      <c r="AY109" s="8990"/>
      <c r="AZ109" s="9001"/>
      <c r="BA109" s="8990"/>
      <c r="BB109" s="8990"/>
      <c r="BC109" s="8990"/>
      <c r="BD109" s="8990"/>
      <c r="BE109" s="8990"/>
      <c r="BF109" s="8988"/>
      <c r="BG109" s="8988"/>
      <c r="BH109" s="8990"/>
      <c r="BI109" s="8990"/>
      <c r="BJ109" s="8988"/>
      <c r="BK109" s="8988"/>
      <c r="BL109" s="8988"/>
      <c r="BM109" s="8988"/>
      <c r="BN109" s="8988"/>
      <c r="BO109" s="8988"/>
      <c r="BP109" s="8988"/>
      <c r="BQ109" s="8988"/>
      <c r="BR109" s="8988"/>
      <c r="BS109" s="8988"/>
      <c r="BT109" s="8988"/>
      <c r="BU109" s="8988"/>
      <c r="BW109" s="8992"/>
      <c r="BX109" s="8992"/>
      <c r="BY109" s="8992"/>
      <c r="BZ109" s="8992"/>
      <c r="CA109" s="8992"/>
      <c r="CB109" s="8992"/>
      <c r="CC109" s="8992"/>
      <c r="CD109" s="8992"/>
      <c r="CE109" s="8992"/>
      <c r="CF109" s="8992"/>
      <c r="CG109" s="8992"/>
      <c r="CH109" s="8992"/>
      <c r="CI109" s="8992"/>
      <c r="CJ109" s="8992"/>
      <c r="CK109" s="8992"/>
      <c r="CL109" s="8992"/>
      <c r="CM109" s="8992"/>
      <c r="CN109" s="8992"/>
      <c r="CO109" s="8992"/>
      <c r="CP109" s="8992"/>
      <c r="CQ109" s="8992"/>
      <c r="CR109" s="8992"/>
      <c r="CS109" s="8992"/>
      <c r="CT109" s="8992"/>
      <c r="CU109" s="8992"/>
      <c r="CV109" s="8992"/>
      <c r="CW109" s="8992"/>
      <c r="CX109" s="8992"/>
      <c r="CY109" s="8992"/>
      <c r="CZ109" s="8992"/>
      <c r="DA109" s="8992"/>
      <c r="DB109" s="8992"/>
      <c r="DC109" s="8992"/>
    </row>
    <row r="110" spans="2:107" s="8987" customFormat="1" x14ac:dyDescent="0.9">
      <c r="B110" s="8992"/>
      <c r="C110" s="8992"/>
      <c r="D110" s="8990"/>
      <c r="E110" s="8990"/>
      <c r="F110" s="8990"/>
      <c r="G110" s="8990"/>
      <c r="H110" s="8990"/>
      <c r="I110" s="8990"/>
      <c r="J110" s="8990"/>
      <c r="K110" s="8990"/>
      <c r="L110" s="9001"/>
      <c r="M110" s="8992"/>
      <c r="N110" s="8990"/>
      <c r="O110" s="8990"/>
      <c r="P110" s="8990"/>
      <c r="Q110" s="8990"/>
      <c r="R110" s="8990"/>
      <c r="S110" s="8990"/>
      <c r="T110" s="8990"/>
      <c r="U110" s="8990"/>
      <c r="V110" s="9001"/>
      <c r="W110" s="9001"/>
      <c r="X110" s="8990"/>
      <c r="Y110" s="8990"/>
      <c r="Z110" s="8990"/>
      <c r="AA110" s="8990"/>
      <c r="AB110" s="8990"/>
      <c r="AC110" s="8990"/>
      <c r="AD110" s="8990"/>
      <c r="AE110" s="8990"/>
      <c r="AF110" s="9001"/>
      <c r="AG110" s="8990"/>
      <c r="AH110" s="8990"/>
      <c r="AI110" s="8990"/>
      <c r="AJ110" s="8990"/>
      <c r="AK110" s="8990"/>
      <c r="AL110" s="8990"/>
      <c r="AM110" s="8990"/>
      <c r="AN110" s="8990"/>
      <c r="AO110" s="8990"/>
      <c r="AP110" s="9001"/>
      <c r="AQ110" s="8990"/>
      <c r="AR110" s="8990"/>
      <c r="AS110" s="8990"/>
      <c r="AT110" s="8990"/>
      <c r="AU110" s="8990"/>
      <c r="AV110" s="8990"/>
      <c r="AW110" s="8990"/>
      <c r="AX110" s="8990"/>
      <c r="AY110" s="8990"/>
      <c r="AZ110" s="9001"/>
      <c r="BA110" s="8990"/>
      <c r="BB110" s="8990"/>
      <c r="BC110" s="8990"/>
      <c r="BD110" s="8990"/>
      <c r="BE110" s="8990"/>
      <c r="BF110" s="8988"/>
      <c r="BG110" s="8988"/>
      <c r="BH110" s="8990"/>
      <c r="BI110" s="8990"/>
      <c r="BJ110" s="8988"/>
      <c r="BK110" s="8988"/>
      <c r="BL110" s="8988"/>
      <c r="BM110" s="8988"/>
      <c r="BN110" s="8988"/>
      <c r="BO110" s="8988"/>
      <c r="BP110" s="8988"/>
      <c r="BQ110" s="8988"/>
      <c r="BR110" s="8988"/>
      <c r="BS110" s="8988"/>
      <c r="BT110" s="8988"/>
      <c r="BU110" s="8988"/>
      <c r="BW110" s="8992"/>
      <c r="BX110" s="8992"/>
      <c r="BY110" s="8992"/>
      <c r="BZ110" s="8992"/>
      <c r="CA110" s="8992"/>
      <c r="CB110" s="8992"/>
      <c r="CC110" s="8992"/>
      <c r="CD110" s="8992"/>
      <c r="CE110" s="8992"/>
      <c r="CF110" s="8992"/>
      <c r="CG110" s="8992"/>
      <c r="CH110" s="8992"/>
      <c r="CI110" s="8992"/>
      <c r="CJ110" s="8992"/>
      <c r="CK110" s="8992"/>
      <c r="CL110" s="8992"/>
      <c r="CM110" s="8992"/>
      <c r="CN110" s="8992"/>
      <c r="CO110" s="8992"/>
      <c r="CP110" s="8992"/>
      <c r="CQ110" s="8992"/>
      <c r="CR110" s="8992"/>
      <c r="CS110" s="8992"/>
      <c r="CT110" s="8992"/>
      <c r="CU110" s="8992"/>
      <c r="CV110" s="8992"/>
      <c r="CW110" s="8992"/>
      <c r="CX110" s="8992"/>
      <c r="CY110" s="8992"/>
      <c r="CZ110" s="8992"/>
      <c r="DA110" s="8992"/>
      <c r="DB110" s="8992"/>
      <c r="DC110" s="8992"/>
    </row>
    <row r="111" spans="2:107" s="8987" customFormat="1" x14ac:dyDescent="0.9">
      <c r="B111" s="8992"/>
      <c r="C111" s="8992"/>
      <c r="D111" s="8990"/>
      <c r="E111" s="8990"/>
      <c r="F111" s="8990"/>
      <c r="G111" s="8990"/>
      <c r="H111" s="8990"/>
      <c r="I111" s="8990"/>
      <c r="J111" s="8990"/>
      <c r="K111" s="8990"/>
      <c r="L111" s="9001"/>
      <c r="M111" s="8992"/>
      <c r="N111" s="8990"/>
      <c r="O111" s="8990"/>
      <c r="P111" s="8990"/>
      <c r="Q111" s="8990"/>
      <c r="R111" s="8990"/>
      <c r="S111" s="8990"/>
      <c r="T111" s="8990"/>
      <c r="U111" s="8990"/>
      <c r="V111" s="9001"/>
      <c r="W111" s="9001"/>
      <c r="X111" s="8990"/>
      <c r="Y111" s="8990"/>
      <c r="Z111" s="8990"/>
      <c r="AA111" s="8990"/>
      <c r="AB111" s="8990"/>
      <c r="AC111" s="8990"/>
      <c r="AD111" s="8990"/>
      <c r="AE111" s="8990"/>
      <c r="AF111" s="9001"/>
      <c r="AG111" s="8990"/>
      <c r="AH111" s="8990"/>
      <c r="AI111" s="8990"/>
      <c r="AJ111" s="8990"/>
      <c r="AK111" s="8990"/>
      <c r="AL111" s="8990"/>
      <c r="AM111" s="8990"/>
      <c r="AN111" s="8990"/>
      <c r="AO111" s="8990"/>
      <c r="AP111" s="9001"/>
      <c r="AQ111" s="8990"/>
      <c r="AR111" s="8990"/>
      <c r="AS111" s="8990"/>
      <c r="AT111" s="8990"/>
      <c r="AU111" s="8990"/>
      <c r="AV111" s="8990"/>
      <c r="AW111" s="8990"/>
      <c r="AX111" s="8990"/>
      <c r="AY111" s="8990"/>
      <c r="AZ111" s="9001"/>
      <c r="BA111" s="8990"/>
      <c r="BB111" s="8990"/>
      <c r="BC111" s="8990"/>
      <c r="BD111" s="8990"/>
      <c r="BE111" s="8990"/>
      <c r="BF111" s="8988"/>
      <c r="BG111" s="8988"/>
      <c r="BH111" s="8990"/>
      <c r="BI111" s="8990"/>
      <c r="BJ111" s="8988"/>
      <c r="BK111" s="8988"/>
      <c r="BL111" s="8988"/>
      <c r="BM111" s="8988"/>
      <c r="BN111" s="8988"/>
      <c r="BO111" s="8988"/>
      <c r="BP111" s="8988"/>
      <c r="BQ111" s="8988"/>
      <c r="BR111" s="8988"/>
      <c r="BS111" s="8988"/>
      <c r="BT111" s="8988"/>
      <c r="BU111" s="8988"/>
      <c r="BW111" s="8992"/>
      <c r="BX111" s="8992"/>
      <c r="BY111" s="8992"/>
      <c r="BZ111" s="8992"/>
      <c r="CA111" s="8992"/>
      <c r="CB111" s="8992"/>
      <c r="CC111" s="8992"/>
      <c r="CD111" s="8992"/>
      <c r="CE111" s="8992"/>
      <c r="CF111" s="8992"/>
      <c r="CG111" s="8992"/>
      <c r="CH111" s="8992"/>
      <c r="CI111" s="8992"/>
      <c r="CJ111" s="8992"/>
      <c r="CK111" s="8992"/>
      <c r="CL111" s="8992"/>
      <c r="CM111" s="8992"/>
      <c r="CN111" s="8992"/>
      <c r="CO111" s="8992"/>
      <c r="CP111" s="8992"/>
      <c r="CQ111" s="8992"/>
      <c r="CR111" s="8992"/>
      <c r="CS111" s="8992"/>
      <c r="CT111" s="8992"/>
      <c r="CU111" s="8992"/>
      <c r="CV111" s="8992"/>
      <c r="CW111" s="8992"/>
      <c r="CX111" s="8992"/>
      <c r="CY111" s="8992"/>
      <c r="CZ111" s="8992"/>
      <c r="DA111" s="8992"/>
      <c r="DB111" s="8992"/>
      <c r="DC111" s="8992"/>
    </row>
    <row r="112" spans="2:107" s="8987" customFormat="1" x14ac:dyDescent="0.9">
      <c r="B112" s="8992"/>
      <c r="C112" s="8992"/>
      <c r="D112" s="8990"/>
      <c r="E112" s="8990"/>
      <c r="F112" s="8990"/>
      <c r="G112" s="8990"/>
      <c r="H112" s="8990"/>
      <c r="I112" s="8990"/>
      <c r="J112" s="8990"/>
      <c r="K112" s="8990"/>
      <c r="L112" s="9001"/>
      <c r="M112" s="8992"/>
      <c r="N112" s="8990"/>
      <c r="O112" s="8990"/>
      <c r="P112" s="8990"/>
      <c r="Q112" s="8990"/>
      <c r="R112" s="8990"/>
      <c r="S112" s="8990"/>
      <c r="T112" s="8990"/>
      <c r="U112" s="8990"/>
      <c r="V112" s="9001"/>
      <c r="W112" s="9001"/>
      <c r="X112" s="8990"/>
      <c r="Y112" s="8990"/>
      <c r="Z112" s="8990"/>
      <c r="AA112" s="8990"/>
      <c r="AB112" s="8990"/>
      <c r="AC112" s="8990"/>
      <c r="AD112" s="8990"/>
      <c r="AE112" s="8990"/>
      <c r="AF112" s="9001"/>
      <c r="AG112" s="8990"/>
      <c r="AH112" s="8990"/>
      <c r="AI112" s="8990"/>
      <c r="AJ112" s="8990"/>
      <c r="AK112" s="8990"/>
      <c r="AL112" s="8990"/>
      <c r="AM112" s="8990"/>
      <c r="AN112" s="8990"/>
      <c r="AO112" s="8990"/>
      <c r="AP112" s="9001"/>
      <c r="AQ112" s="8990"/>
      <c r="AR112" s="8990"/>
      <c r="AS112" s="8990"/>
      <c r="AT112" s="8990"/>
      <c r="AU112" s="8990"/>
      <c r="AV112" s="8990"/>
      <c r="AW112" s="8990"/>
      <c r="AX112" s="8990"/>
      <c r="AY112" s="8990"/>
      <c r="AZ112" s="9001"/>
      <c r="BA112" s="8990"/>
      <c r="BB112" s="8990"/>
      <c r="BC112" s="8990"/>
      <c r="BD112" s="8990"/>
      <c r="BE112" s="8990"/>
      <c r="BF112" s="8988"/>
      <c r="BG112" s="8988"/>
      <c r="BH112" s="8990"/>
      <c r="BI112" s="8990"/>
      <c r="BJ112" s="8988"/>
      <c r="BK112" s="8988"/>
      <c r="BL112" s="8988"/>
      <c r="BM112" s="8988"/>
      <c r="BN112" s="8988"/>
      <c r="BO112" s="8988"/>
      <c r="BP112" s="8988"/>
      <c r="BQ112" s="8988"/>
      <c r="BR112" s="8988"/>
      <c r="BS112" s="8988"/>
      <c r="BT112" s="8988"/>
      <c r="BU112" s="8988"/>
      <c r="BW112" s="8992"/>
      <c r="BX112" s="8992"/>
      <c r="BY112" s="8992"/>
      <c r="BZ112" s="8992"/>
      <c r="CA112" s="8992"/>
      <c r="CB112" s="8992"/>
      <c r="CC112" s="8992"/>
      <c r="CD112" s="8992"/>
      <c r="CE112" s="8992"/>
      <c r="CF112" s="8992"/>
      <c r="CG112" s="8992"/>
      <c r="CH112" s="8992"/>
      <c r="CI112" s="8992"/>
      <c r="CJ112" s="8992"/>
      <c r="CK112" s="8992"/>
      <c r="CL112" s="8992"/>
      <c r="CM112" s="8992"/>
      <c r="CN112" s="8992"/>
      <c r="CO112" s="8992"/>
      <c r="CP112" s="8992"/>
      <c r="CQ112" s="8992"/>
      <c r="CR112" s="8992"/>
      <c r="CS112" s="8992"/>
      <c r="CT112" s="8992"/>
      <c r="CU112" s="8992"/>
      <c r="CV112" s="8992"/>
      <c r="CW112" s="8992"/>
      <c r="CX112" s="8992"/>
      <c r="CY112" s="8992"/>
      <c r="CZ112" s="8992"/>
      <c r="DA112" s="8992"/>
      <c r="DB112" s="8992"/>
      <c r="DC112" s="8992"/>
    </row>
    <row r="113" spans="2:107" s="8987" customFormat="1" x14ac:dyDescent="0.9">
      <c r="B113" s="8992"/>
      <c r="C113" s="8992"/>
      <c r="D113" s="8990"/>
      <c r="E113" s="8990"/>
      <c r="F113" s="8990"/>
      <c r="G113" s="8990"/>
      <c r="H113" s="8990"/>
      <c r="I113" s="8990"/>
      <c r="J113" s="8990"/>
      <c r="K113" s="8990"/>
      <c r="L113" s="9001"/>
      <c r="M113" s="8992"/>
      <c r="N113" s="8990"/>
      <c r="O113" s="8990"/>
      <c r="P113" s="8990"/>
      <c r="Q113" s="8990"/>
      <c r="R113" s="8990"/>
      <c r="S113" s="8990"/>
      <c r="T113" s="8990"/>
      <c r="U113" s="8990"/>
      <c r="V113" s="9001"/>
      <c r="W113" s="9001"/>
      <c r="X113" s="8990"/>
      <c r="Y113" s="8990"/>
      <c r="Z113" s="8990"/>
      <c r="AA113" s="8990"/>
      <c r="AB113" s="8990"/>
      <c r="AC113" s="8990"/>
      <c r="AD113" s="8990"/>
      <c r="AE113" s="8990"/>
      <c r="AF113" s="9001"/>
      <c r="AG113" s="8990"/>
      <c r="AH113" s="8990"/>
      <c r="AI113" s="8990"/>
      <c r="AJ113" s="8990"/>
      <c r="AK113" s="8990"/>
      <c r="AL113" s="8990"/>
      <c r="AM113" s="8990"/>
      <c r="AN113" s="8990"/>
      <c r="AO113" s="8990"/>
      <c r="AP113" s="9001"/>
      <c r="AQ113" s="8990"/>
      <c r="AR113" s="8990"/>
      <c r="AS113" s="8990"/>
      <c r="AT113" s="8990"/>
      <c r="AU113" s="8990"/>
      <c r="AV113" s="8990"/>
      <c r="AW113" s="8990"/>
      <c r="AX113" s="8990"/>
      <c r="AY113" s="8990"/>
      <c r="AZ113" s="9001"/>
      <c r="BA113" s="8990"/>
      <c r="BB113" s="8990"/>
      <c r="BC113" s="8990"/>
      <c r="BD113" s="8990"/>
      <c r="BE113" s="8990"/>
      <c r="BF113" s="8988"/>
      <c r="BG113" s="8988"/>
      <c r="BH113" s="8990"/>
      <c r="BI113" s="8990"/>
      <c r="BJ113" s="8988"/>
      <c r="BK113" s="8988"/>
      <c r="BL113" s="8988"/>
      <c r="BM113" s="8988"/>
      <c r="BN113" s="8988"/>
      <c r="BO113" s="8988"/>
      <c r="BP113" s="8988"/>
      <c r="BQ113" s="8988"/>
      <c r="BR113" s="8988"/>
      <c r="BS113" s="8988"/>
      <c r="BT113" s="8988"/>
      <c r="BU113" s="8988"/>
      <c r="BW113" s="8992"/>
      <c r="BX113" s="8992"/>
      <c r="BY113" s="8992"/>
      <c r="BZ113" s="8992"/>
      <c r="CA113" s="8992"/>
      <c r="CB113" s="8992"/>
      <c r="CC113" s="8992"/>
      <c r="CD113" s="8992"/>
      <c r="CE113" s="8992"/>
      <c r="CF113" s="8992"/>
      <c r="CG113" s="8992"/>
      <c r="CH113" s="8992"/>
      <c r="CI113" s="8992"/>
      <c r="CJ113" s="8992"/>
      <c r="CK113" s="8992"/>
      <c r="CL113" s="8992"/>
      <c r="CM113" s="8992"/>
      <c r="CN113" s="8992"/>
      <c r="CO113" s="8992"/>
      <c r="CP113" s="8992"/>
      <c r="CQ113" s="8992"/>
      <c r="CR113" s="8992"/>
      <c r="CS113" s="8992"/>
      <c r="CT113" s="8992"/>
      <c r="CU113" s="8992"/>
      <c r="CV113" s="8992"/>
      <c r="CW113" s="8992"/>
      <c r="CX113" s="8992"/>
      <c r="CY113" s="8992"/>
      <c r="CZ113" s="8992"/>
      <c r="DA113" s="8992"/>
      <c r="DB113" s="8992"/>
      <c r="DC113" s="8992"/>
    </row>
    <row r="114" spans="2:107" s="8987" customFormat="1" x14ac:dyDescent="0.9">
      <c r="B114" s="8992"/>
      <c r="C114" s="8992"/>
      <c r="D114" s="8990"/>
      <c r="E114" s="8990"/>
      <c r="F114" s="8990"/>
      <c r="G114" s="8990"/>
      <c r="H114" s="8990"/>
      <c r="I114" s="8990"/>
      <c r="J114" s="8990"/>
      <c r="K114" s="8990"/>
      <c r="L114" s="9001"/>
      <c r="M114" s="8992"/>
      <c r="N114" s="8990"/>
      <c r="O114" s="8990"/>
      <c r="P114" s="8990"/>
      <c r="Q114" s="8990"/>
      <c r="R114" s="8990"/>
      <c r="S114" s="8990"/>
      <c r="T114" s="8990"/>
      <c r="U114" s="8990"/>
      <c r="V114" s="9001"/>
      <c r="W114" s="9001"/>
      <c r="X114" s="8990"/>
      <c r="Y114" s="8990"/>
      <c r="Z114" s="8990"/>
      <c r="AA114" s="8990"/>
      <c r="AB114" s="8990"/>
      <c r="AC114" s="8990"/>
      <c r="AD114" s="8990"/>
      <c r="AE114" s="8990"/>
      <c r="AF114" s="9001"/>
      <c r="AG114" s="8990"/>
      <c r="AH114" s="8990"/>
      <c r="AI114" s="8990"/>
      <c r="AJ114" s="8990"/>
      <c r="AK114" s="8990"/>
      <c r="AL114" s="8990"/>
      <c r="AM114" s="8990"/>
      <c r="AN114" s="8990"/>
      <c r="AO114" s="8990"/>
      <c r="AP114" s="9001"/>
      <c r="AQ114" s="8990"/>
      <c r="AR114" s="8990"/>
      <c r="AS114" s="8990"/>
      <c r="AT114" s="8990"/>
      <c r="AU114" s="8990"/>
      <c r="AV114" s="8990"/>
      <c r="AW114" s="8990"/>
      <c r="AX114" s="8990"/>
      <c r="AY114" s="8990"/>
      <c r="AZ114" s="9001"/>
      <c r="BA114" s="8990"/>
      <c r="BB114" s="8990"/>
      <c r="BC114" s="8990"/>
      <c r="BD114" s="8990"/>
      <c r="BE114" s="8990"/>
      <c r="BF114" s="8988"/>
      <c r="BG114" s="8988"/>
      <c r="BH114" s="8990"/>
      <c r="BI114" s="8990"/>
      <c r="BJ114" s="8988"/>
      <c r="BK114" s="8988"/>
      <c r="BL114" s="8988"/>
      <c r="BM114" s="8988"/>
      <c r="BN114" s="8988"/>
      <c r="BO114" s="8988"/>
      <c r="BP114" s="8988"/>
      <c r="BQ114" s="8988"/>
      <c r="BR114" s="8988"/>
      <c r="BS114" s="8988"/>
      <c r="BT114" s="8988"/>
      <c r="BU114" s="8988"/>
      <c r="BW114" s="8992"/>
      <c r="BX114" s="8992"/>
      <c r="BY114" s="8992"/>
      <c r="BZ114" s="8992"/>
      <c r="CA114" s="8992"/>
      <c r="CB114" s="8992"/>
      <c r="CC114" s="8992"/>
      <c r="CD114" s="8992"/>
      <c r="CE114" s="8992"/>
      <c r="CF114" s="8992"/>
      <c r="CG114" s="8992"/>
      <c r="CH114" s="8992"/>
      <c r="CI114" s="8992"/>
      <c r="CJ114" s="8992"/>
      <c r="CK114" s="8992"/>
      <c r="CL114" s="8992"/>
      <c r="CM114" s="8992"/>
      <c r="CN114" s="8992"/>
      <c r="CO114" s="8992"/>
      <c r="CP114" s="8992"/>
      <c r="CQ114" s="8992"/>
      <c r="CR114" s="8992"/>
      <c r="CS114" s="8992"/>
      <c r="CT114" s="8992"/>
      <c r="CU114" s="8992"/>
      <c r="CV114" s="8992"/>
      <c r="CW114" s="8992"/>
      <c r="CX114" s="8992"/>
      <c r="CY114" s="8992"/>
      <c r="CZ114" s="8992"/>
      <c r="DA114" s="8992"/>
      <c r="DB114" s="8992"/>
      <c r="DC114" s="8992"/>
    </row>
    <row r="115" spans="2:107" s="8987" customFormat="1" x14ac:dyDescent="0.9">
      <c r="B115" s="8992"/>
      <c r="C115" s="8992"/>
      <c r="D115" s="8990"/>
      <c r="E115" s="8990"/>
      <c r="F115" s="8990"/>
      <c r="G115" s="8990"/>
      <c r="H115" s="8990"/>
      <c r="I115" s="8990"/>
      <c r="J115" s="8990"/>
      <c r="K115" s="8990"/>
      <c r="L115" s="9001"/>
      <c r="M115" s="8992"/>
      <c r="N115" s="8990"/>
      <c r="O115" s="8990"/>
      <c r="P115" s="8990"/>
      <c r="Q115" s="8990"/>
      <c r="R115" s="8990"/>
      <c r="S115" s="8990"/>
      <c r="T115" s="8990"/>
      <c r="U115" s="8990"/>
      <c r="V115" s="9001"/>
      <c r="W115" s="9001"/>
      <c r="X115" s="8990"/>
      <c r="Y115" s="8990"/>
      <c r="Z115" s="8990"/>
      <c r="AA115" s="8990"/>
      <c r="AB115" s="8990"/>
      <c r="AC115" s="8990"/>
      <c r="AD115" s="8990"/>
      <c r="AE115" s="8990"/>
      <c r="AF115" s="9001"/>
      <c r="AG115" s="8990"/>
      <c r="AH115" s="8990"/>
      <c r="AI115" s="8990"/>
      <c r="AJ115" s="8990"/>
      <c r="AK115" s="8990"/>
      <c r="AL115" s="8990"/>
      <c r="AM115" s="8990"/>
      <c r="AN115" s="8990"/>
      <c r="AO115" s="8990"/>
      <c r="AP115" s="9001"/>
      <c r="AQ115" s="8990"/>
      <c r="AR115" s="8990"/>
      <c r="AS115" s="8990"/>
      <c r="AT115" s="8990"/>
      <c r="AU115" s="8990"/>
      <c r="AV115" s="8990"/>
      <c r="AW115" s="8990"/>
      <c r="AX115" s="8990"/>
      <c r="AY115" s="8990"/>
      <c r="AZ115" s="9001"/>
      <c r="BA115" s="8990"/>
      <c r="BB115" s="8990"/>
      <c r="BC115" s="8990"/>
      <c r="BD115" s="8990"/>
      <c r="BE115" s="8990"/>
      <c r="BF115" s="8988"/>
      <c r="BG115" s="8988"/>
      <c r="BH115" s="8990"/>
      <c r="BI115" s="8990"/>
      <c r="BJ115" s="8988"/>
      <c r="BK115" s="8988"/>
      <c r="BL115" s="8988"/>
      <c r="BM115" s="8988"/>
      <c r="BN115" s="8988"/>
      <c r="BO115" s="8988"/>
      <c r="BP115" s="8988"/>
      <c r="BQ115" s="8988"/>
      <c r="BR115" s="8988"/>
      <c r="BS115" s="8988"/>
      <c r="BT115" s="8988"/>
      <c r="BU115" s="8988"/>
      <c r="BW115" s="8992"/>
      <c r="BX115" s="8992"/>
      <c r="BY115" s="8992"/>
      <c r="BZ115" s="8992"/>
      <c r="CA115" s="8992"/>
      <c r="CB115" s="8992"/>
      <c r="CC115" s="8992"/>
      <c r="CD115" s="8992"/>
      <c r="CE115" s="8992"/>
      <c r="CF115" s="8992"/>
      <c r="CG115" s="8992"/>
      <c r="CH115" s="8992"/>
      <c r="CI115" s="8992"/>
      <c r="CJ115" s="8992"/>
      <c r="CK115" s="8992"/>
      <c r="CL115" s="8992"/>
      <c r="CM115" s="8992"/>
      <c r="CN115" s="8992"/>
      <c r="CO115" s="8992"/>
      <c r="CP115" s="8992"/>
      <c r="CQ115" s="8992"/>
      <c r="CR115" s="8992"/>
      <c r="CS115" s="8992"/>
      <c r="CT115" s="8992"/>
      <c r="CU115" s="8992"/>
      <c r="CV115" s="8992"/>
      <c r="CW115" s="8992"/>
      <c r="CX115" s="8992"/>
      <c r="CY115" s="8992"/>
      <c r="CZ115" s="8992"/>
      <c r="DA115" s="8992"/>
      <c r="DB115" s="8992"/>
      <c r="DC115" s="8992"/>
    </row>
    <row r="116" spans="2:107" s="8987" customFormat="1" x14ac:dyDescent="0.9">
      <c r="B116" s="8992"/>
      <c r="C116" s="8992"/>
      <c r="D116" s="8990"/>
      <c r="E116" s="8990"/>
      <c r="F116" s="8990"/>
      <c r="G116" s="8990"/>
      <c r="H116" s="8990"/>
      <c r="I116" s="8990"/>
      <c r="J116" s="8990"/>
      <c r="K116" s="8990"/>
      <c r="L116" s="9001"/>
      <c r="M116" s="8992"/>
      <c r="N116" s="8990"/>
      <c r="O116" s="8990"/>
      <c r="P116" s="8990"/>
      <c r="Q116" s="8990"/>
      <c r="R116" s="8990"/>
      <c r="S116" s="8990"/>
      <c r="T116" s="8990"/>
      <c r="U116" s="8990"/>
      <c r="V116" s="9001"/>
      <c r="W116" s="9001"/>
      <c r="X116" s="8990"/>
      <c r="Y116" s="8990"/>
      <c r="Z116" s="8990"/>
      <c r="AA116" s="8990"/>
      <c r="AB116" s="8990"/>
      <c r="AC116" s="8990"/>
      <c r="AD116" s="8990"/>
      <c r="AE116" s="8990"/>
      <c r="AF116" s="9001"/>
      <c r="AG116" s="8990"/>
      <c r="AH116" s="8990"/>
      <c r="AI116" s="8990"/>
      <c r="AJ116" s="8990"/>
      <c r="AK116" s="8990"/>
      <c r="AL116" s="8990"/>
      <c r="AM116" s="8990"/>
      <c r="AN116" s="8990"/>
      <c r="AO116" s="8990"/>
      <c r="AP116" s="9001"/>
      <c r="AQ116" s="8990"/>
      <c r="AR116" s="8990"/>
      <c r="AS116" s="8990"/>
      <c r="AT116" s="8990"/>
      <c r="AU116" s="8990"/>
      <c r="AV116" s="8990"/>
      <c r="AW116" s="8990"/>
      <c r="AX116" s="8990"/>
      <c r="AY116" s="8990"/>
      <c r="AZ116" s="9001"/>
      <c r="BA116" s="8990"/>
      <c r="BB116" s="8990"/>
      <c r="BC116" s="8990"/>
      <c r="BD116" s="8990"/>
      <c r="BE116" s="8990"/>
      <c r="BF116" s="8988"/>
      <c r="BG116" s="8988"/>
      <c r="BH116" s="8990"/>
      <c r="BI116" s="8990"/>
      <c r="BJ116" s="8988"/>
      <c r="BK116" s="8988"/>
      <c r="BL116" s="8988"/>
      <c r="BM116" s="8988"/>
      <c r="BN116" s="8988"/>
      <c r="BO116" s="8988"/>
      <c r="BP116" s="8988"/>
      <c r="BQ116" s="8988"/>
      <c r="BR116" s="8988"/>
      <c r="BS116" s="8988"/>
      <c r="BT116" s="8988"/>
      <c r="BU116" s="8988"/>
      <c r="BW116" s="8992"/>
      <c r="BX116" s="8992"/>
      <c r="BY116" s="8992"/>
      <c r="BZ116" s="8992"/>
      <c r="CA116" s="8992"/>
      <c r="CB116" s="8992"/>
      <c r="CC116" s="8992"/>
      <c r="CD116" s="8992"/>
      <c r="CE116" s="8992"/>
      <c r="CF116" s="8992"/>
      <c r="CG116" s="8992"/>
      <c r="CH116" s="8992"/>
      <c r="CI116" s="8992"/>
      <c r="CJ116" s="8992"/>
      <c r="CK116" s="8992"/>
      <c r="CL116" s="8992"/>
      <c r="CM116" s="8992"/>
      <c r="CN116" s="8992"/>
      <c r="CO116" s="8992"/>
      <c r="CP116" s="8992"/>
      <c r="CQ116" s="8992"/>
      <c r="CR116" s="8992"/>
      <c r="CS116" s="8992"/>
      <c r="CT116" s="8992"/>
      <c r="CU116" s="8992"/>
      <c r="CV116" s="8992"/>
      <c r="CW116" s="8992"/>
      <c r="CX116" s="8992"/>
      <c r="CY116" s="8992"/>
      <c r="CZ116" s="8992"/>
      <c r="DA116" s="8992"/>
      <c r="DB116" s="8992"/>
      <c r="DC116" s="8992"/>
    </row>
    <row r="117" spans="2:107" s="8987" customFormat="1" x14ac:dyDescent="0.9">
      <c r="B117" s="8992"/>
      <c r="C117" s="8992"/>
      <c r="D117" s="8990"/>
      <c r="E117" s="8990"/>
      <c r="F117" s="8990"/>
      <c r="G117" s="8990"/>
      <c r="H117" s="8990"/>
      <c r="I117" s="8990"/>
      <c r="J117" s="8990"/>
      <c r="K117" s="8990"/>
      <c r="L117" s="9001"/>
      <c r="M117" s="8992"/>
      <c r="N117" s="8990"/>
      <c r="O117" s="8990"/>
      <c r="P117" s="8990"/>
      <c r="Q117" s="8990"/>
      <c r="R117" s="8990"/>
      <c r="S117" s="8990"/>
      <c r="T117" s="8990"/>
      <c r="U117" s="8990"/>
      <c r="V117" s="9001"/>
      <c r="W117" s="9001"/>
      <c r="X117" s="8990"/>
      <c r="Y117" s="8990"/>
      <c r="Z117" s="8990"/>
      <c r="AA117" s="8990"/>
      <c r="AB117" s="8990"/>
      <c r="AC117" s="8990"/>
      <c r="AD117" s="8990"/>
      <c r="AE117" s="8990"/>
      <c r="AF117" s="9001"/>
      <c r="AG117" s="8990"/>
      <c r="AH117" s="8990"/>
      <c r="AI117" s="8990"/>
      <c r="AJ117" s="8990"/>
      <c r="AK117" s="8990"/>
      <c r="AL117" s="8990"/>
      <c r="AM117" s="8990"/>
      <c r="AN117" s="8990"/>
      <c r="AO117" s="8990"/>
      <c r="AP117" s="9001"/>
      <c r="AQ117" s="8990"/>
      <c r="AR117" s="8990"/>
      <c r="AS117" s="8990"/>
      <c r="AT117" s="8990"/>
      <c r="AU117" s="8990"/>
      <c r="AV117" s="8990"/>
      <c r="AW117" s="8990"/>
      <c r="AX117" s="8990"/>
      <c r="AY117" s="8990"/>
      <c r="AZ117" s="9001"/>
      <c r="BA117" s="8990"/>
      <c r="BB117" s="8990"/>
      <c r="BC117" s="8990"/>
      <c r="BD117" s="8990"/>
      <c r="BE117" s="8990"/>
      <c r="BF117" s="8988"/>
      <c r="BG117" s="8988"/>
      <c r="BH117" s="8990"/>
      <c r="BI117" s="8990"/>
      <c r="BJ117" s="8988"/>
      <c r="BK117" s="8988"/>
      <c r="BL117" s="8988"/>
      <c r="BM117" s="8988"/>
      <c r="BN117" s="8988"/>
      <c r="BO117" s="8988"/>
      <c r="BP117" s="8988"/>
      <c r="BQ117" s="8988"/>
      <c r="BR117" s="8988"/>
      <c r="BS117" s="8988"/>
      <c r="BT117" s="8988"/>
      <c r="BU117" s="8988"/>
      <c r="BW117" s="8992"/>
      <c r="BX117" s="8992"/>
      <c r="BY117" s="8992"/>
      <c r="BZ117" s="8992"/>
      <c r="CA117" s="8992"/>
      <c r="CB117" s="8992"/>
      <c r="CC117" s="8992"/>
      <c r="CD117" s="8992"/>
      <c r="CE117" s="8992"/>
      <c r="CF117" s="8992"/>
      <c r="CG117" s="8992"/>
      <c r="CH117" s="8992"/>
      <c r="CI117" s="8992"/>
      <c r="CJ117" s="8992"/>
      <c r="CK117" s="8992"/>
      <c r="CL117" s="8992"/>
      <c r="CM117" s="8992"/>
      <c r="CN117" s="8992"/>
      <c r="CO117" s="8992"/>
      <c r="CP117" s="8992"/>
      <c r="CQ117" s="8992"/>
      <c r="CR117" s="8992"/>
      <c r="CS117" s="8992"/>
      <c r="CT117" s="8992"/>
      <c r="CU117" s="8992"/>
      <c r="CV117" s="8992"/>
      <c r="CW117" s="8992"/>
      <c r="CX117" s="8992"/>
      <c r="CY117" s="8992"/>
      <c r="CZ117" s="8992"/>
      <c r="DA117" s="8992"/>
      <c r="DB117" s="8992"/>
      <c r="DC117" s="8992"/>
    </row>
    <row r="118" spans="2:107" s="8987" customFormat="1" x14ac:dyDescent="0.9">
      <c r="B118" s="8992"/>
      <c r="C118" s="8992"/>
      <c r="D118" s="8990"/>
      <c r="E118" s="8990"/>
      <c r="F118" s="8990"/>
      <c r="G118" s="8990"/>
      <c r="H118" s="8990"/>
      <c r="I118" s="8990"/>
      <c r="J118" s="8990"/>
      <c r="K118" s="8990"/>
      <c r="L118" s="9001"/>
      <c r="M118" s="8992"/>
      <c r="N118" s="8990"/>
      <c r="O118" s="8990"/>
      <c r="P118" s="8990"/>
      <c r="Q118" s="8990"/>
      <c r="R118" s="8990"/>
      <c r="S118" s="8990"/>
      <c r="T118" s="8990"/>
      <c r="U118" s="8990"/>
      <c r="V118" s="9001"/>
      <c r="W118" s="9001"/>
      <c r="X118" s="8990"/>
      <c r="Y118" s="8990"/>
      <c r="Z118" s="8990"/>
      <c r="AA118" s="8990"/>
      <c r="AB118" s="8990"/>
      <c r="AC118" s="8990"/>
      <c r="AD118" s="8990"/>
      <c r="AE118" s="8990"/>
      <c r="AF118" s="9001"/>
      <c r="AG118" s="8990"/>
      <c r="AH118" s="8990"/>
      <c r="AI118" s="8990"/>
      <c r="AJ118" s="8990"/>
      <c r="AK118" s="8990"/>
      <c r="AL118" s="8990"/>
      <c r="AM118" s="8990"/>
      <c r="AN118" s="8990"/>
      <c r="AO118" s="8990"/>
      <c r="AP118" s="9001"/>
      <c r="AQ118" s="8990"/>
      <c r="AR118" s="8990"/>
      <c r="AS118" s="8990"/>
      <c r="AT118" s="8990"/>
      <c r="AU118" s="8990"/>
      <c r="AV118" s="8990"/>
      <c r="AW118" s="8990"/>
      <c r="AX118" s="8990"/>
      <c r="AY118" s="8990"/>
      <c r="AZ118" s="9001"/>
      <c r="BA118" s="8990"/>
      <c r="BB118" s="8990"/>
      <c r="BC118" s="8990"/>
      <c r="BD118" s="8990"/>
      <c r="BE118" s="8990"/>
      <c r="BF118" s="8988"/>
      <c r="BG118" s="8988"/>
      <c r="BH118" s="8990"/>
      <c r="BI118" s="8990"/>
      <c r="BJ118" s="8988"/>
      <c r="BK118" s="8988"/>
      <c r="BL118" s="8988"/>
      <c r="BM118" s="8988"/>
      <c r="BN118" s="8988"/>
      <c r="BO118" s="8988"/>
      <c r="BP118" s="8988"/>
      <c r="BQ118" s="8988"/>
      <c r="BR118" s="8988"/>
      <c r="BS118" s="8988"/>
      <c r="BT118" s="8988"/>
      <c r="BU118" s="8988"/>
      <c r="BW118" s="8992"/>
      <c r="BX118" s="8992"/>
      <c r="BY118" s="8992"/>
      <c r="BZ118" s="8992"/>
      <c r="CA118" s="8992"/>
      <c r="CB118" s="8992"/>
      <c r="CC118" s="8992"/>
      <c r="CD118" s="8992"/>
      <c r="CE118" s="8992"/>
      <c r="CF118" s="8992"/>
      <c r="CG118" s="8992"/>
      <c r="CH118" s="8992"/>
      <c r="CI118" s="8992"/>
      <c r="CJ118" s="8992"/>
      <c r="CK118" s="8992"/>
      <c r="CL118" s="8992"/>
      <c r="CM118" s="8992"/>
      <c r="CN118" s="8992"/>
      <c r="CO118" s="8992"/>
      <c r="CP118" s="8992"/>
      <c r="CQ118" s="8992"/>
      <c r="CR118" s="8992"/>
      <c r="CS118" s="8992"/>
      <c r="CT118" s="8992"/>
      <c r="CU118" s="8992"/>
      <c r="CV118" s="8992"/>
      <c r="CW118" s="8992"/>
      <c r="CX118" s="8992"/>
      <c r="CY118" s="8992"/>
      <c r="CZ118" s="8992"/>
      <c r="DA118" s="8992"/>
      <c r="DB118" s="8992"/>
      <c r="DC118" s="8992"/>
    </row>
    <row r="119" spans="2:107" s="8987" customFormat="1" x14ac:dyDescent="0.9">
      <c r="B119" s="8992"/>
      <c r="C119" s="8992"/>
      <c r="D119" s="8990"/>
      <c r="E119" s="8990"/>
      <c r="F119" s="8990"/>
      <c r="G119" s="8990"/>
      <c r="H119" s="8990"/>
      <c r="I119" s="8990"/>
      <c r="J119" s="8990"/>
      <c r="K119" s="8990"/>
      <c r="L119" s="9001"/>
      <c r="M119" s="8992"/>
      <c r="N119" s="8990"/>
      <c r="O119" s="8990"/>
      <c r="P119" s="8990"/>
      <c r="Q119" s="8990"/>
      <c r="R119" s="8990"/>
      <c r="S119" s="8990"/>
      <c r="T119" s="8990"/>
      <c r="U119" s="8990"/>
      <c r="V119" s="9001"/>
      <c r="W119" s="9001"/>
      <c r="X119" s="8990"/>
      <c r="Y119" s="8990"/>
      <c r="Z119" s="8990"/>
      <c r="AA119" s="8990"/>
      <c r="AB119" s="8990"/>
      <c r="AC119" s="8990"/>
      <c r="AD119" s="8990"/>
      <c r="AE119" s="8990"/>
      <c r="AF119" s="9001"/>
      <c r="AG119" s="8990"/>
      <c r="AH119" s="8990"/>
      <c r="AI119" s="8990"/>
      <c r="AJ119" s="8990"/>
      <c r="AK119" s="8990"/>
      <c r="AL119" s="8990"/>
      <c r="AM119" s="8990"/>
      <c r="AN119" s="8990"/>
      <c r="AO119" s="8990"/>
      <c r="AP119" s="9001"/>
      <c r="AQ119" s="8990"/>
      <c r="AR119" s="8990"/>
      <c r="AS119" s="8990"/>
      <c r="AT119" s="8990"/>
      <c r="AU119" s="8990"/>
      <c r="AV119" s="8990"/>
      <c r="AW119" s="8990"/>
      <c r="AX119" s="8990"/>
      <c r="AY119" s="8990"/>
      <c r="AZ119" s="9001"/>
      <c r="BA119" s="8990"/>
      <c r="BB119" s="8990"/>
      <c r="BC119" s="8990"/>
      <c r="BD119" s="8990"/>
      <c r="BE119" s="8990"/>
      <c r="BF119" s="8988"/>
      <c r="BG119" s="8988"/>
      <c r="BH119" s="8990"/>
      <c r="BI119" s="8990"/>
      <c r="BJ119" s="8988"/>
      <c r="BK119" s="8988"/>
      <c r="BL119" s="8988"/>
      <c r="BM119" s="8988"/>
      <c r="BN119" s="8988"/>
      <c r="BO119" s="8988"/>
      <c r="BP119" s="8988"/>
      <c r="BQ119" s="8988"/>
      <c r="BR119" s="8988"/>
      <c r="BS119" s="8988"/>
      <c r="BT119" s="8988"/>
      <c r="BU119" s="8988"/>
      <c r="BW119" s="8992"/>
      <c r="BX119" s="8992"/>
      <c r="BY119" s="8992"/>
      <c r="BZ119" s="8992"/>
      <c r="CA119" s="8992"/>
      <c r="CB119" s="8992"/>
      <c r="CC119" s="8992"/>
      <c r="CD119" s="8992"/>
      <c r="CE119" s="8992"/>
      <c r="CF119" s="8992"/>
      <c r="CG119" s="8992"/>
      <c r="CH119" s="8992"/>
      <c r="CI119" s="8992"/>
      <c r="CJ119" s="8992"/>
      <c r="CK119" s="8992"/>
      <c r="CL119" s="8992"/>
      <c r="CM119" s="8992"/>
      <c r="CN119" s="8992"/>
      <c r="CO119" s="8992"/>
      <c r="CP119" s="8992"/>
      <c r="CQ119" s="8992"/>
      <c r="CR119" s="8992"/>
      <c r="CS119" s="8992"/>
      <c r="CT119" s="8992"/>
      <c r="CU119" s="8992"/>
      <c r="CV119" s="8992"/>
      <c r="CW119" s="8992"/>
      <c r="CX119" s="8992"/>
      <c r="CY119" s="8992"/>
      <c r="CZ119" s="8992"/>
      <c r="DA119" s="8992"/>
      <c r="DB119" s="8992"/>
      <c r="DC119" s="8992"/>
    </row>
    <row r="120" spans="2:107" s="8987" customFormat="1" x14ac:dyDescent="0.9">
      <c r="B120" s="8992"/>
      <c r="C120" s="8992"/>
      <c r="D120" s="8990"/>
      <c r="E120" s="8990"/>
      <c r="F120" s="8990"/>
      <c r="G120" s="8990"/>
      <c r="H120" s="8990"/>
      <c r="I120" s="8990"/>
      <c r="J120" s="8990"/>
      <c r="K120" s="8990"/>
      <c r="L120" s="9001"/>
      <c r="M120" s="8992"/>
      <c r="N120" s="8990"/>
      <c r="O120" s="8990"/>
      <c r="P120" s="8990"/>
      <c r="Q120" s="8990"/>
      <c r="R120" s="8990"/>
      <c r="S120" s="8990"/>
      <c r="T120" s="8990"/>
      <c r="U120" s="8990"/>
      <c r="V120" s="9001"/>
      <c r="W120" s="9001"/>
      <c r="X120" s="8990"/>
      <c r="Y120" s="8990"/>
      <c r="Z120" s="8990"/>
      <c r="AA120" s="8990"/>
      <c r="AB120" s="8990"/>
      <c r="AC120" s="8990"/>
      <c r="AD120" s="8990"/>
      <c r="AE120" s="8990"/>
      <c r="AF120" s="9001"/>
      <c r="AG120" s="8990"/>
      <c r="AH120" s="8990"/>
      <c r="AI120" s="8990"/>
      <c r="AJ120" s="8990"/>
      <c r="AK120" s="8990"/>
      <c r="AL120" s="8990"/>
      <c r="AM120" s="8990"/>
      <c r="AN120" s="8990"/>
      <c r="AO120" s="8990"/>
      <c r="AP120" s="9001"/>
      <c r="AQ120" s="8990"/>
      <c r="AR120" s="8990"/>
      <c r="AS120" s="8990"/>
      <c r="AT120" s="8990"/>
      <c r="AU120" s="8990"/>
      <c r="AV120" s="8990"/>
      <c r="AW120" s="8990"/>
      <c r="AX120" s="8990"/>
      <c r="AY120" s="8990"/>
      <c r="AZ120" s="9001"/>
      <c r="BA120" s="8990"/>
      <c r="BB120" s="8990"/>
      <c r="BC120" s="8990"/>
      <c r="BD120" s="8990"/>
      <c r="BE120" s="8990"/>
      <c r="BF120" s="8988"/>
      <c r="BG120" s="8988"/>
      <c r="BH120" s="8990"/>
      <c r="BI120" s="8990"/>
      <c r="BJ120" s="8988"/>
      <c r="BK120" s="8988"/>
      <c r="BL120" s="8988"/>
      <c r="BM120" s="8988"/>
      <c r="BN120" s="8988"/>
      <c r="BO120" s="8988"/>
      <c r="BP120" s="8988"/>
      <c r="BQ120" s="8988"/>
      <c r="BR120" s="8988"/>
      <c r="BS120" s="8988"/>
      <c r="BT120" s="8988"/>
      <c r="BU120" s="8988"/>
      <c r="BW120" s="8992"/>
      <c r="BX120" s="8992"/>
      <c r="BY120" s="8992"/>
      <c r="BZ120" s="8992"/>
      <c r="CA120" s="8992"/>
      <c r="CB120" s="8992"/>
      <c r="CC120" s="8992"/>
      <c r="CD120" s="8992"/>
      <c r="CE120" s="8992"/>
      <c r="CF120" s="8992"/>
      <c r="CG120" s="8992"/>
      <c r="CH120" s="8992"/>
      <c r="CI120" s="8992"/>
      <c r="CJ120" s="8992"/>
      <c r="CK120" s="8992"/>
      <c r="CL120" s="8992"/>
      <c r="CM120" s="8992"/>
      <c r="CN120" s="8992"/>
      <c r="CO120" s="8992"/>
      <c r="CP120" s="8992"/>
      <c r="CQ120" s="8992"/>
      <c r="CR120" s="8992"/>
      <c r="CS120" s="8992"/>
      <c r="CT120" s="8992"/>
      <c r="CU120" s="8992"/>
      <c r="CV120" s="8992"/>
      <c r="CW120" s="8992"/>
      <c r="CX120" s="8992"/>
      <c r="CY120" s="8992"/>
      <c r="CZ120" s="8992"/>
      <c r="DA120" s="8992"/>
      <c r="DB120" s="8992"/>
      <c r="DC120" s="8992"/>
    </row>
    <row r="121" spans="2:107" s="8987" customFormat="1" x14ac:dyDescent="0.9">
      <c r="B121" s="8992"/>
      <c r="C121" s="8992"/>
      <c r="D121" s="8990"/>
      <c r="E121" s="8990"/>
      <c r="F121" s="8990"/>
      <c r="G121" s="8990"/>
      <c r="H121" s="8990"/>
      <c r="I121" s="8990"/>
      <c r="J121" s="8990"/>
      <c r="K121" s="8990"/>
      <c r="L121" s="9001"/>
      <c r="M121" s="8992"/>
      <c r="N121" s="8990"/>
      <c r="O121" s="8990"/>
      <c r="P121" s="8990"/>
      <c r="Q121" s="8990"/>
      <c r="R121" s="8990"/>
      <c r="S121" s="8990"/>
      <c r="T121" s="8990"/>
      <c r="U121" s="8990"/>
      <c r="V121" s="9001"/>
      <c r="W121" s="9001"/>
      <c r="X121" s="8990"/>
      <c r="Y121" s="8990"/>
      <c r="Z121" s="8990"/>
      <c r="AA121" s="8990"/>
      <c r="AB121" s="8990"/>
      <c r="AC121" s="8990"/>
      <c r="AD121" s="8990"/>
      <c r="AE121" s="8990"/>
      <c r="AF121" s="9001"/>
      <c r="AG121" s="8990"/>
      <c r="AH121" s="8990"/>
      <c r="AI121" s="8990"/>
      <c r="AJ121" s="8990"/>
      <c r="AK121" s="8990"/>
      <c r="AL121" s="8990"/>
      <c r="AM121" s="8990"/>
      <c r="AN121" s="8990"/>
      <c r="AO121" s="8990"/>
      <c r="AP121" s="9001"/>
      <c r="AQ121" s="8990"/>
      <c r="AR121" s="8990"/>
      <c r="AS121" s="8990"/>
      <c r="AT121" s="8990"/>
      <c r="AU121" s="8990"/>
      <c r="AV121" s="8990"/>
      <c r="AW121" s="8990"/>
      <c r="AX121" s="8990"/>
      <c r="AY121" s="8990"/>
      <c r="AZ121" s="9001"/>
      <c r="BA121" s="8990"/>
      <c r="BB121" s="8990"/>
      <c r="BC121" s="8990"/>
      <c r="BD121" s="8990"/>
      <c r="BE121" s="8990"/>
      <c r="BF121" s="8988"/>
      <c r="BG121" s="8988"/>
      <c r="BH121" s="8990"/>
      <c r="BI121" s="8990"/>
      <c r="BJ121" s="8988"/>
      <c r="BK121" s="8988"/>
      <c r="BL121" s="8988"/>
      <c r="BM121" s="8988"/>
      <c r="BN121" s="8988"/>
      <c r="BO121" s="8988"/>
      <c r="BP121" s="8988"/>
      <c r="BQ121" s="8988"/>
      <c r="BR121" s="8988"/>
      <c r="BS121" s="8988"/>
      <c r="BT121" s="8988"/>
      <c r="BU121" s="8988"/>
      <c r="BW121" s="8992"/>
      <c r="BX121" s="8992"/>
      <c r="BY121" s="8992"/>
      <c r="BZ121" s="8992"/>
      <c r="CA121" s="8992"/>
      <c r="CB121" s="8992"/>
      <c r="CC121" s="8992"/>
      <c r="CD121" s="8992"/>
      <c r="CE121" s="8992"/>
      <c r="CF121" s="8992"/>
      <c r="CG121" s="8992"/>
      <c r="CH121" s="8992"/>
      <c r="CI121" s="8992"/>
      <c r="CJ121" s="8992"/>
      <c r="CK121" s="8992"/>
      <c r="CL121" s="8992"/>
      <c r="CM121" s="8992"/>
      <c r="CN121" s="8992"/>
      <c r="CO121" s="8992"/>
      <c r="CP121" s="8992"/>
      <c r="CQ121" s="8992"/>
      <c r="CR121" s="8992"/>
      <c r="CS121" s="8992"/>
      <c r="CT121" s="8992"/>
      <c r="CU121" s="8992"/>
      <c r="CV121" s="8992"/>
      <c r="CW121" s="8992"/>
      <c r="CX121" s="8992"/>
      <c r="CY121" s="8992"/>
      <c r="CZ121" s="8992"/>
      <c r="DA121" s="8992"/>
      <c r="DB121" s="8992"/>
      <c r="DC121" s="8992"/>
    </row>
    <row r="122" spans="2:107" s="8987" customFormat="1" x14ac:dyDescent="0.9">
      <c r="B122" s="8992"/>
      <c r="C122" s="8992"/>
      <c r="D122" s="8990"/>
      <c r="E122" s="8990"/>
      <c r="F122" s="8990"/>
      <c r="G122" s="8990"/>
      <c r="H122" s="8990"/>
      <c r="I122" s="8990"/>
      <c r="J122" s="8990"/>
      <c r="K122" s="8990"/>
      <c r="L122" s="9001"/>
      <c r="M122" s="8992"/>
      <c r="N122" s="8990"/>
      <c r="O122" s="8990"/>
      <c r="P122" s="8990"/>
      <c r="Q122" s="8990"/>
      <c r="R122" s="8990"/>
      <c r="S122" s="8990"/>
      <c r="T122" s="8990"/>
      <c r="U122" s="8990"/>
      <c r="V122" s="9001"/>
      <c r="W122" s="9001"/>
      <c r="X122" s="8990"/>
      <c r="Y122" s="8990"/>
      <c r="Z122" s="8990"/>
      <c r="AA122" s="8990"/>
      <c r="AB122" s="8990"/>
      <c r="AC122" s="8990"/>
      <c r="AD122" s="8990"/>
      <c r="AE122" s="8990"/>
      <c r="AF122" s="9001"/>
      <c r="AG122" s="8990"/>
      <c r="AH122" s="8990"/>
      <c r="AI122" s="8990"/>
      <c r="AJ122" s="8990"/>
      <c r="AK122" s="8990"/>
      <c r="AL122" s="8990"/>
      <c r="AM122" s="8990"/>
      <c r="AN122" s="8990"/>
      <c r="AO122" s="8990"/>
      <c r="AP122" s="9001"/>
      <c r="AQ122" s="8990"/>
      <c r="AR122" s="8990"/>
      <c r="AS122" s="8990"/>
      <c r="AT122" s="8990"/>
      <c r="AU122" s="8990"/>
      <c r="AV122" s="8990"/>
      <c r="AW122" s="8990"/>
      <c r="AX122" s="8990"/>
      <c r="AY122" s="8990"/>
      <c r="AZ122" s="9001"/>
      <c r="BA122" s="8990"/>
      <c r="BB122" s="8990"/>
      <c r="BC122" s="8990"/>
      <c r="BD122" s="8990"/>
      <c r="BE122" s="8990"/>
      <c r="BF122" s="8988"/>
      <c r="BG122" s="8988"/>
      <c r="BH122" s="8990"/>
      <c r="BI122" s="8990"/>
      <c r="BJ122" s="8988"/>
      <c r="BK122" s="8988"/>
      <c r="BL122" s="8988"/>
      <c r="BM122" s="8988"/>
      <c r="BN122" s="8988"/>
      <c r="BO122" s="8988"/>
      <c r="BP122" s="8988"/>
      <c r="BQ122" s="8988"/>
      <c r="BR122" s="8988"/>
      <c r="BS122" s="8988"/>
      <c r="BT122" s="8988"/>
      <c r="BU122" s="8988"/>
      <c r="BW122" s="8992"/>
      <c r="BX122" s="8992"/>
      <c r="BY122" s="8992"/>
      <c r="BZ122" s="8992"/>
      <c r="CA122" s="8992"/>
      <c r="CB122" s="8992"/>
      <c r="CC122" s="8992"/>
      <c r="CD122" s="8992"/>
      <c r="CE122" s="8992"/>
      <c r="CF122" s="8992"/>
      <c r="CG122" s="8992"/>
      <c r="CH122" s="8992"/>
      <c r="CI122" s="8992"/>
      <c r="CJ122" s="8992"/>
      <c r="CK122" s="8992"/>
      <c r="CL122" s="8992"/>
      <c r="CM122" s="8992"/>
      <c r="CN122" s="8992"/>
      <c r="CO122" s="8992"/>
      <c r="CP122" s="8992"/>
      <c r="CQ122" s="8992"/>
      <c r="CR122" s="8992"/>
      <c r="CS122" s="8992"/>
      <c r="CT122" s="8992"/>
      <c r="CU122" s="8992"/>
      <c r="CV122" s="8992"/>
      <c r="CW122" s="8992"/>
      <c r="CX122" s="8992"/>
      <c r="CY122" s="8992"/>
      <c r="CZ122" s="8992"/>
      <c r="DA122" s="8992"/>
      <c r="DB122" s="8992"/>
      <c r="DC122" s="8992"/>
    </row>
    <row r="123" spans="2:107" x14ac:dyDescent="0.9">
      <c r="B123" s="8992"/>
      <c r="C123" s="8992"/>
      <c r="D123" s="8990"/>
      <c r="E123" s="8990"/>
      <c r="F123" s="8990"/>
      <c r="G123" s="8990"/>
      <c r="H123" s="8990"/>
      <c r="I123" s="8990"/>
      <c r="J123" s="8990"/>
      <c r="K123" s="8990"/>
      <c r="L123" s="9001"/>
      <c r="M123" s="8992"/>
      <c r="N123" s="8990"/>
      <c r="O123" s="8990"/>
      <c r="P123" s="8990"/>
      <c r="Q123" s="8990"/>
      <c r="R123" s="8990"/>
      <c r="S123" s="8990"/>
      <c r="T123" s="8990"/>
      <c r="U123" s="8990"/>
      <c r="V123" s="9001"/>
      <c r="X123" s="8990"/>
      <c r="Y123" s="8990"/>
      <c r="Z123" s="8990"/>
      <c r="AA123" s="8990"/>
      <c r="AB123" s="8990"/>
      <c r="AC123" s="8990"/>
      <c r="AD123" s="8990"/>
      <c r="AE123" s="8990"/>
      <c r="AF123" s="9001"/>
      <c r="AG123" s="8990"/>
      <c r="AH123" s="8990"/>
      <c r="AI123" s="8990"/>
      <c r="AJ123" s="8990"/>
      <c r="AK123" s="8990"/>
      <c r="AL123" s="8990"/>
      <c r="AM123" s="8990"/>
      <c r="AN123" s="8990"/>
      <c r="AO123" s="8990"/>
      <c r="AP123" s="9001"/>
      <c r="AQ123" s="8990"/>
      <c r="AR123" s="8990"/>
      <c r="AS123" s="8990"/>
      <c r="AT123" s="8990"/>
      <c r="AU123" s="8990"/>
      <c r="AV123" s="8990"/>
      <c r="AW123" s="8990"/>
      <c r="AX123" s="8990"/>
      <c r="AY123" s="8990"/>
      <c r="AZ123" s="9001"/>
      <c r="BA123" s="8990"/>
      <c r="BB123" s="8990"/>
      <c r="BC123" s="8990"/>
      <c r="BD123" s="8990"/>
      <c r="BE123" s="8990"/>
    </row>
    <row r="124" spans="2:107" x14ac:dyDescent="0.9">
      <c r="B124" s="8992"/>
      <c r="C124" s="8992"/>
      <c r="D124" s="8990"/>
      <c r="E124" s="8990"/>
      <c r="F124" s="8990"/>
      <c r="G124" s="8990"/>
      <c r="H124" s="8990"/>
      <c r="I124" s="8990"/>
      <c r="J124" s="8990"/>
      <c r="K124" s="8990"/>
      <c r="L124" s="9001"/>
      <c r="M124" s="8992"/>
      <c r="N124" s="8990"/>
      <c r="O124" s="8990"/>
      <c r="P124" s="8990"/>
      <c r="Q124" s="8990"/>
      <c r="R124" s="8990"/>
      <c r="S124" s="8990"/>
      <c r="T124" s="8990"/>
      <c r="U124" s="8990"/>
      <c r="V124" s="9001"/>
      <c r="X124" s="8990"/>
      <c r="Y124" s="8990"/>
      <c r="Z124" s="8990"/>
      <c r="AA124" s="8990"/>
      <c r="AB124" s="8990"/>
      <c r="AC124" s="8990"/>
      <c r="AD124" s="8990"/>
      <c r="AE124" s="8990"/>
      <c r="AF124" s="9001"/>
      <c r="AG124" s="8990"/>
      <c r="AH124" s="8990"/>
      <c r="AI124" s="8990"/>
      <c r="AJ124" s="8990"/>
      <c r="AK124" s="8990"/>
      <c r="AL124" s="8990"/>
      <c r="AM124" s="8990"/>
      <c r="AN124" s="8990"/>
      <c r="AO124" s="8990"/>
      <c r="AP124" s="9001"/>
      <c r="AQ124" s="8990"/>
      <c r="AR124" s="8990"/>
      <c r="AS124" s="8990"/>
      <c r="AT124" s="8990"/>
      <c r="AU124" s="8990"/>
      <c r="AV124" s="8990"/>
      <c r="AW124" s="8990"/>
      <c r="AX124" s="8990"/>
      <c r="AY124" s="8990"/>
      <c r="AZ124" s="9001"/>
      <c r="BA124" s="8990"/>
      <c r="BB124" s="8990"/>
      <c r="BC124" s="8990"/>
      <c r="BD124" s="8990"/>
      <c r="BE124" s="8990"/>
    </row>
    <row r="125" spans="2:107" x14ac:dyDescent="0.9">
      <c r="B125" s="8992"/>
      <c r="C125" s="8992"/>
      <c r="D125" s="8990"/>
      <c r="E125" s="8990"/>
      <c r="F125" s="8990"/>
      <c r="G125" s="8990"/>
      <c r="H125" s="8990"/>
      <c r="I125" s="8990"/>
      <c r="J125" s="8990"/>
      <c r="K125" s="8990"/>
      <c r="L125" s="9001"/>
      <c r="M125" s="8992"/>
      <c r="N125" s="8990"/>
      <c r="O125" s="8990"/>
      <c r="P125" s="8990"/>
      <c r="Q125" s="8990"/>
      <c r="R125" s="8990"/>
      <c r="S125" s="8990"/>
      <c r="T125" s="8990"/>
      <c r="U125" s="8990"/>
      <c r="V125" s="9001"/>
      <c r="X125" s="8990"/>
      <c r="Y125" s="8990"/>
      <c r="Z125" s="8990"/>
      <c r="AA125" s="8990"/>
      <c r="AB125" s="8990"/>
      <c r="AC125" s="8990"/>
      <c r="AD125" s="8990"/>
      <c r="AE125" s="8990"/>
      <c r="AF125" s="9001"/>
      <c r="AG125" s="8990"/>
      <c r="AH125" s="8990"/>
      <c r="AI125" s="8990"/>
      <c r="AJ125" s="8990"/>
      <c r="AK125" s="8990"/>
      <c r="AL125" s="8990"/>
      <c r="AM125" s="8990"/>
      <c r="AN125" s="8990"/>
      <c r="AO125" s="8990"/>
      <c r="AP125" s="9001"/>
      <c r="AQ125" s="8990"/>
      <c r="AR125" s="8990"/>
      <c r="AS125" s="8990"/>
      <c r="AT125" s="8990"/>
      <c r="AU125" s="8990"/>
      <c r="AV125" s="8990"/>
      <c r="AW125" s="8990"/>
      <c r="AX125" s="8990"/>
      <c r="AY125" s="8990"/>
      <c r="AZ125" s="9001"/>
      <c r="BA125" s="8990"/>
      <c r="BB125" s="8990"/>
      <c r="BC125" s="8990"/>
      <c r="BD125" s="8990"/>
      <c r="BE125" s="8990"/>
    </row>
    <row r="126" spans="2:107" x14ac:dyDescent="0.9">
      <c r="B126" s="8992"/>
      <c r="C126" s="8992"/>
      <c r="D126" s="8990"/>
      <c r="E126" s="8990"/>
      <c r="F126" s="8990"/>
      <c r="G126" s="8990"/>
      <c r="H126" s="8990"/>
      <c r="I126" s="8990"/>
      <c r="J126" s="8990"/>
      <c r="K126" s="8990"/>
      <c r="L126" s="9001"/>
      <c r="M126" s="8992"/>
      <c r="N126" s="8990"/>
      <c r="O126" s="8990"/>
      <c r="P126" s="8990"/>
      <c r="Q126" s="8990"/>
      <c r="R126" s="8990"/>
      <c r="S126" s="8990"/>
      <c r="T126" s="8990"/>
      <c r="U126" s="8990"/>
      <c r="V126" s="9001"/>
      <c r="X126" s="8990"/>
      <c r="Y126" s="8990"/>
      <c r="Z126" s="8990"/>
      <c r="AA126" s="8990"/>
      <c r="AB126" s="8990"/>
      <c r="AC126" s="8990"/>
      <c r="AD126" s="8990"/>
      <c r="AE126" s="8990"/>
      <c r="AF126" s="9001"/>
      <c r="AG126" s="8990"/>
      <c r="AH126" s="8990"/>
      <c r="AI126" s="8990"/>
      <c r="AJ126" s="8990"/>
      <c r="AK126" s="8990"/>
      <c r="AL126" s="8990"/>
      <c r="AM126" s="8990"/>
      <c r="AN126" s="8990"/>
      <c r="AO126" s="8990"/>
      <c r="AP126" s="9001"/>
      <c r="AQ126" s="8990"/>
      <c r="AR126" s="8990"/>
      <c r="AS126" s="8990"/>
      <c r="AT126" s="8990"/>
      <c r="AU126" s="8990"/>
      <c r="AV126" s="8990"/>
      <c r="AW126" s="8990"/>
      <c r="AX126" s="8990"/>
      <c r="AY126" s="8990"/>
      <c r="AZ126" s="9001"/>
      <c r="BA126" s="8990"/>
      <c r="BB126" s="8990"/>
      <c r="BC126" s="8990"/>
      <c r="BD126" s="8990"/>
      <c r="BE126" s="8990"/>
    </row>
  </sheetData>
  <mergeCells count="26">
    <mergeCell ref="BQ10:BU10"/>
    <mergeCell ref="BK9:BO9"/>
    <mergeCell ref="BB9:BF9"/>
    <mergeCell ref="D8:L8"/>
    <mergeCell ref="D9:F9"/>
    <mergeCell ref="G9:K9"/>
    <mergeCell ref="N9:P9"/>
    <mergeCell ref="Q9:U9"/>
    <mergeCell ref="AU9:AY9"/>
    <mergeCell ref="X9:Z9"/>
    <mergeCell ref="AA9:AE9"/>
    <mergeCell ref="AH9:AJ9"/>
    <mergeCell ref="AK9:AO9"/>
    <mergeCell ref="AR9:AT9"/>
    <mergeCell ref="BQ9:BU9"/>
    <mergeCell ref="CF7:CL7"/>
    <mergeCell ref="N8:V8"/>
    <mergeCell ref="X8:AF8"/>
    <mergeCell ref="AR8:AZ8"/>
    <mergeCell ref="AH8:AP8"/>
    <mergeCell ref="BW7:CD7"/>
    <mergeCell ref="BW8:BX8"/>
    <mergeCell ref="BZ8:CA8"/>
    <mergeCell ref="CC8:CD8"/>
    <mergeCell ref="D7:AZ7"/>
    <mergeCell ref="BQ7:BU7"/>
  </mergeCells>
  <conditionalFormatting sqref="AA18:AB18 X17:Z18 X19:AA19 AC19:AG19 AA27:AC27 AB29:AC29 AQ29 AC31 AA32:AC32 AC33 X34:AA34 AM36 AS36:AW36 Y37 AA38:AA39 X38:Y40 AA40:AB40 X41:AB41 X42:Y42 AA42:AB42 AJ42 X43:AA43 AK44:AL44 X13:AC13 AD17:AD18 AE27:AF27 X26:AC26 AE26:AG26 X54:AC54 AG18 AE29:AG30 AF31:AG31 AE32:AG33 AG34:AM34 AF40:AF47 X52:AF53 AE54:AF54 X65:AO65 AP13:AW17 AQ18:AQ19 AP19 AP34:AW34 AP36:AQ51 AP52:AW54 AZ12:AZ17 BY52:CD53 X55:AF55 AR65:AY65 AP30:AQ33 BD70:BF84 AG21 AG25 X67:AO69 AG66:AH66 AF28 X44:AB47 CH52:CL53 BV52:BW53 AP60:AQ60 AZ60 X73:AB73 AD73:AZ73 X74:AZ84 AQ35 AG35 AZ36:AZ54 X12:Z12 AB12:AC12 AE12:AF13 AL12:AM12 AL66 AQ66:AR66 AV66 AY66 X64:AF64 X62:Z62 AB62:AF63 AH52:AM54 AH61:AZ63 X59:Y59 AA59:AF59 BL60:BO60 BN57:BO58 BL57:BM59 AH64:AP64 AR64:AZ64 AQ64:AQ65 BL54:BO56 AH47:AI51 AH44:AI44 AG37:AG64 AA31:AA33 Y30:Y33 AA30:AC30 AH55:AZ55 X14:AF16 AG15:AM17 AZ19:AZ22 AP25:AQ26 AP24:AW24 AN21:AQ22 AX21:AY22 BG25:BG84 S25:W25 BM22:BO22 BL21:BL22 BP25:BP84 BP14:BQ24 BA25:BA84 AK22 BS22:BU24 BR21:BR27 BQ25:BQ53 BK25:BK53 BB25:BF69 D21:L24 I25:L25 N21:W24 X24:AM24 AN24:AO25 AQ23 AX24:AY25 AZ24:AZ34 BA13:BG24 BL24:BL27 BM24:BO24 BL23:BO23 BI13:BK24 BI25:BJ84 X61:AF61 X72:AZ72 X71:AI71 AK71:AZ71 X70:AZ70 X57:AF58 AF56 AP56:AQ56 AZ56 AH57:AZ59 X63 X22:AG23 BH43:BH68 AQ67:AY69 BQ12:BQ13 BP9:BP13 BI12 BK12 BJ9:BJ12 BG9:BG11 BB12:BG12 BA9:BA12 AP12 AR12:AW12 AQ9:AQ12 AH12:AJ12 AH13:AM14 AG9:AG14">
    <cfRule type="cellIs" dxfId="332" priority="396" operator="equal">
      <formula>"""0"""</formula>
    </cfRule>
  </conditionalFormatting>
  <conditionalFormatting sqref="AA17:AC17 AC18 AE17:AF18">
    <cfRule type="cellIs" dxfId="331" priority="395" operator="equal">
      <formula>"""0"""</formula>
    </cfRule>
  </conditionalFormatting>
  <conditionalFormatting sqref="AH18:AL18">
    <cfRule type="cellIs" dxfId="330" priority="394" operator="equal">
      <formula>"""0"""</formula>
    </cfRule>
  </conditionalFormatting>
  <conditionalFormatting sqref="AM18 AP18">
    <cfRule type="cellIs" dxfId="329" priority="393" operator="equal">
      <formula>"""0"""</formula>
    </cfRule>
  </conditionalFormatting>
  <conditionalFormatting sqref="AR18:AV18">
    <cfRule type="cellIs" dxfId="328" priority="392" operator="equal">
      <formula>"""0"""</formula>
    </cfRule>
  </conditionalFormatting>
  <conditionalFormatting sqref="AW18 AZ18">
    <cfRule type="cellIs" dxfId="327" priority="391" operator="equal">
      <formula>"""0"""</formula>
    </cfRule>
  </conditionalFormatting>
  <conditionalFormatting sqref="AH19:AK19">
    <cfRule type="cellIs" dxfId="326" priority="390" operator="equal">
      <formula>"""0"""</formula>
    </cfRule>
  </conditionalFormatting>
  <conditionalFormatting sqref="AM19">
    <cfRule type="cellIs" dxfId="325" priority="389" operator="equal">
      <formula>"""0"""</formula>
    </cfRule>
  </conditionalFormatting>
  <conditionalFormatting sqref="AR19:AU19">
    <cfRule type="cellIs" dxfId="324" priority="388" operator="equal">
      <formula>"""0"""</formula>
    </cfRule>
  </conditionalFormatting>
  <conditionalFormatting sqref="AW19">
    <cfRule type="cellIs" dxfId="323" priority="387" operator="equal">
      <formula>"""0"""</formula>
    </cfRule>
  </conditionalFormatting>
  <conditionalFormatting sqref="AH21:AL21 AJ22">
    <cfRule type="cellIs" dxfId="322" priority="386" operator="equal">
      <formula>"""0"""</formula>
    </cfRule>
  </conditionalFormatting>
  <conditionalFormatting sqref="AM21">
    <cfRule type="cellIs" dxfId="321" priority="385" operator="equal">
      <formula>"""0"""</formula>
    </cfRule>
  </conditionalFormatting>
  <conditionalFormatting sqref="AR21:AV21">
    <cfRule type="cellIs" dxfId="320" priority="384" operator="equal">
      <formula>"""0"""</formula>
    </cfRule>
  </conditionalFormatting>
  <conditionalFormatting sqref="AW21">
    <cfRule type="cellIs" dxfId="319" priority="383" operator="equal">
      <formula>"""0"""</formula>
    </cfRule>
  </conditionalFormatting>
  <conditionalFormatting sqref="AH22:AI22 AL22">
    <cfRule type="cellIs" dxfId="318" priority="382" operator="equal">
      <formula>"""0"""</formula>
    </cfRule>
  </conditionalFormatting>
  <conditionalFormatting sqref="AM22">
    <cfRule type="cellIs" dxfId="317" priority="381" operator="equal">
      <formula>"""0"""</formula>
    </cfRule>
  </conditionalFormatting>
  <conditionalFormatting sqref="AT22">
    <cfRule type="cellIs" dxfId="316" priority="376" operator="equal">
      <formula>"""0"""</formula>
    </cfRule>
  </conditionalFormatting>
  <conditionalFormatting sqref="AR22:AS22 AU22:AV22">
    <cfRule type="cellIs" dxfId="315" priority="375" operator="equal">
      <formula>"""0"""</formula>
    </cfRule>
  </conditionalFormatting>
  <conditionalFormatting sqref="AW22">
    <cfRule type="cellIs" dxfId="314" priority="374" operator="equal">
      <formula>"""0"""</formula>
    </cfRule>
  </conditionalFormatting>
  <conditionalFormatting sqref="AH26:AM26">
    <cfRule type="cellIs" dxfId="313" priority="366" operator="equal">
      <formula>"""0"""</formula>
    </cfRule>
  </conditionalFormatting>
  <conditionalFormatting sqref="AR25:AU25 AW25">
    <cfRule type="cellIs" dxfId="312" priority="367" operator="equal">
      <formula>"""0"""</formula>
    </cfRule>
  </conditionalFormatting>
  <conditionalFormatting sqref="AR26:AW26">
    <cfRule type="cellIs" dxfId="311" priority="365" operator="equal">
      <formula>"""0"""</formula>
    </cfRule>
  </conditionalFormatting>
  <conditionalFormatting sqref="AU27:AW27">
    <cfRule type="cellIs" dxfId="310" priority="362" operator="equal">
      <formula>"""0"""</formula>
    </cfRule>
  </conditionalFormatting>
  <conditionalFormatting sqref="AJ27">
    <cfRule type="cellIs" dxfId="309" priority="363" operator="equal">
      <formula>"""0"""</formula>
    </cfRule>
  </conditionalFormatting>
  <conditionalFormatting sqref="AT27">
    <cfRule type="cellIs" dxfId="308" priority="361" operator="equal">
      <formula>"""0"""</formula>
    </cfRule>
  </conditionalFormatting>
  <conditionalFormatting sqref="Z27 Z29">
    <cfRule type="cellIs" dxfId="307" priority="373" operator="equal">
      <formula>"""0"""</formula>
    </cfRule>
  </conditionalFormatting>
  <conditionalFormatting sqref="AT29">
    <cfRule type="cellIs" dxfId="306" priority="359" operator="equal">
      <formula>"""0"""</formula>
    </cfRule>
  </conditionalFormatting>
  <conditionalFormatting sqref="AU29">
    <cfRule type="cellIs" dxfId="305" priority="358" operator="equal">
      <formula>"""0"""</formula>
    </cfRule>
  </conditionalFormatting>
  <conditionalFormatting sqref="AA29">
    <cfRule type="cellIs" dxfId="304" priority="372" operator="equal">
      <formula>"""0"""</formula>
    </cfRule>
  </conditionalFormatting>
  <conditionalFormatting sqref="AI29 AN29:AO29">
    <cfRule type="cellIs" dxfId="303" priority="371" operator="equal">
      <formula>"""0"""</formula>
    </cfRule>
  </conditionalFormatting>
  <conditionalFormatting sqref="AJ29">
    <cfRule type="cellIs" dxfId="302" priority="370" operator="equal">
      <formula>"""0"""</formula>
    </cfRule>
  </conditionalFormatting>
  <conditionalFormatting sqref="AK30:AM30">
    <cfRule type="cellIs" dxfId="301" priority="357" operator="equal">
      <formula>"""0"""</formula>
    </cfRule>
  </conditionalFormatting>
  <conditionalFormatting sqref="Z31:Z33">
    <cfRule type="cellIs" dxfId="300" priority="355" operator="equal">
      <formula>"""0"""</formula>
    </cfRule>
  </conditionalFormatting>
  <conditionalFormatting sqref="AI31 AK31 AM31">
    <cfRule type="cellIs" dxfId="299" priority="354" operator="equal">
      <formula>"""0"""</formula>
    </cfRule>
  </conditionalFormatting>
  <conditionalFormatting sqref="AJ31">
    <cfRule type="cellIs" dxfId="298" priority="353" operator="equal">
      <formula>"""0"""</formula>
    </cfRule>
  </conditionalFormatting>
  <conditionalFormatting sqref="AH25:AK25 AM25">
    <cfRule type="cellIs" dxfId="297" priority="368" operator="equal">
      <formula>"""0"""</formula>
    </cfRule>
  </conditionalFormatting>
  <conditionalFormatting sqref="AK27:AM27">
    <cfRule type="cellIs" dxfId="296" priority="364" operator="equal">
      <formula>"""0"""</formula>
    </cfRule>
  </conditionalFormatting>
  <conditionalFormatting sqref="AS29 AV29:AW29">
    <cfRule type="cellIs" dxfId="295" priority="360" operator="equal">
      <formula>"""0"""</formula>
    </cfRule>
  </conditionalFormatting>
  <conditionalFormatting sqref="AU30:AW30">
    <cfRule type="cellIs" dxfId="294" priority="356" operator="equal">
      <formula>"""0"""</formula>
    </cfRule>
  </conditionalFormatting>
  <conditionalFormatting sqref="AS31 AU31 AW31">
    <cfRule type="cellIs" dxfId="293" priority="352" operator="equal">
      <formula>"""0"""</formula>
    </cfRule>
  </conditionalFormatting>
  <conditionalFormatting sqref="AT31">
    <cfRule type="cellIs" dxfId="292" priority="351" operator="equal">
      <formula>"""0"""</formula>
    </cfRule>
  </conditionalFormatting>
  <conditionalFormatting sqref="AI32 AK32:AM32">
    <cfRule type="cellIs" dxfId="291" priority="350" operator="equal">
      <formula>"""0"""</formula>
    </cfRule>
  </conditionalFormatting>
  <conditionalFormatting sqref="AJ32">
    <cfRule type="cellIs" dxfId="290" priority="349" operator="equal">
      <formula>"""0"""</formula>
    </cfRule>
  </conditionalFormatting>
  <conditionalFormatting sqref="AS32 AU32:AW32">
    <cfRule type="cellIs" dxfId="289" priority="348" operator="equal">
      <formula>"""0"""</formula>
    </cfRule>
  </conditionalFormatting>
  <conditionalFormatting sqref="AT32">
    <cfRule type="cellIs" dxfId="288" priority="347" operator="equal">
      <formula>"""0"""</formula>
    </cfRule>
  </conditionalFormatting>
  <conditionalFormatting sqref="AI33 AK33 AM33">
    <cfRule type="cellIs" dxfId="287" priority="346" operator="equal">
      <formula>"""0"""</formula>
    </cfRule>
  </conditionalFormatting>
  <conditionalFormatting sqref="AJ33">
    <cfRule type="cellIs" dxfId="286" priority="345" operator="equal">
      <formula>"""0"""</formula>
    </cfRule>
  </conditionalFormatting>
  <conditionalFormatting sqref="AS33 AU33 AW33">
    <cfRule type="cellIs" dxfId="285" priority="344" operator="equal">
      <formula>"""0"""</formula>
    </cfRule>
  </conditionalFormatting>
  <conditionalFormatting sqref="AT33">
    <cfRule type="cellIs" dxfId="284" priority="343" operator="equal">
      <formula>"""0"""</formula>
    </cfRule>
  </conditionalFormatting>
  <conditionalFormatting sqref="AA36 AH36:AI36 AK36">
    <cfRule type="cellIs" dxfId="283" priority="342" operator="equal">
      <formula>"""0"""</formula>
    </cfRule>
  </conditionalFormatting>
  <conditionalFormatting sqref="Y36:Z36">
    <cfRule type="cellIs" dxfId="282" priority="341" operator="equal">
      <formula>"""0"""</formula>
    </cfRule>
  </conditionalFormatting>
  <conditionalFormatting sqref="AJ36">
    <cfRule type="cellIs" dxfId="281" priority="340" operator="equal">
      <formula>"""0"""</formula>
    </cfRule>
  </conditionalFormatting>
  <conditionalFormatting sqref="AL36">
    <cfRule type="cellIs" dxfId="280" priority="339" operator="equal">
      <formula>"""0"""</formula>
    </cfRule>
  </conditionalFormatting>
  <conditionalFormatting sqref="X36">
    <cfRule type="cellIs" dxfId="279" priority="338" operator="equal">
      <formula>"""0"""</formula>
    </cfRule>
  </conditionalFormatting>
  <conditionalFormatting sqref="X37">
    <cfRule type="cellIs" dxfId="278" priority="337" operator="equal">
      <formula>"""0"""</formula>
    </cfRule>
  </conditionalFormatting>
  <conditionalFormatting sqref="Z37:Z40">
    <cfRule type="cellIs" dxfId="277" priority="336" operator="equal">
      <formula>"""0"""</formula>
    </cfRule>
  </conditionalFormatting>
  <conditionalFormatting sqref="AA37">
    <cfRule type="cellIs" dxfId="276" priority="335" operator="equal">
      <formula>"""0"""</formula>
    </cfRule>
  </conditionalFormatting>
  <conditionalFormatting sqref="AI37">
    <cfRule type="cellIs" dxfId="275" priority="334" operator="equal">
      <formula>"""0"""</formula>
    </cfRule>
  </conditionalFormatting>
  <conditionalFormatting sqref="AH37">
    <cfRule type="cellIs" dxfId="274" priority="333" operator="equal">
      <formula>"""0"""</formula>
    </cfRule>
  </conditionalFormatting>
  <conditionalFormatting sqref="AJ37">
    <cfRule type="cellIs" dxfId="273" priority="332" operator="equal">
      <formula>"""0"""</formula>
    </cfRule>
  </conditionalFormatting>
  <conditionalFormatting sqref="AK37">
    <cfRule type="cellIs" dxfId="272" priority="331" operator="equal">
      <formula>"""0"""</formula>
    </cfRule>
  </conditionalFormatting>
  <conditionalFormatting sqref="AS37">
    <cfRule type="cellIs" dxfId="271" priority="330" operator="equal">
      <formula>"""0"""</formula>
    </cfRule>
  </conditionalFormatting>
  <conditionalFormatting sqref="AR37">
    <cfRule type="cellIs" dxfId="270" priority="329" operator="equal">
      <formula>"""0"""</formula>
    </cfRule>
  </conditionalFormatting>
  <conditionalFormatting sqref="AT37">
    <cfRule type="cellIs" dxfId="269" priority="328" operator="equal">
      <formula>"""0"""</formula>
    </cfRule>
  </conditionalFormatting>
  <conditionalFormatting sqref="AU37">
    <cfRule type="cellIs" dxfId="268" priority="327" operator="equal">
      <formula>"""0"""</formula>
    </cfRule>
  </conditionalFormatting>
  <conditionalFormatting sqref="AH38:AI38 AK38">
    <cfRule type="cellIs" dxfId="267" priority="326" operator="equal">
      <formula>"""0"""</formula>
    </cfRule>
  </conditionalFormatting>
  <conditionalFormatting sqref="AJ38">
    <cfRule type="cellIs" dxfId="266" priority="325" operator="equal">
      <formula>"""0"""</formula>
    </cfRule>
  </conditionalFormatting>
  <conditionalFormatting sqref="AR38:AS38 AU38">
    <cfRule type="cellIs" dxfId="265" priority="324" operator="equal">
      <formula>"""0"""</formula>
    </cfRule>
  </conditionalFormatting>
  <conditionalFormatting sqref="AT38">
    <cfRule type="cellIs" dxfId="264" priority="323" operator="equal">
      <formula>"""0"""</formula>
    </cfRule>
  </conditionalFormatting>
  <conditionalFormatting sqref="AH39:AI39 AK39">
    <cfRule type="cellIs" dxfId="263" priority="322" operator="equal">
      <formula>"""0"""</formula>
    </cfRule>
  </conditionalFormatting>
  <conditionalFormatting sqref="AJ39">
    <cfRule type="cellIs" dxfId="262" priority="321" operator="equal">
      <formula>"""0"""</formula>
    </cfRule>
  </conditionalFormatting>
  <conditionalFormatting sqref="AR39:AS39 AU39">
    <cfRule type="cellIs" dxfId="261" priority="320" operator="equal">
      <formula>"""0"""</formula>
    </cfRule>
  </conditionalFormatting>
  <conditionalFormatting sqref="AT39">
    <cfRule type="cellIs" dxfId="260" priority="319" operator="equal">
      <formula>"""0"""</formula>
    </cfRule>
  </conditionalFormatting>
  <conditionalFormatting sqref="AH40:AI40 AK40:AL40">
    <cfRule type="cellIs" dxfId="259" priority="318" operator="equal">
      <formula>"""0"""</formula>
    </cfRule>
  </conditionalFormatting>
  <conditionalFormatting sqref="AJ40">
    <cfRule type="cellIs" dxfId="258" priority="317" operator="equal">
      <formula>"""0"""</formula>
    </cfRule>
  </conditionalFormatting>
  <conditionalFormatting sqref="AR40:AS40 AU40:AV40 AS41">
    <cfRule type="cellIs" dxfId="257" priority="316" operator="equal">
      <formula>"""0"""</formula>
    </cfRule>
  </conditionalFormatting>
  <conditionalFormatting sqref="AT40:AT41">
    <cfRule type="cellIs" dxfId="256" priority="315" operator="equal">
      <formula>"""0"""</formula>
    </cfRule>
  </conditionalFormatting>
  <conditionalFormatting sqref="AH41:AL41">
    <cfRule type="cellIs" dxfId="255" priority="314" operator="equal">
      <formula>"""0"""</formula>
    </cfRule>
  </conditionalFormatting>
  <conditionalFormatting sqref="AR41 AU41:AV41">
    <cfRule type="cellIs" dxfId="254" priority="313" operator="equal">
      <formula>"""0"""</formula>
    </cfRule>
  </conditionalFormatting>
  <conditionalFormatting sqref="Z42">
    <cfRule type="cellIs" dxfId="253" priority="312" operator="equal">
      <formula>"""0"""</formula>
    </cfRule>
  </conditionalFormatting>
  <conditionalFormatting sqref="AH42:AI42 AK42:AL42">
    <cfRule type="cellIs" dxfId="252" priority="311" operator="equal">
      <formula>"""0"""</formula>
    </cfRule>
  </conditionalFormatting>
  <conditionalFormatting sqref="AR42:AS42 AU42:AV42">
    <cfRule type="cellIs" dxfId="251" priority="310" operator="equal">
      <formula>"""0"""</formula>
    </cfRule>
  </conditionalFormatting>
  <conditionalFormatting sqref="AT42">
    <cfRule type="cellIs" dxfId="250" priority="309" operator="equal">
      <formula>"""0"""</formula>
    </cfRule>
  </conditionalFormatting>
  <conditionalFormatting sqref="AR43:AS43 AU43">
    <cfRule type="cellIs" dxfId="249" priority="308" operator="equal">
      <formula>"""0"""</formula>
    </cfRule>
  </conditionalFormatting>
  <conditionalFormatting sqref="AT43">
    <cfRule type="cellIs" dxfId="248" priority="307" operator="equal">
      <formula>"""0"""</formula>
    </cfRule>
  </conditionalFormatting>
  <conditionalFormatting sqref="AH43:AK43 AJ44">
    <cfRule type="cellIs" dxfId="247" priority="306" operator="equal">
      <formula>"""0"""</formula>
    </cfRule>
  </conditionalFormatting>
  <conditionalFormatting sqref="AR44:AS44 AU44:AV44">
    <cfRule type="cellIs" dxfId="246" priority="305" operator="equal">
      <formula>"""0"""</formula>
    </cfRule>
  </conditionalFormatting>
  <conditionalFormatting sqref="AT44">
    <cfRule type="cellIs" dxfId="245" priority="304" operator="equal">
      <formula>"""0"""</formula>
    </cfRule>
  </conditionalFormatting>
  <conditionalFormatting sqref="AH45:AL45">
    <cfRule type="cellIs" dxfId="244" priority="303" operator="equal">
      <formula>"""0"""</formula>
    </cfRule>
  </conditionalFormatting>
  <conditionalFormatting sqref="AR45:AV45">
    <cfRule type="cellIs" dxfId="243" priority="302" operator="equal">
      <formula>"""0"""</formula>
    </cfRule>
  </conditionalFormatting>
  <conditionalFormatting sqref="AH46:AL46 AJ47:AJ51">
    <cfRule type="cellIs" dxfId="242" priority="301" operator="equal">
      <formula>"""0"""</formula>
    </cfRule>
  </conditionalFormatting>
  <conditionalFormatting sqref="AR46:AV46">
    <cfRule type="cellIs" dxfId="241" priority="300" operator="equal">
      <formula>"""0"""</formula>
    </cfRule>
  </conditionalFormatting>
  <conditionalFormatting sqref="AK47:AL51">
    <cfRule type="cellIs" dxfId="240" priority="299" operator="equal">
      <formula>"""0"""</formula>
    </cfRule>
  </conditionalFormatting>
  <conditionalFormatting sqref="AD13">
    <cfRule type="cellIs" dxfId="239" priority="298" operator="equal">
      <formula>"""0"""</formula>
    </cfRule>
  </conditionalFormatting>
  <conditionalFormatting sqref="AD12">
    <cfRule type="cellIs" dxfId="238" priority="297" operator="equal">
      <formula>"""0"""</formula>
    </cfRule>
  </conditionalFormatting>
  <conditionalFormatting sqref="AD30:AD34">
    <cfRule type="cellIs" dxfId="237" priority="296" operator="equal">
      <formula>"""0"""</formula>
    </cfRule>
  </conditionalFormatting>
  <conditionalFormatting sqref="AD27">
    <cfRule type="cellIs" dxfId="236" priority="295" operator="equal">
      <formula>"""0"""</formula>
    </cfRule>
  </conditionalFormatting>
  <conditionalFormatting sqref="AD26">
    <cfRule type="cellIs" dxfId="235" priority="294" operator="equal">
      <formula>"""0"""</formula>
    </cfRule>
  </conditionalFormatting>
  <conditionalFormatting sqref="AD38:AD47">
    <cfRule type="cellIs" dxfId="234" priority="293" operator="equal">
      <formula>"""0"""</formula>
    </cfRule>
  </conditionalFormatting>
  <conditionalFormatting sqref="AD37">
    <cfRule type="cellIs" dxfId="233" priority="292" operator="equal">
      <formula>"""0"""</formula>
    </cfRule>
  </conditionalFormatting>
  <conditionalFormatting sqref="AD36">
    <cfRule type="cellIs" dxfId="232" priority="291" operator="equal">
      <formula>"""0"""</formula>
    </cfRule>
  </conditionalFormatting>
  <conditionalFormatting sqref="AD54">
    <cfRule type="cellIs" dxfId="231" priority="290" operator="equal">
      <formula>"""0"""</formula>
    </cfRule>
  </conditionalFormatting>
  <conditionalFormatting sqref="AN19:AO19 AN14:AO16 AO12:AO13 AN17:AN18 AO32:AO33 AO26:AO27">
    <cfRule type="cellIs" dxfId="230" priority="289" operator="equal">
      <formula>"""0"""</formula>
    </cfRule>
  </conditionalFormatting>
  <conditionalFormatting sqref="AO17:AO18">
    <cfRule type="cellIs" dxfId="229" priority="288" operator="equal">
      <formula>"""0"""</formula>
    </cfRule>
  </conditionalFormatting>
  <conditionalFormatting sqref="AN13">
    <cfRule type="cellIs" dxfId="228" priority="287" operator="equal">
      <formula>"""0"""</formula>
    </cfRule>
  </conditionalFormatting>
  <conditionalFormatting sqref="AN12">
    <cfRule type="cellIs" dxfId="227" priority="286" operator="equal">
      <formula>"""0"""</formula>
    </cfRule>
  </conditionalFormatting>
  <conditionalFormatting sqref="AN31:AN34">
    <cfRule type="cellIs" dxfId="226" priority="285" operator="equal">
      <formula>"""0"""</formula>
    </cfRule>
  </conditionalFormatting>
  <conditionalFormatting sqref="AN27">
    <cfRule type="cellIs" dxfId="225" priority="284" operator="equal">
      <formula>"""0"""</formula>
    </cfRule>
  </conditionalFormatting>
  <conditionalFormatting sqref="AN26">
    <cfRule type="cellIs" dxfId="224" priority="283" operator="equal">
      <formula>"""0"""</formula>
    </cfRule>
  </conditionalFormatting>
  <conditionalFormatting sqref="AN38:AN51">
    <cfRule type="cellIs" dxfId="223" priority="282" operator="equal">
      <formula>"""0"""</formula>
    </cfRule>
  </conditionalFormatting>
  <conditionalFormatting sqref="AN37">
    <cfRule type="cellIs" dxfId="222" priority="281" operator="equal">
      <formula>"""0"""</formula>
    </cfRule>
  </conditionalFormatting>
  <conditionalFormatting sqref="AN36">
    <cfRule type="cellIs" dxfId="221" priority="280" operator="equal">
      <formula>"""0"""</formula>
    </cfRule>
  </conditionalFormatting>
  <conditionalFormatting sqref="AX31:AX34">
    <cfRule type="cellIs" dxfId="220" priority="271" operator="equal">
      <formula>"""0"""</formula>
    </cfRule>
  </conditionalFormatting>
  <conditionalFormatting sqref="AX27 AX29:AX30">
    <cfRule type="cellIs" dxfId="219" priority="270" operator="equal">
      <formula>"""0"""</formula>
    </cfRule>
  </conditionalFormatting>
  <conditionalFormatting sqref="AX26">
    <cfRule type="cellIs" dxfId="218" priority="269" operator="equal">
      <formula>"""0"""</formula>
    </cfRule>
  </conditionalFormatting>
  <conditionalFormatting sqref="AX38:AX46">
    <cfRule type="cellIs" dxfId="217" priority="268" operator="equal">
      <formula>"""0"""</formula>
    </cfRule>
  </conditionalFormatting>
  <conditionalFormatting sqref="AX37">
    <cfRule type="cellIs" dxfId="216" priority="267" operator="equal">
      <formula>"""0"""</formula>
    </cfRule>
  </conditionalFormatting>
  <conditionalFormatting sqref="AX36">
    <cfRule type="cellIs" dxfId="215" priority="266" operator="equal">
      <formula>"""0"""</formula>
    </cfRule>
  </conditionalFormatting>
  <conditionalFormatting sqref="AY30">
    <cfRule type="cellIs" dxfId="214" priority="265" operator="equal">
      <formula>"""0"""</formula>
    </cfRule>
  </conditionalFormatting>
  <conditionalFormatting sqref="AY54 AX52:AY53">
    <cfRule type="cellIs" dxfId="213" priority="264" operator="equal">
      <formula>"""0"""</formula>
    </cfRule>
  </conditionalFormatting>
  <conditionalFormatting sqref="AX54">
    <cfRule type="cellIs" dxfId="212" priority="263" operator="equal">
      <formula>"""0"""</formula>
    </cfRule>
  </conditionalFormatting>
  <conditionalFormatting sqref="AR47:AS51">
    <cfRule type="cellIs" dxfId="211" priority="262" operator="equal">
      <formula>"""0"""</formula>
    </cfRule>
  </conditionalFormatting>
  <conditionalFormatting sqref="AN30:AO30">
    <cfRule type="cellIs" dxfId="210" priority="279" operator="equal">
      <formula>"""0"""</formula>
    </cfRule>
  </conditionalFormatting>
  <conditionalFormatting sqref="AO54 AN52:AO53">
    <cfRule type="cellIs" dxfId="209" priority="278" operator="equal">
      <formula>"""0"""</formula>
    </cfRule>
  </conditionalFormatting>
  <conditionalFormatting sqref="AN54">
    <cfRule type="cellIs" dxfId="208" priority="277" operator="equal">
      <formula>"""0"""</formula>
    </cfRule>
  </conditionalFormatting>
  <conditionalFormatting sqref="AY29">
    <cfRule type="cellIs" dxfId="207" priority="276" operator="equal">
      <formula>"""0"""</formula>
    </cfRule>
  </conditionalFormatting>
  <conditionalFormatting sqref="AX19:AY19 AX14:AY16 AY12:AY13 AX17:AX18 AY32:AY33 AY26:AY27">
    <cfRule type="cellIs" dxfId="206" priority="275" operator="equal">
      <formula>"""0"""</formula>
    </cfRule>
  </conditionalFormatting>
  <conditionalFormatting sqref="AY17:AY18">
    <cfRule type="cellIs" dxfId="205" priority="274" operator="equal">
      <formula>"""0"""</formula>
    </cfRule>
  </conditionalFormatting>
  <conditionalFormatting sqref="AX13">
    <cfRule type="cellIs" dxfId="204" priority="273" operator="equal">
      <formula>"""0"""</formula>
    </cfRule>
  </conditionalFormatting>
  <conditionalFormatting sqref="AX12">
    <cfRule type="cellIs" dxfId="203" priority="272" operator="equal">
      <formula>"""0"""</formula>
    </cfRule>
  </conditionalFormatting>
  <conditionalFormatting sqref="AT47:AT51">
    <cfRule type="cellIs" dxfId="202" priority="261" operator="equal">
      <formula>"""0"""</formula>
    </cfRule>
  </conditionalFormatting>
  <conditionalFormatting sqref="AU47:AV51">
    <cfRule type="cellIs" dxfId="201" priority="260" operator="equal">
      <formula>"""0"""</formula>
    </cfRule>
  </conditionalFormatting>
  <conditionalFormatting sqref="AX47:AX51">
    <cfRule type="cellIs" dxfId="200" priority="259" operator="equal">
      <formula>"""0"""</formula>
    </cfRule>
  </conditionalFormatting>
  <conditionalFormatting sqref="X1">
    <cfRule type="cellIs" dxfId="199" priority="258" operator="equal">
      <formula>"""0"""</formula>
    </cfRule>
  </conditionalFormatting>
  <conditionalFormatting sqref="AZ65:AZ69">
    <cfRule type="cellIs" dxfId="198" priority="257" operator="equal">
      <formula>"""0"""</formula>
    </cfRule>
  </conditionalFormatting>
  <conditionalFormatting sqref="AP65:AP69">
    <cfRule type="cellIs" dxfId="197" priority="256" operator="equal">
      <formula>"""0"""</formula>
    </cfRule>
  </conditionalFormatting>
  <conditionalFormatting sqref="AG27:AG28">
    <cfRule type="cellIs" dxfId="196" priority="255" operator="equal">
      <formula>"""0"""</formula>
    </cfRule>
  </conditionalFormatting>
  <conditionalFormatting sqref="AG36">
    <cfRule type="cellIs" dxfId="195" priority="254" operator="equal">
      <formula>"""0"""</formula>
    </cfRule>
  </conditionalFormatting>
  <conditionalFormatting sqref="AQ27:AQ28">
    <cfRule type="cellIs" dxfId="194" priority="253" operator="equal">
      <formula>"""0"""</formula>
    </cfRule>
  </conditionalFormatting>
  <conditionalFormatting sqref="BX52:BX53">
    <cfRule type="cellIs" dxfId="193" priority="240" operator="equal">
      <formula>"""0"""</formula>
    </cfRule>
  </conditionalFormatting>
  <conditionalFormatting sqref="BC70:BC84">
    <cfRule type="cellIs" dxfId="192" priority="239" operator="equal">
      <formula>"""0"""</formula>
    </cfRule>
  </conditionalFormatting>
  <conditionalFormatting sqref="Q18:R18 N17:P18 N19:Q19 Q27:S27 R29:S29 Q30:S30 Q31 S31 O31:O33 Q32:S32 Q33 S33 O37 Q38:Q39 N39:O40 Q40:R40 N41:R41 N42:O42 Q42:R42 N43:Q43 N13:S13 U12:V13 T17:T18 R26:S26 N54:R54 N14:W16 U26:W27 V31:W31 U32:W33 N52:W53 U54:W54 O29:P29 N46:Q46 U29:W30 V28:W28 S19:W19 V40:W51 N34:Q34 N35:O35 Q35 N12:O12 Q12:S12 N67:W84 N66:S66 U66:W66 N55:W55 N47:R51 N38 N57:W65 V56:W56 N25:Q26 N44:R45 W9:W13">
    <cfRule type="cellIs" dxfId="191" priority="237" operator="equal">
      <formula>"""0"""</formula>
    </cfRule>
  </conditionalFormatting>
  <conditionalFormatting sqref="Q17:S17 S18 U17:W18">
    <cfRule type="cellIs" dxfId="190" priority="236" operator="equal">
      <formula>"""0"""</formula>
    </cfRule>
  </conditionalFormatting>
  <conditionalFormatting sqref="T13">
    <cfRule type="cellIs" dxfId="189" priority="225" operator="equal">
      <formula>"""0"""</formula>
    </cfRule>
  </conditionalFormatting>
  <conditionalFormatting sqref="Q29">
    <cfRule type="cellIs" dxfId="188" priority="234" operator="equal">
      <formula>"""0"""</formula>
    </cfRule>
  </conditionalFormatting>
  <conditionalFormatting sqref="P27">
    <cfRule type="cellIs" dxfId="187" priority="235" operator="equal">
      <formula>"""0"""</formula>
    </cfRule>
  </conditionalFormatting>
  <conditionalFormatting sqref="P31:P33">
    <cfRule type="cellIs" dxfId="186" priority="233" operator="equal">
      <formula>"""0"""</formula>
    </cfRule>
  </conditionalFormatting>
  <conditionalFormatting sqref="Q36">
    <cfRule type="cellIs" dxfId="185" priority="232" operator="equal">
      <formula>"""0"""</formula>
    </cfRule>
  </conditionalFormatting>
  <conditionalFormatting sqref="O36:P36">
    <cfRule type="cellIs" dxfId="184" priority="231" operator="equal">
      <formula>"""0"""</formula>
    </cfRule>
  </conditionalFormatting>
  <conditionalFormatting sqref="N36">
    <cfRule type="cellIs" dxfId="183" priority="230" operator="equal">
      <formula>"""0"""</formula>
    </cfRule>
  </conditionalFormatting>
  <conditionalFormatting sqref="N37">
    <cfRule type="cellIs" dxfId="182" priority="229" operator="equal">
      <formula>"""0"""</formula>
    </cfRule>
  </conditionalFormatting>
  <conditionalFormatting sqref="P37:P40">
    <cfRule type="cellIs" dxfId="181" priority="228" operator="equal">
      <formula>"""0"""</formula>
    </cfRule>
  </conditionalFormatting>
  <conditionalFormatting sqref="Q37">
    <cfRule type="cellIs" dxfId="180" priority="227" operator="equal">
      <formula>"""0"""</formula>
    </cfRule>
  </conditionalFormatting>
  <conditionalFormatting sqref="P42">
    <cfRule type="cellIs" dxfId="179" priority="226" operator="equal">
      <formula>"""0"""</formula>
    </cfRule>
  </conditionalFormatting>
  <conditionalFormatting sqref="T12">
    <cfRule type="cellIs" dxfId="178" priority="224" operator="equal">
      <formula>"""0"""</formula>
    </cfRule>
  </conditionalFormatting>
  <conditionalFormatting sqref="T29:T35">
    <cfRule type="cellIs" dxfId="177" priority="223" operator="equal">
      <formula>"""0"""</formula>
    </cfRule>
  </conditionalFormatting>
  <conditionalFormatting sqref="T27:T28">
    <cfRule type="cellIs" dxfId="176" priority="222" operator="equal">
      <formula>"""0"""</formula>
    </cfRule>
  </conditionalFormatting>
  <conditionalFormatting sqref="T26">
    <cfRule type="cellIs" dxfId="175" priority="221" operator="equal">
      <formula>"""0"""</formula>
    </cfRule>
  </conditionalFormatting>
  <conditionalFormatting sqref="T38:T51">
    <cfRule type="cellIs" dxfId="174" priority="220" operator="equal">
      <formula>"""0"""</formula>
    </cfRule>
  </conditionalFormatting>
  <conditionalFormatting sqref="T37">
    <cfRule type="cellIs" dxfId="173" priority="219" operator="equal">
      <formula>"""0"""</formula>
    </cfRule>
  </conditionalFormatting>
  <conditionalFormatting sqref="T36">
    <cfRule type="cellIs" dxfId="172" priority="218" operator="equal">
      <formula>"""0"""</formula>
    </cfRule>
  </conditionalFormatting>
  <conditionalFormatting sqref="T54">
    <cfRule type="cellIs" dxfId="171" priority="217" operator="equal">
      <formula>"""0"""</formula>
    </cfRule>
  </conditionalFormatting>
  <conditionalFormatting sqref="N1">
    <cfRule type="cellIs" dxfId="170" priority="216" operator="equal">
      <formula>"""0"""</formula>
    </cfRule>
  </conditionalFormatting>
  <conditionalFormatting sqref="S46">
    <cfRule type="cellIs" dxfId="169" priority="215" operator="equal">
      <formula>"""0"""</formula>
    </cfRule>
  </conditionalFormatting>
  <conditionalFormatting sqref="P28">
    <cfRule type="cellIs" dxfId="168" priority="210" operator="equal">
      <formula>"""0"""</formula>
    </cfRule>
  </conditionalFormatting>
  <conditionalFormatting sqref="O28">
    <cfRule type="cellIs" dxfId="167" priority="213" operator="equal">
      <formula>"""0"""</formula>
    </cfRule>
  </conditionalFormatting>
  <conditionalFormatting sqref="Q28">
    <cfRule type="cellIs" dxfId="166" priority="212" operator="equal">
      <formula>"""0"""</formula>
    </cfRule>
  </conditionalFormatting>
  <conditionalFormatting sqref="R28">
    <cfRule type="cellIs" dxfId="165" priority="211" operator="equal">
      <formula>"""0"""</formula>
    </cfRule>
  </conditionalFormatting>
  <conditionalFormatting sqref="S28">
    <cfRule type="cellIs" dxfId="164" priority="209" operator="equal">
      <formula>"""0"""</formula>
    </cfRule>
  </conditionalFormatting>
  <conditionalFormatting sqref="U28">
    <cfRule type="cellIs" dxfId="163" priority="208" operator="equal">
      <formula>"""0"""</formula>
    </cfRule>
  </conditionalFormatting>
  <conditionalFormatting sqref="X48:AB48 X50:AB51">
    <cfRule type="cellIs" dxfId="162" priority="199" operator="equal">
      <formula>"""0"""</formula>
    </cfRule>
  </conditionalFormatting>
  <conditionalFormatting sqref="X21:Y21 AB21:AE21">
    <cfRule type="cellIs" dxfId="161" priority="205" operator="equal">
      <formula>"""0"""</formula>
    </cfRule>
  </conditionalFormatting>
  <conditionalFormatting sqref="AB66:AC66 AE66">
    <cfRule type="cellIs" dxfId="160" priority="192" operator="equal">
      <formula>"""0"""</formula>
    </cfRule>
  </conditionalFormatting>
  <conditionalFormatting sqref="X25:AA25 AC25">
    <cfRule type="cellIs" dxfId="159" priority="203" operator="equal">
      <formula>"""0"""</formula>
    </cfRule>
  </conditionalFormatting>
  <conditionalFormatting sqref="AD25:AE25">
    <cfRule type="cellIs" dxfId="158" priority="202" operator="equal">
      <formula>"""0"""</formula>
    </cfRule>
  </conditionalFormatting>
  <conditionalFormatting sqref="AF25">
    <cfRule type="cellIs" dxfId="157" priority="201" operator="equal">
      <formula>"""0"""</formula>
    </cfRule>
  </conditionalFormatting>
  <conditionalFormatting sqref="AF48:AF51">
    <cfRule type="cellIs" dxfId="156" priority="200" operator="equal">
      <formula>"""0"""</formula>
    </cfRule>
  </conditionalFormatting>
  <conditionalFormatting sqref="AD48 AD50:AD51">
    <cfRule type="cellIs" dxfId="155" priority="198" operator="equal">
      <formula>"""0"""</formula>
    </cfRule>
  </conditionalFormatting>
  <conditionalFormatting sqref="X49:AB49">
    <cfRule type="cellIs" dxfId="154" priority="197" operator="equal">
      <formula>"""0"""</formula>
    </cfRule>
  </conditionalFormatting>
  <conditionalFormatting sqref="AD49">
    <cfRule type="cellIs" dxfId="153" priority="196" operator="equal">
      <formula>"""0"""</formula>
    </cfRule>
  </conditionalFormatting>
  <conditionalFormatting sqref="AF60">
    <cfRule type="cellIs" dxfId="152" priority="195" operator="equal">
      <formula>"""0"""</formula>
    </cfRule>
  </conditionalFormatting>
  <conditionalFormatting sqref="X60:AE60">
    <cfRule type="cellIs" dxfId="151" priority="194" operator="equal">
      <formula>"""0"""</formula>
    </cfRule>
  </conditionalFormatting>
  <conditionalFormatting sqref="AF66 X66">
    <cfRule type="cellIs" dxfId="150" priority="193" operator="equal">
      <formula>"""0"""</formula>
    </cfRule>
  </conditionalFormatting>
  <conditionalFormatting sqref="Y66:Z66">
    <cfRule type="cellIs" dxfId="149" priority="191" operator="equal">
      <formula>"""0"""</formula>
    </cfRule>
  </conditionalFormatting>
  <conditionalFormatting sqref="AA66">
    <cfRule type="cellIs" dxfId="148" priority="190" operator="equal">
      <formula>"""0"""</formula>
    </cfRule>
  </conditionalFormatting>
  <conditionalFormatting sqref="AK28">
    <cfRule type="cellIs" dxfId="147" priority="180" operator="equal">
      <formula>"""0"""</formula>
    </cfRule>
  </conditionalFormatting>
  <conditionalFormatting sqref="Y28">
    <cfRule type="cellIs" dxfId="146" priority="188" operator="equal">
      <formula>"""0"""</formula>
    </cfRule>
  </conditionalFormatting>
  <conditionalFormatting sqref="AB28">
    <cfRule type="cellIs" dxfId="145" priority="186" operator="equal">
      <formula>"""0"""</formula>
    </cfRule>
  </conditionalFormatting>
  <conditionalFormatting sqref="AX28">
    <cfRule type="cellIs" dxfId="144" priority="175" operator="equal">
      <formula>"""0"""</formula>
    </cfRule>
  </conditionalFormatting>
  <conditionalFormatting sqref="AC28">
    <cfRule type="cellIs" dxfId="143" priority="184" operator="equal">
      <formula>"""0"""</formula>
    </cfRule>
  </conditionalFormatting>
  <conditionalFormatting sqref="AO28">
    <cfRule type="cellIs" dxfId="142" priority="176" operator="equal">
      <formula>"""0"""</formula>
    </cfRule>
  </conditionalFormatting>
  <conditionalFormatting sqref="AN28">
    <cfRule type="cellIs" dxfId="141" priority="182" operator="equal">
      <formula>"""0"""</formula>
    </cfRule>
  </conditionalFormatting>
  <conditionalFormatting sqref="AI28">
    <cfRule type="cellIs" dxfId="140" priority="181" operator="equal">
      <formula>"""0"""</formula>
    </cfRule>
  </conditionalFormatting>
  <conditionalFormatting sqref="AL28">
    <cfRule type="cellIs" dxfId="139" priority="179" operator="equal">
      <formula>"""0"""</formula>
    </cfRule>
  </conditionalFormatting>
  <conditionalFormatting sqref="AJ28">
    <cfRule type="cellIs" dxfId="138" priority="178" operator="equal">
      <formula>"""0"""</formula>
    </cfRule>
  </conditionalFormatting>
  <conditionalFormatting sqref="AM28">
    <cfRule type="cellIs" dxfId="137" priority="177" operator="equal">
      <formula>"""0"""</formula>
    </cfRule>
  </conditionalFormatting>
  <conditionalFormatting sqref="AS28">
    <cfRule type="cellIs" dxfId="136" priority="174" operator="equal">
      <formula>"""0"""</formula>
    </cfRule>
  </conditionalFormatting>
  <conditionalFormatting sqref="AU28">
    <cfRule type="cellIs" dxfId="135" priority="173" operator="equal">
      <formula>"""0"""</formula>
    </cfRule>
  </conditionalFormatting>
  <conditionalFormatting sqref="AV28">
    <cfRule type="cellIs" dxfId="134" priority="172" operator="equal">
      <formula>"""0"""</formula>
    </cfRule>
  </conditionalFormatting>
  <conditionalFormatting sqref="AT28">
    <cfRule type="cellIs" dxfId="133" priority="171" operator="equal">
      <formula>"""0"""</formula>
    </cfRule>
  </conditionalFormatting>
  <conditionalFormatting sqref="AW28">
    <cfRule type="cellIs" dxfId="132" priority="170" operator="equal">
      <formula>"""0"""</formula>
    </cfRule>
  </conditionalFormatting>
  <conditionalFormatting sqref="X20:AG20 AF21">
    <cfRule type="cellIs" dxfId="131" priority="168" operator="equal">
      <formula>"""0"""</formula>
    </cfRule>
  </conditionalFormatting>
  <conditionalFormatting sqref="AN20:AO20">
    <cfRule type="cellIs" dxfId="130" priority="155" operator="equal">
      <formula>"""0"""</formula>
    </cfRule>
  </conditionalFormatting>
  <conditionalFormatting sqref="AR20:AV20">
    <cfRule type="cellIs" dxfId="129" priority="153" operator="equal">
      <formula>"""0"""</formula>
    </cfRule>
  </conditionalFormatting>
  <conditionalFormatting sqref="AW20">
    <cfRule type="cellIs" dxfId="128" priority="152" operator="equal">
      <formula>"""0"""</formula>
    </cfRule>
  </conditionalFormatting>
  <conditionalFormatting sqref="N20:W20">
    <cfRule type="cellIs" dxfId="127" priority="161" operator="equal">
      <formula>"""0"""</formula>
    </cfRule>
  </conditionalFormatting>
  <conditionalFormatting sqref="AP20:AQ20">
    <cfRule type="cellIs" dxfId="126" priority="160" operator="equal">
      <formula>"""0"""</formula>
    </cfRule>
  </conditionalFormatting>
  <conditionalFormatting sqref="AH20:AL20">
    <cfRule type="cellIs" dxfId="125" priority="159" operator="equal">
      <formula>"""0"""</formula>
    </cfRule>
  </conditionalFormatting>
  <conditionalFormatting sqref="AM20">
    <cfRule type="cellIs" dxfId="124" priority="158" operator="equal">
      <formula>"""0"""</formula>
    </cfRule>
  </conditionalFormatting>
  <conditionalFormatting sqref="AX20:AY20">
    <cfRule type="cellIs" dxfId="123" priority="151" operator="equal">
      <formula>"""0"""</formula>
    </cfRule>
  </conditionalFormatting>
  <conditionalFormatting sqref="AY28">
    <cfRule type="cellIs" dxfId="122" priority="150" operator="equal">
      <formula>"""0"""</formula>
    </cfRule>
  </conditionalFormatting>
  <conditionalFormatting sqref="AE28">
    <cfRule type="cellIs" dxfId="121" priority="149" operator="equal">
      <formula>"""0"""</formula>
    </cfRule>
  </conditionalFormatting>
  <conditionalFormatting sqref="AD29">
    <cfRule type="cellIs" dxfId="120" priority="148" operator="equal">
      <formula>"""0"""</formula>
    </cfRule>
  </conditionalFormatting>
  <conditionalFormatting sqref="AD28">
    <cfRule type="cellIs" dxfId="119" priority="147" operator="equal">
      <formula>"""0"""</formula>
    </cfRule>
  </conditionalFormatting>
  <conditionalFormatting sqref="AH60:AO60">
    <cfRule type="cellIs" dxfId="118" priority="144" operator="equal">
      <formula>"""0"""</formula>
    </cfRule>
  </conditionalFormatting>
  <conditionalFormatting sqref="AR60 AU60:AY60">
    <cfRule type="cellIs" dxfId="117" priority="143" operator="equal">
      <formula>"""0"""</formula>
    </cfRule>
  </conditionalFormatting>
  <conditionalFormatting sqref="AT60">
    <cfRule type="cellIs" dxfId="116" priority="142" operator="equal">
      <formula>"""0"""</formula>
    </cfRule>
  </conditionalFormatting>
  <conditionalFormatting sqref="AS60">
    <cfRule type="cellIs" dxfId="115" priority="141" operator="equal">
      <formula>"""0"""</formula>
    </cfRule>
  </conditionalFormatting>
  <conditionalFormatting sqref="AB73">
    <cfRule type="cellIs" dxfId="114" priority="140" operator="equal">
      <formula>"""0"""</formula>
    </cfRule>
  </conditionalFormatting>
  <conditionalFormatting sqref="AC73">
    <cfRule type="cellIs" dxfId="113" priority="139" operator="equal">
      <formula>"""0"""</formula>
    </cfRule>
  </conditionalFormatting>
  <conditionalFormatting sqref="AC73">
    <cfRule type="cellIs" dxfId="112" priority="138" operator="equal">
      <formula>"""0"""</formula>
    </cfRule>
  </conditionalFormatting>
  <conditionalFormatting sqref="P35">
    <cfRule type="cellIs" dxfId="111" priority="137" operator="equal">
      <formula>"""0"""</formula>
    </cfRule>
  </conditionalFormatting>
  <conditionalFormatting sqref="X35:Y35 AA35">
    <cfRule type="cellIs" dxfId="110" priority="136" operator="equal">
      <formula>"""0"""</formula>
    </cfRule>
  </conditionalFormatting>
  <conditionalFormatting sqref="AD35">
    <cfRule type="cellIs" dxfId="109" priority="135" operator="equal">
      <formula>"""0"""</formula>
    </cfRule>
  </conditionalFormatting>
  <conditionalFormatting sqref="Z35">
    <cfRule type="cellIs" dxfId="108" priority="134" operator="equal">
      <formula>"""0"""</formula>
    </cfRule>
  </conditionalFormatting>
  <conditionalFormatting sqref="AH35:AI35 AK35">
    <cfRule type="cellIs" dxfId="107" priority="133" operator="equal">
      <formula>"""0"""</formula>
    </cfRule>
  </conditionalFormatting>
  <conditionalFormatting sqref="AN35">
    <cfRule type="cellIs" dxfId="106" priority="132" operator="equal">
      <formula>"""0"""</formula>
    </cfRule>
  </conditionalFormatting>
  <conditionalFormatting sqref="AJ35">
    <cfRule type="cellIs" dxfId="105" priority="131" operator="equal">
      <formula>"""0"""</formula>
    </cfRule>
  </conditionalFormatting>
  <conditionalFormatting sqref="AR35:AS35 AU35">
    <cfRule type="cellIs" dxfId="104" priority="130" operator="equal">
      <formula>"""0"""</formula>
    </cfRule>
  </conditionalFormatting>
  <conditionalFormatting sqref="AX35">
    <cfRule type="cellIs" dxfId="103" priority="129" operator="equal">
      <formula>"""0"""</formula>
    </cfRule>
  </conditionalFormatting>
  <conditionalFormatting sqref="AT35">
    <cfRule type="cellIs" dxfId="102" priority="128" operator="equal">
      <formula>"""0"""</formula>
    </cfRule>
  </conditionalFormatting>
  <conditionalFormatting sqref="CF52:CF53">
    <cfRule type="cellIs" dxfId="101" priority="127" operator="equal">
      <formula>"""0"""</formula>
    </cfRule>
  </conditionalFormatting>
  <conditionalFormatting sqref="P12">
    <cfRule type="cellIs" dxfId="100" priority="126" operator="equal">
      <formula>"""0"""</formula>
    </cfRule>
  </conditionalFormatting>
  <conditionalFormatting sqref="AA12">
    <cfRule type="cellIs" dxfId="99" priority="125" operator="equal">
      <formula>"""0"""</formula>
    </cfRule>
  </conditionalFormatting>
  <conditionalFormatting sqref="AK12">
    <cfRule type="cellIs" dxfId="98" priority="124" operator="equal">
      <formula>"""0"""</formula>
    </cfRule>
  </conditionalFormatting>
  <conditionalFormatting sqref="BM70:BO84">
    <cfRule type="cellIs" dxfId="97" priority="123" operator="equal">
      <formula>"""0"""</formula>
    </cfRule>
  </conditionalFormatting>
  <conditionalFormatting sqref="BO65 BM60 BO59:BO60 BO48:BO51 BO21">
    <cfRule type="cellIs" dxfId="96" priority="122" operator="equal">
      <formula>"""0"""</formula>
    </cfRule>
  </conditionalFormatting>
  <conditionalFormatting sqref="BN65 BL60 BN59:BN60 BN48:BN51 BO20 BN20:BN21">
    <cfRule type="cellIs" dxfId="95" priority="121" operator="equal">
      <formula>"""0"""</formula>
    </cfRule>
  </conditionalFormatting>
  <conditionalFormatting sqref="BM29:BM31 BM41 BM64 BM68:BO69 BO64 BO41 BM33:BM34 BO33:BO34 BO29:BO30 BN31:BO31">
    <cfRule type="cellIs" dxfId="94" priority="120" operator="equal">
      <formula>"""0"""</formula>
    </cfRule>
  </conditionalFormatting>
  <conditionalFormatting sqref="BL70:BL84">
    <cfRule type="cellIs" dxfId="93" priority="119" operator="equal">
      <formula>"""0"""</formula>
    </cfRule>
  </conditionalFormatting>
  <conditionalFormatting sqref="BL20:BM20 BM21 BM44:BM53 BL61:BL69 BM65:BM67 BN64 BM61:BO63 BN52:BO53 BN44:BO47 BM42:BO43 BN41 BM35:BO37 BL29:BL37 BN33:BN34 BM32:BO32 BL28:BO28 BN29:BN30 BM25:BO27 BL39:BL53 BM39:BO40 BL38:BO38 BL12:BO17 BN66:BO67 BL19:BO19">
    <cfRule type="cellIs" dxfId="92" priority="118" operator="equal">
      <formula>"""0"""</formula>
    </cfRule>
  </conditionalFormatting>
  <conditionalFormatting sqref="AN66">
    <cfRule type="cellIs" dxfId="91" priority="99" operator="equal">
      <formula>"""0"""</formula>
    </cfRule>
  </conditionalFormatting>
  <conditionalFormatting sqref="AI66">
    <cfRule type="cellIs" dxfId="90" priority="106" operator="equal">
      <formula>"""0"""</formula>
    </cfRule>
  </conditionalFormatting>
  <conditionalFormatting sqref="AJ66">
    <cfRule type="cellIs" dxfId="89" priority="105" operator="equal">
      <formula>"""0"""</formula>
    </cfRule>
  </conditionalFormatting>
  <conditionalFormatting sqref="AK66">
    <cfRule type="cellIs" dxfId="88" priority="104" operator="equal">
      <formula>"""0"""</formula>
    </cfRule>
  </conditionalFormatting>
  <conditionalFormatting sqref="AM66">
    <cfRule type="cellIs" dxfId="87" priority="103" operator="equal">
      <formula>"""0"""</formula>
    </cfRule>
  </conditionalFormatting>
  <conditionalFormatting sqref="AX66">
    <cfRule type="cellIs" dxfId="86" priority="95" operator="equal">
      <formula>"""0"""</formula>
    </cfRule>
  </conditionalFormatting>
  <conditionalFormatting sqref="AD66">
    <cfRule type="cellIs" dxfId="85" priority="102" operator="equal">
      <formula>"""0"""</formula>
    </cfRule>
  </conditionalFormatting>
  <conditionalFormatting sqref="T66">
    <cfRule type="cellIs" dxfId="84" priority="101" operator="equal">
      <formula>"""0"""</formula>
    </cfRule>
  </conditionalFormatting>
  <conditionalFormatting sqref="AO66">
    <cfRule type="cellIs" dxfId="83" priority="100" operator="equal">
      <formula>"""0"""</formula>
    </cfRule>
  </conditionalFormatting>
  <conditionalFormatting sqref="AS66:AT66">
    <cfRule type="cellIs" dxfId="82" priority="98" operator="equal">
      <formula>"""0"""</formula>
    </cfRule>
  </conditionalFormatting>
  <conditionalFormatting sqref="AU66">
    <cfRule type="cellIs" dxfId="81" priority="97" operator="equal">
      <formula>"""0"""</formula>
    </cfRule>
  </conditionalFormatting>
  <conditionalFormatting sqref="AW66">
    <cfRule type="cellIs" dxfId="80" priority="96" operator="equal">
      <formula>"""0"""</formula>
    </cfRule>
  </conditionalFormatting>
  <conditionalFormatting sqref="AA63">
    <cfRule type="cellIs" dxfId="79" priority="94" operator="equal">
      <formula>"""0"""</formula>
    </cfRule>
  </conditionalFormatting>
  <conditionalFormatting sqref="AA62">
    <cfRule type="cellIs" dxfId="78" priority="93" operator="equal">
      <formula>"""0"""</formula>
    </cfRule>
  </conditionalFormatting>
  <conditionalFormatting sqref="Z59">
    <cfRule type="cellIs" dxfId="77" priority="92" operator="equal">
      <formula>"""0"""</formula>
    </cfRule>
  </conditionalFormatting>
  <conditionalFormatting sqref="R46">
    <cfRule type="cellIs" dxfId="76" priority="87" operator="equal">
      <formula>"""0"""</formula>
    </cfRule>
  </conditionalFormatting>
  <conditionalFormatting sqref="AJ30">
    <cfRule type="cellIs" dxfId="75" priority="84" operator="equal">
      <formula>"""0"""</formula>
    </cfRule>
  </conditionalFormatting>
  <conditionalFormatting sqref="Z30">
    <cfRule type="cellIs" dxfId="74" priority="83" operator="equal">
      <formula>"""0"""</formula>
    </cfRule>
  </conditionalFormatting>
  <conditionalFormatting sqref="AT30">
    <cfRule type="cellIs" dxfId="73" priority="82" operator="equal">
      <formula>"""0"""</formula>
    </cfRule>
  </conditionalFormatting>
  <conditionalFormatting sqref="AK29">
    <cfRule type="cellIs" dxfId="72" priority="81" operator="equal">
      <formula>"""0"""</formula>
    </cfRule>
  </conditionalFormatting>
  <conditionalFormatting sqref="Y29">
    <cfRule type="cellIs" dxfId="71" priority="80" operator="equal">
      <formula>"""0"""</formula>
    </cfRule>
  </conditionalFormatting>
  <conditionalFormatting sqref="AA21">
    <cfRule type="cellIs" dxfId="70" priority="70" operator="equal">
      <formula>"""0"""</formula>
    </cfRule>
  </conditionalFormatting>
  <conditionalFormatting sqref="Z28">
    <cfRule type="cellIs" dxfId="69" priority="77" operator="equal">
      <formula>"""0"""</formula>
    </cfRule>
  </conditionalFormatting>
  <conditionalFormatting sqref="AA28">
    <cfRule type="cellIs" dxfId="68" priority="76" operator="equal">
      <formula>"""0"""</formula>
    </cfRule>
  </conditionalFormatting>
  <conditionalFormatting sqref="Z21">
    <cfRule type="cellIs" dxfId="67" priority="71" operator="equal">
      <formula>"""0"""</formula>
    </cfRule>
  </conditionalFormatting>
  <conditionalFormatting sqref="BR60:BU60 BT57:BU58 BR57:BS59 BR54:BU56">
    <cfRule type="cellIs" dxfId="66" priority="69" operator="equal">
      <formula>"""0"""</formula>
    </cfRule>
  </conditionalFormatting>
  <conditionalFormatting sqref="BS70:BU84">
    <cfRule type="cellIs" dxfId="65" priority="68" operator="equal">
      <formula>"""0"""</formula>
    </cfRule>
  </conditionalFormatting>
  <conditionalFormatting sqref="BU67 BU65 BS60 BU59:BU60 BU48:BU51 BU31 BU21">
    <cfRule type="cellIs" dxfId="64" priority="67" operator="equal">
      <formula>"""0"""</formula>
    </cfRule>
  </conditionalFormatting>
  <conditionalFormatting sqref="BT67 BT65 BR60 BT59:BT60 BT48:BT51 BT31 BU20 BT20:BT21">
    <cfRule type="cellIs" dxfId="63" priority="66" operator="equal">
      <formula>"""0"""</formula>
    </cfRule>
  </conditionalFormatting>
  <conditionalFormatting sqref="BS29:BS31 BS41 BS64 BS68:BU69 BU64 BU41 BS33:BS34 BU33:BU34 BU29:BU30">
    <cfRule type="cellIs" dxfId="62" priority="65" operator="equal">
      <formula>"""0"""</formula>
    </cfRule>
  </conditionalFormatting>
  <conditionalFormatting sqref="BR70:BR84">
    <cfRule type="cellIs" dxfId="61" priority="64" operator="equal">
      <formula>"""0"""</formula>
    </cfRule>
  </conditionalFormatting>
  <conditionalFormatting sqref="BR20:BS20 BS21 BS44:BS53 BR61:BR69 BS65:BS67 BT66:BU66 BT64 BS61:BU63 BT52:BU53 BT44:BU47 BS42:BU43 BT41 BS35:BU40 BR29:BR53 BT33:BT34 BS32:BU32 BR28:BU28 BT29:BT30 BS25:BU27 BR12:BU19">
    <cfRule type="cellIs" dxfId="60" priority="63" operator="equal">
      <formula>"""0"""</formula>
    </cfRule>
  </conditionalFormatting>
  <conditionalFormatting sqref="BQ54:BQ60">
    <cfRule type="cellIs" dxfId="59" priority="61" operator="equal">
      <formula>"""0"""</formula>
    </cfRule>
  </conditionalFormatting>
  <conditionalFormatting sqref="BQ60">
    <cfRule type="cellIs" dxfId="58" priority="60" operator="equal">
      <formula>"""0"""</formula>
    </cfRule>
  </conditionalFormatting>
  <conditionalFormatting sqref="BQ70:BQ84">
    <cfRule type="cellIs" dxfId="57" priority="59" operator="equal">
      <formula>"""0"""</formula>
    </cfRule>
  </conditionalFormatting>
  <conditionalFormatting sqref="BQ61:BQ69">
    <cfRule type="cellIs" dxfId="56" priority="58" operator="equal">
      <formula>"""0"""</formula>
    </cfRule>
  </conditionalFormatting>
  <conditionalFormatting sqref="BK54:BK60">
    <cfRule type="cellIs" dxfId="55" priority="57" operator="equal">
      <formula>"""0"""</formula>
    </cfRule>
  </conditionalFormatting>
  <conditionalFormatting sqref="BK60">
    <cfRule type="cellIs" dxfId="54" priority="56" operator="equal">
      <formula>"""0"""</formula>
    </cfRule>
  </conditionalFormatting>
  <conditionalFormatting sqref="BK70:BK84">
    <cfRule type="cellIs" dxfId="53" priority="55" operator="equal">
      <formula>"""0"""</formula>
    </cfRule>
  </conditionalFormatting>
  <conditionalFormatting sqref="BK61:BK69 BL18:BO18">
    <cfRule type="cellIs" dxfId="52" priority="54" operator="equal">
      <formula>"""0"""</formula>
    </cfRule>
  </conditionalFormatting>
  <conditionalFormatting sqref="BB70:BB84">
    <cfRule type="cellIs" dxfId="51" priority="53" operator="equal">
      <formula>"""0"""</formula>
    </cfRule>
  </conditionalFormatting>
  <conditionalFormatting sqref="G18:H18 D17:F18 D19:G19 H29:I29 G30:I30 G31 I31 E31:E33 G32:I32 G33 I33 E37 G38:G39 D39:E40 G40:H40 D42:E42 G42:H42 D43:G43 D13:I13 K12:L13 J17:J18 D54:H54 D14:L16 K26:L27 L31 K32:L33 D52:L53 K54:L54 D46:G46 K29:L30 L28 I19:L19 L40:L51 D35:E35 G35 D12:E12 G12:I12 D67:L84 D66:I66 K66:L66 D47:H51 D38 D55:L58 D25:G25 D26 G26:I27 D60:L65 D59 F59:L59 D34 F34:G34 D41:H41 D44:H45">
    <cfRule type="cellIs" dxfId="50" priority="51" operator="equal">
      <formula>"""0"""</formula>
    </cfRule>
  </conditionalFormatting>
  <conditionalFormatting sqref="G17:I17 I18 K17:L18">
    <cfRule type="cellIs" dxfId="49" priority="50" operator="equal">
      <formula>"""0"""</formula>
    </cfRule>
  </conditionalFormatting>
  <conditionalFormatting sqref="J13">
    <cfRule type="cellIs" dxfId="48" priority="39" operator="equal">
      <formula>"""0"""</formula>
    </cfRule>
  </conditionalFormatting>
  <conditionalFormatting sqref="G29">
    <cfRule type="cellIs" dxfId="47" priority="48" operator="equal">
      <formula>"""0"""</formula>
    </cfRule>
  </conditionalFormatting>
  <conditionalFormatting sqref="F27">
    <cfRule type="cellIs" dxfId="46" priority="49" operator="equal">
      <formula>"""0"""</formula>
    </cfRule>
  </conditionalFormatting>
  <conditionalFormatting sqref="F31:F33">
    <cfRule type="cellIs" dxfId="45" priority="47" operator="equal">
      <formula>"""0"""</formula>
    </cfRule>
  </conditionalFormatting>
  <conditionalFormatting sqref="G36">
    <cfRule type="cellIs" dxfId="44" priority="46" operator="equal">
      <formula>"""0"""</formula>
    </cfRule>
  </conditionalFormatting>
  <conditionalFormatting sqref="E36:F36">
    <cfRule type="cellIs" dxfId="43" priority="45" operator="equal">
      <formula>"""0"""</formula>
    </cfRule>
  </conditionalFormatting>
  <conditionalFormatting sqref="D36">
    <cfRule type="cellIs" dxfId="42" priority="44" operator="equal">
      <formula>"""0"""</formula>
    </cfRule>
  </conditionalFormatting>
  <conditionalFormatting sqref="D37">
    <cfRule type="cellIs" dxfId="41" priority="43" operator="equal">
      <formula>"""0"""</formula>
    </cfRule>
  </conditionalFormatting>
  <conditionalFormatting sqref="F37:F40">
    <cfRule type="cellIs" dxfId="40" priority="42" operator="equal">
      <formula>"""0"""</formula>
    </cfRule>
  </conditionalFormatting>
  <conditionalFormatting sqref="G37">
    <cfRule type="cellIs" dxfId="39" priority="41" operator="equal">
      <formula>"""0"""</formula>
    </cfRule>
  </conditionalFormatting>
  <conditionalFormatting sqref="F42">
    <cfRule type="cellIs" dxfId="38" priority="40" operator="equal">
      <formula>"""0"""</formula>
    </cfRule>
  </conditionalFormatting>
  <conditionalFormatting sqref="J12">
    <cfRule type="cellIs" dxfId="37" priority="38" operator="equal">
      <formula>"""0"""</formula>
    </cfRule>
  </conditionalFormatting>
  <conditionalFormatting sqref="J29:J35">
    <cfRule type="cellIs" dxfId="36" priority="37" operator="equal">
      <formula>"""0"""</formula>
    </cfRule>
  </conditionalFormatting>
  <conditionalFormatting sqref="J27:J28">
    <cfRule type="cellIs" dxfId="35" priority="36" operator="equal">
      <formula>"""0"""</formula>
    </cfRule>
  </conditionalFormatting>
  <conditionalFormatting sqref="J26">
    <cfRule type="cellIs" dxfId="34" priority="35" operator="equal">
      <formula>"""0"""</formula>
    </cfRule>
  </conditionalFormatting>
  <conditionalFormatting sqref="J38:J51">
    <cfRule type="cellIs" dxfId="33" priority="34" operator="equal">
      <formula>"""0"""</formula>
    </cfRule>
  </conditionalFormatting>
  <conditionalFormatting sqref="J37">
    <cfRule type="cellIs" dxfId="32" priority="33" operator="equal">
      <formula>"""0"""</formula>
    </cfRule>
  </conditionalFormatting>
  <conditionalFormatting sqref="J36">
    <cfRule type="cellIs" dxfId="31" priority="32" operator="equal">
      <formula>"""0"""</formula>
    </cfRule>
  </conditionalFormatting>
  <conditionalFormatting sqref="J54">
    <cfRule type="cellIs" dxfId="30" priority="31" operator="equal">
      <formula>"""0"""</formula>
    </cfRule>
  </conditionalFormatting>
  <conditionalFormatting sqref="D1">
    <cfRule type="cellIs" dxfId="29" priority="30" operator="equal">
      <formula>"""0"""</formula>
    </cfRule>
  </conditionalFormatting>
  <conditionalFormatting sqref="I46">
    <cfRule type="cellIs" dxfId="28" priority="29" operator="equal">
      <formula>"""0"""</formula>
    </cfRule>
  </conditionalFormatting>
  <conditionalFormatting sqref="F28:F29">
    <cfRule type="cellIs" dxfId="27" priority="25" operator="equal">
      <formula>"""0"""</formula>
    </cfRule>
  </conditionalFormatting>
  <conditionalFormatting sqref="E28:E29">
    <cfRule type="cellIs" dxfId="26" priority="28" operator="equal">
      <formula>"""0"""</formula>
    </cfRule>
  </conditionalFormatting>
  <conditionalFormatting sqref="G28">
    <cfRule type="cellIs" dxfId="25" priority="27" operator="equal">
      <formula>"""0"""</formula>
    </cfRule>
  </conditionalFormatting>
  <conditionalFormatting sqref="H28">
    <cfRule type="cellIs" dxfId="24" priority="26" operator="equal">
      <formula>"""0"""</formula>
    </cfRule>
  </conditionalFormatting>
  <conditionalFormatting sqref="I28">
    <cfRule type="cellIs" dxfId="23" priority="24" operator="equal">
      <formula>"""0"""</formula>
    </cfRule>
  </conditionalFormatting>
  <conditionalFormatting sqref="K28">
    <cfRule type="cellIs" dxfId="22" priority="23" operator="equal">
      <formula>"""0"""</formula>
    </cfRule>
  </conditionalFormatting>
  <conditionalFormatting sqref="D20:L20">
    <cfRule type="cellIs" dxfId="21" priority="22" operator="equal">
      <formula>"""0"""</formula>
    </cfRule>
  </conditionalFormatting>
  <conditionalFormatting sqref="F35">
    <cfRule type="cellIs" dxfId="20" priority="21" operator="equal">
      <formula>"""0"""</formula>
    </cfRule>
  </conditionalFormatting>
  <conditionalFormatting sqref="F12">
    <cfRule type="cellIs" dxfId="19" priority="20" operator="equal">
      <formula>"""0"""</formula>
    </cfRule>
  </conditionalFormatting>
  <conditionalFormatting sqref="J66">
    <cfRule type="cellIs" dxfId="18" priority="19" operator="equal">
      <formula>"""0"""</formula>
    </cfRule>
  </conditionalFormatting>
  <conditionalFormatting sqref="H46">
    <cfRule type="cellIs" dxfId="17" priority="18" operator="equal">
      <formula>"""0"""</formula>
    </cfRule>
  </conditionalFormatting>
  <conditionalFormatting sqref="AH23:AP23">
    <cfRule type="cellIs" dxfId="16" priority="17" operator="equal">
      <formula>"""0"""</formula>
    </cfRule>
  </conditionalFormatting>
  <conditionalFormatting sqref="AR23:AZ23">
    <cfRule type="cellIs" dxfId="15" priority="16" operator="equal">
      <formula>"""0"""</formula>
    </cfRule>
  </conditionalFormatting>
  <conditionalFormatting sqref="L36">
    <cfRule type="cellIs" dxfId="14" priority="15" operator="equal">
      <formula>"""0"""</formula>
    </cfRule>
  </conditionalFormatting>
  <conditionalFormatting sqref="E38">
    <cfRule type="cellIs" dxfId="13" priority="14" operator="equal">
      <formula>"""0"""</formula>
    </cfRule>
  </conditionalFormatting>
  <conditionalFormatting sqref="O38">
    <cfRule type="cellIs" dxfId="12" priority="13" operator="equal">
      <formula>"""0"""</formula>
    </cfRule>
  </conditionalFormatting>
  <conditionalFormatting sqref="BH12:BH42 BH69:BH84">
    <cfRule type="cellIs" dxfId="11" priority="12" operator="equal">
      <formula>"""0"""</formula>
    </cfRule>
  </conditionalFormatting>
  <conditionalFormatting sqref="N56:U56">
    <cfRule type="cellIs" dxfId="10" priority="11" operator="equal">
      <formula>"""0"""</formula>
    </cfRule>
  </conditionalFormatting>
  <conditionalFormatting sqref="X56:AE56">
    <cfRule type="cellIs" dxfId="9" priority="10" operator="equal">
      <formula>"""0"""</formula>
    </cfRule>
  </conditionalFormatting>
  <conditionalFormatting sqref="AH56:AO56">
    <cfRule type="cellIs" dxfId="8" priority="9" operator="equal">
      <formula>"""0"""</formula>
    </cfRule>
  </conditionalFormatting>
  <conditionalFormatting sqref="AR56:AY56">
    <cfRule type="cellIs" dxfId="7" priority="8" operator="equal">
      <formula>"""0"""</formula>
    </cfRule>
  </conditionalFormatting>
  <conditionalFormatting sqref="E26">
    <cfRule type="cellIs" dxfId="6" priority="7" operator="equal">
      <formula>"""0"""</formula>
    </cfRule>
  </conditionalFormatting>
  <conditionalFormatting sqref="F26">
    <cfRule type="cellIs" dxfId="5" priority="6" operator="equal">
      <formula>"""0"""</formula>
    </cfRule>
  </conditionalFormatting>
  <conditionalFormatting sqref="E59">
    <cfRule type="cellIs" dxfId="4" priority="5" operator="equal">
      <formula>"""0"""</formula>
    </cfRule>
  </conditionalFormatting>
  <conditionalFormatting sqref="E34">
    <cfRule type="cellIs" dxfId="3" priority="4" operator="equal">
      <formula>"""0"""</formula>
    </cfRule>
  </conditionalFormatting>
  <conditionalFormatting sqref="Y63:Z63">
    <cfRule type="cellIs" dxfId="2" priority="3" operator="equal">
      <formula>"""0"""</formula>
    </cfRule>
  </conditionalFormatting>
  <conditionalFormatting sqref="S54">
    <cfRule type="cellIs" dxfId="1" priority="2" operator="equal">
      <formula>"""0"""</formula>
    </cfRule>
  </conditionalFormatting>
  <conditionalFormatting sqref="I54">
    <cfRule type="cellIs" dxfId="0" priority="1" operator="equal">
      <formula>"""0"""</formula>
    </cfRule>
  </conditionalFormatting>
  <pageMargins left="0.7" right="0.7" top="0.75" bottom="0.75" header="0.3" footer="0.3"/>
  <pageSetup orientation="portrait" r:id="rId1"/>
  <headerFooter>
    <oddFooter>&amp;R&amp;1#&amp;"Calibri"&amp;12&amp;K000000Official Use</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I117"/>
  <sheetViews>
    <sheetView zoomScale="69" zoomScaleNormal="70" zoomScalePageLayoutView="93" workbookViewId="0">
      <pane xSplit="4" topLeftCell="AH1" activePane="topRight" state="frozen"/>
      <selection activeCell="A77" sqref="A77"/>
      <selection pane="topRight" activeCell="AH88" sqref="AH88"/>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customWidth="1"/>
    <col min="15" max="17" width="21.6328125" style="6" customWidth="1"/>
    <col min="18" max="18" width="8.6328125" style="7" customWidth="1"/>
    <col min="19" max="19" width="1.6328125" style="1" customWidth="1"/>
    <col min="20" max="20" width="21.6328125" customWidth="1"/>
    <col min="21" max="21" width="23" customWidth="1"/>
    <col min="22" max="22" width="21.6328125" customWidth="1"/>
    <col min="23" max="23" width="1.6328125" style="1" customWidth="1"/>
    <col min="24" max="26" width="21.6328125" style="6" customWidth="1"/>
    <col min="27" max="27" width="8.6328125" style="7" customWidth="1"/>
    <col min="28" max="28" width="1.6328125" style="1" customWidth="1"/>
    <col min="29" max="29" width="21.6328125" customWidth="1"/>
    <col min="30" max="30" width="23" customWidth="1"/>
    <col min="31" max="31" width="21.6328125" customWidth="1"/>
    <col min="32" max="32" width="1.6328125" style="1" customWidth="1"/>
    <col min="33" max="35" width="21.6328125" style="6" customWidth="1"/>
    <col min="36" max="36" width="8.6328125" style="7" customWidth="1"/>
    <col min="37" max="37" width="1.6328125" style="1" customWidth="1"/>
    <col min="38" max="38" width="21.6328125" customWidth="1"/>
    <col min="39" max="39" width="23" customWidth="1"/>
    <col min="40" max="40" width="21.6328125" customWidth="1"/>
    <col min="41" max="41" width="1.6328125" style="1" customWidth="1"/>
    <col min="42" max="42" width="55" customWidth="1"/>
    <col min="44" max="46" width="21.6328125" style="6" customWidth="1"/>
    <col min="47" max="47" width="8.6328125" style="7" customWidth="1"/>
    <col min="48" max="48" width="1.6328125" style="1" customWidth="1"/>
    <col min="49" max="49" width="21.6328125" customWidth="1"/>
    <col min="50" max="50" width="23" customWidth="1"/>
    <col min="51" max="51" width="21.6328125" customWidth="1"/>
    <col min="52" max="52" width="3.81640625" customWidth="1"/>
    <col min="53" max="55" width="21.6328125" style="6" customWidth="1"/>
    <col min="56" max="56" width="8.6328125" style="7" customWidth="1"/>
    <col min="57" max="57" width="1.6328125" style="1" customWidth="1"/>
    <col min="58" max="58" width="21.6328125" customWidth="1"/>
    <col min="59" max="59" width="23" customWidth="1"/>
    <col min="60" max="60" width="21.6328125" customWidth="1"/>
    <col min="61" max="61" width="8.6328125" style="7" customWidth="1"/>
  </cols>
  <sheetData>
    <row r="1" spans="1:61" ht="31" x14ac:dyDescent="0.7">
      <c r="F1" s="9118" t="s">
        <v>394</v>
      </c>
      <c r="G1" s="9119"/>
      <c r="H1" s="9119"/>
      <c r="I1" s="9119"/>
      <c r="J1" s="9119"/>
      <c r="K1" s="9119"/>
      <c r="L1" s="9119"/>
      <c r="M1" s="9120"/>
      <c r="O1" s="9121" t="s">
        <v>395</v>
      </c>
      <c r="P1" s="9122"/>
      <c r="Q1" s="9122"/>
      <c r="R1" s="9122"/>
      <c r="S1" s="9122"/>
      <c r="T1" s="9122"/>
      <c r="U1" s="9122"/>
      <c r="V1" s="9123"/>
      <c r="X1" s="9312" t="s">
        <v>396</v>
      </c>
      <c r="Y1" s="9313"/>
      <c r="Z1" s="9313"/>
      <c r="AA1" s="9313"/>
      <c r="AB1" s="9313"/>
      <c r="AC1" s="9313"/>
      <c r="AD1" s="9313"/>
      <c r="AE1" s="9317"/>
      <c r="AG1" s="9477" t="s">
        <v>397</v>
      </c>
      <c r="AH1" s="9478"/>
      <c r="AI1" s="9478"/>
      <c r="AJ1" s="9478"/>
      <c r="AK1" s="9478"/>
      <c r="AL1" s="9478"/>
      <c r="AM1" s="9478"/>
      <c r="AN1" s="9479"/>
      <c r="AR1" s="9187" t="s">
        <v>398</v>
      </c>
      <c r="AS1" s="9188"/>
      <c r="AT1" s="9188"/>
      <c r="AU1" s="9188"/>
      <c r="AV1" s="9188"/>
      <c r="AW1" s="9188"/>
      <c r="AX1" s="9188"/>
      <c r="AY1" s="9189"/>
      <c r="BA1" s="9480" t="s">
        <v>399</v>
      </c>
      <c r="BB1" s="9481"/>
      <c r="BC1" s="9481"/>
      <c r="BD1" s="9481"/>
      <c r="BE1" s="9481"/>
      <c r="BF1" s="9481"/>
      <c r="BG1" s="9481"/>
      <c r="BH1" s="9482"/>
      <c r="BI1" s="8922"/>
    </row>
    <row r="2" spans="1:61" ht="21" x14ac:dyDescent="0.5">
      <c r="B2" s="1" t="s">
        <v>9</v>
      </c>
      <c r="C2" s="4" t="s">
        <v>54</v>
      </c>
      <c r="H2"/>
    </row>
    <row r="4" spans="1:61" s="8" customFormat="1" ht="15.25" customHeight="1" x14ac:dyDescent="0.35">
      <c r="D4" s="579"/>
      <c r="F4" s="8326" t="s">
        <v>400</v>
      </c>
      <c r="H4" s="9130" t="s">
        <v>401</v>
      </c>
      <c r="I4" s="9131"/>
      <c r="J4" s="9132"/>
      <c r="L4" s="9130" t="s">
        <v>402</v>
      </c>
      <c r="M4" s="9132"/>
      <c r="N4"/>
      <c r="O4" s="9130" t="s">
        <v>403</v>
      </c>
      <c r="P4" s="9131"/>
      <c r="Q4" s="9131"/>
      <c r="R4" s="9132"/>
      <c r="T4" s="9130" t="s">
        <v>402</v>
      </c>
      <c r="U4" s="9131"/>
      <c r="V4" s="9132"/>
      <c r="X4" s="9130" t="s">
        <v>403</v>
      </c>
      <c r="Y4" s="9131"/>
      <c r="Z4" s="9131"/>
      <c r="AA4" s="9132"/>
      <c r="AC4" s="9130" t="s">
        <v>402</v>
      </c>
      <c r="AD4" s="9131"/>
      <c r="AE4" s="9132"/>
      <c r="AG4" s="9130" t="s">
        <v>403</v>
      </c>
      <c r="AH4" s="9131"/>
      <c r="AI4" s="9131"/>
      <c r="AJ4" s="9132"/>
      <c r="AL4" s="9130" t="s">
        <v>402</v>
      </c>
      <c r="AM4" s="9131"/>
      <c r="AN4" s="9132"/>
      <c r="AP4" s="9180" t="s">
        <v>404</v>
      </c>
      <c r="AR4" s="9130" t="s">
        <v>403</v>
      </c>
      <c r="AS4" s="9131"/>
      <c r="AT4" s="9131"/>
      <c r="AU4" s="9132"/>
      <c r="AW4" s="9130" t="s">
        <v>402</v>
      </c>
      <c r="AX4" s="9131"/>
      <c r="AY4" s="9132"/>
      <c r="BA4" s="9130" t="s">
        <v>403</v>
      </c>
      <c r="BB4" s="9131"/>
      <c r="BC4" s="9131"/>
      <c r="BD4" s="9132"/>
      <c r="BF4" s="9130" t="s">
        <v>402</v>
      </c>
      <c r="BG4" s="9131"/>
      <c r="BH4" s="9132"/>
    </row>
    <row r="5" spans="1:61" x14ac:dyDescent="0.35">
      <c r="B5" s="1" t="s">
        <v>406</v>
      </c>
      <c r="C5" s="11">
        <v>2003</v>
      </c>
      <c r="F5" s="8324">
        <v>2011</v>
      </c>
      <c r="G5" s="12"/>
      <c r="H5" s="9138">
        <v>2014</v>
      </c>
      <c r="I5" s="9139"/>
      <c r="J5" s="9140"/>
      <c r="K5" s="12"/>
      <c r="L5" s="9138">
        <v>2015</v>
      </c>
      <c r="M5" s="9140"/>
      <c r="O5" s="9138">
        <v>2015</v>
      </c>
      <c r="P5" s="9139"/>
      <c r="Q5" s="9139"/>
      <c r="R5" s="9140"/>
      <c r="S5" s="12"/>
      <c r="T5" s="9138">
        <v>2016</v>
      </c>
      <c r="U5" s="9139"/>
      <c r="V5" s="9140"/>
      <c r="X5" s="9138">
        <v>2016</v>
      </c>
      <c r="Y5" s="9139"/>
      <c r="Z5" s="9139"/>
      <c r="AA5" s="9140"/>
      <c r="AB5" s="12"/>
      <c r="AC5" s="9138">
        <v>2017</v>
      </c>
      <c r="AD5" s="9139"/>
      <c r="AE5" s="9140"/>
      <c r="AG5" s="9138">
        <v>2017</v>
      </c>
      <c r="AH5" s="9139"/>
      <c r="AI5" s="9139"/>
      <c r="AJ5" s="9140"/>
      <c r="AK5" s="12"/>
      <c r="AL5" s="9138">
        <v>2018</v>
      </c>
      <c r="AM5" s="9139"/>
      <c r="AN5" s="9140"/>
      <c r="AP5" s="9181"/>
      <c r="AR5" s="9138">
        <v>2018</v>
      </c>
      <c r="AS5" s="9139"/>
      <c r="AT5" s="9139"/>
      <c r="AU5" s="9140"/>
      <c r="AV5" s="12"/>
      <c r="AW5" s="9138">
        <v>2019</v>
      </c>
      <c r="AX5" s="9139"/>
      <c r="AY5" s="9140"/>
      <c r="BA5" s="9138">
        <v>2019</v>
      </c>
      <c r="BB5" s="9139"/>
      <c r="BC5" s="9139"/>
      <c r="BD5" s="9140"/>
      <c r="BE5" s="12"/>
      <c r="BF5" s="9138">
        <v>2020</v>
      </c>
      <c r="BG5" s="9139"/>
      <c r="BH5" s="9140"/>
      <c r="BI5" s="7678"/>
    </row>
    <row r="6" spans="1:61" x14ac:dyDescent="0.35">
      <c r="C6"/>
      <c r="F6" s="6"/>
      <c r="L6" s="14"/>
      <c r="T6" s="14"/>
      <c r="U6" s="14"/>
      <c r="AC6" s="14"/>
      <c r="AD6" s="14"/>
      <c r="AL6" s="14"/>
      <c r="AM6" s="14"/>
      <c r="AP6" s="6"/>
      <c r="AW6" s="14"/>
      <c r="AX6" s="14"/>
      <c r="BF6" s="14"/>
      <c r="BG6" s="14"/>
    </row>
    <row r="7" spans="1:61" ht="12.75" customHeight="1" x14ac:dyDescent="0.35">
      <c r="B7" s="1" t="s">
        <v>101</v>
      </c>
      <c r="C7" s="15" t="s">
        <v>4093</v>
      </c>
      <c r="D7" s="2" t="s">
        <v>417</v>
      </c>
      <c r="F7" s="8322" t="s">
        <v>1914</v>
      </c>
      <c r="H7" s="9149" t="s">
        <v>1914</v>
      </c>
      <c r="I7" s="9151"/>
      <c r="J7" s="9147" t="s">
        <v>419</v>
      </c>
      <c r="L7" s="9149" t="s">
        <v>1914</v>
      </c>
      <c r="M7" s="9151"/>
      <c r="O7" s="9173" t="s">
        <v>1914</v>
      </c>
      <c r="P7" s="9173"/>
      <c r="Q7" s="16"/>
      <c r="R7" s="9147" t="s">
        <v>419</v>
      </c>
      <c r="T7" s="9149" t="s">
        <v>1914</v>
      </c>
      <c r="U7" s="9150"/>
      <c r="V7" s="9151"/>
      <c r="X7" s="9173" t="s">
        <v>1914</v>
      </c>
      <c r="Y7" s="9173"/>
      <c r="Z7" s="16"/>
      <c r="AA7" s="9147" t="s">
        <v>419</v>
      </c>
      <c r="AC7" s="9149" t="s">
        <v>1914</v>
      </c>
      <c r="AD7" s="9150"/>
      <c r="AE7" s="9151"/>
      <c r="AG7" s="9173" t="s">
        <v>1914</v>
      </c>
      <c r="AH7" s="9173"/>
      <c r="AI7" s="16"/>
      <c r="AJ7" s="9147" t="s">
        <v>419</v>
      </c>
      <c r="AL7" s="9149" t="s">
        <v>1914</v>
      </c>
      <c r="AM7" s="9150"/>
      <c r="AN7" s="9151"/>
      <c r="AP7" s="18"/>
      <c r="AR7" s="9173" t="s">
        <v>1914</v>
      </c>
      <c r="AS7" s="9173"/>
      <c r="AT7" s="16"/>
      <c r="AU7" s="9147" t="s">
        <v>419</v>
      </c>
      <c r="AW7" s="9149" t="s">
        <v>1914</v>
      </c>
      <c r="AX7" s="9150"/>
      <c r="AY7" s="9151"/>
      <c r="BA7" s="9173" t="s">
        <v>1914</v>
      </c>
      <c r="BB7" s="9173"/>
      <c r="BC7" s="16"/>
      <c r="BD7" s="9147" t="s">
        <v>419</v>
      </c>
      <c r="BF7" s="9149" t="s">
        <v>1914</v>
      </c>
      <c r="BG7" s="9150"/>
      <c r="BH7" s="9151"/>
      <c r="BI7" s="9147" t="s">
        <v>419</v>
      </c>
    </row>
    <row r="8" spans="1:61" x14ac:dyDescent="0.35">
      <c r="B8" s="1" t="s">
        <v>420</v>
      </c>
      <c r="C8" s="19" t="s">
        <v>589</v>
      </c>
      <c r="F8" s="1987" t="s">
        <v>1019</v>
      </c>
      <c r="H8" s="20" t="s">
        <v>423</v>
      </c>
      <c r="I8" s="20" t="s">
        <v>96</v>
      </c>
      <c r="J8" s="9148"/>
      <c r="L8" s="21" t="s">
        <v>423</v>
      </c>
      <c r="M8" s="1987" t="s">
        <v>1019</v>
      </c>
      <c r="O8" s="20" t="s">
        <v>424</v>
      </c>
      <c r="P8" s="20" t="s">
        <v>96</v>
      </c>
      <c r="Q8" s="22" t="s">
        <v>425</v>
      </c>
      <c r="R8" s="9148"/>
      <c r="T8" s="21" t="s">
        <v>424</v>
      </c>
      <c r="U8" s="22" t="s">
        <v>425</v>
      </c>
      <c r="V8" s="20" t="s">
        <v>96</v>
      </c>
      <c r="X8" s="20" t="s">
        <v>424</v>
      </c>
      <c r="Y8" s="20" t="s">
        <v>96</v>
      </c>
      <c r="Z8" s="22" t="s">
        <v>425</v>
      </c>
      <c r="AA8" s="9148"/>
      <c r="AC8" s="21" t="s">
        <v>424</v>
      </c>
      <c r="AD8" s="22" t="s">
        <v>425</v>
      </c>
      <c r="AE8" s="20" t="s">
        <v>96</v>
      </c>
      <c r="AG8" s="20" t="s">
        <v>424</v>
      </c>
      <c r="AH8" s="20" t="s">
        <v>96</v>
      </c>
      <c r="AI8" s="22" t="s">
        <v>425</v>
      </c>
      <c r="AJ8" s="9148"/>
      <c r="AL8" s="21" t="s">
        <v>424</v>
      </c>
      <c r="AM8" s="22" t="s">
        <v>425</v>
      </c>
      <c r="AN8" s="20" t="s">
        <v>96</v>
      </c>
      <c r="AP8" s="24"/>
      <c r="AR8" s="20" t="s">
        <v>424</v>
      </c>
      <c r="AS8" s="20" t="s">
        <v>96</v>
      </c>
      <c r="AT8" s="22" t="s">
        <v>425</v>
      </c>
      <c r="AU8" s="9148"/>
      <c r="AW8" s="21" t="s">
        <v>424</v>
      </c>
      <c r="AX8" s="22" t="s">
        <v>425</v>
      </c>
      <c r="AY8" s="20" t="s">
        <v>96</v>
      </c>
      <c r="BA8" s="20" t="s">
        <v>424</v>
      </c>
      <c r="BB8" s="20" t="s">
        <v>96</v>
      </c>
      <c r="BC8" s="22" t="s">
        <v>425</v>
      </c>
      <c r="BD8" s="9148"/>
      <c r="BF8" s="21" t="s">
        <v>424</v>
      </c>
      <c r="BG8" s="22" t="s">
        <v>425</v>
      </c>
      <c r="BH8" s="20" t="s">
        <v>96</v>
      </c>
      <c r="BI8" s="9148"/>
    </row>
    <row r="9" spans="1:61" x14ac:dyDescent="0.35">
      <c r="C9"/>
      <c r="E9"/>
      <c r="F9"/>
      <c r="G9"/>
      <c r="I9"/>
      <c r="J9" s="25"/>
      <c r="K9"/>
      <c r="O9"/>
      <c r="P9"/>
      <c r="Q9"/>
      <c r="R9" s="25"/>
      <c r="S9"/>
      <c r="W9"/>
      <c r="X9"/>
      <c r="Y9"/>
      <c r="Z9"/>
      <c r="AA9" s="25"/>
      <c r="AB9"/>
      <c r="AF9"/>
      <c r="AG9"/>
      <c r="AH9"/>
      <c r="AI9"/>
      <c r="AJ9" s="25"/>
      <c r="AK9"/>
      <c r="AO9"/>
      <c r="AR9"/>
      <c r="AS9"/>
      <c r="AT9"/>
      <c r="AU9" s="25"/>
      <c r="AV9"/>
      <c r="BA9"/>
      <c r="BB9"/>
      <c r="BC9"/>
      <c r="BD9" s="25"/>
      <c r="BE9"/>
      <c r="BI9" s="25"/>
    </row>
    <row r="10" spans="1:61" ht="33.25" customHeight="1" x14ac:dyDescent="0.35">
      <c r="A10" s="9167" t="s">
        <v>426</v>
      </c>
      <c r="B10" s="27"/>
      <c r="C10" s="28" t="s">
        <v>427</v>
      </c>
      <c r="D10" s="580" t="s">
        <v>428</v>
      </c>
      <c r="E10" s="30"/>
      <c r="F10" s="31" t="s">
        <v>4094</v>
      </c>
      <c r="G10"/>
      <c r="H10" s="9155" t="s">
        <v>4095</v>
      </c>
      <c r="I10" s="9156"/>
      <c r="J10" s="224"/>
      <c r="K10" s="223"/>
      <c r="L10" s="9155" t="s">
        <v>4096</v>
      </c>
      <c r="M10" s="9156"/>
      <c r="O10" s="9155" t="s">
        <v>4097</v>
      </c>
      <c r="P10" s="9156"/>
      <c r="Q10" s="581" t="s">
        <v>4098</v>
      </c>
      <c r="R10" s="32"/>
      <c r="S10" s="33"/>
      <c r="T10" s="36"/>
      <c r="U10" s="581" t="s">
        <v>4099</v>
      </c>
      <c r="V10" s="34"/>
      <c r="W10" s="33"/>
      <c r="X10" s="9155" t="s">
        <v>4100</v>
      </c>
      <c r="Y10" s="9156"/>
      <c r="Z10" s="581" t="s">
        <v>4098</v>
      </c>
      <c r="AA10" s="32"/>
      <c r="AB10" s="33"/>
      <c r="AC10" s="36" t="s">
        <v>4101</v>
      </c>
      <c r="AD10" s="225" t="s">
        <v>4098</v>
      </c>
      <c r="AE10" s="34" t="s">
        <v>3916</v>
      </c>
      <c r="AF10" s="33"/>
      <c r="AG10" s="9155" t="s">
        <v>4102</v>
      </c>
      <c r="AH10" s="9156"/>
      <c r="AI10" s="581" t="s">
        <v>4098</v>
      </c>
      <c r="AJ10" s="32"/>
      <c r="AK10" s="33"/>
      <c r="AL10" s="36" t="s">
        <v>4103</v>
      </c>
      <c r="AM10" s="225" t="s">
        <v>4098</v>
      </c>
      <c r="AN10" s="34" t="s">
        <v>3916</v>
      </c>
      <c r="AO10" s="33"/>
      <c r="AP10" s="39"/>
      <c r="AR10" s="9155" t="s">
        <v>4104</v>
      </c>
      <c r="AS10" s="9156"/>
      <c r="AT10" s="473" t="s">
        <v>4098</v>
      </c>
      <c r="AU10" s="32"/>
      <c r="AV10" s="33"/>
      <c r="AW10" s="36" t="s">
        <v>4104</v>
      </c>
      <c r="AX10" s="4645" t="s">
        <v>4098</v>
      </c>
      <c r="AY10" s="36" t="s">
        <v>4104</v>
      </c>
      <c r="BA10" s="9155" t="s">
        <v>4105</v>
      </c>
      <c r="BB10" s="9156"/>
      <c r="BC10" s="581" t="s">
        <v>4106</v>
      </c>
      <c r="BD10" s="32"/>
      <c r="BE10" s="33"/>
      <c r="BF10" s="36" t="s">
        <v>4105</v>
      </c>
      <c r="BG10" s="225" t="s">
        <v>4106</v>
      </c>
      <c r="BH10" s="36" t="s">
        <v>4105</v>
      </c>
      <c r="BI10" s="32"/>
    </row>
    <row r="11" spans="1:61" ht="18" customHeight="1" x14ac:dyDescent="0.35">
      <c r="A11" s="9168"/>
      <c r="B11" s="40" t="s">
        <v>451</v>
      </c>
      <c r="C11" s="41"/>
      <c r="D11" s="585"/>
      <c r="E11" s="43"/>
      <c r="F11" s="3641" t="s">
        <v>4107</v>
      </c>
      <c r="G11"/>
      <c r="H11" s="51" t="s">
        <v>4108</v>
      </c>
      <c r="I11" s="46"/>
      <c r="J11" s="47"/>
      <c r="K11" s="48"/>
      <c r="L11" s="3642" t="s">
        <v>4109</v>
      </c>
      <c r="M11" s="49"/>
      <c r="O11" s="51" t="s">
        <v>4110</v>
      </c>
      <c r="P11" s="46" t="s">
        <v>4111</v>
      </c>
      <c r="Q11" s="592" t="s">
        <v>4112</v>
      </c>
      <c r="R11" s="47"/>
      <c r="S11" s="48"/>
      <c r="T11" s="45"/>
      <c r="U11" s="592" t="s">
        <v>4113</v>
      </c>
      <c r="V11" s="586"/>
      <c r="W11" s="50"/>
      <c r="X11" s="51" t="s">
        <v>4114</v>
      </c>
      <c r="Y11" s="46" t="s">
        <v>4111</v>
      </c>
      <c r="Z11" s="592" t="s">
        <v>4115</v>
      </c>
      <c r="AA11" s="47"/>
      <c r="AB11" s="48"/>
      <c r="AC11" s="45"/>
      <c r="AD11" s="592" t="s">
        <v>4116</v>
      </c>
      <c r="AE11" s="586"/>
      <c r="AF11" s="50"/>
      <c r="AG11" s="45"/>
      <c r="AH11" s="46" t="s">
        <v>4117</v>
      </c>
      <c r="AI11" s="592" t="s">
        <v>4115</v>
      </c>
      <c r="AJ11" s="47"/>
      <c r="AK11" s="48"/>
      <c r="AL11" s="45"/>
      <c r="AN11" s="586"/>
      <c r="AO11" s="50"/>
      <c r="AP11" s="18"/>
      <c r="AR11" s="45"/>
      <c r="AS11" s="46"/>
      <c r="AT11" s="1126"/>
      <c r="AU11" s="47"/>
      <c r="AV11" s="48"/>
      <c r="AW11" s="45"/>
      <c r="AY11" s="7281"/>
      <c r="BA11" s="154"/>
      <c r="BB11" s="54"/>
      <c r="BC11" s="1126"/>
      <c r="BD11" s="47"/>
      <c r="BE11" s="48"/>
      <c r="BF11" s="8923" t="s">
        <v>4118</v>
      </c>
      <c r="BH11" s="7281"/>
      <c r="BI11" s="47"/>
    </row>
    <row r="12" spans="1:61" x14ac:dyDescent="0.35">
      <c r="A12" s="9168"/>
      <c r="B12" s="58"/>
      <c r="C12" s="59" t="s">
        <v>4119</v>
      </c>
      <c r="D12" s="197"/>
      <c r="F12" s="298">
        <v>81058.5</v>
      </c>
      <c r="G12" s="1256"/>
      <c r="H12" s="298">
        <f>153075.1+2498.8</f>
        <v>155573.9</v>
      </c>
      <c r="I12" s="1988">
        <f>156336.1+2498.8</f>
        <v>158834.9</v>
      </c>
      <c r="J12" s="64">
        <f>IF(H12=0,0,I12/H12)</f>
        <v>1.0209610995160499</v>
      </c>
      <c r="K12" s="65"/>
      <c r="L12" s="298">
        <v>160707.79999999999</v>
      </c>
      <c r="M12" s="66">
        <f>110440.1*12/9</f>
        <v>147253.46666666667</v>
      </c>
      <c r="O12" s="68">
        <v>160707.79999999999</v>
      </c>
      <c r="P12" s="69">
        <v>155893</v>
      </c>
      <c r="Q12" s="53" t="s">
        <v>506</v>
      </c>
      <c r="R12" s="64">
        <f>P12/O12</f>
        <v>0.97004003539342842</v>
      </c>
      <c r="S12" s="65"/>
      <c r="T12" s="68">
        <v>162353.16099999999</v>
      </c>
      <c r="U12" s="53"/>
      <c r="V12" s="619">
        <f>T12*R12</f>
        <v>157489.06604267497</v>
      </c>
      <c r="W12" s="67"/>
      <c r="X12" s="68">
        <f>165540.9+6.4</f>
        <v>165547.29999999999</v>
      </c>
      <c r="Y12" s="69">
        <f>165595.3+6.4</f>
        <v>165601.69999999998</v>
      </c>
      <c r="Z12" s="53" t="s">
        <v>4120</v>
      </c>
      <c r="AA12" s="64">
        <f>Y12/X12</f>
        <v>1.0003286069902679</v>
      </c>
      <c r="AB12" s="65"/>
      <c r="AC12" s="68">
        <f>183147.31506+3186.4127</f>
        <v>186333.72775999998</v>
      </c>
      <c r="AD12" s="53"/>
      <c r="AE12" s="619">
        <f>AC12*AA12</f>
        <v>186394.9583254646</v>
      </c>
      <c r="AF12" s="67"/>
      <c r="AG12" s="68">
        <f>183147.31506+3186.4127</f>
        <v>186333.72775999998</v>
      </c>
      <c r="AH12" s="69">
        <f>(130983.1+1536.4)*12/9</f>
        <v>176692.66666666666</v>
      </c>
      <c r="AI12" s="53" t="s">
        <v>4120</v>
      </c>
      <c r="AJ12" s="64">
        <f>AH12/AG12</f>
        <v>0.9482591734237662</v>
      </c>
      <c r="AK12" s="65"/>
      <c r="AL12" s="68">
        <v>222859.7</v>
      </c>
      <c r="AM12" s="1110" t="s">
        <v>4121</v>
      </c>
      <c r="AN12" s="619">
        <f>AL12*AJ12</f>
        <v>211328.75491146851</v>
      </c>
      <c r="AO12" s="67"/>
      <c r="AP12" s="26"/>
      <c r="AR12" s="298">
        <v>222859.7</v>
      </c>
      <c r="AS12" s="69">
        <v>213032.2</v>
      </c>
      <c r="AT12" s="53" t="s">
        <v>890</v>
      </c>
      <c r="AU12" s="476">
        <f>AS12/AR12</f>
        <v>0.95590274957742472</v>
      </c>
      <c r="AV12" s="65"/>
      <c r="AW12" s="68">
        <v>244227.20000000001</v>
      </c>
      <c r="AX12" s="57" t="s">
        <v>890</v>
      </c>
      <c r="AY12" s="7282">
        <v>276430.90000000002</v>
      </c>
      <c r="BA12" s="298">
        <v>250227.20000000001</v>
      </c>
      <c r="BB12" s="69">
        <v>276788.2</v>
      </c>
      <c r="BC12" s="53" t="s">
        <v>4122</v>
      </c>
      <c r="BD12" s="64">
        <f>BB12/BA12</f>
        <v>1.1061475331218988</v>
      </c>
      <c r="BE12" s="65"/>
      <c r="BF12" s="68">
        <v>214141.7</v>
      </c>
      <c r="BG12" s="53" t="s">
        <v>4122</v>
      </c>
      <c r="BH12" s="7282">
        <v>236321.5</v>
      </c>
      <c r="BI12" s="64">
        <f>BH12/BF12</f>
        <v>1.103575342868764</v>
      </c>
    </row>
    <row r="13" spans="1:61" x14ac:dyDescent="0.35">
      <c r="A13" s="9168"/>
      <c r="B13" s="58"/>
      <c r="C13" s="4192" t="s">
        <v>4123</v>
      </c>
      <c r="D13" s="197"/>
      <c r="F13" s="298"/>
      <c r="G13" s="1256"/>
      <c r="H13" s="298"/>
      <c r="I13" s="1988"/>
      <c r="J13" s="64"/>
      <c r="K13" s="65"/>
      <c r="L13" s="298"/>
      <c r="M13" s="66"/>
      <c r="O13" s="68"/>
      <c r="P13" s="69"/>
      <c r="Q13" s="53"/>
      <c r="R13" s="64"/>
      <c r="S13" s="65"/>
      <c r="T13" s="68"/>
      <c r="U13" s="53"/>
      <c r="V13" s="619"/>
      <c r="W13" s="67"/>
      <c r="X13" s="68"/>
      <c r="Y13" s="69"/>
      <c r="Z13" s="53"/>
      <c r="AA13" s="64"/>
      <c r="AB13" s="65"/>
      <c r="AC13" s="68"/>
      <c r="AD13" s="53"/>
      <c r="AE13" s="619"/>
      <c r="AF13" s="67"/>
      <c r="AG13" s="68"/>
      <c r="AH13" s="69"/>
      <c r="AI13" s="53"/>
      <c r="AJ13" s="64"/>
      <c r="AK13" s="65"/>
      <c r="AL13" s="68"/>
      <c r="AM13" s="1110"/>
      <c r="AN13" s="619"/>
      <c r="AO13" s="67"/>
      <c r="AP13" s="26"/>
      <c r="AR13" s="588">
        <v>0</v>
      </c>
      <c r="AS13" s="82">
        <v>7067.3</v>
      </c>
      <c r="AT13" s="53" t="s">
        <v>890</v>
      </c>
      <c r="AU13" s="476"/>
      <c r="AV13" s="65"/>
      <c r="AW13" s="68">
        <v>5274.8</v>
      </c>
      <c r="AX13" s="57" t="s">
        <v>890</v>
      </c>
      <c r="AY13" s="7282">
        <v>5274.8</v>
      </c>
      <c r="BA13" s="588">
        <v>5274.8</v>
      </c>
      <c r="BB13" s="82">
        <f>BA13</f>
        <v>5274.8</v>
      </c>
      <c r="BC13" s="53" t="s">
        <v>4122</v>
      </c>
      <c r="BD13" s="64">
        <f>BB13/BA13</f>
        <v>1</v>
      </c>
      <c r="BE13" s="65"/>
      <c r="BF13" s="68">
        <v>16631.099999999999</v>
      </c>
      <c r="BG13" s="53" t="s">
        <v>4122</v>
      </c>
      <c r="BH13" s="7282">
        <v>17541.400000000001</v>
      </c>
      <c r="BI13" s="64">
        <f t="shared" ref="BI13:BI29" si="0">BH13/BF13</f>
        <v>1.0547348040718896</v>
      </c>
    </row>
    <row r="14" spans="1:61" x14ac:dyDescent="0.35">
      <c r="A14" s="9168"/>
      <c r="B14" s="58"/>
      <c r="C14" s="59" t="s">
        <v>4124</v>
      </c>
      <c r="D14" s="197"/>
      <c r="F14" s="298"/>
      <c r="G14" s="1256"/>
      <c r="H14" s="298"/>
      <c r="I14" s="1988"/>
      <c r="J14" s="64"/>
      <c r="K14" s="65"/>
      <c r="L14" s="298"/>
      <c r="M14" s="66"/>
      <c r="O14" s="68">
        <v>9182.6</v>
      </c>
      <c r="P14" s="69">
        <v>9132.2999999999993</v>
      </c>
      <c r="Q14" s="53"/>
      <c r="R14" s="64">
        <f t="shared" ref="R14:R24" si="1">P14/O14</f>
        <v>0.99452224860061411</v>
      </c>
      <c r="S14" s="65"/>
      <c r="T14" s="68"/>
      <c r="U14" s="53"/>
      <c r="V14" s="619">
        <f t="shared" ref="V14:V16" si="2">T14*R14</f>
        <v>0</v>
      </c>
      <c r="W14" s="67"/>
      <c r="X14" s="68">
        <f>21767.7</f>
        <v>21767.7</v>
      </c>
      <c r="Y14" s="69">
        <f>9070.2</f>
        <v>9070.2000000000007</v>
      </c>
      <c r="Z14" s="53" t="s">
        <v>4125</v>
      </c>
      <c r="AA14" s="64">
        <f t="shared" ref="AA14:AA17" si="3">Y14/X14</f>
        <v>0.41668159704516328</v>
      </c>
      <c r="AB14" s="65"/>
      <c r="AC14" s="68">
        <f>21102.81642</f>
        <v>21102.816419999999</v>
      </c>
      <c r="AD14" s="53"/>
      <c r="AE14" s="619">
        <f t="shared" ref="AE14:AE16" si="4">AC14*AA14</f>
        <v>8793.1552480364953</v>
      </c>
      <c r="AF14" s="67"/>
      <c r="AG14" s="68">
        <f>21102.81642</f>
        <v>21102.816419999999</v>
      </c>
      <c r="AH14" s="69"/>
      <c r="AI14" s="53" t="s">
        <v>4125</v>
      </c>
      <c r="AJ14" s="64">
        <f t="shared" ref="AJ14:AJ17" si="5">AH14/AG14</f>
        <v>0</v>
      </c>
      <c r="AK14" s="65"/>
      <c r="AL14" s="68"/>
      <c r="AM14" s="53"/>
      <c r="AN14" s="619">
        <f t="shared" ref="AN14:AN16" si="6">AL14*AJ14</f>
        <v>0</v>
      </c>
      <c r="AO14" s="67"/>
      <c r="AP14" s="26"/>
      <c r="AR14" s="588">
        <v>19204.28</v>
      </c>
      <c r="AS14" s="82">
        <v>19051</v>
      </c>
      <c r="AT14" s="53" t="s">
        <v>890</v>
      </c>
      <c r="AU14" s="476">
        <f t="shared" ref="AU14:AU17" si="7">AS14/AR14</f>
        <v>0.99201844588810417</v>
      </c>
      <c r="AV14" s="65"/>
      <c r="AW14" s="68">
        <v>19447.3</v>
      </c>
      <c r="AX14" s="57" t="s">
        <v>890</v>
      </c>
      <c r="AY14" s="7282">
        <v>28545.8</v>
      </c>
      <c r="BA14" s="588">
        <v>19447.3</v>
      </c>
      <c r="BB14" s="82">
        <v>28545.8</v>
      </c>
      <c r="BC14" s="53" t="s">
        <v>4122</v>
      </c>
      <c r="BD14" s="64">
        <f t="shared" ref="BD14:BD17" si="8">BB14/BA14</f>
        <v>1.4678541494191997</v>
      </c>
      <c r="BE14" s="65"/>
      <c r="BF14" s="68">
        <v>53013.2</v>
      </c>
      <c r="BG14" s="53" t="s">
        <v>4122</v>
      </c>
      <c r="BH14" s="7282">
        <v>54068.4</v>
      </c>
      <c r="BI14" s="64">
        <f t="shared" si="0"/>
        <v>1.0199044766209171</v>
      </c>
    </row>
    <row r="15" spans="1:61" x14ac:dyDescent="0.35">
      <c r="A15" s="9168"/>
      <c r="B15" s="58"/>
      <c r="C15" s="587" t="s">
        <v>462</v>
      </c>
      <c r="D15" s="197"/>
      <c r="F15" s="298">
        <v>27379.7</v>
      </c>
      <c r="G15" s="1256"/>
      <c r="H15" s="298">
        <v>30401.9</v>
      </c>
      <c r="I15" s="1988">
        <v>24106.5</v>
      </c>
      <c r="J15" s="73">
        <f>IF(H15=0,0,I15/H15)</f>
        <v>0.79292741572072789</v>
      </c>
      <c r="K15" s="65"/>
      <c r="L15" s="298">
        <v>20463.7</v>
      </c>
      <c r="M15" s="66">
        <f>13888.7*12/9</f>
        <v>18518.26666666667</v>
      </c>
      <c r="O15" s="68">
        <v>20463.7</v>
      </c>
      <c r="P15" s="69">
        <v>18677.400000000001</v>
      </c>
      <c r="Q15" s="53"/>
      <c r="R15" s="64">
        <f t="shared" si="1"/>
        <v>0.91270884541896147</v>
      </c>
      <c r="S15" s="65"/>
      <c r="T15" s="298">
        <v>18192.612000000001</v>
      </c>
      <c r="U15" s="53"/>
      <c r="V15" s="619">
        <f t="shared" si="2"/>
        <v>16604.557893675144</v>
      </c>
      <c r="W15" s="67"/>
      <c r="X15" s="68">
        <v>18192.612000000001</v>
      </c>
      <c r="Y15" s="69">
        <v>14839.8</v>
      </c>
      <c r="Z15" s="53" t="s">
        <v>4126</v>
      </c>
      <c r="AA15" s="64">
        <f t="shared" si="3"/>
        <v>0.81570474871887544</v>
      </c>
      <c r="AB15" s="65"/>
      <c r="AC15" s="298">
        <v>14047.6</v>
      </c>
      <c r="AD15" s="53"/>
      <c r="AE15" s="619">
        <f t="shared" si="4"/>
        <v>11458.694028103275</v>
      </c>
      <c r="AF15" s="67"/>
      <c r="AG15" s="298">
        <v>14047.6</v>
      </c>
      <c r="AH15" s="69">
        <f>7297.156*12/9</f>
        <v>9729.5413333333345</v>
      </c>
      <c r="AI15" s="53" t="s">
        <v>4126</v>
      </c>
      <c r="AJ15" s="64">
        <f t="shared" si="5"/>
        <v>0.69261235608455074</v>
      </c>
      <c r="AK15" s="65"/>
      <c r="AL15" s="298">
        <v>17372.7</v>
      </c>
      <c r="AM15" s="53" t="s">
        <v>4127</v>
      </c>
      <c r="AN15" s="619">
        <f t="shared" si="6"/>
        <v>12032.546678550076</v>
      </c>
      <c r="AO15" s="67"/>
      <c r="AP15" s="26"/>
      <c r="AR15" s="298">
        <v>17372.7</v>
      </c>
      <c r="AS15" s="69">
        <v>17671.7</v>
      </c>
      <c r="AT15" s="53" t="s">
        <v>890</v>
      </c>
      <c r="AU15" s="476">
        <f t="shared" si="7"/>
        <v>1.0172109113724406</v>
      </c>
      <c r="AV15" s="65"/>
      <c r="AW15" s="298">
        <v>27740</v>
      </c>
      <c r="AX15" s="57" t="s">
        <v>890</v>
      </c>
      <c r="AY15" s="7282">
        <v>9327.9</v>
      </c>
      <c r="BA15" s="298">
        <v>27740.5</v>
      </c>
      <c r="BB15" s="69">
        <v>11105.9</v>
      </c>
      <c r="BC15" s="53" t="s">
        <v>4122</v>
      </c>
      <c r="BD15" s="64">
        <f t="shared" si="8"/>
        <v>0.40034966925614174</v>
      </c>
      <c r="BE15" s="65"/>
      <c r="BF15" s="298">
        <v>39272.9</v>
      </c>
      <c r="BG15" s="53" t="s">
        <v>4122</v>
      </c>
      <c r="BH15" s="7282">
        <v>35207.599999999999</v>
      </c>
      <c r="BI15" s="64">
        <f t="shared" si="0"/>
        <v>0.89648587193713725</v>
      </c>
    </row>
    <row r="16" spans="1:61" x14ac:dyDescent="0.35">
      <c r="A16" s="9168"/>
      <c r="B16" s="75"/>
      <c r="C16" s="1096" t="s">
        <v>3267</v>
      </c>
      <c r="D16" s="197"/>
      <c r="F16" s="588"/>
      <c r="G16" s="1256"/>
      <c r="H16" s="588"/>
      <c r="I16" s="3643"/>
      <c r="J16" s="73"/>
      <c r="K16" s="80"/>
      <c r="L16" s="588"/>
      <c r="M16" s="66"/>
      <c r="O16" s="81">
        <v>36070.9</v>
      </c>
      <c r="P16" s="82">
        <v>30999.7</v>
      </c>
      <c r="Q16" s="53"/>
      <c r="R16" s="64">
        <f t="shared" si="1"/>
        <v>0.85941021710021093</v>
      </c>
      <c r="S16" s="80"/>
      <c r="T16" s="588">
        <v>37850.408000000003</v>
      </c>
      <c r="U16" s="120"/>
      <c r="V16" s="619">
        <f t="shared" si="2"/>
        <v>32529.027356611565</v>
      </c>
      <c r="W16" s="67"/>
      <c r="X16" s="81">
        <v>37850.408000000003</v>
      </c>
      <c r="Y16" s="82">
        <v>36937.9</v>
      </c>
      <c r="Z16" s="53" t="s">
        <v>4128</v>
      </c>
      <c r="AA16" s="64">
        <f t="shared" si="3"/>
        <v>0.97589172618694098</v>
      </c>
      <c r="AB16" s="80"/>
      <c r="AC16" s="588">
        <v>50804.800000000003</v>
      </c>
      <c r="AD16" s="120"/>
      <c r="AE16" s="619">
        <f t="shared" si="4"/>
        <v>49579.983970582303</v>
      </c>
      <c r="AF16" s="67"/>
      <c r="AG16" s="588">
        <v>50804.800000000003</v>
      </c>
      <c r="AH16" s="82">
        <v>20876.842000000001</v>
      </c>
      <c r="AI16" s="53" t="s">
        <v>4128</v>
      </c>
      <c r="AJ16" s="64">
        <f t="shared" si="5"/>
        <v>0.41092262935785595</v>
      </c>
      <c r="AK16" s="80"/>
      <c r="AL16" s="588">
        <v>43491.5</v>
      </c>
      <c r="AM16" s="53" t="s">
        <v>4129</v>
      </c>
      <c r="AN16" s="619">
        <f t="shared" si="6"/>
        <v>17871.641534717193</v>
      </c>
      <c r="AO16" s="67"/>
      <c r="AP16" s="26"/>
      <c r="AR16" s="588">
        <v>43491.5</v>
      </c>
      <c r="AS16" s="82">
        <v>34916.400000000001</v>
      </c>
      <c r="AT16" s="53" t="s">
        <v>890</v>
      </c>
      <c r="AU16" s="476">
        <f t="shared" si="7"/>
        <v>0.80283273743145211</v>
      </c>
      <c r="AV16" s="80"/>
      <c r="AW16" s="588">
        <v>43724.9</v>
      </c>
      <c r="AX16" s="57" t="s">
        <v>890</v>
      </c>
      <c r="AY16" s="7282">
        <v>38707.199999999997</v>
      </c>
      <c r="BA16" s="588">
        <v>43724.9</v>
      </c>
      <c r="BB16" s="82">
        <v>36891.4</v>
      </c>
      <c r="BC16" s="53" t="s">
        <v>4122</v>
      </c>
      <c r="BD16" s="64">
        <f t="shared" si="8"/>
        <v>0.84371605195209143</v>
      </c>
      <c r="BE16" s="80"/>
      <c r="BF16" s="588">
        <v>51037.7</v>
      </c>
      <c r="BG16" s="53" t="s">
        <v>4122</v>
      </c>
      <c r="BH16" s="7282">
        <v>36199.5</v>
      </c>
      <c r="BI16" s="64">
        <f t="shared" si="0"/>
        <v>0.70926981427454616</v>
      </c>
    </row>
    <row r="17" spans="1:61" x14ac:dyDescent="0.35">
      <c r="A17" s="9168"/>
      <c r="B17" s="85"/>
      <c r="C17" s="86" t="s">
        <v>466</v>
      </c>
      <c r="D17" s="209"/>
      <c r="F17" s="590">
        <f>SUM(F12:F15)</f>
        <v>108438.2</v>
      </c>
      <c r="G17" s="1256"/>
      <c r="H17" s="590">
        <f>SUM(H12:H15)</f>
        <v>185975.8</v>
      </c>
      <c r="I17" s="1989">
        <f>SUM(I12:I15)</f>
        <v>182941.4</v>
      </c>
      <c r="J17" s="91">
        <f>IF(H17=0,0,I17/H17)</f>
        <v>0.98368389865778239</v>
      </c>
      <c r="K17" s="80"/>
      <c r="L17" s="590">
        <f>SUM(L12:L15)</f>
        <v>181171.5</v>
      </c>
      <c r="M17" s="92">
        <f>SUM(M12:M15)</f>
        <v>165771.73333333334</v>
      </c>
      <c r="O17" s="93">
        <f>SUM(O12:O16)</f>
        <v>226425</v>
      </c>
      <c r="P17" s="94">
        <f>SUM(P12:P16)</f>
        <v>214702.4</v>
      </c>
      <c r="Q17" s="95"/>
      <c r="R17" s="64">
        <f t="shared" si="1"/>
        <v>0.94822744838246653</v>
      </c>
      <c r="S17" s="80"/>
      <c r="T17" s="590">
        <f>SUM(T12:T16)</f>
        <v>218396.18099999998</v>
      </c>
      <c r="U17" s="95"/>
      <c r="V17" s="1365">
        <f>SUM(V12:V16)</f>
        <v>206622.65129296167</v>
      </c>
      <c r="W17" s="67"/>
      <c r="X17" s="93">
        <f>SUM(X12:X16)</f>
        <v>243358.02</v>
      </c>
      <c r="Y17" s="94">
        <f>SUM(Y12:Y16)</f>
        <v>226449.59999999998</v>
      </c>
      <c r="Z17" s="95"/>
      <c r="AA17" s="64">
        <f t="shared" si="3"/>
        <v>0.93052039131482078</v>
      </c>
      <c r="AB17" s="80"/>
      <c r="AC17" s="590">
        <f>SUM(AC12:AC16)</f>
        <v>272288.94417999999</v>
      </c>
      <c r="AD17" s="95"/>
      <c r="AE17" s="1365">
        <f>SUM(AE12:AE16)</f>
        <v>256226.79157218669</v>
      </c>
      <c r="AF17" s="67"/>
      <c r="AG17" s="590">
        <f>SUM(AG12:AG16)</f>
        <v>272288.94417999999</v>
      </c>
      <c r="AH17" s="94">
        <f>SUM(AH12:AH16)</f>
        <v>207299.05</v>
      </c>
      <c r="AI17" s="95"/>
      <c r="AJ17" s="64">
        <f t="shared" si="5"/>
        <v>0.76132011391164811</v>
      </c>
      <c r="AK17" s="80"/>
      <c r="AL17" s="590">
        <f>SUM(AL12:AL16)</f>
        <v>283723.90000000002</v>
      </c>
      <c r="AM17" s="95"/>
      <c r="AN17" s="1365">
        <f>SUM(AN12:AN16)</f>
        <v>241232.94312473579</v>
      </c>
      <c r="AO17" s="67"/>
      <c r="AP17" s="3644"/>
      <c r="AR17" s="590">
        <f>SUM(AR12:AR16)</f>
        <v>302928.18000000005</v>
      </c>
      <c r="AS17" s="94">
        <f>SUM(AS12:AS16)</f>
        <v>291738.60000000003</v>
      </c>
      <c r="AT17" s="95"/>
      <c r="AU17" s="476">
        <f t="shared" si="7"/>
        <v>0.96306193765136006</v>
      </c>
      <c r="AV17" s="80"/>
      <c r="AW17" s="590">
        <f>SUM(AW12:AW16)</f>
        <v>340414.2</v>
      </c>
      <c r="AX17" s="98"/>
      <c r="AY17" s="7283">
        <f>SUM(AY12:AY16)</f>
        <v>358286.60000000003</v>
      </c>
      <c r="BA17" s="8924">
        <f>SUM(BA12:BA16)</f>
        <v>346414.7</v>
      </c>
      <c r="BB17" s="1177">
        <f>SUM(BB12:BB16)</f>
        <v>358606.10000000003</v>
      </c>
      <c r="BC17" s="95"/>
      <c r="BD17" s="64">
        <f t="shared" si="8"/>
        <v>1.035193079277525</v>
      </c>
      <c r="BE17" s="80"/>
      <c r="BF17" s="8924">
        <f>SUM(BF12:BF16)</f>
        <v>374096.60000000003</v>
      </c>
      <c r="BG17" s="98"/>
      <c r="BH17" s="7283">
        <f>SUM(BH12:BH16)</f>
        <v>379338.39999999997</v>
      </c>
      <c r="BI17" s="64">
        <f t="shared" si="0"/>
        <v>1.014011888907838</v>
      </c>
    </row>
    <row r="18" spans="1:61" x14ac:dyDescent="0.35">
      <c r="A18" s="9168"/>
      <c r="B18" s="100" t="s">
        <v>468</v>
      </c>
      <c r="C18" s="49"/>
      <c r="D18" s="585"/>
      <c r="E18" s="43"/>
      <c r="F18" s="3645"/>
      <c r="G18" s="1256"/>
      <c r="H18" s="1368"/>
      <c r="I18" s="653"/>
      <c r="J18" s="104"/>
      <c r="K18" s="43"/>
      <c r="L18" s="102"/>
      <c r="M18" s="105"/>
      <c r="O18" s="102"/>
      <c r="P18" s="106"/>
      <c r="Q18" s="592" t="s">
        <v>4130</v>
      </c>
      <c r="R18" s="104"/>
      <c r="S18" s="43"/>
      <c r="T18" s="1111" t="s">
        <v>4131</v>
      </c>
      <c r="U18" s="592" t="s">
        <v>4113</v>
      </c>
      <c r="V18" s="66"/>
      <c r="W18" s="43"/>
      <c r="X18" s="102" t="s">
        <v>4131</v>
      </c>
      <c r="Y18" s="106"/>
      <c r="Z18" s="116" t="s">
        <v>4132</v>
      </c>
      <c r="AA18" s="104"/>
      <c r="AB18" s="43"/>
      <c r="AC18" s="1111"/>
      <c r="AD18" s="592" t="s">
        <v>4116</v>
      </c>
      <c r="AE18" s="66"/>
      <c r="AF18" s="43"/>
      <c r="AG18" s="1111"/>
      <c r="AH18" s="106"/>
      <c r="AI18" s="116" t="s">
        <v>4132</v>
      </c>
      <c r="AJ18" s="104"/>
      <c r="AK18" s="43"/>
      <c r="AL18" s="1111"/>
      <c r="AM18" s="116" t="s">
        <v>4133</v>
      </c>
      <c r="AN18" s="66"/>
      <c r="AO18" s="43"/>
      <c r="AP18" s="18"/>
      <c r="AR18" s="1111"/>
      <c r="AS18" s="106"/>
      <c r="AT18" s="116"/>
      <c r="AU18" s="104"/>
      <c r="AV18" s="43"/>
      <c r="AW18" s="1111"/>
      <c r="AX18" s="116"/>
      <c r="AY18" s="66"/>
      <c r="BA18" s="1111"/>
      <c r="BB18" s="106"/>
      <c r="BC18" s="116"/>
      <c r="BD18" s="104"/>
      <c r="BE18" s="43"/>
      <c r="BF18" s="8923" t="s">
        <v>4118</v>
      </c>
      <c r="BG18" s="116"/>
      <c r="BH18" s="66"/>
      <c r="BI18" s="104"/>
    </row>
    <row r="19" spans="1:61" x14ac:dyDescent="0.35">
      <c r="A19" s="9168"/>
      <c r="B19" s="6082"/>
      <c r="C19" s="110" t="s">
        <v>470</v>
      </c>
      <c r="D19" s="197"/>
      <c r="F19" s="1301">
        <v>70989.2</v>
      </c>
      <c r="G19" s="1256"/>
      <c r="H19" s="593">
        <v>121207.2</v>
      </c>
      <c r="I19" s="636">
        <v>118469.9</v>
      </c>
      <c r="J19" s="64">
        <f>IF(H19=0,0,I19/H19)</f>
        <v>0.97741635810413896</v>
      </c>
      <c r="L19" s="593">
        <v>120351.7</v>
      </c>
      <c r="M19" s="619">
        <f>91504.2*12/9</f>
        <v>122005.59999999999</v>
      </c>
      <c r="O19" s="593">
        <f>118091.95-O22</f>
        <v>110470.01</v>
      </c>
      <c r="P19" s="594">
        <f>117835.943-P22</f>
        <v>110214.003</v>
      </c>
      <c r="Q19" s="116" t="s">
        <v>4134</v>
      </c>
      <c r="R19" s="64">
        <f t="shared" si="1"/>
        <v>0.99768256561215118</v>
      </c>
      <c r="T19" s="595">
        <f>142938.647-T22</f>
        <v>127816.33</v>
      </c>
      <c r="U19" s="116"/>
      <c r="V19" s="619">
        <f>T19*R19</f>
        <v>127520.12404152937</v>
      </c>
      <c r="X19" s="593">
        <f>143411.4-X22</f>
        <v>130102.5</v>
      </c>
      <c r="Y19" s="594">
        <f>141086.7-Y22</f>
        <v>124777.80000000002</v>
      </c>
      <c r="Z19" s="116"/>
      <c r="AA19" s="64">
        <f t="shared" ref="AA19:AA27" si="9">Y19/X19</f>
        <v>0.95907303856574633</v>
      </c>
      <c r="AC19" s="595">
        <f>156224.41309+225.47949-AC22</f>
        <v>129511.99257999999</v>
      </c>
      <c r="AD19" s="116"/>
      <c r="AE19" s="619">
        <f>AC19*AA19</f>
        <v>124211.46025440498</v>
      </c>
      <c r="AG19" s="595">
        <f>156224.41309+225.47949-AG22</f>
        <v>129511.99257999999</v>
      </c>
      <c r="AH19" s="594">
        <f>110217.4*12/9</f>
        <v>146956.53333333333</v>
      </c>
      <c r="AI19" s="116"/>
      <c r="AJ19" s="64">
        <f t="shared" ref="AJ19:AJ24" si="10">AH19/AG19</f>
        <v>1.1346944047869372</v>
      </c>
      <c r="AL19" s="595">
        <f>184037.1-AL22</f>
        <v>150841.90000000002</v>
      </c>
      <c r="AN19" s="619">
        <f>AL19*AJ19</f>
        <v>171159.45993743071</v>
      </c>
      <c r="AP19" s="257"/>
      <c r="AR19" s="595">
        <f>184037.1-AR22</f>
        <v>150841.90000000002</v>
      </c>
      <c r="AS19" s="594">
        <f>178187.3-AS22</f>
        <v>150936.9</v>
      </c>
      <c r="AT19" s="3307" t="s">
        <v>890</v>
      </c>
      <c r="AU19" s="476">
        <f t="shared" ref="AU19:AU24" si="11">AS19/AR19</f>
        <v>1.0006297984843733</v>
      </c>
      <c r="AW19" s="595">
        <f>196592.6-AW22</f>
        <v>161592.6</v>
      </c>
      <c r="AX19" s="3307" t="s">
        <v>890</v>
      </c>
      <c r="AY19" s="1304">
        <f>195889.7-AY22</f>
        <v>167157.7146527209</v>
      </c>
      <c r="BA19" s="2789">
        <f>196592.6-BA22</f>
        <v>166835.80000000002</v>
      </c>
      <c r="BB19" s="2796">
        <f>195801.5-BB22</f>
        <v>166098.20000000001</v>
      </c>
      <c r="BC19" s="3307" t="s">
        <v>4122</v>
      </c>
      <c r="BD19" s="64">
        <f t="shared" ref="BD19:BD24" si="12">BB19/BA19</f>
        <v>0.99557888654593318</v>
      </c>
      <c r="BF19" s="2789">
        <f>231045.6-BF22</f>
        <v>201137.30000000002</v>
      </c>
      <c r="BG19" s="8925" t="s">
        <v>4122</v>
      </c>
      <c r="BH19" s="8926">
        <f>225945.6-BH22</f>
        <v>196037.30000000002</v>
      </c>
      <c r="BI19" s="64">
        <f t="shared" si="0"/>
        <v>0.97464418583723655</v>
      </c>
    </row>
    <row r="20" spans="1:61" x14ac:dyDescent="0.35">
      <c r="A20" s="9168"/>
      <c r="B20" s="6082"/>
      <c r="C20" s="121" t="s">
        <v>630</v>
      </c>
      <c r="D20" s="197"/>
      <c r="F20" s="1301">
        <v>51011.5</v>
      </c>
      <c r="G20" s="1256"/>
      <c r="H20" s="593">
        <f>46260.3+58279.6</f>
        <v>104539.9</v>
      </c>
      <c r="I20" s="636">
        <f>45374.5+41661.7</f>
        <v>87036.2</v>
      </c>
      <c r="J20" s="64">
        <f t="shared" ref="J20" si="13">IF(H20=0,0,I20/H20)</f>
        <v>0.83256440842204749</v>
      </c>
      <c r="L20" s="593">
        <v>83179.600000000006</v>
      </c>
      <c r="M20" s="619">
        <f>30972*12/9</f>
        <v>41296</v>
      </c>
      <c r="O20" s="598">
        <v>44881.254999999997</v>
      </c>
      <c r="P20" s="594">
        <v>42677.432999999997</v>
      </c>
      <c r="Q20" s="127"/>
      <c r="R20" s="64">
        <f t="shared" si="1"/>
        <v>0.95089660482978922</v>
      </c>
      <c r="T20" s="595">
        <v>28870.339</v>
      </c>
      <c r="U20" s="3307"/>
      <c r="V20" s="619">
        <f t="shared" ref="V20:V23" si="14">T20*R20</f>
        <v>27452.70733538505</v>
      </c>
      <c r="X20" s="598">
        <v>28870.339</v>
      </c>
      <c r="Y20" s="594">
        <v>23628.5</v>
      </c>
      <c r="Z20" s="127"/>
      <c r="AA20" s="64">
        <f t="shared" si="9"/>
        <v>0.8184351420327971</v>
      </c>
      <c r="AC20" s="595">
        <v>28033.622480000002</v>
      </c>
      <c r="AD20" s="3307"/>
      <c r="AE20" s="619">
        <f t="shared" ref="AE20:AE23" si="15">AC20*AA20</f>
        <v>22943.701796112615</v>
      </c>
      <c r="AG20" s="595">
        <v>28033.622480000002</v>
      </c>
      <c r="AH20" s="594">
        <f>10794.5*12/9</f>
        <v>14392.666666666666</v>
      </c>
      <c r="AI20" s="127"/>
      <c r="AJ20" s="64">
        <f t="shared" si="10"/>
        <v>0.51340730856081163</v>
      </c>
      <c r="AL20" s="595">
        <v>33694.699999999997</v>
      </c>
      <c r="AM20" s="3307"/>
      <c r="AN20" s="619">
        <f t="shared" ref="AN20:AN21" si="16">AL20*AJ20</f>
        <v>17299.10523976398</v>
      </c>
      <c r="AP20" s="257"/>
      <c r="AR20" s="595">
        <v>33694.699999999997</v>
      </c>
      <c r="AS20" s="594">
        <v>32937.5</v>
      </c>
      <c r="AT20" s="3307" t="s">
        <v>890</v>
      </c>
      <c r="AU20" s="476">
        <f t="shared" si="11"/>
        <v>0.97752762303863816</v>
      </c>
      <c r="AW20" s="595">
        <v>40017.9</v>
      </c>
      <c r="AX20" s="3307" t="s">
        <v>890</v>
      </c>
      <c r="AY20" s="1304">
        <v>45824.4</v>
      </c>
      <c r="BA20" s="2789">
        <v>46017.9</v>
      </c>
      <c r="BB20" s="2796">
        <v>44746.7</v>
      </c>
      <c r="BC20" s="3307" t="s">
        <v>4122</v>
      </c>
      <c r="BD20" s="64">
        <f t="shared" si="12"/>
        <v>0.9723759667433759</v>
      </c>
      <c r="BF20" s="2789">
        <v>44969.2</v>
      </c>
      <c r="BG20" s="8925" t="s">
        <v>4122</v>
      </c>
      <c r="BH20" s="8926">
        <v>39151.5</v>
      </c>
      <c r="BI20" s="64">
        <f t="shared" si="0"/>
        <v>0.87062923067343878</v>
      </c>
    </row>
    <row r="21" spans="1:61" x14ac:dyDescent="0.35">
      <c r="A21" s="9168"/>
      <c r="B21" s="6082"/>
      <c r="C21" s="121" t="s">
        <v>632</v>
      </c>
      <c r="D21" s="197"/>
      <c r="F21" s="1301"/>
      <c r="G21" s="1256"/>
      <c r="H21" s="593"/>
      <c r="I21" s="636"/>
      <c r="J21" s="64"/>
      <c r="L21" s="593"/>
      <c r="M21" s="619"/>
      <c r="O21" s="598">
        <f>18255.611+20042.623</f>
        <v>38298.233999999997</v>
      </c>
      <c r="P21" s="594">
        <f>10462.442+10937.909</f>
        <v>21400.350999999999</v>
      </c>
      <c r="Q21" s="127"/>
      <c r="R21" s="64">
        <f t="shared" si="1"/>
        <v>0.55878166601624502</v>
      </c>
      <c r="T21" s="595">
        <v>47144.544000000002</v>
      </c>
      <c r="U21" s="127"/>
      <c r="V21" s="619">
        <f t="shared" si="14"/>
        <v>26343.50683989617</v>
      </c>
      <c r="X21" s="598">
        <v>47144.544000000002</v>
      </c>
      <c r="Y21" s="594">
        <v>26642.1</v>
      </c>
      <c r="Z21" s="127"/>
      <c r="AA21" s="64">
        <f t="shared" si="9"/>
        <v>0.56511523369491068</v>
      </c>
      <c r="AC21" s="595">
        <v>52347.599649999996</v>
      </c>
      <c r="AD21" s="127"/>
      <c r="AE21" s="619">
        <f t="shared" si="15"/>
        <v>29582.426009577372</v>
      </c>
      <c r="AG21" s="595">
        <v>52347.599649999996</v>
      </c>
      <c r="AH21" s="594">
        <f>16717.8*12/9</f>
        <v>22290.399999999998</v>
      </c>
      <c r="AI21" s="127"/>
      <c r="AJ21" s="64">
        <f t="shared" si="10"/>
        <v>0.4258151309522365</v>
      </c>
      <c r="AL21" s="595">
        <v>47709.599999999999</v>
      </c>
      <c r="AM21" s="127"/>
      <c r="AN21" s="619">
        <f t="shared" si="16"/>
        <v>20315.469571678823</v>
      </c>
      <c r="AP21" s="257"/>
      <c r="AR21" s="595">
        <v>47709.599999999999</v>
      </c>
      <c r="AS21" s="594">
        <v>34213.300000000003</v>
      </c>
      <c r="AT21" s="3307" t="s">
        <v>890</v>
      </c>
      <c r="AU21" s="476">
        <f t="shared" si="11"/>
        <v>0.71711563291245373</v>
      </c>
      <c r="AW21" s="595">
        <v>62302.1</v>
      </c>
      <c r="AX21" s="3307" t="s">
        <v>890</v>
      </c>
      <c r="AY21" s="1304">
        <v>25923.200000000001</v>
      </c>
      <c r="BA21" s="2789">
        <v>57585.1</v>
      </c>
      <c r="BB21" s="2796">
        <v>27305.8</v>
      </c>
      <c r="BC21" s="3307" t="s">
        <v>4122</v>
      </c>
      <c r="BD21" s="64">
        <f t="shared" si="12"/>
        <v>0.47418168936061583</v>
      </c>
      <c r="BF21" s="2789">
        <v>45601.3</v>
      </c>
      <c r="BG21" s="8925" t="s">
        <v>4122</v>
      </c>
      <c r="BH21" s="8926">
        <v>29412.799999999999</v>
      </c>
      <c r="BI21" s="64">
        <f t="shared" si="0"/>
        <v>0.64499915572582356</v>
      </c>
    </row>
    <row r="22" spans="1:61" x14ac:dyDescent="0.35">
      <c r="A22" s="9168"/>
      <c r="B22" s="6082"/>
      <c r="C22" s="121" t="s">
        <v>3282</v>
      </c>
      <c r="D22" s="197">
        <v>1</v>
      </c>
      <c r="F22" s="1301"/>
      <c r="G22" s="1256"/>
      <c r="H22" s="593"/>
      <c r="I22" s="636"/>
      <c r="J22" s="64"/>
      <c r="L22" s="593"/>
      <c r="M22" s="619"/>
      <c r="O22" s="598">
        <v>7621.94</v>
      </c>
      <c r="P22" s="599">
        <v>7621.94</v>
      </c>
      <c r="Q22" s="116" t="s">
        <v>4135</v>
      </c>
      <c r="R22" s="64">
        <f t="shared" si="1"/>
        <v>1</v>
      </c>
      <c r="T22" s="598">
        <v>15122.316999999999</v>
      </c>
      <c r="U22" s="127"/>
      <c r="V22" s="619">
        <f t="shared" si="14"/>
        <v>15122.316999999999</v>
      </c>
      <c r="X22" s="598">
        <v>13308.9</v>
      </c>
      <c r="Y22" s="599">
        <v>16308.9</v>
      </c>
      <c r="Z22" s="116" t="s">
        <v>4136</v>
      </c>
      <c r="AA22" s="64">
        <f t="shared" si="9"/>
        <v>1.2254130694497667</v>
      </c>
      <c r="AC22" s="598">
        <v>26937.9</v>
      </c>
      <c r="AD22" s="127"/>
      <c r="AE22" s="619">
        <f>AC22*AA22</f>
        <v>33010.05472353087</v>
      </c>
      <c r="AG22" s="598">
        <v>26937.9</v>
      </c>
      <c r="AH22" s="599">
        <f>14055.7*12/9</f>
        <v>18740.933333333334</v>
      </c>
      <c r="AI22" s="116" t="s">
        <v>4136</v>
      </c>
      <c r="AJ22" s="64">
        <f t="shared" si="10"/>
        <v>0.69570877215125648</v>
      </c>
      <c r="AL22" s="598">
        <v>33195.199999999997</v>
      </c>
      <c r="AM22" s="127"/>
      <c r="AN22" s="619">
        <f>AL22*AJ22</f>
        <v>23094.191833315388</v>
      </c>
      <c r="AP22" s="257" t="s">
        <v>4137</v>
      </c>
      <c r="AR22" s="595">
        <v>33195.199999999997</v>
      </c>
      <c r="AS22" s="594">
        <v>27250.400000000001</v>
      </c>
      <c r="AT22" s="116" t="s">
        <v>2433</v>
      </c>
      <c r="AU22" s="476">
        <f t="shared" si="11"/>
        <v>0.82091386706511793</v>
      </c>
      <c r="AW22" s="598">
        <v>35000</v>
      </c>
      <c r="AX22" s="116" t="s">
        <v>4138</v>
      </c>
      <c r="AY22" s="619">
        <f>AW22*AU22</f>
        <v>28731.985347279129</v>
      </c>
      <c r="BA22" s="2789">
        <v>29756.799999999999</v>
      </c>
      <c r="BB22" s="2796">
        <v>29703.3</v>
      </c>
      <c r="BC22" s="3307" t="s">
        <v>2438</v>
      </c>
      <c r="BD22" s="64">
        <f t="shared" si="12"/>
        <v>0.99820209162275508</v>
      </c>
      <c r="BF22" s="2789">
        <v>29908.3</v>
      </c>
      <c r="BG22" s="8925" t="s">
        <v>4139</v>
      </c>
      <c r="BH22" s="8926">
        <f>BF22</f>
        <v>29908.3</v>
      </c>
      <c r="BI22" s="64">
        <f t="shared" si="0"/>
        <v>1</v>
      </c>
    </row>
    <row r="23" spans="1:61" x14ac:dyDescent="0.35">
      <c r="A23" s="9168"/>
      <c r="B23" s="6082"/>
      <c r="C23" s="121" t="s">
        <v>3285</v>
      </c>
      <c r="D23" s="197"/>
      <c r="F23" s="1301">
        <v>5934.6</v>
      </c>
      <c r="G23" s="1256"/>
      <c r="H23" s="593">
        <v>23346.7</v>
      </c>
      <c r="I23" s="636">
        <v>21543.1</v>
      </c>
      <c r="J23" s="64">
        <f>IF(H23=0,0,I23/H23)</f>
        <v>0.92274711201154758</v>
      </c>
      <c r="L23" s="593">
        <v>22893.7</v>
      </c>
      <c r="M23" s="619">
        <f>12675.7*12/9</f>
        <v>16900.933333333334</v>
      </c>
      <c r="O23" s="598">
        <v>10351.169</v>
      </c>
      <c r="P23" s="599">
        <v>3729.6759999999999</v>
      </c>
      <c r="Q23" s="127" t="s">
        <v>4140</v>
      </c>
      <c r="R23" s="64">
        <f t="shared" si="1"/>
        <v>0.36031447269385708</v>
      </c>
      <c r="T23" s="598">
        <v>23931.844000000001</v>
      </c>
      <c r="U23" s="127"/>
      <c r="V23" s="619">
        <f t="shared" si="14"/>
        <v>8622.989751451647</v>
      </c>
      <c r="X23" s="598">
        <v>29322.1</v>
      </c>
      <c r="Y23" s="599">
        <v>29269.5</v>
      </c>
      <c r="Z23" s="127"/>
      <c r="AA23" s="64">
        <f t="shared" si="9"/>
        <v>0.99820613121161172</v>
      </c>
      <c r="AC23" s="598">
        <v>35457.600350000001</v>
      </c>
      <c r="AD23" s="127"/>
      <c r="AE23" s="619">
        <f t="shared" si="15"/>
        <v>35393.994067420994</v>
      </c>
      <c r="AG23" s="598">
        <v>35457.600350000001</v>
      </c>
      <c r="AH23" s="599"/>
      <c r="AI23" s="127"/>
      <c r="AJ23" s="64">
        <f t="shared" si="10"/>
        <v>0</v>
      </c>
      <c r="AL23" s="598">
        <v>37486.800000000003</v>
      </c>
      <c r="AM23" s="127"/>
      <c r="AN23" s="619">
        <f t="shared" ref="AN23" si="17">AL23*AJ23</f>
        <v>0</v>
      </c>
      <c r="AP23" s="257"/>
      <c r="AR23" s="595">
        <v>37486.800000000003</v>
      </c>
      <c r="AS23" s="594">
        <v>44551.9</v>
      </c>
      <c r="AT23" s="3307" t="s">
        <v>890</v>
      </c>
      <c r="AU23" s="476">
        <f t="shared" si="11"/>
        <v>1.1884690077573972</v>
      </c>
      <c r="AW23" s="598">
        <v>41502</v>
      </c>
      <c r="AX23" s="3307" t="s">
        <v>890</v>
      </c>
      <c r="AY23" s="1304">
        <v>38214.699999999997</v>
      </c>
      <c r="BA23" s="2789">
        <v>46219</v>
      </c>
      <c r="BB23" s="2796">
        <v>45767.5</v>
      </c>
      <c r="BC23" s="3307" t="s">
        <v>4122</v>
      </c>
      <c r="BD23" s="64">
        <f t="shared" si="12"/>
        <v>0.99023129016205458</v>
      </c>
      <c r="BF23" s="2758">
        <v>52480.5</v>
      </c>
      <c r="BG23" s="8925" t="s">
        <v>4122</v>
      </c>
      <c r="BH23" s="8926">
        <v>45713.2</v>
      </c>
      <c r="BI23" s="64">
        <f t="shared" si="0"/>
        <v>0.87105115233277119</v>
      </c>
    </row>
    <row r="24" spans="1:61" x14ac:dyDescent="0.35">
      <c r="A24" s="9168"/>
      <c r="B24" s="128"/>
      <c r="C24" s="129" t="s">
        <v>479</v>
      </c>
      <c r="D24" s="209"/>
      <c r="F24" s="602">
        <f>SUM(F19:F23)</f>
        <v>127935.3</v>
      </c>
      <c r="G24" s="1270"/>
      <c r="H24" s="602">
        <f>SUM(H19:H23)</f>
        <v>249093.8</v>
      </c>
      <c r="I24" s="603">
        <f>SUM(I19:I23)</f>
        <v>227049.19999999998</v>
      </c>
      <c r="J24" s="133">
        <f>IF(H24=0,0,I24/H24)</f>
        <v>0.91150080812930712</v>
      </c>
      <c r="L24" s="602">
        <f>SUM(L19:L23)</f>
        <v>226425</v>
      </c>
      <c r="M24" s="628">
        <f>SUM(M19:M23)</f>
        <v>180202.53333333333</v>
      </c>
      <c r="O24" s="602">
        <f>SUM(O19:O23)</f>
        <v>211622.60799999998</v>
      </c>
      <c r="P24" s="602">
        <f>SUM(P19:P23)</f>
        <v>185643.40299999999</v>
      </c>
      <c r="Q24" s="116"/>
      <c r="R24" s="64">
        <f t="shared" si="1"/>
        <v>0.87723804537934813</v>
      </c>
      <c r="T24" s="602">
        <f>SUM(T19:T23)</f>
        <v>242885.37400000001</v>
      </c>
      <c r="U24" s="116"/>
      <c r="V24" s="92">
        <f>SUM(V19:V23)</f>
        <v>205061.64496826226</v>
      </c>
      <c r="X24" s="602">
        <f>SUM(X19:X23)</f>
        <v>248748.383</v>
      </c>
      <c r="Y24" s="602">
        <f>SUM(Y19:Y23)</f>
        <v>220626.80000000002</v>
      </c>
      <c r="Z24" s="116"/>
      <c r="AA24" s="64">
        <f t="shared" si="9"/>
        <v>0.88694767515332962</v>
      </c>
      <c r="AC24" s="602">
        <f>SUM(AC19:AC23)</f>
        <v>272288.71505999996</v>
      </c>
      <c r="AD24" s="116"/>
      <c r="AE24" s="92">
        <f>SUM(AE19:AE23)</f>
        <v>245141.63685104682</v>
      </c>
      <c r="AG24" s="602">
        <f>SUM(AG19:AG23)</f>
        <v>272288.71505999996</v>
      </c>
      <c r="AH24" s="602">
        <f>SUM(AH19:AH23)</f>
        <v>202380.53333333333</v>
      </c>
      <c r="AI24" s="116"/>
      <c r="AJ24" s="64">
        <f t="shared" si="10"/>
        <v>0.74325714632990914</v>
      </c>
      <c r="AL24" s="602">
        <f>SUM(AL19:AL23)</f>
        <v>302928.2</v>
      </c>
      <c r="AM24" s="116"/>
      <c r="AN24" s="92">
        <f>SUM(AN19:AN23)</f>
        <v>231868.22658218889</v>
      </c>
      <c r="AP24" s="24"/>
      <c r="AR24" s="595">
        <f>AR19+AR20+AR21+AR22+AR23</f>
        <v>302928.2</v>
      </c>
      <c r="AS24" s="594">
        <f>AS19+AS20+AS21+AS22+AS23</f>
        <v>289890</v>
      </c>
      <c r="AT24" s="116"/>
      <c r="AU24" s="476">
        <f t="shared" si="11"/>
        <v>0.95695943791301041</v>
      </c>
      <c r="AW24" s="602">
        <f>AW19+AW20+AW21+AW23</f>
        <v>305414.59999999998</v>
      </c>
      <c r="AX24" s="116"/>
      <c r="AY24" s="485">
        <f>AY19+AY20+AY21+AY23</f>
        <v>277120.01465272089</v>
      </c>
      <c r="BA24" s="2789">
        <f>SUM(BA19:BA23)</f>
        <v>346414.6</v>
      </c>
      <c r="BB24" s="2796">
        <f>SUM(BB19:BB23)</f>
        <v>313621.5</v>
      </c>
      <c r="BC24" s="116"/>
      <c r="BD24" s="64">
        <f t="shared" si="12"/>
        <v>0.90533568735266934</v>
      </c>
      <c r="BF24" s="2769">
        <f>SUM(BF19:BF23)</f>
        <v>374096.6</v>
      </c>
      <c r="BG24" s="6934"/>
      <c r="BH24" s="8927">
        <f>SUM(BH19:BH23)</f>
        <v>340223.10000000003</v>
      </c>
      <c r="BI24" s="64">
        <f t="shared" si="0"/>
        <v>0.90945253177922514</v>
      </c>
    </row>
    <row r="25" spans="1:61" x14ac:dyDescent="0.35">
      <c r="A25" s="9168"/>
      <c r="B25" s="139" t="s">
        <v>480</v>
      </c>
      <c r="C25" s="49"/>
      <c r="D25" s="184"/>
      <c r="E25" s="141"/>
      <c r="F25" s="3646"/>
      <c r="G25" s="1321"/>
      <c r="H25" s="3647" t="s">
        <v>4141</v>
      </c>
      <c r="I25" s="1127"/>
      <c r="J25" s="146"/>
      <c r="K25" s="141"/>
      <c r="L25" s="3648" t="s">
        <v>4142</v>
      </c>
      <c r="M25" s="49"/>
      <c r="O25" s="606" t="s">
        <v>4143</v>
      </c>
      <c r="P25" s="145"/>
      <c r="Q25" s="145"/>
      <c r="R25" s="146"/>
      <c r="S25" s="141"/>
      <c r="T25" s="151"/>
      <c r="U25" s="145"/>
      <c r="V25" s="148"/>
      <c r="W25" s="141"/>
      <c r="X25" s="606"/>
      <c r="Y25" s="145"/>
      <c r="Z25" s="145"/>
      <c r="AA25" s="146"/>
      <c r="AB25" s="141"/>
      <c r="AC25" s="151"/>
      <c r="AD25" s="145"/>
      <c r="AE25" s="148"/>
      <c r="AF25" s="141"/>
      <c r="AG25" s="151"/>
      <c r="AH25" s="145"/>
      <c r="AI25" s="145"/>
      <c r="AJ25" s="146"/>
      <c r="AK25" s="141"/>
      <c r="AL25" s="151"/>
      <c r="AM25" s="145"/>
      <c r="AN25" s="148"/>
      <c r="AO25" s="141"/>
      <c r="AP25" s="18"/>
      <c r="AR25" s="151"/>
      <c r="AS25" s="145"/>
      <c r="AT25" s="145"/>
      <c r="AU25" s="486"/>
      <c r="AV25" s="141"/>
      <c r="AW25" s="151"/>
      <c r="AX25" s="145"/>
      <c r="AY25" s="148"/>
      <c r="BA25" s="151"/>
      <c r="BB25" s="145"/>
      <c r="BC25" s="145"/>
      <c r="BD25" s="146"/>
      <c r="BE25" s="141"/>
      <c r="BF25" s="151"/>
      <c r="BG25" s="145"/>
      <c r="BH25" s="148"/>
      <c r="BI25" s="146"/>
    </row>
    <row r="26" spans="1:61" x14ac:dyDescent="0.35">
      <c r="A26" s="9168"/>
      <c r="B26" s="6082"/>
      <c r="C26" s="110" t="s">
        <v>483</v>
      </c>
      <c r="D26" s="197">
        <v>2</v>
      </c>
      <c r="F26" s="595">
        <v>35806.831149999998</v>
      </c>
      <c r="G26" s="1270"/>
      <c r="H26" s="595">
        <v>55580.6</v>
      </c>
      <c r="I26" s="594">
        <v>55280.4</v>
      </c>
      <c r="J26" s="64">
        <f>IF(H26=0,0,I26/H26)</f>
        <v>0.9945988348452518</v>
      </c>
      <c r="L26" s="156">
        <v>64441.4</v>
      </c>
      <c r="M26" s="66">
        <f>50709.6*12/9</f>
        <v>67612.799999999988</v>
      </c>
      <c r="O26" s="595">
        <v>60728.561000000002</v>
      </c>
      <c r="P26" s="594">
        <v>60675.019</v>
      </c>
      <c r="Q26" s="116" t="s">
        <v>4144</v>
      </c>
      <c r="R26" s="64"/>
      <c r="T26" s="607">
        <v>70089.053</v>
      </c>
      <c r="U26" s="127"/>
      <c r="V26" s="619">
        <f t="shared" ref="V26:V29" si="18">T26*R26</f>
        <v>0</v>
      </c>
      <c r="X26" s="595">
        <v>77842.600000000006</v>
      </c>
      <c r="Y26" s="594">
        <v>77842.600000000006</v>
      </c>
      <c r="Z26" s="116" t="s">
        <v>1848</v>
      </c>
      <c r="AA26" s="64">
        <f t="shared" si="9"/>
        <v>1</v>
      </c>
      <c r="AC26" s="607">
        <v>77362.817809999993</v>
      </c>
      <c r="AD26" s="592" t="s">
        <v>4116</v>
      </c>
      <c r="AE26" s="619">
        <f t="shared" ref="AE26:AE29" si="19">AC26*AA26</f>
        <v>77362.817809999993</v>
      </c>
      <c r="AG26" s="607">
        <v>77362.817809999993</v>
      </c>
      <c r="AH26" s="594">
        <f>62491.3*12/9</f>
        <v>83321.733333333337</v>
      </c>
      <c r="AI26" s="116" t="s">
        <v>1848</v>
      </c>
      <c r="AJ26" s="64">
        <f t="shared" ref="AJ26:AJ27" si="20">AH26/AG26</f>
        <v>1.0770255749728275</v>
      </c>
      <c r="AL26" s="607">
        <v>92344.5</v>
      </c>
      <c r="AM26" s="3649" t="s">
        <v>4133</v>
      </c>
      <c r="AN26" s="619">
        <f t="shared" ref="AN26:AN29" si="21">AL26*AJ26</f>
        <v>99457.388208078264</v>
      </c>
      <c r="AP26" s="26" t="s">
        <v>4145</v>
      </c>
      <c r="AR26" s="607">
        <v>92344.5</v>
      </c>
      <c r="AS26" s="594">
        <v>96464</v>
      </c>
      <c r="AT26" s="116" t="s">
        <v>2433</v>
      </c>
      <c r="AU26" s="476">
        <f t="shared" ref="AU26" si="22">AS26/AR26</f>
        <v>1.0446101283779758</v>
      </c>
      <c r="AW26" s="607">
        <v>104624.8</v>
      </c>
      <c r="AX26" s="116" t="s">
        <v>4138</v>
      </c>
      <c r="AY26" s="619">
        <f>AW26*AU26</f>
        <v>109292.12575952004</v>
      </c>
      <c r="BA26" s="607">
        <v>112951.5</v>
      </c>
      <c r="BB26" s="594">
        <v>112836.7</v>
      </c>
      <c r="BC26" s="116" t="s">
        <v>4146</v>
      </c>
      <c r="BD26" s="64">
        <f t="shared" ref="BD26:BD28" si="23">BB26/BA26</f>
        <v>0.99898363456881933</v>
      </c>
      <c r="BF26" s="607">
        <v>124444.2</v>
      </c>
      <c r="BG26" s="3307" t="s">
        <v>4139</v>
      </c>
      <c r="BH26" s="7282">
        <f>BF26</f>
        <v>124444.2</v>
      </c>
      <c r="BI26" s="64">
        <f t="shared" si="0"/>
        <v>1</v>
      </c>
    </row>
    <row r="27" spans="1:61" x14ac:dyDescent="0.35">
      <c r="A27" s="9168"/>
      <c r="B27" s="6082"/>
      <c r="C27" s="110" t="s">
        <v>489</v>
      </c>
      <c r="D27" s="197">
        <v>3</v>
      </c>
      <c r="F27" s="595" t="s">
        <v>4147</v>
      </c>
      <c r="G27" s="1270"/>
      <c r="H27" s="595">
        <v>51766.899149999997</v>
      </c>
      <c r="I27" s="594">
        <v>51466.74942</v>
      </c>
      <c r="J27" s="64">
        <f>IF(H27=0,0,I27/H27)</f>
        <v>0.99420189860840835</v>
      </c>
      <c r="L27" s="156">
        <v>54375.523419999998</v>
      </c>
      <c r="M27" s="66">
        <f>43783.76323*12/9</f>
        <v>58378.350973333334</v>
      </c>
      <c r="O27" s="595">
        <v>57954.406000000003</v>
      </c>
      <c r="P27" s="594">
        <v>57900.953999999998</v>
      </c>
      <c r="Q27" s="127"/>
      <c r="R27" s="64"/>
      <c r="T27" s="156"/>
      <c r="U27" s="127"/>
      <c r="V27" s="619">
        <f t="shared" si="18"/>
        <v>0</v>
      </c>
      <c r="X27" s="595">
        <v>74371.600000000006</v>
      </c>
      <c r="Y27" s="594">
        <v>74371.600000000006</v>
      </c>
      <c r="Z27" s="127"/>
      <c r="AA27" s="64">
        <f t="shared" si="9"/>
        <v>1</v>
      </c>
      <c r="AC27" s="156"/>
      <c r="AD27" s="127"/>
      <c r="AE27" s="619">
        <f t="shared" si="19"/>
        <v>0</v>
      </c>
      <c r="AG27" s="156"/>
      <c r="AH27" s="594"/>
      <c r="AI27" s="127"/>
      <c r="AJ27" s="64" t="e">
        <f t="shared" si="20"/>
        <v>#DIV/0!</v>
      </c>
      <c r="AL27" s="156"/>
      <c r="AM27" s="127"/>
      <c r="AN27" s="619" t="e">
        <f t="shared" si="21"/>
        <v>#DIV/0!</v>
      </c>
      <c r="AP27" s="26" t="s">
        <v>4148</v>
      </c>
      <c r="AR27" s="156"/>
      <c r="AS27" s="594"/>
      <c r="AT27" s="127"/>
      <c r="AU27" s="476"/>
      <c r="AW27" s="156"/>
      <c r="AX27" s="127"/>
      <c r="AY27" s="619"/>
      <c r="BA27" s="156">
        <v>108507.1</v>
      </c>
      <c r="BB27" s="594">
        <v>108417.5</v>
      </c>
      <c r="BC27" s="116" t="s">
        <v>4149</v>
      </c>
      <c r="BD27" s="64">
        <f t="shared" si="23"/>
        <v>0.99917424758379858</v>
      </c>
      <c r="BF27" s="156">
        <v>118323</v>
      </c>
      <c r="BG27" s="3307" t="s">
        <v>4139</v>
      </c>
      <c r="BH27" s="7282">
        <f>BF27</f>
        <v>118323</v>
      </c>
      <c r="BI27" s="64">
        <f t="shared" si="0"/>
        <v>1</v>
      </c>
    </row>
    <row r="28" spans="1:61" x14ac:dyDescent="0.35">
      <c r="A28" s="9168"/>
      <c r="B28" s="6082"/>
      <c r="C28" s="110" t="s">
        <v>490</v>
      </c>
      <c r="D28" s="197">
        <v>3</v>
      </c>
      <c r="F28" s="595">
        <v>1806.12715</v>
      </c>
      <c r="G28" s="1270"/>
      <c r="H28" s="595">
        <v>3185.8037199999999</v>
      </c>
      <c r="I28" s="594">
        <v>3183.6590200000001</v>
      </c>
      <c r="J28" s="64">
        <f>IF(H28=0,0,I28/H28)</f>
        <v>0.99932679468401153</v>
      </c>
      <c r="L28" s="159">
        <v>2774.4354400000002</v>
      </c>
      <c r="M28" s="66">
        <f>2925.45618*12/9</f>
        <v>3900.6082399999996</v>
      </c>
      <c r="O28" s="595">
        <v>3366.125</v>
      </c>
      <c r="P28" s="594">
        <v>3365.5050000000001</v>
      </c>
      <c r="Q28" s="116" t="s">
        <v>4150</v>
      </c>
      <c r="R28" s="64">
        <f>IF(O28=0,0,P28/O28)</f>
        <v>0.99981581194994251</v>
      </c>
      <c r="T28" s="156"/>
      <c r="U28" s="127"/>
      <c r="V28" s="619">
        <f t="shared" si="18"/>
        <v>0</v>
      </c>
      <c r="X28" s="595">
        <v>1686.8018400000001</v>
      </c>
      <c r="Y28" s="594">
        <v>1686.8018400000001</v>
      </c>
      <c r="Z28" s="116" t="s">
        <v>4150</v>
      </c>
      <c r="AA28" s="64">
        <f>IF(X28=0,0,Y28/X28)</f>
        <v>1</v>
      </c>
      <c r="AC28" s="156"/>
      <c r="AD28" s="127"/>
      <c r="AE28" s="619">
        <f t="shared" si="19"/>
        <v>0</v>
      </c>
      <c r="AG28" s="156">
        <v>3262.2559999999999</v>
      </c>
      <c r="AH28" s="594">
        <f>2764.417*12/9</f>
        <v>3685.8893333333335</v>
      </c>
      <c r="AI28" s="116" t="s">
        <v>4150</v>
      </c>
      <c r="AJ28" s="64">
        <f>IF(AG28=0,0,AH28/AG28)</f>
        <v>1.1298590096342327</v>
      </c>
      <c r="AL28" s="156"/>
      <c r="AM28" s="127"/>
      <c r="AN28" s="619">
        <f t="shared" si="21"/>
        <v>0</v>
      </c>
      <c r="AP28" s="26" t="s">
        <v>4151</v>
      </c>
      <c r="AR28" s="607"/>
      <c r="AS28" s="594"/>
      <c r="AT28" s="116"/>
      <c r="AU28" s="476"/>
      <c r="AW28" s="7284"/>
      <c r="AX28" s="3309"/>
      <c r="AY28" s="619"/>
      <c r="BA28" s="6321">
        <v>119.76419</v>
      </c>
      <c r="BB28" s="2796">
        <v>119.76419</v>
      </c>
      <c r="BC28" s="116" t="s">
        <v>4152</v>
      </c>
      <c r="BD28" s="64">
        <f t="shared" si="23"/>
        <v>1</v>
      </c>
      <c r="BF28" s="6321">
        <v>3462.7603199999999</v>
      </c>
      <c r="BG28" s="8925" t="s">
        <v>4153</v>
      </c>
      <c r="BH28" s="8926">
        <v>989.41780000000006</v>
      </c>
      <c r="BI28" s="64">
        <f t="shared" si="0"/>
        <v>0.2857309511967609</v>
      </c>
    </row>
    <row r="29" spans="1:61" x14ac:dyDescent="0.35">
      <c r="A29" s="9168"/>
      <c r="B29" s="6082"/>
      <c r="C29" s="161" t="s">
        <v>497</v>
      </c>
      <c r="D29" s="610"/>
      <c r="F29" s="1335"/>
      <c r="G29" s="1270"/>
      <c r="H29" s="612"/>
      <c r="I29" s="613"/>
      <c r="J29" s="64">
        <f>IF(H29=0,0,I29/H29)</f>
        <v>0</v>
      </c>
      <c r="L29" s="166"/>
      <c r="M29" s="157"/>
      <c r="O29" s="612"/>
      <c r="P29" s="613"/>
      <c r="Q29" s="106"/>
      <c r="R29" s="64">
        <f>IF(O29=0,0,P29/O29)</f>
        <v>0</v>
      </c>
      <c r="T29" s="156"/>
      <c r="U29" s="106"/>
      <c r="V29" s="619">
        <f t="shared" si="18"/>
        <v>0</v>
      </c>
      <c r="X29" s="612"/>
      <c r="Y29" s="613"/>
      <c r="Z29" s="106"/>
      <c r="AA29" s="64">
        <f>IF(X29=0,0,Y29/X29)</f>
        <v>0</v>
      </c>
      <c r="AC29" s="156"/>
      <c r="AD29" s="106"/>
      <c r="AE29" s="619">
        <f t="shared" si="19"/>
        <v>0</v>
      </c>
      <c r="AG29" s="156"/>
      <c r="AH29" s="613"/>
      <c r="AI29" s="106"/>
      <c r="AJ29" s="64">
        <f>IF(AG29=0,0,AH29/AG29)</f>
        <v>0</v>
      </c>
      <c r="AL29" s="156"/>
      <c r="AM29" s="106"/>
      <c r="AN29" s="619">
        <f t="shared" si="21"/>
        <v>0</v>
      </c>
      <c r="AP29" s="26"/>
      <c r="AR29" s="156"/>
      <c r="AS29" s="613"/>
      <c r="AT29" s="106"/>
      <c r="AU29" s="476"/>
      <c r="AW29" s="156"/>
      <c r="AX29" s="106"/>
      <c r="AY29" s="619">
        <f t="shared" ref="AY29" si="24">AW29*AU29</f>
        <v>0</v>
      </c>
      <c r="BA29" s="3222"/>
      <c r="BB29" s="2801"/>
      <c r="BC29" s="8450"/>
      <c r="BD29" s="64"/>
      <c r="BF29" s="3222"/>
      <c r="BG29" s="2819"/>
      <c r="BH29" s="8926"/>
      <c r="BI29" s="64" t="e">
        <f t="shared" si="0"/>
        <v>#DIV/0!</v>
      </c>
    </row>
    <row r="30" spans="1:61" x14ac:dyDescent="0.35">
      <c r="A30" s="9168"/>
      <c r="B30" s="128"/>
      <c r="C30" s="129" t="s">
        <v>499</v>
      </c>
      <c r="D30" s="209">
        <v>5</v>
      </c>
      <c r="F30" s="1133">
        <f>I30</f>
        <v>6.1858560252550723E-2</v>
      </c>
      <c r="G30" s="170"/>
      <c r="H30" s="171">
        <f>IF(H27=0,0,(H28-H29)/H27)</f>
        <v>6.1541327997429417E-2</v>
      </c>
      <c r="I30" s="172">
        <f>IF(I27=0,0,(I28-I29)/I27)</f>
        <v>6.1858560252550723E-2</v>
      </c>
      <c r="J30" s="173"/>
      <c r="K30" s="170"/>
      <c r="L30" s="174">
        <f>IF(L27=0,0,L28/L27)</f>
        <v>5.1023608886853089E-2</v>
      </c>
      <c r="M30" s="175">
        <f>IF(M27=0,0,M28/M27)</f>
        <v>6.6816005847471771E-2</v>
      </c>
      <c r="O30" s="171">
        <f t="shared" ref="O30:P30" si="25">IF(O27=0,0,(O28-O29)/O27)</f>
        <v>5.8082296624694933E-2</v>
      </c>
      <c r="P30" s="177">
        <f t="shared" si="25"/>
        <v>5.8125208092426252E-2</v>
      </c>
      <c r="Q30" s="177"/>
      <c r="R30" s="173"/>
      <c r="S30" s="170"/>
      <c r="T30" s="174">
        <f>IF(T27=0,0,T28/T27)</f>
        <v>0</v>
      </c>
      <c r="U30" s="177"/>
      <c r="V30" s="175">
        <f>IF(V27=0,0,V28/V27)</f>
        <v>0</v>
      </c>
      <c r="W30" s="176"/>
      <c r="X30" s="171">
        <f>IF(X27=0,0,X28/X27)</f>
        <v>2.2680725438204905E-2</v>
      </c>
      <c r="Y30" s="177">
        <f t="shared" ref="Y30" si="26">IF(Y27=0,0,(Y28-Y29)/Y27)</f>
        <v>2.2680725438204905E-2</v>
      </c>
      <c r="Z30" s="177"/>
      <c r="AA30" s="173"/>
      <c r="AB30" s="170"/>
      <c r="AC30" s="1014">
        <f>X30</f>
        <v>2.2680725438204905E-2</v>
      </c>
      <c r="AD30" s="177"/>
      <c r="AE30" s="1015">
        <f>Y30</f>
        <v>2.2680725438204905E-2</v>
      </c>
      <c r="AF30" s="176"/>
      <c r="AG30" s="1014">
        <f>IF(AG26=0,0,(AG28-AG29)/AG26)</f>
        <v>4.2168267552145929E-2</v>
      </c>
      <c r="AH30" s="177">
        <f>IF(AH26=0,0,(AH28-AH29)/AH26)</f>
        <v>4.4236829766703525E-2</v>
      </c>
      <c r="AI30" s="177"/>
      <c r="AJ30" s="173"/>
      <c r="AK30" s="170"/>
      <c r="AL30" s="1014">
        <f>AG30</f>
        <v>4.2168267552145929E-2</v>
      </c>
      <c r="AM30" s="3650" t="s">
        <v>4154</v>
      </c>
      <c r="AN30" s="1015">
        <f>AH30</f>
        <v>4.4236829766703525E-2</v>
      </c>
      <c r="AO30" s="176"/>
      <c r="AP30" s="24" t="s">
        <v>4155</v>
      </c>
      <c r="AR30" s="6646">
        <f>AG30</f>
        <v>4.2168267552145929E-2</v>
      </c>
      <c r="AS30" s="6429">
        <f>AH30</f>
        <v>4.4236829766703525E-2</v>
      </c>
      <c r="AT30" s="497"/>
      <c r="AU30" s="494"/>
      <c r="AV30" s="170"/>
      <c r="AW30" s="6646">
        <f>AR30</f>
        <v>4.2168267552145929E-2</v>
      </c>
      <c r="AX30" s="7285" t="s">
        <v>4154</v>
      </c>
      <c r="AY30" s="7286">
        <f>AS30</f>
        <v>4.4236829766703525E-2</v>
      </c>
      <c r="BA30" s="4057">
        <f>BA28/BA27</f>
        <v>1.1037451927108917E-3</v>
      </c>
      <c r="BB30" s="8928">
        <f>BB28/BB27</f>
        <v>1.104657366200106E-3</v>
      </c>
      <c r="BC30" s="177"/>
      <c r="BD30" s="173"/>
      <c r="BE30" s="170"/>
      <c r="BF30" s="4057">
        <f>BF28/BF27</f>
        <v>2.926531883065845E-2</v>
      </c>
      <c r="BG30" s="8929"/>
      <c r="BH30" s="8930">
        <f>BH28/BH27</f>
        <v>8.3620073865605174E-3</v>
      </c>
      <c r="BI30" s="173"/>
    </row>
    <row r="31" spans="1:61" x14ac:dyDescent="0.35">
      <c r="A31" s="9168"/>
      <c r="B31" s="139" t="s">
        <v>552</v>
      </c>
      <c r="C31" s="49"/>
      <c r="D31" s="184"/>
      <c r="F31" s="185"/>
      <c r="H31" s="186"/>
      <c r="I31" s="187"/>
      <c r="J31" s="188"/>
      <c r="L31" s="186"/>
      <c r="M31" s="148">
        <f t="shared" ref="M31" si="27">L31*J31</f>
        <v>0</v>
      </c>
      <c r="N31" s="1"/>
      <c r="O31" s="189"/>
      <c r="P31" s="190"/>
      <c r="Q31" s="190"/>
      <c r="R31" s="191"/>
      <c r="S31" s="170"/>
      <c r="T31" s="192"/>
      <c r="U31" s="190"/>
      <c r="V31" s="616"/>
      <c r="X31" s="189"/>
      <c r="Y31" s="190"/>
      <c r="Z31" s="190"/>
      <c r="AA31" s="191"/>
      <c r="AB31" s="170"/>
      <c r="AC31" s="192"/>
      <c r="AD31" s="190"/>
      <c r="AE31" s="616"/>
      <c r="AG31" s="192"/>
      <c r="AH31" s="190"/>
      <c r="AI31" s="190"/>
      <c r="AJ31" s="191"/>
      <c r="AK31" s="170"/>
      <c r="AL31" s="192"/>
      <c r="AM31" s="190"/>
      <c r="AN31" s="616"/>
      <c r="AP31" s="39"/>
      <c r="AR31" s="3364"/>
      <c r="AS31" s="839"/>
      <c r="AT31" s="839"/>
      <c r="AU31" s="840"/>
      <c r="AV31" s="170"/>
      <c r="AW31" s="3364"/>
      <c r="AX31" s="839"/>
      <c r="AY31" s="3482"/>
      <c r="BA31" s="192"/>
      <c r="BB31" s="190"/>
      <c r="BC31" s="190"/>
      <c r="BD31" s="191"/>
      <c r="BE31" s="170"/>
      <c r="BF31" s="192"/>
      <c r="BG31" s="190"/>
      <c r="BH31" s="616"/>
      <c r="BI31" s="191"/>
    </row>
    <row r="32" spans="1:61" x14ac:dyDescent="0.35">
      <c r="A32" s="9168"/>
      <c r="B32" s="196"/>
      <c r="C32" s="121" t="s">
        <v>470</v>
      </c>
      <c r="D32" s="197"/>
      <c r="F32" s="122"/>
      <c r="H32" s="198"/>
      <c r="I32" s="199"/>
      <c r="J32" s="64"/>
      <c r="L32" s="198"/>
      <c r="M32" s="157"/>
      <c r="N32" s="1"/>
      <c r="O32" s="200"/>
      <c r="P32" s="201"/>
      <c r="Q32" s="202"/>
      <c r="R32" s="203"/>
      <c r="S32" s="170"/>
      <c r="T32" s="117"/>
      <c r="U32" s="202" t="s">
        <v>3984</v>
      </c>
      <c r="V32" s="619">
        <f t="shared" ref="V32:V33" si="28">T32*R32</f>
        <v>0</v>
      </c>
      <c r="X32" s="200"/>
      <c r="Y32" s="201"/>
      <c r="Z32" s="202"/>
      <c r="AA32" s="203"/>
      <c r="AB32" s="170"/>
      <c r="AC32" s="117"/>
      <c r="AD32" s="202" t="s">
        <v>3984</v>
      </c>
      <c r="AE32" s="619">
        <f t="shared" ref="AE32:AE33" si="29">AC32*AA32</f>
        <v>0</v>
      </c>
      <c r="AG32" s="117"/>
      <c r="AH32" s="201"/>
      <c r="AI32" s="202"/>
      <c r="AJ32" s="203"/>
      <c r="AK32" s="170"/>
      <c r="AL32" s="117"/>
      <c r="AM32" s="202" t="s">
        <v>3984</v>
      </c>
      <c r="AN32" s="619">
        <f t="shared" ref="AN32:AN33" si="30">AL32*AJ32</f>
        <v>0</v>
      </c>
      <c r="AR32" s="117"/>
      <c r="AS32" s="201"/>
      <c r="AT32" s="834"/>
      <c r="AU32" s="835"/>
      <c r="AV32" s="170"/>
      <c r="AW32" s="117"/>
      <c r="AX32" s="834" t="s">
        <v>3984</v>
      </c>
      <c r="AY32" s="619">
        <f t="shared" ref="AY32:AY33" si="31">AW32*AU32</f>
        <v>0</v>
      </c>
      <c r="BA32" s="117"/>
      <c r="BB32" s="201"/>
      <c r="BC32" s="202"/>
      <c r="BD32" s="203"/>
      <c r="BE32" s="170"/>
      <c r="BF32" s="117"/>
      <c r="BG32" s="202"/>
      <c r="BH32" s="619"/>
      <c r="BI32" s="203"/>
    </row>
    <row r="33" spans="1:61" x14ac:dyDescent="0.35">
      <c r="A33" s="9169"/>
      <c r="B33" s="207"/>
      <c r="C33" s="208" t="s">
        <v>1116</v>
      </c>
      <c r="D33" s="209"/>
      <c r="F33" s="210"/>
      <c r="H33" s="211"/>
      <c r="I33" s="212"/>
      <c r="J33" s="133"/>
      <c r="L33" s="211"/>
      <c r="M33" s="213"/>
      <c r="N33" s="1"/>
      <c r="O33" s="214"/>
      <c r="P33" s="215"/>
      <c r="Q33" s="216"/>
      <c r="R33" s="133">
        <f>IF(O33=0,0,P33/O33)</f>
        <v>0</v>
      </c>
      <c r="T33" s="217"/>
      <c r="U33" s="216"/>
      <c r="V33" s="628">
        <f t="shared" si="28"/>
        <v>0</v>
      </c>
      <c r="X33" s="214"/>
      <c r="Y33" s="215"/>
      <c r="Z33" s="216"/>
      <c r="AA33" s="133">
        <f>IF(X33=0,0,Y33/X33)</f>
        <v>0</v>
      </c>
      <c r="AC33" s="217"/>
      <c r="AD33" s="216"/>
      <c r="AE33" s="628">
        <f t="shared" si="29"/>
        <v>0</v>
      </c>
      <c r="AG33" s="217"/>
      <c r="AH33" s="215"/>
      <c r="AI33" s="216"/>
      <c r="AJ33" s="133">
        <f>IF(AG33=0,0,AH33/AG33)</f>
        <v>0</v>
      </c>
      <c r="AL33" s="217"/>
      <c r="AM33" s="216"/>
      <c r="AN33" s="628">
        <f t="shared" si="30"/>
        <v>0</v>
      </c>
      <c r="AR33" s="217"/>
      <c r="AS33" s="215"/>
      <c r="AT33" s="216"/>
      <c r="AU33" s="484">
        <f>IF(AR33=0,0,AS33/AR33)</f>
        <v>0</v>
      </c>
      <c r="AW33" s="217"/>
      <c r="AX33" s="216"/>
      <c r="AY33" s="628">
        <f t="shared" si="31"/>
        <v>0</v>
      </c>
      <c r="BA33" s="217"/>
      <c r="BB33" s="215"/>
      <c r="BC33" s="216"/>
      <c r="BD33" s="133"/>
      <c r="BF33" s="217"/>
      <c r="BG33" s="216"/>
      <c r="BH33" s="628"/>
      <c r="BI33" s="133"/>
    </row>
    <row r="34" spans="1:61" x14ac:dyDescent="0.35">
      <c r="A34" s="220"/>
      <c r="B34" s="220"/>
      <c r="F34" s="106"/>
      <c r="H34" s="106"/>
      <c r="I34" s="106"/>
      <c r="J34" s="221"/>
      <c r="L34" s="106"/>
      <c r="O34" s="106"/>
      <c r="P34" s="106"/>
      <c r="Q34" s="106"/>
      <c r="R34" s="221"/>
      <c r="T34" s="106"/>
      <c r="U34" s="106"/>
      <c r="X34" s="106"/>
      <c r="Y34" s="106"/>
      <c r="Z34" s="106"/>
      <c r="AA34" s="221"/>
      <c r="AC34" s="106"/>
      <c r="AD34" s="106"/>
      <c r="AG34" s="106"/>
      <c r="AH34" s="106"/>
      <c r="AI34" s="106"/>
      <c r="AJ34" s="221"/>
      <c r="AL34" s="106"/>
      <c r="AM34" s="106"/>
      <c r="AR34" s="106"/>
      <c r="AS34" s="106"/>
      <c r="AT34" s="106"/>
      <c r="AU34" s="221"/>
      <c r="AW34" s="106"/>
      <c r="AX34" s="106"/>
      <c r="BA34" s="106"/>
      <c r="BB34" s="106"/>
      <c r="BC34" s="106"/>
      <c r="BD34" s="221"/>
      <c r="BF34" s="106"/>
      <c r="BG34" s="106"/>
      <c r="BI34" s="221"/>
    </row>
    <row r="35" spans="1:61" ht="27.75" customHeight="1" x14ac:dyDescent="0.35">
      <c r="A35" s="9167" t="s">
        <v>503</v>
      </c>
      <c r="B35" s="27"/>
      <c r="C35" s="28" t="s">
        <v>427</v>
      </c>
      <c r="D35" s="585" t="s">
        <v>428</v>
      </c>
      <c r="E35" s="30"/>
      <c r="F35" s="222"/>
      <c r="G35" s="223"/>
      <c r="H35" s="222"/>
      <c r="I35" s="222"/>
      <c r="J35" s="224"/>
      <c r="K35" s="223"/>
      <c r="L35" s="222"/>
      <c r="M35" s="511"/>
      <c r="N35" s="462"/>
      <c r="O35" s="9155" t="s">
        <v>4097</v>
      </c>
      <c r="P35" s="9156"/>
      <c r="Q35" s="581" t="s">
        <v>4098</v>
      </c>
      <c r="R35" s="224"/>
      <c r="S35" s="223"/>
      <c r="T35" s="36"/>
      <c r="U35" s="224"/>
      <c r="V35" s="511"/>
      <c r="W35" s="30"/>
      <c r="X35" s="850"/>
      <c r="Y35" s="3651"/>
      <c r="Z35" s="581" t="s">
        <v>4098</v>
      </c>
      <c r="AA35" s="224"/>
      <c r="AB35" s="223"/>
      <c r="AC35" s="36" t="s">
        <v>4156</v>
      </c>
      <c r="AD35" s="225" t="s">
        <v>4098</v>
      </c>
      <c r="AE35" s="34" t="s">
        <v>3916</v>
      </c>
      <c r="AF35" s="30"/>
      <c r="AG35" s="36"/>
      <c r="AH35" s="3651"/>
      <c r="AI35" s="581" t="s">
        <v>4098</v>
      </c>
      <c r="AJ35" s="224"/>
      <c r="AK35" s="223"/>
      <c r="AL35" s="36" t="s">
        <v>4157</v>
      </c>
      <c r="AM35" s="225" t="s">
        <v>4098</v>
      </c>
      <c r="AN35" s="34" t="s">
        <v>3916</v>
      </c>
      <c r="AO35" s="30"/>
      <c r="AP35" s="39"/>
      <c r="AR35" s="36" t="s">
        <v>4158</v>
      </c>
      <c r="AS35" s="3651" t="s">
        <v>4159</v>
      </c>
      <c r="AT35" s="473"/>
      <c r="AU35" s="224"/>
      <c r="AV35" s="223"/>
      <c r="AW35" s="36" t="s">
        <v>4160</v>
      </c>
      <c r="AX35" s="4645"/>
      <c r="AY35" s="3651" t="s">
        <v>4159</v>
      </c>
      <c r="BA35" s="36" t="s">
        <v>4161</v>
      </c>
      <c r="BB35" s="36" t="s">
        <v>4161</v>
      </c>
      <c r="BC35" s="581"/>
      <c r="BD35" s="224"/>
      <c r="BE35" s="223"/>
      <c r="BF35" s="36" t="s">
        <v>4105</v>
      </c>
      <c r="BG35" s="225"/>
      <c r="BH35" s="36" t="s">
        <v>4105</v>
      </c>
      <c r="BI35" s="224"/>
    </row>
    <row r="36" spans="1:61" ht="24.5" x14ac:dyDescent="0.35">
      <c r="A36" s="9168"/>
      <c r="B36" s="141" t="s">
        <v>514</v>
      </c>
      <c r="C36"/>
      <c r="D36" s="184"/>
      <c r="E36" s="143"/>
      <c r="F36" s="3652" t="s">
        <v>4162</v>
      </c>
      <c r="G36" s="143"/>
      <c r="H36" s="1368" t="s">
        <v>4163</v>
      </c>
      <c r="I36" s="103"/>
      <c r="J36" s="228"/>
      <c r="K36" s="143"/>
      <c r="L36" s="230" t="s">
        <v>4164</v>
      </c>
      <c r="M36" s="229"/>
      <c r="O36" s="230" t="s">
        <v>4165</v>
      </c>
      <c r="P36" s="103"/>
      <c r="Q36" s="106"/>
      <c r="R36" s="228"/>
      <c r="S36" s="143"/>
      <c r="T36" s="230"/>
      <c r="U36" s="103"/>
      <c r="V36" s="49"/>
      <c r="W36" s="143"/>
      <c r="X36" s="230"/>
      <c r="Y36" s="103"/>
      <c r="Z36" s="235" t="s">
        <v>4166</v>
      </c>
      <c r="AA36" s="228"/>
      <c r="AB36" s="143"/>
      <c r="AC36" s="230"/>
      <c r="AD36" s="103"/>
      <c r="AE36" s="49"/>
      <c r="AF36" s="143"/>
      <c r="AG36" s="230"/>
      <c r="AH36" s="103"/>
      <c r="AI36" s="235" t="s">
        <v>4166</v>
      </c>
      <c r="AJ36" s="228"/>
      <c r="AK36" s="143"/>
      <c r="AL36" s="230"/>
      <c r="AM36" s="103"/>
      <c r="AN36" s="49"/>
      <c r="AO36" s="143"/>
      <c r="AP36" s="18"/>
      <c r="AR36" s="7287"/>
      <c r="AS36" s="103"/>
      <c r="AT36" s="235"/>
      <c r="AU36" s="228"/>
      <c r="AV36" s="143"/>
      <c r="AW36" s="7287"/>
      <c r="AX36" s="103"/>
      <c r="AY36" s="49"/>
      <c r="BA36" s="7287"/>
      <c r="BB36" s="103"/>
      <c r="BC36" s="235"/>
      <c r="BD36" s="228"/>
      <c r="BE36" s="143"/>
      <c r="BF36" s="7287"/>
      <c r="BG36" s="103"/>
      <c r="BH36" s="49"/>
      <c r="BI36" s="228"/>
    </row>
    <row r="37" spans="1:61" x14ac:dyDescent="0.35">
      <c r="A37" s="9168"/>
      <c r="B37" s="240"/>
      <c r="C37" s="240" t="s">
        <v>4090</v>
      </c>
      <c r="D37" s="197"/>
      <c r="F37" s="111">
        <v>23895.5</v>
      </c>
      <c r="H37" s="112">
        <v>40127</v>
      </c>
      <c r="I37" s="113">
        <v>37318</v>
      </c>
      <c r="J37" s="64">
        <f>IF(H37=0,0,I37/H37)</f>
        <v>0.92999725870361605</v>
      </c>
      <c r="L37" s="112">
        <v>44745</v>
      </c>
      <c r="M37" s="157">
        <f>29549*12/9</f>
        <v>39398.666666666664</v>
      </c>
      <c r="N37" s="312"/>
      <c r="O37" s="593"/>
      <c r="P37" s="594"/>
      <c r="Q37" s="57"/>
      <c r="R37" s="64">
        <f>IF(O37=0,0,P37/O37)</f>
        <v>0</v>
      </c>
      <c r="T37" s="112"/>
      <c r="U37" s="106"/>
      <c r="V37" s="619">
        <f t="shared" ref="V37:V44" si="32">T37*R37</f>
        <v>0</v>
      </c>
      <c r="X37" s="593"/>
      <c r="Y37" s="594"/>
      <c r="Z37" s="57"/>
      <c r="AA37" s="64">
        <f>IF(X37=0,0,Y37/X37)</f>
        <v>0</v>
      </c>
      <c r="AC37" s="593"/>
      <c r="AD37" s="57"/>
      <c r="AE37" s="619">
        <f t="shared" ref="AE37:AE40" si="33">AC37*AA37</f>
        <v>0</v>
      </c>
      <c r="AG37" s="593"/>
      <c r="AH37" s="594"/>
      <c r="AI37" s="57"/>
      <c r="AJ37" s="64">
        <f>(AH38+AH39)/(AG38+AG39)</f>
        <v>0.92776015935849221</v>
      </c>
      <c r="AL37" s="593">
        <v>52629.5</v>
      </c>
      <c r="AM37" s="57" t="s">
        <v>4167</v>
      </c>
      <c r="AN37" s="619">
        <f t="shared" ref="AN37:AN40" si="34">AL37*AJ37</f>
        <v>48827.553306957765</v>
      </c>
      <c r="AP37" s="257"/>
      <c r="AR37" s="2748">
        <f>AR38+AR39</f>
        <v>51290.502800000002</v>
      </c>
      <c r="AS37" s="594">
        <f>AR37*AJ37</f>
        <v>47585.285051305196</v>
      </c>
      <c r="AT37" s="57" t="s">
        <v>3637</v>
      </c>
      <c r="AU37" s="476">
        <f>(AS38+AS39)/(AR38+AR39)</f>
        <v>0.96348571723456011</v>
      </c>
      <c r="AW37" s="2748">
        <f>AW38+AW39</f>
        <v>55327.931499999999</v>
      </c>
      <c r="AX37" s="57" t="s">
        <v>3637</v>
      </c>
      <c r="AY37" s="619">
        <f t="shared" ref="AY37:AY39" si="35">AW37*AU37</f>
        <v>53307.67176438211</v>
      </c>
      <c r="BA37" s="2748">
        <f>BA38+BA39</f>
        <v>60514.137000000002</v>
      </c>
      <c r="BB37" s="594">
        <f>BB38+BB39</f>
        <v>58214.876000000004</v>
      </c>
      <c r="BC37" s="57" t="s">
        <v>4168</v>
      </c>
      <c r="BD37" s="64">
        <f>BB37/BA37</f>
        <v>0.9620045643218873</v>
      </c>
      <c r="BF37" s="2748">
        <f>BF38+BF39</f>
        <v>65323.401000000005</v>
      </c>
      <c r="BG37" s="57" t="s">
        <v>4169</v>
      </c>
      <c r="BH37" s="7282">
        <f>BH38+BH39</f>
        <v>61018.764999999999</v>
      </c>
      <c r="BI37" s="64">
        <f t="shared" ref="BI37:BI39" si="36">BH37/BF37</f>
        <v>0.93410269621448516</v>
      </c>
    </row>
    <row r="38" spans="1:61" x14ac:dyDescent="0.35">
      <c r="A38" s="9168"/>
      <c r="B38" s="240"/>
      <c r="C38" s="639" t="s">
        <v>4170</v>
      </c>
      <c r="D38" s="197"/>
      <c r="F38" s="155"/>
      <c r="H38" s="117"/>
      <c r="I38" s="115"/>
      <c r="J38" s="64">
        <f>IF(H38=0,0,I38/H38)</f>
        <v>0</v>
      </c>
      <c r="L38" s="117"/>
      <c r="M38" s="157">
        <f>L38*J38</f>
        <v>0</v>
      </c>
      <c r="N38" s="312"/>
      <c r="O38" s="593">
        <v>32389.613000000001</v>
      </c>
      <c r="P38" s="594">
        <v>32318.438999999998</v>
      </c>
      <c r="Q38" s="106"/>
      <c r="R38" s="64">
        <f t="shared" ref="R38:R40" si="37">IF(O38=0,0,P38/O38)</f>
        <v>0.99780256713780424</v>
      </c>
      <c r="T38" s="593">
        <v>36514.813999999998</v>
      </c>
      <c r="U38" s="106"/>
      <c r="V38" s="619">
        <f t="shared" si="32"/>
        <v>36434.575147759431</v>
      </c>
      <c r="X38" s="593">
        <v>38293.930999999997</v>
      </c>
      <c r="Y38" s="594">
        <v>38122.250999999997</v>
      </c>
      <c r="Z38" s="57" t="s">
        <v>3784</v>
      </c>
      <c r="AA38" s="64">
        <f t="shared" ref="AA38:AA40" si="38">IF(X38=0,0,Y38/X38)</f>
        <v>0.99551678306413616</v>
      </c>
      <c r="AC38" s="593">
        <f>48287.7-AC39</f>
        <v>39995.885439955724</v>
      </c>
      <c r="AD38" s="57" t="s">
        <v>4171</v>
      </c>
      <c r="AE38" s="619">
        <f t="shared" si="33"/>
        <v>39816.575208986447</v>
      </c>
      <c r="AG38" s="593">
        <f>39061.335</f>
        <v>39061.334999999999</v>
      </c>
      <c r="AH38" s="594">
        <f>31035.762*12/9</f>
        <v>41381.015999999996</v>
      </c>
      <c r="AI38" s="57" t="s">
        <v>1848</v>
      </c>
      <c r="AJ38" s="64">
        <f t="shared" ref="AJ38:AJ40" si="39">IF(AG38=0,0,AH38/AG38)</f>
        <v>1.0593856047162751</v>
      </c>
      <c r="AL38" s="593"/>
      <c r="AN38" s="619">
        <f t="shared" si="34"/>
        <v>0</v>
      </c>
      <c r="AP38" s="26"/>
      <c r="AR38" s="593">
        <v>43185.92211</v>
      </c>
      <c r="AS38" s="594">
        <f t="shared" ref="AS38:AS39" si="40">AR38*AJ38</f>
        <v>45750.544209732303</v>
      </c>
      <c r="AT38" s="57" t="s">
        <v>4172</v>
      </c>
      <c r="AU38" s="476">
        <f t="shared" ref="AU38:AU40" si="41">IF(AR38=0,0,AS38/AR38)</f>
        <v>1.0593856047162751</v>
      </c>
      <c r="AW38" s="593">
        <v>48856.731659999998</v>
      </c>
      <c r="AX38" s="57" t="s">
        <v>4172</v>
      </c>
      <c r="AY38" s="619">
        <f t="shared" si="35"/>
        <v>51758.118214089882</v>
      </c>
      <c r="BA38" s="593">
        <v>51136.849000000002</v>
      </c>
      <c r="BB38" s="594">
        <v>50995.356</v>
      </c>
      <c r="BC38" s="57" t="s">
        <v>4168</v>
      </c>
      <c r="BD38" s="64">
        <f t="shared" ref="BD38:BD39" si="42">BB38/BA38</f>
        <v>0.99723305204041801</v>
      </c>
      <c r="BF38" s="2755">
        <v>57284.351000000002</v>
      </c>
      <c r="BG38" s="57" t="s">
        <v>4169</v>
      </c>
      <c r="BH38" s="8931">
        <v>56778.171000000002</v>
      </c>
      <c r="BI38" s="64">
        <f t="shared" si="36"/>
        <v>0.99116372986402512</v>
      </c>
    </row>
    <row r="39" spans="1:61" x14ac:dyDescent="0.35">
      <c r="A39" s="9168"/>
      <c r="B39" s="241"/>
      <c r="C39" s="639" t="s">
        <v>4173</v>
      </c>
      <c r="D39" s="197"/>
      <c r="F39" s="163"/>
      <c r="H39" s="242"/>
      <c r="I39" s="243"/>
      <c r="J39" s="64">
        <f>IF(H39=0,0,I39/H39)</f>
        <v>0</v>
      </c>
      <c r="L39" s="242"/>
      <c r="M39" s="157">
        <f>L39*J39</f>
        <v>0</v>
      </c>
      <c r="N39" s="312"/>
      <c r="O39" s="595">
        <v>7989.5439999999999</v>
      </c>
      <c r="P39" s="594">
        <v>6240.652</v>
      </c>
      <c r="Q39" s="106"/>
      <c r="R39" s="64">
        <f t="shared" si="37"/>
        <v>0.78110240083789517</v>
      </c>
      <c r="T39" s="595">
        <v>7635.0529999999999</v>
      </c>
      <c r="U39" s="106"/>
      <c r="V39" s="619">
        <f t="shared" si="32"/>
        <v>5963.758228824574</v>
      </c>
      <c r="X39" s="595">
        <v>7938.9709999999995</v>
      </c>
      <c r="Y39" s="594">
        <v>6024.0110000000004</v>
      </c>
      <c r="Z39" s="106"/>
      <c r="AA39" s="64">
        <f t="shared" si="38"/>
        <v>0.75878989859013224</v>
      </c>
      <c r="AC39" s="3653">
        <f>48287.7*X39/(X38+X39)</f>
        <v>8291.8145600442731</v>
      </c>
      <c r="AD39" s="3654" t="s">
        <v>3343</v>
      </c>
      <c r="AE39" s="619">
        <f t="shared" si="33"/>
        <v>6291.7451291441757</v>
      </c>
      <c r="AG39" s="595">
        <v>10817.651</v>
      </c>
      <c r="AH39" s="594">
        <f>3671.04*12/9</f>
        <v>4894.7199999999993</v>
      </c>
      <c r="AI39" s="106"/>
      <c r="AJ39" s="64">
        <f t="shared" si="39"/>
        <v>0.45247531095244237</v>
      </c>
      <c r="AL39" s="3653"/>
      <c r="AM39" s="3654"/>
      <c r="AN39" s="619">
        <f t="shared" si="34"/>
        <v>0</v>
      </c>
      <c r="AP39" s="26"/>
      <c r="AR39" s="595">
        <v>8104.5806899999998</v>
      </c>
      <c r="AS39" s="594">
        <f t="shared" si="40"/>
        <v>3667.1226678469097</v>
      </c>
      <c r="AT39" s="57" t="s">
        <v>4174</v>
      </c>
      <c r="AU39" s="476">
        <f t="shared" si="41"/>
        <v>0.45247531095244237</v>
      </c>
      <c r="AW39" s="2789">
        <v>6471.1998400000002</v>
      </c>
      <c r="AX39" s="57" t="s">
        <v>4174</v>
      </c>
      <c r="AY39" s="619">
        <f t="shared" si="35"/>
        <v>2928.0581598393956</v>
      </c>
      <c r="BA39" s="595">
        <v>9377.2880000000005</v>
      </c>
      <c r="BB39" s="594">
        <v>7219.52</v>
      </c>
      <c r="BC39" s="57" t="s">
        <v>4168</v>
      </c>
      <c r="BD39" s="64">
        <f t="shared" si="42"/>
        <v>0.76989423807821622</v>
      </c>
      <c r="BF39" s="8932">
        <v>8039.05</v>
      </c>
      <c r="BG39" s="57" t="s">
        <v>4169</v>
      </c>
      <c r="BH39" s="8931">
        <v>4240.5940000000001</v>
      </c>
      <c r="BI39" s="64">
        <f t="shared" si="36"/>
        <v>0.52749939358506293</v>
      </c>
    </row>
    <row r="40" spans="1:61" x14ac:dyDescent="0.35">
      <c r="A40" s="9168"/>
      <c r="B40" s="241"/>
      <c r="C40" s="241" t="s">
        <v>536</v>
      </c>
      <c r="D40" s="197"/>
      <c r="F40" s="163"/>
      <c r="H40" s="242"/>
      <c r="I40" s="243"/>
      <c r="J40" s="64">
        <f>IF(H40=0,0,I40/H40)</f>
        <v>0</v>
      </c>
      <c r="L40" s="242"/>
      <c r="M40" s="157">
        <f>L40*J40</f>
        <v>0</v>
      </c>
      <c r="N40" s="312"/>
      <c r="O40" s="242"/>
      <c r="P40" s="115"/>
      <c r="Q40" s="106"/>
      <c r="R40" s="64">
        <f t="shared" si="37"/>
        <v>0</v>
      </c>
      <c r="T40" s="242"/>
      <c r="U40" s="106"/>
      <c r="V40" s="619">
        <f t="shared" si="32"/>
        <v>0</v>
      </c>
      <c r="X40" s="242"/>
      <c r="Y40" s="115"/>
      <c r="Z40" s="106"/>
      <c r="AA40" s="64">
        <f t="shared" si="38"/>
        <v>0</v>
      </c>
      <c r="AC40" s="242"/>
      <c r="AD40" s="106"/>
      <c r="AE40" s="619">
        <f t="shared" si="33"/>
        <v>0</v>
      </c>
      <c r="AG40" s="242"/>
      <c r="AH40" s="115"/>
      <c r="AI40" s="106"/>
      <c r="AJ40" s="64">
        <f t="shared" si="39"/>
        <v>0</v>
      </c>
      <c r="AL40" s="242"/>
      <c r="AM40" s="106"/>
      <c r="AN40" s="619">
        <f t="shared" si="34"/>
        <v>0</v>
      </c>
      <c r="AP40" s="26"/>
      <c r="AR40" s="242"/>
      <c r="AS40" s="115"/>
      <c r="AT40" s="106"/>
      <c r="AU40" s="476">
        <f t="shared" si="41"/>
        <v>0</v>
      </c>
      <c r="AW40" s="242"/>
      <c r="AX40" s="106"/>
      <c r="AY40" s="619"/>
      <c r="BA40" s="8933"/>
      <c r="BB40" s="8934"/>
      <c r="BC40" s="6917"/>
      <c r="BD40" s="64"/>
      <c r="BF40" s="8935"/>
      <c r="BG40" s="6917"/>
      <c r="BH40" s="8936"/>
      <c r="BI40" s="64"/>
    </row>
    <row r="41" spans="1:61" x14ac:dyDescent="0.35">
      <c r="A41" s="9168"/>
      <c r="B41" s="141" t="s">
        <v>531</v>
      </c>
      <c r="C41"/>
      <c r="D41" s="197"/>
      <c r="E41" s="143"/>
      <c r="F41" s="168"/>
      <c r="G41" s="143"/>
      <c r="H41" s="245"/>
      <c r="I41" s="106"/>
      <c r="J41" s="246"/>
      <c r="K41" s="143"/>
      <c r="L41" s="245"/>
      <c r="M41" s="247"/>
      <c r="N41" s="254"/>
      <c r="O41" s="245"/>
      <c r="P41" s="106"/>
      <c r="Q41" s="106"/>
      <c r="R41" s="246"/>
      <c r="S41" s="143"/>
      <c r="T41" s="245"/>
      <c r="U41" s="106"/>
      <c r="V41" s="619"/>
      <c r="W41" s="143"/>
      <c r="X41" s="245"/>
      <c r="Y41" s="106"/>
      <c r="Z41" s="106"/>
      <c r="AA41" s="246"/>
      <c r="AB41" s="143"/>
      <c r="AC41" s="245"/>
      <c r="AD41" s="106"/>
      <c r="AE41" s="619"/>
      <c r="AF41" s="143"/>
      <c r="AG41" s="245"/>
      <c r="AH41" s="106"/>
      <c r="AI41" s="106"/>
      <c r="AJ41" s="246"/>
      <c r="AK41" s="143"/>
      <c r="AL41" s="245"/>
      <c r="AM41" s="106"/>
      <c r="AN41" s="619"/>
      <c r="AO41" s="143"/>
      <c r="AP41" s="18"/>
      <c r="AR41" s="245"/>
      <c r="AS41" s="106"/>
      <c r="AT41" s="106"/>
      <c r="AU41" s="246"/>
      <c r="AV41" s="143"/>
      <c r="AW41" s="245"/>
      <c r="AX41" s="106"/>
      <c r="AY41" s="619"/>
      <c r="BA41" s="245"/>
      <c r="BB41" s="106"/>
      <c r="BC41" s="106"/>
      <c r="BD41" s="246"/>
      <c r="BE41" s="143"/>
      <c r="BF41" s="245"/>
      <c r="BG41" s="106"/>
      <c r="BH41" s="619"/>
      <c r="BI41" s="246"/>
    </row>
    <row r="42" spans="1:61" x14ac:dyDescent="0.35">
      <c r="A42" s="9168"/>
      <c r="B42" s="240"/>
      <c r="C42" s="240" t="s">
        <v>532</v>
      </c>
      <c r="D42" s="197"/>
      <c r="F42" s="111"/>
      <c r="H42" s="112"/>
      <c r="I42" s="113"/>
      <c r="J42" s="64">
        <f>IF(H42=0,0,I42/H42)</f>
        <v>0</v>
      </c>
      <c r="L42" s="112"/>
      <c r="M42" s="157">
        <f>L42*J42</f>
        <v>0</v>
      </c>
      <c r="N42" s="312"/>
      <c r="O42" s="248"/>
      <c r="P42" s="233"/>
      <c r="Q42" s="106"/>
      <c r="R42" s="64">
        <f>R37</f>
        <v>0</v>
      </c>
      <c r="T42" s="112"/>
      <c r="U42" s="106"/>
      <c r="V42" s="619">
        <f t="shared" si="32"/>
        <v>0</v>
      </c>
      <c r="X42" s="248"/>
      <c r="Y42" s="233"/>
      <c r="Z42" s="106"/>
      <c r="AA42" s="64">
        <f>AA37</f>
        <v>0</v>
      </c>
      <c r="AC42" s="112"/>
      <c r="AD42" s="106"/>
      <c r="AE42" s="619">
        <f>AC42*AA42</f>
        <v>0</v>
      </c>
      <c r="AG42" s="112"/>
      <c r="AH42" s="233"/>
      <c r="AI42" s="106"/>
      <c r="AJ42" s="64">
        <f>AJ37</f>
        <v>0.92776015935849221</v>
      </c>
      <c r="AL42" s="112"/>
      <c r="AM42" s="106"/>
      <c r="AN42" s="619">
        <f t="shared" ref="AN42:AN44" si="43">AL42*AJ42</f>
        <v>0</v>
      </c>
      <c r="AP42" s="26"/>
      <c r="AR42" s="112"/>
      <c r="AS42" s="233"/>
      <c r="AT42" s="106"/>
      <c r="AU42" s="476">
        <f>AU37</f>
        <v>0.96348571723456011</v>
      </c>
      <c r="AW42" s="112"/>
      <c r="AX42" s="106"/>
      <c r="AY42" s="619"/>
      <c r="BA42" s="112"/>
      <c r="BB42" s="233"/>
      <c r="BC42" s="106"/>
      <c r="BD42" s="64"/>
      <c r="BF42" s="112"/>
      <c r="BG42" s="106"/>
      <c r="BH42" s="619"/>
      <c r="BI42" s="64"/>
    </row>
    <row r="43" spans="1:61" x14ac:dyDescent="0.35">
      <c r="A43" s="9168"/>
      <c r="B43" s="240"/>
      <c r="C43" s="240" t="s">
        <v>533</v>
      </c>
      <c r="D43" s="197"/>
      <c r="F43" s="155"/>
      <c r="H43" s="117"/>
      <c r="I43" s="115"/>
      <c r="J43" s="64">
        <f>IF(H43=0,0,I43/H43)</f>
        <v>0</v>
      </c>
      <c r="L43" s="117"/>
      <c r="M43" s="157">
        <f>L43*J43</f>
        <v>0</v>
      </c>
      <c r="N43" s="312"/>
      <c r="O43" s="200"/>
      <c r="P43" s="201"/>
      <c r="Q43" s="106"/>
      <c r="R43" s="64">
        <f>IF(O43=0,0,P43/O43)</f>
        <v>0</v>
      </c>
      <c r="T43" s="117"/>
      <c r="U43" s="106"/>
      <c r="V43" s="619">
        <f t="shared" si="32"/>
        <v>0</v>
      </c>
      <c r="X43" s="200"/>
      <c r="Y43" s="201"/>
      <c r="Z43" s="106"/>
      <c r="AA43" s="64">
        <f>IF(X43=0,0,Y43/X43)</f>
        <v>0</v>
      </c>
      <c r="AC43" s="117"/>
      <c r="AD43" s="106"/>
      <c r="AE43" s="619">
        <f t="shared" ref="AE43:AE44" si="44">AC43*AA43</f>
        <v>0</v>
      </c>
      <c r="AG43" s="117"/>
      <c r="AH43" s="201"/>
      <c r="AI43" s="106"/>
      <c r="AJ43" s="64">
        <f>IF(AG43=0,0,AH43/AG43)</f>
        <v>0</v>
      </c>
      <c r="AL43" s="117"/>
      <c r="AM43" s="106"/>
      <c r="AN43" s="619">
        <f t="shared" si="43"/>
        <v>0</v>
      </c>
      <c r="AP43" s="26"/>
      <c r="AR43" s="117"/>
      <c r="AS43" s="201"/>
      <c r="AT43" s="106"/>
      <c r="AU43" s="476">
        <f>IF(AR43=0,0,AS43/AR43)</f>
        <v>0</v>
      </c>
      <c r="AW43" s="117"/>
      <c r="AX43" s="106"/>
      <c r="AY43" s="619"/>
      <c r="BA43" s="117"/>
      <c r="BB43" s="201"/>
      <c r="BC43" s="106"/>
      <c r="BD43" s="64"/>
      <c r="BF43" s="117"/>
      <c r="BG43" s="106"/>
      <c r="BH43" s="619"/>
      <c r="BI43" s="64"/>
    </row>
    <row r="44" spans="1:61" x14ac:dyDescent="0.35">
      <c r="A44" s="9168"/>
      <c r="B44" s="250"/>
      <c r="C44" s="250" t="s">
        <v>534</v>
      </c>
      <c r="D44" s="209"/>
      <c r="F44" s="130"/>
      <c r="H44" s="242"/>
      <c r="I44" s="243"/>
      <c r="J44" s="64">
        <f>IF(H44=0,0,I44/H44)</f>
        <v>0</v>
      </c>
      <c r="L44" s="131"/>
      <c r="M44" s="213">
        <f>L44*J44</f>
        <v>0</v>
      </c>
      <c r="N44" s="312"/>
      <c r="O44" s="164"/>
      <c r="P44" s="215"/>
      <c r="Q44" s="216"/>
      <c r="R44" s="64">
        <f>IF(O44=0,0,P44/O44)</f>
        <v>0</v>
      </c>
      <c r="T44" s="131"/>
      <c r="U44" s="216"/>
      <c r="V44" s="628">
        <f t="shared" si="32"/>
        <v>0</v>
      </c>
      <c r="X44" s="164"/>
      <c r="Y44" s="215"/>
      <c r="Z44" s="216"/>
      <c r="AA44" s="64">
        <f>IF(X44=0,0,Y44/X44)</f>
        <v>0</v>
      </c>
      <c r="AC44" s="131"/>
      <c r="AD44" s="216"/>
      <c r="AE44" s="628">
        <f t="shared" si="44"/>
        <v>0</v>
      </c>
      <c r="AG44" s="131"/>
      <c r="AH44" s="215"/>
      <c r="AI44" s="216"/>
      <c r="AJ44" s="64">
        <f>IF(AG44=0,0,AH44/AG44)</f>
        <v>0</v>
      </c>
      <c r="AL44" s="131"/>
      <c r="AM44" s="216"/>
      <c r="AN44" s="628">
        <f t="shared" si="43"/>
        <v>0</v>
      </c>
      <c r="AP44" s="24"/>
      <c r="AR44" s="131"/>
      <c r="AS44" s="215"/>
      <c r="AT44" s="216"/>
      <c r="AU44" s="476">
        <f>IF(AR44=0,0,AS44/AR44)</f>
        <v>0</v>
      </c>
      <c r="AW44" s="131"/>
      <c r="AX44" s="216"/>
      <c r="AY44" s="628"/>
      <c r="BA44" s="131"/>
      <c r="BB44" s="215"/>
      <c r="BC44" s="216"/>
      <c r="BD44" s="64"/>
      <c r="BF44" s="131"/>
      <c r="BG44" s="216"/>
      <c r="BH44" s="628"/>
      <c r="BI44" s="64"/>
    </row>
    <row r="45" spans="1:61" x14ac:dyDescent="0.35">
      <c r="A45" s="9168"/>
      <c r="B45" s="141" t="s">
        <v>535</v>
      </c>
      <c r="C45" s="141"/>
      <c r="D45" s="197"/>
      <c r="E45" s="143"/>
      <c r="F45" s="227"/>
      <c r="G45" s="143"/>
      <c r="H45" s="102"/>
      <c r="I45" s="103"/>
      <c r="J45" s="252"/>
      <c r="K45" s="143"/>
      <c r="L45" s="245"/>
      <c r="M45" s="247"/>
      <c r="N45" s="254"/>
      <c r="O45" s="102"/>
      <c r="P45" s="103"/>
      <c r="Q45" s="106"/>
      <c r="R45" s="252"/>
      <c r="S45" s="143"/>
      <c r="T45" s="245"/>
      <c r="U45" s="106"/>
      <c r="V45" s="247"/>
      <c r="W45" s="143"/>
      <c r="X45" s="102"/>
      <c r="Y45" s="103"/>
      <c r="Z45" s="106"/>
      <c r="AA45" s="252"/>
      <c r="AB45" s="143"/>
      <c r="AC45" s="245"/>
      <c r="AD45" s="106"/>
      <c r="AE45" s="247"/>
      <c r="AF45" s="143"/>
      <c r="AG45" s="245"/>
      <c r="AH45" s="103"/>
      <c r="AI45" s="106"/>
      <c r="AJ45" s="252"/>
      <c r="AK45" s="143"/>
      <c r="AL45" s="245"/>
      <c r="AM45" s="106"/>
      <c r="AN45" s="247"/>
      <c r="AO45" s="143"/>
      <c r="AP45" s="26"/>
      <c r="AR45" s="245"/>
      <c r="AS45" s="103"/>
      <c r="AT45" s="106"/>
      <c r="AU45" s="516"/>
      <c r="AV45" s="143"/>
      <c r="AW45" s="245"/>
      <c r="AX45" s="106"/>
      <c r="AY45" s="247"/>
      <c r="BA45" s="245"/>
      <c r="BB45" s="103"/>
      <c r="BC45" s="106"/>
      <c r="BD45" s="252"/>
      <c r="BE45" s="143"/>
      <c r="BF45" s="245"/>
      <c r="BG45" s="106"/>
      <c r="BH45" s="247"/>
      <c r="BI45" s="252"/>
    </row>
    <row r="46" spans="1:61" ht="15.75" customHeight="1" x14ac:dyDescent="0.35">
      <c r="A46" s="9168"/>
      <c r="B46" s="240"/>
      <c r="C46" s="240" t="s">
        <v>532</v>
      </c>
      <c r="D46" s="197"/>
      <c r="F46" s="111"/>
      <c r="H46" s="112"/>
      <c r="I46" s="113"/>
      <c r="J46" s="64">
        <f t="shared" ref="J46:J52" si="45">IF(H46=0,0,I46/H46)</f>
        <v>0</v>
      </c>
      <c r="L46" s="593"/>
      <c r="M46" s="1352">
        <f t="shared" ref="M46:M52" si="46">L46*J46</f>
        <v>0</v>
      </c>
      <c r="N46" s="1423"/>
      <c r="O46" s="117"/>
      <c r="P46" s="233"/>
      <c r="Q46" s="106"/>
      <c r="R46" s="64">
        <f>IF(O46=0,0,P46/O46)</f>
        <v>0</v>
      </c>
      <c r="T46" s="262"/>
      <c r="U46" s="106"/>
      <c r="V46" s="157">
        <f>T46*R46</f>
        <v>0</v>
      </c>
      <c r="X46" s="117"/>
      <c r="Y46" s="233"/>
      <c r="Z46" s="106"/>
      <c r="AA46" s="64">
        <f>IF(X46=0,0,Y46/X46)</f>
        <v>0</v>
      </c>
      <c r="AC46" s="262"/>
      <c r="AD46" s="106"/>
      <c r="AE46" s="157">
        <f>AC46*AA46</f>
        <v>0</v>
      </c>
      <c r="AG46" s="262"/>
      <c r="AH46" s="233"/>
      <c r="AI46" s="106"/>
      <c r="AJ46" s="64">
        <f>IF(AG46=0,0,AH46/AG46)</f>
        <v>0</v>
      </c>
      <c r="AL46" s="262"/>
      <c r="AM46" s="106"/>
      <c r="AN46" s="157">
        <f>AL46*AJ46</f>
        <v>0</v>
      </c>
      <c r="AP46" s="257"/>
      <c r="AR46" s="262"/>
      <c r="AS46" s="233"/>
      <c r="AT46" s="106"/>
      <c r="AU46" s="476">
        <f>IF(AR46=0,0,AS46/AR46)</f>
        <v>0</v>
      </c>
      <c r="AW46" s="262"/>
      <c r="AX46" s="106"/>
      <c r="AY46" s="157">
        <f>AW46*AU46</f>
        <v>0</v>
      </c>
      <c r="BA46" s="262"/>
      <c r="BB46" s="233"/>
      <c r="BC46" s="106"/>
      <c r="BD46" s="64"/>
      <c r="BF46" s="262"/>
      <c r="BG46" s="106"/>
      <c r="BH46" s="157"/>
      <c r="BI46" s="64"/>
    </row>
    <row r="47" spans="1:61" x14ac:dyDescent="0.35">
      <c r="A47" s="9168"/>
      <c r="B47" s="240"/>
      <c r="C47" s="240" t="s">
        <v>533</v>
      </c>
      <c r="D47" s="197"/>
      <c r="F47" s="155"/>
      <c r="H47" s="117"/>
      <c r="I47" s="115"/>
      <c r="J47" s="64">
        <f t="shared" si="45"/>
        <v>0</v>
      </c>
      <c r="L47" s="595"/>
      <c r="M47" s="1352">
        <f t="shared" si="46"/>
        <v>0</v>
      </c>
      <c r="N47" s="1423"/>
      <c r="O47" s="117"/>
      <c r="P47" s="201"/>
      <c r="Q47" s="106"/>
      <c r="R47" s="64">
        <f t="shared" ref="R47:R51" si="47">IF(O47=0,0,P47/O47)</f>
        <v>0</v>
      </c>
      <c r="T47" s="262"/>
      <c r="U47" s="106"/>
      <c r="V47" s="157">
        <f t="shared" ref="V47:V51" si="48">T47*R47</f>
        <v>0</v>
      </c>
      <c r="X47" s="117"/>
      <c r="Y47" s="201"/>
      <c r="Z47" s="106"/>
      <c r="AA47" s="64">
        <f t="shared" ref="AA47:AA51" si="49">IF(X47=0,0,Y47/X47)</f>
        <v>0</v>
      </c>
      <c r="AC47" s="262"/>
      <c r="AD47" s="106"/>
      <c r="AE47" s="157">
        <f t="shared" ref="AE47:AE51" si="50">AC47*AA47</f>
        <v>0</v>
      </c>
      <c r="AG47" s="262"/>
      <c r="AH47" s="201"/>
      <c r="AI47" s="106"/>
      <c r="AJ47" s="64">
        <f t="shared" ref="AJ47:AJ51" si="51">IF(AG47=0,0,AH47/AG47)</f>
        <v>0</v>
      </c>
      <c r="AL47" s="262"/>
      <c r="AM47" s="106"/>
      <c r="AN47" s="157">
        <f t="shared" ref="AN47:AN51" si="52">AL47*AJ47</f>
        <v>0</v>
      </c>
      <c r="AP47" s="26"/>
      <c r="AR47" s="262"/>
      <c r="AS47" s="201"/>
      <c r="AT47" s="106"/>
      <c r="AU47" s="476">
        <f t="shared" ref="AU47:AU51" si="53">IF(AR47=0,0,AS47/AR47)</f>
        <v>0</v>
      </c>
      <c r="AW47" s="262"/>
      <c r="AX47" s="106"/>
      <c r="AY47" s="157">
        <f t="shared" ref="AY47:AY51" si="54">AW47*AU47</f>
        <v>0</v>
      </c>
      <c r="BA47" s="262"/>
      <c r="BB47" s="201"/>
      <c r="BC47" s="106"/>
      <c r="BD47" s="64"/>
      <c r="BF47" s="262"/>
      <c r="BG47" s="106"/>
      <c r="BH47" s="157"/>
      <c r="BI47" s="64"/>
    </row>
    <row r="48" spans="1:61" x14ac:dyDescent="0.35">
      <c r="A48" s="9168"/>
      <c r="B48" s="240"/>
      <c r="C48" s="240" t="s">
        <v>534</v>
      </c>
      <c r="D48" s="197"/>
      <c r="F48" s="155"/>
      <c r="H48" s="117"/>
      <c r="I48" s="115"/>
      <c r="J48" s="64">
        <f t="shared" si="45"/>
        <v>0</v>
      </c>
      <c r="L48" s="595"/>
      <c r="M48" s="1352">
        <f t="shared" si="46"/>
        <v>0</v>
      </c>
      <c r="N48" s="1423"/>
      <c r="O48" s="117"/>
      <c r="P48" s="233"/>
      <c r="Q48" s="106"/>
      <c r="R48" s="64">
        <f t="shared" si="47"/>
        <v>0</v>
      </c>
      <c r="T48" s="262"/>
      <c r="U48" s="106"/>
      <c r="V48" s="157">
        <f t="shared" si="48"/>
        <v>0</v>
      </c>
      <c r="X48" s="117"/>
      <c r="Y48" s="233"/>
      <c r="Z48" s="106"/>
      <c r="AA48" s="64">
        <f t="shared" si="49"/>
        <v>0</v>
      </c>
      <c r="AC48" s="262"/>
      <c r="AD48" s="106"/>
      <c r="AE48" s="157">
        <f t="shared" si="50"/>
        <v>0</v>
      </c>
      <c r="AG48" s="262"/>
      <c r="AH48" s="233"/>
      <c r="AI48" s="106"/>
      <c r="AJ48" s="64">
        <f t="shared" si="51"/>
        <v>0</v>
      </c>
      <c r="AL48" s="262"/>
      <c r="AM48" s="106"/>
      <c r="AN48" s="157">
        <f t="shared" si="52"/>
        <v>0</v>
      </c>
      <c r="AP48" s="26"/>
      <c r="AR48" s="262"/>
      <c r="AS48" s="233"/>
      <c r="AT48" s="106"/>
      <c r="AU48" s="476">
        <f t="shared" si="53"/>
        <v>0</v>
      </c>
      <c r="AW48" s="262"/>
      <c r="AX48" s="106"/>
      <c r="AY48" s="157">
        <f t="shared" si="54"/>
        <v>0</v>
      </c>
      <c r="BA48" s="262"/>
      <c r="BB48" s="233"/>
      <c r="BC48" s="106"/>
      <c r="BD48" s="64"/>
      <c r="BF48" s="262"/>
      <c r="BG48" s="106"/>
      <c r="BH48" s="157"/>
      <c r="BI48" s="64"/>
    </row>
    <row r="49" spans="1:61" x14ac:dyDescent="0.35">
      <c r="A49" s="9168"/>
      <c r="B49" s="240"/>
      <c r="C49" s="240" t="s">
        <v>536</v>
      </c>
      <c r="D49" s="197"/>
      <c r="F49" s="155"/>
      <c r="H49" s="117"/>
      <c r="I49" s="115"/>
      <c r="J49" s="64">
        <f t="shared" si="45"/>
        <v>0</v>
      </c>
      <c r="L49" s="595"/>
      <c r="M49" s="1352">
        <f t="shared" si="46"/>
        <v>0</v>
      </c>
      <c r="N49" s="1423"/>
      <c r="O49" s="117"/>
      <c r="P49" s="201"/>
      <c r="Q49" s="106"/>
      <c r="R49" s="64">
        <f t="shared" si="47"/>
        <v>0</v>
      </c>
      <c r="T49" s="262"/>
      <c r="U49" s="106"/>
      <c r="V49" s="157">
        <f t="shared" si="48"/>
        <v>0</v>
      </c>
      <c r="X49" s="117"/>
      <c r="Y49" s="201"/>
      <c r="Z49" s="106"/>
      <c r="AA49" s="64">
        <f t="shared" si="49"/>
        <v>0</v>
      </c>
      <c r="AC49" s="262"/>
      <c r="AD49" s="106"/>
      <c r="AE49" s="157">
        <f t="shared" si="50"/>
        <v>0</v>
      </c>
      <c r="AG49" s="262"/>
      <c r="AH49" s="201"/>
      <c r="AI49" s="106"/>
      <c r="AJ49" s="64">
        <f t="shared" si="51"/>
        <v>0</v>
      </c>
      <c r="AL49" s="262"/>
      <c r="AM49" s="106"/>
      <c r="AN49" s="157">
        <f t="shared" si="52"/>
        <v>0</v>
      </c>
      <c r="AP49" s="26"/>
      <c r="AR49" s="262"/>
      <c r="AS49" s="201"/>
      <c r="AT49" s="106"/>
      <c r="AU49" s="476">
        <f t="shared" si="53"/>
        <v>0</v>
      </c>
      <c r="AW49" s="262"/>
      <c r="AX49" s="106"/>
      <c r="AY49" s="157">
        <f t="shared" si="54"/>
        <v>0</v>
      </c>
      <c r="BA49" s="262"/>
      <c r="BB49" s="201"/>
      <c r="BC49" s="106"/>
      <c r="BD49" s="64"/>
      <c r="BF49" s="262"/>
      <c r="BG49" s="106"/>
      <c r="BH49" s="157"/>
      <c r="BI49" s="64"/>
    </row>
    <row r="50" spans="1:61" x14ac:dyDescent="0.35">
      <c r="A50" s="9168"/>
      <c r="B50" s="240"/>
      <c r="C50" s="240" t="s">
        <v>537</v>
      </c>
      <c r="D50" s="197"/>
      <c r="F50" s="155"/>
      <c r="H50" s="117"/>
      <c r="I50" s="115"/>
      <c r="J50" s="64">
        <f t="shared" si="45"/>
        <v>0</v>
      </c>
      <c r="L50" s="595"/>
      <c r="M50" s="1352">
        <f t="shared" si="46"/>
        <v>0</v>
      </c>
      <c r="N50" s="1423"/>
      <c r="O50" s="242"/>
      <c r="P50" s="244"/>
      <c r="Q50" s="106"/>
      <c r="R50" s="64">
        <f t="shared" si="47"/>
        <v>0</v>
      </c>
      <c r="T50" s="262"/>
      <c r="U50" s="106"/>
      <c r="V50" s="157">
        <f t="shared" si="48"/>
        <v>0</v>
      </c>
      <c r="X50" s="242"/>
      <c r="Y50" s="244"/>
      <c r="Z50" s="106"/>
      <c r="AA50" s="64">
        <f t="shared" si="49"/>
        <v>0</v>
      </c>
      <c r="AC50" s="262"/>
      <c r="AD50" s="106"/>
      <c r="AE50" s="157">
        <f t="shared" si="50"/>
        <v>0</v>
      </c>
      <c r="AG50" s="262"/>
      <c r="AH50" s="244"/>
      <c r="AI50" s="106"/>
      <c r="AJ50" s="64">
        <f t="shared" si="51"/>
        <v>0</v>
      </c>
      <c r="AL50" s="262"/>
      <c r="AM50" s="106"/>
      <c r="AN50" s="157">
        <f t="shared" si="52"/>
        <v>0</v>
      </c>
      <c r="AP50" s="26"/>
      <c r="AR50" s="262"/>
      <c r="AS50" s="244"/>
      <c r="AT50" s="106"/>
      <c r="AU50" s="476">
        <f t="shared" si="53"/>
        <v>0</v>
      </c>
      <c r="AW50" s="262"/>
      <c r="AX50" s="106"/>
      <c r="AY50" s="157">
        <f t="shared" si="54"/>
        <v>0</v>
      </c>
      <c r="BA50" s="262"/>
      <c r="BB50" s="244"/>
      <c r="BC50" s="106"/>
      <c r="BD50" s="64"/>
      <c r="BF50" s="262"/>
      <c r="BG50" s="106"/>
      <c r="BH50" s="157"/>
      <c r="BI50" s="64"/>
    </row>
    <row r="51" spans="1:61" x14ac:dyDescent="0.35">
      <c r="A51" s="9168"/>
      <c r="B51" s="240"/>
      <c r="C51" s="240" t="s">
        <v>538</v>
      </c>
      <c r="D51" s="197"/>
      <c r="F51" s="155"/>
      <c r="H51" s="117"/>
      <c r="I51" s="115"/>
      <c r="J51" s="64">
        <f t="shared" si="45"/>
        <v>0</v>
      </c>
      <c r="L51" s="595"/>
      <c r="M51" s="1352">
        <f t="shared" si="46"/>
        <v>0</v>
      </c>
      <c r="N51" s="1423"/>
      <c r="O51" s="242"/>
      <c r="P51" s="244"/>
      <c r="Q51" s="106"/>
      <c r="R51" s="64">
        <f t="shared" si="47"/>
        <v>0</v>
      </c>
      <c r="T51" s="262"/>
      <c r="U51" s="106"/>
      <c r="V51" s="157">
        <f t="shared" si="48"/>
        <v>0</v>
      </c>
      <c r="X51" s="242"/>
      <c r="Y51" s="244"/>
      <c r="Z51" s="106"/>
      <c r="AA51" s="64">
        <f t="shared" si="49"/>
        <v>0</v>
      </c>
      <c r="AC51" s="262"/>
      <c r="AD51" s="106"/>
      <c r="AE51" s="157">
        <f t="shared" si="50"/>
        <v>0</v>
      </c>
      <c r="AG51" s="262"/>
      <c r="AH51" s="244"/>
      <c r="AI51" s="106"/>
      <c r="AJ51" s="64">
        <f t="shared" si="51"/>
        <v>0</v>
      </c>
      <c r="AL51" s="262"/>
      <c r="AM51" s="106"/>
      <c r="AN51" s="157">
        <f t="shared" si="52"/>
        <v>0</v>
      </c>
      <c r="AP51" s="26"/>
      <c r="AR51" s="262"/>
      <c r="AS51" s="244"/>
      <c r="AT51" s="106"/>
      <c r="AU51" s="476">
        <f t="shared" si="53"/>
        <v>0</v>
      </c>
      <c r="AW51" s="262"/>
      <c r="AX51" s="106"/>
      <c r="AY51" s="157">
        <f t="shared" si="54"/>
        <v>0</v>
      </c>
      <c r="BA51" s="262"/>
      <c r="BB51" s="244"/>
      <c r="BC51" s="106"/>
      <c r="BD51" s="64"/>
      <c r="BF51" s="262"/>
      <c r="BG51" s="106"/>
      <c r="BH51" s="157"/>
      <c r="BI51" s="64"/>
    </row>
    <row r="52" spans="1:61" x14ac:dyDescent="0.35">
      <c r="A52" s="9168"/>
      <c r="B52" s="241"/>
      <c r="C52" s="241" t="s">
        <v>539</v>
      </c>
      <c r="D52" s="209"/>
      <c r="F52" s="130"/>
      <c r="H52" s="131"/>
      <c r="I52" s="132"/>
      <c r="J52" s="133">
        <f t="shared" si="45"/>
        <v>0</v>
      </c>
      <c r="L52" s="1172"/>
      <c r="M52" s="1352">
        <f t="shared" si="46"/>
        <v>0</v>
      </c>
      <c r="N52" s="1423"/>
      <c r="O52" s="131"/>
      <c r="P52" s="132"/>
      <c r="Q52" s="216"/>
      <c r="R52" s="133">
        <f>IF(O52=0,0,P52/O52)</f>
        <v>0</v>
      </c>
      <c r="T52" s="242"/>
      <c r="U52" s="216"/>
      <c r="V52" s="157">
        <f>T52*R52</f>
        <v>0</v>
      </c>
      <c r="X52" s="131"/>
      <c r="Y52" s="132"/>
      <c r="Z52" s="216"/>
      <c r="AA52" s="133">
        <f>IF(X52=0,0,Y52/X52)</f>
        <v>0</v>
      </c>
      <c r="AC52" s="242"/>
      <c r="AD52" s="216"/>
      <c r="AE52" s="157">
        <f>AC52*AA52</f>
        <v>0</v>
      </c>
      <c r="AG52" s="242"/>
      <c r="AH52" s="132"/>
      <c r="AI52" s="216"/>
      <c r="AJ52" s="133">
        <f>IF(AG52=0,0,AH52/AG52)</f>
        <v>0</v>
      </c>
      <c r="AL52" s="242"/>
      <c r="AM52" s="216"/>
      <c r="AN52" s="157">
        <f>AL52*AJ52</f>
        <v>0</v>
      </c>
      <c r="AP52" s="26"/>
      <c r="AR52" s="242"/>
      <c r="AS52" s="132"/>
      <c r="AT52" s="216"/>
      <c r="AU52" s="484">
        <f>IF(AR52=0,0,AS52/AR52)</f>
        <v>0</v>
      </c>
      <c r="AW52" s="242"/>
      <c r="AX52" s="216"/>
      <c r="AY52" s="157">
        <f>AW52*AU52</f>
        <v>0</v>
      </c>
      <c r="BA52" s="242"/>
      <c r="BB52" s="132"/>
      <c r="BC52" s="216"/>
      <c r="BD52" s="133"/>
      <c r="BF52" s="242"/>
      <c r="BG52" s="216"/>
      <c r="BH52" s="157"/>
      <c r="BI52" s="133"/>
    </row>
    <row r="53" spans="1:61" x14ac:dyDescent="0.35">
      <c r="A53" s="9168"/>
      <c r="B53" s="271" t="s">
        <v>540</v>
      </c>
      <c r="C53" s="271"/>
      <c r="D53" s="184"/>
      <c r="E53" s="141"/>
      <c r="F53" s="227"/>
      <c r="G53" s="141"/>
      <c r="H53" s="245"/>
      <c r="I53" s="106"/>
      <c r="J53" s="267"/>
      <c r="K53" s="141"/>
      <c r="L53" s="102"/>
      <c r="M53" s="268"/>
      <c r="N53" s="254"/>
      <c r="O53" s="245"/>
      <c r="P53" s="106"/>
      <c r="Q53" s="106"/>
      <c r="R53" s="267"/>
      <c r="S53" s="141"/>
      <c r="T53" s="102"/>
      <c r="U53" s="106"/>
      <c r="V53" s="268"/>
      <c r="W53" s="141"/>
      <c r="X53" s="245"/>
      <c r="Y53" s="106"/>
      <c r="Z53" s="106"/>
      <c r="AA53" s="267"/>
      <c r="AB53" s="141"/>
      <c r="AC53" s="102"/>
      <c r="AD53" s="106"/>
      <c r="AE53" s="268"/>
      <c r="AF53" s="141"/>
      <c r="AG53" s="102"/>
      <c r="AH53" s="106"/>
      <c r="AI53" s="106"/>
      <c r="AJ53" s="267"/>
      <c r="AK53" s="141"/>
      <c r="AL53" s="102"/>
      <c r="AM53" s="106"/>
      <c r="AN53" s="268"/>
      <c r="AO53" s="141"/>
      <c r="AP53" s="18"/>
      <c r="AR53" s="102"/>
      <c r="AS53" s="106"/>
      <c r="AT53" s="106"/>
      <c r="AU53" s="518"/>
      <c r="AV53" s="141"/>
      <c r="AW53" s="102"/>
      <c r="AX53" s="106"/>
      <c r="AY53" s="268"/>
      <c r="BA53" s="102"/>
      <c r="BB53" s="106"/>
      <c r="BC53" s="106"/>
      <c r="BD53" s="267"/>
      <c r="BE53" s="141"/>
      <c r="BF53" s="102"/>
      <c r="BG53" s="106"/>
      <c r="BH53" s="268"/>
      <c r="BI53" s="267"/>
    </row>
    <row r="54" spans="1:61" x14ac:dyDescent="0.35">
      <c r="A54" s="9168"/>
      <c r="B54" s="240"/>
      <c r="C54" s="240" t="s">
        <v>532</v>
      </c>
      <c r="D54" s="197">
        <v>6</v>
      </c>
      <c r="F54" s="111"/>
      <c r="H54" s="112"/>
      <c r="I54" s="113"/>
      <c r="J54" s="64">
        <f>IF(H54=0,0,I54/H54)</f>
        <v>0</v>
      </c>
      <c r="L54" s="112"/>
      <c r="M54" s="157">
        <f>L54*J54</f>
        <v>0</v>
      </c>
      <c r="N54" s="312"/>
      <c r="O54" s="112"/>
      <c r="P54" s="233"/>
      <c r="Q54" s="106"/>
      <c r="R54" s="64">
        <f t="shared" ref="R54:R61" si="55">IF(O54=0,0,P54/O54)</f>
        <v>0</v>
      </c>
      <c r="T54" s="112"/>
      <c r="U54" s="106" t="s">
        <v>3984</v>
      </c>
      <c r="V54" s="157">
        <f t="shared" ref="V54:V61" si="56">T54*R54</f>
        <v>0</v>
      </c>
      <c r="X54" s="112"/>
      <c r="Y54" s="233"/>
      <c r="Z54" s="106"/>
      <c r="AA54" s="64">
        <f t="shared" ref="AA54:AA61" si="57">IF(X54=0,0,Y54/X54)</f>
        <v>0</v>
      </c>
      <c r="AC54" s="112"/>
      <c r="AD54" s="106"/>
      <c r="AE54" s="157">
        <f t="shared" ref="AE54:AE61" si="58">AC54*AA54</f>
        <v>0</v>
      </c>
      <c r="AG54" s="112"/>
      <c r="AH54" s="233"/>
      <c r="AI54" s="106"/>
      <c r="AJ54" s="64">
        <f t="shared" ref="AJ54:AJ61" si="59">IF(AG54=0,0,AH54/AG54)</f>
        <v>0</v>
      </c>
      <c r="AL54" s="112"/>
      <c r="AM54" s="106"/>
      <c r="AN54" s="157">
        <f t="shared" ref="AN54:AN61" si="60">AL54*AJ54</f>
        <v>0</v>
      </c>
      <c r="AP54" s="26" t="s">
        <v>4175</v>
      </c>
      <c r="AR54" s="112"/>
      <c r="AS54" s="233"/>
      <c r="AT54" s="106"/>
      <c r="AU54" s="476">
        <f t="shared" ref="AU54:AU61" si="61">IF(AR54=0,0,AS54/AR54)</f>
        <v>0</v>
      </c>
      <c r="AW54" s="112"/>
      <c r="AX54" s="106"/>
      <c r="AY54" s="157">
        <f t="shared" ref="AY54:AY61" si="62">AW54*AU54</f>
        <v>0</v>
      </c>
      <c r="BA54" s="112"/>
      <c r="BB54" s="233"/>
      <c r="BC54" s="106"/>
      <c r="BD54" s="64"/>
      <c r="BF54" s="112"/>
      <c r="BG54" s="106"/>
      <c r="BH54" s="157"/>
      <c r="BI54" s="64"/>
    </row>
    <row r="55" spans="1:61" x14ac:dyDescent="0.35">
      <c r="A55" s="9168"/>
      <c r="B55" s="240"/>
      <c r="C55" s="240" t="s">
        <v>533</v>
      </c>
      <c r="D55" s="197"/>
      <c r="F55" s="155"/>
      <c r="H55" s="117"/>
      <c r="I55" s="115"/>
      <c r="J55" s="64">
        <f>IF(H55=0,0,I55/H55)</f>
        <v>0</v>
      </c>
      <c r="L55" s="117"/>
      <c r="M55" s="157">
        <f>L55*J55</f>
        <v>0</v>
      </c>
      <c r="N55" s="312"/>
      <c r="O55" s="117"/>
      <c r="P55" s="201"/>
      <c r="Q55" s="106"/>
      <c r="R55" s="64">
        <f t="shared" si="55"/>
        <v>0</v>
      </c>
      <c r="T55" s="117"/>
      <c r="U55" s="106"/>
      <c r="V55" s="157">
        <f t="shared" si="56"/>
        <v>0</v>
      </c>
      <c r="X55" s="117"/>
      <c r="Y55" s="201"/>
      <c r="Z55" s="106"/>
      <c r="AA55" s="64">
        <f t="shared" si="57"/>
        <v>0</v>
      </c>
      <c r="AC55" s="117"/>
      <c r="AD55" s="106"/>
      <c r="AE55" s="157">
        <f t="shared" si="58"/>
        <v>0</v>
      </c>
      <c r="AG55" s="117"/>
      <c r="AH55" s="201"/>
      <c r="AI55" s="106"/>
      <c r="AJ55" s="64">
        <f t="shared" si="59"/>
        <v>0</v>
      </c>
      <c r="AL55" s="117"/>
      <c r="AM55" s="106"/>
      <c r="AN55" s="157">
        <f t="shared" si="60"/>
        <v>0</v>
      </c>
      <c r="AP55" s="26"/>
      <c r="AR55" s="117"/>
      <c r="AS55" s="201"/>
      <c r="AT55" s="106"/>
      <c r="AU55" s="476">
        <f t="shared" si="61"/>
        <v>0</v>
      </c>
      <c r="AW55" s="117"/>
      <c r="AX55" s="106"/>
      <c r="AY55" s="157">
        <f t="shared" si="62"/>
        <v>0</v>
      </c>
      <c r="BA55" s="117"/>
      <c r="BB55" s="201"/>
      <c r="BC55" s="106"/>
      <c r="BD55" s="64"/>
      <c r="BF55" s="117"/>
      <c r="BG55" s="106"/>
      <c r="BH55" s="157"/>
      <c r="BI55" s="64"/>
    </row>
    <row r="56" spans="1:61" x14ac:dyDescent="0.35">
      <c r="A56" s="9168"/>
      <c r="B56" s="240"/>
      <c r="C56" s="240" t="s">
        <v>534</v>
      </c>
      <c r="D56" s="197"/>
      <c r="F56" s="163"/>
      <c r="H56" s="242"/>
      <c r="I56" s="243"/>
      <c r="J56" s="64">
        <f>IF(H56=0,0,I56/H56)</f>
        <v>0</v>
      </c>
      <c r="L56" s="242"/>
      <c r="M56" s="157">
        <f>L56*J56</f>
        <v>0</v>
      </c>
      <c r="N56" s="312"/>
      <c r="O56" s="242"/>
      <c r="P56" s="233"/>
      <c r="Q56" s="106"/>
      <c r="R56" s="64">
        <f t="shared" si="55"/>
        <v>0</v>
      </c>
      <c r="T56" s="242"/>
      <c r="U56" s="106"/>
      <c r="V56" s="157">
        <f t="shared" si="56"/>
        <v>0</v>
      </c>
      <c r="X56" s="242"/>
      <c r="Y56" s="233"/>
      <c r="Z56" s="106"/>
      <c r="AA56" s="64">
        <f t="shared" si="57"/>
        <v>0</v>
      </c>
      <c r="AC56" s="242"/>
      <c r="AD56" s="106"/>
      <c r="AE56" s="157">
        <f t="shared" si="58"/>
        <v>0</v>
      </c>
      <c r="AG56" s="242"/>
      <c r="AH56" s="233"/>
      <c r="AI56" s="106"/>
      <c r="AJ56" s="64">
        <f t="shared" si="59"/>
        <v>0</v>
      </c>
      <c r="AL56" s="242"/>
      <c r="AM56" s="106"/>
      <c r="AN56" s="157">
        <f t="shared" si="60"/>
        <v>0</v>
      </c>
      <c r="AP56" s="26"/>
      <c r="AR56" s="242"/>
      <c r="AS56" s="233"/>
      <c r="AT56" s="106"/>
      <c r="AU56" s="476">
        <f t="shared" si="61"/>
        <v>0</v>
      </c>
      <c r="AW56" s="242"/>
      <c r="AX56" s="106"/>
      <c r="AY56" s="157">
        <f t="shared" si="62"/>
        <v>0</v>
      </c>
      <c r="BA56" s="242"/>
      <c r="BB56" s="233"/>
      <c r="BC56" s="106"/>
      <c r="BD56" s="64"/>
      <c r="BF56" s="242"/>
      <c r="BG56" s="106"/>
      <c r="BH56" s="157"/>
      <c r="BI56" s="64"/>
    </row>
    <row r="57" spans="1:61" x14ac:dyDescent="0.35">
      <c r="A57" s="9168"/>
      <c r="B57" s="240"/>
      <c r="C57" s="240" t="s">
        <v>536</v>
      </c>
      <c r="D57" s="197"/>
      <c r="F57" s="163"/>
      <c r="H57" s="242"/>
      <c r="I57" s="243"/>
      <c r="J57" s="64">
        <f>IF(H57=0,0,I57/H57)</f>
        <v>0</v>
      </c>
      <c r="L57" s="242"/>
      <c r="M57" s="157">
        <f>L57*J57</f>
        <v>0</v>
      </c>
      <c r="N57" s="312"/>
      <c r="O57" s="242"/>
      <c r="P57" s="201"/>
      <c r="Q57" s="106"/>
      <c r="R57" s="64">
        <f t="shared" si="55"/>
        <v>0</v>
      </c>
      <c r="T57" s="242"/>
      <c r="U57" s="106"/>
      <c r="V57" s="157">
        <f t="shared" si="56"/>
        <v>0</v>
      </c>
      <c r="X57" s="242"/>
      <c r="Y57" s="201"/>
      <c r="Z57" s="106"/>
      <c r="AA57" s="64">
        <f t="shared" si="57"/>
        <v>0</v>
      </c>
      <c r="AC57" s="242"/>
      <c r="AD57" s="106"/>
      <c r="AE57" s="157">
        <f t="shared" si="58"/>
        <v>0</v>
      </c>
      <c r="AG57" s="242"/>
      <c r="AH57" s="201"/>
      <c r="AI57" s="106"/>
      <c r="AJ57" s="64">
        <f t="shared" si="59"/>
        <v>0</v>
      </c>
      <c r="AL57" s="242"/>
      <c r="AM57" s="106"/>
      <c r="AN57" s="157">
        <f t="shared" si="60"/>
        <v>0</v>
      </c>
      <c r="AP57" s="26"/>
      <c r="AR57" s="242"/>
      <c r="AS57" s="201"/>
      <c r="AT57" s="106"/>
      <c r="AU57" s="476">
        <f t="shared" si="61"/>
        <v>0</v>
      </c>
      <c r="AW57" s="242"/>
      <c r="AX57" s="106"/>
      <c r="AY57" s="157">
        <f t="shared" si="62"/>
        <v>0</v>
      </c>
      <c r="BA57" s="242"/>
      <c r="BB57" s="201"/>
      <c r="BC57" s="106"/>
      <c r="BD57" s="64"/>
      <c r="BF57" s="242"/>
      <c r="BG57" s="106"/>
      <c r="BH57" s="157"/>
      <c r="BI57" s="64"/>
    </row>
    <row r="58" spans="1:61" x14ac:dyDescent="0.35">
      <c r="A58" s="9168"/>
      <c r="B58" s="240"/>
      <c r="C58" s="240" t="s">
        <v>537</v>
      </c>
      <c r="D58" s="197"/>
      <c r="F58" s="163"/>
      <c r="H58" s="242"/>
      <c r="I58" s="243"/>
      <c r="J58" s="64">
        <f>IF(H58=0,0,I58/H58)</f>
        <v>0</v>
      </c>
      <c r="L58" s="242"/>
      <c r="M58" s="157">
        <f>L58*J58</f>
        <v>0</v>
      </c>
      <c r="N58" s="312"/>
      <c r="O58" s="242"/>
      <c r="P58" s="233"/>
      <c r="Q58" s="106"/>
      <c r="R58" s="64">
        <f t="shared" si="55"/>
        <v>0</v>
      </c>
      <c r="T58" s="242"/>
      <c r="U58" s="106"/>
      <c r="V58" s="157">
        <f t="shared" si="56"/>
        <v>0</v>
      </c>
      <c r="X58" s="242"/>
      <c r="Y58" s="233"/>
      <c r="Z58" s="106"/>
      <c r="AA58" s="64">
        <f t="shared" si="57"/>
        <v>0</v>
      </c>
      <c r="AC58" s="242"/>
      <c r="AD58" s="106"/>
      <c r="AE58" s="157">
        <f t="shared" si="58"/>
        <v>0</v>
      </c>
      <c r="AG58" s="242"/>
      <c r="AH58" s="233"/>
      <c r="AI58" s="106"/>
      <c r="AJ58" s="64">
        <f t="shared" si="59"/>
        <v>0</v>
      </c>
      <c r="AL58" s="242"/>
      <c r="AM58" s="106"/>
      <c r="AN58" s="157">
        <f t="shared" si="60"/>
        <v>0</v>
      </c>
      <c r="AP58" s="26"/>
      <c r="AR58" s="242"/>
      <c r="AS58" s="233"/>
      <c r="AT58" s="106"/>
      <c r="AU58" s="476">
        <f t="shared" si="61"/>
        <v>0</v>
      </c>
      <c r="AW58" s="242"/>
      <c r="AX58" s="106"/>
      <c r="AY58" s="157">
        <f t="shared" si="62"/>
        <v>0</v>
      </c>
      <c r="BA58" s="242"/>
      <c r="BB58" s="233"/>
      <c r="BC58" s="106"/>
      <c r="BD58" s="64"/>
      <c r="BF58" s="242"/>
      <c r="BG58" s="106"/>
      <c r="BH58" s="157"/>
      <c r="BI58" s="64"/>
    </row>
    <row r="59" spans="1:61" x14ac:dyDescent="0.35">
      <c r="A59" s="9168"/>
      <c r="B59" s="240"/>
      <c r="C59" s="240" t="s">
        <v>538</v>
      </c>
      <c r="D59" s="197"/>
      <c r="F59" s="163"/>
      <c r="H59" s="242"/>
      <c r="I59" s="243"/>
      <c r="J59" s="64"/>
      <c r="L59" s="242"/>
      <c r="M59" s="157"/>
      <c r="N59" s="312"/>
      <c r="O59" s="242"/>
      <c r="P59" s="201"/>
      <c r="Q59" s="106"/>
      <c r="R59" s="64">
        <f t="shared" si="55"/>
        <v>0</v>
      </c>
      <c r="T59" s="242"/>
      <c r="U59" s="106"/>
      <c r="V59" s="157">
        <f t="shared" si="56"/>
        <v>0</v>
      </c>
      <c r="X59" s="242"/>
      <c r="Y59" s="201"/>
      <c r="Z59" s="106"/>
      <c r="AA59" s="64">
        <f t="shared" si="57"/>
        <v>0</v>
      </c>
      <c r="AC59" s="242"/>
      <c r="AD59" s="106"/>
      <c r="AE59" s="157">
        <f t="shared" si="58"/>
        <v>0</v>
      </c>
      <c r="AG59" s="242"/>
      <c r="AH59" s="201"/>
      <c r="AI59" s="106"/>
      <c r="AJ59" s="64">
        <f t="shared" si="59"/>
        <v>0</v>
      </c>
      <c r="AL59" s="242"/>
      <c r="AM59" s="106"/>
      <c r="AN59" s="157">
        <f t="shared" si="60"/>
        <v>0</v>
      </c>
      <c r="AP59" s="26"/>
      <c r="AR59" s="242"/>
      <c r="AS59" s="201"/>
      <c r="AT59" s="106"/>
      <c r="AU59" s="476">
        <f t="shared" si="61"/>
        <v>0</v>
      </c>
      <c r="AW59" s="242"/>
      <c r="AX59" s="106"/>
      <c r="AY59" s="157">
        <f t="shared" si="62"/>
        <v>0</v>
      </c>
      <c r="BA59" s="242"/>
      <c r="BB59" s="201"/>
      <c r="BC59" s="106"/>
      <c r="BD59" s="64"/>
      <c r="BF59" s="242"/>
      <c r="BG59" s="106"/>
      <c r="BH59" s="157"/>
      <c r="BI59" s="64"/>
    </row>
    <row r="60" spans="1:61" x14ac:dyDescent="0.35">
      <c r="A60" s="9168"/>
      <c r="B60" s="240"/>
      <c r="C60" s="240" t="s">
        <v>539</v>
      </c>
      <c r="D60" s="197"/>
      <c r="F60" s="163"/>
      <c r="H60" s="242"/>
      <c r="I60" s="243"/>
      <c r="J60" s="64">
        <f>IF(H60=0,0,I60/H60)</f>
        <v>0</v>
      </c>
      <c r="L60" s="242"/>
      <c r="M60" s="157">
        <f>L60*J60</f>
        <v>0</v>
      </c>
      <c r="N60" s="312"/>
      <c r="O60" s="242"/>
      <c r="P60" s="201"/>
      <c r="Q60" s="106"/>
      <c r="R60" s="64">
        <f t="shared" si="55"/>
        <v>0</v>
      </c>
      <c r="T60" s="242"/>
      <c r="U60" s="106"/>
      <c r="V60" s="157">
        <f t="shared" si="56"/>
        <v>0</v>
      </c>
      <c r="X60" s="242"/>
      <c r="Y60" s="201"/>
      <c r="Z60" s="106"/>
      <c r="AA60" s="64">
        <f t="shared" si="57"/>
        <v>0</v>
      </c>
      <c r="AC60" s="242"/>
      <c r="AD60" s="106"/>
      <c r="AE60" s="157">
        <f t="shared" si="58"/>
        <v>0</v>
      </c>
      <c r="AG60" s="242"/>
      <c r="AH60" s="201"/>
      <c r="AI60" s="106"/>
      <c r="AJ60" s="64">
        <f t="shared" si="59"/>
        <v>0</v>
      </c>
      <c r="AL60" s="242"/>
      <c r="AM60" s="106"/>
      <c r="AN60" s="157">
        <f t="shared" si="60"/>
        <v>0</v>
      </c>
      <c r="AP60" s="26"/>
      <c r="AR60" s="242"/>
      <c r="AS60" s="201"/>
      <c r="AT60" s="106"/>
      <c r="AU60" s="476">
        <f t="shared" si="61"/>
        <v>0</v>
      </c>
      <c r="AW60" s="242"/>
      <c r="AX60" s="106"/>
      <c r="AY60" s="157">
        <f t="shared" si="62"/>
        <v>0</v>
      </c>
      <c r="BA60" s="242"/>
      <c r="BB60" s="201"/>
      <c r="BC60" s="106"/>
      <c r="BD60" s="64"/>
      <c r="BF60" s="242"/>
      <c r="BG60" s="106"/>
      <c r="BH60" s="157"/>
      <c r="BI60" s="64"/>
    </row>
    <row r="61" spans="1:61" x14ac:dyDescent="0.35">
      <c r="A61" s="9168"/>
      <c r="B61" s="250"/>
      <c r="C61" s="250" t="s">
        <v>704</v>
      </c>
      <c r="D61" s="209"/>
      <c r="F61" s="130"/>
      <c r="H61" s="242"/>
      <c r="I61" s="243"/>
      <c r="J61" s="64">
        <f>IF(H61=0,0,I61/H61)</f>
        <v>0</v>
      </c>
      <c r="L61" s="242"/>
      <c r="M61" s="157">
        <f>L61*J61</f>
        <v>0</v>
      </c>
      <c r="N61" s="312"/>
      <c r="O61" s="242"/>
      <c r="P61" s="201"/>
      <c r="Q61" s="216"/>
      <c r="R61" s="64">
        <f t="shared" si="55"/>
        <v>0</v>
      </c>
      <c r="T61" s="242"/>
      <c r="U61" s="216"/>
      <c r="V61" s="157">
        <f t="shared" si="56"/>
        <v>0</v>
      </c>
      <c r="X61" s="242"/>
      <c r="Y61" s="201"/>
      <c r="Z61" s="216"/>
      <c r="AA61" s="64">
        <f t="shared" si="57"/>
        <v>0</v>
      </c>
      <c r="AC61" s="242"/>
      <c r="AD61" s="216"/>
      <c r="AE61" s="157">
        <f t="shared" si="58"/>
        <v>0</v>
      </c>
      <c r="AG61" s="242"/>
      <c r="AH61" s="201"/>
      <c r="AI61" s="216"/>
      <c r="AJ61" s="64">
        <f t="shared" si="59"/>
        <v>0</v>
      </c>
      <c r="AL61" s="242"/>
      <c r="AM61" s="216"/>
      <c r="AN61" s="157">
        <f t="shared" si="60"/>
        <v>0</v>
      </c>
      <c r="AP61" s="24"/>
      <c r="AR61" s="242"/>
      <c r="AS61" s="201"/>
      <c r="AT61" s="216"/>
      <c r="AU61" s="476">
        <f t="shared" si="61"/>
        <v>0</v>
      </c>
      <c r="AW61" s="242"/>
      <c r="AX61" s="216"/>
      <c r="AY61" s="157">
        <f t="shared" si="62"/>
        <v>0</v>
      </c>
      <c r="BA61" s="242"/>
      <c r="BB61" s="201"/>
      <c r="BC61" s="216"/>
      <c r="BD61" s="64"/>
      <c r="BF61" s="242"/>
      <c r="BG61" s="216"/>
      <c r="BH61" s="157"/>
      <c r="BI61" s="64"/>
    </row>
    <row r="62" spans="1:61" x14ac:dyDescent="0.35">
      <c r="A62" s="9168"/>
      <c r="B62" s="271" t="s">
        <v>552</v>
      </c>
      <c r="C62" s="271"/>
      <c r="D62" s="184"/>
      <c r="E62" s="143"/>
      <c r="F62" s="227"/>
      <c r="G62" s="143"/>
      <c r="H62" s="102"/>
      <c r="I62" s="103"/>
      <c r="J62" s="228"/>
      <c r="K62" s="143"/>
      <c r="L62" s="102"/>
      <c r="M62" s="268"/>
      <c r="N62" s="254"/>
      <c r="O62" s="102"/>
      <c r="P62" s="103"/>
      <c r="Q62" s="106"/>
      <c r="R62" s="228"/>
      <c r="S62" s="143"/>
      <c r="T62" s="102"/>
      <c r="U62" s="106"/>
      <c r="V62" s="268"/>
      <c r="W62" s="143"/>
      <c r="X62" s="102"/>
      <c r="Y62" s="103"/>
      <c r="Z62" s="106"/>
      <c r="AA62" s="228"/>
      <c r="AB62" s="143"/>
      <c r="AC62" s="102"/>
      <c r="AD62" s="106"/>
      <c r="AE62" s="268"/>
      <c r="AF62" s="143"/>
      <c r="AG62" s="102"/>
      <c r="AH62" s="103"/>
      <c r="AI62" s="106"/>
      <c r="AJ62" s="228"/>
      <c r="AK62" s="143"/>
      <c r="AL62" s="102"/>
      <c r="AM62" s="106"/>
      <c r="AN62" s="268"/>
      <c r="AO62" s="143"/>
      <c r="AP62" s="18"/>
      <c r="AR62" s="102"/>
      <c r="AS62" s="103"/>
      <c r="AT62" s="106"/>
      <c r="AU62" s="228"/>
      <c r="AV62" s="143"/>
      <c r="AW62" s="102"/>
      <c r="AX62" s="106"/>
      <c r="AY62" s="268"/>
      <c r="BA62" s="102"/>
      <c r="BB62" s="103"/>
      <c r="BC62" s="106"/>
      <c r="BD62" s="228"/>
      <c r="BE62" s="143"/>
      <c r="BF62" s="102"/>
      <c r="BG62" s="106"/>
      <c r="BH62" s="268"/>
      <c r="BI62" s="228"/>
    </row>
    <row r="63" spans="1:61" x14ac:dyDescent="0.35">
      <c r="A63" s="9168"/>
      <c r="B63" s="272"/>
      <c r="C63" s="272" t="s">
        <v>980</v>
      </c>
      <c r="D63" s="197"/>
      <c r="F63" s="155"/>
      <c r="H63" s="117"/>
      <c r="I63" s="115"/>
      <c r="J63" s="64">
        <f>IF(H63=0,0,I63/H63)</f>
        <v>0</v>
      </c>
      <c r="L63" s="117"/>
      <c r="M63" s="157">
        <f>M31*M65</f>
        <v>0</v>
      </c>
      <c r="N63" s="312"/>
      <c r="O63" s="117"/>
      <c r="P63" s="201"/>
      <c r="Q63" s="106"/>
      <c r="R63" s="64">
        <f>IF(O63=0,0,P63/O63)</f>
        <v>0</v>
      </c>
      <c r="T63" s="117"/>
      <c r="V63" s="157"/>
      <c r="X63" s="117"/>
      <c r="Y63" s="201"/>
      <c r="Z63" s="106"/>
      <c r="AA63" s="64">
        <f>IF(X63=0,0,Y63/X63)</f>
        <v>0</v>
      </c>
      <c r="AC63" s="117"/>
      <c r="AE63" s="157"/>
      <c r="AG63" s="117"/>
      <c r="AH63" s="201"/>
      <c r="AI63" s="106"/>
      <c r="AJ63" s="64">
        <f>IF(AG63=0,0,AH63/AG63)</f>
        <v>0</v>
      </c>
      <c r="AL63" s="117"/>
      <c r="AN63" s="157"/>
      <c r="AP63" s="26"/>
      <c r="AR63" s="117"/>
      <c r="AS63" s="201"/>
      <c r="AT63" s="106"/>
      <c r="AU63" s="476">
        <f>IF(AR63=0,0,AS63/AR63)</f>
        <v>0</v>
      </c>
      <c r="AW63" s="117"/>
      <c r="AY63" s="157"/>
      <c r="BA63" s="117"/>
      <c r="BB63" s="201"/>
      <c r="BC63" s="106"/>
      <c r="BD63" s="64"/>
      <c r="BF63" s="117"/>
      <c r="BH63" s="157"/>
      <c r="BI63" s="64"/>
    </row>
    <row r="64" spans="1:61" x14ac:dyDescent="0.35">
      <c r="A64" s="9168"/>
      <c r="B64" s="274"/>
      <c r="C64" s="274"/>
      <c r="D64" s="197"/>
      <c r="F64" s="163"/>
      <c r="H64" s="242"/>
      <c r="I64" s="243"/>
      <c r="J64" s="64"/>
      <c r="L64" s="242"/>
      <c r="M64" s="157"/>
      <c r="N64" s="312"/>
      <c r="O64" s="117"/>
      <c r="P64" s="201"/>
      <c r="Q64" s="106"/>
      <c r="R64" s="64">
        <f t="shared" ref="R64" si="63">IF(O64=0,0,P64/O64)</f>
        <v>0</v>
      </c>
      <c r="T64" s="117"/>
      <c r="U64" s="106"/>
      <c r="V64" s="157">
        <f t="shared" ref="V64" si="64">T64*R64</f>
        <v>0</v>
      </c>
      <c r="X64" s="117"/>
      <c r="Y64" s="201"/>
      <c r="Z64" s="106"/>
      <c r="AA64" s="64">
        <f t="shared" ref="AA64" si="65">IF(X64=0,0,Y64/X64)</f>
        <v>0</v>
      </c>
      <c r="AC64" s="117"/>
      <c r="AD64" s="106"/>
      <c r="AE64" s="157">
        <f t="shared" ref="AE64" si="66">AC64*AA64</f>
        <v>0</v>
      </c>
      <c r="AG64" s="117"/>
      <c r="AH64" s="201"/>
      <c r="AI64" s="106"/>
      <c r="AJ64" s="64">
        <f t="shared" ref="AJ64" si="67">IF(AG64=0,0,AH64/AG64)</f>
        <v>0</v>
      </c>
      <c r="AL64" s="117"/>
      <c r="AM64" s="106"/>
      <c r="AN64" s="157">
        <f t="shared" ref="AN64" si="68">AL64*AJ64</f>
        <v>0</v>
      </c>
      <c r="AP64" s="26"/>
      <c r="AR64" s="117"/>
      <c r="AS64" s="201"/>
      <c r="AT64" s="106"/>
      <c r="AU64" s="476">
        <f t="shared" ref="AU64" si="69">IF(AR64=0,0,AS64/AR64)</f>
        <v>0</v>
      </c>
      <c r="AW64" s="117"/>
      <c r="AX64" s="106"/>
      <c r="AY64" s="157">
        <f t="shared" ref="AY64" si="70">AW64*AU64</f>
        <v>0</v>
      </c>
      <c r="BA64" s="117"/>
      <c r="BB64" s="201"/>
      <c r="BC64" s="106"/>
      <c r="BD64" s="64"/>
      <c r="BF64" s="117"/>
      <c r="BG64" s="106"/>
      <c r="BH64" s="157"/>
      <c r="BI64" s="64"/>
    </row>
    <row r="65" spans="1:61" x14ac:dyDescent="0.35">
      <c r="A65" s="9168"/>
      <c r="B65" s="277"/>
      <c r="C65" s="277" t="s">
        <v>555</v>
      </c>
      <c r="D65" s="209"/>
      <c r="F65" s="665"/>
      <c r="G65" s="666"/>
      <c r="H65" s="283"/>
      <c r="I65" s="667"/>
      <c r="J65" s="133"/>
      <c r="L65" s="283"/>
      <c r="M65" s="668"/>
      <c r="N65" s="3655"/>
      <c r="O65" s="283"/>
      <c r="P65" s="201"/>
      <c r="Q65" s="284"/>
      <c r="R65" s="133"/>
      <c r="T65" s="283"/>
      <c r="U65" s="284"/>
      <c r="V65" s="668"/>
      <c r="X65" s="283"/>
      <c r="Y65" s="201"/>
      <c r="Z65" s="284"/>
      <c r="AA65" s="133"/>
      <c r="AC65" s="283"/>
      <c r="AD65" s="284"/>
      <c r="AE65" s="668"/>
      <c r="AG65" s="283"/>
      <c r="AH65" s="201"/>
      <c r="AI65" s="284"/>
      <c r="AJ65" s="133"/>
      <c r="AL65" s="283"/>
      <c r="AM65" s="284"/>
      <c r="AN65" s="668"/>
      <c r="AP65" s="24"/>
      <c r="AR65" s="283"/>
      <c r="AS65" s="201"/>
      <c r="AT65" s="3329"/>
      <c r="AU65" s="484"/>
      <c r="AW65" s="283"/>
      <c r="AX65" s="3329"/>
      <c r="AY65" s="668"/>
      <c r="BA65" s="283"/>
      <c r="BB65" s="201"/>
      <c r="BC65" s="284"/>
      <c r="BD65" s="133"/>
      <c r="BF65" s="283"/>
      <c r="BG65" s="284"/>
      <c r="BH65" s="668"/>
      <c r="BI65" s="133"/>
    </row>
    <row r="66" spans="1:61" ht="15.25" customHeight="1" x14ac:dyDescent="0.35">
      <c r="A66" s="9168"/>
      <c r="B66" s="287" t="s">
        <v>556</v>
      </c>
      <c r="C66" s="288"/>
      <c r="D66" s="184"/>
      <c r="E66" s="143"/>
      <c r="F66" s="289"/>
      <c r="G66" s="290"/>
      <c r="H66" s="291"/>
      <c r="I66" s="292"/>
      <c r="J66" s="293"/>
      <c r="L66" s="1990" t="s">
        <v>4176</v>
      </c>
      <c r="M66" s="268"/>
      <c r="N66" s="254"/>
      <c r="O66" s="291"/>
      <c r="P66" s="292"/>
      <c r="Q66" s="106"/>
      <c r="R66" s="293"/>
      <c r="T66" s="1388"/>
      <c r="U66" s="106"/>
      <c r="V66" s="3330"/>
      <c r="W66" s="143"/>
      <c r="X66" s="291"/>
      <c r="Y66" s="292"/>
      <c r="Z66" s="106"/>
      <c r="AA66" s="293"/>
      <c r="AC66" s="1388"/>
      <c r="AD66" s="106" t="s">
        <v>4156</v>
      </c>
      <c r="AE66" s="3330"/>
      <c r="AF66" s="143"/>
      <c r="AG66" s="1388"/>
      <c r="AH66" s="292"/>
      <c r="AI66" s="106"/>
      <c r="AJ66" s="293"/>
      <c r="AL66" s="1388"/>
      <c r="AM66" s="106"/>
      <c r="AN66" s="3330"/>
      <c r="AO66" s="143"/>
      <c r="AP66" s="18"/>
      <c r="AR66" s="2940"/>
      <c r="AS66" s="292"/>
      <c r="AT66" s="313"/>
      <c r="AU66" s="293"/>
      <c r="AW66" s="2940"/>
      <c r="AX66" s="313"/>
      <c r="AY66" s="3330"/>
      <c r="BA66" s="2940">
        <v>8458.3359999999993</v>
      </c>
      <c r="BB66" s="292">
        <v>6318.2579999999998</v>
      </c>
      <c r="BC66" s="313" t="s">
        <v>4168</v>
      </c>
      <c r="BD66" s="64">
        <f t="shared" ref="BD66" si="71">BB66/BA66</f>
        <v>0.74698593198473084</v>
      </c>
      <c r="BF66" s="2940">
        <v>6987.5450000000001</v>
      </c>
      <c r="BG66" s="313" t="s">
        <v>4169</v>
      </c>
      <c r="BH66" s="3330">
        <v>3574.357</v>
      </c>
      <c r="BI66" s="297">
        <f t="shared" ref="BI66" si="72">BH66/BF66</f>
        <v>0.51153259120334826</v>
      </c>
    </row>
    <row r="67" spans="1:61" x14ac:dyDescent="0.35">
      <c r="A67" s="9168"/>
      <c r="B67" s="302"/>
      <c r="C67" s="587" t="s">
        <v>4177</v>
      </c>
      <c r="D67" s="197"/>
      <c r="F67" s="521">
        <v>5418.6289999999999</v>
      </c>
      <c r="G67" s="272"/>
      <c r="H67" s="304">
        <v>7237.8136100000002</v>
      </c>
      <c r="I67" s="522">
        <v>4843.0119800000002</v>
      </c>
      <c r="J67" s="297">
        <f>IF(H67=0,0,I67/H67)</f>
        <v>0.66912637447705703</v>
      </c>
      <c r="L67" s="304">
        <f>7865.347</f>
        <v>7865.3469999999998</v>
      </c>
      <c r="M67" s="157">
        <f>2206.105*12/9</f>
        <v>2941.4733333333334</v>
      </c>
      <c r="N67" s="312"/>
      <c r="O67" s="1991">
        <v>5450.1809999999996</v>
      </c>
      <c r="P67" s="1992">
        <v>3749.4789999999998</v>
      </c>
      <c r="Q67" s="57" t="s">
        <v>4178</v>
      </c>
      <c r="R67" s="297">
        <f>IF(O67=0,0,P67/O67)</f>
        <v>0.68795495048696553</v>
      </c>
      <c r="T67" s="304"/>
      <c r="U67" s="332"/>
      <c r="V67" s="157">
        <f>T67</f>
        <v>0</v>
      </c>
      <c r="X67" s="1991">
        <v>6464.4589999999998</v>
      </c>
      <c r="Y67" s="1992">
        <v>4806.924</v>
      </c>
      <c r="Z67" s="57" t="s">
        <v>4179</v>
      </c>
      <c r="AA67" s="297">
        <f>IF(X67=0,0,Y67/X67)</f>
        <v>0.74359261927409548</v>
      </c>
      <c r="AC67" s="298">
        <v>7203.5</v>
      </c>
      <c r="AD67" s="57" t="s">
        <v>1849</v>
      </c>
      <c r="AE67" s="157">
        <f>AC67</f>
        <v>7203.5</v>
      </c>
      <c r="AG67" s="298">
        <v>9203.8889999999992</v>
      </c>
      <c r="AH67" s="3656">
        <f>3292.679*12/9</f>
        <v>4390.2386666666671</v>
      </c>
      <c r="AI67" s="57" t="s">
        <v>1848</v>
      </c>
      <c r="AJ67" s="297">
        <f>IF(AG67=0,0,AH67/AG67)</f>
        <v>0.47699821962940531</v>
      </c>
      <c r="AL67" s="298">
        <v>7180.1</v>
      </c>
      <c r="AM67" s="57" t="s">
        <v>4167</v>
      </c>
      <c r="AN67" s="157">
        <f>AL67</f>
        <v>7180.1</v>
      </c>
      <c r="AP67" s="26"/>
      <c r="AR67" s="298">
        <v>7180.1</v>
      </c>
      <c r="AS67" s="3656">
        <f>AR67*AJ67</f>
        <v>3424.8949167610931</v>
      </c>
      <c r="AT67" s="57" t="s">
        <v>4180</v>
      </c>
      <c r="AU67" s="523"/>
      <c r="AW67" s="298">
        <v>5467.5</v>
      </c>
      <c r="AX67" s="57" t="s">
        <v>4181</v>
      </c>
      <c r="AY67" s="157">
        <f>AW67*AJ67</f>
        <v>2607.9877658237733</v>
      </c>
      <c r="BA67" s="298"/>
      <c r="BB67" s="3656"/>
      <c r="BC67" s="57"/>
      <c r="BD67" s="297"/>
      <c r="BF67" s="298"/>
      <c r="BG67" s="57"/>
      <c r="BH67" s="157"/>
      <c r="BI67" s="297"/>
    </row>
    <row r="68" spans="1:61" x14ac:dyDescent="0.35">
      <c r="A68" s="9168"/>
      <c r="B68" s="302"/>
      <c r="C68" s="587" t="s">
        <v>4182</v>
      </c>
      <c r="D68" s="197"/>
      <c r="F68" s="61"/>
      <c r="G68" s="272"/>
      <c r="H68" s="62"/>
      <c r="I68" s="63"/>
      <c r="J68" s="297">
        <f>IF(H68=0,0,I68/H68)</f>
        <v>0</v>
      </c>
      <c r="L68" s="62"/>
      <c r="M68" s="157">
        <f>L68*J68</f>
        <v>0</v>
      </c>
      <c r="N68" s="312"/>
      <c r="O68" s="62"/>
      <c r="P68" s="303"/>
      <c r="Q68" s="57"/>
      <c r="R68" s="297">
        <f>IF(O68=0,0,P68/O68)</f>
        <v>0</v>
      </c>
      <c r="T68" s="304"/>
      <c r="U68" s="106"/>
      <c r="V68" s="157">
        <f>T68</f>
        <v>0</v>
      </c>
      <c r="X68" s="62"/>
      <c r="Y68" s="303"/>
      <c r="Z68" s="57"/>
      <c r="AA68" s="297">
        <f>IF(X68=0,0,Y68/X68)</f>
        <v>0</v>
      </c>
      <c r="AC68" s="304"/>
      <c r="AD68" s="106"/>
      <c r="AE68" s="157">
        <f>AC68</f>
        <v>0</v>
      </c>
      <c r="AG68" s="304"/>
      <c r="AH68" s="303"/>
      <c r="AI68" s="57"/>
      <c r="AJ68" s="297">
        <f>IF(AG68=0,0,AH68/AG68)</f>
        <v>0</v>
      </c>
      <c r="AL68" s="304"/>
      <c r="AM68" s="106"/>
      <c r="AN68" s="157">
        <f>AL68</f>
        <v>0</v>
      </c>
      <c r="AP68" s="26"/>
      <c r="AR68" s="304"/>
      <c r="AS68" s="303"/>
      <c r="AT68" s="57"/>
      <c r="AU68" s="523">
        <f>IF(AR68=0,0,AS68/AR68)</f>
        <v>0</v>
      </c>
      <c r="AW68" s="304"/>
      <c r="AX68" s="106"/>
      <c r="AY68" s="157">
        <f>AW68</f>
        <v>0</v>
      </c>
      <c r="BA68" s="304"/>
      <c r="BB68" s="303"/>
      <c r="BC68" s="57"/>
      <c r="BD68" s="297"/>
      <c r="BF68" s="304"/>
      <c r="BG68" s="106"/>
      <c r="BH68" s="157"/>
      <c r="BI68" s="297"/>
    </row>
    <row r="69" spans="1:61" x14ac:dyDescent="0.35">
      <c r="A69" s="9168"/>
      <c r="B69" s="305"/>
      <c r="C69" s="59" t="s">
        <v>534</v>
      </c>
      <c r="D69" s="197"/>
      <c r="F69" s="61"/>
      <c r="G69" s="272"/>
      <c r="H69" s="62"/>
      <c r="I69" s="63"/>
      <c r="J69" s="297">
        <f>IF(H69=0,0,I69/H69)</f>
        <v>0</v>
      </c>
      <c r="L69" s="62"/>
      <c r="M69" s="157">
        <f>L69*J69</f>
        <v>0</v>
      </c>
      <c r="N69" s="312"/>
      <c r="O69" s="62"/>
      <c r="P69" s="72"/>
      <c r="Q69" s="57"/>
      <c r="R69" s="297">
        <f>IF(O69=0,0,P69/O69)</f>
        <v>0</v>
      </c>
      <c r="T69" s="62"/>
      <c r="U69" s="106"/>
      <c r="V69" s="157">
        <f>T69*R69</f>
        <v>0</v>
      </c>
      <c r="X69" s="62"/>
      <c r="Y69" s="72"/>
      <c r="Z69" s="57"/>
      <c r="AA69" s="297">
        <f>IF(X69=0,0,Y69/X69)</f>
        <v>0</v>
      </c>
      <c r="AC69" s="62"/>
      <c r="AD69" s="106"/>
      <c r="AE69" s="157">
        <f>AC69*AA69</f>
        <v>0</v>
      </c>
      <c r="AG69" s="62"/>
      <c r="AH69" s="72"/>
      <c r="AI69" s="57"/>
      <c r="AJ69" s="297">
        <f>IF(AG69=0,0,AH69/AG69)</f>
        <v>0</v>
      </c>
      <c r="AL69" s="62"/>
      <c r="AM69" s="106"/>
      <c r="AN69" s="157">
        <f>AL69*AJ69</f>
        <v>0</v>
      </c>
      <c r="AP69" s="26"/>
      <c r="AR69" s="62"/>
      <c r="AS69" s="72"/>
      <c r="AT69" s="57"/>
      <c r="AU69" s="523">
        <f>IF(AR69=0,0,AS69/AR69)</f>
        <v>0</v>
      </c>
      <c r="AW69" s="62"/>
      <c r="AX69" s="106"/>
      <c r="AY69" s="157">
        <f>AW69*AU69</f>
        <v>0</v>
      </c>
      <c r="BA69" s="62"/>
      <c r="BB69" s="72"/>
      <c r="BC69" s="57"/>
      <c r="BD69" s="297"/>
      <c r="BF69" s="62"/>
      <c r="BG69" s="106"/>
      <c r="BH69" s="157"/>
      <c r="BI69" s="297"/>
    </row>
    <row r="70" spans="1:61" x14ac:dyDescent="0.35">
      <c r="A70" s="9169"/>
      <c r="B70" s="306"/>
      <c r="C70" s="86" t="s">
        <v>536</v>
      </c>
      <c r="D70" s="209"/>
      <c r="F70" s="88"/>
      <c r="G70" s="274"/>
      <c r="H70" s="89"/>
      <c r="I70" s="90"/>
      <c r="J70" s="307">
        <f>IF(H70=0,0,I70/H70)</f>
        <v>0</v>
      </c>
      <c r="L70" s="89"/>
      <c r="M70" s="213">
        <f>L70*J70</f>
        <v>0</v>
      </c>
      <c r="N70" s="312"/>
      <c r="O70" s="89"/>
      <c r="P70" s="308"/>
      <c r="Q70" s="216"/>
      <c r="R70" s="307">
        <f>IF(O70=0,0,P70/O70)</f>
        <v>0</v>
      </c>
      <c r="T70" s="89"/>
      <c r="U70" s="216"/>
      <c r="V70" s="213">
        <f>T70*R70</f>
        <v>0</v>
      </c>
      <c r="X70" s="89"/>
      <c r="Y70" s="308"/>
      <c r="Z70" s="216"/>
      <c r="AA70" s="307">
        <f>IF(X70=0,0,Y70/X70)</f>
        <v>0</v>
      </c>
      <c r="AC70" s="89"/>
      <c r="AD70" s="216"/>
      <c r="AE70" s="213">
        <f>AC70*AA70</f>
        <v>0</v>
      </c>
      <c r="AG70" s="89"/>
      <c r="AH70" s="308"/>
      <c r="AI70" s="216"/>
      <c r="AJ70" s="307">
        <f>IF(AG70=0,0,AH70/AG70)</f>
        <v>0</v>
      </c>
      <c r="AL70" s="89"/>
      <c r="AM70" s="216"/>
      <c r="AN70" s="213">
        <f>AL70*AJ70</f>
        <v>0</v>
      </c>
      <c r="AP70" s="24"/>
      <c r="AR70" s="89"/>
      <c r="AS70" s="308"/>
      <c r="AT70" s="216"/>
      <c r="AU70" s="527">
        <f>IF(AR70=0,0,AS70/AR70)</f>
        <v>0</v>
      </c>
      <c r="AW70" s="89"/>
      <c r="AX70" s="216"/>
      <c r="AY70" s="213">
        <f>AW70*AU70</f>
        <v>0</v>
      </c>
      <c r="BA70" s="89"/>
      <c r="BB70" s="308"/>
      <c r="BC70" s="216"/>
      <c r="BD70" s="307"/>
      <c r="BF70" s="89"/>
      <c r="BG70" s="216"/>
      <c r="BH70" s="213"/>
      <c r="BI70" s="307"/>
    </row>
    <row r="71" spans="1:61" x14ac:dyDescent="0.35">
      <c r="A71" s="310"/>
      <c r="B71" s="310"/>
      <c r="F71" s="106"/>
      <c r="H71" s="106"/>
      <c r="I71" s="106"/>
      <c r="J71" s="311"/>
      <c r="L71" s="106"/>
      <c r="M71" s="312"/>
      <c r="N71" s="312"/>
      <c r="O71" s="106"/>
      <c r="P71" s="106"/>
      <c r="Q71" s="106"/>
      <c r="R71" s="311"/>
      <c r="T71" s="106"/>
      <c r="U71" s="106"/>
      <c r="V71" s="312"/>
      <c r="X71" s="106"/>
      <c r="Y71" s="106"/>
      <c r="Z71" s="106"/>
      <c r="AA71" s="311"/>
      <c r="AC71" s="106"/>
      <c r="AD71" s="106"/>
      <c r="AE71" s="312"/>
      <c r="AG71" s="106"/>
      <c r="AH71" s="106"/>
      <c r="AI71" s="106"/>
      <c r="AJ71" s="311"/>
      <c r="AL71" s="106"/>
      <c r="AM71" s="106"/>
      <c r="AN71" s="312"/>
      <c r="AR71" s="106"/>
      <c r="AS71" s="106"/>
      <c r="AT71" s="106"/>
      <c r="AU71" s="558"/>
      <c r="AW71" s="106"/>
      <c r="AX71" s="106"/>
      <c r="AY71" s="312"/>
      <c r="BA71" s="106"/>
      <c r="BB71" s="106"/>
      <c r="BC71" s="106"/>
      <c r="BD71" s="311"/>
      <c r="BF71" s="106"/>
      <c r="BG71" s="106"/>
      <c r="BH71" s="312"/>
      <c r="BI71" s="311"/>
    </row>
    <row r="72" spans="1:61" x14ac:dyDescent="0.35">
      <c r="A72" s="9226" t="s">
        <v>1114</v>
      </c>
      <c r="B72" s="317" t="s">
        <v>4183</v>
      </c>
      <c r="C72" s="315" t="s">
        <v>11</v>
      </c>
      <c r="D72" s="184"/>
      <c r="F72" s="316"/>
      <c r="H72" s="317"/>
      <c r="I72" s="318"/>
      <c r="J72" s="319"/>
      <c r="L72" s="317"/>
      <c r="M72" s="318"/>
      <c r="N72" s="1"/>
      <c r="O72" s="320">
        <v>85.332999999999998</v>
      </c>
      <c r="P72" s="321">
        <v>85.332999999999998</v>
      </c>
      <c r="Q72" s="231" t="s">
        <v>4178</v>
      </c>
      <c r="R72" s="293"/>
      <c r="T72" s="317"/>
      <c r="U72" s="103"/>
      <c r="V72" s="323"/>
      <c r="W72"/>
      <c r="X72" s="320">
        <v>239.702</v>
      </c>
      <c r="Y72" s="321">
        <v>239.43799999999999</v>
      </c>
      <c r="Z72" s="231" t="s">
        <v>4179</v>
      </c>
      <c r="AA72" s="293"/>
      <c r="AC72" s="317"/>
      <c r="AD72" s="103"/>
      <c r="AE72" s="323"/>
      <c r="AF72"/>
      <c r="AG72" s="317">
        <v>593.77700000000004</v>
      </c>
      <c r="AH72" s="321">
        <f>475.23*12/9</f>
        <v>633.64</v>
      </c>
      <c r="AI72" s="231" t="s">
        <v>4184</v>
      </c>
      <c r="AJ72" s="293"/>
      <c r="AL72" s="317"/>
      <c r="AM72" s="103"/>
      <c r="AN72" s="323"/>
      <c r="AO72"/>
      <c r="AR72" s="317"/>
      <c r="AS72" s="321"/>
      <c r="AT72" s="231"/>
      <c r="AU72" s="293"/>
      <c r="AW72" s="317"/>
      <c r="AX72" s="103"/>
      <c r="AY72" s="323"/>
      <c r="BA72" s="317">
        <v>822.09500000000003</v>
      </c>
      <c r="BB72" s="321">
        <v>820.82</v>
      </c>
      <c r="BC72" s="313" t="s">
        <v>4168</v>
      </c>
      <c r="BD72" s="297">
        <f t="shared" ref="BD72:BD79" si="73">BB72/BA72</f>
        <v>0.99844908435156521</v>
      </c>
      <c r="BF72" s="8937">
        <v>1172.4069999999999</v>
      </c>
      <c r="BG72" s="313" t="s">
        <v>4169</v>
      </c>
      <c r="BH72" s="8938">
        <v>1172.2539999999999</v>
      </c>
      <c r="BI72" s="297">
        <f t="shared" ref="BI72:BI79" si="74">BH72/BF72</f>
        <v>0.99986949924386326</v>
      </c>
    </row>
    <row r="73" spans="1:61" x14ac:dyDescent="0.35">
      <c r="A73" s="9227"/>
      <c r="B73" s="325"/>
      <c r="C73" s="326" t="s">
        <v>1116</v>
      </c>
      <c r="D73" s="197"/>
      <c r="F73" s="327"/>
      <c r="H73" s="325"/>
      <c r="I73" s="328"/>
      <c r="J73" s="329"/>
      <c r="L73" s="325"/>
      <c r="M73" s="328"/>
      <c r="N73" s="1"/>
      <c r="O73" s="674">
        <v>489.82400000000001</v>
      </c>
      <c r="P73" s="675">
        <v>341.565</v>
      </c>
      <c r="Q73" s="332"/>
      <c r="R73" s="297">
        <f>IF(O73=0,0,P73/O73)</f>
        <v>0.69732189521134125</v>
      </c>
      <c r="T73" s="325"/>
      <c r="U73" s="332"/>
      <c r="V73" s="333">
        <f>T73*R73</f>
        <v>0</v>
      </c>
      <c r="W73"/>
      <c r="X73" s="674">
        <v>608.40800000000002</v>
      </c>
      <c r="Y73" s="675">
        <v>560.99</v>
      </c>
      <c r="Z73" s="332"/>
      <c r="AA73" s="297">
        <f>IF(X73=0,0,Y73/X73)</f>
        <v>0.9220621688077737</v>
      </c>
      <c r="AC73" s="325"/>
      <c r="AD73" s="332"/>
      <c r="AE73" s="333">
        <f>AC73*AA73</f>
        <v>0</v>
      </c>
      <c r="AF73"/>
      <c r="AG73" s="330">
        <v>859.69200000000001</v>
      </c>
      <c r="AH73" s="340">
        <f>513.339*12/9</f>
        <v>684.45200000000011</v>
      </c>
      <c r="AI73" s="332"/>
      <c r="AJ73" s="297">
        <f>IF(AG73=0,0,AH73/AG73)</f>
        <v>0.79615955481730682</v>
      </c>
      <c r="AL73" s="325"/>
      <c r="AM73" s="332"/>
      <c r="AN73" s="333">
        <f>AL73*AJ73</f>
        <v>0</v>
      </c>
      <c r="AO73"/>
      <c r="AR73" s="330"/>
      <c r="AS73" s="340"/>
      <c r="AT73" s="332"/>
      <c r="AU73" s="523">
        <f>IF(AR73=0,0,AS73/AR73)</f>
        <v>0</v>
      </c>
      <c r="AW73" s="325"/>
      <c r="AX73" s="332"/>
      <c r="AY73" s="333">
        <f>AW73*AU73</f>
        <v>0</v>
      </c>
      <c r="BA73" s="330">
        <v>805.048</v>
      </c>
      <c r="BB73" s="340">
        <v>425.00599999999997</v>
      </c>
      <c r="BC73" s="313" t="s">
        <v>4168</v>
      </c>
      <c r="BD73" s="297">
        <f t="shared" si="73"/>
        <v>0.52792628514076179</v>
      </c>
      <c r="BF73" s="8939">
        <v>371.10599999999999</v>
      </c>
      <c r="BG73" s="313" t="s">
        <v>4169</v>
      </c>
      <c r="BH73" s="8938">
        <v>184.88300000000001</v>
      </c>
      <c r="BI73" s="297">
        <f t="shared" si="74"/>
        <v>0.49819458591345872</v>
      </c>
    </row>
    <row r="74" spans="1:61" x14ac:dyDescent="0.35">
      <c r="A74" s="9227"/>
      <c r="B74" s="330" t="s">
        <v>4185</v>
      </c>
      <c r="C74" s="326" t="s">
        <v>11</v>
      </c>
      <c r="D74" s="197"/>
      <c r="F74" s="336"/>
      <c r="H74" s="330"/>
      <c r="I74" s="337"/>
      <c r="J74" s="329"/>
      <c r="L74" s="330"/>
      <c r="M74" s="337"/>
      <c r="N74" s="1"/>
      <c r="O74" s="339">
        <v>2806.86</v>
      </c>
      <c r="P74" s="340">
        <v>2804.6819999999998</v>
      </c>
      <c r="Q74" s="106"/>
      <c r="R74" s="297">
        <f>IF(O74=0,0,P74/O74)</f>
        <v>0.99922404394946651</v>
      </c>
      <c r="T74" s="330"/>
      <c r="U74" s="106"/>
      <c r="V74" s="333">
        <f>T74*R74</f>
        <v>0</v>
      </c>
      <c r="W74"/>
      <c r="X74" s="339">
        <v>11315.763000000001</v>
      </c>
      <c r="Y74" s="340">
        <v>11307.03</v>
      </c>
      <c r="Z74" s="106"/>
      <c r="AA74" s="297">
        <f>IF(X74=0,0,Y74/X74)</f>
        <v>0.9992282447060794</v>
      </c>
      <c r="AC74" s="330"/>
      <c r="AD74" s="106"/>
      <c r="AE74" s="333">
        <f>AC74*AA74</f>
        <v>0</v>
      </c>
      <c r="AF74"/>
      <c r="AG74" s="330">
        <v>10615.050999999999</v>
      </c>
      <c r="AH74" s="340">
        <f>9049.857*12/9</f>
        <v>12066.476000000001</v>
      </c>
      <c r="AI74" s="106"/>
      <c r="AJ74" s="297">
        <f>IF(AG74=0,0,AH74/AG74)</f>
        <v>1.1367327392021009</v>
      </c>
      <c r="AL74" s="330"/>
      <c r="AM74" s="106"/>
      <c r="AN74" s="333">
        <f>AL74*AJ74</f>
        <v>0</v>
      </c>
      <c r="AO74"/>
      <c r="AR74" s="330"/>
      <c r="AS74" s="340"/>
      <c r="AT74" s="106"/>
      <c r="AU74" s="523">
        <f>IF(AR74=0,0,AS74/AR74)</f>
        <v>0</v>
      </c>
      <c r="AW74" s="330"/>
      <c r="AX74" s="106"/>
      <c r="AY74" s="333">
        <f>AW74*AU74</f>
        <v>0</v>
      </c>
      <c r="BA74" s="330">
        <v>12550.187</v>
      </c>
      <c r="BB74" s="340">
        <v>12536.06</v>
      </c>
      <c r="BC74" s="313" t="s">
        <v>4168</v>
      </c>
      <c r="BD74" s="297">
        <f t="shared" si="73"/>
        <v>0.99887435940197544</v>
      </c>
      <c r="BF74" s="8939">
        <v>15081.156999999999</v>
      </c>
      <c r="BG74" s="313" t="s">
        <v>4169</v>
      </c>
      <c r="BH74" s="8938">
        <v>15074.421</v>
      </c>
      <c r="BI74" s="297">
        <f t="shared" si="74"/>
        <v>0.99955334991870992</v>
      </c>
    </row>
    <row r="75" spans="1:61" x14ac:dyDescent="0.35">
      <c r="A75" s="9227"/>
      <c r="B75" s="330"/>
      <c r="C75" s="326" t="s">
        <v>1116</v>
      </c>
      <c r="D75" s="197"/>
      <c r="F75" s="336"/>
      <c r="H75" s="330"/>
      <c r="I75" s="337"/>
      <c r="J75" s="329"/>
      <c r="L75" s="330"/>
      <c r="M75" s="337"/>
      <c r="N75" s="1"/>
      <c r="O75" s="339">
        <v>654.81500000000005</v>
      </c>
      <c r="P75" s="340">
        <v>486.49099999999999</v>
      </c>
      <c r="Q75" s="106"/>
      <c r="R75" s="297">
        <f t="shared" ref="R75:R79" si="75">IF(O75=0,0,P75/O75)</f>
        <v>0.74294419034383752</v>
      </c>
      <c r="T75" s="330"/>
      <c r="U75" s="106"/>
      <c r="V75" s="333">
        <f t="shared" ref="V75:V79" si="76">T75*R75</f>
        <v>0</v>
      </c>
      <c r="W75"/>
      <c r="X75" s="339">
        <v>1548.049</v>
      </c>
      <c r="Y75" s="340">
        <v>1137.671</v>
      </c>
      <c r="Z75" s="106"/>
      <c r="AA75" s="297">
        <f t="shared" ref="AA75:AA79" si="77">IF(X75=0,0,Y75/X75)</f>
        <v>0.73490632402462719</v>
      </c>
      <c r="AC75" s="330"/>
      <c r="AD75" s="106"/>
      <c r="AE75" s="333">
        <f t="shared" ref="AE75:AE79" si="78">AC75*AA75</f>
        <v>0</v>
      </c>
      <c r="AF75"/>
      <c r="AG75" s="330">
        <v>2854.549</v>
      </c>
      <c r="AH75" s="340">
        <f>1042.593*12/9</f>
        <v>1390.1240000000003</v>
      </c>
      <c r="AI75" s="106"/>
      <c r="AJ75" s="297">
        <f t="shared" ref="AJ75:AJ79" si="79">IF(AG75=0,0,AH75/AG75)</f>
        <v>0.48698550979506755</v>
      </c>
      <c r="AL75" s="330"/>
      <c r="AM75" s="106"/>
      <c r="AN75" s="333">
        <f t="shared" ref="AN75:AN79" si="80">AL75*AJ75</f>
        <v>0</v>
      </c>
      <c r="AO75"/>
      <c r="AR75" s="330"/>
      <c r="AS75" s="340"/>
      <c r="AT75" s="106"/>
      <c r="AU75" s="523">
        <f t="shared" ref="AU75:AU79" si="81">IF(AR75=0,0,AS75/AR75)</f>
        <v>0</v>
      </c>
      <c r="AW75" s="330"/>
      <c r="AX75" s="106"/>
      <c r="AY75" s="333">
        <f t="shared" ref="AY75:AY79" si="82">AW75*AU75</f>
        <v>0</v>
      </c>
      <c r="BA75" s="330">
        <v>2027.58</v>
      </c>
      <c r="BB75" s="340">
        <v>1641.856</v>
      </c>
      <c r="BC75" s="313" t="s">
        <v>4168</v>
      </c>
      <c r="BD75" s="297">
        <f t="shared" si="73"/>
        <v>0.80976139042602513</v>
      </c>
      <c r="BF75" s="8939">
        <v>2406.0419999999999</v>
      </c>
      <c r="BG75" s="313" t="s">
        <v>4169</v>
      </c>
      <c r="BH75" s="8938">
        <v>1576.0350000000001</v>
      </c>
      <c r="BI75" s="297">
        <f t="shared" si="74"/>
        <v>0.65503220642033688</v>
      </c>
    </row>
    <row r="76" spans="1:61" x14ac:dyDescent="0.35">
      <c r="A76" s="9227"/>
      <c r="B76" s="330" t="s">
        <v>4186</v>
      </c>
      <c r="C76" s="326" t="s">
        <v>11</v>
      </c>
      <c r="D76" s="197"/>
      <c r="F76" s="336"/>
      <c r="H76" s="330"/>
      <c r="I76" s="337"/>
      <c r="J76" s="329"/>
      <c r="L76" s="330"/>
      <c r="M76" s="337"/>
      <c r="N76" s="143"/>
      <c r="O76" s="339">
        <v>599.01700000000005</v>
      </c>
      <c r="P76" s="340">
        <v>598.947</v>
      </c>
      <c r="Q76" s="106"/>
      <c r="R76" s="297">
        <f t="shared" si="75"/>
        <v>0.99988314188078131</v>
      </c>
      <c r="T76" s="330"/>
      <c r="U76" s="106"/>
      <c r="V76" s="333">
        <f t="shared" si="76"/>
        <v>0</v>
      </c>
      <c r="W76"/>
      <c r="X76" s="339">
        <v>320.25700000000001</v>
      </c>
      <c r="Y76" s="340">
        <v>320.25700000000001</v>
      </c>
      <c r="Z76" s="106"/>
      <c r="AA76" s="297">
        <f t="shared" si="77"/>
        <v>1</v>
      </c>
      <c r="AC76" s="330"/>
      <c r="AD76" s="106"/>
      <c r="AE76" s="333">
        <f t="shared" si="78"/>
        <v>0</v>
      </c>
      <c r="AF76"/>
      <c r="AG76" s="330">
        <v>661.14400000000001</v>
      </c>
      <c r="AH76" s="340">
        <f>569.124*12/9</f>
        <v>758.83199999999999</v>
      </c>
      <c r="AI76" s="106"/>
      <c r="AJ76" s="297">
        <f t="shared" si="79"/>
        <v>1.1477560107934126</v>
      </c>
      <c r="AL76" s="330"/>
      <c r="AM76" s="106"/>
      <c r="AN76" s="333">
        <f t="shared" si="80"/>
        <v>0</v>
      </c>
      <c r="AO76"/>
      <c r="AR76" s="330"/>
      <c r="AS76" s="340"/>
      <c r="AT76" s="106"/>
      <c r="AU76" s="523">
        <f t="shared" si="81"/>
        <v>0</v>
      </c>
      <c r="AW76" s="330"/>
      <c r="AX76" s="106"/>
      <c r="AY76" s="333">
        <f t="shared" si="82"/>
        <v>0</v>
      </c>
      <c r="BA76" s="330">
        <v>996.87</v>
      </c>
      <c r="BB76" s="340">
        <v>994.79399999999998</v>
      </c>
      <c r="BC76" s="313" t="s">
        <v>4168</v>
      </c>
      <c r="BD76" s="297">
        <f t="shared" si="73"/>
        <v>0.99791748171777661</v>
      </c>
      <c r="BF76" s="8939">
        <v>1054.711</v>
      </c>
      <c r="BG76" s="313" t="s">
        <v>4169</v>
      </c>
      <c r="BH76" s="8938">
        <v>1049.5360000000001</v>
      </c>
      <c r="BI76" s="297">
        <f t="shared" si="74"/>
        <v>0.99509344265869992</v>
      </c>
    </row>
    <row r="77" spans="1:61" x14ac:dyDescent="0.35">
      <c r="A77" s="9227"/>
      <c r="B77" s="330"/>
      <c r="C77" s="326" t="s">
        <v>1116</v>
      </c>
      <c r="D77" s="197"/>
      <c r="F77" s="336"/>
      <c r="H77" s="330"/>
      <c r="I77" s="337"/>
      <c r="J77" s="329"/>
      <c r="L77" s="330"/>
      <c r="M77" s="337"/>
      <c r="N77" s="1"/>
      <c r="O77" s="339"/>
      <c r="P77" s="340"/>
      <c r="Q77" s="106"/>
      <c r="R77" s="297">
        <f t="shared" si="75"/>
        <v>0</v>
      </c>
      <c r="T77" s="330"/>
      <c r="U77" s="106"/>
      <c r="V77" s="333">
        <f t="shared" si="76"/>
        <v>0</v>
      </c>
      <c r="W77"/>
      <c r="X77" s="339">
        <v>0.4</v>
      </c>
      <c r="Y77" s="340">
        <v>0</v>
      </c>
      <c r="Z77" s="106"/>
      <c r="AA77" s="297">
        <f t="shared" si="77"/>
        <v>0</v>
      </c>
      <c r="AC77" s="330"/>
      <c r="AD77" s="106"/>
      <c r="AE77" s="333">
        <f t="shared" si="78"/>
        <v>0</v>
      </c>
      <c r="AF77"/>
      <c r="AG77" s="330">
        <v>7.3330000000000002</v>
      </c>
      <c r="AH77" s="340">
        <f>6.762*12/9</f>
        <v>9.0159999999999982</v>
      </c>
      <c r="AI77" s="106"/>
      <c r="AJ77" s="297">
        <f t="shared" si="79"/>
        <v>1.2295104322923767</v>
      </c>
      <c r="AL77" s="330"/>
      <c r="AM77" s="106"/>
      <c r="AN77" s="333">
        <f t="shared" si="80"/>
        <v>0</v>
      </c>
      <c r="AO77"/>
      <c r="AR77" s="330"/>
      <c r="AS77" s="340"/>
      <c r="AT77" s="106"/>
      <c r="AU77" s="523">
        <f t="shared" si="81"/>
        <v>0</v>
      </c>
      <c r="AW77" s="330"/>
      <c r="AX77" s="106"/>
      <c r="AY77" s="333">
        <f t="shared" si="82"/>
        <v>0</v>
      </c>
      <c r="BA77" s="330">
        <v>10.766999999999999</v>
      </c>
      <c r="BB77" s="340">
        <v>10.757</v>
      </c>
      <c r="BC77" s="313" t="s">
        <v>4168</v>
      </c>
      <c r="BD77" s="297">
        <f t="shared" si="73"/>
        <v>0.99907123618463822</v>
      </c>
      <c r="BF77" s="8939">
        <v>17.552</v>
      </c>
      <c r="BG77" s="313" t="s">
        <v>4169</v>
      </c>
      <c r="BH77" s="8938">
        <v>17.34</v>
      </c>
      <c r="BI77" s="297">
        <f t="shared" si="74"/>
        <v>0.98792160437556975</v>
      </c>
    </row>
    <row r="78" spans="1:61" x14ac:dyDescent="0.35">
      <c r="A78" s="9227"/>
      <c r="B78" s="330" t="s">
        <v>4187</v>
      </c>
      <c r="C78" s="326" t="s">
        <v>11</v>
      </c>
      <c r="D78" s="197"/>
      <c r="F78" s="336"/>
      <c r="H78" s="330"/>
      <c r="I78" s="337"/>
      <c r="J78" s="329"/>
      <c r="L78" s="330"/>
      <c r="M78" s="337"/>
      <c r="N78" s="1"/>
      <c r="O78" s="339">
        <v>8039.5929999999998</v>
      </c>
      <c r="P78" s="340">
        <v>8024.7240000000002</v>
      </c>
      <c r="Q78" s="106"/>
      <c r="R78" s="297">
        <f t="shared" si="75"/>
        <v>0.99815052826679163</v>
      </c>
      <c r="T78" s="330"/>
      <c r="U78" s="106"/>
      <c r="V78" s="333">
        <f t="shared" si="76"/>
        <v>0</v>
      </c>
      <c r="W78"/>
      <c r="X78" s="339">
        <v>5963.8310000000001</v>
      </c>
      <c r="Y78" s="340">
        <v>5961.9920000000002</v>
      </c>
      <c r="Z78" s="106"/>
      <c r="AA78" s="297">
        <f t="shared" si="77"/>
        <v>0.99969164116152853</v>
      </c>
      <c r="AC78" s="330"/>
      <c r="AD78" s="106"/>
      <c r="AE78" s="333">
        <f t="shared" si="78"/>
        <v>0</v>
      </c>
      <c r="AF78"/>
      <c r="AG78" s="330">
        <v>5834.0439999999999</v>
      </c>
      <c r="AH78" s="340">
        <f>4898.802*12/9</f>
        <v>6531.7359999999999</v>
      </c>
      <c r="AI78" s="106"/>
      <c r="AJ78" s="297">
        <f t="shared" si="79"/>
        <v>1.1195897734058913</v>
      </c>
      <c r="AL78" s="330"/>
      <c r="AM78" s="106"/>
      <c r="AN78" s="333">
        <f t="shared" si="80"/>
        <v>0</v>
      </c>
      <c r="AO78"/>
      <c r="AR78" s="330"/>
      <c r="AS78" s="340"/>
      <c r="AT78" s="106"/>
      <c r="AU78" s="523">
        <f t="shared" si="81"/>
        <v>0</v>
      </c>
      <c r="AW78" s="330"/>
      <c r="AX78" s="106"/>
      <c r="AY78" s="333">
        <f t="shared" si="82"/>
        <v>0</v>
      </c>
      <c r="BA78" s="330">
        <v>9903.3790000000008</v>
      </c>
      <c r="BB78" s="340">
        <v>9900.4470000000001</v>
      </c>
      <c r="BC78" s="313" t="s">
        <v>4168</v>
      </c>
      <c r="BD78" s="297">
        <f t="shared" si="73"/>
        <v>0.99970393943319746</v>
      </c>
      <c r="BF78" s="8939">
        <v>9208.643</v>
      </c>
      <c r="BG78" s="313" t="s">
        <v>4169</v>
      </c>
      <c r="BH78" s="8938">
        <v>9207.9869999999992</v>
      </c>
      <c r="BI78" s="297">
        <f t="shared" si="74"/>
        <v>0.99992876257663577</v>
      </c>
    </row>
    <row r="79" spans="1:61" x14ac:dyDescent="0.35">
      <c r="A79" s="9227"/>
      <c r="B79" s="330"/>
      <c r="C79" s="326" t="s">
        <v>1116</v>
      </c>
      <c r="D79" s="197"/>
      <c r="F79" s="336"/>
      <c r="H79" s="330"/>
      <c r="I79" s="337"/>
      <c r="J79" s="329"/>
      <c r="L79" s="330"/>
      <c r="M79" s="337"/>
      <c r="N79" s="1"/>
      <c r="O79" s="339">
        <v>557.59900000000005</v>
      </c>
      <c r="P79" s="340">
        <v>417.28199999999998</v>
      </c>
      <c r="Q79" s="106"/>
      <c r="R79" s="297">
        <f t="shared" si="75"/>
        <v>0.74835500063665816</v>
      </c>
      <c r="T79" s="330"/>
      <c r="U79" s="106"/>
      <c r="V79" s="333">
        <f t="shared" si="76"/>
        <v>0</v>
      </c>
      <c r="W79"/>
      <c r="X79" s="339">
        <v>1026.1579999999999</v>
      </c>
      <c r="Y79" s="340">
        <v>460.50900000000001</v>
      </c>
      <c r="Z79" s="106"/>
      <c r="AA79" s="297">
        <f t="shared" si="77"/>
        <v>0.44877007244498418</v>
      </c>
      <c r="AC79" s="330"/>
      <c r="AD79" s="106"/>
      <c r="AE79" s="333">
        <f t="shared" si="78"/>
        <v>0</v>
      </c>
      <c r="AF79"/>
      <c r="AG79" s="330">
        <v>983.56</v>
      </c>
      <c r="AH79" s="340">
        <f>213.215*12/9</f>
        <v>284.28666666666663</v>
      </c>
      <c r="AI79" s="106"/>
      <c r="AJ79" s="297">
        <f t="shared" si="79"/>
        <v>0.28903845893150054</v>
      </c>
      <c r="AL79" s="330"/>
      <c r="AM79" s="106"/>
      <c r="AN79" s="333">
        <f t="shared" si="80"/>
        <v>0</v>
      </c>
      <c r="AO79"/>
      <c r="AR79" s="330"/>
      <c r="AS79" s="340"/>
      <c r="AT79" s="106"/>
      <c r="AU79" s="523">
        <f t="shared" si="81"/>
        <v>0</v>
      </c>
      <c r="AW79" s="330"/>
      <c r="AX79" s="106"/>
      <c r="AY79" s="333">
        <f t="shared" si="82"/>
        <v>0</v>
      </c>
      <c r="BA79" s="330">
        <v>1536.607</v>
      </c>
      <c r="BB79" s="340">
        <v>1268.703</v>
      </c>
      <c r="BC79" s="313" t="s">
        <v>4168</v>
      </c>
      <c r="BD79" s="297">
        <f t="shared" si="73"/>
        <v>0.82565223248364739</v>
      </c>
      <c r="BF79" s="8939">
        <v>842.03</v>
      </c>
      <c r="BG79" s="313" t="s">
        <v>4169</v>
      </c>
      <c r="BH79" s="8938">
        <v>314.041</v>
      </c>
      <c r="BI79" s="297">
        <f t="shared" si="74"/>
        <v>0.37295702053371022</v>
      </c>
    </row>
    <row r="80" spans="1:61" x14ac:dyDescent="0.35">
      <c r="A80" s="9227"/>
      <c r="B80" s="330"/>
      <c r="C80" s="337"/>
      <c r="D80" s="197"/>
      <c r="F80" s="336"/>
      <c r="H80" s="330"/>
      <c r="I80" s="337"/>
      <c r="J80" s="329"/>
      <c r="L80" s="330"/>
      <c r="M80" s="337"/>
      <c r="N80" s="1"/>
      <c r="O80" s="339"/>
      <c r="P80" s="340"/>
      <c r="Q80" s="106"/>
      <c r="R80" s="297">
        <f>IF(O80=0,0,P80/O80)</f>
        <v>0</v>
      </c>
      <c r="T80" s="330"/>
      <c r="U80" s="106"/>
      <c r="V80" s="333">
        <f>T80*R80</f>
        <v>0</v>
      </c>
      <c r="W80"/>
      <c r="X80" s="339"/>
      <c r="Y80" s="340"/>
      <c r="Z80" s="106"/>
      <c r="AA80" s="297">
        <f>IF(X80=0,0,Y80/X80)</f>
        <v>0</v>
      </c>
      <c r="AC80" s="330"/>
      <c r="AD80" s="106"/>
      <c r="AE80" s="333">
        <f>AC80*AA80</f>
        <v>0</v>
      </c>
      <c r="AF80"/>
      <c r="AG80" s="330"/>
      <c r="AH80" s="340"/>
      <c r="AI80" s="106"/>
      <c r="AJ80" s="297">
        <f>IF(AG80=0,0,AH80/AG80)</f>
        <v>0</v>
      </c>
      <c r="AL80" s="330"/>
      <c r="AM80" s="106"/>
      <c r="AN80" s="333">
        <f>AL80*AJ80</f>
        <v>0</v>
      </c>
      <c r="AO80"/>
      <c r="AR80" s="330"/>
      <c r="AS80" s="340"/>
      <c r="AT80" s="106"/>
      <c r="AU80" s="523">
        <f>IF(AR80=0,0,AS80/AR80)</f>
        <v>0</v>
      </c>
      <c r="AW80" s="330"/>
      <c r="AX80" s="106"/>
      <c r="AY80" s="333">
        <f>AW80*AU80</f>
        <v>0</v>
      </c>
      <c r="BA80" s="330"/>
      <c r="BB80" s="340"/>
      <c r="BC80" s="106"/>
      <c r="BD80" s="297"/>
      <c r="BF80" s="330"/>
      <c r="BG80" s="106"/>
      <c r="BH80" s="333"/>
      <c r="BI80" s="297"/>
    </row>
    <row r="81" spans="1:61" x14ac:dyDescent="0.35">
      <c r="A81" s="9228"/>
      <c r="B81" s="341"/>
      <c r="C81" s="342"/>
      <c r="D81" s="209"/>
      <c r="F81" s="343"/>
      <c r="H81" s="341"/>
      <c r="I81" s="342"/>
      <c r="J81" s="344"/>
      <c r="L81" s="341"/>
      <c r="M81" s="342"/>
      <c r="N81" s="1"/>
      <c r="O81" s="345"/>
      <c r="P81" s="346"/>
      <c r="Q81" s="216"/>
      <c r="R81" s="307">
        <f>IF(O81=0,0,P81/O81)</f>
        <v>0</v>
      </c>
      <c r="T81" s="341"/>
      <c r="U81" s="216"/>
      <c r="V81" s="347">
        <f>T81*R81</f>
        <v>0</v>
      </c>
      <c r="W81"/>
      <c r="X81" s="345"/>
      <c r="Y81" s="346"/>
      <c r="Z81" s="216"/>
      <c r="AA81" s="307">
        <f>IF(X81=0,0,Y81/X81)</f>
        <v>0</v>
      </c>
      <c r="AC81" s="341"/>
      <c r="AD81" s="216"/>
      <c r="AE81" s="347">
        <f>AC81*AA81</f>
        <v>0</v>
      </c>
      <c r="AF81"/>
      <c r="AG81" s="341"/>
      <c r="AH81" s="346"/>
      <c r="AI81" s="216"/>
      <c r="AJ81" s="307">
        <f>IF(AG81=0,0,AH81/AG81)</f>
        <v>0</v>
      </c>
      <c r="AL81" s="341"/>
      <c r="AM81" s="216"/>
      <c r="AN81" s="347">
        <f>AL81*AJ81</f>
        <v>0</v>
      </c>
      <c r="AO81"/>
      <c r="AR81" s="341"/>
      <c r="AS81" s="346"/>
      <c r="AT81" s="216"/>
      <c r="AU81" s="527">
        <f>IF(AR81=0,0,AS81/AR81)</f>
        <v>0</v>
      </c>
      <c r="AW81" s="341"/>
      <c r="AX81" s="216"/>
      <c r="AY81" s="347">
        <f>AW81*AU81</f>
        <v>0</v>
      </c>
      <c r="BA81" s="341"/>
      <c r="BB81" s="346"/>
      <c r="BC81" s="216"/>
      <c r="BD81" s="307"/>
      <c r="BF81" s="341"/>
      <c r="BG81" s="216"/>
      <c r="BH81" s="347"/>
      <c r="BI81" s="307"/>
    </row>
    <row r="82" spans="1:61" x14ac:dyDescent="0.35">
      <c r="A82" s="310"/>
      <c r="B82" s="310"/>
      <c r="F82" s="106"/>
      <c r="H82" s="106"/>
      <c r="I82" s="106"/>
      <c r="J82" s="311"/>
      <c r="L82" s="106"/>
      <c r="M82" s="312"/>
      <c r="N82" s="312"/>
      <c r="O82" s="106"/>
      <c r="P82" s="106"/>
      <c r="Q82" s="106"/>
      <c r="R82" s="311"/>
      <c r="T82" s="106"/>
      <c r="U82" s="106"/>
      <c r="V82" s="312"/>
      <c r="X82" s="106"/>
      <c r="Y82" s="106"/>
      <c r="Z82" s="106"/>
      <c r="AA82" s="311"/>
      <c r="AC82" s="106"/>
      <c r="AD82" s="106"/>
      <c r="AE82" s="312"/>
      <c r="AG82" s="106"/>
      <c r="AH82" s="106"/>
      <c r="AI82" s="106"/>
      <c r="AJ82" s="311"/>
      <c r="AL82" s="106"/>
      <c r="AM82" s="106"/>
      <c r="AN82" s="312"/>
      <c r="AR82" s="106"/>
      <c r="AS82" s="106"/>
      <c r="AT82" s="106"/>
      <c r="AU82" s="558"/>
      <c r="AW82" s="106"/>
      <c r="AX82" s="106"/>
      <c r="AY82" s="312"/>
      <c r="BA82" s="106"/>
      <c r="BB82" s="106"/>
      <c r="BC82" s="106"/>
      <c r="BD82" s="311"/>
      <c r="BF82" s="106"/>
      <c r="BG82" s="106"/>
      <c r="BH82" s="312"/>
      <c r="BI82" s="311"/>
    </row>
    <row r="83" spans="1:61" x14ac:dyDescent="0.35">
      <c r="A83" s="9167" t="s">
        <v>566</v>
      </c>
      <c r="B83" s="139" t="s">
        <v>567</v>
      </c>
      <c r="C83" s="348"/>
      <c r="D83" s="49"/>
      <c r="E83" s="141"/>
      <c r="F83" s="227"/>
      <c r="G83" s="141"/>
      <c r="H83" s="102"/>
      <c r="I83" s="103"/>
      <c r="J83" s="228"/>
      <c r="K83" s="141"/>
      <c r="L83" s="102"/>
      <c r="M83" s="268"/>
      <c r="N83" s="254"/>
      <c r="O83" s="102"/>
      <c r="P83" s="103"/>
      <c r="Q83" s="103"/>
      <c r="R83" s="228"/>
      <c r="S83" s="141"/>
      <c r="T83" s="102"/>
      <c r="U83" s="103"/>
      <c r="V83" s="268"/>
      <c r="W83" s="141"/>
      <c r="X83" s="102"/>
      <c r="Y83" s="103"/>
      <c r="Z83" s="103"/>
      <c r="AA83" s="228"/>
      <c r="AB83" s="141"/>
      <c r="AC83" s="102"/>
      <c r="AD83" s="103"/>
      <c r="AE83" s="268"/>
      <c r="AF83" s="141"/>
      <c r="AG83" s="102"/>
      <c r="AH83" s="103"/>
      <c r="AI83" s="103"/>
      <c r="AJ83" s="228"/>
      <c r="AK83" s="141"/>
      <c r="AL83" s="102"/>
      <c r="AM83" s="103"/>
      <c r="AN83" s="268"/>
      <c r="AO83" s="141"/>
      <c r="AR83" s="102"/>
      <c r="AS83" s="103"/>
      <c r="AT83" s="103"/>
      <c r="AU83" s="228"/>
      <c r="AV83" s="141"/>
      <c r="AW83" s="102"/>
      <c r="AX83" s="103"/>
      <c r="AY83" s="268"/>
      <c r="BA83" s="102"/>
      <c r="BB83" s="103"/>
      <c r="BC83" s="103"/>
      <c r="BD83" s="228"/>
      <c r="BE83" s="141"/>
      <c r="BF83" s="102"/>
      <c r="BG83" s="103"/>
      <c r="BH83" s="268"/>
      <c r="BI83" s="228"/>
    </row>
    <row r="84" spans="1:61" x14ac:dyDescent="0.35">
      <c r="A84" s="9168"/>
      <c r="B84" s="6082"/>
      <c r="C84"/>
      <c r="D84" s="110" t="s">
        <v>568</v>
      </c>
      <c r="F84" s="3657">
        <f>SUM(F37:F40)-SUM(F42:F44)</f>
        <v>23895.5</v>
      </c>
      <c r="G84" s="1446"/>
      <c r="H84" s="354">
        <f t="shared" ref="H84:I84" si="83">SUM(H37:H40)-SUM(H42:H44)</f>
        <v>40127</v>
      </c>
      <c r="I84" s="355">
        <f t="shared" si="83"/>
        <v>37318</v>
      </c>
      <c r="J84" s="1363"/>
      <c r="K84" s="1446"/>
      <c r="L84" s="354">
        <f t="shared" ref="L84:M84" si="84">SUM(L37:L40)-SUM(L42:L44)</f>
        <v>44745</v>
      </c>
      <c r="M84" s="1201">
        <f t="shared" si="84"/>
        <v>39398.666666666664</v>
      </c>
      <c r="N84" s="352"/>
      <c r="O84" s="354">
        <f>SUM(O37:O40)-SUM(O42:O44)</f>
        <v>40379.156999999999</v>
      </c>
      <c r="P84" s="355">
        <f>SUM(P37:P40)-SUM(P42:P44)</f>
        <v>38559.091</v>
      </c>
      <c r="Q84" s="352"/>
      <c r="R84" s="246"/>
      <c r="S84" s="350"/>
      <c r="T84" s="351">
        <f>SUM(T37:T40)-SUM(T42:T44)</f>
        <v>44149.866999999998</v>
      </c>
      <c r="U84" s="352"/>
      <c r="V84" s="353">
        <f>SUM(V37:V40)-SUM(V42:V44)</f>
        <v>42398.333376584007</v>
      </c>
      <c r="X84" s="354">
        <f>SUM(X37:X40)-SUM(X42:X44)</f>
        <v>46232.901999999995</v>
      </c>
      <c r="Y84" s="355">
        <f>SUM(Y37:Y40)-SUM(Y42:Y44)</f>
        <v>44146.261999999995</v>
      </c>
      <c r="Z84" s="352"/>
      <c r="AA84" s="246"/>
      <c r="AB84" s="350"/>
      <c r="AC84" s="351">
        <f>SUM(AC37:AC40)-SUM(AC42:AC44)</f>
        <v>48287.7</v>
      </c>
      <c r="AD84" s="352"/>
      <c r="AE84" s="353">
        <f>SUM(AE37:AE40)-SUM(AE42:AE44)</f>
        <v>46108.320338130623</v>
      </c>
      <c r="AG84" s="354">
        <f>SUM(AG37:AG40)-SUM(AG42:AG44)</f>
        <v>49878.985999999997</v>
      </c>
      <c r="AH84" s="355">
        <f>SUM(AH37:AH40)-SUM(AH42:AH44)</f>
        <v>46275.735999999997</v>
      </c>
      <c r="AI84" s="352"/>
      <c r="AJ84" s="246"/>
      <c r="AK84" s="350"/>
      <c r="AL84" s="351">
        <f>SUM(AL37:AL40)-SUM(AL42:AL44)</f>
        <v>52629.5</v>
      </c>
      <c r="AM84" s="352"/>
      <c r="AN84" s="353">
        <f>SUM(AN37:AN40)-SUM(AN42:AN44)</f>
        <v>48827.553306957765</v>
      </c>
      <c r="AR84" s="354">
        <f>AR37-SUM(AR42:AR44)</f>
        <v>51290.502800000002</v>
      </c>
      <c r="AS84" s="355">
        <f>AS37-SUM(AS42:AS44)</f>
        <v>47585.285051305196</v>
      </c>
      <c r="AT84" s="352"/>
      <c r="AU84" s="246"/>
      <c r="AV84" s="350"/>
      <c r="AW84" s="351">
        <f>AW37-SUM(AW42:AW44)</f>
        <v>55327.931499999999</v>
      </c>
      <c r="AX84" s="352"/>
      <c r="AY84" s="353">
        <f>AY37-SUM(AY42:AY44)</f>
        <v>53307.67176438211</v>
      </c>
      <c r="BA84" s="354">
        <f>BA37-SUM(BA42:BA44)</f>
        <v>60514.137000000002</v>
      </c>
      <c r="BB84" s="355">
        <f>BB37-SUM(BB42:BB44)</f>
        <v>58214.876000000004</v>
      </c>
      <c r="BC84" s="352"/>
      <c r="BD84" s="246"/>
      <c r="BE84" s="350"/>
      <c r="BF84" s="351">
        <f>BF37-SUM(BF42:BF44)</f>
        <v>65323.401000000005</v>
      </c>
      <c r="BG84" s="352"/>
      <c r="BH84" s="353">
        <f>BH37-SUM(BH42:BH44)</f>
        <v>61018.764999999999</v>
      </c>
      <c r="BI84" s="246"/>
    </row>
    <row r="85" spans="1:61" x14ac:dyDescent="0.35">
      <c r="A85" s="9168"/>
      <c r="B85" s="6082"/>
      <c r="C85"/>
      <c r="D85" s="110" t="s">
        <v>569</v>
      </c>
      <c r="F85" s="3657">
        <f>SUM(F46:F52)</f>
        <v>0</v>
      </c>
      <c r="G85" s="1446"/>
      <c r="H85" s="354">
        <f t="shared" ref="H85:I85" si="85">SUM(H46:H52)</f>
        <v>0</v>
      </c>
      <c r="I85" s="355">
        <f t="shared" si="85"/>
        <v>0</v>
      </c>
      <c r="J85" s="1363"/>
      <c r="K85" s="1446"/>
      <c r="L85" s="354">
        <f t="shared" ref="L85:M85" si="86">SUM(L46:L52)</f>
        <v>0</v>
      </c>
      <c r="M85" s="1201">
        <f t="shared" si="86"/>
        <v>0</v>
      </c>
      <c r="N85" s="352"/>
      <c r="O85" s="354">
        <f>SUM(O46:O52)</f>
        <v>0</v>
      </c>
      <c r="P85" s="355">
        <f>SUM(P46:P52)</f>
        <v>0</v>
      </c>
      <c r="Q85" s="352"/>
      <c r="R85" s="246"/>
      <c r="S85" s="350"/>
      <c r="T85" s="351">
        <f>SUM(T46:T52)</f>
        <v>0</v>
      </c>
      <c r="U85" s="352"/>
      <c r="V85" s="353">
        <f>SUM(V46:V52)</f>
        <v>0</v>
      </c>
      <c r="X85" s="354">
        <f>SUM(X46:X52)</f>
        <v>0</v>
      </c>
      <c r="Y85" s="355">
        <f>SUM(Y46:Y52)</f>
        <v>0</v>
      </c>
      <c r="Z85" s="352"/>
      <c r="AA85" s="246"/>
      <c r="AB85" s="350"/>
      <c r="AC85" s="351">
        <f>SUM(AC46:AC52)</f>
        <v>0</v>
      </c>
      <c r="AD85" s="352"/>
      <c r="AE85" s="353">
        <f>SUM(AE46:AE52)</f>
        <v>0</v>
      </c>
      <c r="AG85" s="354">
        <f>SUM(AG46:AG52)</f>
        <v>0</v>
      </c>
      <c r="AH85" s="355">
        <f>SUM(AH46:AH52)</f>
        <v>0</v>
      </c>
      <c r="AI85" s="352"/>
      <c r="AJ85" s="246"/>
      <c r="AK85" s="350"/>
      <c r="AL85" s="351">
        <f>SUM(AL46:AL52)</f>
        <v>0</v>
      </c>
      <c r="AM85" s="352"/>
      <c r="AN85" s="353">
        <f>SUM(AN46:AN52)</f>
        <v>0</v>
      </c>
      <c r="AR85" s="354">
        <f>SUM(AR46:AR52)</f>
        <v>0</v>
      </c>
      <c r="AS85" s="355">
        <f>SUM(AS46:AS52)</f>
        <v>0</v>
      </c>
      <c r="AT85" s="352"/>
      <c r="AU85" s="246"/>
      <c r="AV85" s="350"/>
      <c r="AW85" s="351">
        <f>SUM(AW46:AW52)</f>
        <v>0</v>
      </c>
      <c r="AX85" s="352"/>
      <c r="AY85" s="353">
        <f>SUM(AY46:AY52)</f>
        <v>0</v>
      </c>
      <c r="BA85" s="354">
        <f>SUM(BA46:BA52)</f>
        <v>0</v>
      </c>
      <c r="BB85" s="355">
        <f>SUM(BB46:BB52)</f>
        <v>0</v>
      </c>
      <c r="BC85" s="352"/>
      <c r="BD85" s="246"/>
      <c r="BE85" s="350"/>
      <c r="BF85" s="351">
        <f>SUM(BF46:BF52)</f>
        <v>0</v>
      </c>
      <c r="BG85" s="352"/>
      <c r="BH85" s="353">
        <f>SUM(BH46:BH52)</f>
        <v>0</v>
      </c>
      <c r="BI85" s="246"/>
    </row>
    <row r="86" spans="1:61" x14ac:dyDescent="0.35">
      <c r="A86" s="9168"/>
      <c r="B86" s="6082"/>
      <c r="C86"/>
      <c r="D86" s="110" t="s">
        <v>570</v>
      </c>
      <c r="F86" s="3657">
        <f>SUM(F54:F61)*F30</f>
        <v>0</v>
      </c>
      <c r="G86" s="1446"/>
      <c r="H86" s="354">
        <f t="shared" ref="H86:I86" si="87">SUM(H54:H61)*H30</f>
        <v>0</v>
      </c>
      <c r="I86" s="355">
        <f t="shared" si="87"/>
        <v>0</v>
      </c>
      <c r="J86" s="1363"/>
      <c r="K86" s="1446"/>
      <c r="L86" s="354">
        <f t="shared" ref="L86:M86" si="88">SUM(L54:L61)*L30</f>
        <v>0</v>
      </c>
      <c r="M86" s="1201">
        <f t="shared" si="88"/>
        <v>0</v>
      </c>
      <c r="N86" s="352"/>
      <c r="O86" s="354">
        <f>SUM(O54:O61)*O30</f>
        <v>0</v>
      </c>
      <c r="P86" s="355">
        <f>SUM(P54:P61)*P30</f>
        <v>0</v>
      </c>
      <c r="Q86" s="352"/>
      <c r="R86" s="246"/>
      <c r="S86" s="350"/>
      <c r="T86" s="351">
        <f>SUM(T54:T61)*T30</f>
        <v>0</v>
      </c>
      <c r="U86" s="352"/>
      <c r="V86" s="353">
        <f>SUM(V54:V61)*V30</f>
        <v>0</v>
      </c>
      <c r="X86" s="354">
        <f>SUM(X54:X61)*X30</f>
        <v>0</v>
      </c>
      <c r="Y86" s="355">
        <f>SUM(Y54:Y61)*Y30</f>
        <v>0</v>
      </c>
      <c r="Z86" s="352"/>
      <c r="AA86" s="246"/>
      <c r="AB86" s="350"/>
      <c r="AC86" s="351">
        <f>SUM(AC54:AC61)*AC30</f>
        <v>0</v>
      </c>
      <c r="AD86" s="352"/>
      <c r="AE86" s="353">
        <f>SUM(AE54:AE61)*AE30</f>
        <v>0</v>
      </c>
      <c r="AG86" s="354">
        <f>SUM(AG54:AG61)*AG30</f>
        <v>0</v>
      </c>
      <c r="AH86" s="355">
        <f>SUM(AH54:AH61)*AH30</f>
        <v>0</v>
      </c>
      <c r="AI86" s="352"/>
      <c r="AJ86" s="246"/>
      <c r="AK86" s="350"/>
      <c r="AL86" s="351">
        <f>SUM(AL54:AL61)*AL30</f>
        <v>0</v>
      </c>
      <c r="AM86" s="352"/>
      <c r="AN86" s="353">
        <f>SUM(AN54:AN61)*AN30</f>
        <v>0</v>
      </c>
      <c r="AR86" s="354">
        <f>SUM(AR54:AR61)*AR30</f>
        <v>0</v>
      </c>
      <c r="AS86" s="355">
        <f>SUM(AS54:AS61)*AS30</f>
        <v>0</v>
      </c>
      <c r="AT86" s="352"/>
      <c r="AU86" s="246"/>
      <c r="AV86" s="350"/>
      <c r="AW86" s="351">
        <f>SUM(AW54:AW61)*AW30</f>
        <v>0</v>
      </c>
      <c r="AX86" s="352"/>
      <c r="AY86" s="353">
        <f>SUM(AY54:AY61)*AY30</f>
        <v>0</v>
      </c>
      <c r="BA86" s="354">
        <f>SUM(BA54:BA61)*BA30</f>
        <v>0</v>
      </c>
      <c r="BB86" s="355">
        <f>SUM(BB54:BB61)*BB30</f>
        <v>0</v>
      </c>
      <c r="BC86" s="352"/>
      <c r="BD86" s="246"/>
      <c r="BE86" s="350"/>
      <c r="BF86" s="351">
        <f>SUM(BF54:BF61)*BF30</f>
        <v>0</v>
      </c>
      <c r="BG86" s="352"/>
      <c r="BH86" s="353">
        <f>SUM(BH54:BH61)*BH30</f>
        <v>0</v>
      </c>
      <c r="BI86" s="246"/>
    </row>
    <row r="87" spans="1:61" x14ac:dyDescent="0.35">
      <c r="A87" s="9168"/>
      <c r="B87" s="6082"/>
      <c r="C87"/>
      <c r="D87" s="110" t="s">
        <v>552</v>
      </c>
      <c r="F87" s="3657">
        <f>SUM(F63:F65)</f>
        <v>0</v>
      </c>
      <c r="G87" s="1446"/>
      <c r="H87" s="354">
        <f t="shared" ref="H87:I87" si="89">SUM(H63:H65)</f>
        <v>0</v>
      </c>
      <c r="I87" s="355">
        <f t="shared" si="89"/>
        <v>0</v>
      </c>
      <c r="J87" s="1363"/>
      <c r="K87" s="1446"/>
      <c r="L87" s="354">
        <f t="shared" ref="L87:M87" si="90">SUM(L63:L65)</f>
        <v>0</v>
      </c>
      <c r="M87" s="1201">
        <f t="shared" si="90"/>
        <v>0</v>
      </c>
      <c r="N87" s="352"/>
      <c r="O87" s="354">
        <f>SUM(O63:O65)</f>
        <v>0</v>
      </c>
      <c r="P87" s="355">
        <f>SUM(P63:P65)</f>
        <v>0</v>
      </c>
      <c r="Q87" s="352"/>
      <c r="R87" s="246"/>
      <c r="S87" s="350"/>
      <c r="T87" s="351">
        <f>SUM(T63:T65)</f>
        <v>0</v>
      </c>
      <c r="U87" s="352"/>
      <c r="V87" s="353">
        <f>SUM(V63:V65)</f>
        <v>0</v>
      </c>
      <c r="X87" s="354">
        <f>SUM(X63:X65)</f>
        <v>0</v>
      </c>
      <c r="Y87" s="355">
        <f>SUM(Y63:Y65)</f>
        <v>0</v>
      </c>
      <c r="Z87" s="352"/>
      <c r="AA87" s="246"/>
      <c r="AB87" s="350"/>
      <c r="AC87" s="351">
        <f>SUM(AC63:AC65)</f>
        <v>0</v>
      </c>
      <c r="AD87" s="352"/>
      <c r="AE87" s="353">
        <f>SUM(AE63:AE65)</f>
        <v>0</v>
      </c>
      <c r="AG87" s="354">
        <f>SUM(AG63:AG65)</f>
        <v>0</v>
      </c>
      <c r="AH87" s="355">
        <f>SUM(AH63:AH65)</f>
        <v>0</v>
      </c>
      <c r="AI87" s="352"/>
      <c r="AJ87" s="246"/>
      <c r="AK87" s="350"/>
      <c r="AL87" s="351">
        <f>SUM(AL63:AL65)</f>
        <v>0</v>
      </c>
      <c r="AM87" s="352"/>
      <c r="AN87" s="353">
        <f>SUM(AN63:AN65)</f>
        <v>0</v>
      </c>
      <c r="AR87" s="354">
        <f>SUM(AR63:AR65)</f>
        <v>0</v>
      </c>
      <c r="AS87" s="355">
        <f>SUM(AS63:AS65)</f>
        <v>0</v>
      </c>
      <c r="AT87" s="352"/>
      <c r="AU87" s="246"/>
      <c r="AV87" s="350"/>
      <c r="AW87" s="351">
        <f>SUM(AW63:AW65)</f>
        <v>0</v>
      </c>
      <c r="AX87" s="352"/>
      <c r="AY87" s="353">
        <f>SUM(AY63:AY65)</f>
        <v>0</v>
      </c>
      <c r="BA87" s="354">
        <f>SUM(BA63:BA65)</f>
        <v>0</v>
      </c>
      <c r="BB87" s="355">
        <f>SUM(BB63:BB65)</f>
        <v>0</v>
      </c>
      <c r="BC87" s="352"/>
      <c r="BD87" s="246"/>
      <c r="BE87" s="350"/>
      <c r="BF87" s="351">
        <f>SUM(BF63:BF65)</f>
        <v>0</v>
      </c>
      <c r="BG87" s="352"/>
      <c r="BH87" s="353">
        <f>SUM(BH63:BH65)</f>
        <v>0</v>
      </c>
      <c r="BI87" s="246"/>
    </row>
    <row r="88" spans="1:61" x14ac:dyDescent="0.35">
      <c r="A88" s="9168"/>
      <c r="B88" s="6082"/>
      <c r="C88"/>
      <c r="D88" s="356" t="s">
        <v>571</v>
      </c>
      <c r="E88" s="143"/>
      <c r="F88" s="3658">
        <f t="shared" ref="F88" si="91">SUM(F84:F87)</f>
        <v>23895.5</v>
      </c>
      <c r="G88" s="1448"/>
      <c r="H88" s="363">
        <f t="shared" ref="H88:I88" si="92">SUM(H84:H87)</f>
        <v>40127</v>
      </c>
      <c r="I88" s="364">
        <f t="shared" si="92"/>
        <v>37318</v>
      </c>
      <c r="J88" s="1447"/>
      <c r="K88" s="1448"/>
      <c r="L88" s="363">
        <f t="shared" ref="L88:M88" si="93">SUM(L84:L87)</f>
        <v>44745</v>
      </c>
      <c r="M88" s="1202">
        <f t="shared" si="93"/>
        <v>39398.666666666664</v>
      </c>
      <c r="N88" s="360"/>
      <c r="O88" s="363">
        <f t="shared" ref="O88:P88" si="94">SUM(O84:O87)</f>
        <v>40379.156999999999</v>
      </c>
      <c r="P88" s="364">
        <f t="shared" si="94"/>
        <v>38559.091</v>
      </c>
      <c r="Q88" s="360"/>
      <c r="R88" s="361"/>
      <c r="S88" s="358"/>
      <c r="T88" s="359">
        <f t="shared" ref="T88" si="95">SUM(T84:T87)</f>
        <v>44149.866999999998</v>
      </c>
      <c r="U88" s="360"/>
      <c r="V88" s="362">
        <f t="shared" ref="V88" si="96">SUM(V84:V87)</f>
        <v>42398.333376584007</v>
      </c>
      <c r="W88" s="143"/>
      <c r="X88" s="363">
        <f t="shared" ref="X88:Y88" si="97">SUM(X84:X87)</f>
        <v>46232.901999999995</v>
      </c>
      <c r="Y88" s="364">
        <f t="shared" si="97"/>
        <v>44146.261999999995</v>
      </c>
      <c r="Z88" s="360"/>
      <c r="AA88" s="361"/>
      <c r="AB88" s="358"/>
      <c r="AC88" s="359">
        <f t="shared" ref="AC88" si="98">SUM(AC84:AC87)</f>
        <v>48287.7</v>
      </c>
      <c r="AD88" s="360"/>
      <c r="AE88" s="362">
        <f t="shared" ref="AE88" si="99">SUM(AE84:AE87)</f>
        <v>46108.320338130623</v>
      </c>
      <c r="AF88" s="143"/>
      <c r="AG88" s="363">
        <f t="shared" ref="AG88:AH88" si="100">SUM(AG84:AG87)</f>
        <v>49878.985999999997</v>
      </c>
      <c r="AH88" s="364">
        <f t="shared" si="100"/>
        <v>46275.735999999997</v>
      </c>
      <c r="AI88" s="360"/>
      <c r="AJ88" s="361"/>
      <c r="AK88" s="358"/>
      <c r="AL88" s="359">
        <f t="shared" ref="AL88" si="101">SUM(AL84:AL87)</f>
        <v>52629.5</v>
      </c>
      <c r="AM88" s="360"/>
      <c r="AN88" s="362">
        <f t="shared" ref="AN88" si="102">SUM(AN84:AN87)</f>
        <v>48827.553306957765</v>
      </c>
      <c r="AO88" s="143"/>
      <c r="AR88" s="363">
        <f t="shared" ref="AR88:AS88" si="103">SUM(AR84:AR87)</f>
        <v>51290.502800000002</v>
      </c>
      <c r="AS88" s="364">
        <f t="shared" si="103"/>
        <v>47585.285051305196</v>
      </c>
      <c r="AT88" s="360"/>
      <c r="AU88" s="361"/>
      <c r="AV88" s="358"/>
      <c r="AW88" s="359">
        <f t="shared" ref="AW88" si="104">SUM(AW84:AW87)</f>
        <v>55327.931499999999</v>
      </c>
      <c r="AX88" s="360"/>
      <c r="AY88" s="362">
        <f t="shared" ref="AY88" si="105">SUM(AY84:AY87)</f>
        <v>53307.67176438211</v>
      </c>
      <c r="BA88" s="363">
        <f t="shared" ref="BA88:BB88" si="106">SUM(BA84:BA87)</f>
        <v>60514.137000000002</v>
      </c>
      <c r="BB88" s="364">
        <f t="shared" si="106"/>
        <v>58214.876000000004</v>
      </c>
      <c r="BC88" s="360"/>
      <c r="BD88" s="361"/>
      <c r="BE88" s="358"/>
      <c r="BF88" s="359">
        <f t="shared" ref="BF88" si="107">SUM(BF84:BF87)</f>
        <v>65323.401000000005</v>
      </c>
      <c r="BG88" s="360"/>
      <c r="BH88" s="362">
        <f t="shared" ref="BH88" si="108">SUM(BH84:BH87)</f>
        <v>61018.764999999999</v>
      </c>
      <c r="BI88" s="361"/>
    </row>
    <row r="89" spans="1:61" ht="15.5" x14ac:dyDescent="0.35">
      <c r="A89" s="9168"/>
      <c r="B89" s="6082"/>
      <c r="C89"/>
      <c r="D89" s="356" t="s">
        <v>572</v>
      </c>
      <c r="F89" s="366">
        <f>F88/(F19+F20+F21)</f>
        <v>0.19586363029064588</v>
      </c>
      <c r="G89" s="367"/>
      <c r="H89" s="368">
        <f t="shared" ref="H89:I89" si="109">H88/(H19+H20+H21)</f>
        <v>0.17775200655955273</v>
      </c>
      <c r="I89" s="369">
        <f t="shared" si="109"/>
        <v>0.18159071677191094</v>
      </c>
      <c r="J89" s="370"/>
      <c r="K89" s="367"/>
      <c r="L89" s="368">
        <f t="shared" ref="L89:M89" si="110">L88/(L19+L20+L21)</f>
        <v>0.21984333613552315</v>
      </c>
      <c r="M89" s="370">
        <f t="shared" si="110"/>
        <v>0.24126320052385691</v>
      </c>
      <c r="N89" s="369"/>
      <c r="O89" s="368">
        <f>O88/(O19+O20+O21)</f>
        <v>0.20851671297120167</v>
      </c>
      <c r="P89" s="369">
        <f>P88/(P19+P20+P21)</f>
        <v>0.22123297754701432</v>
      </c>
      <c r="Q89" s="369"/>
      <c r="R89" s="370"/>
      <c r="S89" s="367"/>
      <c r="T89" s="368">
        <f>T88/(T19+T20+T21)</f>
        <v>0.21660012885268951</v>
      </c>
      <c r="U89" s="369"/>
      <c r="V89" s="370">
        <f>V88/(V19+V20+V21)</f>
        <v>0.23383625432522151</v>
      </c>
      <c r="X89" s="368">
        <f>X88/(X19+X20+X21)</f>
        <v>0.22430375025671656</v>
      </c>
      <c r="Y89" s="369">
        <f>Y88/(Y19+Y20+Y21)</f>
        <v>0.25219460446367969</v>
      </c>
      <c r="Z89" s="369"/>
      <c r="AA89" s="370"/>
      <c r="AB89" s="367"/>
      <c r="AC89" s="368">
        <f>AC88/(AC19+AC20+AC21)</f>
        <v>0.23005841359244006</v>
      </c>
      <c r="AD89" s="369"/>
      <c r="AE89" s="370">
        <f>AE88/(AE19+AE20+AE21)</f>
        <v>0.26088576201714769</v>
      </c>
      <c r="AG89" s="368">
        <f>AG88/(AG19+AG20+AG21)</f>
        <v>0.23763982112959464</v>
      </c>
      <c r="AH89" s="369">
        <f>AH88/(AH19+AH20+AH21)</f>
        <v>0.25199214112860191</v>
      </c>
      <c r="AI89" s="369"/>
      <c r="AJ89" s="370"/>
      <c r="AK89" s="367"/>
      <c r="AL89" s="368">
        <f>AL88/(AL19+AL20+AL21)</f>
        <v>0.2266108121467649</v>
      </c>
      <c r="AM89" s="369"/>
      <c r="AN89" s="370">
        <f>AN88/(AN19+AN20+AN21)</f>
        <v>0.23387751913541646</v>
      </c>
      <c r="AR89" s="561">
        <f>AR88/(AR19+AR20+AR21)</f>
        <v>0.22084539079649093</v>
      </c>
      <c r="AS89" s="562">
        <f>AS88/(AS19+AS20+AS21)</f>
        <v>0.21819334630657847</v>
      </c>
      <c r="AT89" s="562"/>
      <c r="AU89" s="563"/>
      <c r="AV89" s="560"/>
      <c r="AW89" s="561">
        <f>AW88/(AW19+AW20+AW21)</f>
        <v>0.20964490327479629</v>
      </c>
      <c r="AX89" s="562"/>
      <c r="AY89" s="563">
        <f>AY88/(AY19+AY20+AY21)</f>
        <v>0.22313305102430037</v>
      </c>
      <c r="BA89" s="368">
        <f>BA88/(BA19+BA20+BA21)</f>
        <v>0.22376277738253536</v>
      </c>
      <c r="BB89" s="369">
        <f>BB88/(BB19+BB20+BB21)</f>
        <v>0.24444553805636515</v>
      </c>
      <c r="BC89" s="369"/>
      <c r="BD89" s="370"/>
      <c r="BE89" s="367"/>
      <c r="BF89" s="368">
        <f>BF88/(BF19+BF20+BF21)</f>
        <v>0.22393436514210455</v>
      </c>
      <c r="BG89" s="369"/>
      <c r="BH89" s="370">
        <f>BH88/(BH19+BH20+BH21)</f>
        <v>0.2306061830313951</v>
      </c>
      <c r="BI89" s="370"/>
    </row>
    <row r="90" spans="1:61" x14ac:dyDescent="0.35">
      <c r="A90" s="9168"/>
      <c r="B90" s="371"/>
      <c r="C90" s="372"/>
      <c r="D90" s="296" t="s">
        <v>573</v>
      </c>
      <c r="E90" s="374"/>
      <c r="F90" s="1054"/>
      <c r="G90" s="1055"/>
      <c r="H90" s="1056"/>
      <c r="I90" s="953"/>
      <c r="J90" s="1057"/>
      <c r="K90" s="1055"/>
      <c r="L90" s="1203"/>
      <c r="M90" s="1057"/>
      <c r="N90" s="1820"/>
      <c r="O90" s="381">
        <f>O38+SUM(O46:O49)+O64</f>
        <v>32389.613000000001</v>
      </c>
      <c r="P90" s="382">
        <f>P38+SUM(P46:P49)+P64</f>
        <v>32318.438999999998</v>
      </c>
      <c r="Q90" s="383"/>
      <c r="R90" s="384"/>
      <c r="S90" s="385"/>
      <c r="T90" s="386">
        <f>T38+SUM(T46:T49)+T64</f>
        <v>36514.813999999998</v>
      </c>
      <c r="U90" s="383"/>
      <c r="V90" s="680">
        <f>V38+SUM(V46:V49)+V64</f>
        <v>36434.575147759431</v>
      </c>
      <c r="X90" s="381">
        <f>X38+SUM(X46:X49)+X64+X86</f>
        <v>38293.930999999997</v>
      </c>
      <c r="Y90" s="382">
        <f>Y38+SUM(Y46:Y49)+Y64+Y86</f>
        <v>38122.250999999997</v>
      </c>
      <c r="Z90" s="383"/>
      <c r="AA90" s="384"/>
      <c r="AB90" s="385"/>
      <c r="AC90" s="386">
        <f>AC38+SUM(AC46:AC49)+AC64+AC86</f>
        <v>39995.885439955724</v>
      </c>
      <c r="AD90" s="383"/>
      <c r="AE90" s="680">
        <f>AE38+SUM(AE46:AE49)+AE64+AE86</f>
        <v>39816.575208986447</v>
      </c>
      <c r="AG90" s="381">
        <f>AG38+SUM(AG46:AG49)+AG64+AG86</f>
        <v>39061.334999999999</v>
      </c>
      <c r="AH90" s="382">
        <f>AH38+SUM(AH46:AH49)+AH64+AH86</f>
        <v>41381.015999999996</v>
      </c>
      <c r="AI90" s="383"/>
      <c r="AJ90" s="384"/>
      <c r="AK90" s="385"/>
      <c r="AL90" s="386"/>
      <c r="AM90" s="383"/>
      <c r="AN90" s="680"/>
      <c r="AR90" s="381">
        <f>AR38+SUM(AR46:AR49)+AR64+AR86</f>
        <v>43185.92211</v>
      </c>
      <c r="AS90" s="382">
        <f>AS38+SUM(AS46:AS49)+AS64+AS86</f>
        <v>45750.544209732303</v>
      </c>
      <c r="AT90" s="956"/>
      <c r="AU90" s="955"/>
      <c r="AV90" s="954"/>
      <c r="AW90" s="386">
        <f>AW38+SUM(AW46:AW49)+AW64+AW86</f>
        <v>48856.731659999998</v>
      </c>
      <c r="AX90" s="956"/>
      <c r="AY90" s="680">
        <f>AY38+SUM(AY46:AY49)+AY64+AY86</f>
        <v>51758.118214089882</v>
      </c>
      <c r="BA90" s="381">
        <f>BA38+SUM(BA46:BA49)+BA64+BA86</f>
        <v>51136.849000000002</v>
      </c>
      <c r="BB90" s="382">
        <f>BB38+SUM(BB46:BB49)+BB64+BB86</f>
        <v>50995.356</v>
      </c>
      <c r="BC90" s="383"/>
      <c r="BD90" s="384"/>
      <c r="BE90" s="385"/>
      <c r="BF90" s="386">
        <f>BF38+SUM(BF46:BF49)+BF64+BF86</f>
        <v>57284.351000000002</v>
      </c>
      <c r="BG90" s="383"/>
      <c r="BH90" s="680">
        <f>BH38+SUM(BH46:BH49)+BH64+BH86</f>
        <v>56778.171000000002</v>
      </c>
      <c r="BI90" s="384"/>
    </row>
    <row r="91" spans="1:61" x14ac:dyDescent="0.35">
      <c r="A91" s="9168"/>
      <c r="B91" s="58"/>
      <c r="C91" s="390"/>
      <c r="D91" s="296" t="s">
        <v>575</v>
      </c>
      <c r="E91" s="392"/>
      <c r="F91" s="393"/>
      <c r="G91" s="392"/>
      <c r="H91" s="394"/>
      <c r="I91" s="395"/>
      <c r="J91" s="229"/>
      <c r="K91" s="392"/>
      <c r="L91" s="396"/>
      <c r="M91" s="229"/>
      <c r="O91" s="405">
        <f>(O88-O90)/((O20+O21))</f>
        <v>9.6051852398371884E-2</v>
      </c>
      <c r="P91" s="406">
        <f>(P88-P90)/((P20+P21))</f>
        <v>9.7391819916868572E-2</v>
      </c>
      <c r="Q91" s="407"/>
      <c r="R91" s="408"/>
      <c r="S91" s="409"/>
      <c r="T91" s="410">
        <f>(T88-T90)/((T20+T21))</f>
        <v>0.10044155432035592</v>
      </c>
      <c r="U91" s="407"/>
      <c r="V91" s="691">
        <f>(V88-V90)/((V20+V21))</f>
        <v>0.11085832563223118</v>
      </c>
      <c r="X91" s="405">
        <f>(X88-X90)/((X20+X21))</f>
        <v>0.10443969242181163</v>
      </c>
      <c r="Y91" s="406">
        <f>(Y88-Y90)/((Y20+Y21))</f>
        <v>0.1198316908889092</v>
      </c>
      <c r="Z91" s="407"/>
      <c r="AA91" s="408"/>
      <c r="AB91" s="409"/>
      <c r="AC91" s="410">
        <f>(AC88-AC90)/((AC20+AC21))</f>
        <v>0.10315611457902417</v>
      </c>
      <c r="AD91" s="407"/>
      <c r="AE91" s="691">
        <f>(AE88-AE90)/((AE20+AE21))</f>
        <v>0.11978315158542129</v>
      </c>
      <c r="AG91" s="405">
        <f>(AG88-AG90)/((AG20+AG21))</f>
        <v>0.13457932976565953</v>
      </c>
      <c r="AH91" s="406">
        <f>(AH88-AH90)/((AH20+AH21))</f>
        <v>0.13343268283640411</v>
      </c>
      <c r="AI91" s="407"/>
      <c r="AJ91" s="408"/>
      <c r="AK91" s="409"/>
      <c r="AL91" s="410"/>
      <c r="AM91" s="407"/>
      <c r="AN91" s="691"/>
      <c r="AR91" s="405">
        <f>(AR88-AR90)/((AR20+AR21))</f>
        <v>9.9559614049872097E-2</v>
      </c>
      <c r="AS91" s="406">
        <f>(AS88-AS90)/((AS20+AS21))</f>
        <v>2.7322695210971325E-2</v>
      </c>
      <c r="AT91" s="3341"/>
      <c r="AU91" s="3339"/>
      <c r="AV91" s="3338"/>
      <c r="AW91" s="410">
        <f>(AW88-AW90)/((AW20+AW21))</f>
        <v>6.3244720875684141E-2</v>
      </c>
      <c r="AX91" s="3341"/>
      <c r="AY91" s="691">
        <f>(AY88-AY90)/((AY20+AY21))</f>
        <v>2.1597287578849024E-2</v>
      </c>
      <c r="BA91" s="405">
        <f>(BA88-BA90)/((BA20+BA21))</f>
        <v>9.0511741937974774E-2</v>
      </c>
      <c r="BB91" s="406">
        <f>(BB88-BB90)/((BB20+BB21))</f>
        <v>0.10019805003296213</v>
      </c>
      <c r="BC91" s="407"/>
      <c r="BD91" s="408"/>
      <c r="BE91" s="409"/>
      <c r="BF91" s="410">
        <f>(BF88-BF90)/((BF20+BF21))</f>
        <v>8.8760137130743488E-2</v>
      </c>
      <c r="BG91" s="407"/>
      <c r="BH91" s="691">
        <f>(BH88-BH90)/((BH20+BH21))</f>
        <v>6.1848425492566791E-2</v>
      </c>
      <c r="BI91" s="408"/>
    </row>
    <row r="92" spans="1:61" x14ac:dyDescent="0.35">
      <c r="A92" s="9168"/>
      <c r="B92" s="58"/>
      <c r="C92" s="390"/>
      <c r="D92" s="296" t="s">
        <v>576</v>
      </c>
      <c r="E92" s="424"/>
      <c r="F92" s="981"/>
      <c r="G92" s="982"/>
      <c r="H92" s="983"/>
      <c r="I92" s="979"/>
      <c r="J92" s="246"/>
      <c r="K92" s="982"/>
      <c r="L92" s="986"/>
      <c r="M92" s="1233"/>
      <c r="N92" s="985"/>
      <c r="O92" s="405">
        <f>O90/(O19)</f>
        <v>0.29319824448282389</v>
      </c>
      <c r="P92" s="406">
        <f>P90/(P19)</f>
        <v>0.29323351044603652</v>
      </c>
      <c r="Q92" s="407"/>
      <c r="R92" s="408"/>
      <c r="S92" s="409"/>
      <c r="T92" s="410">
        <f>T90/(T19)</f>
        <v>0.28568191560499351</v>
      </c>
      <c r="U92" s="407"/>
      <c r="V92" s="691">
        <f>V90/(V19)</f>
        <v>0.28571627750215967</v>
      </c>
      <c r="X92" s="405">
        <f>X90/(X19)</f>
        <v>0.29433662689033646</v>
      </c>
      <c r="Y92" s="406">
        <f>Y90/(Y19)</f>
        <v>0.30552110231146878</v>
      </c>
      <c r="Z92" s="407"/>
      <c r="AA92" s="408"/>
      <c r="AB92" s="409"/>
      <c r="AC92" s="410">
        <f>AC90/(AC19)</f>
        <v>0.30881993739112718</v>
      </c>
      <c r="AD92" s="407"/>
      <c r="AE92" s="691">
        <f>AE90/(AE19)</f>
        <v>0.32055476304228064</v>
      </c>
      <c r="AG92" s="405">
        <f>AG90/(AG19)</f>
        <v>0.30160399992202791</v>
      </c>
      <c r="AH92" s="406">
        <f>AH90/(AH19)</f>
        <v>0.28158677305035318</v>
      </c>
      <c r="AI92" s="407"/>
      <c r="AJ92" s="408"/>
      <c r="AK92" s="409"/>
      <c r="AL92" s="410"/>
      <c r="AM92" s="407"/>
      <c r="AN92" s="691"/>
      <c r="AR92" s="405">
        <f>AR90/(AR19)</f>
        <v>0.28629924516994276</v>
      </c>
      <c r="AS92" s="406">
        <f>AS90/(AS19)</f>
        <v>0.30311040050333821</v>
      </c>
      <c r="AT92" s="3341"/>
      <c r="AU92" s="3339"/>
      <c r="AV92" s="3338"/>
      <c r="AW92" s="410">
        <f>AW90/(AW19)</f>
        <v>0.30234510528328645</v>
      </c>
      <c r="AX92" s="3341"/>
      <c r="AY92" s="691">
        <f>AY90/(AY19)</f>
        <v>0.30963643120881462</v>
      </c>
      <c r="BA92" s="405">
        <f>BA90/BA19</f>
        <v>0.30651004760369177</v>
      </c>
      <c r="BB92" s="406">
        <f>BB90/BB19</f>
        <v>0.30701931748808836</v>
      </c>
      <c r="BC92" s="407"/>
      <c r="BD92" s="408"/>
      <c r="BE92" s="409"/>
      <c r="BF92" s="410">
        <f>BF90/BF19</f>
        <v>0.28480222713539455</v>
      </c>
      <c r="BG92" s="407"/>
      <c r="BH92" s="691">
        <f>BH90/BH19</f>
        <v>0.28962942766504129</v>
      </c>
      <c r="BI92" s="408"/>
    </row>
    <row r="93" spans="1:61" x14ac:dyDescent="0.35">
      <c r="A93" s="9168"/>
      <c r="B93" s="58"/>
      <c r="C93" s="390"/>
      <c r="D93" s="296"/>
      <c r="E93" s="3659"/>
      <c r="F93" s="3660"/>
      <c r="G93" s="460"/>
      <c r="H93" s="3661"/>
      <c r="I93" s="3662"/>
      <c r="J93" s="246"/>
      <c r="K93" s="460"/>
      <c r="L93" s="3663"/>
      <c r="M93" s="1233"/>
      <c r="N93" s="985"/>
      <c r="O93" s="394"/>
      <c r="P93" s="395"/>
      <c r="Q93"/>
      <c r="R93" s="229"/>
      <c r="S93" s="392"/>
      <c r="T93" s="396"/>
      <c r="V93" s="977"/>
      <c r="X93" s="394"/>
      <c r="Y93" s="395"/>
      <c r="Z93"/>
      <c r="AA93" s="229"/>
      <c r="AB93" s="392"/>
      <c r="AC93" s="396"/>
      <c r="AE93" s="977"/>
      <c r="AG93" s="394"/>
      <c r="AH93" s="395"/>
      <c r="AI93"/>
      <c r="AJ93" s="229"/>
      <c r="AK93" s="392"/>
      <c r="AL93" s="396"/>
      <c r="AN93" s="977"/>
      <c r="AR93" s="394"/>
      <c r="AS93" s="395"/>
      <c r="AT93"/>
      <c r="AU93" s="229"/>
      <c r="AV93" s="392"/>
      <c r="AW93" s="396"/>
      <c r="AY93" s="977"/>
      <c r="BA93" s="394"/>
      <c r="BB93" s="395"/>
      <c r="BC93"/>
      <c r="BD93" s="229"/>
      <c r="BE93" s="392"/>
      <c r="BF93" s="396"/>
      <c r="BH93" s="977"/>
      <c r="BI93" s="229"/>
    </row>
    <row r="94" spans="1:61" x14ac:dyDescent="0.35">
      <c r="A94" s="9168"/>
      <c r="B94" s="58"/>
      <c r="C94" s="390"/>
      <c r="D94" s="296" t="s">
        <v>577</v>
      </c>
      <c r="E94" s="3659"/>
      <c r="F94" s="3664">
        <f>F88/F12</f>
        <v>0.29479326659141236</v>
      </c>
      <c r="G94" s="460"/>
      <c r="H94" s="3665">
        <f>H88/H12</f>
        <v>0.25792886853128966</v>
      </c>
      <c r="I94" s="3666">
        <f>I88/I12</f>
        <v>0.23494836462263646</v>
      </c>
      <c r="J94" s="246"/>
      <c r="K94" s="460"/>
      <c r="L94" s="3665">
        <f>L88/L12</f>
        <v>0.27842456931150822</v>
      </c>
      <c r="M94" s="1233"/>
      <c r="N94" s="985"/>
      <c r="O94" s="405">
        <f>O88/O12</f>
        <v>0.25125822766536537</v>
      </c>
      <c r="P94" s="406">
        <f>P88/P12</f>
        <v>0.24734331240017191</v>
      </c>
      <c r="Q94" s="407"/>
      <c r="R94" s="408"/>
      <c r="S94" s="409"/>
      <c r="T94" s="410">
        <f>T88/T12</f>
        <v>0.27193721839515034</v>
      </c>
      <c r="U94" s="407"/>
      <c r="V94" s="691">
        <f>V88/V12</f>
        <v>0.26921445686328022</v>
      </c>
      <c r="X94" s="405">
        <f>X88/X12</f>
        <v>0.27927306576428607</v>
      </c>
      <c r="Y94" s="406">
        <f>Y88/Y12</f>
        <v>0.26658097108906492</v>
      </c>
      <c r="Z94" s="407"/>
      <c r="AA94" s="408"/>
      <c r="AB94" s="409"/>
      <c r="AC94" s="410">
        <f>AC88/AC12</f>
        <v>0.25914632085392031</v>
      </c>
      <c r="AD94" s="407"/>
      <c r="AE94" s="691">
        <f>AE88/AE12</f>
        <v>0.24736892431189472</v>
      </c>
      <c r="AG94" s="405">
        <f>AG88/AG12</f>
        <v>0.26768629919884773</v>
      </c>
      <c r="AH94" s="406">
        <f>AH88/AH12</f>
        <v>0.26189958458943779</v>
      </c>
      <c r="AI94" s="407"/>
      <c r="AJ94" s="408"/>
      <c r="AK94" s="409"/>
      <c r="AL94" s="410">
        <f>AL88/AL12</f>
        <v>0.23615530308979146</v>
      </c>
      <c r="AM94" s="407"/>
      <c r="AN94" s="691">
        <f>AN88/AN12</f>
        <v>0.231050210499811</v>
      </c>
      <c r="AR94" s="405">
        <f>AR88/AR12</f>
        <v>0.23014705126139898</v>
      </c>
      <c r="AS94" s="406">
        <f>AS88/AS12</f>
        <v>0.22337132626572506</v>
      </c>
      <c r="AT94" s="3341"/>
      <c r="AU94" s="3339"/>
      <c r="AV94" s="3338"/>
      <c r="AW94" s="410">
        <f>AW88/AW12</f>
        <v>0.2265428727840306</v>
      </c>
      <c r="AX94" s="3341"/>
      <c r="AY94" s="691">
        <f>AY88/AY12</f>
        <v>0.19284266615773457</v>
      </c>
      <c r="BA94" s="405">
        <f>BA88/BA12</f>
        <v>0.24183676674638088</v>
      </c>
      <c r="BB94" s="406">
        <f>BB88/BB12</f>
        <v>0.21032282445566683</v>
      </c>
      <c r="BC94" s="407"/>
      <c r="BD94" s="408"/>
      <c r="BE94" s="409"/>
      <c r="BF94" s="410">
        <f>BF88/BF12</f>
        <v>0.30504755029029845</v>
      </c>
      <c r="BG94" s="407"/>
      <c r="BH94" s="691">
        <f>BH88/BH12</f>
        <v>0.25820234299460693</v>
      </c>
      <c r="BI94" s="408"/>
    </row>
    <row r="95" spans="1:61" x14ac:dyDescent="0.35">
      <c r="A95" s="9168"/>
      <c r="B95" s="58"/>
      <c r="C95" s="390"/>
      <c r="D95" s="59" t="s">
        <v>578</v>
      </c>
      <c r="E95" s="3659"/>
      <c r="F95" s="3660">
        <f>F88-F67</f>
        <v>18476.870999999999</v>
      </c>
      <c r="G95" s="460"/>
      <c r="H95" s="3661">
        <f t="shared" ref="H95:I95" si="111">H88-H67</f>
        <v>32889.186390000003</v>
      </c>
      <c r="I95" s="3662">
        <f t="shared" si="111"/>
        <v>32474.988020000001</v>
      </c>
      <c r="J95" s="246"/>
      <c r="K95" s="460"/>
      <c r="L95" s="3661">
        <f t="shared" ref="L95" si="112">L88-L67</f>
        <v>36879.652999999998</v>
      </c>
      <c r="M95" s="1233"/>
      <c r="N95" s="985"/>
      <c r="O95" s="572">
        <f t="shared" ref="O95:P95" si="113">O88-O67</f>
        <v>34928.976000000002</v>
      </c>
      <c r="P95" s="1993">
        <f t="shared" si="113"/>
        <v>34809.612000000001</v>
      </c>
      <c r="Q95" s="254"/>
      <c r="R95" s="247"/>
      <c r="S95" s="1742"/>
      <c r="T95" s="1994"/>
      <c r="U95" s="254"/>
      <c r="V95" s="3434"/>
      <c r="X95" s="572">
        <f>X88-X67</f>
        <v>39768.442999999992</v>
      </c>
      <c r="Y95" s="1993">
        <f>Y88-Y67</f>
        <v>39339.337999999996</v>
      </c>
      <c r="Z95" s="254"/>
      <c r="AA95" s="247"/>
      <c r="AB95" s="1742"/>
      <c r="AC95" s="1994">
        <f>AC88-AC67</f>
        <v>41084.199999999997</v>
      </c>
      <c r="AD95" s="254"/>
      <c r="AE95" s="3434">
        <f>AE88-AE67</f>
        <v>38904.820338130623</v>
      </c>
      <c r="AG95" s="572">
        <f>AG88-AG67</f>
        <v>40675.096999999994</v>
      </c>
      <c r="AH95" s="1993">
        <f>AH88-AH67</f>
        <v>41885.497333333333</v>
      </c>
      <c r="AI95" s="254"/>
      <c r="AJ95" s="247"/>
      <c r="AK95" s="1742"/>
      <c r="AL95" s="1994">
        <f>AL88-AL67</f>
        <v>45449.4</v>
      </c>
      <c r="AM95" s="254"/>
      <c r="AN95" s="3434">
        <f>AN88-AN67</f>
        <v>41647.453306957766</v>
      </c>
      <c r="AR95" s="572">
        <f>AR88-AR67</f>
        <v>44110.402800000003</v>
      </c>
      <c r="AS95" s="1993">
        <f>AS88-AS67</f>
        <v>44160.390134544105</v>
      </c>
      <c r="AT95" s="254"/>
      <c r="AU95" s="247"/>
      <c r="AV95" s="1742"/>
      <c r="AW95" s="1994">
        <f>AW88-AW67</f>
        <v>49860.431499999999</v>
      </c>
      <c r="AX95" s="254"/>
      <c r="AY95" s="3434">
        <f>AY88-AY67</f>
        <v>50699.683998558336</v>
      </c>
      <c r="BA95" s="572">
        <f>BA88-BA66</f>
        <v>52055.801000000007</v>
      </c>
      <c r="BB95" s="1993">
        <f>BB88-BB66</f>
        <v>51896.618000000002</v>
      </c>
      <c r="BC95" s="254"/>
      <c r="BD95" s="247"/>
      <c r="BE95" s="1742"/>
      <c r="BF95" s="1994">
        <f>BF88-BF66</f>
        <v>58335.856000000007</v>
      </c>
      <c r="BG95" s="254"/>
      <c r="BH95" s="3434">
        <f>BH88-BH66</f>
        <v>57444.407999999996</v>
      </c>
      <c r="BI95" s="247"/>
    </row>
    <row r="96" spans="1:61" x14ac:dyDescent="0.35">
      <c r="A96" s="9168"/>
      <c r="B96" s="58"/>
      <c r="C96" s="390"/>
      <c r="D96" s="296" t="s">
        <v>579</v>
      </c>
      <c r="E96" s="3659"/>
      <c r="F96" s="3664">
        <f>F95/F12</f>
        <v>0.22794489165232515</v>
      </c>
      <c r="G96" s="460"/>
      <c r="H96" s="3665">
        <f>H95/H12</f>
        <v>0.21140555318083562</v>
      </c>
      <c r="I96" s="3666">
        <f>I95/I12</f>
        <v>0.20445750914943758</v>
      </c>
      <c r="J96" s="246"/>
      <c r="K96" s="460"/>
      <c r="L96" s="3665">
        <f>L95/L12</f>
        <v>0.22948265734457196</v>
      </c>
      <c r="M96" s="1233"/>
      <c r="N96" s="985"/>
      <c r="O96" s="405">
        <f>O95/O12</f>
        <v>0.2173446217296236</v>
      </c>
      <c r="P96" s="406">
        <f>P95/P12</f>
        <v>0.2232916936616782</v>
      </c>
      <c r="Q96" s="407"/>
      <c r="R96" s="408"/>
      <c r="S96" s="409"/>
      <c r="T96" s="410"/>
      <c r="U96" s="407"/>
      <c r="V96" s="691"/>
      <c r="X96" s="405">
        <f>X95/X12</f>
        <v>0.24022405076977996</v>
      </c>
      <c r="Y96" s="406">
        <f>Y95/Y12</f>
        <v>0.23755395023118725</v>
      </c>
      <c r="Z96" s="407"/>
      <c r="AA96" s="408"/>
      <c r="AB96" s="409"/>
      <c r="AC96" s="410">
        <f>AC95/AC12</f>
        <v>0.22048718980665125</v>
      </c>
      <c r="AD96" s="407"/>
      <c r="AE96" s="691">
        <f>AE95/AE12</f>
        <v>0.20872249275218507</v>
      </c>
      <c r="AG96" s="405">
        <f>AG95/AG12</f>
        <v>0.21829165062585984</v>
      </c>
      <c r="AH96" s="406">
        <f>AH95/AH12</f>
        <v>0.23705283373390332</v>
      </c>
      <c r="AI96" s="407"/>
      <c r="AJ96" s="408"/>
      <c r="AK96" s="409"/>
      <c r="AL96" s="410">
        <f>AL95/AL12</f>
        <v>0.20393727533510994</v>
      </c>
      <c r="AM96" s="407"/>
      <c r="AN96" s="691">
        <f>AN95/AN12</f>
        <v>0.19707423783575995</v>
      </c>
      <c r="AR96" s="405">
        <f>AR95/AR12</f>
        <v>0.19792902350671746</v>
      </c>
      <c r="AS96" s="406">
        <f>AS95/AS12</f>
        <v>0.20729443781054743</v>
      </c>
      <c r="AT96" s="3341"/>
      <c r="AU96" s="3339"/>
      <c r="AV96" s="3338"/>
      <c r="AW96" s="410">
        <f>AW95/AW12</f>
        <v>0.20415593144416344</v>
      </c>
      <c r="AX96" s="3341"/>
      <c r="AY96" s="691">
        <f>AY95/AY12</f>
        <v>0.18340816456683509</v>
      </c>
      <c r="BA96" s="405">
        <f>BA95/BA12</f>
        <v>0.20803414257123129</v>
      </c>
      <c r="BB96" s="406">
        <f>BB95/BB12</f>
        <v>0.18749577474762291</v>
      </c>
      <c r="BC96" s="407"/>
      <c r="BD96" s="408"/>
      <c r="BE96" s="409"/>
      <c r="BF96" s="410">
        <f>BF95/BF12</f>
        <v>0.27241707710361879</v>
      </c>
      <c r="BG96" s="407"/>
      <c r="BH96" s="691">
        <f>BH95/BH12</f>
        <v>0.24307736706139726</v>
      </c>
      <c r="BI96" s="408"/>
    </row>
    <row r="97" spans="1:61" x14ac:dyDescent="0.35">
      <c r="A97" s="9168"/>
      <c r="B97" s="58"/>
      <c r="C97" s="390"/>
      <c r="D97" s="296"/>
      <c r="E97" s="3659"/>
      <c r="F97" s="3660"/>
      <c r="G97" s="460"/>
      <c r="H97" s="3661"/>
      <c r="I97" s="3662"/>
      <c r="J97" s="246"/>
      <c r="K97" s="460"/>
      <c r="L97" s="3663"/>
      <c r="M97" s="1233"/>
      <c r="N97" s="985"/>
      <c r="O97" s="405"/>
      <c r="P97" s="406"/>
      <c r="Q97" s="407"/>
      <c r="R97" s="408"/>
      <c r="S97" s="409"/>
      <c r="T97" s="410"/>
      <c r="U97" s="407"/>
      <c r="V97" s="691"/>
      <c r="X97" s="405"/>
      <c r="Y97" s="406"/>
      <c r="Z97" s="407"/>
      <c r="AA97" s="408"/>
      <c r="AB97" s="409"/>
      <c r="AC97" s="410"/>
      <c r="AD97" s="407"/>
      <c r="AE97" s="691"/>
      <c r="AG97" s="405"/>
      <c r="AH97" s="406"/>
      <c r="AI97" s="407"/>
      <c r="AJ97" s="408"/>
      <c r="AK97" s="409"/>
      <c r="AL97" s="410"/>
      <c r="AM97" s="407"/>
      <c r="AN97" s="691"/>
      <c r="AR97" s="405"/>
      <c r="AS97" s="406"/>
      <c r="AT97" s="3341"/>
      <c r="AU97" s="3339"/>
      <c r="AV97" s="3338"/>
      <c r="AW97" s="410"/>
      <c r="AX97" s="3341"/>
      <c r="AY97" s="691"/>
      <c r="BA97" s="405"/>
      <c r="BB97" s="406"/>
      <c r="BC97" s="407"/>
      <c r="BD97" s="408"/>
      <c r="BE97" s="409"/>
      <c r="BF97" s="410"/>
      <c r="BG97" s="407"/>
      <c r="BH97" s="691"/>
      <c r="BI97" s="408"/>
    </row>
    <row r="98" spans="1:61" x14ac:dyDescent="0.35">
      <c r="A98" s="9168"/>
      <c r="B98" s="58"/>
      <c r="C98" s="390"/>
      <c r="D98" s="980" t="s">
        <v>580</v>
      </c>
      <c r="E98" s="3659"/>
      <c r="F98" s="3660"/>
      <c r="G98" s="460"/>
      <c r="H98" s="3661"/>
      <c r="I98" s="3662"/>
      <c r="J98" s="246"/>
      <c r="K98" s="460"/>
      <c r="L98" s="3663"/>
      <c r="M98" s="1233"/>
      <c r="N98" s="985"/>
      <c r="O98" s="405">
        <f>SUM(O72:O81)/O88</f>
        <v>0.32771959553291319</v>
      </c>
      <c r="P98" s="406">
        <f>SUM(P72:P81)/P88</f>
        <v>0.33089535227892169</v>
      </c>
      <c r="Q98" s="407"/>
      <c r="R98" s="408"/>
      <c r="S98" s="409"/>
      <c r="T98" s="410"/>
      <c r="U98" s="407"/>
      <c r="V98" s="691"/>
      <c r="X98" s="405">
        <f>SUM(X72:X81)/X88</f>
        <v>0.45471011099411424</v>
      </c>
      <c r="Y98" s="406">
        <f>SUM(Y72:Y81)/Y88</f>
        <v>0.45276510613741217</v>
      </c>
      <c r="Z98" s="407"/>
      <c r="AA98" s="408"/>
      <c r="AB98" s="409"/>
      <c r="AC98" s="410"/>
      <c r="AD98" s="407"/>
      <c r="AE98" s="691"/>
      <c r="AG98" s="405">
        <f>SUM(AG72:AG81)/AG88</f>
        <v>0.44927036006706317</v>
      </c>
      <c r="AH98" s="406">
        <f>SUM(AH72:AH81)/AH88</f>
        <v>0.48315952590503736</v>
      </c>
      <c r="AI98" s="407"/>
      <c r="AJ98" s="408"/>
      <c r="AK98" s="409"/>
      <c r="AL98" s="410"/>
      <c r="AM98" s="407"/>
      <c r="AN98" s="691"/>
      <c r="AR98" s="405"/>
      <c r="AS98" s="406"/>
      <c r="AT98" s="3341"/>
      <c r="AU98" s="3339"/>
      <c r="AV98" s="3338"/>
      <c r="AW98" s="410"/>
      <c r="AX98" s="3341"/>
      <c r="AY98" s="691"/>
      <c r="BA98" s="405">
        <f>SUM(BA72:BA79)/BA37</f>
        <v>0.47348494782301859</v>
      </c>
      <c r="BB98" s="406">
        <f>SUM(BB72:BB79)/BB37</f>
        <v>0.47407887633394602</v>
      </c>
      <c r="BC98" s="407"/>
      <c r="BD98" s="408"/>
      <c r="BE98" s="409"/>
      <c r="BF98" s="410">
        <f>SUM(BF72:BF79)/BF37</f>
        <v>0.46160560439895032</v>
      </c>
      <c r="BG98" s="407"/>
      <c r="BH98" s="691">
        <f>SUM(BH72:BH79)/BH37</f>
        <v>0.46865086502488207</v>
      </c>
      <c r="BI98" s="408"/>
    </row>
    <row r="99" spans="1:61" x14ac:dyDescent="0.35">
      <c r="A99" s="9169"/>
      <c r="B99" s="85"/>
      <c r="C99" s="432"/>
      <c r="D99" s="86" t="s">
        <v>581</v>
      </c>
      <c r="E99" s="274"/>
      <c r="F99" s="702"/>
      <c r="G99" s="460"/>
      <c r="H99" s="704"/>
      <c r="I99" s="705"/>
      <c r="J99" s="706"/>
      <c r="K99" s="460"/>
      <c r="L99" s="707"/>
      <c r="M99" s="1241"/>
      <c r="N99" s="1820"/>
      <c r="O99" s="1996">
        <f>(O72+O74+O76+O78)/O90</f>
        <v>0.35600311124433626</v>
      </c>
      <c r="P99" s="1997">
        <f>(P72+P74+P76+P78)/P90</f>
        <v>0.35625749127301604</v>
      </c>
      <c r="Q99" s="1534"/>
      <c r="R99" s="706"/>
      <c r="S99" s="694"/>
      <c r="T99" s="1998"/>
      <c r="U99" s="1534"/>
      <c r="V99" s="3435"/>
      <c r="X99" s="1996">
        <f>(X72+X74+X76+X78)/X90</f>
        <v>0.46585849334715734</v>
      </c>
      <c r="Y99" s="1997">
        <f>(Y72+Y74+Y76+Y78)/Y90</f>
        <v>0.46767220015418298</v>
      </c>
      <c r="Z99" s="1534"/>
      <c r="AA99" s="706"/>
      <c r="AB99" s="694"/>
      <c r="AC99" s="1998"/>
      <c r="AD99" s="1534"/>
      <c r="AE99" s="3435"/>
      <c r="AG99" s="1996">
        <f>(AG72+AG74+AG76+AG78)/AG90</f>
        <v>0.45323632692021409</v>
      </c>
      <c r="AH99" s="1997">
        <f>(AH72+AH74+AH76+AH78)/AH90</f>
        <v>0.48308828376760982</v>
      </c>
      <c r="AI99" s="1534"/>
      <c r="AJ99" s="706"/>
      <c r="AK99" s="694"/>
      <c r="AL99" s="1998"/>
      <c r="AM99" s="1534"/>
      <c r="AN99" s="3435"/>
      <c r="AR99" s="1996"/>
      <c r="AS99" s="1997"/>
      <c r="AT99" s="3347"/>
      <c r="AU99" s="988"/>
      <c r="AV99" s="3346"/>
      <c r="AW99" s="1998"/>
      <c r="AX99" s="3347"/>
      <c r="AY99" s="3435"/>
      <c r="BA99" s="8940">
        <f>(BA72+BA74+BA76+BA78)/BA38</f>
        <v>0.47465832319859991</v>
      </c>
      <c r="BB99" s="8940">
        <f>(BB72+BB74+BB76+BB78)/BB38</f>
        <v>0.47557508962188633</v>
      </c>
      <c r="BC99" s="1534"/>
      <c r="BD99" s="706"/>
      <c r="BE99" s="694"/>
      <c r="BF99" s="8940">
        <f>(BF72+BF74+BF76+BF78)/BF38</f>
        <v>0.4628998589859209</v>
      </c>
      <c r="BG99" s="1534"/>
      <c r="BH99" s="8940">
        <f>(BH72+BH74+BH76+BH78)/BH38</f>
        <v>0.46680260271152441</v>
      </c>
      <c r="BI99" s="706"/>
    </row>
    <row r="100" spans="1:61" s="462" customFormat="1" ht="12" x14ac:dyDescent="0.3">
      <c r="C100" s="456"/>
      <c r="D100" s="2"/>
      <c r="E100" s="456"/>
      <c r="F100" s="456"/>
      <c r="G100" s="456"/>
      <c r="H100" s="459"/>
      <c r="I100" s="459"/>
      <c r="J100" s="7"/>
      <c r="K100" s="456"/>
      <c r="O100" s="459"/>
      <c r="P100" s="459"/>
      <c r="Q100" s="459"/>
      <c r="R100" s="7"/>
      <c r="S100" s="456"/>
      <c r="W100" s="456"/>
      <c r="X100" s="459"/>
      <c r="Y100" s="459"/>
      <c r="Z100" s="459"/>
      <c r="AA100" s="7"/>
      <c r="AB100" s="456"/>
      <c r="AF100" s="456"/>
      <c r="AG100" s="459"/>
      <c r="AH100" s="459"/>
      <c r="AI100" s="459"/>
      <c r="AJ100" s="7"/>
      <c r="AK100" s="456"/>
      <c r="AO100" s="456"/>
      <c r="AR100" s="459"/>
      <c r="AS100" s="459"/>
      <c r="AT100" s="459"/>
      <c r="AU100" s="7"/>
      <c r="AV100" s="456"/>
      <c r="BA100" s="459"/>
      <c r="BB100" s="459"/>
      <c r="BC100" s="459"/>
      <c r="BD100" s="7"/>
      <c r="BE100" s="456"/>
      <c r="BI100" s="7"/>
    </row>
    <row r="101" spans="1:61" s="462" customFormat="1" ht="12" x14ac:dyDescent="0.3">
      <c r="A101" s="455" t="s">
        <v>582</v>
      </c>
      <c r="B101" s="455"/>
      <c r="C101" s="456"/>
      <c r="D101" s="2"/>
      <c r="E101" s="456"/>
      <c r="F101" s="456"/>
      <c r="G101" s="456"/>
      <c r="H101" s="459"/>
      <c r="I101" s="459"/>
      <c r="J101" s="7"/>
      <c r="K101" s="456"/>
      <c r="O101" s="459"/>
      <c r="P101" s="459"/>
      <c r="Q101" s="459"/>
      <c r="R101" s="7"/>
      <c r="S101" s="456"/>
      <c r="W101" s="456"/>
      <c r="X101" s="459"/>
      <c r="Y101" s="459"/>
      <c r="Z101" s="459"/>
      <c r="AA101" s="7"/>
      <c r="AB101" s="456"/>
      <c r="AF101" s="456"/>
      <c r="AG101" s="459"/>
      <c r="AH101" s="459"/>
      <c r="AI101" s="459"/>
      <c r="AJ101" s="7"/>
      <c r="AK101" s="456"/>
      <c r="AO101" s="456"/>
      <c r="AR101" s="459"/>
      <c r="AS101" s="459"/>
      <c r="AT101" s="459"/>
      <c r="AU101" s="7"/>
      <c r="AV101" s="456"/>
      <c r="BA101" s="459"/>
      <c r="BB101" s="459"/>
      <c r="BC101" s="459"/>
      <c r="BD101" s="7"/>
      <c r="BE101" s="456"/>
      <c r="BI101" s="7"/>
    </row>
    <row r="102" spans="1:61" s="462" customFormat="1" ht="12" customHeight="1" x14ac:dyDescent="0.3">
      <c r="A102" s="463">
        <v>1</v>
      </c>
      <c r="B102" s="464" t="str">
        <f>AP22</f>
        <v>Operaç. Financeiras</v>
      </c>
      <c r="D102" s="709"/>
      <c r="E102" s="466"/>
      <c r="F102" s="466"/>
      <c r="G102" s="466"/>
      <c r="H102" s="466"/>
      <c r="I102" s="466"/>
      <c r="J102" s="467"/>
      <c r="K102" s="466"/>
      <c r="L102" s="466"/>
      <c r="M102" s="466"/>
      <c r="N102" s="466"/>
      <c r="O102" s="466"/>
      <c r="P102" s="466"/>
      <c r="Q102" s="466"/>
      <c r="R102" s="467"/>
      <c r="S102" s="466"/>
      <c r="T102" s="466"/>
      <c r="U102" s="466"/>
      <c r="V102" s="466"/>
      <c r="W102" s="456"/>
      <c r="X102" s="466"/>
      <c r="Y102" s="466"/>
      <c r="Z102" s="466"/>
      <c r="AA102" s="467"/>
      <c r="AB102" s="466"/>
      <c r="AC102" s="466"/>
      <c r="AD102" s="466"/>
      <c r="AE102" s="466"/>
      <c r="AF102" s="456"/>
      <c r="AG102" s="466"/>
      <c r="AH102" s="466"/>
      <c r="AI102" s="466"/>
      <c r="AJ102" s="467"/>
      <c r="AK102" s="466"/>
      <c r="AL102" s="466"/>
      <c r="AM102" s="466"/>
      <c r="AN102" s="466"/>
      <c r="AO102" s="456"/>
      <c r="AP102" s="577"/>
      <c r="AR102" s="466"/>
      <c r="AS102" s="466"/>
      <c r="AT102" s="466"/>
      <c r="AU102" s="467"/>
      <c r="AV102" s="466"/>
      <c r="AW102" s="466"/>
      <c r="AX102" s="466"/>
      <c r="AY102" s="466"/>
      <c r="BA102" s="466"/>
      <c r="BB102" s="466"/>
      <c r="BC102" s="466"/>
      <c r="BD102" s="467"/>
      <c r="BE102" s="466"/>
      <c r="BF102" s="466"/>
      <c r="BG102" s="466"/>
      <c r="BH102" s="466"/>
      <c r="BI102" s="467"/>
    </row>
    <row r="103" spans="1:61" s="462" customFormat="1" ht="12" x14ac:dyDescent="0.3">
      <c r="A103" s="468">
        <v>2</v>
      </c>
      <c r="B103" s="469" t="str">
        <f>AP26</f>
        <v>Despesas com o Pessoal</v>
      </c>
      <c r="D103" s="2"/>
      <c r="E103" s="456"/>
      <c r="F103" s="456"/>
      <c r="G103" s="456"/>
      <c r="H103" s="459"/>
      <c r="I103" s="459"/>
      <c r="J103" s="7"/>
      <c r="K103" s="456"/>
      <c r="O103" s="459"/>
      <c r="P103" s="459"/>
      <c r="Q103" s="459"/>
      <c r="R103" s="7"/>
      <c r="S103" s="456"/>
      <c r="W103" s="456"/>
      <c r="X103" s="459"/>
      <c r="Y103" s="459"/>
      <c r="Z103" s="459"/>
      <c r="AA103" s="7"/>
      <c r="AB103" s="456"/>
      <c r="AF103" s="456"/>
      <c r="AG103" s="459"/>
      <c r="AH103" s="459"/>
      <c r="AI103" s="459"/>
      <c r="AJ103" s="7"/>
      <c r="AK103" s="456"/>
      <c r="AO103" s="456"/>
      <c r="AP103" s="577"/>
      <c r="AR103" s="459"/>
      <c r="AS103" s="459"/>
      <c r="AT103" s="459"/>
      <c r="AU103" s="7"/>
      <c r="AV103" s="456"/>
      <c r="BA103" s="459"/>
      <c r="BB103" s="459"/>
      <c r="BC103" s="459"/>
      <c r="BD103" s="7"/>
      <c r="BE103" s="456"/>
      <c r="BI103" s="7"/>
    </row>
    <row r="104" spans="1:61" s="462" customFormat="1" ht="12" x14ac:dyDescent="0.3">
      <c r="A104" s="463">
        <v>3</v>
      </c>
      <c r="B104" s="469" t="str">
        <f>AP27</f>
        <v>Salários e Remunerações Pessoal civil</v>
      </c>
      <c r="D104" s="2"/>
      <c r="E104" s="456"/>
      <c r="F104" s="456"/>
      <c r="G104" s="456"/>
      <c r="H104" s="459"/>
      <c r="I104" s="459"/>
      <c r="J104" s="7"/>
      <c r="K104" s="456"/>
      <c r="O104" s="459"/>
      <c r="P104" s="459"/>
      <c r="Q104" s="459"/>
      <c r="R104" s="7"/>
      <c r="S104" s="456"/>
      <c r="W104" s="456"/>
      <c r="X104" s="459"/>
      <c r="Y104" s="459"/>
      <c r="Z104" s="459"/>
      <c r="AA104" s="7"/>
      <c r="AB104" s="456"/>
      <c r="AF104" s="456"/>
      <c r="AG104" s="459"/>
      <c r="AH104" s="459"/>
      <c r="AI104" s="459"/>
      <c r="AJ104" s="7"/>
      <c r="AK104" s="456"/>
      <c r="AO104" s="456"/>
      <c r="AP104" s="577"/>
      <c r="AR104" s="459"/>
      <c r="AS104" s="459"/>
      <c r="AT104" s="459"/>
      <c r="AU104" s="7"/>
      <c r="AV104" s="456"/>
      <c r="BA104" s="459"/>
      <c r="BB104" s="459"/>
      <c r="BC104" s="459"/>
      <c r="BD104" s="7"/>
      <c r="BE104" s="456"/>
      <c r="BI104" s="7"/>
    </row>
    <row r="105" spans="1:61" s="462" customFormat="1" ht="12" x14ac:dyDescent="0.3">
      <c r="A105" s="468">
        <v>4</v>
      </c>
      <c r="B105" s="469" t="str">
        <f>AP28</f>
        <v>PENSÕES CIVIS</v>
      </c>
      <c r="D105" s="2"/>
      <c r="E105" s="456"/>
      <c r="F105" s="456"/>
      <c r="G105" s="456"/>
      <c r="H105" s="459"/>
      <c r="I105" s="459"/>
      <c r="J105" s="7"/>
      <c r="K105" s="456"/>
      <c r="O105" s="459"/>
      <c r="P105" s="459"/>
      <c r="Q105" s="459"/>
      <c r="R105" s="7"/>
      <c r="S105" s="456"/>
      <c r="W105" s="456"/>
      <c r="X105" s="459"/>
      <c r="Y105" s="459"/>
      <c r="Z105" s="459"/>
      <c r="AA105" s="7"/>
      <c r="AB105" s="456"/>
      <c r="AF105" s="456"/>
      <c r="AG105" s="459"/>
      <c r="AH105" s="459"/>
      <c r="AI105" s="459"/>
      <c r="AJ105" s="7"/>
      <c r="AK105" s="456"/>
      <c r="AO105" s="456"/>
      <c r="AP105" s="577"/>
      <c r="AR105" s="459"/>
      <c r="AS105" s="459"/>
      <c r="AT105" s="459"/>
      <c r="AU105" s="7"/>
      <c r="AV105" s="456"/>
      <c r="BA105" s="459"/>
      <c r="BB105" s="459"/>
      <c r="BC105" s="459"/>
      <c r="BD105" s="7"/>
      <c r="BE105" s="456"/>
      <c r="BI105" s="7"/>
    </row>
    <row r="106" spans="1:61" s="462" customFormat="1" ht="12" x14ac:dyDescent="0.3">
      <c r="A106" s="463">
        <v>5</v>
      </c>
      <c r="B106" s="469" t="str">
        <f>AP30</f>
        <v>calculated from basic salaries of civil staff</v>
      </c>
      <c r="D106" s="2"/>
      <c r="E106" s="456"/>
      <c r="F106" s="456"/>
      <c r="G106" s="456"/>
      <c r="H106" s="459"/>
      <c r="I106" s="459"/>
      <c r="J106" s="7"/>
      <c r="K106" s="456"/>
      <c r="AP106" s="577"/>
    </row>
    <row r="107" spans="1:61" s="462" customFormat="1" ht="12" x14ac:dyDescent="0.3">
      <c r="A107" s="468">
        <v>6</v>
      </c>
      <c r="B107" s="462" t="str">
        <f>AP54</f>
        <v>not identified</v>
      </c>
      <c r="D107" s="2"/>
      <c r="E107" s="456"/>
      <c r="F107" s="456"/>
      <c r="G107" s="456"/>
      <c r="H107" s="459"/>
      <c r="I107" s="459"/>
      <c r="J107" s="7"/>
      <c r="K107" s="456"/>
      <c r="AP107" s="577"/>
    </row>
    <row r="108" spans="1:61" s="462" customFormat="1" ht="12" x14ac:dyDescent="0.3">
      <c r="A108" s="463">
        <v>7</v>
      </c>
      <c r="B108" s="469"/>
      <c r="D108" s="2"/>
      <c r="E108" s="456"/>
      <c r="F108" s="456"/>
      <c r="G108" s="456"/>
      <c r="H108" s="459"/>
      <c r="I108" s="459"/>
      <c r="J108" s="7"/>
      <c r="K108" s="456"/>
      <c r="AP108" s="577"/>
    </row>
    <row r="109" spans="1:61" s="462" customFormat="1" ht="12" x14ac:dyDescent="0.3">
      <c r="A109" s="468">
        <v>8</v>
      </c>
      <c r="B109" s="469"/>
      <c r="D109" s="2"/>
      <c r="E109" s="456"/>
      <c r="F109" s="456"/>
      <c r="G109" s="456"/>
      <c r="H109" s="459"/>
      <c r="I109" s="459"/>
      <c r="J109" s="7"/>
      <c r="K109" s="456"/>
      <c r="AP109" s="577"/>
    </row>
    <row r="110" spans="1:61" s="462" customFormat="1" ht="12" x14ac:dyDescent="0.3">
      <c r="A110" s="468"/>
      <c r="B110" s="469"/>
      <c r="D110" s="2"/>
      <c r="E110" s="456"/>
      <c r="F110" s="456"/>
      <c r="G110" s="456"/>
      <c r="H110" s="459"/>
      <c r="I110" s="459"/>
      <c r="J110" s="7"/>
      <c r="K110" s="456"/>
      <c r="AP110" s="577"/>
    </row>
    <row r="111" spans="1:61" s="462" customFormat="1" ht="12" x14ac:dyDescent="0.3">
      <c r="A111" s="468"/>
      <c r="B111" s="469"/>
      <c r="D111" s="2"/>
      <c r="E111" s="456"/>
      <c r="F111" s="456"/>
      <c r="G111" s="456"/>
      <c r="H111" s="459"/>
      <c r="I111" s="459"/>
      <c r="J111" s="7"/>
      <c r="K111" s="456"/>
      <c r="AP111" s="577"/>
    </row>
    <row r="112" spans="1:61" s="462" customFormat="1" ht="12" x14ac:dyDescent="0.3">
      <c r="A112" s="468"/>
      <c r="B112" s="469"/>
      <c r="D112" s="2"/>
      <c r="E112" s="456"/>
      <c r="F112" s="456"/>
      <c r="G112" s="456"/>
      <c r="H112" s="459"/>
      <c r="I112" s="459"/>
      <c r="J112" s="7"/>
      <c r="K112" s="456"/>
      <c r="AP112" s="577"/>
    </row>
    <row r="113" spans="1:61" s="462" customFormat="1" ht="12" x14ac:dyDescent="0.3">
      <c r="A113" s="468"/>
      <c r="B113" s="469"/>
      <c r="D113" s="2"/>
      <c r="E113" s="456"/>
      <c r="F113" s="456"/>
      <c r="G113" s="456"/>
      <c r="H113" s="459"/>
      <c r="I113" s="459"/>
      <c r="J113" s="7"/>
      <c r="K113" s="456"/>
      <c r="O113" s="459"/>
      <c r="P113" s="459"/>
      <c r="Q113" s="459"/>
      <c r="R113" s="7"/>
      <c r="S113" s="456"/>
      <c r="W113" s="456"/>
      <c r="X113" s="459"/>
      <c r="Y113" s="459"/>
      <c r="Z113" s="459"/>
      <c r="AA113" s="7"/>
      <c r="AB113" s="456"/>
      <c r="AF113" s="456"/>
      <c r="AG113" s="459"/>
      <c r="AH113" s="459"/>
      <c r="AI113" s="459"/>
      <c r="AJ113" s="7"/>
      <c r="AK113" s="456"/>
      <c r="AO113" s="456"/>
      <c r="AP113" s="577"/>
      <c r="AR113" s="459"/>
      <c r="AS113" s="459"/>
      <c r="AT113" s="459"/>
      <c r="AU113" s="7"/>
      <c r="AV113" s="456"/>
      <c r="BA113" s="459"/>
      <c r="BB113" s="459"/>
      <c r="BC113" s="459"/>
      <c r="BD113" s="7"/>
      <c r="BE113" s="456"/>
      <c r="BI113" s="7"/>
    </row>
    <row r="114" spans="1:61" s="462" customFormat="1" ht="12" x14ac:dyDescent="0.3">
      <c r="A114" s="468"/>
      <c r="B114" s="469"/>
      <c r="D114" s="2"/>
      <c r="E114" s="456"/>
      <c r="F114" s="456"/>
      <c r="G114" s="456"/>
      <c r="H114" s="459"/>
      <c r="I114" s="459"/>
      <c r="J114" s="7"/>
      <c r="K114" s="456"/>
      <c r="O114" s="459"/>
      <c r="P114" s="459"/>
      <c r="Q114" s="459"/>
      <c r="R114" s="7"/>
      <c r="S114" s="456"/>
      <c r="W114" s="456"/>
      <c r="X114" s="459"/>
      <c r="Y114" s="459"/>
      <c r="Z114" s="459"/>
      <c r="AA114" s="7"/>
      <c r="AB114" s="456"/>
      <c r="AF114" s="456"/>
      <c r="AG114" s="459"/>
      <c r="AH114" s="459"/>
      <c r="AI114" s="459"/>
      <c r="AJ114" s="7"/>
      <c r="AK114" s="456"/>
      <c r="AO114" s="456"/>
      <c r="AP114" s="577"/>
      <c r="AR114" s="459"/>
      <c r="AS114" s="459"/>
      <c r="AT114" s="459"/>
      <c r="AU114" s="7"/>
      <c r="AV114" s="456"/>
      <c r="BA114" s="459"/>
      <c r="BB114" s="459"/>
      <c r="BC114" s="459"/>
      <c r="BD114" s="7"/>
      <c r="BE114" s="456"/>
      <c r="BI114" s="7"/>
    </row>
    <row r="115" spans="1:61" s="462" customFormat="1" ht="12" x14ac:dyDescent="0.3">
      <c r="A115" s="468"/>
      <c r="B115" s="469"/>
      <c r="D115" s="2"/>
      <c r="E115" s="456"/>
      <c r="F115" s="456"/>
      <c r="G115" s="456"/>
      <c r="H115" s="459"/>
      <c r="I115" s="459"/>
      <c r="J115" s="7"/>
      <c r="K115" s="456"/>
      <c r="O115" s="459"/>
      <c r="P115" s="459"/>
      <c r="Q115" s="459"/>
      <c r="R115" s="7"/>
      <c r="S115" s="456"/>
      <c r="W115" s="456"/>
      <c r="X115" s="459"/>
      <c r="Y115" s="459"/>
      <c r="Z115" s="459"/>
      <c r="AA115" s="7"/>
      <c r="AB115" s="456"/>
      <c r="AF115" s="456"/>
      <c r="AG115" s="459"/>
      <c r="AH115" s="459"/>
      <c r="AI115" s="459"/>
      <c r="AJ115" s="7"/>
      <c r="AK115" s="456"/>
      <c r="AO115" s="456"/>
      <c r="AP115" s="577"/>
      <c r="AR115" s="459"/>
      <c r="AS115" s="459"/>
      <c r="AT115" s="459"/>
      <c r="AU115" s="7"/>
      <c r="AV115" s="456"/>
      <c r="BA115" s="459"/>
      <c r="BB115" s="459"/>
      <c r="BC115" s="459"/>
      <c r="BD115" s="7"/>
      <c r="BE115" s="456"/>
      <c r="BI115" s="7"/>
    </row>
    <row r="116" spans="1:61" s="462" customFormat="1" x14ac:dyDescent="0.35">
      <c r="A116" s="455" t="s">
        <v>583</v>
      </c>
      <c r="B116" s="455"/>
      <c r="C116" s="456"/>
      <c r="D116" s="2"/>
      <c r="E116" s="456"/>
      <c r="F116" s="456"/>
      <c r="G116" s="456"/>
      <c r="H116" s="459"/>
      <c r="I116" s="459"/>
      <c r="J116" s="7"/>
      <c r="K116" s="456"/>
      <c r="O116" s="6"/>
      <c r="P116" s="6"/>
      <c r="Q116" s="6"/>
      <c r="R116" s="7"/>
      <c r="S116" s="1"/>
      <c r="T116"/>
      <c r="U116"/>
      <c r="V116"/>
      <c r="W116" s="456"/>
      <c r="X116" s="6"/>
      <c r="Y116" s="6"/>
      <c r="Z116" s="6"/>
      <c r="AA116" s="7"/>
      <c r="AB116" s="1"/>
      <c r="AC116"/>
      <c r="AD116"/>
      <c r="AE116"/>
      <c r="AF116" s="456"/>
      <c r="AG116" s="6"/>
      <c r="AH116" s="6"/>
      <c r="AI116" s="6"/>
      <c r="AJ116" s="7"/>
      <c r="AK116" s="1"/>
      <c r="AL116"/>
      <c r="AM116"/>
      <c r="AN116"/>
      <c r="AO116" s="456"/>
      <c r="AP116" s="577"/>
      <c r="AR116" s="6"/>
      <c r="AS116" s="6"/>
      <c r="AT116" s="6"/>
      <c r="AU116" s="7"/>
      <c r="AV116" s="1"/>
      <c r="AW116"/>
      <c r="AX116"/>
      <c r="AY116"/>
      <c r="BA116" s="6"/>
      <c r="BB116" s="6"/>
      <c r="BC116" s="6"/>
      <c r="BD116" s="7"/>
      <c r="BE116" s="1"/>
      <c r="BF116"/>
      <c r="BG116"/>
      <c r="BH116"/>
      <c r="BI116" s="7"/>
    </row>
    <row r="117" spans="1:61" s="462" customFormat="1" ht="93" customHeight="1" x14ac:dyDescent="0.35">
      <c r="A117" s="9170" t="s">
        <v>4188</v>
      </c>
      <c r="B117" s="9171"/>
      <c r="C117" s="9171"/>
      <c r="D117" s="9171"/>
      <c r="E117" s="9171"/>
      <c r="F117" s="9171"/>
      <c r="G117" s="9171"/>
      <c r="H117" s="9171"/>
      <c r="I117" s="9171"/>
      <c r="J117" s="9171"/>
      <c r="K117" s="9171"/>
      <c r="L117" s="9171"/>
      <c r="M117" s="9172"/>
      <c r="N117" s="461"/>
      <c r="O117" s="6"/>
      <c r="P117" s="6"/>
      <c r="Q117" s="6"/>
      <c r="R117" s="7"/>
      <c r="S117" s="1"/>
      <c r="T117"/>
      <c r="U117"/>
      <c r="V117"/>
      <c r="W117" s="456"/>
      <c r="X117" s="6"/>
      <c r="Y117" s="6"/>
      <c r="Z117" s="6"/>
      <c r="AA117" s="7"/>
      <c r="AB117" s="1"/>
      <c r="AC117"/>
      <c r="AD117"/>
      <c r="AE117"/>
      <c r="AF117" s="456"/>
      <c r="AG117" s="6"/>
      <c r="AH117" s="6"/>
      <c r="AI117" s="6"/>
      <c r="AJ117" s="7"/>
      <c r="AK117" s="1"/>
      <c r="AL117"/>
      <c r="AM117"/>
      <c r="AN117"/>
      <c r="AO117" s="456"/>
      <c r="AP117" s="577"/>
      <c r="AR117" s="6"/>
      <c r="AS117" s="6"/>
      <c r="AT117" s="6"/>
      <c r="AU117" s="7"/>
      <c r="AV117" s="1"/>
      <c r="AW117"/>
      <c r="AX117"/>
      <c r="AY117"/>
      <c r="BA117" s="6"/>
      <c r="BB117" s="6"/>
      <c r="BC117" s="6"/>
      <c r="BD117" s="7"/>
      <c r="BE117" s="1"/>
      <c r="BF117"/>
      <c r="BG117"/>
      <c r="BH117"/>
      <c r="BI117" s="7"/>
    </row>
  </sheetData>
  <mergeCells count="63">
    <mergeCell ref="BA7:BB7"/>
    <mergeCell ref="BD7:BD8"/>
    <mergeCell ref="BF7:BH7"/>
    <mergeCell ref="BI7:BI8"/>
    <mergeCell ref="BA10:BB10"/>
    <mergeCell ref="BA1:BH1"/>
    <mergeCell ref="BA4:BD4"/>
    <mergeCell ref="BF4:BH4"/>
    <mergeCell ref="BA5:BD5"/>
    <mergeCell ref="BF5:BH5"/>
    <mergeCell ref="F1:M1"/>
    <mergeCell ref="O1:V1"/>
    <mergeCell ref="X1:AE1"/>
    <mergeCell ref="AG1:AN1"/>
    <mergeCell ref="H4:J4"/>
    <mergeCell ref="L4:M4"/>
    <mergeCell ref="O4:R4"/>
    <mergeCell ref="T4:V4"/>
    <mergeCell ref="X4:AA4"/>
    <mergeCell ref="AC4:AE4"/>
    <mergeCell ref="AG4:AJ4"/>
    <mergeCell ref="AL4:AN4"/>
    <mergeCell ref="O7:P7"/>
    <mergeCell ref="R7:R8"/>
    <mergeCell ref="AP4:AP5"/>
    <mergeCell ref="H5:J5"/>
    <mergeCell ref="L5:M5"/>
    <mergeCell ref="O5:R5"/>
    <mergeCell ref="T5:V5"/>
    <mergeCell ref="X5:AA5"/>
    <mergeCell ref="AC5:AE5"/>
    <mergeCell ref="AG5:AJ5"/>
    <mergeCell ref="AL5:AN5"/>
    <mergeCell ref="AJ7:AJ8"/>
    <mergeCell ref="AL7:AN7"/>
    <mergeCell ref="H7:I7"/>
    <mergeCell ref="J7:J8"/>
    <mergeCell ref="L7:M7"/>
    <mergeCell ref="A10:A33"/>
    <mergeCell ref="H10:I10"/>
    <mergeCell ref="L10:M10"/>
    <mergeCell ref="O10:P10"/>
    <mergeCell ref="X10:Y10"/>
    <mergeCell ref="AG10:AH10"/>
    <mergeCell ref="T7:V7"/>
    <mergeCell ref="X7:Y7"/>
    <mergeCell ref="AA7:AA8"/>
    <mergeCell ref="AC7:AE7"/>
    <mergeCell ref="AG7:AH7"/>
    <mergeCell ref="A35:A70"/>
    <mergeCell ref="O35:P35"/>
    <mergeCell ref="A72:A81"/>
    <mergeCell ref="A83:A99"/>
    <mergeCell ref="A117:M117"/>
    <mergeCell ref="AR7:AS7"/>
    <mergeCell ref="AU7:AU8"/>
    <mergeCell ref="AW7:AY7"/>
    <mergeCell ref="AR10:AS10"/>
    <mergeCell ref="AR1:AY1"/>
    <mergeCell ref="AR4:AU4"/>
    <mergeCell ref="AW4:AY4"/>
    <mergeCell ref="AR5:AU5"/>
    <mergeCell ref="AW5:AY5"/>
  </mergeCells>
  <hyperlinks>
    <hyperlink ref="Q10" r:id="rId1" location="nogo" xr:uid="{00000000-0004-0000-1D00-000000000000}"/>
    <hyperlink ref="Q35" r:id="rId2" location="nogo" xr:uid="{00000000-0004-0000-1D00-000001000000}"/>
    <hyperlink ref="Z10" r:id="rId3" location="nogo" xr:uid="{00000000-0004-0000-1D00-000002000000}"/>
    <hyperlink ref="Z35" r:id="rId4" location="nogo" xr:uid="{00000000-0004-0000-1D00-000003000000}"/>
    <hyperlink ref="AD35" r:id="rId5" location="nogo" xr:uid="{00000000-0004-0000-1D00-000004000000}"/>
    <hyperlink ref="AD10" r:id="rId6" location="nogo" xr:uid="{00000000-0004-0000-1D00-000005000000}"/>
    <hyperlink ref="AI10" r:id="rId7" location="nogo" xr:uid="{00000000-0004-0000-1D00-000006000000}"/>
    <hyperlink ref="AI35" r:id="rId8" location="nogo" xr:uid="{00000000-0004-0000-1D00-000007000000}"/>
    <hyperlink ref="AM35" r:id="rId9" location="nogo" xr:uid="{00000000-0004-0000-1D00-000008000000}"/>
    <hyperlink ref="AM10" r:id="rId10" location="nogo" xr:uid="{00000000-0004-0000-1D00-000009000000}"/>
    <hyperlink ref="AT10" r:id="rId11" location="nogo" xr:uid="{A750E0C9-0663-4869-BA4A-AE8DE6D18DD4}"/>
    <hyperlink ref="AX10" r:id="rId12" location="nogo" xr:uid="{1BD0072C-AE8B-4D78-A9DE-8B6DBBDCBD01}"/>
  </hyperlinks>
  <pageMargins left="0.23622047244094491" right="0.23622047244094491" top="0.35433070866141736" bottom="0.35433070866141736" header="0.31496062992125984" footer="0.31496062992125984"/>
  <pageSetup paperSize="9" scale="56" orientation="portrait" horizontalDpi="4294967293" verticalDpi="4294967293" r:id="rId13"/>
  <legacyDrawing r:id="rId1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M123"/>
  <sheetViews>
    <sheetView zoomScale="80" zoomScaleNormal="80" workbookViewId="0">
      <pane xSplit="4" topLeftCell="AR1" activePane="topRight" state="frozen"/>
      <selection activeCell="A66" sqref="A66"/>
      <selection pane="topRight" activeCell="BF94" sqref="BF94"/>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1796875" customWidth="1"/>
    <col min="22" max="22" width="21.6328125" customWidth="1"/>
    <col min="23" max="23" width="1.6328125" style="1" customWidth="1"/>
    <col min="24" max="26" width="21.6328125" style="6" customWidth="1"/>
    <col min="27" max="27" width="8.6328125" style="7" customWidth="1"/>
    <col min="28" max="28" width="1.6328125" style="1" customWidth="1"/>
    <col min="29" max="29" width="21.6328125" customWidth="1"/>
    <col min="30" max="30" width="23.1796875" customWidth="1"/>
    <col min="31" max="31" width="21.6328125" customWidth="1"/>
    <col min="32" max="32" width="1.6328125" style="1" customWidth="1"/>
    <col min="33" max="34" width="21.6328125" customWidth="1"/>
    <col min="35" max="35" width="23.1796875" customWidth="1"/>
    <col min="36" max="36" width="8.6328125" style="7" customWidth="1"/>
    <col min="37" max="37" width="3" customWidth="1"/>
    <col min="38" max="38" width="23.36328125" style="3349" customWidth="1"/>
    <col min="39" max="40" width="23.36328125" customWidth="1"/>
    <col min="41" max="41" width="1.6328125" style="1" customWidth="1"/>
    <col min="42" max="43" width="21.6328125" customWidth="1"/>
    <col min="44" max="44" width="23.1796875" customWidth="1"/>
    <col min="45" max="45" width="8.6328125" style="7" customWidth="1"/>
    <col min="46" max="46" width="3" customWidth="1"/>
    <col min="47" max="47" width="23.36328125" style="3349" customWidth="1"/>
    <col min="48" max="49" width="23.36328125" customWidth="1"/>
    <col min="50" max="50" width="2.1796875" customWidth="1"/>
    <col min="51" max="51" width="21.453125" customWidth="1"/>
    <col min="52" max="52" width="21.6328125" customWidth="1"/>
    <col min="53" max="53" width="23.1796875" customWidth="1"/>
    <col min="54" max="54" width="8.6328125" style="7" customWidth="1"/>
    <col min="55" max="55" width="3" customWidth="1"/>
    <col min="56" max="56" width="22.453125" style="3349" customWidth="1"/>
    <col min="57" max="58" width="23.36328125" customWidth="1"/>
    <col min="59" max="64" width="2.1796875" customWidth="1"/>
    <col min="65" max="65" width="55" customWidth="1"/>
  </cols>
  <sheetData>
    <row r="1" spans="1:65" ht="31" x14ac:dyDescent="0.7">
      <c r="D1" s="2"/>
      <c r="F1" s="9118" t="s">
        <v>394</v>
      </c>
      <c r="G1" s="9119"/>
      <c r="H1" s="9119"/>
      <c r="I1" s="9119"/>
      <c r="J1" s="9119"/>
      <c r="K1" s="9119"/>
      <c r="L1" s="9119"/>
      <c r="M1" s="9120"/>
      <c r="N1"/>
      <c r="O1" s="9121" t="s">
        <v>395</v>
      </c>
      <c r="P1" s="9122"/>
      <c r="Q1" s="9122"/>
      <c r="R1" s="9122"/>
      <c r="S1" s="9122"/>
      <c r="T1" s="9122"/>
      <c r="U1" s="9122"/>
      <c r="V1" s="9123"/>
      <c r="W1"/>
      <c r="X1" s="9207" t="s">
        <v>396</v>
      </c>
      <c r="Y1" s="9208"/>
      <c r="Z1" s="9208"/>
      <c r="AA1" s="9208"/>
      <c r="AB1" s="9208"/>
      <c r="AC1" s="9208"/>
      <c r="AD1" s="9208"/>
      <c r="AE1" s="9209"/>
      <c r="AF1"/>
      <c r="AG1" s="9207" t="s">
        <v>397</v>
      </c>
      <c r="AH1" s="9208"/>
      <c r="AI1" s="9208"/>
      <c r="AJ1" s="9208"/>
      <c r="AK1" s="9208"/>
      <c r="AL1" s="9208"/>
      <c r="AM1" s="9208"/>
      <c r="AN1" s="9209"/>
      <c r="AO1"/>
      <c r="AP1" s="9164" t="s">
        <v>398</v>
      </c>
      <c r="AQ1" s="9165"/>
      <c r="AR1" s="9165"/>
      <c r="AS1" s="9165"/>
      <c r="AT1" s="9165"/>
      <c r="AU1" s="9165"/>
      <c r="AV1" s="9165"/>
      <c r="AW1" s="9166"/>
      <c r="AX1" s="1537"/>
      <c r="AY1" s="9184" t="s">
        <v>399</v>
      </c>
      <c r="AZ1" s="9185"/>
      <c r="BA1" s="9185"/>
      <c r="BB1" s="9185"/>
      <c r="BC1" s="9185"/>
      <c r="BD1" s="9185"/>
      <c r="BE1" s="9185"/>
      <c r="BF1" s="9186"/>
      <c r="BG1" s="1537"/>
      <c r="BH1" s="1537"/>
      <c r="BI1" s="1537"/>
      <c r="BJ1" s="1537"/>
      <c r="BK1" s="1537"/>
      <c r="BL1" s="1537"/>
    </row>
    <row r="2" spans="1:65" ht="21" x14ac:dyDescent="0.5">
      <c r="B2" s="1" t="s">
        <v>9</v>
      </c>
      <c r="C2" s="4" t="s">
        <v>113</v>
      </c>
      <c r="H2"/>
    </row>
    <row r="4" spans="1:65" s="8" customFormat="1" ht="15.25" customHeight="1" x14ac:dyDescent="0.35">
      <c r="D4" s="471"/>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G4" s="9318" t="s">
        <v>403</v>
      </c>
      <c r="AH4" s="9318"/>
      <c r="AI4" s="9318"/>
      <c r="AJ4" s="9318"/>
      <c r="AL4" s="9130" t="s">
        <v>402</v>
      </c>
      <c r="AM4" s="9131"/>
      <c r="AN4" s="9132"/>
      <c r="AP4" s="9318" t="s">
        <v>403</v>
      </c>
      <c r="AQ4" s="9318"/>
      <c r="AR4" s="9318"/>
      <c r="AS4" s="9318"/>
      <c r="AU4" s="9130" t="s">
        <v>402</v>
      </c>
      <c r="AV4" s="9131"/>
      <c r="AW4" s="9132"/>
      <c r="AY4" s="9318" t="s">
        <v>403</v>
      </c>
      <c r="AZ4" s="9318"/>
      <c r="BA4" s="9318"/>
      <c r="BB4" s="9318"/>
      <c r="BD4" s="9130" t="s">
        <v>402</v>
      </c>
      <c r="BE4" s="9131"/>
      <c r="BF4" s="9132"/>
      <c r="BM4" s="9180" t="s">
        <v>404</v>
      </c>
    </row>
    <row r="5" spans="1:65" x14ac:dyDescent="0.35">
      <c r="B5" s="1" t="s">
        <v>406</v>
      </c>
      <c r="C5" s="11">
        <v>2009</v>
      </c>
      <c r="F5" s="8324" t="s">
        <v>3550</v>
      </c>
      <c r="G5" s="12"/>
      <c r="H5" s="9138" t="s">
        <v>736</v>
      </c>
      <c r="I5" s="9139"/>
      <c r="J5" s="9140"/>
      <c r="K5" s="12"/>
      <c r="L5" s="9138" t="s">
        <v>737</v>
      </c>
      <c r="M5" s="9140"/>
      <c r="O5" s="9138" t="s">
        <v>737</v>
      </c>
      <c r="P5" s="9139"/>
      <c r="Q5" s="9139"/>
      <c r="R5" s="9140"/>
      <c r="S5" s="12"/>
      <c r="T5" s="9138" t="s">
        <v>3242</v>
      </c>
      <c r="U5" s="9139"/>
      <c r="V5" s="9140"/>
      <c r="X5" s="9138" t="s">
        <v>3242</v>
      </c>
      <c r="Y5" s="9139"/>
      <c r="Z5" s="9139"/>
      <c r="AA5" s="9140"/>
      <c r="AB5" s="12"/>
      <c r="AC5" s="9138" t="s">
        <v>3243</v>
      </c>
      <c r="AD5" s="9139"/>
      <c r="AE5" s="9140"/>
      <c r="AG5" s="9234" t="s">
        <v>3243</v>
      </c>
      <c r="AH5" s="9234"/>
      <c r="AI5" s="9234"/>
      <c r="AJ5" s="9234"/>
      <c r="AL5" s="9138" t="s">
        <v>2111</v>
      </c>
      <c r="AM5" s="9139"/>
      <c r="AN5" s="9140"/>
      <c r="AP5" s="9234" t="s">
        <v>2111</v>
      </c>
      <c r="AQ5" s="9234"/>
      <c r="AR5" s="9234"/>
      <c r="AS5" s="9234"/>
      <c r="AU5" s="9138" t="s">
        <v>743</v>
      </c>
      <c r="AV5" s="9139"/>
      <c r="AW5" s="9140"/>
      <c r="AY5" s="9234" t="s">
        <v>743</v>
      </c>
      <c r="AZ5" s="9234"/>
      <c r="BA5" s="9234"/>
      <c r="BB5" s="9234"/>
      <c r="BD5" s="9138" t="s">
        <v>3078</v>
      </c>
      <c r="BE5" s="9139"/>
      <c r="BF5" s="9140"/>
      <c r="BM5" s="9181"/>
    </row>
    <row r="6" spans="1:65" x14ac:dyDescent="0.35">
      <c r="C6"/>
      <c r="F6" s="6"/>
      <c r="L6" s="14"/>
      <c r="T6" s="14"/>
      <c r="U6" s="14"/>
      <c r="AC6" s="14"/>
      <c r="AD6" s="14"/>
      <c r="AG6" s="14"/>
      <c r="AH6" s="14"/>
      <c r="AI6" s="14"/>
      <c r="AL6" s="3350"/>
      <c r="AM6" s="14"/>
      <c r="AP6" s="14"/>
      <c r="AQ6" s="14"/>
      <c r="AR6" s="14"/>
      <c r="AU6" s="3350"/>
      <c r="AV6" s="14"/>
      <c r="AY6" s="14"/>
      <c r="AZ6" s="14"/>
      <c r="BA6" s="14"/>
      <c r="BD6" s="3350"/>
      <c r="BE6" s="14"/>
      <c r="BM6" s="6"/>
    </row>
    <row r="7" spans="1:65" ht="12.75" customHeight="1" x14ac:dyDescent="0.35">
      <c r="B7" s="1" t="s">
        <v>101</v>
      </c>
      <c r="C7" s="15" t="s">
        <v>4189</v>
      </c>
      <c r="D7" s="5" t="s">
        <v>417</v>
      </c>
      <c r="F7" s="8322" t="s">
        <v>4190</v>
      </c>
      <c r="H7" s="9173" t="s">
        <v>4190</v>
      </c>
      <c r="I7" s="9173"/>
      <c r="J7" s="9147" t="s">
        <v>419</v>
      </c>
      <c r="L7" s="9149" t="s">
        <v>4190</v>
      </c>
      <c r="M7" s="9151"/>
      <c r="O7" s="9173" t="str">
        <f>L7</f>
        <v>000 NRps</v>
      </c>
      <c r="P7" s="9173"/>
      <c r="Q7" s="16"/>
      <c r="R7" s="9147" t="s">
        <v>419</v>
      </c>
      <c r="T7" s="9149" t="s">
        <v>4190</v>
      </c>
      <c r="U7" s="9150"/>
      <c r="V7" s="9151"/>
      <c r="X7" s="9173" t="s">
        <v>4190</v>
      </c>
      <c r="Y7" s="9173"/>
      <c r="Z7" s="16"/>
      <c r="AA7" s="9147" t="s">
        <v>419</v>
      </c>
      <c r="AC7" s="9149" t="s">
        <v>4190</v>
      </c>
      <c r="AD7" s="9150"/>
      <c r="AE7" s="9151"/>
      <c r="AG7" s="9149" t="s">
        <v>4190</v>
      </c>
      <c r="AH7" s="9150"/>
      <c r="AI7" s="9151"/>
      <c r="AJ7" s="9147" t="s">
        <v>419</v>
      </c>
      <c r="AL7" s="9149" t="s">
        <v>4190</v>
      </c>
      <c r="AM7" s="9150"/>
      <c r="AN7" s="9151"/>
      <c r="AP7" s="9149" t="s">
        <v>4190</v>
      </c>
      <c r="AQ7" s="9150"/>
      <c r="AR7" s="9151"/>
      <c r="AS7" s="9147" t="s">
        <v>419</v>
      </c>
      <c r="AU7" s="9149" t="s">
        <v>4190</v>
      </c>
      <c r="AV7" s="9150"/>
      <c r="AW7" s="9151"/>
      <c r="AY7" s="9149" t="s">
        <v>4190</v>
      </c>
      <c r="AZ7" s="9150"/>
      <c r="BA7" s="9151"/>
      <c r="BB7" s="9147" t="s">
        <v>419</v>
      </c>
      <c r="BD7" s="9149" t="s">
        <v>4190</v>
      </c>
      <c r="BE7" s="9150"/>
      <c r="BF7" s="9151"/>
      <c r="BM7" s="18"/>
    </row>
    <row r="8" spans="1:65" x14ac:dyDescent="0.35">
      <c r="B8" s="1" t="s">
        <v>420</v>
      </c>
      <c r="C8" s="19" t="s">
        <v>747</v>
      </c>
      <c r="F8" s="20" t="s">
        <v>96</v>
      </c>
      <c r="H8" s="20" t="s">
        <v>423</v>
      </c>
      <c r="I8" s="20" t="s">
        <v>96</v>
      </c>
      <c r="J8" s="9148"/>
      <c r="L8" s="21" t="s">
        <v>423</v>
      </c>
      <c r="M8" s="20" t="s">
        <v>96</v>
      </c>
      <c r="O8" s="20" t="s">
        <v>424</v>
      </c>
      <c r="P8" s="20" t="s">
        <v>96</v>
      </c>
      <c r="Q8" s="22" t="s">
        <v>425</v>
      </c>
      <c r="R8" s="9148"/>
      <c r="T8" s="21" t="s">
        <v>748</v>
      </c>
      <c r="U8" s="22" t="s">
        <v>425</v>
      </c>
      <c r="V8" s="20" t="s">
        <v>96</v>
      </c>
      <c r="X8" s="20" t="s">
        <v>424</v>
      </c>
      <c r="Y8" s="20" t="s">
        <v>96</v>
      </c>
      <c r="Z8" s="22" t="s">
        <v>425</v>
      </c>
      <c r="AA8" s="9148"/>
      <c r="AC8" s="21" t="s">
        <v>748</v>
      </c>
      <c r="AD8" s="22" t="s">
        <v>425</v>
      </c>
      <c r="AE8" s="20" t="s">
        <v>96</v>
      </c>
      <c r="AG8" s="21" t="s">
        <v>748</v>
      </c>
      <c r="AH8" s="20" t="s">
        <v>96</v>
      </c>
      <c r="AI8" s="22" t="s">
        <v>425</v>
      </c>
      <c r="AJ8" s="9148"/>
      <c r="AL8" s="3351" t="s">
        <v>748</v>
      </c>
      <c r="AM8" s="22" t="s">
        <v>425</v>
      </c>
      <c r="AN8" s="20" t="s">
        <v>96</v>
      </c>
      <c r="AP8" s="21" t="s">
        <v>748</v>
      </c>
      <c r="AQ8" s="20" t="s">
        <v>96</v>
      </c>
      <c r="AR8" s="22" t="s">
        <v>425</v>
      </c>
      <c r="AS8" s="9148"/>
      <c r="AU8" s="3351" t="s">
        <v>748</v>
      </c>
      <c r="AV8" s="22" t="s">
        <v>425</v>
      </c>
      <c r="AW8" s="20" t="s">
        <v>96</v>
      </c>
      <c r="AY8" s="21" t="s">
        <v>4191</v>
      </c>
      <c r="AZ8" s="20" t="s">
        <v>96</v>
      </c>
      <c r="BA8" s="22" t="s">
        <v>425</v>
      </c>
      <c r="BB8" s="9148"/>
      <c r="BD8" s="3351" t="s">
        <v>4191</v>
      </c>
      <c r="BE8" s="22" t="s">
        <v>425</v>
      </c>
      <c r="BF8" s="20" t="s">
        <v>96</v>
      </c>
      <c r="BM8" s="24"/>
    </row>
    <row r="9" spans="1:65" x14ac:dyDescent="0.35">
      <c r="C9"/>
      <c r="E9"/>
      <c r="F9"/>
      <c r="G9"/>
      <c r="H9"/>
      <c r="I9"/>
      <c r="J9" s="25"/>
      <c r="K9"/>
      <c r="N9"/>
      <c r="O9"/>
      <c r="P9"/>
      <c r="Q9"/>
      <c r="R9" s="25"/>
      <c r="S9"/>
      <c r="W9"/>
      <c r="X9"/>
      <c r="Y9"/>
      <c r="Z9"/>
      <c r="AA9" s="25"/>
      <c r="AB9"/>
      <c r="AF9"/>
      <c r="AJ9" s="25"/>
      <c r="AO9"/>
      <c r="AS9" s="25"/>
      <c r="BB9" s="25"/>
    </row>
    <row r="10" spans="1:65" ht="33.25" customHeight="1" x14ac:dyDescent="0.35">
      <c r="A10" s="9167" t="s">
        <v>426</v>
      </c>
      <c r="B10" s="27"/>
      <c r="C10" s="28" t="s">
        <v>427</v>
      </c>
      <c r="D10" s="29" t="s">
        <v>428</v>
      </c>
      <c r="E10" s="30"/>
      <c r="F10" s="31" t="s">
        <v>4192</v>
      </c>
      <c r="G10"/>
      <c r="H10" s="31" t="s">
        <v>4193</v>
      </c>
      <c r="I10" s="31" t="s">
        <v>4194</v>
      </c>
      <c r="J10" s="32"/>
      <c r="K10" s="33"/>
      <c r="L10" s="31" t="s">
        <v>4194</v>
      </c>
      <c r="M10" s="34" t="s">
        <v>593</v>
      </c>
      <c r="N10" s="33"/>
      <c r="O10" s="9155" t="s">
        <v>4195</v>
      </c>
      <c r="P10" s="9156"/>
      <c r="Q10" s="473" t="s">
        <v>4196</v>
      </c>
      <c r="R10" s="32"/>
      <c r="S10" s="33"/>
      <c r="T10" s="36" t="s">
        <v>4195</v>
      </c>
      <c r="U10" s="473" t="s">
        <v>4196</v>
      </c>
      <c r="V10" s="34" t="s">
        <v>593</v>
      </c>
      <c r="W10" s="33"/>
      <c r="X10" s="8314" t="s">
        <v>4195</v>
      </c>
      <c r="Y10" s="8314" t="s">
        <v>4197</v>
      </c>
      <c r="Z10" s="3219" t="s">
        <v>4198</v>
      </c>
      <c r="AA10" s="32"/>
      <c r="AB10" s="33"/>
      <c r="AC10" s="8314" t="s">
        <v>4197</v>
      </c>
      <c r="AD10" s="3219" t="s">
        <v>4198</v>
      </c>
      <c r="AE10" s="34" t="s">
        <v>593</v>
      </c>
      <c r="AF10" s="33"/>
      <c r="AG10" s="8314" t="s">
        <v>4197</v>
      </c>
      <c r="AH10" s="8314" t="s">
        <v>4199</v>
      </c>
      <c r="AI10" s="3219" t="s">
        <v>4198</v>
      </c>
      <c r="AJ10" s="32"/>
      <c r="AL10" s="8314" t="s">
        <v>4199</v>
      </c>
      <c r="AM10" s="473" t="s">
        <v>4200</v>
      </c>
      <c r="AN10" s="34" t="s">
        <v>593</v>
      </c>
      <c r="AO10" s="33"/>
      <c r="AP10" s="8314" t="s">
        <v>4199</v>
      </c>
      <c r="AQ10" s="8314" t="s">
        <v>4201</v>
      </c>
      <c r="AR10" s="473" t="s">
        <v>4198</v>
      </c>
      <c r="AS10" s="32"/>
      <c r="AU10" s="8314" t="s">
        <v>4201</v>
      </c>
      <c r="AV10" s="473" t="s">
        <v>4200</v>
      </c>
      <c r="AW10" s="34" t="s">
        <v>4202</v>
      </c>
      <c r="AY10" s="8314" t="s">
        <v>4199</v>
      </c>
      <c r="AZ10" s="8314" t="s">
        <v>4203</v>
      </c>
      <c r="BA10" s="473" t="s">
        <v>4204</v>
      </c>
      <c r="BB10" s="32"/>
      <c r="BD10" s="8314" t="s">
        <v>4201</v>
      </c>
      <c r="BE10" s="473" t="s">
        <v>4204</v>
      </c>
      <c r="BF10" s="34" t="s">
        <v>4205</v>
      </c>
      <c r="BM10" s="39"/>
    </row>
    <row r="11" spans="1:65" ht="12.75" customHeight="1" x14ac:dyDescent="0.35">
      <c r="A11" s="9168"/>
      <c r="B11" s="40" t="s">
        <v>451</v>
      </c>
      <c r="C11" s="41"/>
      <c r="D11" s="42"/>
      <c r="E11" s="43"/>
      <c r="F11" s="44"/>
      <c r="G11"/>
      <c r="H11" s="45"/>
      <c r="I11" s="46"/>
      <c r="J11" s="47"/>
      <c r="K11" s="48"/>
      <c r="L11" s="45"/>
      <c r="M11" s="49"/>
      <c r="N11" s="50"/>
      <c r="O11" s="51"/>
      <c r="P11" s="46"/>
      <c r="Q11" s="592" t="s">
        <v>4206</v>
      </c>
      <c r="R11" s="47"/>
      <c r="S11" s="48"/>
      <c r="T11" s="45"/>
      <c r="U11" s="592" t="s">
        <v>4206</v>
      </c>
      <c r="V11" s="1342" t="s">
        <v>4207</v>
      </c>
      <c r="W11" s="50"/>
      <c r="X11" s="51"/>
      <c r="Y11" s="46"/>
      <c r="Z11" s="592" t="s">
        <v>4206</v>
      </c>
      <c r="AA11" s="47"/>
      <c r="AB11" s="48"/>
      <c r="AC11" s="45"/>
      <c r="AD11" s="592" t="s">
        <v>4206</v>
      </c>
      <c r="AE11" s="1342" t="s">
        <v>4207</v>
      </c>
      <c r="AF11" s="50"/>
      <c r="AG11" s="45"/>
      <c r="AH11" s="45"/>
      <c r="AI11" s="3352" t="s">
        <v>4206</v>
      </c>
      <c r="AJ11" s="47"/>
      <c r="AL11" s="45"/>
      <c r="AM11" s="592"/>
      <c r="AN11" s="1342" t="s">
        <v>4207</v>
      </c>
      <c r="AO11" s="50"/>
      <c r="AP11" s="154"/>
      <c r="AQ11" s="54"/>
      <c r="AR11" s="592" t="s">
        <v>4206</v>
      </c>
      <c r="AS11" s="47"/>
      <c r="AU11" s="154"/>
      <c r="AV11" s="592"/>
      <c r="AW11" s="1342"/>
      <c r="AY11" s="154"/>
      <c r="AZ11" s="54"/>
      <c r="BA11" s="592"/>
      <c r="BB11" s="47"/>
      <c r="BD11" s="154"/>
      <c r="BE11" s="592"/>
      <c r="BF11" s="1342"/>
      <c r="BM11" s="18"/>
    </row>
    <row r="12" spans="1:65" x14ac:dyDescent="0.35">
      <c r="A12" s="9168"/>
      <c r="B12" s="58"/>
      <c r="C12" s="59" t="s">
        <v>456</v>
      </c>
      <c r="D12" s="60"/>
      <c r="F12" s="61">
        <v>244374099</v>
      </c>
      <c r="G12"/>
      <c r="H12" s="62">
        <v>354529430</v>
      </c>
      <c r="I12" s="63">
        <v>368657856</v>
      </c>
      <c r="J12" s="476">
        <f>IF(H12=0,0,I12/H12)</f>
        <v>1.0398512078390785</v>
      </c>
      <c r="K12" s="65"/>
      <c r="L12" s="62">
        <v>393506664</v>
      </c>
      <c r="M12" s="66">
        <f>L12*J12</f>
        <v>409188379.85312641</v>
      </c>
      <c r="N12" s="67"/>
      <c r="O12" s="71">
        <v>393506664</v>
      </c>
      <c r="P12" s="74">
        <v>411848247</v>
      </c>
      <c r="Q12" s="53" t="s">
        <v>4208</v>
      </c>
      <c r="R12" s="476">
        <f t="shared" ref="R12:R23" si="0">IF(O12=0,0,P12/O12)</f>
        <v>1.0466106032704952</v>
      </c>
      <c r="S12" s="65"/>
      <c r="T12" s="71">
        <v>460425521</v>
      </c>
      <c r="U12" s="53" t="s">
        <v>4208</v>
      </c>
      <c r="V12" s="1780">
        <f>T12</f>
        <v>460425521</v>
      </c>
      <c r="W12" s="67"/>
      <c r="X12" s="71">
        <f>T12</f>
        <v>460425521</v>
      </c>
      <c r="Y12" s="74">
        <v>485239025</v>
      </c>
      <c r="Z12" s="53" t="s">
        <v>1096</v>
      </c>
      <c r="AA12" s="476">
        <f t="shared" ref="AA12:AA16" si="1">IF(X12=0,0,Y12/X12)</f>
        <v>1.0538925469337743</v>
      </c>
      <c r="AB12" s="65"/>
      <c r="AC12" s="71">
        <v>580988635</v>
      </c>
      <c r="AD12" s="53" t="s">
        <v>1096</v>
      </c>
      <c r="AE12" s="1780">
        <f>AC12</f>
        <v>580988635</v>
      </c>
      <c r="AF12" s="67"/>
      <c r="AG12" s="71">
        <v>580988635</v>
      </c>
      <c r="AH12" s="71">
        <v>612597500</v>
      </c>
      <c r="AI12" s="237" t="s">
        <v>4208</v>
      </c>
      <c r="AJ12" s="476">
        <f>IF(AG12=0,0,AH12/AG12)</f>
        <v>1.0544053069127592</v>
      </c>
      <c r="AL12" s="71">
        <f>7283500*100</f>
        <v>728350000</v>
      </c>
      <c r="AM12" s="53" t="s">
        <v>4209</v>
      </c>
      <c r="AN12" s="3353">
        <f t="shared" ref="AN12:AN15" si="2">AL12*AJ12</f>
        <v>767976105.28990817</v>
      </c>
      <c r="AO12" s="67"/>
      <c r="AP12" s="62">
        <f>AL12</f>
        <v>728350000</v>
      </c>
      <c r="AQ12" s="671">
        <v>726717600</v>
      </c>
      <c r="AR12" s="57" t="s">
        <v>1706</v>
      </c>
      <c r="AS12" s="476">
        <f>IF(AP12=0,0,AQ12/AP12)</f>
        <v>0.99775876982220091</v>
      </c>
      <c r="AU12" s="71">
        <v>757549400</v>
      </c>
      <c r="AV12" s="53" t="s">
        <v>4209</v>
      </c>
      <c r="AW12" s="7288">
        <f>AU12*AS12</f>
        <v>755851557.42354643</v>
      </c>
      <c r="AY12" s="62">
        <v>831318000</v>
      </c>
      <c r="AZ12" s="671">
        <v>742632900</v>
      </c>
      <c r="BA12" s="57" t="s">
        <v>4209</v>
      </c>
      <c r="BB12" s="476">
        <f>IF(AY12=0,0,AZ12/AY12)</f>
        <v>0.89331988480942315</v>
      </c>
      <c r="BD12" s="71">
        <v>981138300</v>
      </c>
      <c r="BE12" s="53" t="s">
        <v>4209</v>
      </c>
      <c r="BF12" s="7288">
        <f>BD12*BB12</f>
        <v>876470353.13811326</v>
      </c>
      <c r="BM12" s="3248"/>
    </row>
    <row r="13" spans="1:65" x14ac:dyDescent="0.35">
      <c r="A13" s="9168"/>
      <c r="B13" s="58"/>
      <c r="C13" s="59"/>
      <c r="D13" s="60"/>
      <c r="F13" s="61"/>
      <c r="G13"/>
      <c r="H13" s="62"/>
      <c r="I13" s="63"/>
      <c r="J13" s="476"/>
      <c r="K13" s="65"/>
      <c r="L13" s="62"/>
      <c r="M13" s="66"/>
      <c r="N13" s="67"/>
      <c r="O13" s="71"/>
      <c r="P13" s="74"/>
      <c r="Q13" s="53"/>
      <c r="R13" s="476"/>
      <c r="S13" s="65"/>
      <c r="T13" s="71"/>
      <c r="U13" s="53"/>
      <c r="V13" s="1780"/>
      <c r="W13" s="67"/>
      <c r="X13" s="71"/>
      <c r="Y13" s="74"/>
      <c r="Z13" s="53"/>
      <c r="AA13" s="476"/>
      <c r="AB13" s="65"/>
      <c r="AC13" s="71"/>
      <c r="AD13" s="53"/>
      <c r="AE13" s="1780"/>
      <c r="AF13" s="67"/>
      <c r="AG13" s="71"/>
      <c r="AH13" s="71"/>
      <c r="AI13" s="237"/>
      <c r="AJ13" s="476"/>
      <c r="AL13" s="71"/>
      <c r="AM13" s="53"/>
      <c r="AN13" s="3353"/>
      <c r="AO13" s="67"/>
      <c r="AP13" s="62"/>
      <c r="AQ13" s="671"/>
      <c r="AR13" s="57"/>
      <c r="AS13" s="476"/>
      <c r="AU13" s="71"/>
      <c r="AV13" s="53"/>
      <c r="AW13" s="3356"/>
      <c r="AY13" s="5809">
        <v>114240000</v>
      </c>
      <c r="AZ13" s="8045">
        <v>97029000</v>
      </c>
      <c r="BA13" s="3969" t="s">
        <v>4210</v>
      </c>
      <c r="BB13" s="476">
        <f>IF(AY13=0,0,AZ13/AY13)</f>
        <v>0.84934348739495802</v>
      </c>
      <c r="BD13" s="8046">
        <v>130895000</v>
      </c>
      <c r="BE13" s="3969" t="s">
        <v>4210</v>
      </c>
      <c r="BF13" s="7288">
        <f>BD13*BB13</f>
        <v>111174815.78256303</v>
      </c>
      <c r="BM13" s="3248"/>
    </row>
    <row r="14" spans="1:65" x14ac:dyDescent="0.35">
      <c r="A14" s="9168"/>
      <c r="B14" s="58"/>
      <c r="C14" s="587" t="s">
        <v>462</v>
      </c>
      <c r="D14" s="60"/>
      <c r="F14" s="61">
        <v>40810281</v>
      </c>
      <c r="G14"/>
      <c r="H14" s="62">
        <v>47311048</v>
      </c>
      <c r="I14" s="63">
        <v>42205766</v>
      </c>
      <c r="J14" s="73">
        <f t="shared" ref="J14:J16" si="3">IF(H14=0,0,I14/H14)</f>
        <v>0.89209112425495207</v>
      </c>
      <c r="K14" s="65"/>
      <c r="L14" s="62">
        <v>37727289</v>
      </c>
      <c r="M14" s="66">
        <f t="shared" ref="M14:M16" si="4">L14*J14</f>
        <v>33656179.659101486</v>
      </c>
      <c r="N14" s="67"/>
      <c r="O14" s="71">
        <v>37727289</v>
      </c>
      <c r="P14" s="74">
        <v>38174309</v>
      </c>
      <c r="Q14" s="53"/>
      <c r="R14" s="476">
        <f t="shared" si="0"/>
        <v>1.0118487177809146</v>
      </c>
      <c r="S14" s="65"/>
      <c r="T14" s="71">
        <v>67079660</v>
      </c>
      <c r="U14" s="53"/>
      <c r="V14" s="1780">
        <f>T14</f>
        <v>67079660</v>
      </c>
      <c r="W14" s="67"/>
      <c r="X14" s="71">
        <f>T14</f>
        <v>67079660</v>
      </c>
      <c r="Y14" s="74">
        <v>39543955</v>
      </c>
      <c r="Z14" s="53"/>
      <c r="AA14" s="476">
        <f t="shared" si="1"/>
        <v>0.58950738569634964</v>
      </c>
      <c r="AB14" s="65"/>
      <c r="AC14" s="71">
        <v>75172916</v>
      </c>
      <c r="AD14" s="53"/>
      <c r="AE14" s="66">
        <f t="shared" ref="AE14:AE15" si="5">AC14*AA14</f>
        <v>44314989.186331294</v>
      </c>
      <c r="AF14" s="67"/>
      <c r="AG14" s="71">
        <v>75172916</v>
      </c>
      <c r="AH14" s="71">
        <v>31932300</v>
      </c>
      <c r="AI14" s="237"/>
      <c r="AJ14" s="476">
        <f t="shared" ref="AJ14:AJ16" si="6">IF(AG14=0,0,AH14/AG14)</f>
        <v>0.42478463919106185</v>
      </c>
      <c r="AL14" s="71">
        <f>361639*100</f>
        <v>36163900</v>
      </c>
      <c r="AM14" s="53" t="s">
        <v>4209</v>
      </c>
      <c r="AN14" s="3353">
        <f t="shared" si="2"/>
        <v>15361869.213241642</v>
      </c>
      <c r="AO14" s="67"/>
      <c r="AP14" s="62">
        <f>AL14</f>
        <v>36163900</v>
      </c>
      <c r="AQ14" s="671">
        <v>39318700</v>
      </c>
      <c r="AR14" s="57"/>
      <c r="AS14" s="476">
        <f t="shared" ref="AS14:AS16" si="7">IF(AP14=0,0,AQ14/AP14)</f>
        <v>1.0872361664532864</v>
      </c>
      <c r="AU14" s="71">
        <v>46765500</v>
      </c>
      <c r="AV14" s="53" t="s">
        <v>4209</v>
      </c>
      <c r="AW14" s="3356">
        <f t="shared" ref="AW14:AW16" si="8">AU14*AS14</f>
        <v>50845142.942271166</v>
      </c>
      <c r="AY14" s="62">
        <v>58815500</v>
      </c>
      <c r="AZ14" s="671">
        <v>22898700</v>
      </c>
      <c r="BA14" s="57" t="s">
        <v>4209</v>
      </c>
      <c r="BB14" s="476">
        <f t="shared" ref="BB14:BB16" si="9">IF(AY14=0,0,AZ14/AY14)</f>
        <v>0.38933104368746335</v>
      </c>
      <c r="BD14" s="71">
        <v>57995500</v>
      </c>
      <c r="BE14" s="53" t="s">
        <v>4209</v>
      </c>
      <c r="BF14" s="3356">
        <f t="shared" ref="BF14" si="10">BD14*BB14</f>
        <v>22579448.54417628</v>
      </c>
      <c r="BM14" s="26"/>
    </row>
    <row r="15" spans="1:65" x14ac:dyDescent="0.35">
      <c r="A15" s="9168"/>
      <c r="B15" s="75"/>
      <c r="C15" s="1096" t="s">
        <v>3267</v>
      </c>
      <c r="D15" s="60"/>
      <c r="F15" s="77"/>
      <c r="G15"/>
      <c r="H15" s="78"/>
      <c r="I15" s="79"/>
      <c r="J15" s="73"/>
      <c r="K15" s="80"/>
      <c r="L15" s="78"/>
      <c r="M15" s="66"/>
      <c r="N15" s="67"/>
      <c r="O15" s="71"/>
      <c r="P15" s="69"/>
      <c r="Q15" s="53"/>
      <c r="R15" s="476">
        <f t="shared" si="0"/>
        <v>0</v>
      </c>
      <c r="S15" s="65"/>
      <c r="T15" s="62"/>
      <c r="U15" s="53"/>
      <c r="V15" s="1780">
        <f>T15</f>
        <v>0</v>
      </c>
      <c r="W15" s="67"/>
      <c r="X15" s="71"/>
      <c r="Y15" s="69"/>
      <c r="Z15" s="53"/>
      <c r="AA15" s="476">
        <f t="shared" si="1"/>
        <v>0</v>
      </c>
      <c r="AB15" s="65"/>
      <c r="AC15" s="62"/>
      <c r="AD15" s="53"/>
      <c r="AE15" s="66">
        <f t="shared" si="5"/>
        <v>0</v>
      </c>
      <c r="AF15" s="67"/>
      <c r="AG15" s="62"/>
      <c r="AH15" s="62"/>
      <c r="AI15" s="237"/>
      <c r="AJ15" s="476">
        <f t="shared" si="6"/>
        <v>0</v>
      </c>
      <c r="AL15" s="62"/>
      <c r="AM15" s="53"/>
      <c r="AN15" s="3353">
        <f t="shared" si="2"/>
        <v>0</v>
      </c>
      <c r="AO15" s="67"/>
      <c r="AP15" s="62"/>
      <c r="AQ15" s="63"/>
      <c r="AR15" s="57"/>
      <c r="AS15" s="476">
        <f t="shared" si="7"/>
        <v>0</v>
      </c>
      <c r="AU15" s="62"/>
      <c r="AV15" s="53"/>
      <c r="AW15" s="3356"/>
      <c r="AY15" s="62"/>
      <c r="AZ15" s="63"/>
      <c r="BA15" s="57"/>
      <c r="BB15" s="476">
        <f t="shared" si="9"/>
        <v>0</v>
      </c>
      <c r="BD15" s="62"/>
      <c r="BE15" s="53"/>
      <c r="BF15" s="3356"/>
      <c r="BM15" s="26"/>
    </row>
    <row r="16" spans="1:65" x14ac:dyDescent="0.35">
      <c r="A16" s="9168"/>
      <c r="B16" s="85"/>
      <c r="C16" s="86" t="s">
        <v>466</v>
      </c>
      <c r="D16" s="87"/>
      <c r="F16" s="88">
        <f>F12+F14</f>
        <v>285184380</v>
      </c>
      <c r="G16"/>
      <c r="H16" s="89">
        <v>401840478</v>
      </c>
      <c r="I16" s="90">
        <v>410863622</v>
      </c>
      <c r="J16" s="91">
        <f t="shared" si="3"/>
        <v>1.022454542272369</v>
      </c>
      <c r="K16" s="80"/>
      <c r="L16" s="89">
        <v>431233953</v>
      </c>
      <c r="M16" s="92">
        <f t="shared" si="4"/>
        <v>440917114.02691931</v>
      </c>
      <c r="N16" s="67"/>
      <c r="O16" s="768">
        <v>431233953</v>
      </c>
      <c r="P16" s="99">
        <f>SUM(P12:P15)</f>
        <v>450022556</v>
      </c>
      <c r="Q16" s="95"/>
      <c r="R16" s="476">
        <f t="shared" si="0"/>
        <v>1.0435693963086436</v>
      </c>
      <c r="S16" s="80"/>
      <c r="T16" s="89">
        <f>SUM(T12:T15)</f>
        <v>527505181</v>
      </c>
      <c r="U16" s="95"/>
      <c r="V16" s="3084">
        <f>SUM(V12:V15)</f>
        <v>527505181</v>
      </c>
      <c r="W16" s="67"/>
      <c r="X16" s="768">
        <f>SUM(X12:X15)</f>
        <v>527505181</v>
      </c>
      <c r="Y16" s="99">
        <f>SUM(Y12:Y15)</f>
        <v>524782980</v>
      </c>
      <c r="Z16" s="95"/>
      <c r="AA16" s="476">
        <f t="shared" si="1"/>
        <v>0.99483948006948575</v>
      </c>
      <c r="AB16" s="80"/>
      <c r="AC16" s="89">
        <f>SUM(AC12:AC15)</f>
        <v>656161551</v>
      </c>
      <c r="AD16" s="95"/>
      <c r="AE16" s="3084">
        <f>SUM(AE12:AE15)</f>
        <v>625303624.18633127</v>
      </c>
      <c r="AF16" s="67"/>
      <c r="AG16" s="89">
        <f>SUM(AG12:AG15)</f>
        <v>656161551</v>
      </c>
      <c r="AH16" s="89">
        <f>SUM(AH12:AH15)</f>
        <v>644529800</v>
      </c>
      <c r="AI16" s="3354"/>
      <c r="AJ16" s="476">
        <f t="shared" si="6"/>
        <v>0.98227303781778585</v>
      </c>
      <c r="AL16" s="89">
        <f>SUM(AL12:AL15)</f>
        <v>764513900</v>
      </c>
      <c r="AM16" s="53" t="s">
        <v>4209</v>
      </c>
      <c r="AN16" s="3084">
        <f>SUM(AN12:AN15)</f>
        <v>783337974.50314987</v>
      </c>
      <c r="AO16" s="67"/>
      <c r="AP16" s="89">
        <f>SUM(AP12:AP15)</f>
        <v>764513900</v>
      </c>
      <c r="AQ16" s="90">
        <f>SUM(AQ12:AQ15)</f>
        <v>766036300</v>
      </c>
      <c r="AR16" s="98"/>
      <c r="AS16" s="484">
        <f t="shared" si="7"/>
        <v>1.001991330700462</v>
      </c>
      <c r="AU16" s="89">
        <f>SUM(AU12:AU15)</f>
        <v>804314900</v>
      </c>
      <c r="AV16" s="95" t="s">
        <v>4209</v>
      </c>
      <c r="AW16" s="5360">
        <f t="shared" si="8"/>
        <v>805916556.95320904</v>
      </c>
      <c r="AY16" s="89">
        <f>SUM(AY12:AY15)</f>
        <v>1004373500</v>
      </c>
      <c r="AZ16" s="90">
        <f>SUM(AZ12:AZ15)</f>
        <v>862560600</v>
      </c>
      <c r="BA16" s="98" t="s">
        <v>4209</v>
      </c>
      <c r="BB16" s="484">
        <f t="shared" si="9"/>
        <v>0.85880461800316321</v>
      </c>
      <c r="BD16" s="89">
        <f>SUM(BD12:BD15)</f>
        <v>1170028800</v>
      </c>
      <c r="BE16" s="95" t="s">
        <v>4209</v>
      </c>
      <c r="BF16" s="6097">
        <f t="shared" ref="BF16" si="11">BD16*BB16</f>
        <v>1004826136.6366994</v>
      </c>
      <c r="BM16" s="24"/>
    </row>
    <row r="17" spans="1:65" x14ac:dyDescent="0.35">
      <c r="A17" s="9168"/>
      <c r="B17" s="100" t="s">
        <v>468</v>
      </c>
      <c r="C17" s="49"/>
      <c r="D17" s="42"/>
      <c r="E17" s="43"/>
      <c r="F17" s="101"/>
      <c r="G17"/>
      <c r="H17" s="102"/>
      <c r="I17" s="103"/>
      <c r="J17" s="104"/>
      <c r="K17" s="43"/>
      <c r="L17" s="102"/>
      <c r="M17" s="105"/>
      <c r="N17" s="43"/>
      <c r="O17" s="102"/>
      <c r="P17" s="106"/>
      <c r="Q17" s="592" t="s">
        <v>4206</v>
      </c>
      <c r="R17" s="104"/>
      <c r="S17" s="43"/>
      <c r="T17" s="1111"/>
      <c r="U17" s="592" t="s">
        <v>4206</v>
      </c>
      <c r="V17" s="66"/>
      <c r="W17" s="43"/>
      <c r="X17" s="102"/>
      <c r="Y17" s="103"/>
      <c r="Z17" s="592" t="s">
        <v>4206</v>
      </c>
      <c r="AA17" s="104"/>
      <c r="AB17" s="43"/>
      <c r="AC17" s="1111"/>
      <c r="AD17" s="592" t="s">
        <v>4206</v>
      </c>
      <c r="AE17" s="66"/>
      <c r="AF17" s="43"/>
      <c r="AG17" s="1111"/>
      <c r="AH17" s="313"/>
      <c r="AI17" s="3352" t="s">
        <v>4206</v>
      </c>
      <c r="AJ17" s="104"/>
      <c r="AL17" s="1111"/>
      <c r="AM17" s="592" t="s">
        <v>4206</v>
      </c>
      <c r="AN17" s="66"/>
      <c r="AO17" s="43"/>
      <c r="AP17" s="230" t="s">
        <v>4208</v>
      </c>
      <c r="AQ17" s="231" t="s">
        <v>1706</v>
      </c>
      <c r="AR17" s="592" t="s">
        <v>4206</v>
      </c>
      <c r="AS17" s="104"/>
      <c r="AU17" s="107"/>
      <c r="AV17" s="592" t="s">
        <v>4206</v>
      </c>
      <c r="AW17" s="3377"/>
      <c r="AY17" s="230"/>
      <c r="AZ17" s="231" t="s">
        <v>4211</v>
      </c>
      <c r="BA17" s="592" t="s">
        <v>4206</v>
      </c>
      <c r="BB17" s="104"/>
      <c r="BD17" s="107" t="s">
        <v>4211</v>
      </c>
      <c r="BE17" s="592" t="s">
        <v>4206</v>
      </c>
      <c r="BF17" s="3377"/>
      <c r="BM17" s="18"/>
    </row>
    <row r="18" spans="1:65" x14ac:dyDescent="0.35">
      <c r="A18" s="9168"/>
      <c r="B18" s="6082"/>
      <c r="C18" s="110" t="s">
        <v>470</v>
      </c>
      <c r="D18" s="60">
        <v>1</v>
      </c>
      <c r="F18" s="111">
        <v>243460007</v>
      </c>
      <c r="G18"/>
      <c r="H18" s="112">
        <v>316640079</v>
      </c>
      <c r="I18" s="113">
        <v>303531745</v>
      </c>
      <c r="J18" s="476">
        <f t="shared" ref="J18:J23" si="12">IF(H18=0,0,I18/H18)</f>
        <v>0.9586017852149411</v>
      </c>
      <c r="L18" s="112">
        <v>339199360</v>
      </c>
      <c r="M18" s="66">
        <f t="shared" ref="M18:M23" si="13">L18*J18</f>
        <v>325157112.03976548</v>
      </c>
      <c r="O18" s="112">
        <f>339199360-O21</f>
        <v>331263973</v>
      </c>
      <c r="P18" s="115">
        <f>339278025-P21</f>
        <v>330014828</v>
      </c>
      <c r="Q18" s="53" t="s">
        <v>4208</v>
      </c>
      <c r="R18" s="476">
        <f t="shared" si="0"/>
        <v>0.99622915529060563</v>
      </c>
      <c r="T18" s="117">
        <f>434065864-T21</f>
        <v>413622993</v>
      </c>
      <c r="U18" s="53" t="s">
        <v>4208</v>
      </c>
      <c r="V18" s="66">
        <f>T18*R18</f>
        <v>412063284.92516208</v>
      </c>
      <c r="X18" s="112">
        <f>T18</f>
        <v>413622993</v>
      </c>
      <c r="Y18" s="115">
        <f>370986807-Y21</f>
        <v>362313767</v>
      </c>
      <c r="Z18" s="53" t="s">
        <v>1096</v>
      </c>
      <c r="AA18" s="476">
        <f t="shared" ref="AA18:AA23" si="14">IF(X18=0,0,Y18/X18)</f>
        <v>0.87595170754929474</v>
      </c>
      <c r="AC18" s="117">
        <f>561619357-AC21</f>
        <v>540377168</v>
      </c>
      <c r="AD18" s="53" t="s">
        <v>1096</v>
      </c>
      <c r="AE18" s="66">
        <f>AC18*AA18</f>
        <v>473344303.0302521</v>
      </c>
      <c r="AG18" s="117">
        <f>561619357-AG21</f>
        <v>540377168</v>
      </c>
      <c r="AH18" s="3355">
        <f>518614300-AH21</f>
        <v>508590600</v>
      </c>
      <c r="AI18" s="237" t="s">
        <v>4208</v>
      </c>
      <c r="AJ18" s="476">
        <f t="shared" ref="AJ18:AJ23" si="15">IF(AG18=0,0,AH18/AG18)</f>
        <v>0.94117707060487799</v>
      </c>
      <c r="AL18" s="117">
        <v>699586300</v>
      </c>
      <c r="AM18" s="127"/>
      <c r="AN18" s="66">
        <f>AL18*AJ18</f>
        <v>658434584.4693054</v>
      </c>
      <c r="AP18" s="117">
        <f>AL18</f>
        <v>699586300</v>
      </c>
      <c r="AQ18" s="647">
        <f>696919600-AQ21</f>
        <v>680672300</v>
      </c>
      <c r="AS18" s="476">
        <f t="shared" ref="AS18:AS23" si="16">IF(AP18=0,0,AQ18/AP18)</f>
        <v>0.97296402173684648</v>
      </c>
      <c r="AU18" s="117">
        <f>782891300-AU21</f>
        <v>756430100</v>
      </c>
      <c r="AV18" s="127" t="s">
        <v>1706</v>
      </c>
      <c r="AW18" s="3356">
        <f t="shared" ref="AW18:AW27" si="17">AU18*AS18</f>
        <v>735979272.25880492</v>
      </c>
      <c r="AY18" s="117">
        <f>845447500-AY21</f>
        <v>818986300</v>
      </c>
      <c r="AZ18" s="647">
        <f>716417600-AZ21</f>
        <v>694703100</v>
      </c>
      <c r="BB18" s="476">
        <f t="shared" ref="BB18:BB23" si="18">IF(AY18=0,0,AZ18/AY18)</f>
        <v>0.84824752257760605</v>
      </c>
      <c r="BD18" s="117">
        <f>957101400-BD21</f>
        <v>930197700</v>
      </c>
      <c r="BE18" s="127" t="s">
        <v>1706</v>
      </c>
      <c r="BF18" s="3356">
        <f t="shared" ref="BF18" si="19">BD18*BB18</f>
        <v>789037894.53238726</v>
      </c>
      <c r="BM18" s="26" t="s">
        <v>4212</v>
      </c>
    </row>
    <row r="19" spans="1:65" x14ac:dyDescent="0.35">
      <c r="A19" s="9168"/>
      <c r="B19" s="6082"/>
      <c r="C19" s="121" t="s">
        <v>630</v>
      </c>
      <c r="D19" s="60"/>
      <c r="F19" s="122"/>
      <c r="G19"/>
      <c r="H19" s="114"/>
      <c r="I19" s="123"/>
      <c r="J19" s="476"/>
      <c r="L19" s="114"/>
      <c r="M19" s="66"/>
      <c r="O19" s="114"/>
      <c r="P19" s="115"/>
      <c r="Q19" s="127"/>
      <c r="R19" s="476">
        <f t="shared" si="0"/>
        <v>0</v>
      </c>
      <c r="T19" s="117"/>
      <c r="U19" s="3307"/>
      <c r="V19" s="66">
        <f t="shared" ref="V19:V22" si="20">T19*R19</f>
        <v>0</v>
      </c>
      <c r="X19" s="117"/>
      <c r="Y19" s="115"/>
      <c r="Z19" s="127"/>
      <c r="AA19" s="476">
        <f t="shared" si="14"/>
        <v>0</v>
      </c>
      <c r="AC19" s="117"/>
      <c r="AD19" s="127"/>
      <c r="AE19" s="66">
        <f t="shared" ref="AE19:AE22" si="21">AC19*AA19</f>
        <v>0</v>
      </c>
      <c r="AG19" s="117"/>
      <c r="AH19" s="3355"/>
      <c r="AI19" s="3356"/>
      <c r="AJ19" s="476">
        <f t="shared" si="15"/>
        <v>0</v>
      </c>
      <c r="AL19" s="117"/>
      <c r="AM19" s="127"/>
      <c r="AN19" s="66">
        <f t="shared" ref="AN19:AN22" si="22">AL19*AJ19</f>
        <v>0</v>
      </c>
      <c r="AP19" s="117"/>
      <c r="AQ19" s="649"/>
      <c r="AR19" s="106"/>
      <c r="AS19" s="476">
        <f t="shared" si="16"/>
        <v>0</v>
      </c>
      <c r="AU19" s="117"/>
      <c r="AV19" s="127"/>
      <c r="AW19" s="3356"/>
      <c r="AY19" s="117"/>
      <c r="AZ19" s="649"/>
      <c r="BA19" s="106"/>
      <c r="BB19" s="476">
        <f t="shared" si="18"/>
        <v>0</v>
      </c>
      <c r="BD19" s="117"/>
      <c r="BE19" s="127"/>
      <c r="BF19" s="3356"/>
      <c r="BM19" s="26"/>
    </row>
    <row r="20" spans="1:65" x14ac:dyDescent="0.35">
      <c r="A20" s="9168"/>
      <c r="B20" s="6082"/>
      <c r="C20" s="121" t="s">
        <v>632</v>
      </c>
      <c r="D20" s="60"/>
      <c r="F20" s="122">
        <v>51390717</v>
      </c>
      <c r="G20"/>
      <c r="H20" s="114">
        <v>63870256</v>
      </c>
      <c r="I20" s="123">
        <v>66694726</v>
      </c>
      <c r="J20" s="476">
        <f t="shared" si="12"/>
        <v>1.044221992784873</v>
      </c>
      <c r="L20" s="114">
        <v>86581343</v>
      </c>
      <c r="M20" s="66">
        <f t="shared" si="13"/>
        <v>90410142.525450617</v>
      </c>
      <c r="O20" s="114">
        <v>86581343</v>
      </c>
      <c r="P20" s="115">
        <v>88754708</v>
      </c>
      <c r="Q20" s="127"/>
      <c r="R20" s="476">
        <f t="shared" si="0"/>
        <v>1.0251020014785401</v>
      </c>
      <c r="T20" s="117">
        <v>159089190</v>
      </c>
      <c r="U20" s="127"/>
      <c r="V20" s="66">
        <f t="shared" si="20"/>
        <v>163082647.08259976</v>
      </c>
      <c r="X20" s="117">
        <f t="shared" ref="X20:X21" si="23">T20</f>
        <v>159089190</v>
      </c>
      <c r="Y20" s="115">
        <v>122350430</v>
      </c>
      <c r="Z20" s="127"/>
      <c r="AA20" s="476">
        <f t="shared" si="14"/>
        <v>0.76906815604504619</v>
      </c>
      <c r="AC20" s="117">
        <v>262034913</v>
      </c>
      <c r="AD20" s="127"/>
      <c r="AE20" s="66">
        <f t="shared" si="21"/>
        <v>201522707.3603341</v>
      </c>
      <c r="AG20" s="117">
        <v>262034913</v>
      </c>
      <c r="AH20" s="3355">
        <v>208749400</v>
      </c>
      <c r="AI20" s="3356"/>
      <c r="AJ20" s="476">
        <f t="shared" si="15"/>
        <v>0.79664727730384544</v>
      </c>
      <c r="AL20" s="117">
        <v>238662400</v>
      </c>
      <c r="AM20" s="127"/>
      <c r="AN20" s="66">
        <f t="shared" si="22"/>
        <v>190129751.15480128</v>
      </c>
      <c r="AP20" s="117">
        <f>AL20</f>
        <v>238662400</v>
      </c>
      <c r="AQ20" s="649">
        <v>270713700</v>
      </c>
      <c r="AR20" s="106"/>
      <c r="AS20" s="476">
        <f t="shared" si="16"/>
        <v>1.1342955572390121</v>
      </c>
      <c r="AU20" s="117">
        <v>272768500</v>
      </c>
      <c r="AV20" s="127"/>
      <c r="AW20" s="3356">
        <f t="shared" si="17"/>
        <v>309400097.70474946</v>
      </c>
      <c r="AY20" s="117">
        <v>313998200</v>
      </c>
      <c r="AZ20" s="649">
        <v>241562500</v>
      </c>
      <c r="BA20" s="106"/>
      <c r="BB20" s="476">
        <f t="shared" si="18"/>
        <v>0.76931173490803451</v>
      </c>
      <c r="BD20" s="117">
        <v>408005900</v>
      </c>
      <c r="BE20" s="127"/>
      <c r="BF20" s="3356">
        <f t="shared" ref="BF20:BF21" si="24">BD20*BB20</f>
        <v>313883726.78171402</v>
      </c>
      <c r="BM20" s="26"/>
    </row>
    <row r="21" spans="1:65" x14ac:dyDescent="0.35">
      <c r="A21" s="9168"/>
      <c r="B21" s="6082"/>
      <c r="C21" s="121" t="s">
        <v>3282</v>
      </c>
      <c r="D21" s="60"/>
      <c r="F21" s="122"/>
      <c r="G21"/>
      <c r="H21" s="114"/>
      <c r="I21" s="123"/>
      <c r="J21" s="476"/>
      <c r="L21" s="114"/>
      <c r="M21" s="66"/>
      <c r="O21" s="114">
        <v>7935387</v>
      </c>
      <c r="P21" s="123">
        <v>9263197</v>
      </c>
      <c r="Q21" s="116"/>
      <c r="R21" s="476">
        <f t="shared" si="0"/>
        <v>1.167327693028708</v>
      </c>
      <c r="T21" s="114">
        <v>20442871</v>
      </c>
      <c r="U21" s="127"/>
      <c r="V21" s="66">
        <f t="shared" si="20"/>
        <v>23863529.443313476</v>
      </c>
      <c r="X21" s="117">
        <f t="shared" si="23"/>
        <v>20442871</v>
      </c>
      <c r="Y21" s="115">
        <v>8673040</v>
      </c>
      <c r="Z21" s="116"/>
      <c r="AA21" s="476">
        <f t="shared" si="14"/>
        <v>0.42425743429090756</v>
      </c>
      <c r="AC21" s="114">
        <v>21242189</v>
      </c>
      <c r="AD21" s="116"/>
      <c r="AE21" s="66">
        <f t="shared" si="21"/>
        <v>9012156.6038625389</v>
      </c>
      <c r="AG21" s="117">
        <v>21242189</v>
      </c>
      <c r="AH21" s="3355">
        <v>10023700</v>
      </c>
      <c r="AI21" s="3357"/>
      <c r="AJ21" s="476">
        <f t="shared" si="15"/>
        <v>0.47187698028673036</v>
      </c>
      <c r="AL21" s="117">
        <v>25373500</v>
      </c>
      <c r="AM21" s="3309"/>
      <c r="AN21" s="66">
        <f t="shared" si="22"/>
        <v>11973170.559305353</v>
      </c>
      <c r="AP21" s="117">
        <f>AL21</f>
        <v>25373500</v>
      </c>
      <c r="AQ21" s="649">
        <v>16247300</v>
      </c>
      <c r="AR21" s="57"/>
      <c r="AS21" s="476">
        <f t="shared" si="16"/>
        <v>0.64032553648491541</v>
      </c>
      <c r="AU21" s="117">
        <v>26461200</v>
      </c>
      <c r="AV21" s="3309"/>
      <c r="AW21" s="3356">
        <f t="shared" si="17"/>
        <v>16943782.086034644</v>
      </c>
      <c r="AY21" s="117">
        <v>26461200</v>
      </c>
      <c r="AZ21" s="649">
        <v>21714500</v>
      </c>
      <c r="BA21" s="57"/>
      <c r="BB21" s="476">
        <f t="shared" si="18"/>
        <v>0.82061660091001165</v>
      </c>
      <c r="BD21" s="117">
        <v>26903700</v>
      </c>
      <c r="BE21" s="3309"/>
      <c r="BF21" s="3356">
        <f t="shared" si="24"/>
        <v>22077622.845902681</v>
      </c>
      <c r="BM21" s="26"/>
    </row>
    <row r="22" spans="1:65" x14ac:dyDescent="0.35">
      <c r="A22" s="9168"/>
      <c r="B22" s="6082"/>
      <c r="C22" s="121" t="s">
        <v>3285</v>
      </c>
      <c r="D22" s="60">
        <v>2</v>
      </c>
      <c r="F22" s="122">
        <f>898210+39890+58539488-12329960-2413650-417217</f>
        <v>44316761</v>
      </c>
      <c r="H22" s="114">
        <f>86971309-14059913-3153766-415944</f>
        <v>69341686</v>
      </c>
      <c r="I22" s="123">
        <f>76863680-8672672-2896688-468508</f>
        <v>64825812</v>
      </c>
      <c r="J22" s="476">
        <f t="shared" si="12"/>
        <v>0.93487504760123663</v>
      </c>
      <c r="L22" s="114">
        <f>104796063-6216040-1377844-341503</f>
        <v>96860676</v>
      </c>
      <c r="M22" s="66">
        <f t="shared" si="13"/>
        <v>90552629.086187959</v>
      </c>
      <c r="O22" s="114"/>
      <c r="P22" s="123"/>
      <c r="Q22" s="127"/>
      <c r="R22" s="476">
        <f t="shared" si="0"/>
        <v>0</v>
      </c>
      <c r="T22" s="114"/>
      <c r="U22" s="127"/>
      <c r="V22" s="66">
        <f t="shared" si="20"/>
        <v>0</v>
      </c>
      <c r="X22" s="117"/>
      <c r="Y22" s="115"/>
      <c r="Z22" s="127"/>
      <c r="AA22" s="476">
        <f t="shared" si="14"/>
        <v>0</v>
      </c>
      <c r="AC22" s="114"/>
      <c r="AD22" s="127"/>
      <c r="AE22" s="66">
        <f t="shared" si="21"/>
        <v>0</v>
      </c>
      <c r="AG22" s="117"/>
      <c r="AH22" s="3355"/>
      <c r="AI22" s="3356"/>
      <c r="AJ22" s="476">
        <f t="shared" si="15"/>
        <v>0</v>
      </c>
      <c r="AL22" s="117"/>
      <c r="AM22" s="3309" t="s">
        <v>4213</v>
      </c>
      <c r="AN22" s="66">
        <f t="shared" si="22"/>
        <v>0</v>
      </c>
      <c r="AP22" s="117"/>
      <c r="AQ22" s="649"/>
      <c r="AR22" s="106"/>
      <c r="AS22" s="476">
        <f t="shared" si="16"/>
        <v>0</v>
      </c>
      <c r="AU22" s="117"/>
      <c r="AV22" s="3309" t="s">
        <v>4213</v>
      </c>
      <c r="AW22" s="3356"/>
      <c r="AY22" s="117"/>
      <c r="AZ22" s="649"/>
      <c r="BA22" s="106" t="s">
        <v>4213</v>
      </c>
      <c r="BB22" s="476">
        <f t="shared" si="18"/>
        <v>0</v>
      </c>
      <c r="BD22" s="117"/>
      <c r="BE22" s="3309" t="s">
        <v>4213</v>
      </c>
      <c r="BF22" s="3356"/>
      <c r="BM22" t="s">
        <v>4214</v>
      </c>
    </row>
    <row r="23" spans="1:65" x14ac:dyDescent="0.35">
      <c r="A23" s="9168"/>
      <c r="B23" s="128"/>
      <c r="C23" s="129" t="s">
        <v>479</v>
      </c>
      <c r="D23" s="87"/>
      <c r="F23" s="130">
        <f>SUM(F18:F22)</f>
        <v>339167485</v>
      </c>
      <c r="H23" s="131">
        <f>SUM(H18:H22)</f>
        <v>449852021</v>
      </c>
      <c r="I23" s="132">
        <f>SUM(I18:I22)</f>
        <v>435052283</v>
      </c>
      <c r="J23" s="484">
        <f t="shared" si="12"/>
        <v>0.96710087471186446</v>
      </c>
      <c r="L23" s="131">
        <f>SUM(L18:L22)</f>
        <v>522641379</v>
      </c>
      <c r="M23" s="92">
        <f t="shared" si="13"/>
        <v>505446934.79151505</v>
      </c>
      <c r="O23" s="131">
        <f>SUM(O18:O22)</f>
        <v>425780703</v>
      </c>
      <c r="P23" s="131">
        <f>SUM(P18:P22)</f>
        <v>428032733</v>
      </c>
      <c r="Q23" s="116"/>
      <c r="R23" s="476">
        <f t="shared" si="0"/>
        <v>1.0052891781711395</v>
      </c>
      <c r="T23" s="131">
        <f>SUM(T18:T22)</f>
        <v>593155054</v>
      </c>
      <c r="U23" s="116"/>
      <c r="V23" s="92">
        <f>SUM(V18:V22)</f>
        <v>599009461.45107532</v>
      </c>
      <c r="X23" s="131">
        <f>SUM(X18:X22)</f>
        <v>593155054</v>
      </c>
      <c r="Y23" s="132">
        <f>SUM(Y18:Y22)</f>
        <v>493337237</v>
      </c>
      <c r="Z23" s="3358"/>
      <c r="AA23" s="484">
        <f t="shared" si="14"/>
        <v>0.83171716008003538</v>
      </c>
      <c r="AC23" s="131">
        <f>SUM(AC18:AC22)</f>
        <v>823654270</v>
      </c>
      <c r="AD23" s="3358"/>
      <c r="AE23" s="92">
        <f>SUM(AE18:AE22)</f>
        <v>683879166.99444866</v>
      </c>
      <c r="AG23" s="131">
        <f>SUM(AG18:AG22)</f>
        <v>823654270</v>
      </c>
      <c r="AH23" s="1155">
        <f>SUM(AH18:AH22)</f>
        <v>727363700</v>
      </c>
      <c r="AI23" s="3359"/>
      <c r="AJ23" s="484">
        <f t="shared" si="15"/>
        <v>0.88309346104646558</v>
      </c>
      <c r="AL23" s="131">
        <f>SUM(AL18:AL22)</f>
        <v>963622200</v>
      </c>
      <c r="AM23" s="3358"/>
      <c r="AN23" s="66">
        <f>SUM(AN18:AN22)</f>
        <v>860537506.18341196</v>
      </c>
      <c r="AP23" s="131">
        <f>SUM(AP18:AP22)</f>
        <v>963622200</v>
      </c>
      <c r="AQ23" s="3029">
        <f>SUM(AQ18:AQ22)</f>
        <v>967633300</v>
      </c>
      <c r="AR23" s="98"/>
      <c r="AS23" s="484">
        <f t="shared" si="16"/>
        <v>1.0041625234453917</v>
      </c>
      <c r="AU23" s="131">
        <f>SUM(AU18:AU22)</f>
        <v>1055659800</v>
      </c>
      <c r="AV23" s="3358"/>
      <c r="AW23" s="5360">
        <f t="shared" si="17"/>
        <v>1060054008.6678575</v>
      </c>
      <c r="AY23" s="131">
        <f>SUM(AY18:AY22)</f>
        <v>1159445700</v>
      </c>
      <c r="AZ23" s="3029">
        <f>SUM(AZ18:AZ22)</f>
        <v>957980100</v>
      </c>
      <c r="BA23" s="98"/>
      <c r="BB23" s="484">
        <f t="shared" si="18"/>
        <v>0.8262397281735574</v>
      </c>
      <c r="BD23" s="131">
        <f>SUM(BD18:BD22)</f>
        <v>1365107300</v>
      </c>
      <c r="BE23" s="3358"/>
      <c r="BF23" s="5360">
        <f t="shared" ref="BF23" si="25">BD23*BB23</f>
        <v>1127905884.479739</v>
      </c>
      <c r="BM23" s="24"/>
    </row>
    <row r="24" spans="1:65" x14ac:dyDescent="0.35">
      <c r="A24" s="9168"/>
      <c r="B24" s="139" t="s">
        <v>480</v>
      </c>
      <c r="C24" s="49"/>
      <c r="D24" s="140"/>
      <c r="E24" s="141"/>
      <c r="F24" s="142"/>
      <c r="G24" s="143"/>
      <c r="H24" s="144"/>
      <c r="I24" s="145"/>
      <c r="J24" s="486"/>
      <c r="K24" s="141"/>
      <c r="L24" s="147"/>
      <c r="M24" s="148"/>
      <c r="N24" s="141"/>
      <c r="O24" s="606"/>
      <c r="P24" s="150"/>
      <c r="Q24" s="592" t="s">
        <v>4215</v>
      </c>
      <c r="R24" s="486"/>
      <c r="S24" s="141"/>
      <c r="T24" s="151"/>
      <c r="U24" s="592" t="s">
        <v>4215</v>
      </c>
      <c r="V24" s="148"/>
      <c r="W24" s="141"/>
      <c r="X24" s="606"/>
      <c r="Y24" s="150"/>
      <c r="Z24" s="592"/>
      <c r="AA24" s="486"/>
      <c r="AB24" s="141"/>
      <c r="AC24" s="151"/>
      <c r="AD24" s="592"/>
      <c r="AE24" s="148"/>
      <c r="AF24" s="141"/>
      <c r="AG24" s="151"/>
      <c r="AH24" s="1006"/>
      <c r="AI24" s="3352"/>
      <c r="AJ24" s="486"/>
      <c r="AL24" s="3360"/>
      <c r="AM24" s="592"/>
      <c r="AN24" s="148"/>
      <c r="AO24" s="141"/>
      <c r="AP24" s="151"/>
      <c r="AQ24" s="1006" t="s">
        <v>4216</v>
      </c>
      <c r="AR24" s="592"/>
      <c r="AS24" s="486"/>
      <c r="AU24" s="3360" t="s">
        <v>4217</v>
      </c>
      <c r="AV24" s="592"/>
      <c r="AW24" s="1007"/>
      <c r="AY24" s="151" t="s">
        <v>4218</v>
      </c>
      <c r="AZ24" s="1006" t="s">
        <v>4219</v>
      </c>
      <c r="BA24" s="592"/>
      <c r="BB24" s="486"/>
      <c r="BD24" s="3360" t="s">
        <v>4220</v>
      </c>
      <c r="BE24" s="592"/>
      <c r="BF24" s="1007"/>
      <c r="BM24" s="18"/>
    </row>
    <row r="25" spans="1:65" x14ac:dyDescent="0.35">
      <c r="A25" s="9168"/>
      <c r="B25" s="6082"/>
      <c r="C25" s="110" t="s">
        <v>483</v>
      </c>
      <c r="D25" s="60"/>
      <c r="F25" s="155">
        <v>65965530</v>
      </c>
      <c r="H25" s="117">
        <v>84260373</v>
      </c>
      <c r="I25" s="115">
        <v>84356662</v>
      </c>
      <c r="J25" s="476">
        <f t="shared" ref="J25:J28" si="26">IF(H25=0,0,I25/H25)</f>
        <v>1.0011427554444841</v>
      </c>
      <c r="L25" s="156">
        <v>87831893</v>
      </c>
      <c r="M25" s="157">
        <f t="shared" ref="M25:M28" si="27">L25*J25</f>
        <v>87932263.37392509</v>
      </c>
      <c r="O25" s="117">
        <v>87831893</v>
      </c>
      <c r="P25" s="115">
        <v>88543453</v>
      </c>
      <c r="Q25" s="116"/>
      <c r="R25" s="476">
        <f t="shared" ref="R25:R26" si="28">IF(O25=0,0,P25/O25)</f>
        <v>1.0081013852223359</v>
      </c>
      <c r="T25" s="156">
        <v>105037753</v>
      </c>
      <c r="U25" s="116"/>
      <c r="V25" s="66">
        <f t="shared" ref="V25:V28" si="29">T25*R25</f>
        <v>105888704.29994157</v>
      </c>
      <c r="X25" s="117">
        <f t="shared" ref="X25:X27" si="30">T25</f>
        <v>105037753</v>
      </c>
      <c r="Y25" s="115">
        <v>89268215</v>
      </c>
      <c r="Z25" s="116" t="s">
        <v>4221</v>
      </c>
      <c r="AA25" s="476">
        <f t="shared" ref="AA25:AA26" si="31">IF(X25=0,0,Y25/X25)</f>
        <v>0.84986790416203972</v>
      </c>
      <c r="AC25" s="156">
        <v>129637036</v>
      </c>
      <c r="AD25" s="116" t="s">
        <v>4221</v>
      </c>
      <c r="AE25" s="66">
        <f t="shared" ref="AE25:AE28" si="32">AC25*AA25</f>
        <v>110174356.0870989</v>
      </c>
      <c r="AG25" s="156">
        <v>129637036</v>
      </c>
      <c r="AH25" s="3361">
        <v>118835800</v>
      </c>
      <c r="AI25" s="3357" t="s">
        <v>4221</v>
      </c>
      <c r="AJ25" s="476">
        <f t="shared" ref="AJ25:AJ26" si="33">IF(AG25=0,0,AH25/AG25)</f>
        <v>0.91668093985117027</v>
      </c>
      <c r="AL25" s="3349">
        <f>1129395*100</f>
        <v>112939500</v>
      </c>
      <c r="AM25" s="1110" t="s">
        <v>4222</v>
      </c>
      <c r="AN25" s="66">
        <f t="shared" ref="AN25:AN28" si="34">AL25*AJ25</f>
        <v>103529487.00632125</v>
      </c>
      <c r="AP25" s="117">
        <f>AL25</f>
        <v>112939500</v>
      </c>
      <c r="AQ25" s="649">
        <v>111483800</v>
      </c>
      <c r="AR25" s="1110" t="s">
        <v>4217</v>
      </c>
      <c r="AS25" s="476">
        <f t="shared" ref="AS25:AS26" si="35">IF(AP25=0,0,AQ25/AP25)</f>
        <v>0.98711079825924497</v>
      </c>
      <c r="AU25" s="3362">
        <v>117295200</v>
      </c>
      <c r="AV25" s="1110" t="s">
        <v>4217</v>
      </c>
      <c r="AW25" s="3356">
        <f t="shared" si="17"/>
        <v>115783358.50397779</v>
      </c>
      <c r="AY25" s="117">
        <v>117330400</v>
      </c>
      <c r="AZ25" s="649">
        <v>99934100</v>
      </c>
      <c r="BA25" s="1984" t="s">
        <v>4223</v>
      </c>
      <c r="BB25" s="476">
        <f t="shared" ref="BB25:BB26" si="36">IF(AY25=0,0,AZ25/AY25)</f>
        <v>0.85173237285477588</v>
      </c>
      <c r="BD25" s="3362">
        <v>144012800</v>
      </c>
      <c r="BE25" s="1110" t="s">
        <v>4217</v>
      </c>
      <c r="BF25" s="3356">
        <f t="shared" ref="BF25:BF27" si="37">BD25*BB25</f>
        <v>122660363.86546026</v>
      </c>
      <c r="BM25" s="26"/>
    </row>
    <row r="26" spans="1:65" x14ac:dyDescent="0.35">
      <c r="A26" s="9168"/>
      <c r="B26" s="6082"/>
      <c r="C26" s="110" t="s">
        <v>489</v>
      </c>
      <c r="D26" s="60"/>
      <c r="F26" s="155">
        <v>46666258</v>
      </c>
      <c r="H26" s="117">
        <v>60751721</v>
      </c>
      <c r="I26" s="115">
        <v>60779543</v>
      </c>
      <c r="J26" s="476">
        <f t="shared" si="26"/>
        <v>1.000457962334927</v>
      </c>
      <c r="L26" s="156">
        <v>66013813</v>
      </c>
      <c r="M26" s="157">
        <f t="shared" si="27"/>
        <v>66044044.839938916</v>
      </c>
      <c r="O26" s="117">
        <v>66013813</v>
      </c>
      <c r="P26" s="115">
        <v>66118509</v>
      </c>
      <c r="Q26" s="127"/>
      <c r="R26" s="476">
        <f t="shared" si="28"/>
        <v>1.0015859711057744</v>
      </c>
      <c r="T26" s="156">
        <v>80664012</v>
      </c>
      <c r="U26" s="127"/>
      <c r="V26" s="66">
        <f t="shared" si="29"/>
        <v>80791942.792307839</v>
      </c>
      <c r="X26" s="117">
        <f t="shared" si="30"/>
        <v>80664012</v>
      </c>
      <c r="Y26" s="115">
        <v>66797296</v>
      </c>
      <c r="Z26" s="127"/>
      <c r="AA26" s="476">
        <f t="shared" si="31"/>
        <v>0.82809290467724317</v>
      </c>
      <c r="AC26" s="156">
        <v>102985510</v>
      </c>
      <c r="AD26" s="127"/>
      <c r="AE26" s="66">
        <f t="shared" si="32"/>
        <v>85281570.115567267</v>
      </c>
      <c r="AG26" s="156">
        <v>102985510</v>
      </c>
      <c r="AH26" s="3361"/>
      <c r="AI26" s="3356"/>
      <c r="AJ26" s="476">
        <f t="shared" si="33"/>
        <v>0</v>
      </c>
      <c r="AL26" s="3349">
        <f>947480*100</f>
        <v>94748000</v>
      </c>
      <c r="AM26" s="1110" t="s">
        <v>4222</v>
      </c>
      <c r="AN26" s="66">
        <f t="shared" si="34"/>
        <v>0</v>
      </c>
      <c r="AP26" s="117">
        <f>AL26</f>
        <v>94748000</v>
      </c>
      <c r="AQ26" s="649">
        <v>85042700</v>
      </c>
      <c r="AR26" s="1110"/>
      <c r="AS26" s="476">
        <f t="shared" si="35"/>
        <v>0.89756723097057456</v>
      </c>
      <c r="AU26" s="3362">
        <v>84075700</v>
      </c>
      <c r="AV26" s="1110"/>
      <c r="AW26" s="3356">
        <f t="shared" si="17"/>
        <v>75463593.240912735</v>
      </c>
      <c r="AY26" s="117">
        <v>84105300</v>
      </c>
      <c r="AZ26" s="649">
        <v>749664</v>
      </c>
      <c r="BA26" s="1984" t="s">
        <v>4224</v>
      </c>
      <c r="BB26" s="476">
        <f t="shared" si="36"/>
        <v>8.9133978476980645E-3</v>
      </c>
      <c r="BD26" s="3362">
        <v>108033500</v>
      </c>
      <c r="BE26" s="1110"/>
      <c r="BF26" s="3356">
        <f t="shared" si="37"/>
        <v>962945.56637928891</v>
      </c>
      <c r="BM26" s="26"/>
    </row>
    <row r="27" spans="1:65" x14ac:dyDescent="0.35">
      <c r="A27" s="9168"/>
      <c r="B27" s="6082"/>
      <c r="C27" s="110" t="s">
        <v>490</v>
      </c>
      <c r="D27" s="60"/>
      <c r="F27" s="155">
        <v>18549839</v>
      </c>
      <c r="H27" s="117">
        <v>27999721</v>
      </c>
      <c r="I27" s="115">
        <v>26944370</v>
      </c>
      <c r="J27" s="476">
        <f t="shared" si="26"/>
        <v>0.96230851728844014</v>
      </c>
      <c r="L27" s="156">
        <v>44339613</v>
      </c>
      <c r="M27" s="157">
        <f t="shared" si="27"/>
        <v>42668387.243173242</v>
      </c>
      <c r="O27" s="117">
        <v>44339613</v>
      </c>
      <c r="P27" s="115">
        <v>28241455</v>
      </c>
      <c r="Q27" s="116" t="s">
        <v>4225</v>
      </c>
      <c r="R27" s="476">
        <f>IF(O27=0,0,P27/O27)</f>
        <v>0.63693508105269214</v>
      </c>
      <c r="T27" s="156">
        <v>46854464</v>
      </c>
      <c r="U27" s="116" t="s">
        <v>4225</v>
      </c>
      <c r="V27" s="66">
        <f t="shared" si="29"/>
        <v>29843251.825520445</v>
      </c>
      <c r="X27" s="117">
        <f t="shared" si="30"/>
        <v>46854464</v>
      </c>
      <c r="Y27" s="115">
        <v>35762360</v>
      </c>
      <c r="Z27" s="116" t="s">
        <v>4226</v>
      </c>
      <c r="AA27" s="476">
        <f>IF(X27=0,0,Y27/X27)</f>
        <v>0.76326473396430272</v>
      </c>
      <c r="AC27" s="156">
        <v>53381051</v>
      </c>
      <c r="AD27" s="116" t="s">
        <v>4227</v>
      </c>
      <c r="AE27" s="66">
        <f t="shared" si="32"/>
        <v>40743873.690249875</v>
      </c>
      <c r="AG27" s="156">
        <v>53381051</v>
      </c>
      <c r="AH27" s="3361">
        <v>37991800</v>
      </c>
      <c r="AI27" s="3357" t="s">
        <v>4227</v>
      </c>
      <c r="AJ27" s="476">
        <f>IF(AG27=0,0,AH27/AG27)</f>
        <v>0.71170947908088211</v>
      </c>
      <c r="AL27" s="3362">
        <v>50513000</v>
      </c>
      <c r="AM27" s="116" t="s">
        <v>4228</v>
      </c>
      <c r="AN27" s="66">
        <f t="shared" si="34"/>
        <v>35950580.916812599</v>
      </c>
      <c r="AP27" s="117">
        <f>AL27</f>
        <v>50513000</v>
      </c>
      <c r="AQ27" s="649">
        <v>53767000</v>
      </c>
      <c r="AR27" s="119" t="s">
        <v>4229</v>
      </c>
      <c r="AS27" s="476">
        <f>IF(AP27=0,0,AQ27/AP27)</f>
        <v>1.0644190604398867</v>
      </c>
      <c r="AU27" s="3362">
        <v>68197000</v>
      </c>
      <c r="AV27" s="116" t="s">
        <v>4229</v>
      </c>
      <c r="AW27" s="3356">
        <f t="shared" si="17"/>
        <v>72590186.664818957</v>
      </c>
      <c r="AY27" s="117">
        <v>68197700</v>
      </c>
      <c r="AZ27" s="649">
        <v>67715900</v>
      </c>
      <c r="BA27" s="8047" t="s">
        <v>4230</v>
      </c>
      <c r="BB27" s="476">
        <f>IF(AY27=0,0,AZ27/AY27)</f>
        <v>0.9929352456167877</v>
      </c>
      <c r="BD27" s="3362">
        <v>52131800</v>
      </c>
      <c r="BE27" s="116" t="s">
        <v>4229</v>
      </c>
      <c r="BF27" s="3356">
        <f t="shared" si="37"/>
        <v>51763501.637445256</v>
      </c>
      <c r="BM27" s="26" t="s">
        <v>4231</v>
      </c>
    </row>
    <row r="28" spans="1:65" x14ac:dyDescent="0.35">
      <c r="A28" s="9168"/>
      <c r="B28" s="6082"/>
      <c r="C28" s="161" t="s">
        <v>497</v>
      </c>
      <c r="D28" s="162"/>
      <c r="F28" s="163">
        <v>0</v>
      </c>
      <c r="H28" s="164">
        <v>0</v>
      </c>
      <c r="I28" s="165">
        <v>0</v>
      </c>
      <c r="J28" s="476">
        <f t="shared" si="26"/>
        <v>0</v>
      </c>
      <c r="L28" s="166">
        <v>0</v>
      </c>
      <c r="M28" s="157">
        <f t="shared" si="27"/>
        <v>0</v>
      </c>
      <c r="O28" s="164">
        <v>0</v>
      </c>
      <c r="P28" s="165"/>
      <c r="Q28" s="106"/>
      <c r="R28" s="476">
        <f>IF(O28=0,0,P28/O28)</f>
        <v>0</v>
      </c>
      <c r="T28" s="156"/>
      <c r="U28" s="106"/>
      <c r="V28" s="66">
        <f t="shared" si="29"/>
        <v>0</v>
      </c>
      <c r="X28" s="164"/>
      <c r="Y28" s="165"/>
      <c r="Z28" s="106"/>
      <c r="AA28" s="476">
        <f>IF(X28=0,0,Y28/X28)</f>
        <v>0</v>
      </c>
      <c r="AC28" s="156"/>
      <c r="AD28" s="106"/>
      <c r="AE28" s="66">
        <f t="shared" si="32"/>
        <v>0</v>
      </c>
      <c r="AG28" s="156"/>
      <c r="AH28" s="656"/>
      <c r="AI28" s="66"/>
      <c r="AJ28" s="476">
        <f>IF(AG28=0,0,AH28/AG28)</f>
        <v>0</v>
      </c>
      <c r="AL28" s="3362"/>
      <c r="AM28" s="106"/>
      <c r="AN28" s="66">
        <f t="shared" si="34"/>
        <v>0</v>
      </c>
      <c r="AP28" s="117"/>
      <c r="AQ28" s="649"/>
      <c r="AR28" s="106"/>
      <c r="AS28" s="476">
        <f>IF(AP28=0,0,AQ28/AP28)</f>
        <v>0</v>
      </c>
      <c r="AU28" s="3362"/>
      <c r="AV28" s="106"/>
      <c r="AW28" s="3356"/>
      <c r="AY28" s="117"/>
      <c r="AZ28" s="649"/>
      <c r="BA28" s="106"/>
      <c r="BB28" s="476">
        <f>IF(AY28=0,0,AZ28/AY28)</f>
        <v>0</v>
      </c>
      <c r="BD28" s="3362"/>
      <c r="BE28" s="106"/>
      <c r="BF28" s="3356"/>
      <c r="BM28" s="26"/>
    </row>
    <row r="29" spans="1:65" x14ac:dyDescent="0.35">
      <c r="A29" s="9168"/>
      <c r="B29" s="128"/>
      <c r="C29" s="129" t="s">
        <v>499</v>
      </c>
      <c r="D29" s="87">
        <v>3</v>
      </c>
      <c r="F29" s="491">
        <f>IF(F26=0,0,(F27-F28)/F26)</f>
        <v>0.39750003096455688</v>
      </c>
      <c r="G29" s="170"/>
      <c r="H29" s="492">
        <f t="shared" ref="H29:I29" si="38">IF(H26=0,0,(H27-H28)/H26)</f>
        <v>0.46088770061345258</v>
      </c>
      <c r="I29" s="493">
        <f t="shared" si="38"/>
        <v>0.44331313909352693</v>
      </c>
      <c r="J29" s="494"/>
      <c r="K29" s="170"/>
      <c r="L29" s="495">
        <f>IF(L26=0,0,L27/L26)</f>
        <v>0.67167174542697605</v>
      </c>
      <c r="M29" s="496">
        <f>IF(M26=0,0,M27/M26)</f>
        <v>0.64605957049696516</v>
      </c>
      <c r="N29" s="176"/>
      <c r="O29" s="492">
        <f>IF(O26=0,0,O27/O26)</f>
        <v>0.67167174542697605</v>
      </c>
      <c r="P29" s="497">
        <f>IF(P26=0,0,P27/P26)</f>
        <v>0.42713387562928862</v>
      </c>
      <c r="Q29" s="497"/>
      <c r="R29" s="494"/>
      <c r="S29" s="170"/>
      <c r="T29" s="495">
        <f>IF(T26=0,0,T27/T26)</f>
        <v>0.58085957837058733</v>
      </c>
      <c r="U29" s="497"/>
      <c r="V29" s="496">
        <f>IF(V26=0,0,V27/V26)</f>
        <v>0.36938401026249124</v>
      </c>
      <c r="W29" s="176"/>
      <c r="X29" s="492">
        <f>IF(X26=0,0,X27/X26)</f>
        <v>0.58085957837058733</v>
      </c>
      <c r="Y29" s="497">
        <f>IF(Y25=0,0,Y27/Y25)</f>
        <v>0.40061694971720896</v>
      </c>
      <c r="Z29" s="497"/>
      <c r="AA29" s="494"/>
      <c r="AB29" s="170"/>
      <c r="AC29" s="495">
        <f>IF(AC25=0,0,AC27/AC25)</f>
        <v>0.41177315254261138</v>
      </c>
      <c r="AD29" s="497"/>
      <c r="AE29" s="496">
        <f>IF(AE26=0,0,AE27/AE26)</f>
        <v>0.47775707735020351</v>
      </c>
      <c r="AF29" s="176"/>
      <c r="AG29" s="495">
        <f>IF(AG25=0,0,AG27/AG25)</f>
        <v>0.41177315254261138</v>
      </c>
      <c r="AH29" s="498">
        <f>IF(AH25=0,0,AH27/AH25)</f>
        <v>0.31969995573724419</v>
      </c>
      <c r="AI29" s="494"/>
      <c r="AJ29" s="494"/>
      <c r="AL29" s="495">
        <f>IF(AL25=0,0,AL27/AL25)</f>
        <v>0.4472571598067992</v>
      </c>
      <c r="AM29" s="497"/>
      <c r="AN29" s="496">
        <f>IF(AN25=0,0,AN27/AN25)</f>
        <v>0.34724967694100084</v>
      </c>
      <c r="AO29" s="176"/>
      <c r="AP29" s="495">
        <f>IF(AP25=0,0,AP27/AP25)</f>
        <v>0.4472571598067992</v>
      </c>
      <c r="AQ29" s="498">
        <f>IF(AQ25=0,0,AQ27/AQ25)</f>
        <v>0.48228531858440421</v>
      </c>
      <c r="AR29" s="497"/>
      <c r="AS29" s="494"/>
      <c r="AU29" s="495">
        <f>IF(AU25=0,0,AU27/AU25)</f>
        <v>0.58141339117031221</v>
      </c>
      <c r="AV29" s="497"/>
      <c r="AW29" s="496">
        <f>IF(AW25=0,0,AW27/AW25)</f>
        <v>0.62694835944256266</v>
      </c>
      <c r="AY29" s="495">
        <f>IF(AY25=0,0,AY27/AY25)</f>
        <v>0.58124492885049395</v>
      </c>
      <c r="AZ29" s="498">
        <f>IF(AZ25=0,0,AZ27/AZ25)</f>
        <v>0.67760554205221246</v>
      </c>
      <c r="BA29" s="497"/>
      <c r="BB29" s="494"/>
      <c r="BD29" s="495">
        <f>IF(BD25=0,0,BD27/BD25)</f>
        <v>0.36199421162563328</v>
      </c>
      <c r="BE29" s="497"/>
      <c r="BF29" s="496">
        <f>IF(BF25=0,0,BF27/BF25)</f>
        <v>0.42200675104976809</v>
      </c>
      <c r="BM29" s="24"/>
    </row>
    <row r="30" spans="1:65" x14ac:dyDescent="0.35">
      <c r="A30" s="9168"/>
      <c r="B30" s="139" t="s">
        <v>552</v>
      </c>
      <c r="C30" s="49"/>
      <c r="D30" s="184"/>
      <c r="F30" s="185">
        <f>3315947+8402691+1261689</f>
        <v>12980327</v>
      </c>
      <c r="H30" s="186">
        <f>4519913+7933936+1426122</f>
        <v>13879971</v>
      </c>
      <c r="I30" s="187">
        <f>4408700+8131098+1439426</f>
        <v>13979224</v>
      </c>
      <c r="J30" s="869">
        <f>IF(H30=0,0,I30/H30)</f>
        <v>1.0071508074476525</v>
      </c>
      <c r="L30" s="186">
        <f>3347000+7360000+4148000</f>
        <v>14855000</v>
      </c>
      <c r="M30" s="148">
        <f t="shared" ref="M30" si="39">L30*J30</f>
        <v>14961225.244634878</v>
      </c>
      <c r="O30" s="3363">
        <f>L30</f>
        <v>14855000</v>
      </c>
      <c r="P30" s="839"/>
      <c r="Q30" s="839" t="s">
        <v>4232</v>
      </c>
      <c r="R30" s="840"/>
      <c r="S30" s="170"/>
      <c r="T30" s="3364"/>
      <c r="U30" s="839"/>
      <c r="V30" s="1342" t="s">
        <v>4207</v>
      </c>
      <c r="X30" s="3363"/>
      <c r="Y30" s="3365" t="s">
        <v>4207</v>
      </c>
      <c r="Z30" s="839" t="s">
        <v>4232</v>
      </c>
      <c r="AA30" s="840"/>
      <c r="AB30" s="170"/>
      <c r="AC30" s="3364"/>
      <c r="AD30" s="839" t="s">
        <v>4232</v>
      </c>
      <c r="AE30" s="1342" t="s">
        <v>4207</v>
      </c>
      <c r="AG30" s="3364"/>
      <c r="AH30" s="3366"/>
      <c r="AI30" s="840" t="s">
        <v>4232</v>
      </c>
      <c r="AJ30" s="840"/>
      <c r="AL30" s="3367"/>
      <c r="AN30" s="1342" t="s">
        <v>4207</v>
      </c>
      <c r="AP30" s="3364"/>
      <c r="AQ30" s="7289">
        <v>1558980</v>
      </c>
      <c r="AR30" s="839" t="s">
        <v>4232</v>
      </c>
      <c r="AS30" s="840"/>
      <c r="AU30" s="7290">
        <v>1355061</v>
      </c>
      <c r="AV30" s="348"/>
      <c r="AW30" s="7291"/>
      <c r="AY30" s="3364"/>
      <c r="AZ30" s="7289"/>
      <c r="BA30" s="839"/>
      <c r="BB30" s="840"/>
      <c r="BD30" s="7290"/>
      <c r="BE30" s="348"/>
      <c r="BF30" s="7291"/>
      <c r="BM30" s="9483" t="s">
        <v>4233</v>
      </c>
    </row>
    <row r="31" spans="1:65" x14ac:dyDescent="0.35">
      <c r="A31" s="9168"/>
      <c r="B31" s="196"/>
      <c r="C31" s="9488" t="s">
        <v>4234</v>
      </c>
      <c r="D31" s="197"/>
      <c r="F31" s="122"/>
      <c r="H31" s="198"/>
      <c r="I31" s="199"/>
      <c r="J31" s="476"/>
      <c r="L31" s="198"/>
      <c r="M31" s="157"/>
      <c r="O31" s="200"/>
      <c r="P31" s="201">
        <f>515971+1715234+7304133+60433+353755</f>
        <v>9949526</v>
      </c>
      <c r="Q31" s="3368" t="s">
        <v>4235</v>
      </c>
      <c r="R31" s="835">
        <f>(P31+P34)/O30</f>
        <v>0.66977623695725341</v>
      </c>
      <c r="S31" s="170"/>
      <c r="T31" s="117">
        <f>2123362+7107144+17724+1133258</f>
        <v>10381488</v>
      </c>
      <c r="U31" s="3368" t="s">
        <v>4235</v>
      </c>
      <c r="V31" s="1344">
        <f>T31</f>
        <v>10381488</v>
      </c>
      <c r="X31" s="200">
        <f>2123362+7107144+17724+1133258</f>
        <v>10381488</v>
      </c>
      <c r="Y31" s="621">
        <f>X31</f>
        <v>10381488</v>
      </c>
      <c r="Z31" s="3368" t="s">
        <v>4235</v>
      </c>
      <c r="AA31" s="835" t="e">
        <f>(Y31+Y34)/X30</f>
        <v>#DIV/0!</v>
      </c>
      <c r="AB31" s="170"/>
      <c r="AC31" s="117">
        <f>2674299+1722599+1330988</f>
        <v>5727886</v>
      </c>
      <c r="AD31" s="3368" t="s">
        <v>4235</v>
      </c>
      <c r="AE31" s="1344">
        <f>AC31</f>
        <v>5727886</v>
      </c>
      <c r="AG31" s="117">
        <f>2674299+1722599+1330988</f>
        <v>5727886</v>
      </c>
      <c r="AH31" s="8062">
        <v>7143500</v>
      </c>
      <c r="AI31" s="3369" t="s">
        <v>4236</v>
      </c>
      <c r="AJ31" s="835"/>
      <c r="AL31" s="3370">
        <v>50298600</v>
      </c>
      <c r="AM31" s="3368"/>
      <c r="AN31" s="1344">
        <f>AL31</f>
        <v>50298600</v>
      </c>
      <c r="AP31" s="117">
        <f>AL31</f>
        <v>50298600</v>
      </c>
      <c r="AQ31" s="649">
        <v>155898000</v>
      </c>
      <c r="AR31" s="8063" t="s">
        <v>1747</v>
      </c>
      <c r="AS31" s="835">
        <f>AQ31/(AP31+AP34)</f>
        <v>3.0994500840977683</v>
      </c>
      <c r="AU31" s="117">
        <v>168419900</v>
      </c>
      <c r="AV31" s="8064" t="s">
        <v>3835</v>
      </c>
      <c r="AW31" s="3356">
        <f t="shared" ref="AW31" si="40">AU31*AS31</f>
        <v>522009073.21873772</v>
      </c>
      <c r="AY31" s="117">
        <f>85207500</f>
        <v>85207500</v>
      </c>
      <c r="AZ31" s="9486">
        <v>135580700</v>
      </c>
      <c r="BA31" s="8048" t="s">
        <v>4237</v>
      </c>
      <c r="BB31" s="835">
        <f>AZ31/(AY31+AY32)</f>
        <v>1.0005505287215852</v>
      </c>
      <c r="BD31" s="117">
        <v>89947000</v>
      </c>
      <c r="BE31" s="8048" t="s">
        <v>4238</v>
      </c>
      <c r="BF31" s="3356">
        <f t="shared" ref="BF31" si="41">BD31*BB31</f>
        <v>89996518.406920433</v>
      </c>
      <c r="BM31" s="9484"/>
    </row>
    <row r="32" spans="1:65" x14ac:dyDescent="0.35">
      <c r="A32" s="9168"/>
      <c r="B32" s="196"/>
      <c r="C32" s="9488"/>
      <c r="D32" s="197"/>
      <c r="F32" s="122"/>
      <c r="H32" s="198"/>
      <c r="I32" s="199"/>
      <c r="J32" s="476"/>
      <c r="L32" s="198"/>
      <c r="M32" s="157"/>
      <c r="O32" s="164"/>
      <c r="P32" s="244"/>
      <c r="Q32" s="3368"/>
      <c r="R32" s="835"/>
      <c r="S32" s="170"/>
      <c r="T32" s="114"/>
      <c r="U32" s="3368"/>
      <c r="V32" s="1344"/>
      <c r="X32" s="164"/>
      <c r="Y32" s="8065"/>
      <c r="Z32" s="3368"/>
      <c r="AA32" s="835"/>
      <c r="AB32" s="170"/>
      <c r="AC32" s="114"/>
      <c r="AD32" s="3368"/>
      <c r="AE32" s="1344"/>
      <c r="AG32" s="114"/>
      <c r="AH32" s="8062"/>
      <c r="AI32" s="3369"/>
      <c r="AJ32" s="835"/>
      <c r="AL32" s="3370"/>
      <c r="AM32" s="3368"/>
      <c r="AN32" s="1344"/>
      <c r="AP32" s="242"/>
      <c r="AQ32" s="638"/>
      <c r="AR32" s="8063"/>
      <c r="AS32" s="835"/>
      <c r="AU32" s="242"/>
      <c r="AV32" s="8064"/>
      <c r="AW32" s="3356"/>
      <c r="AY32" s="117">
        <f>50298600</f>
        <v>50298600</v>
      </c>
      <c r="AZ32" s="9487"/>
      <c r="BA32" s="8048" t="s">
        <v>4239</v>
      </c>
      <c r="BB32" s="835"/>
      <c r="BD32" s="242">
        <v>55298600</v>
      </c>
      <c r="BE32" s="8048"/>
      <c r="BF32" s="3356"/>
      <c r="BM32" s="9484"/>
    </row>
    <row r="33" spans="1:65" ht="27.75" customHeight="1" x14ac:dyDescent="0.35">
      <c r="A33" s="9168"/>
      <c r="B33" s="196"/>
      <c r="C33" s="8066" t="s">
        <v>1116</v>
      </c>
      <c r="D33" s="197"/>
      <c r="F33" s="122"/>
      <c r="H33" s="198"/>
      <c r="I33" s="199"/>
      <c r="J33" s="476"/>
      <c r="L33" s="198"/>
      <c r="M33" s="157"/>
      <c r="O33" s="164"/>
      <c r="P33" s="244">
        <v>6362076</v>
      </c>
      <c r="Q33" s="3368" t="s">
        <v>4240</v>
      </c>
      <c r="R33" s="835">
        <v>0</v>
      </c>
      <c r="S33" s="170"/>
      <c r="T33" s="114">
        <v>5925607</v>
      </c>
      <c r="U33" s="3368" t="s">
        <v>4240</v>
      </c>
      <c r="V33" s="1344">
        <v>5925607</v>
      </c>
      <c r="X33" s="164">
        <v>5925607</v>
      </c>
      <c r="Y33" s="8065">
        <v>5925607</v>
      </c>
      <c r="Z33" s="3368" t="s">
        <v>4240</v>
      </c>
      <c r="AA33" s="835">
        <v>1</v>
      </c>
      <c r="AB33" s="170"/>
      <c r="AC33" s="114">
        <v>13086662</v>
      </c>
      <c r="AD33" s="3368" t="s">
        <v>4240</v>
      </c>
      <c r="AE33" s="1344">
        <v>13086662</v>
      </c>
      <c r="AG33" s="114">
        <v>13086662</v>
      </c>
      <c r="AH33" s="8062">
        <v>148630000</v>
      </c>
      <c r="AI33" s="3369" t="s">
        <v>4241</v>
      </c>
      <c r="AJ33" s="835"/>
      <c r="AL33" s="3370">
        <v>85208700</v>
      </c>
      <c r="AM33" s="3368"/>
      <c r="AN33" s="1344">
        <v>85208700</v>
      </c>
      <c r="AP33" s="242">
        <v>85208700</v>
      </c>
      <c r="AQ33" s="638"/>
      <c r="AR33" s="8063"/>
      <c r="AS33" s="835"/>
      <c r="AU33" s="242"/>
      <c r="AV33" s="8064"/>
      <c r="AW33" s="3356"/>
      <c r="AY33" s="242"/>
      <c r="AZ33" s="8049"/>
      <c r="BA33" s="8048"/>
      <c r="BB33" s="835"/>
      <c r="BD33" s="242"/>
      <c r="BE33" s="8048"/>
      <c r="BF33" s="3356"/>
      <c r="BM33" s="9484"/>
    </row>
    <row r="34" spans="1:65" x14ac:dyDescent="0.35">
      <c r="A34" s="9169"/>
      <c r="B34" s="207"/>
      <c r="C34" s="208" t="s">
        <v>4242</v>
      </c>
      <c r="D34" s="209"/>
      <c r="F34" s="210"/>
      <c r="H34" s="211"/>
      <c r="I34" s="212"/>
      <c r="J34" s="484"/>
      <c r="L34" s="211"/>
      <c r="M34" s="213"/>
      <c r="O34" s="214"/>
      <c r="P34" s="215"/>
      <c r="Q34" s="1159"/>
      <c r="R34" s="484"/>
      <c r="T34" s="217"/>
      <c r="U34" s="1159"/>
      <c r="V34" s="1346"/>
      <c r="X34" s="214"/>
      <c r="Y34" s="630"/>
      <c r="Z34" s="1159"/>
      <c r="AA34" s="484"/>
      <c r="AC34" s="217"/>
      <c r="AD34" s="1159"/>
      <c r="AE34" s="1346"/>
      <c r="AG34" s="217"/>
      <c r="AH34" s="3371"/>
      <c r="AI34" s="3372"/>
      <c r="AJ34" s="484"/>
      <c r="AL34" s="3373"/>
      <c r="AM34" s="1159"/>
      <c r="AN34" s="1346"/>
      <c r="AP34" s="131"/>
      <c r="AQ34" s="3029"/>
      <c r="AR34" s="7292"/>
      <c r="AS34" s="484"/>
      <c r="AU34" s="131"/>
      <c r="AV34" s="1159"/>
      <c r="AW34" s="5360"/>
      <c r="AY34" s="131">
        <f>AY13</f>
        <v>114240000</v>
      </c>
      <c r="AZ34" s="3029">
        <f>AZ13</f>
        <v>97029000</v>
      </c>
      <c r="BA34" s="8050" t="s">
        <v>4243</v>
      </c>
      <c r="BB34" s="484"/>
      <c r="BD34" s="131">
        <f>BD13</f>
        <v>130895000</v>
      </c>
      <c r="BE34" s="8050" t="s">
        <v>4243</v>
      </c>
      <c r="BF34" s="5360"/>
      <c r="BM34" s="9485"/>
    </row>
    <row r="35" spans="1:65" x14ac:dyDescent="0.35">
      <c r="A35" s="220"/>
      <c r="B35" s="220"/>
      <c r="F35" s="106"/>
      <c r="H35" s="106"/>
      <c r="I35" s="106"/>
      <c r="J35" s="221"/>
      <c r="L35" s="106"/>
      <c r="O35" s="106"/>
      <c r="P35" s="106"/>
      <c r="Q35" s="106"/>
      <c r="R35" s="221"/>
      <c r="T35" s="106"/>
      <c r="U35" s="106"/>
      <c r="X35" s="106"/>
      <c r="Y35" s="106"/>
      <c r="Z35" s="106"/>
      <c r="AA35" s="221"/>
      <c r="AC35" s="106"/>
      <c r="AD35" s="106"/>
      <c r="AG35" s="106"/>
      <c r="AH35" s="106"/>
      <c r="AI35" s="106"/>
      <c r="AJ35" s="221"/>
      <c r="AL35" s="3374"/>
      <c r="AM35" s="106"/>
      <c r="AP35" s="106"/>
      <c r="AQ35" s="106"/>
      <c r="AR35" s="106"/>
      <c r="AS35" s="221"/>
      <c r="AU35" s="3374"/>
      <c r="AV35" s="106"/>
      <c r="AW35" s="106"/>
      <c r="AY35" s="106"/>
      <c r="AZ35" s="106"/>
      <c r="BA35" s="106"/>
      <c r="BB35" s="221"/>
      <c r="BD35" s="3374"/>
      <c r="BE35" s="106"/>
      <c r="BF35" s="106"/>
    </row>
    <row r="36" spans="1:65" ht="24" x14ac:dyDescent="0.35">
      <c r="A36" s="9167" t="s">
        <v>503</v>
      </c>
      <c r="B36" s="27"/>
      <c r="C36" s="28" t="s">
        <v>427</v>
      </c>
      <c r="D36" s="42" t="s">
        <v>428</v>
      </c>
      <c r="E36" s="30"/>
      <c r="F36" s="222" t="s">
        <v>4244</v>
      </c>
      <c r="G36" s="223"/>
      <c r="H36" s="222" t="s">
        <v>4245</v>
      </c>
      <c r="I36" s="222" t="s">
        <v>4246</v>
      </c>
      <c r="J36" s="224"/>
      <c r="K36" s="223"/>
      <c r="L36" s="222" t="s">
        <v>4247</v>
      </c>
      <c r="M36" s="511"/>
      <c r="N36" s="30"/>
      <c r="O36" s="9155"/>
      <c r="P36" s="9156"/>
      <c r="Q36" s="3375"/>
      <c r="R36" s="224"/>
      <c r="S36" s="223"/>
      <c r="T36" s="36"/>
      <c r="U36" s="224"/>
      <c r="V36" s="511"/>
      <c r="W36" s="30"/>
      <c r="X36" s="9155"/>
      <c r="Y36" s="9156"/>
      <c r="Z36" s="3375"/>
      <c r="AA36" s="224"/>
      <c r="AB36" s="223"/>
      <c r="AC36" s="36"/>
      <c r="AD36" s="224"/>
      <c r="AE36" s="511"/>
      <c r="AF36" s="30"/>
      <c r="AG36" s="36"/>
      <c r="AH36" s="36"/>
      <c r="AI36" s="224"/>
      <c r="AJ36" s="224"/>
      <c r="AL36" s="3376"/>
      <c r="AM36" s="224"/>
      <c r="AN36" s="511"/>
      <c r="AO36" s="30"/>
      <c r="AP36" s="36"/>
      <c r="AQ36" s="36"/>
      <c r="AR36" s="224"/>
      <c r="AS36" s="224"/>
      <c r="AU36" s="3376"/>
      <c r="AV36" s="224"/>
      <c r="AW36" s="36"/>
      <c r="AY36" s="36"/>
      <c r="AZ36" s="36"/>
      <c r="BA36" s="224"/>
      <c r="BB36" s="224"/>
      <c r="BD36" s="3376"/>
      <c r="BE36" s="224"/>
      <c r="BF36" s="36"/>
      <c r="BM36" s="39"/>
    </row>
    <row r="37" spans="1:65" ht="22" x14ac:dyDescent="0.35">
      <c r="A37" s="9168"/>
      <c r="B37" s="141" t="s">
        <v>514</v>
      </c>
      <c r="C37"/>
      <c r="D37" s="140"/>
      <c r="E37" s="143"/>
      <c r="F37" s="227"/>
      <c r="G37" s="143"/>
      <c r="H37" s="102"/>
      <c r="I37" s="103"/>
      <c r="J37" s="228"/>
      <c r="K37" s="143"/>
      <c r="L37" s="102"/>
      <c r="M37" s="229"/>
      <c r="N37" s="143"/>
      <c r="O37" s="230"/>
      <c r="P37" s="103"/>
      <c r="Q37" s="231" t="s">
        <v>4248</v>
      </c>
      <c r="R37" s="228"/>
      <c r="S37" s="143"/>
      <c r="T37" s="230"/>
      <c r="U37" s="231" t="s">
        <v>4248</v>
      </c>
      <c r="V37" s="49"/>
      <c r="W37" s="143"/>
      <c r="X37" s="230"/>
      <c r="Y37" s="103"/>
      <c r="Z37" s="231" t="s">
        <v>4248</v>
      </c>
      <c r="AA37" s="228"/>
      <c r="AB37" s="143"/>
      <c r="AC37" s="230"/>
      <c r="AD37" s="231" t="s">
        <v>4248</v>
      </c>
      <c r="AE37" s="49"/>
      <c r="AF37" s="143"/>
      <c r="AG37" s="230"/>
      <c r="AH37" s="231"/>
      <c r="AI37" s="3377" t="s">
        <v>4249</v>
      </c>
      <c r="AJ37" s="228"/>
      <c r="AL37" s="3378"/>
      <c r="AM37" s="3379" t="s">
        <v>4249</v>
      </c>
      <c r="AN37" s="49"/>
      <c r="AO37" s="143"/>
      <c r="AP37" s="230" t="s">
        <v>4249</v>
      </c>
      <c r="AQ37" s="3944" t="s">
        <v>1848</v>
      </c>
      <c r="AR37" s="348"/>
      <c r="AS37" s="228"/>
      <c r="AU37" s="7293" t="s">
        <v>4250</v>
      </c>
      <c r="AV37" s="3379" t="s">
        <v>4251</v>
      </c>
      <c r="AW37" s="3942"/>
      <c r="AY37" s="230"/>
      <c r="AZ37" s="3944"/>
      <c r="BA37" s="348" t="s">
        <v>4252</v>
      </c>
      <c r="BB37" s="228"/>
      <c r="BD37" s="7293"/>
      <c r="BE37" s="3379" t="s">
        <v>4251</v>
      </c>
      <c r="BF37" s="3942"/>
      <c r="BM37" s="18"/>
    </row>
    <row r="38" spans="1:65" x14ac:dyDescent="0.35">
      <c r="A38" s="9168"/>
      <c r="B38" s="232"/>
      <c r="C38" s="232" t="s">
        <v>551</v>
      </c>
      <c r="D38" s="60"/>
      <c r="F38" s="111">
        <v>62053016</v>
      </c>
      <c r="H38" s="112">
        <v>79356615</v>
      </c>
      <c r="I38" s="113">
        <v>77825687</v>
      </c>
      <c r="J38" s="476">
        <f t="shared" ref="J38:J42" si="42">IF(H38=0,0,I38/H38)</f>
        <v>0.98070824971554038</v>
      </c>
      <c r="L38" s="112">
        <v>78192429</v>
      </c>
      <c r="M38" s="157">
        <f t="shared" ref="M38:M39" si="43">L38*J38</f>
        <v>76683960.18559666</v>
      </c>
      <c r="O38" s="112">
        <v>78192429</v>
      </c>
      <c r="P38" s="115"/>
      <c r="Q38" s="57" t="s">
        <v>4211</v>
      </c>
      <c r="R38" s="476">
        <f>(P39+P40)/O38</f>
        <v>1.0210811586374942</v>
      </c>
      <c r="T38" s="112"/>
      <c r="U38" s="57" t="s">
        <v>4211</v>
      </c>
      <c r="V38" s="619"/>
      <c r="X38" s="112"/>
      <c r="Y38" s="115"/>
      <c r="Z38" s="57"/>
      <c r="AA38" s="476" t="e">
        <f>(Y39+Y40)/X38</f>
        <v>#DIV/0!</v>
      </c>
      <c r="AC38" s="112"/>
      <c r="AD38" s="57"/>
      <c r="AE38" s="3380" t="s">
        <v>4207</v>
      </c>
      <c r="AG38" s="112"/>
      <c r="AH38" s="199"/>
      <c r="AI38" s="237"/>
      <c r="AJ38" s="476" t="e">
        <f>(AH39+AH40)/AG38</f>
        <v>#DIV/0!</v>
      </c>
      <c r="AL38" s="3381"/>
      <c r="AM38" s="57"/>
      <c r="AN38" s="3380" t="s">
        <v>4207</v>
      </c>
      <c r="AP38" s="112"/>
      <c r="AQ38" s="649"/>
      <c r="AR38" s="57"/>
      <c r="AS38" s="476"/>
      <c r="AU38" s="3381"/>
      <c r="AV38" s="57"/>
      <c r="AW38" s="3356"/>
      <c r="AY38" s="112"/>
      <c r="AZ38" s="649"/>
      <c r="BA38" s="57"/>
      <c r="BB38" s="476"/>
      <c r="BD38" s="3381"/>
      <c r="BE38" s="57"/>
      <c r="BF38" s="3356"/>
      <c r="BM38" s="26"/>
    </row>
    <row r="39" spans="1:65" x14ac:dyDescent="0.35">
      <c r="A39" s="9168"/>
      <c r="B39" s="240"/>
      <c r="C39" s="639" t="s">
        <v>11</v>
      </c>
      <c r="D39" s="60"/>
      <c r="F39" s="155"/>
      <c r="H39" s="117"/>
      <c r="I39" s="115"/>
      <c r="J39" s="476">
        <f t="shared" si="42"/>
        <v>0</v>
      </c>
      <c r="L39" s="117"/>
      <c r="M39" s="157">
        <f t="shared" si="43"/>
        <v>0</v>
      </c>
      <c r="O39" s="593"/>
      <c r="P39" s="115">
        <f>79840816-P40</f>
        <v>79746059</v>
      </c>
      <c r="Q39" s="57"/>
      <c r="R39" s="476"/>
      <c r="T39" s="112">
        <f>87989875-T40</f>
        <v>87832714</v>
      </c>
      <c r="U39" s="106"/>
      <c r="V39" s="66">
        <f>T39*R38</f>
        <v>89684329.37739566</v>
      </c>
      <c r="X39" s="593">
        <f t="shared" ref="X39:X40" si="44">T39</f>
        <v>87832714</v>
      </c>
      <c r="Y39" s="115">
        <v>90456232</v>
      </c>
      <c r="Z39" s="57" t="s">
        <v>4253</v>
      </c>
      <c r="AA39" s="476">
        <f t="shared" ref="AA39:AA40" si="45">IF(X39=0,0,Y39/X39)</f>
        <v>1.0298694857590305</v>
      </c>
      <c r="AC39" s="112">
        <v>107123027</v>
      </c>
      <c r="AD39" s="57" t="s">
        <v>4253</v>
      </c>
      <c r="AE39" s="1780">
        <f>AC39</f>
        <v>107123027</v>
      </c>
      <c r="AG39" s="112">
        <v>107123027</v>
      </c>
      <c r="AH39" s="199">
        <v>109100600</v>
      </c>
      <c r="AI39" s="237" t="s">
        <v>4254</v>
      </c>
      <c r="AJ39" s="3382">
        <f t="shared" ref="AJ39:AJ40" si="46">IF(AG39=0,0,AH39/AG39)</f>
        <v>1.0184607647429529</v>
      </c>
      <c r="AL39" s="3349">
        <v>45537700</v>
      </c>
      <c r="AM39" s="57" t="s">
        <v>4254</v>
      </c>
      <c r="AN39" s="1780">
        <f>AL39</f>
        <v>45537700</v>
      </c>
      <c r="AP39" s="112">
        <f>AL39</f>
        <v>45537700</v>
      </c>
      <c r="AQ39" s="649">
        <v>45996800</v>
      </c>
      <c r="AR39" s="57" t="s">
        <v>4255</v>
      </c>
      <c r="AS39" s="3382">
        <f t="shared" ref="AS39:AS42" si="47">IF(AP39=0,0,AQ39/AP39)</f>
        <v>1.0100817564347782</v>
      </c>
      <c r="AU39" s="3370">
        <v>46206200</v>
      </c>
      <c r="AV39" s="57" t="s">
        <v>4255</v>
      </c>
      <c r="AW39" s="3356">
        <f t="shared" ref="AW39:AW42" si="48">AU39*AS39</f>
        <v>46672039.654176645</v>
      </c>
      <c r="AY39" s="112">
        <v>46206200</v>
      </c>
      <c r="AZ39" s="649">
        <v>36202900</v>
      </c>
      <c r="BA39" s="57" t="s">
        <v>4228</v>
      </c>
      <c r="BB39" s="3382">
        <f t="shared" ref="BB39:BB40" si="49">IF(AY39=0,0,AZ39/AY39)</f>
        <v>0.7835074080967489</v>
      </c>
      <c r="BD39" s="3370">
        <v>64678000</v>
      </c>
      <c r="BE39" s="57" t="s">
        <v>4228</v>
      </c>
      <c r="BF39" s="3356">
        <f t="shared" ref="BF39:BF42" si="50">BD39*BB39</f>
        <v>50675692.140881523</v>
      </c>
      <c r="BM39" s="26"/>
    </row>
    <row r="40" spans="1:65" x14ac:dyDescent="0.35">
      <c r="A40" s="9168"/>
      <c r="B40" s="241"/>
      <c r="C40" s="249" t="s">
        <v>1116</v>
      </c>
      <c r="D40" s="60"/>
      <c r="F40" s="163"/>
      <c r="H40" s="242"/>
      <c r="I40" s="243"/>
      <c r="J40" s="476">
        <f t="shared" si="42"/>
        <v>0</v>
      </c>
      <c r="L40" s="242"/>
      <c r="M40" s="157">
        <f>L40*J40</f>
        <v>0</v>
      </c>
      <c r="O40" s="595"/>
      <c r="P40" s="115">
        <f>11099+8112+1000+1689+2725+6979+634+1589+591+7365+1193+51781</f>
        <v>94757</v>
      </c>
      <c r="Q40" s="57" t="s">
        <v>4256</v>
      </c>
      <c r="R40" s="476"/>
      <c r="T40" s="117">
        <f>6663+4623+1694+4822+791+5920+2211+998+20801+17383+134+212+90909</f>
        <v>157161</v>
      </c>
      <c r="U40" s="57" t="s">
        <v>4256</v>
      </c>
      <c r="V40" s="66">
        <f>T40*R38</f>
        <v>160474.13597262721</v>
      </c>
      <c r="X40" s="593">
        <f t="shared" si="44"/>
        <v>157161</v>
      </c>
      <c r="Y40" s="115">
        <v>233256</v>
      </c>
      <c r="Z40" s="57" t="s">
        <v>4253</v>
      </c>
      <c r="AA40" s="476">
        <f t="shared" si="45"/>
        <v>1.4841850077309255</v>
      </c>
      <c r="AC40" s="117">
        <v>196014</v>
      </c>
      <c r="AD40" s="57" t="s">
        <v>4253</v>
      </c>
      <c r="AE40" s="1780">
        <f>AC40</f>
        <v>196014</v>
      </c>
      <c r="AG40" s="117">
        <v>196014</v>
      </c>
      <c r="AH40" s="199">
        <v>344100</v>
      </c>
      <c r="AI40" s="237" t="s">
        <v>4254</v>
      </c>
      <c r="AJ40" s="476">
        <f t="shared" si="46"/>
        <v>1.7554868529798893</v>
      </c>
      <c r="AL40" s="3383">
        <v>317900</v>
      </c>
      <c r="AM40" s="57" t="s">
        <v>4254</v>
      </c>
      <c r="AN40" s="1780">
        <f>AL40</f>
        <v>317900</v>
      </c>
      <c r="AP40" s="117">
        <f>AL40</f>
        <v>317900</v>
      </c>
      <c r="AQ40" s="649">
        <v>371700</v>
      </c>
      <c r="AR40" s="57" t="s">
        <v>4255</v>
      </c>
      <c r="AS40" s="476">
        <f t="shared" si="47"/>
        <v>1.1692356086819755</v>
      </c>
      <c r="AU40" s="3383">
        <v>328800</v>
      </c>
      <c r="AV40" s="57" t="s">
        <v>4255</v>
      </c>
      <c r="AW40" s="3356">
        <f t="shared" si="48"/>
        <v>384444.66813463357</v>
      </c>
      <c r="AY40" s="117">
        <v>328800</v>
      </c>
      <c r="AZ40" s="649">
        <v>250000</v>
      </c>
      <c r="BA40" s="57" t="s">
        <v>4228</v>
      </c>
      <c r="BB40" s="476">
        <f t="shared" si="49"/>
        <v>0.76034063260340634</v>
      </c>
      <c r="BD40" s="3383">
        <v>603700</v>
      </c>
      <c r="BE40" s="57" t="s">
        <v>4228</v>
      </c>
      <c r="BF40" s="3356">
        <f t="shared" si="50"/>
        <v>459017.6399026764</v>
      </c>
      <c r="BM40" s="26"/>
    </row>
    <row r="41" spans="1:65" x14ac:dyDescent="0.35">
      <c r="A41" s="9168"/>
      <c r="B41" s="241"/>
      <c r="C41" s="3384" t="s">
        <v>4257</v>
      </c>
      <c r="D41" s="60"/>
      <c r="F41" s="163"/>
      <c r="H41" s="242"/>
      <c r="I41" s="243"/>
      <c r="J41" s="476"/>
      <c r="L41" s="242"/>
      <c r="M41" s="157"/>
      <c r="O41" s="1172"/>
      <c r="P41" s="115"/>
      <c r="Q41" s="57"/>
      <c r="R41" s="476"/>
      <c r="T41" s="242"/>
      <c r="U41" s="57"/>
      <c r="V41" s="66"/>
      <c r="X41" s="598"/>
      <c r="Y41" s="115"/>
      <c r="Z41" s="57"/>
      <c r="AA41" s="476"/>
      <c r="AC41" s="242"/>
      <c r="AD41" s="57"/>
      <c r="AE41" s="1780"/>
      <c r="AG41" s="242"/>
      <c r="AH41" s="199"/>
      <c r="AI41" s="237"/>
      <c r="AJ41" s="476"/>
      <c r="AL41" s="3383"/>
      <c r="AM41" s="57"/>
      <c r="AN41" s="1780">
        <f t="shared" ref="AN41:AN42" si="51">AL41</f>
        <v>0</v>
      </c>
      <c r="AP41" s="242"/>
      <c r="AQ41" s="649"/>
      <c r="AR41" s="57"/>
      <c r="AS41" s="476">
        <f>AS42</f>
        <v>1</v>
      </c>
      <c r="AU41" s="3383">
        <v>85309468</v>
      </c>
      <c r="AV41" s="57" t="s">
        <v>4258</v>
      </c>
      <c r="AW41" s="3356">
        <f t="shared" si="48"/>
        <v>85309468</v>
      </c>
      <c r="AY41" s="242">
        <v>85115000</v>
      </c>
      <c r="AZ41" s="7294">
        <f>AY41</f>
        <v>85115000</v>
      </c>
      <c r="BA41" s="57" t="s">
        <v>4259</v>
      </c>
      <c r="BB41" s="476">
        <f>BB42</f>
        <v>1</v>
      </c>
      <c r="BD41" s="3383">
        <v>94221000</v>
      </c>
      <c r="BE41" s="57" t="s">
        <v>4260</v>
      </c>
      <c r="BF41" s="3356">
        <f t="shared" si="50"/>
        <v>94221000</v>
      </c>
      <c r="BM41" s="26" t="s">
        <v>4261</v>
      </c>
    </row>
    <row r="42" spans="1:65" x14ac:dyDescent="0.35">
      <c r="A42" s="9168"/>
      <c r="B42" s="241"/>
      <c r="C42" s="241" t="s">
        <v>4262</v>
      </c>
      <c r="D42" s="60"/>
      <c r="F42" s="163"/>
      <c r="H42" s="242"/>
      <c r="I42" s="243"/>
      <c r="J42" s="476">
        <f t="shared" si="42"/>
        <v>0</v>
      </c>
      <c r="L42" s="242"/>
      <c r="M42" s="157">
        <f t="shared" ref="M42" si="52">L42*J42</f>
        <v>0</v>
      </c>
      <c r="O42" s="242"/>
      <c r="P42" s="115"/>
      <c r="Q42" s="106"/>
      <c r="R42" s="476"/>
      <c r="T42" s="242"/>
      <c r="U42" s="106"/>
      <c r="V42" s="619"/>
      <c r="X42" s="242"/>
      <c r="Y42" s="115"/>
      <c r="Z42" s="106"/>
      <c r="AA42" s="476"/>
      <c r="AC42" s="242"/>
      <c r="AD42" s="106"/>
      <c r="AE42" s="619"/>
      <c r="AG42" s="242"/>
      <c r="AH42" s="199"/>
      <c r="AI42" s="66"/>
      <c r="AJ42" s="476"/>
      <c r="AL42" s="3383">
        <v>70023490</v>
      </c>
      <c r="AM42" s="57" t="s">
        <v>4263</v>
      </c>
      <c r="AN42" s="1780">
        <f t="shared" si="51"/>
        <v>70023490</v>
      </c>
      <c r="AP42" s="242">
        <f>AL42</f>
        <v>70023490</v>
      </c>
      <c r="AQ42" s="7294">
        <f>AP42</f>
        <v>70023490</v>
      </c>
      <c r="AR42" s="57" t="s">
        <v>4263</v>
      </c>
      <c r="AS42" s="476">
        <f t="shared" si="47"/>
        <v>1</v>
      </c>
      <c r="AU42" s="8051">
        <v>374606</v>
      </c>
      <c r="AV42" s="57" t="s">
        <v>4264</v>
      </c>
      <c r="AW42" s="3356">
        <f t="shared" si="48"/>
        <v>374606</v>
      </c>
      <c r="AY42" s="242">
        <v>2857300</v>
      </c>
      <c r="AZ42" s="7294">
        <f>AY42</f>
        <v>2857300</v>
      </c>
      <c r="BA42" s="57" t="s">
        <v>4265</v>
      </c>
      <c r="BB42" s="476">
        <f t="shared" ref="BB42" si="53">IF(AY42=0,0,AZ42/AY42)</f>
        <v>1</v>
      </c>
      <c r="BD42" s="8051">
        <v>4253200</v>
      </c>
      <c r="BE42" s="57" t="s">
        <v>4266</v>
      </c>
      <c r="BF42" s="3356">
        <f t="shared" si="50"/>
        <v>4253200</v>
      </c>
      <c r="BM42" s="26"/>
    </row>
    <row r="43" spans="1:65" x14ac:dyDescent="0.35">
      <c r="A43" s="9168"/>
      <c r="B43" s="141" t="s">
        <v>531</v>
      </c>
      <c r="C43"/>
      <c r="D43" s="60"/>
      <c r="E43" s="143"/>
      <c r="F43" s="168"/>
      <c r="G43" s="143"/>
      <c r="H43" s="245"/>
      <c r="I43" s="106"/>
      <c r="J43" s="246"/>
      <c r="K43" s="143"/>
      <c r="L43" s="245"/>
      <c r="M43" s="247"/>
      <c r="N43" s="143"/>
      <c r="O43" s="245"/>
      <c r="P43" s="106"/>
      <c r="Q43" s="106"/>
      <c r="R43" s="246"/>
      <c r="S43" s="143"/>
      <c r="T43" s="245"/>
      <c r="U43" s="106"/>
      <c r="V43" s="619"/>
      <c r="W43" s="143"/>
      <c r="X43" s="245"/>
      <c r="Y43" s="106"/>
      <c r="Z43" s="106"/>
      <c r="AA43" s="246"/>
      <c r="AB43" s="143"/>
      <c r="AC43" s="245"/>
      <c r="AD43" s="106"/>
      <c r="AE43" s="619"/>
      <c r="AF43" s="143"/>
      <c r="AG43" s="245"/>
      <c r="AH43" s="106"/>
      <c r="AI43" s="66"/>
      <c r="AJ43" s="246"/>
      <c r="AL43" s="3385"/>
      <c r="AM43" s="106"/>
      <c r="AN43" s="619"/>
      <c r="AO43" s="143"/>
      <c r="AP43" s="245"/>
      <c r="AQ43" s="106"/>
      <c r="AR43" s="106"/>
      <c r="AS43" s="246"/>
      <c r="AU43" s="3385"/>
      <c r="AV43" s="106"/>
      <c r="AW43" s="66"/>
      <c r="AY43" s="245"/>
      <c r="AZ43" s="106"/>
      <c r="BA43" s="106"/>
      <c r="BB43" s="246"/>
      <c r="BD43" s="3385"/>
      <c r="BE43" s="106"/>
      <c r="BF43" s="66"/>
      <c r="BM43" s="18"/>
    </row>
    <row r="44" spans="1:65" x14ac:dyDescent="0.35">
      <c r="A44" s="9168"/>
      <c r="B44" s="232"/>
      <c r="C44" s="232" t="s">
        <v>551</v>
      </c>
      <c r="D44" s="60"/>
      <c r="F44" s="111">
        <v>0</v>
      </c>
      <c r="H44" s="112">
        <v>0</v>
      </c>
      <c r="I44" s="113">
        <v>0</v>
      </c>
      <c r="J44" s="476">
        <f t="shared" ref="J44:J46" si="54">IF(H44=0,0,I44/H44)</f>
        <v>0</v>
      </c>
      <c r="L44" s="112">
        <v>0</v>
      </c>
      <c r="M44" s="157">
        <f t="shared" ref="M44:M46" si="55">L44*J44</f>
        <v>0</v>
      </c>
      <c r="O44" s="248"/>
      <c r="P44" s="233"/>
      <c r="Q44" s="106"/>
      <c r="R44" s="476"/>
      <c r="T44" s="112"/>
      <c r="U44" s="106"/>
      <c r="V44" s="619">
        <f t="shared" ref="V44:V46" si="56">T44*R44</f>
        <v>0</v>
      </c>
      <c r="X44" s="248"/>
      <c r="Y44" s="233"/>
      <c r="Z44" s="106"/>
      <c r="AA44" s="476"/>
      <c r="AC44" s="112"/>
      <c r="AD44" s="106"/>
      <c r="AE44" s="619">
        <f t="shared" ref="AE44:AE46" si="57">AC44*AA44</f>
        <v>0</v>
      </c>
      <c r="AG44" s="112"/>
      <c r="AH44" s="199"/>
      <c r="AI44" s="66"/>
      <c r="AJ44" s="476"/>
      <c r="AL44" s="3381"/>
      <c r="AM44" s="106"/>
      <c r="AN44" s="619"/>
      <c r="AP44" s="112"/>
      <c r="AQ44" s="649"/>
      <c r="AR44" s="106"/>
      <c r="AS44" s="476"/>
      <c r="AU44" s="3381"/>
      <c r="AV44" s="106"/>
      <c r="AW44" s="66"/>
      <c r="AY44" s="112"/>
      <c r="AZ44" s="649"/>
      <c r="BA44" s="106"/>
      <c r="BB44" s="476"/>
      <c r="BD44" s="3381"/>
      <c r="BE44" s="106"/>
      <c r="BF44" s="66"/>
      <c r="BM44" s="26"/>
    </row>
    <row r="45" spans="1:65" ht="13" customHeight="1" x14ac:dyDescent="0.35">
      <c r="A45" s="9168"/>
      <c r="B45" s="240"/>
      <c r="C45" s="240" t="s">
        <v>4267</v>
      </c>
      <c r="D45" s="60"/>
      <c r="F45" s="155"/>
      <c r="H45" s="117"/>
      <c r="I45" s="115"/>
      <c r="J45" s="476">
        <f t="shared" si="54"/>
        <v>0</v>
      </c>
      <c r="L45" s="117"/>
      <c r="M45" s="157">
        <f t="shared" si="55"/>
        <v>0</v>
      </c>
      <c r="O45" s="200"/>
      <c r="P45" s="201"/>
      <c r="Q45" s="106"/>
      <c r="R45" s="476">
        <f>IF(O45=0,0,P45/O45)</f>
        <v>0</v>
      </c>
      <c r="T45" s="117"/>
      <c r="U45" s="106"/>
      <c r="V45" s="619">
        <f t="shared" si="56"/>
        <v>0</v>
      </c>
      <c r="X45" s="200"/>
      <c r="Y45" s="201"/>
      <c r="Z45" s="106"/>
      <c r="AA45" s="476">
        <f>IF(X45=0,0,Y45/X45)</f>
        <v>0</v>
      </c>
      <c r="AC45" s="117"/>
      <c r="AD45" s="106"/>
      <c r="AE45" s="619">
        <f t="shared" si="57"/>
        <v>0</v>
      </c>
      <c r="AG45" s="117"/>
      <c r="AH45" s="199"/>
      <c r="AI45" s="66"/>
      <c r="AJ45" s="476">
        <f>IF(AG45=0,0,AH45/AG45)</f>
        <v>0</v>
      </c>
      <c r="AL45" s="3386"/>
      <c r="AM45" s="106"/>
      <c r="AN45" s="619"/>
      <c r="AP45" s="117"/>
      <c r="AQ45" s="649"/>
      <c r="AR45" s="106"/>
      <c r="AS45" s="476">
        <f>IF(AP45=0,0,AQ45/AP45)</f>
        <v>0</v>
      </c>
      <c r="AU45" s="3386"/>
      <c r="AV45" s="106"/>
      <c r="AW45" s="66"/>
      <c r="AY45" s="117"/>
      <c r="AZ45" s="649"/>
      <c r="BA45" s="106"/>
      <c r="BB45" s="476">
        <f>IF(AY45=0,0,AZ45/AY45)</f>
        <v>0</v>
      </c>
      <c r="BD45" s="3386"/>
      <c r="BE45" s="106"/>
      <c r="BF45" s="66"/>
      <c r="BM45" s="26"/>
    </row>
    <row r="46" spans="1:65" ht="13" customHeight="1" x14ac:dyDescent="0.35">
      <c r="A46" s="9168"/>
      <c r="B46" s="250"/>
      <c r="C46" s="250" t="s">
        <v>4268</v>
      </c>
      <c r="D46" s="87"/>
      <c r="F46" s="130"/>
      <c r="H46" s="242"/>
      <c r="I46" s="243"/>
      <c r="J46" s="476">
        <f t="shared" si="54"/>
        <v>0</v>
      </c>
      <c r="L46" s="131"/>
      <c r="M46" s="213">
        <f t="shared" si="55"/>
        <v>0</v>
      </c>
      <c r="O46" s="164"/>
      <c r="P46" s="215"/>
      <c r="Q46" s="216"/>
      <c r="R46" s="476">
        <f>IF(O46=0,0,P46/O46)</f>
        <v>0</v>
      </c>
      <c r="T46" s="131"/>
      <c r="U46" s="216"/>
      <c r="V46" s="628">
        <f t="shared" si="56"/>
        <v>0</v>
      </c>
      <c r="X46" s="164"/>
      <c r="Y46" s="215"/>
      <c r="Z46" s="216"/>
      <c r="AA46" s="476">
        <f>IF(X46=0,0,Y46/X46)</f>
        <v>0</v>
      </c>
      <c r="AC46" s="131"/>
      <c r="AD46" s="216"/>
      <c r="AE46" s="628">
        <f t="shared" si="57"/>
        <v>0</v>
      </c>
      <c r="AG46" s="131"/>
      <c r="AH46" s="212"/>
      <c r="AI46" s="92"/>
      <c r="AJ46" s="476">
        <f>IF(AG46=0,0,AH46/AG46)</f>
        <v>0</v>
      </c>
      <c r="AL46" s="3387"/>
      <c r="AM46" s="216"/>
      <c r="AN46" s="628"/>
      <c r="AP46" s="131"/>
      <c r="AQ46" s="3029"/>
      <c r="AR46" s="216"/>
      <c r="AS46" s="484">
        <f>IF(AP46=0,0,AQ46/AP46)</f>
        <v>0</v>
      </c>
      <c r="AU46" s="3387"/>
      <c r="AV46" s="216"/>
      <c r="AW46" s="66"/>
      <c r="AY46" s="131"/>
      <c r="AZ46" s="3029"/>
      <c r="BA46" s="216"/>
      <c r="BB46" s="484">
        <f>IF(AY46=0,0,AZ46/AY46)</f>
        <v>0</v>
      </c>
      <c r="BD46" s="3387"/>
      <c r="BE46" s="216"/>
      <c r="BF46" s="66"/>
      <c r="BM46" s="24"/>
    </row>
    <row r="47" spans="1:65" ht="13" customHeight="1" x14ac:dyDescent="0.35">
      <c r="A47" s="9168"/>
      <c r="B47" s="141" t="s">
        <v>535</v>
      </c>
      <c r="C47" s="141"/>
      <c r="D47" s="60"/>
      <c r="E47" s="143"/>
      <c r="F47" s="227"/>
      <c r="G47" s="143"/>
      <c r="H47" s="102"/>
      <c r="I47" s="103"/>
      <c r="J47" s="516"/>
      <c r="K47" s="143"/>
      <c r="L47" s="245"/>
      <c r="M47" s="247"/>
      <c r="N47" s="143"/>
      <c r="O47" s="230" t="s">
        <v>4269</v>
      </c>
      <c r="P47" s="103"/>
      <c r="Q47" s="106" t="s">
        <v>4270</v>
      </c>
      <c r="R47" s="516"/>
      <c r="S47" s="143"/>
      <c r="T47" s="230" t="s">
        <v>4269</v>
      </c>
      <c r="U47" s="106" t="s">
        <v>4270</v>
      </c>
      <c r="V47" s="1342" t="s">
        <v>4207</v>
      </c>
      <c r="W47" s="143"/>
      <c r="X47" s="230" t="s">
        <v>4269</v>
      </c>
      <c r="Y47" s="103"/>
      <c r="Z47" s="106" t="s">
        <v>4270</v>
      </c>
      <c r="AA47" s="516"/>
      <c r="AB47" s="143"/>
      <c r="AC47" s="230" t="s">
        <v>4269</v>
      </c>
      <c r="AD47" s="106" t="s">
        <v>4270</v>
      </c>
      <c r="AE47" s="1342" t="s">
        <v>4207</v>
      </c>
      <c r="AF47" s="143"/>
      <c r="AG47" s="230" t="s">
        <v>4269</v>
      </c>
      <c r="AH47" s="57"/>
      <c r="AI47" s="66" t="s">
        <v>4270</v>
      </c>
      <c r="AJ47" s="516"/>
      <c r="AL47" s="3378" t="s">
        <v>4269</v>
      </c>
      <c r="AM47" s="106" t="s">
        <v>4271</v>
      </c>
      <c r="AN47" s="1342" t="s">
        <v>4207</v>
      </c>
      <c r="AO47" s="143"/>
      <c r="AP47" s="230" t="s">
        <v>4272</v>
      </c>
      <c r="AQ47" s="972" t="s">
        <v>4273</v>
      </c>
      <c r="AR47" s="481" t="s">
        <v>4274</v>
      </c>
      <c r="AS47" s="516"/>
      <c r="AU47" s="3378"/>
      <c r="AV47" s="106"/>
      <c r="AW47" s="105"/>
      <c r="AY47" s="230"/>
      <c r="AZ47" s="972" t="s">
        <v>4273</v>
      </c>
      <c r="BA47" s="481"/>
      <c r="BB47" s="516"/>
      <c r="BD47" s="3378"/>
      <c r="BE47" s="106"/>
      <c r="BF47" s="105"/>
      <c r="BM47" s="26"/>
    </row>
    <row r="48" spans="1:65" ht="13" customHeight="1" x14ac:dyDescent="0.35">
      <c r="A48" s="9168"/>
      <c r="B48" s="232"/>
      <c r="C48" s="232" t="s">
        <v>4275</v>
      </c>
      <c r="D48" s="60">
        <v>4</v>
      </c>
      <c r="F48" s="111">
        <f>438500+230000</f>
        <v>668500</v>
      </c>
      <c r="H48" s="112">
        <f>481324+81000+60000+340000</f>
        <v>962324</v>
      </c>
      <c r="I48" s="113">
        <f>594324+84200+60000+83817</f>
        <v>822341</v>
      </c>
      <c r="J48" s="476">
        <f t="shared" ref="J48:J57" si="58">IF(H48=0,0,I48/H48)</f>
        <v>0.85453651784638018</v>
      </c>
      <c r="L48" s="112">
        <f>679770+256712+69300+52805</f>
        <v>1058587</v>
      </c>
      <c r="M48" s="157">
        <f t="shared" ref="M48:M57" si="59">L48*J48</f>
        <v>904601.24881744606</v>
      </c>
      <c r="O48" s="117">
        <f>L48</f>
        <v>1058587</v>
      </c>
      <c r="P48" s="233">
        <f>755509+550000+178000+73000</f>
        <v>1556509</v>
      </c>
      <c r="Q48" s="57" t="s">
        <v>4276</v>
      </c>
      <c r="R48" s="476">
        <f>IF(O48=0,0,P48/O48)</f>
        <v>1.4703647409235141</v>
      </c>
      <c r="T48" s="112">
        <f>632865+456190+238999+64518</f>
        <v>1392572</v>
      </c>
      <c r="U48" s="57" t="s">
        <v>4276</v>
      </c>
      <c r="V48" s="3173">
        <f>T48</f>
        <v>1392572</v>
      </c>
      <c r="X48" s="117">
        <f>632865+456190+238999+64518</f>
        <v>1392572</v>
      </c>
      <c r="Y48" s="263">
        <f>X48</f>
        <v>1392572</v>
      </c>
      <c r="Z48" s="57" t="s">
        <v>4276</v>
      </c>
      <c r="AA48" s="476">
        <f>IF(X48=0,0,Y48/X48)</f>
        <v>1</v>
      </c>
      <c r="AC48" s="112">
        <f>809700+640000+410000+69300</f>
        <v>1929000</v>
      </c>
      <c r="AD48" s="57" t="s">
        <v>4276</v>
      </c>
      <c r="AE48" s="3173">
        <f>AC48</f>
        <v>1929000</v>
      </c>
      <c r="AG48" s="112">
        <f>809700+640000+410000+69300</f>
        <v>1929000</v>
      </c>
      <c r="AH48" s="199">
        <f>AG48</f>
        <v>1929000</v>
      </c>
      <c r="AI48" s="237" t="s">
        <v>4276</v>
      </c>
      <c r="AJ48" s="476">
        <f>IF(AG48=0,0,AH48/AG48)</f>
        <v>1</v>
      </c>
      <c r="AL48" s="3381">
        <f>(12776+5604+5+5870)*100</f>
        <v>2425500</v>
      </c>
      <c r="AM48" s="57"/>
      <c r="AN48" s="3173">
        <f>AL48</f>
        <v>2425500</v>
      </c>
      <c r="AP48" s="112">
        <f>AL48</f>
        <v>2425500</v>
      </c>
      <c r="AQ48" s="7295">
        <f>AP48</f>
        <v>2425500</v>
      </c>
      <c r="AR48" s="3969"/>
      <c r="AS48" s="476">
        <f>IF(AP48=0,0,AQ48/AP48)</f>
        <v>1</v>
      </c>
      <c r="AU48" s="3381">
        <f>(12776+5604+5+6785)*100</f>
        <v>2517000</v>
      </c>
      <c r="AV48" s="57"/>
      <c r="AW48" s="3356">
        <f t="shared" ref="AW48:AW68" si="60">AU48*AS48</f>
        <v>2517000</v>
      </c>
      <c r="AY48" s="112">
        <f>(1910000+451000+50000+587000)</f>
        <v>2998000</v>
      </c>
      <c r="AZ48" s="7295">
        <f>AY48</f>
        <v>2998000</v>
      </c>
      <c r="BA48" s="3969"/>
      <c r="BB48" s="476">
        <f>IF(AY48=0,0,AZ48/AY48)</f>
        <v>1</v>
      </c>
      <c r="BD48" s="3381">
        <f>1562000+294000+177000+523000+307000</f>
        <v>2863000</v>
      </c>
      <c r="BE48" s="57"/>
      <c r="BF48" s="8052">
        <f>BD48</f>
        <v>2863000</v>
      </c>
      <c r="BM48" s="257" t="s">
        <v>4277</v>
      </c>
    </row>
    <row r="49" spans="1:65" ht="13" customHeight="1" x14ac:dyDescent="0.35">
      <c r="A49" s="9168"/>
      <c r="B49" s="232"/>
      <c r="C49" s="249" t="s">
        <v>1116</v>
      </c>
      <c r="D49" s="60"/>
      <c r="F49" s="111"/>
      <c r="H49" s="112"/>
      <c r="I49" s="113"/>
      <c r="J49" s="476"/>
      <c r="L49" s="112"/>
      <c r="M49" s="157"/>
      <c r="O49" s="117">
        <f t="shared" ref="O49:O55" si="61">L49</f>
        <v>0</v>
      </c>
      <c r="P49" s="201"/>
      <c r="Q49" s="57"/>
      <c r="R49" s="476">
        <f t="shared" ref="R49:R56" si="62">IF(O49=0,0,P49/O49)</f>
        <v>0</v>
      </c>
      <c r="T49" s="112"/>
      <c r="U49" s="57"/>
      <c r="V49" s="157">
        <f t="shared" ref="V49:V56" si="63">T49*R49</f>
        <v>0</v>
      </c>
      <c r="X49" s="117">
        <f t="shared" ref="X49:X55" si="64">T49</f>
        <v>0</v>
      </c>
      <c r="Y49" s="3388" t="s">
        <v>4278</v>
      </c>
      <c r="Z49" s="57" t="s">
        <v>4279</v>
      </c>
      <c r="AA49" s="476">
        <f t="shared" ref="AA49:AA56" si="65">IF(X49=0,0,Y49/X49)</f>
        <v>0</v>
      </c>
      <c r="AC49" s="112">
        <v>0</v>
      </c>
      <c r="AD49" s="57"/>
      <c r="AE49" s="157">
        <f t="shared" ref="AE49:AE54" si="66">AC49*AA49</f>
        <v>0</v>
      </c>
      <c r="AG49" s="112">
        <v>0</v>
      </c>
      <c r="AH49" s="199">
        <f t="shared" ref="AH49:AH55" si="67">AG49</f>
        <v>0</v>
      </c>
      <c r="AI49" s="237"/>
      <c r="AJ49" s="476">
        <f t="shared" ref="AJ49:AJ56" si="68">IF(AG49=0,0,AH49/AG49)</f>
        <v>0</v>
      </c>
      <c r="AL49" s="3381">
        <v>0</v>
      </c>
      <c r="AM49" s="57"/>
      <c r="AN49" s="3173">
        <f t="shared" ref="AN49:AN55" si="69">AL49</f>
        <v>0</v>
      </c>
      <c r="AP49" s="112">
        <f t="shared" ref="AP49:AP55" si="70">AL49</f>
        <v>0</v>
      </c>
      <c r="AQ49" s="7295">
        <f>AP49</f>
        <v>0</v>
      </c>
      <c r="AR49" s="57"/>
      <c r="AS49" s="476">
        <f t="shared" ref="AS49:AS56" si="71">IF(AP49=0,0,AQ49/AP49)</f>
        <v>0</v>
      </c>
      <c r="AU49" s="3381"/>
      <c r="AV49" s="57"/>
      <c r="AW49" s="3356">
        <f t="shared" si="60"/>
        <v>0</v>
      </c>
      <c r="AY49" s="112"/>
      <c r="AZ49" s="7295">
        <f t="shared" ref="AZ49:AZ55" si="72">AY49</f>
        <v>0</v>
      </c>
      <c r="BA49" s="3969"/>
      <c r="BB49" s="476">
        <f t="shared" ref="BB49:BB56" si="73">IF(AY49=0,0,AZ49/AY49)</f>
        <v>0</v>
      </c>
      <c r="BD49" s="3381"/>
      <c r="BE49" s="57"/>
      <c r="BF49" s="8052">
        <f t="shared" ref="BF49:BF55" si="74">BD49</f>
        <v>0</v>
      </c>
      <c r="BM49" s="257"/>
    </row>
    <row r="50" spans="1:65" ht="13" customHeight="1" x14ac:dyDescent="0.35">
      <c r="A50" s="9168"/>
      <c r="B50" s="240"/>
      <c r="C50" s="240" t="s">
        <v>4280</v>
      </c>
      <c r="D50" s="60">
        <v>5</v>
      </c>
      <c r="F50" s="155">
        <v>53400</v>
      </c>
      <c r="H50" s="117">
        <f>61900</f>
        <v>61900</v>
      </c>
      <c r="I50" s="115">
        <v>61900</v>
      </c>
      <c r="J50" s="476">
        <f t="shared" si="58"/>
        <v>1</v>
      </c>
      <c r="L50" s="117">
        <v>18500</v>
      </c>
      <c r="M50" s="157">
        <f t="shared" si="59"/>
        <v>18500</v>
      </c>
      <c r="O50" s="117">
        <f t="shared" si="61"/>
        <v>18500</v>
      </c>
      <c r="P50" s="233">
        <v>18340</v>
      </c>
      <c r="Q50" s="57" t="s">
        <v>4281</v>
      </c>
      <c r="R50" s="476">
        <f t="shared" si="62"/>
        <v>0.99135135135135133</v>
      </c>
      <c r="T50" s="112">
        <v>15592</v>
      </c>
      <c r="U50" s="57" t="s">
        <v>4281</v>
      </c>
      <c r="V50" s="157">
        <f t="shared" si="63"/>
        <v>15457.150270270269</v>
      </c>
      <c r="X50" s="117">
        <f t="shared" si="64"/>
        <v>15592</v>
      </c>
      <c r="Y50" s="263">
        <f t="shared" ref="Y50:Y54" si="75">X50</f>
        <v>15592</v>
      </c>
      <c r="Z50" s="57" t="s">
        <v>4281</v>
      </c>
      <c r="AA50" s="476">
        <f t="shared" si="65"/>
        <v>1</v>
      </c>
      <c r="AC50" s="112">
        <v>25498</v>
      </c>
      <c r="AD50" s="57" t="s">
        <v>4281</v>
      </c>
      <c r="AE50" s="157">
        <f t="shared" si="66"/>
        <v>25498</v>
      </c>
      <c r="AG50" s="112">
        <v>25498</v>
      </c>
      <c r="AH50" s="199">
        <f t="shared" si="67"/>
        <v>25498</v>
      </c>
      <c r="AI50" s="237" t="s">
        <v>4281</v>
      </c>
      <c r="AJ50" s="476">
        <f t="shared" si="68"/>
        <v>1</v>
      </c>
      <c r="AL50" s="3381">
        <f>237*100</f>
        <v>23700</v>
      </c>
      <c r="AM50" s="57" t="s">
        <v>4282</v>
      </c>
      <c r="AN50" s="3173">
        <f t="shared" si="69"/>
        <v>23700</v>
      </c>
      <c r="AP50" s="112">
        <f t="shared" si="70"/>
        <v>23700</v>
      </c>
      <c r="AQ50" s="649">
        <f>227*100</f>
        <v>22700</v>
      </c>
      <c r="AR50" s="57" t="s">
        <v>4283</v>
      </c>
      <c r="AS50" s="476">
        <f t="shared" si="71"/>
        <v>0.95780590717299574</v>
      </c>
      <c r="AU50" s="3381">
        <v>403200</v>
      </c>
      <c r="AV50" s="57" t="s">
        <v>4282</v>
      </c>
      <c r="AW50" s="3356">
        <f t="shared" si="60"/>
        <v>386187.34177215188</v>
      </c>
      <c r="AY50" s="112">
        <v>24000</v>
      </c>
      <c r="AZ50" s="7295">
        <f t="shared" si="72"/>
        <v>24000</v>
      </c>
      <c r="BA50" s="3969"/>
      <c r="BB50" s="476">
        <f t="shared" si="73"/>
        <v>1</v>
      </c>
      <c r="BD50" s="3381">
        <v>17000</v>
      </c>
      <c r="BE50" s="57"/>
      <c r="BF50" s="8052">
        <f t="shared" si="74"/>
        <v>17000</v>
      </c>
      <c r="BM50" s="26" t="s">
        <v>4284</v>
      </c>
    </row>
    <row r="51" spans="1:65" x14ac:dyDescent="0.35">
      <c r="A51" s="9168"/>
      <c r="B51" s="240"/>
      <c r="C51" s="249" t="s">
        <v>1116</v>
      </c>
      <c r="D51" s="60"/>
      <c r="F51" s="155"/>
      <c r="H51" s="117"/>
      <c r="I51" s="115"/>
      <c r="J51" s="476"/>
      <c r="L51" s="117"/>
      <c r="M51" s="157"/>
      <c r="O51" s="117">
        <f t="shared" si="61"/>
        <v>0</v>
      </c>
      <c r="P51" s="201"/>
      <c r="Q51" s="57"/>
      <c r="R51" s="476">
        <f t="shared" si="62"/>
        <v>0</v>
      </c>
      <c r="T51" s="112"/>
      <c r="U51" s="57"/>
      <c r="V51" s="157">
        <f t="shared" si="63"/>
        <v>0</v>
      </c>
      <c r="X51" s="117">
        <f t="shared" si="64"/>
        <v>0</v>
      </c>
      <c r="Y51" s="3388">
        <f t="shared" si="75"/>
        <v>0</v>
      </c>
      <c r="Z51" s="57"/>
      <c r="AA51" s="476">
        <f t="shared" si="65"/>
        <v>0</v>
      </c>
      <c r="AC51" s="112">
        <v>0</v>
      </c>
      <c r="AD51" s="57"/>
      <c r="AE51" s="157">
        <f t="shared" si="66"/>
        <v>0</v>
      </c>
      <c r="AG51" s="112">
        <v>0</v>
      </c>
      <c r="AH51" s="199">
        <f t="shared" si="67"/>
        <v>0</v>
      </c>
      <c r="AI51" s="237"/>
      <c r="AJ51" s="476">
        <f t="shared" si="68"/>
        <v>0</v>
      </c>
      <c r="AL51" s="3381">
        <v>0</v>
      </c>
      <c r="AM51" s="57"/>
      <c r="AN51" s="3173">
        <f t="shared" si="69"/>
        <v>0</v>
      </c>
      <c r="AP51" s="112">
        <f t="shared" si="70"/>
        <v>0</v>
      </c>
      <c r="AQ51" s="649">
        <v>0</v>
      </c>
      <c r="AR51" s="57"/>
      <c r="AS51" s="476">
        <f t="shared" si="71"/>
        <v>0</v>
      </c>
      <c r="AU51" s="3381"/>
      <c r="AV51" s="57"/>
      <c r="AW51" s="3356">
        <f t="shared" si="60"/>
        <v>0</v>
      </c>
      <c r="AY51" s="112"/>
      <c r="AZ51" s="7295">
        <f t="shared" si="72"/>
        <v>0</v>
      </c>
      <c r="BA51" s="3969"/>
      <c r="BB51" s="476">
        <f t="shared" si="73"/>
        <v>0</v>
      </c>
      <c r="BD51" s="3381"/>
      <c r="BE51" s="57"/>
      <c r="BF51" s="8052">
        <f t="shared" si="74"/>
        <v>0</v>
      </c>
      <c r="BM51" s="26"/>
    </row>
    <row r="52" spans="1:65" x14ac:dyDescent="0.35">
      <c r="A52" s="9168"/>
      <c r="B52" s="240"/>
      <c r="C52" s="240" t="s">
        <v>4285</v>
      </c>
      <c r="D52" s="60">
        <v>6</v>
      </c>
      <c r="F52" s="155">
        <v>40120</v>
      </c>
      <c r="H52" s="117">
        <v>42647</v>
      </c>
      <c r="I52" s="115">
        <v>42647</v>
      </c>
      <c r="J52" s="476">
        <f t="shared" si="58"/>
        <v>1</v>
      </c>
      <c r="L52" s="117">
        <v>51141</v>
      </c>
      <c r="M52" s="157">
        <f t="shared" si="59"/>
        <v>51141</v>
      </c>
      <c r="O52" s="242">
        <f t="shared" si="61"/>
        <v>51141</v>
      </c>
      <c r="P52" s="244">
        <v>48768</v>
      </c>
      <c r="Q52" s="57" t="s">
        <v>4286</v>
      </c>
      <c r="R52" s="476">
        <f t="shared" si="62"/>
        <v>0.95359887370211771</v>
      </c>
      <c r="T52" s="112">
        <v>50458</v>
      </c>
      <c r="U52" s="57" t="s">
        <v>4286</v>
      </c>
      <c r="V52" s="157">
        <f t="shared" si="63"/>
        <v>48116.691969261454</v>
      </c>
      <c r="X52" s="242">
        <f t="shared" si="64"/>
        <v>50458</v>
      </c>
      <c r="Y52" s="263">
        <f t="shared" si="75"/>
        <v>50458</v>
      </c>
      <c r="Z52" s="57" t="s">
        <v>4286</v>
      </c>
      <c r="AA52" s="476">
        <f t="shared" si="65"/>
        <v>1</v>
      </c>
      <c r="AC52" s="112">
        <v>51944</v>
      </c>
      <c r="AD52" s="57" t="s">
        <v>4286</v>
      </c>
      <c r="AE52" s="157">
        <f t="shared" si="66"/>
        <v>51944</v>
      </c>
      <c r="AG52" s="112">
        <v>51944</v>
      </c>
      <c r="AH52" s="199">
        <f t="shared" si="67"/>
        <v>51944</v>
      </c>
      <c r="AI52" s="237" t="s">
        <v>4286</v>
      </c>
      <c r="AJ52" s="476">
        <f t="shared" si="68"/>
        <v>1</v>
      </c>
      <c r="AL52" s="3381">
        <f>751*100</f>
        <v>75100</v>
      </c>
      <c r="AM52" s="57" t="s">
        <v>4287</v>
      </c>
      <c r="AN52" s="3173">
        <f t="shared" si="69"/>
        <v>75100</v>
      </c>
      <c r="AP52" s="112">
        <f t="shared" si="70"/>
        <v>75100</v>
      </c>
      <c r="AQ52" s="7295">
        <f t="shared" ref="AQ52:AQ55" si="76">AP52</f>
        <v>75100</v>
      </c>
      <c r="AR52" s="3969"/>
      <c r="AS52" s="476">
        <f t="shared" si="71"/>
        <v>1</v>
      </c>
      <c r="AU52" s="3381">
        <f>AP52</f>
        <v>75100</v>
      </c>
      <c r="AV52" s="57" t="s">
        <v>4287</v>
      </c>
      <c r="AW52" s="3356">
        <f t="shared" si="60"/>
        <v>75100</v>
      </c>
      <c r="AY52" s="112">
        <v>89000</v>
      </c>
      <c r="AZ52" s="7295">
        <f t="shared" si="72"/>
        <v>89000</v>
      </c>
      <c r="BA52" s="3969"/>
      <c r="BB52" s="476">
        <f t="shared" si="73"/>
        <v>1</v>
      </c>
      <c r="BD52" s="3381">
        <v>75000</v>
      </c>
      <c r="BE52" s="57"/>
      <c r="BF52" s="8052">
        <f t="shared" si="74"/>
        <v>75000</v>
      </c>
      <c r="BM52" s="26" t="s">
        <v>4288</v>
      </c>
    </row>
    <row r="53" spans="1:65" x14ac:dyDescent="0.35">
      <c r="A53" s="9168"/>
      <c r="B53" s="240"/>
      <c r="C53" s="249" t="s">
        <v>1116</v>
      </c>
      <c r="D53" s="60"/>
      <c r="F53" s="155"/>
      <c r="H53" s="117"/>
      <c r="I53" s="115"/>
      <c r="J53" s="476"/>
      <c r="L53" s="117"/>
      <c r="M53" s="157"/>
      <c r="O53" s="242">
        <f t="shared" si="61"/>
        <v>0</v>
      </c>
      <c r="P53" s="244"/>
      <c r="Q53" s="57" t="s">
        <v>4289</v>
      </c>
      <c r="R53" s="476">
        <f t="shared" si="62"/>
        <v>0</v>
      </c>
      <c r="T53" s="112"/>
      <c r="U53" s="57" t="s">
        <v>4289</v>
      </c>
      <c r="V53" s="157">
        <f t="shared" si="63"/>
        <v>0</v>
      </c>
      <c r="X53" s="242">
        <f t="shared" si="64"/>
        <v>0</v>
      </c>
      <c r="Y53" s="3388">
        <f t="shared" si="75"/>
        <v>0</v>
      </c>
      <c r="Z53" s="57" t="s">
        <v>4286</v>
      </c>
      <c r="AA53" s="476">
        <f t="shared" si="65"/>
        <v>0</v>
      </c>
      <c r="AC53" s="112">
        <v>0</v>
      </c>
      <c r="AD53" s="57" t="s">
        <v>4289</v>
      </c>
      <c r="AE53" s="157">
        <f t="shared" si="66"/>
        <v>0</v>
      </c>
      <c r="AG53" s="112">
        <v>0</v>
      </c>
      <c r="AH53" s="199">
        <f t="shared" si="67"/>
        <v>0</v>
      </c>
      <c r="AI53" s="237" t="s">
        <v>4289</v>
      </c>
      <c r="AJ53" s="476">
        <f t="shared" si="68"/>
        <v>0</v>
      </c>
      <c r="AL53" s="3381">
        <f>111*100</f>
        <v>11100</v>
      </c>
      <c r="AM53" s="57" t="s">
        <v>4287</v>
      </c>
      <c r="AN53" s="3173">
        <f t="shared" si="69"/>
        <v>11100</v>
      </c>
      <c r="AP53" s="112">
        <f t="shared" si="70"/>
        <v>11100</v>
      </c>
      <c r="AQ53" s="7295">
        <f t="shared" si="76"/>
        <v>11100</v>
      </c>
      <c r="AR53" s="3969"/>
      <c r="AS53" s="476">
        <f t="shared" si="71"/>
        <v>1</v>
      </c>
      <c r="AU53" s="3381">
        <f t="shared" ref="AU53:AU55" si="77">AP53</f>
        <v>11100</v>
      </c>
      <c r="AV53" s="57" t="s">
        <v>4287</v>
      </c>
      <c r="AW53" s="3356">
        <f t="shared" si="60"/>
        <v>11100</v>
      </c>
      <c r="AY53" s="112"/>
      <c r="AZ53" s="7295">
        <f t="shared" si="72"/>
        <v>0</v>
      </c>
      <c r="BA53" s="3969"/>
      <c r="BB53" s="476">
        <f t="shared" si="73"/>
        <v>0</v>
      </c>
      <c r="BD53" s="3381">
        <f t="shared" ref="BD53:BD55" si="78">AY53</f>
        <v>0</v>
      </c>
      <c r="BE53" s="57"/>
      <c r="BF53" s="8052">
        <f t="shared" si="74"/>
        <v>0</v>
      </c>
      <c r="BM53" s="26"/>
    </row>
    <row r="54" spans="1:65" x14ac:dyDescent="0.35">
      <c r="A54" s="9168"/>
      <c r="B54" s="240"/>
      <c r="C54" s="240" t="s">
        <v>4290</v>
      </c>
      <c r="D54" s="60">
        <v>7</v>
      </c>
      <c r="F54" s="155">
        <v>122061</v>
      </c>
      <c r="H54" s="117">
        <v>201022</v>
      </c>
      <c r="I54" s="115">
        <v>203430</v>
      </c>
      <c r="J54" s="476">
        <f t="shared" si="58"/>
        <v>1.0119787883913203</v>
      </c>
      <c r="L54" s="117">
        <v>262357</v>
      </c>
      <c r="M54" s="157">
        <f t="shared" si="59"/>
        <v>265499.7189859816</v>
      </c>
      <c r="O54" s="242">
        <f t="shared" si="61"/>
        <v>262357</v>
      </c>
      <c r="P54" s="244">
        <v>247463</v>
      </c>
      <c r="Q54" s="57" t="s">
        <v>4291</v>
      </c>
      <c r="R54" s="476">
        <f t="shared" si="62"/>
        <v>0.94323002626192554</v>
      </c>
      <c r="T54" s="112">
        <v>308070</v>
      </c>
      <c r="U54" s="57" t="s">
        <v>4291</v>
      </c>
      <c r="V54" s="157">
        <f t="shared" si="63"/>
        <v>290580.87419051141</v>
      </c>
      <c r="X54" s="242">
        <f t="shared" si="64"/>
        <v>308070</v>
      </c>
      <c r="Y54" s="263">
        <f t="shared" si="75"/>
        <v>308070</v>
      </c>
      <c r="Z54" s="57" t="s">
        <v>4291</v>
      </c>
      <c r="AA54" s="476">
        <f t="shared" si="65"/>
        <v>1</v>
      </c>
      <c r="AC54" s="112">
        <v>454532</v>
      </c>
      <c r="AD54" s="57" t="s">
        <v>4291</v>
      </c>
      <c r="AE54" s="157">
        <f t="shared" si="66"/>
        <v>454532</v>
      </c>
      <c r="AG54" s="112">
        <v>454532</v>
      </c>
      <c r="AH54" s="199">
        <f t="shared" si="67"/>
        <v>454532</v>
      </c>
      <c r="AI54" s="237" t="s">
        <v>4291</v>
      </c>
      <c r="AJ54" s="476">
        <f t="shared" si="68"/>
        <v>1</v>
      </c>
      <c r="AL54" s="3381">
        <f>36682*100</f>
        <v>3668200</v>
      </c>
      <c r="AM54" s="57" t="s">
        <v>4292</v>
      </c>
      <c r="AN54" s="3173">
        <f t="shared" si="69"/>
        <v>3668200</v>
      </c>
      <c r="AP54" s="112">
        <f t="shared" si="70"/>
        <v>3668200</v>
      </c>
      <c r="AQ54" s="7295">
        <f t="shared" si="76"/>
        <v>3668200</v>
      </c>
      <c r="AR54" s="3969"/>
      <c r="AS54" s="476">
        <f t="shared" si="71"/>
        <v>1</v>
      </c>
      <c r="AU54" s="3381">
        <f t="shared" si="77"/>
        <v>3668200</v>
      </c>
      <c r="AV54" s="57" t="s">
        <v>4292</v>
      </c>
      <c r="AW54" s="3356">
        <f t="shared" si="60"/>
        <v>3668200</v>
      </c>
      <c r="AY54" s="112">
        <f t="shared" ref="AY54" si="79">AT54</f>
        <v>0</v>
      </c>
      <c r="AZ54" s="7295">
        <f t="shared" si="72"/>
        <v>0</v>
      </c>
      <c r="BA54" s="3969"/>
      <c r="BB54" s="476">
        <f t="shared" si="73"/>
        <v>0</v>
      </c>
      <c r="BD54" s="3381">
        <f>140000</f>
        <v>140000</v>
      </c>
      <c r="BE54" s="57"/>
      <c r="BF54" s="8052">
        <f t="shared" si="74"/>
        <v>140000</v>
      </c>
      <c r="BM54" s="26" t="s">
        <v>4293</v>
      </c>
    </row>
    <row r="55" spans="1:65" x14ac:dyDescent="0.35">
      <c r="A55" s="9168"/>
      <c r="B55" s="240"/>
      <c r="C55" s="249" t="s">
        <v>1116</v>
      </c>
      <c r="D55" s="60"/>
      <c r="F55" s="155"/>
      <c r="H55" s="117"/>
      <c r="I55" s="115"/>
      <c r="J55" s="476">
        <f t="shared" si="58"/>
        <v>0</v>
      </c>
      <c r="L55" s="117"/>
      <c r="M55" s="157">
        <f t="shared" si="59"/>
        <v>0</v>
      </c>
      <c r="O55" s="242">
        <f t="shared" si="61"/>
        <v>0</v>
      </c>
      <c r="P55" s="244">
        <v>200580</v>
      </c>
      <c r="Q55" s="57" t="s">
        <v>2562</v>
      </c>
      <c r="R55" s="476">
        <f t="shared" si="62"/>
        <v>0</v>
      </c>
      <c r="T55" s="112">
        <v>2038587</v>
      </c>
      <c r="U55" s="57" t="s">
        <v>2562</v>
      </c>
      <c r="V55" s="3173">
        <f>T55</f>
        <v>2038587</v>
      </c>
      <c r="X55" s="242">
        <f t="shared" si="64"/>
        <v>2038587</v>
      </c>
      <c r="Y55" s="263">
        <v>18495</v>
      </c>
      <c r="Z55" s="57" t="s">
        <v>4294</v>
      </c>
      <c r="AA55" s="476">
        <f t="shared" si="65"/>
        <v>9.0724604836585343E-3</v>
      </c>
      <c r="AC55" s="112">
        <v>2287483</v>
      </c>
      <c r="AD55" s="57" t="s">
        <v>2562</v>
      </c>
      <c r="AE55" s="3173">
        <f>AC55</f>
        <v>2287483</v>
      </c>
      <c r="AG55" s="112">
        <v>2287483</v>
      </c>
      <c r="AH55" s="199">
        <f t="shared" si="67"/>
        <v>2287483</v>
      </c>
      <c r="AI55" s="237" t="s">
        <v>2562</v>
      </c>
      <c r="AJ55" s="476">
        <f t="shared" si="68"/>
        <v>1</v>
      </c>
      <c r="AL55" s="3381">
        <f>31163*100</f>
        <v>3116300</v>
      </c>
      <c r="AM55" s="57" t="s">
        <v>2661</v>
      </c>
      <c r="AN55" s="3173">
        <f t="shared" si="69"/>
        <v>3116300</v>
      </c>
      <c r="AP55" s="112">
        <f t="shared" si="70"/>
        <v>3116300</v>
      </c>
      <c r="AQ55" s="7295">
        <f t="shared" si="76"/>
        <v>3116300</v>
      </c>
      <c r="AR55" s="3969"/>
      <c r="AS55" s="476">
        <f t="shared" si="71"/>
        <v>1</v>
      </c>
      <c r="AU55" s="3381">
        <f t="shared" si="77"/>
        <v>3116300</v>
      </c>
      <c r="AV55" s="57" t="s">
        <v>2661</v>
      </c>
      <c r="AW55" s="3356">
        <f t="shared" si="60"/>
        <v>3116300</v>
      </c>
      <c r="AY55" s="112"/>
      <c r="AZ55" s="7295">
        <f t="shared" si="72"/>
        <v>0</v>
      </c>
      <c r="BA55" s="3969"/>
      <c r="BB55" s="476">
        <f t="shared" si="73"/>
        <v>0</v>
      </c>
      <c r="BD55" s="3381">
        <f t="shared" si="78"/>
        <v>0</v>
      </c>
      <c r="BE55" s="57"/>
      <c r="BF55" s="8052">
        <f t="shared" si="74"/>
        <v>0</v>
      </c>
      <c r="BM55" s="26"/>
    </row>
    <row r="56" spans="1:65" x14ac:dyDescent="0.35">
      <c r="A56" s="9168"/>
      <c r="B56" s="240"/>
      <c r="C56" s="240" t="s">
        <v>4295</v>
      </c>
      <c r="D56" s="60"/>
      <c r="F56" s="155"/>
      <c r="H56" s="117"/>
      <c r="I56" s="115"/>
      <c r="J56" s="476">
        <f t="shared" si="58"/>
        <v>0</v>
      </c>
      <c r="L56" s="117"/>
      <c r="M56" s="157">
        <f t="shared" si="59"/>
        <v>0</v>
      </c>
      <c r="O56" s="242"/>
      <c r="P56" s="244"/>
      <c r="Q56" s="57"/>
      <c r="R56" s="476">
        <f t="shared" si="62"/>
        <v>0</v>
      </c>
      <c r="T56" s="262"/>
      <c r="U56" s="106"/>
      <c r="V56" s="157">
        <f t="shared" si="63"/>
        <v>0</v>
      </c>
      <c r="X56" s="242"/>
      <c r="Y56" s="244"/>
      <c r="Z56" s="57"/>
      <c r="AA56" s="476">
        <f t="shared" si="65"/>
        <v>0</v>
      </c>
      <c r="AC56" s="262"/>
      <c r="AD56" s="106"/>
      <c r="AE56" s="157">
        <f t="shared" ref="AE56" si="80">AC56*AA56</f>
        <v>0</v>
      </c>
      <c r="AG56" s="262"/>
      <c r="AH56" s="3389"/>
      <c r="AI56" s="66"/>
      <c r="AJ56" s="476">
        <f t="shared" si="68"/>
        <v>0</v>
      </c>
      <c r="AL56" s="3390"/>
      <c r="AM56" s="106"/>
      <c r="AN56" s="157"/>
      <c r="AP56" s="262"/>
      <c r="AQ56" s="789"/>
      <c r="AR56" s="106"/>
      <c r="AS56" s="476">
        <f t="shared" si="71"/>
        <v>0</v>
      </c>
      <c r="AU56" s="3390"/>
      <c r="AV56" s="106"/>
      <c r="AW56" s="3356"/>
      <c r="AY56" s="262"/>
      <c r="AZ56" s="789"/>
      <c r="BA56" s="3969"/>
      <c r="BB56" s="476">
        <f t="shared" si="73"/>
        <v>0</v>
      </c>
      <c r="BD56" s="3390"/>
      <c r="BE56" s="57"/>
      <c r="BF56" s="3356"/>
      <c r="BM56" s="26"/>
    </row>
    <row r="57" spans="1:65" x14ac:dyDescent="0.35">
      <c r="A57" s="9168"/>
      <c r="B57" s="241"/>
      <c r="C57" s="241" t="s">
        <v>4296</v>
      </c>
      <c r="D57" s="87"/>
      <c r="F57" s="130"/>
      <c r="H57" s="131"/>
      <c r="I57" s="132"/>
      <c r="J57" s="484">
        <f t="shared" si="58"/>
        <v>0</v>
      </c>
      <c r="L57" s="242"/>
      <c r="M57" s="157">
        <f t="shared" si="59"/>
        <v>0</v>
      </c>
      <c r="O57" s="131"/>
      <c r="P57" s="132"/>
      <c r="Q57" s="216"/>
      <c r="R57" s="484">
        <f>IF(O57=0,0,P57/O57)</f>
        <v>0</v>
      </c>
      <c r="T57" s="242"/>
      <c r="U57" s="216"/>
      <c r="V57" s="157">
        <f>T57*R57</f>
        <v>0</v>
      </c>
      <c r="X57" s="131"/>
      <c r="Y57" s="132"/>
      <c r="Z57" s="216"/>
      <c r="AA57" s="484">
        <f>IF(X57=0,0,Y57/X57)</f>
        <v>0</v>
      </c>
      <c r="AC57" s="242"/>
      <c r="AD57" s="216"/>
      <c r="AE57" s="157">
        <f>AC57*AA57</f>
        <v>0</v>
      </c>
      <c r="AG57" s="242"/>
      <c r="AH57" s="3391"/>
      <c r="AI57" s="92"/>
      <c r="AJ57" s="484">
        <f>IF(AG57=0,0,AH57/AG57)</f>
        <v>0</v>
      </c>
      <c r="AL57" s="3383"/>
      <c r="AM57" s="216"/>
      <c r="AN57" s="157"/>
      <c r="AP57" s="131"/>
      <c r="AQ57" s="1000"/>
      <c r="AR57" s="216"/>
      <c r="AS57" s="484">
        <f>IF(AP57=0,0,AQ57/AP57)</f>
        <v>0</v>
      </c>
      <c r="AU57" s="3383"/>
      <c r="AV57" s="216"/>
      <c r="AW57" s="5360"/>
      <c r="AY57" s="131"/>
      <c r="AZ57" s="1000"/>
      <c r="BA57" s="216"/>
      <c r="BB57" s="484">
        <f>IF(AY57=0,0,AZ57/AY57)</f>
        <v>0</v>
      </c>
      <c r="BD57" s="3383"/>
      <c r="BE57" s="216"/>
      <c r="BF57" s="5360"/>
      <c r="BM57" s="26"/>
    </row>
    <row r="58" spans="1:65" x14ac:dyDescent="0.35">
      <c r="A58" s="9168"/>
      <c r="B58" s="271" t="s">
        <v>540</v>
      </c>
      <c r="C58" s="271"/>
      <c r="D58" s="140"/>
      <c r="E58" s="141"/>
      <c r="F58" s="227"/>
      <c r="G58" s="141"/>
      <c r="H58" s="245"/>
      <c r="I58" s="106"/>
      <c r="J58" s="518"/>
      <c r="K58" s="141"/>
      <c r="L58" s="102"/>
      <c r="M58" s="268"/>
      <c r="N58" s="141"/>
      <c r="O58" s="245"/>
      <c r="P58" s="106"/>
      <c r="Q58" s="106"/>
      <c r="R58" s="518"/>
      <c r="S58" s="141"/>
      <c r="T58" s="102"/>
      <c r="U58" s="106"/>
      <c r="V58" s="268"/>
      <c r="W58" s="141"/>
      <c r="X58" s="245"/>
      <c r="Y58" s="106"/>
      <c r="Z58" s="106"/>
      <c r="AA58" s="518"/>
      <c r="AB58" s="141"/>
      <c r="AC58" s="102"/>
      <c r="AD58" s="106"/>
      <c r="AE58" s="268"/>
      <c r="AF58" s="141"/>
      <c r="AG58" s="102"/>
      <c r="AH58" s="106"/>
      <c r="AI58" s="66"/>
      <c r="AJ58" s="518"/>
      <c r="AL58" s="3392"/>
      <c r="AM58" s="106"/>
      <c r="AN58" s="268"/>
      <c r="AO58" s="141"/>
      <c r="AP58" s="245"/>
      <c r="AQ58" s="106" t="s">
        <v>4297</v>
      </c>
      <c r="AR58" s="103"/>
      <c r="AS58" s="518"/>
      <c r="AU58" s="3392"/>
      <c r="AV58" s="106"/>
      <c r="AW58" s="66"/>
      <c r="AY58" s="245"/>
      <c r="AZ58" s="106" t="s">
        <v>4297</v>
      </c>
      <c r="BA58" s="103"/>
      <c r="BB58" s="518"/>
      <c r="BD58" s="3392"/>
      <c r="BE58" s="106"/>
      <c r="BF58" s="66"/>
      <c r="BM58" s="18"/>
    </row>
    <row r="59" spans="1:65" x14ac:dyDescent="0.35">
      <c r="A59" s="9168"/>
      <c r="B59" s="232"/>
      <c r="C59" s="232" t="s">
        <v>551</v>
      </c>
      <c r="D59" s="60">
        <v>8</v>
      </c>
      <c r="F59" s="111">
        <f>39882+21252+28961+375904+14114+14988+6454+6559+5740+54225+6151+29946+16414+2846+255535</f>
        <v>878971</v>
      </c>
      <c r="H59" s="112">
        <f>48724+26594+35686+449758+17233+17378+7734+7987+8888+59892+6900+32178+9180+4898+307719</f>
        <v>1040749</v>
      </c>
      <c r="I59" s="113">
        <f>48989+26446+35666+450527+17233+17378+7734+7019+8888+60010+6547+69587+33239+9974+4898+297222</f>
        <v>1101357</v>
      </c>
      <c r="J59" s="476">
        <f t="shared" ref="J59:J66" si="81">IF(H59=0,0,I59/H59)</f>
        <v>1.058234982690351</v>
      </c>
      <c r="L59" s="112">
        <f>70630+36509+55801+577162+20711+36485+90550+8304+11620+101902+13126+37610+19115+7699</f>
        <v>1087224</v>
      </c>
      <c r="M59" s="157">
        <f t="shared" ref="M59:M68" si="82">L59*J59</f>
        <v>1150538.4708205343</v>
      </c>
      <c r="O59" s="112">
        <f>L59</f>
        <v>1087224</v>
      </c>
      <c r="P59" s="233">
        <f>56984+31214+39589+472521+18079+17939+10337+8201+11444+67987+62929+7663+78694+29082+9739+5068</f>
        <v>927470</v>
      </c>
      <c r="Q59" s="106" t="s">
        <v>4298</v>
      </c>
      <c r="R59" s="476">
        <f t="shared" ref="R59:R66" si="83">IF(O59=0,0,P59/O59)</f>
        <v>0.8530624783853189</v>
      </c>
      <c r="T59" s="112">
        <f>70630+36509+55801+577162+20711+36485+10550+8304+11620+101902+9313+37380+18955+7699</f>
        <v>1003021</v>
      </c>
      <c r="U59" s="106" t="s">
        <v>4298</v>
      </c>
      <c r="V59" s="157">
        <f t="shared" ref="V59:V66" si="84">T59*R59</f>
        <v>855639.58013252099</v>
      </c>
      <c r="X59" s="112">
        <f>70630+36509+55801+577162+20711+36485+10550+8304+11620+101902+9313+37380+18955+7699</f>
        <v>1003021</v>
      </c>
      <c r="Y59" s="263">
        <f>X59</f>
        <v>1003021</v>
      </c>
      <c r="Z59" s="106" t="s">
        <v>4298</v>
      </c>
      <c r="AA59" s="476">
        <f t="shared" ref="AA59:AA66" si="85">IF(X59=0,0,Y59/X59)</f>
        <v>1</v>
      </c>
      <c r="AC59" s="112">
        <f>67296+36611+51114+575535+18388+19015+10905+8438+11588+91253+9430+33382+5543</f>
        <v>938498</v>
      </c>
      <c r="AD59" s="106" t="s">
        <v>4298</v>
      </c>
      <c r="AE59" s="157">
        <f t="shared" ref="AE59:AE66" si="86">AC59*AA59</f>
        <v>938498</v>
      </c>
      <c r="AG59" s="112">
        <f>67296+36611+51114+575535+18388+19015+10905+8438+11588+91253+9430+33382+5543</f>
        <v>938498</v>
      </c>
      <c r="AH59" s="3389">
        <f>AG59</f>
        <v>938498</v>
      </c>
      <c r="AI59" s="66" t="s">
        <v>4298</v>
      </c>
      <c r="AJ59" s="476">
        <f t="shared" ref="AJ59:AJ66" si="87">IF(AG59=0,0,AH59/AG59)</f>
        <v>1</v>
      </c>
      <c r="AL59" s="3386">
        <f>11842*100</f>
        <v>1184200</v>
      </c>
      <c r="AM59" s="106" t="s">
        <v>4299</v>
      </c>
      <c r="AN59" s="3173">
        <f>AL59</f>
        <v>1184200</v>
      </c>
      <c r="AP59" s="112">
        <f>AL59</f>
        <v>1184200</v>
      </c>
      <c r="AQ59" s="7296">
        <f>AP59*AQ39/AP39</f>
        <v>1196138.8159700644</v>
      </c>
      <c r="AR59" s="106" t="s">
        <v>4298</v>
      </c>
      <c r="AS59" s="476">
        <f t="shared" ref="AS59:AS68" si="88">IF(AP59=0,0,AQ59/AP59)</f>
        <v>1.0100817564347782</v>
      </c>
      <c r="AU59" s="3386">
        <f>AP59*AU39/AP39</f>
        <v>1201584.2266956829</v>
      </c>
      <c r="AV59" s="106" t="s">
        <v>4299</v>
      </c>
      <c r="AW59" s="3356">
        <f t="shared" si="60"/>
        <v>1213698.3062050999</v>
      </c>
      <c r="AY59" s="112">
        <f>AU59</f>
        <v>1201584.2266956829</v>
      </c>
      <c r="AZ59" s="8053">
        <f>AY59</f>
        <v>1201584.2266956829</v>
      </c>
      <c r="BA59" s="106" t="s">
        <v>4300</v>
      </c>
      <c r="BB59" s="476">
        <f t="shared" ref="BB59:BB66" si="89">IF(AY59=0,0,AZ59/AY59)</f>
        <v>1</v>
      </c>
      <c r="BD59" s="3386">
        <f>AY59*BD39/AY39</f>
        <v>1681940.1858240534</v>
      </c>
      <c r="BE59" s="106" t="s">
        <v>4300</v>
      </c>
      <c r="BF59" s="3356">
        <f>BD59</f>
        <v>1681940.1858240534</v>
      </c>
      <c r="BM59" s="26"/>
    </row>
    <row r="60" spans="1:65" x14ac:dyDescent="0.35">
      <c r="A60" s="9168"/>
      <c r="B60" s="232"/>
      <c r="C60" s="232" t="s">
        <v>4275</v>
      </c>
      <c r="D60" s="60"/>
      <c r="F60" s="155"/>
      <c r="H60" s="117"/>
      <c r="I60" s="115"/>
      <c r="J60" s="476">
        <f t="shared" si="81"/>
        <v>0</v>
      </c>
      <c r="L60" s="117"/>
      <c r="M60" s="157">
        <f t="shared" si="82"/>
        <v>0</v>
      </c>
      <c r="O60" s="112">
        <f t="shared" ref="O60:O63" si="90">L60</f>
        <v>0</v>
      </c>
      <c r="P60" s="201"/>
      <c r="Q60" s="106"/>
      <c r="R60" s="476">
        <f t="shared" si="83"/>
        <v>0</v>
      </c>
      <c r="T60" s="117"/>
      <c r="U60" s="106"/>
      <c r="V60" s="157">
        <f t="shared" si="84"/>
        <v>0</v>
      </c>
      <c r="X60" s="112">
        <f t="shared" ref="X60:X63" si="91">T60</f>
        <v>0</v>
      </c>
      <c r="Y60" s="263">
        <f t="shared" ref="Y60:Y63" si="92">X60</f>
        <v>0</v>
      </c>
      <c r="Z60" s="106"/>
      <c r="AA60" s="476">
        <f t="shared" si="85"/>
        <v>0</v>
      </c>
      <c r="AC60" s="117"/>
      <c r="AD60" s="106"/>
      <c r="AE60" s="157">
        <f t="shared" si="86"/>
        <v>0</v>
      </c>
      <c r="AG60" s="117"/>
      <c r="AH60" s="3389">
        <f t="shared" ref="AH60:AH63" si="93">AG60</f>
        <v>0</v>
      </c>
      <c r="AI60" s="66"/>
      <c r="AJ60" s="476">
        <f t="shared" si="87"/>
        <v>0</v>
      </c>
      <c r="AL60" s="3386"/>
      <c r="AM60" s="106"/>
      <c r="AN60" s="157">
        <f>AL60*BM60</f>
        <v>0</v>
      </c>
      <c r="AP60" s="117"/>
      <c r="AQ60" s="789"/>
      <c r="AR60" s="106"/>
      <c r="AS60" s="476">
        <f t="shared" si="88"/>
        <v>0</v>
      </c>
      <c r="AU60" s="3386"/>
      <c r="AV60" s="106"/>
      <c r="AW60" s="3356"/>
      <c r="AY60" s="117"/>
      <c r="AZ60" s="789"/>
      <c r="BA60" s="106"/>
      <c r="BB60" s="476">
        <f t="shared" si="89"/>
        <v>0</v>
      </c>
      <c r="BD60" s="3386"/>
      <c r="BE60" s="106"/>
      <c r="BF60" s="3356"/>
      <c r="BM60" s="26"/>
    </row>
    <row r="61" spans="1:65" x14ac:dyDescent="0.35">
      <c r="A61" s="9168"/>
      <c r="B61" s="240"/>
      <c r="C61" s="240" t="s">
        <v>4280</v>
      </c>
      <c r="D61" s="60"/>
      <c r="F61" s="163"/>
      <c r="H61" s="242"/>
      <c r="I61" s="243"/>
      <c r="J61" s="476">
        <f t="shared" si="81"/>
        <v>0</v>
      </c>
      <c r="L61" s="242"/>
      <c r="M61" s="157">
        <f t="shared" si="82"/>
        <v>0</v>
      </c>
      <c r="O61" s="112">
        <f t="shared" si="90"/>
        <v>0</v>
      </c>
      <c r="P61" s="233"/>
      <c r="Q61" s="106"/>
      <c r="R61" s="476">
        <f t="shared" si="83"/>
        <v>0</v>
      </c>
      <c r="T61" s="242"/>
      <c r="U61" s="106"/>
      <c r="V61" s="157">
        <f t="shared" si="84"/>
        <v>0</v>
      </c>
      <c r="X61" s="112">
        <f t="shared" si="91"/>
        <v>0</v>
      </c>
      <c r="Y61" s="263">
        <f t="shared" si="92"/>
        <v>0</v>
      </c>
      <c r="Z61" s="106"/>
      <c r="AA61" s="476">
        <f t="shared" si="85"/>
        <v>0</v>
      </c>
      <c r="AC61" s="242"/>
      <c r="AD61" s="106"/>
      <c r="AE61" s="157">
        <f t="shared" si="86"/>
        <v>0</v>
      </c>
      <c r="AG61" s="242"/>
      <c r="AH61" s="3389">
        <f t="shared" si="93"/>
        <v>0</v>
      </c>
      <c r="AI61" s="66"/>
      <c r="AJ61" s="476">
        <f t="shared" si="87"/>
        <v>0</v>
      </c>
      <c r="AL61" s="3383"/>
      <c r="AM61" s="106"/>
      <c r="AN61" s="157">
        <f>AL61*BM61</f>
        <v>0</v>
      </c>
      <c r="AP61" s="242"/>
      <c r="AQ61" s="789"/>
      <c r="AR61" s="106"/>
      <c r="AS61" s="476">
        <f t="shared" si="88"/>
        <v>0</v>
      </c>
      <c r="AU61" s="3383"/>
      <c r="AV61" s="106"/>
      <c r="AW61" s="3356"/>
      <c r="AY61" s="242"/>
      <c r="AZ61" s="789"/>
      <c r="BA61" s="106"/>
      <c r="BB61" s="476">
        <f t="shared" si="89"/>
        <v>0</v>
      </c>
      <c r="BD61" s="3383"/>
      <c r="BE61" s="106"/>
      <c r="BF61" s="3356"/>
      <c r="BM61" s="26"/>
    </row>
    <row r="62" spans="1:65" x14ac:dyDescent="0.35">
      <c r="A62" s="9168"/>
      <c r="B62" s="240"/>
      <c r="C62" s="240" t="s">
        <v>4285</v>
      </c>
      <c r="D62" s="60"/>
      <c r="F62" s="163">
        <f>73506</f>
        <v>73506</v>
      </c>
      <c r="H62" s="242">
        <v>27753</v>
      </c>
      <c r="I62" s="243">
        <v>27753</v>
      </c>
      <c r="J62" s="476">
        <f t="shared" si="81"/>
        <v>1</v>
      </c>
      <c r="L62" s="242">
        <v>30885</v>
      </c>
      <c r="M62" s="157">
        <f t="shared" si="82"/>
        <v>30885</v>
      </c>
      <c r="O62" s="112">
        <f t="shared" si="90"/>
        <v>30885</v>
      </c>
      <c r="P62" s="201">
        <v>30744</v>
      </c>
      <c r="Q62" s="57" t="s">
        <v>4286</v>
      </c>
      <c r="R62" s="476">
        <f t="shared" si="83"/>
        <v>0.99543467702768329</v>
      </c>
      <c r="T62" s="242">
        <v>30885</v>
      </c>
      <c r="U62" s="57" t="s">
        <v>4286</v>
      </c>
      <c r="V62" s="157">
        <f t="shared" si="84"/>
        <v>30744</v>
      </c>
      <c r="X62" s="112">
        <f t="shared" si="91"/>
        <v>30885</v>
      </c>
      <c r="Y62" s="263">
        <f t="shared" si="92"/>
        <v>30885</v>
      </c>
      <c r="Z62" s="57" t="s">
        <v>4286</v>
      </c>
      <c r="AA62" s="476">
        <f t="shared" si="85"/>
        <v>1</v>
      </c>
      <c r="AC62" s="242">
        <v>30975</v>
      </c>
      <c r="AD62" s="57" t="s">
        <v>4286</v>
      </c>
      <c r="AE62" s="157">
        <f t="shared" si="86"/>
        <v>30975</v>
      </c>
      <c r="AG62" s="242">
        <v>30975</v>
      </c>
      <c r="AH62" s="3389">
        <f t="shared" si="93"/>
        <v>30975</v>
      </c>
      <c r="AI62" s="237" t="s">
        <v>4286</v>
      </c>
      <c r="AJ62" s="476">
        <f t="shared" si="87"/>
        <v>1</v>
      </c>
      <c r="AL62" s="3383"/>
      <c r="AM62" s="57"/>
      <c r="AN62" s="157"/>
      <c r="AP62" s="242"/>
      <c r="AQ62" s="789"/>
      <c r="AR62" s="57"/>
      <c r="AS62" s="476">
        <f t="shared" si="88"/>
        <v>0</v>
      </c>
      <c r="AU62" s="3383"/>
      <c r="AV62" s="57"/>
      <c r="AW62" s="3356"/>
      <c r="AY62" s="242"/>
      <c r="AZ62" s="789"/>
      <c r="BA62" s="57"/>
      <c r="BB62" s="476">
        <f t="shared" si="89"/>
        <v>0</v>
      </c>
      <c r="BD62" s="3383"/>
      <c r="BE62" s="57"/>
      <c r="BF62" s="3356"/>
      <c r="BM62" s="26"/>
    </row>
    <row r="63" spans="1:65" x14ac:dyDescent="0.35">
      <c r="A63" s="9168"/>
      <c r="B63" s="240"/>
      <c r="C63" s="240" t="s">
        <v>4290</v>
      </c>
      <c r="D63" s="60">
        <v>9</v>
      </c>
      <c r="F63" s="163">
        <v>24187</v>
      </c>
      <c r="H63" s="242">
        <v>86793</v>
      </c>
      <c r="I63" s="243">
        <v>86793</v>
      </c>
      <c r="J63" s="476">
        <f t="shared" si="81"/>
        <v>1</v>
      </c>
      <c r="L63" s="242">
        <v>159491</v>
      </c>
      <c r="M63" s="157">
        <f t="shared" si="82"/>
        <v>159491</v>
      </c>
      <c r="O63" s="112">
        <f t="shared" si="90"/>
        <v>159491</v>
      </c>
      <c r="P63" s="233">
        <v>131013</v>
      </c>
      <c r="Q63" s="57" t="s">
        <v>4291</v>
      </c>
      <c r="R63" s="476">
        <f t="shared" si="83"/>
        <v>0.82144447022089018</v>
      </c>
      <c r="T63" s="242">
        <v>159491</v>
      </c>
      <c r="U63" s="57" t="s">
        <v>4291</v>
      </c>
      <c r="V63" s="157">
        <f t="shared" si="84"/>
        <v>131013</v>
      </c>
      <c r="X63" s="112">
        <f t="shared" si="91"/>
        <v>159491</v>
      </c>
      <c r="Y63" s="263">
        <f t="shared" si="92"/>
        <v>159491</v>
      </c>
      <c r="Z63" s="57" t="s">
        <v>4291</v>
      </c>
      <c r="AA63" s="476">
        <f t="shared" si="85"/>
        <v>1</v>
      </c>
      <c r="AC63" s="242">
        <v>187030</v>
      </c>
      <c r="AD63" s="57" t="s">
        <v>4291</v>
      </c>
      <c r="AE63" s="157">
        <f t="shared" si="86"/>
        <v>187030</v>
      </c>
      <c r="AG63" s="242">
        <v>187030</v>
      </c>
      <c r="AH63" s="3389">
        <f t="shared" si="93"/>
        <v>187030</v>
      </c>
      <c r="AI63" s="237" t="s">
        <v>4291</v>
      </c>
      <c r="AJ63" s="476">
        <f t="shared" si="87"/>
        <v>1</v>
      </c>
      <c r="AL63" s="3383"/>
      <c r="AM63" s="57"/>
      <c r="AN63" s="157"/>
      <c r="AP63" s="242"/>
      <c r="AQ63" s="789"/>
      <c r="AR63" s="57"/>
      <c r="AS63" s="476">
        <f t="shared" si="88"/>
        <v>0</v>
      </c>
      <c r="AU63" s="3383"/>
      <c r="AV63" s="57"/>
      <c r="AW63" s="3356"/>
      <c r="AY63" s="242"/>
      <c r="AZ63" s="789"/>
      <c r="BA63" s="57"/>
      <c r="BB63" s="476">
        <f t="shared" si="89"/>
        <v>0</v>
      </c>
      <c r="BD63" s="3383"/>
      <c r="BE63" s="57"/>
      <c r="BF63" s="3356"/>
      <c r="BM63" s="26"/>
    </row>
    <row r="64" spans="1:65" x14ac:dyDescent="0.35">
      <c r="A64" s="9168"/>
      <c r="B64" s="240"/>
      <c r="C64" s="240" t="s">
        <v>4295</v>
      </c>
      <c r="D64" s="60"/>
      <c r="F64" s="163"/>
      <c r="H64" s="242"/>
      <c r="I64" s="243"/>
      <c r="J64" s="476"/>
      <c r="L64" s="242"/>
      <c r="M64" s="157"/>
      <c r="O64" s="242"/>
      <c r="P64" s="201"/>
      <c r="Q64" s="106"/>
      <c r="R64" s="476">
        <f t="shared" si="83"/>
        <v>0</v>
      </c>
      <c r="T64" s="242"/>
      <c r="U64" s="106"/>
      <c r="V64" s="157">
        <f t="shared" si="84"/>
        <v>0</v>
      </c>
      <c r="X64" s="242"/>
      <c r="Y64" s="201"/>
      <c r="Z64" s="106"/>
      <c r="AA64" s="476">
        <f t="shared" si="85"/>
        <v>0</v>
      </c>
      <c r="AC64" s="242"/>
      <c r="AD64" s="106"/>
      <c r="AE64" s="157">
        <f t="shared" si="86"/>
        <v>0</v>
      </c>
      <c r="AG64" s="242"/>
      <c r="AH64" s="199"/>
      <c r="AI64" s="66"/>
      <c r="AJ64" s="476">
        <f t="shared" si="87"/>
        <v>0</v>
      </c>
      <c r="AL64" s="3383"/>
      <c r="AM64" s="106"/>
      <c r="AN64" s="157">
        <f>AL64*BM64</f>
        <v>0</v>
      </c>
      <c r="AP64" s="242"/>
      <c r="AQ64" s="789"/>
      <c r="AR64" s="106"/>
      <c r="AS64" s="476">
        <f t="shared" si="88"/>
        <v>0</v>
      </c>
      <c r="AU64" s="3383"/>
      <c r="AV64" s="106"/>
      <c r="AW64" s="3356"/>
      <c r="AY64" s="242"/>
      <c r="AZ64" s="789"/>
      <c r="BA64" s="106"/>
      <c r="BB64" s="476">
        <f t="shared" si="89"/>
        <v>0</v>
      </c>
      <c r="BD64" s="3383"/>
      <c r="BE64" s="106"/>
      <c r="BF64" s="3356"/>
      <c r="BM64" s="26"/>
    </row>
    <row r="65" spans="1:65" x14ac:dyDescent="0.35">
      <c r="A65" s="9168"/>
      <c r="B65" s="240"/>
      <c r="C65" s="240" t="s">
        <v>4296</v>
      </c>
      <c r="D65" s="60"/>
      <c r="F65" s="163"/>
      <c r="H65" s="242"/>
      <c r="I65" s="243"/>
      <c r="J65" s="476">
        <f t="shared" si="81"/>
        <v>0</v>
      </c>
      <c r="L65" s="242"/>
      <c r="M65" s="157">
        <f t="shared" si="82"/>
        <v>0</v>
      </c>
      <c r="O65" s="242"/>
      <c r="P65" s="201"/>
      <c r="Q65" s="106"/>
      <c r="R65" s="476">
        <f t="shared" si="83"/>
        <v>0</v>
      </c>
      <c r="T65" s="242"/>
      <c r="U65" s="106"/>
      <c r="V65" s="157">
        <f t="shared" si="84"/>
        <v>0</v>
      </c>
      <c r="X65" s="242"/>
      <c r="Y65" s="201"/>
      <c r="Z65" s="106"/>
      <c r="AA65" s="476">
        <f t="shared" si="85"/>
        <v>0</v>
      </c>
      <c r="AC65" s="242"/>
      <c r="AD65" s="106"/>
      <c r="AE65" s="157">
        <f t="shared" si="86"/>
        <v>0</v>
      </c>
      <c r="AG65" s="242"/>
      <c r="AH65" s="199"/>
      <c r="AI65" s="66"/>
      <c r="AJ65" s="476">
        <f t="shared" si="87"/>
        <v>0</v>
      </c>
      <c r="AL65" s="3383"/>
      <c r="AM65" s="106"/>
      <c r="AN65" s="157">
        <f>AL65*BM65</f>
        <v>0</v>
      </c>
      <c r="AP65" s="242"/>
      <c r="AQ65" s="789"/>
      <c r="AR65" s="106"/>
      <c r="AS65" s="476">
        <f t="shared" si="88"/>
        <v>0</v>
      </c>
      <c r="AU65" s="3383"/>
      <c r="AV65" s="106"/>
      <c r="AW65" s="3356"/>
      <c r="AY65" s="242"/>
      <c r="AZ65" s="789"/>
      <c r="BA65" s="106"/>
      <c r="BB65" s="476">
        <f t="shared" si="89"/>
        <v>0</v>
      </c>
      <c r="BD65" s="3383"/>
      <c r="BE65" s="106"/>
      <c r="BF65" s="3356"/>
      <c r="BM65" s="26"/>
    </row>
    <row r="66" spans="1:65" x14ac:dyDescent="0.35">
      <c r="A66" s="9168"/>
      <c r="B66" s="250"/>
      <c r="C66" s="250" t="s">
        <v>4301</v>
      </c>
      <c r="D66" s="87"/>
      <c r="F66" s="130"/>
      <c r="H66" s="242"/>
      <c r="I66" s="243"/>
      <c r="J66" s="476">
        <f t="shared" si="81"/>
        <v>0</v>
      </c>
      <c r="L66" s="242"/>
      <c r="M66" s="157">
        <f t="shared" si="82"/>
        <v>0</v>
      </c>
      <c r="O66" s="242"/>
      <c r="P66" s="201"/>
      <c r="Q66" s="216"/>
      <c r="R66" s="476">
        <f t="shared" si="83"/>
        <v>0</v>
      </c>
      <c r="T66" s="242"/>
      <c r="U66" s="216"/>
      <c r="V66" s="157">
        <f t="shared" si="84"/>
        <v>0</v>
      </c>
      <c r="X66" s="242"/>
      <c r="Y66" s="201"/>
      <c r="Z66" s="216"/>
      <c r="AA66" s="476">
        <f t="shared" si="85"/>
        <v>0</v>
      </c>
      <c r="AC66" s="242"/>
      <c r="AD66" s="216"/>
      <c r="AE66" s="157">
        <f t="shared" si="86"/>
        <v>0</v>
      </c>
      <c r="AG66" s="242"/>
      <c r="AH66" s="199"/>
      <c r="AI66" s="92"/>
      <c r="AJ66" s="476">
        <f t="shared" si="87"/>
        <v>0</v>
      </c>
      <c r="AL66" s="3383"/>
      <c r="AM66" s="216"/>
      <c r="AN66" s="157">
        <f>AL66*BM66</f>
        <v>0</v>
      </c>
      <c r="AP66" s="242"/>
      <c r="AQ66" s="1000"/>
      <c r="AR66" s="216"/>
      <c r="AS66" s="476">
        <f t="shared" si="88"/>
        <v>0</v>
      </c>
      <c r="AU66" s="3383"/>
      <c r="AV66" s="216"/>
      <c r="AW66" s="3356"/>
      <c r="AY66" s="242"/>
      <c r="AZ66" s="1000"/>
      <c r="BA66" s="216"/>
      <c r="BB66" s="476">
        <f t="shared" si="89"/>
        <v>0</v>
      </c>
      <c r="BD66" s="3383"/>
      <c r="BE66" s="216"/>
      <c r="BF66" s="3356"/>
      <c r="BM66" s="24"/>
    </row>
    <row r="67" spans="1:65" x14ac:dyDescent="0.35">
      <c r="A67" s="9168"/>
      <c r="B67" s="271" t="s">
        <v>552</v>
      </c>
      <c r="C67" s="271"/>
      <c r="D67" s="140"/>
      <c r="E67" s="143"/>
      <c r="F67" s="227"/>
      <c r="G67" s="143"/>
      <c r="H67" s="102"/>
      <c r="I67" s="103"/>
      <c r="J67" s="228"/>
      <c r="K67" s="143"/>
      <c r="L67" s="102"/>
      <c r="M67" s="268"/>
      <c r="N67" s="143"/>
      <c r="O67" s="102"/>
      <c r="P67" s="103"/>
      <c r="Q67" s="106"/>
      <c r="R67" s="228"/>
      <c r="S67" s="143"/>
      <c r="T67" s="102"/>
      <c r="U67" s="106"/>
      <c r="V67" s="268"/>
      <c r="W67" s="143"/>
      <c r="X67" s="102"/>
      <c r="Y67" s="103"/>
      <c r="Z67" s="106"/>
      <c r="AA67" s="228"/>
      <c r="AB67" s="143"/>
      <c r="AC67" s="102"/>
      <c r="AD67" s="106"/>
      <c r="AE67" s="268"/>
      <c r="AF67" s="143"/>
      <c r="AG67" s="102"/>
      <c r="AH67" s="103"/>
      <c r="AI67" s="229" t="s">
        <v>4302</v>
      </c>
      <c r="AJ67" s="228"/>
      <c r="AL67" s="3392"/>
      <c r="AM67" s="229" t="s">
        <v>4302</v>
      </c>
      <c r="AN67" s="268"/>
      <c r="AO67" s="143"/>
      <c r="AP67" s="230" t="s">
        <v>4250</v>
      </c>
      <c r="AQ67" s="103"/>
      <c r="AR67" s="348" t="s">
        <v>4302</v>
      </c>
      <c r="AS67" s="228"/>
      <c r="AU67" s="3392"/>
      <c r="AV67" s="348" t="s">
        <v>4303</v>
      </c>
      <c r="AW67" s="105"/>
      <c r="AY67" s="230" t="s">
        <v>4304</v>
      </c>
      <c r="AZ67" s="103"/>
      <c r="BA67" s="348"/>
      <c r="BB67" s="228"/>
      <c r="BD67" s="230" t="s">
        <v>4304</v>
      </c>
      <c r="BE67" s="348"/>
      <c r="BF67" s="105"/>
      <c r="BM67" s="18"/>
    </row>
    <row r="68" spans="1:65" x14ac:dyDescent="0.35">
      <c r="A68" s="9168"/>
      <c r="B68" s="272"/>
      <c r="C68" s="272" t="s">
        <v>980</v>
      </c>
      <c r="D68" s="60"/>
      <c r="F68" s="155">
        <f>F30*F71</f>
        <v>1311013.027</v>
      </c>
      <c r="H68" s="117">
        <f>H30*H71</f>
        <v>1401877.071</v>
      </c>
      <c r="I68" s="115">
        <f>I30*I71</f>
        <v>1411901.6240000001</v>
      </c>
      <c r="J68" s="476">
        <f t="shared" ref="J68" si="94">IF(H68=0,0,I68/H68)</f>
        <v>1.0071508074476525</v>
      </c>
      <c r="L68" s="117">
        <f>L30*L71</f>
        <v>1500355</v>
      </c>
      <c r="M68" s="157">
        <f t="shared" si="82"/>
        <v>1511083.7497081226</v>
      </c>
      <c r="O68" s="117">
        <f>O30*O71</f>
        <v>1500355</v>
      </c>
      <c r="P68" s="201"/>
      <c r="Q68" s="106"/>
      <c r="R68" s="782">
        <f>(P69+P70)/O68</f>
        <v>1.0980546617300573</v>
      </c>
      <c r="T68" s="117"/>
      <c r="V68" s="157"/>
      <c r="X68" s="117">
        <f t="shared" ref="X68:X70" si="95">T68</f>
        <v>0</v>
      </c>
      <c r="Y68" s="621"/>
      <c r="Z68" s="106"/>
      <c r="AA68" s="782" t="e">
        <f>(Y69+Y70)/X68</f>
        <v>#DIV/0!</v>
      </c>
      <c r="AC68" s="117"/>
      <c r="AE68" s="157"/>
      <c r="AG68" s="117"/>
      <c r="AH68" s="199">
        <f>AH31*12%+AH33*6%</f>
        <v>9775020</v>
      </c>
      <c r="AI68" t="s">
        <v>4305</v>
      </c>
      <c r="AJ68" s="782" t="e">
        <f>(AH69+AH70)/AG68</f>
        <v>#DIV/0!</v>
      </c>
      <c r="AL68" s="3386">
        <f>AL31*12%+AL33*6%</f>
        <v>11148354</v>
      </c>
      <c r="AM68" t="s">
        <v>4305</v>
      </c>
      <c r="AN68" s="3173">
        <f>AL68</f>
        <v>11148354</v>
      </c>
      <c r="AP68" s="117">
        <f>AL68</f>
        <v>11148354</v>
      </c>
      <c r="AQ68" s="649">
        <f>AQ31*AQ71</f>
        <v>12825922.23365088</v>
      </c>
      <c r="AR68" t="s">
        <v>4305</v>
      </c>
      <c r="AS68" s="476">
        <f t="shared" si="88"/>
        <v>1.1504767639824569</v>
      </c>
      <c r="AU68" s="3386">
        <f>AQ68*AU31/AQ31</f>
        <v>13856114.510765102</v>
      </c>
      <c r="AV68" t="s">
        <v>4306</v>
      </c>
      <c r="AW68" s="3356">
        <f t="shared" si="60"/>
        <v>15941137.783715399</v>
      </c>
      <c r="AY68" s="200">
        <f>AY32*12.1%</f>
        <v>6086130.5999999996</v>
      </c>
      <c r="AZ68" s="649">
        <f>AY68</f>
        <v>6086130.5999999996</v>
      </c>
      <c r="BA68" t="s">
        <v>4307</v>
      </c>
      <c r="BB68" s="476">
        <f t="shared" ref="BB68:BB69" si="96">IF(AY68=0,0,AZ68/AY68)</f>
        <v>1</v>
      </c>
      <c r="BD68" s="200">
        <f>BD32*11.8%</f>
        <v>6525234.8000000007</v>
      </c>
      <c r="BE68" t="s">
        <v>4308</v>
      </c>
      <c r="BF68" s="8052">
        <f t="shared" ref="BF68:BF69" si="97">BD68*BB68</f>
        <v>6525234.8000000007</v>
      </c>
      <c r="BM68" s="26" t="s">
        <v>4309</v>
      </c>
    </row>
    <row r="69" spans="1:65" ht="15.25" customHeight="1" x14ac:dyDescent="0.35">
      <c r="A69" s="9168"/>
      <c r="B69" s="274"/>
      <c r="C69" s="275" t="s">
        <v>11</v>
      </c>
      <c r="D69" s="60"/>
      <c r="F69" s="163"/>
      <c r="H69" s="242"/>
      <c r="I69" s="243"/>
      <c r="J69" s="476"/>
      <c r="L69" s="242"/>
      <c r="M69" s="157"/>
      <c r="O69" s="117"/>
      <c r="P69" s="201">
        <f>P31*P71</f>
        <v>1004902.126</v>
      </c>
      <c r="Q69" s="106"/>
      <c r="R69" s="476"/>
      <c r="T69" s="117">
        <f>T31*T71</f>
        <v>1048530.2880000001</v>
      </c>
      <c r="U69" s="106"/>
      <c r="V69" s="157">
        <f>T69*R68</f>
        <v>1151343.5707035596</v>
      </c>
      <c r="X69" s="117">
        <f t="shared" si="95"/>
        <v>1048530.2880000001</v>
      </c>
      <c r="Y69" s="621">
        <f>Y31*Y71</f>
        <v>1048530.2880000001</v>
      </c>
      <c r="Z69" s="106"/>
      <c r="AA69" s="476"/>
      <c r="AC69" s="117">
        <f>AC31*AC71</f>
        <v>578516.48600000003</v>
      </c>
      <c r="AD69" s="106"/>
      <c r="AE69" s="3173">
        <f>AC69</f>
        <v>578516.48600000003</v>
      </c>
      <c r="AG69" s="117">
        <f>AG31*AG71</f>
        <v>578516.48600000003</v>
      </c>
      <c r="AH69" s="199"/>
      <c r="AI69" s="66"/>
      <c r="AJ69" s="476"/>
      <c r="AL69" s="3383"/>
      <c r="AM69" s="106"/>
      <c r="AN69" s="3173">
        <f>AL69</f>
        <v>0</v>
      </c>
      <c r="AP69" s="117"/>
      <c r="AQ69" s="649"/>
      <c r="AR69" s="106"/>
      <c r="AS69" s="476"/>
      <c r="AU69" s="3383"/>
      <c r="AV69" s="57" t="s">
        <v>4310</v>
      </c>
      <c r="AW69" s="3356"/>
      <c r="AY69" s="200">
        <f>AY31*9%</f>
        <v>7668675</v>
      </c>
      <c r="AZ69" s="649">
        <f t="shared" ref="AZ69" si="98">AY69</f>
        <v>7668675</v>
      </c>
      <c r="BA69" s="57" t="s">
        <v>4311</v>
      </c>
      <c r="BB69" s="476">
        <f t="shared" si="96"/>
        <v>1</v>
      </c>
      <c r="BD69" s="200">
        <f>BD31*9%</f>
        <v>8095230</v>
      </c>
      <c r="BE69" s="57" t="s">
        <v>4311</v>
      </c>
      <c r="BF69" s="8052">
        <f t="shared" si="97"/>
        <v>8095230</v>
      </c>
      <c r="BM69" s="26"/>
    </row>
    <row r="70" spans="1:65" x14ac:dyDescent="0.35">
      <c r="A70" s="9168"/>
      <c r="B70" s="274"/>
      <c r="C70" s="275" t="s">
        <v>1116</v>
      </c>
      <c r="D70" s="60"/>
      <c r="F70" s="163"/>
      <c r="H70" s="242"/>
      <c r="I70" s="243"/>
      <c r="J70" s="476"/>
      <c r="L70" s="242"/>
      <c r="M70" s="157"/>
      <c r="O70" s="242"/>
      <c r="P70" s="201">
        <f>P33*P71</f>
        <v>642569.67600000009</v>
      </c>
      <c r="Q70" s="106"/>
      <c r="R70" s="476"/>
      <c r="T70" s="242">
        <f>T33*T71</f>
        <v>598486.30700000003</v>
      </c>
      <c r="U70" s="106"/>
      <c r="V70" s="157">
        <f>T70*R68</f>
        <v>657170.67938295624</v>
      </c>
      <c r="X70" s="242">
        <f t="shared" si="95"/>
        <v>598486.30700000003</v>
      </c>
      <c r="Y70" s="621">
        <f>Y33*Y71</f>
        <v>598486.30700000003</v>
      </c>
      <c r="Z70" s="106"/>
      <c r="AA70" s="476"/>
      <c r="AC70" s="242">
        <v>642569.67600000009</v>
      </c>
      <c r="AD70" s="106"/>
      <c r="AE70" s="3173">
        <f>AC70</f>
        <v>642569.67600000009</v>
      </c>
      <c r="AG70" s="242">
        <v>642569.67600000009</v>
      </c>
      <c r="AH70" s="199"/>
      <c r="AI70" s="66"/>
      <c r="AJ70" s="476"/>
      <c r="AL70" s="3383"/>
      <c r="AM70" s="106"/>
      <c r="AN70" s="3173">
        <f>AL70</f>
        <v>0</v>
      </c>
      <c r="AP70" s="242"/>
      <c r="AQ70" s="649"/>
      <c r="AR70" s="8054"/>
      <c r="AS70" s="476"/>
      <c r="AU70" s="3383"/>
      <c r="AV70" s="106"/>
      <c r="AW70" s="3356"/>
      <c r="AY70" s="164"/>
      <c r="AZ70" s="649"/>
      <c r="BA70" s="8054"/>
      <c r="BB70" s="476"/>
      <c r="BD70" s="3383"/>
      <c r="BE70" s="106"/>
      <c r="BF70" s="3356"/>
      <c r="BM70" s="26"/>
    </row>
    <row r="71" spans="1:65" x14ac:dyDescent="0.35">
      <c r="A71" s="9168"/>
      <c r="B71" s="277"/>
      <c r="C71" s="277" t="s">
        <v>555</v>
      </c>
      <c r="D71" s="87">
        <v>11</v>
      </c>
      <c r="F71" s="278">
        <v>0.10100000000000001</v>
      </c>
      <c r="G71" s="279"/>
      <c r="H71" s="280">
        <v>0.10100000000000001</v>
      </c>
      <c r="I71" s="281">
        <v>0.10100000000000001</v>
      </c>
      <c r="J71" s="484"/>
      <c r="L71" s="280">
        <v>0.10100000000000001</v>
      </c>
      <c r="M71" s="282"/>
      <c r="O71" s="283">
        <v>0.10100000000000001</v>
      </c>
      <c r="P71" s="3393">
        <v>0.10100000000000001</v>
      </c>
      <c r="Q71" s="3329"/>
      <c r="R71" s="476"/>
      <c r="T71" s="283">
        <v>0.10100000000000001</v>
      </c>
      <c r="U71" s="3329"/>
      <c r="V71" s="668"/>
      <c r="X71" s="283">
        <v>0.10100000000000001</v>
      </c>
      <c r="Y71" s="3393">
        <v>0.10100000000000001</v>
      </c>
      <c r="Z71" s="3329"/>
      <c r="AA71" s="476"/>
      <c r="AC71" s="283">
        <v>0.10100000000000001</v>
      </c>
      <c r="AD71" s="3329"/>
      <c r="AE71" s="668">
        <v>0.10100000000000001</v>
      </c>
      <c r="AG71" s="283">
        <v>0.10100000000000001</v>
      </c>
      <c r="AH71" s="3394"/>
      <c r="AI71" s="24" t="s">
        <v>4312</v>
      </c>
      <c r="AJ71" s="476"/>
      <c r="AL71" s="3396"/>
      <c r="AM71" s="3329"/>
      <c r="AN71" s="668">
        <v>0.10100000000000001</v>
      </c>
      <c r="AP71" s="8055">
        <f>AP68/(AP31+AP33)</f>
        <v>8.2271242951486745E-2</v>
      </c>
      <c r="AQ71" s="8067">
        <f>AP71</f>
        <v>8.2271242951486745E-2</v>
      </c>
      <c r="AR71" s="8057" t="s">
        <v>4313</v>
      </c>
      <c r="AS71" s="476"/>
      <c r="AU71" s="8058">
        <f>AP71</f>
        <v>8.2271242951486745E-2</v>
      </c>
      <c r="AV71" s="7297" t="s">
        <v>4314</v>
      </c>
      <c r="AW71" s="8059"/>
      <c r="AY71" s="8055"/>
      <c r="AZ71" s="8056"/>
      <c r="BA71" s="8057"/>
      <c r="BB71" s="476"/>
      <c r="BD71" s="8058"/>
      <c r="BE71" s="7297"/>
      <c r="BF71" s="8059"/>
      <c r="BM71" s="24"/>
    </row>
    <row r="72" spans="1:65" x14ac:dyDescent="0.35">
      <c r="A72" s="9168"/>
      <c r="B72" s="287" t="s">
        <v>556</v>
      </c>
      <c r="C72" s="288"/>
      <c r="D72" s="140"/>
      <c r="E72" s="143"/>
      <c r="F72" s="289"/>
      <c r="G72" s="290"/>
      <c r="H72" s="291"/>
      <c r="I72" s="292"/>
      <c r="J72" s="293"/>
      <c r="L72" s="291"/>
      <c r="M72" s="268"/>
      <c r="N72" s="143"/>
      <c r="O72" s="291"/>
      <c r="P72" s="292"/>
      <c r="Q72" s="106"/>
      <c r="R72" s="293"/>
      <c r="T72" s="1388"/>
      <c r="U72" s="106"/>
      <c r="V72" s="3330"/>
      <c r="W72" s="143"/>
      <c r="X72" s="291"/>
      <c r="Y72" s="292"/>
      <c r="Z72" s="106"/>
      <c r="AA72" s="293"/>
      <c r="AC72" s="1388"/>
      <c r="AD72" s="103"/>
      <c r="AE72" s="3330"/>
      <c r="AF72" s="143"/>
      <c r="AG72" s="1388"/>
      <c r="AH72" s="103"/>
      <c r="AI72" s="105"/>
      <c r="AJ72" s="293"/>
      <c r="AL72" s="3397"/>
      <c r="AM72" s="103"/>
      <c r="AN72" s="3330"/>
      <c r="AO72" s="143"/>
      <c r="AP72" s="1388"/>
      <c r="AQ72" s="103"/>
      <c r="AR72" s="103"/>
      <c r="AS72" s="293"/>
      <c r="AU72" s="3397"/>
      <c r="AV72" s="103"/>
      <c r="AW72" s="105"/>
      <c r="AY72" s="1388"/>
      <c r="AZ72" s="103"/>
      <c r="BA72" s="103"/>
      <c r="BB72" s="293"/>
      <c r="BD72" s="3397"/>
      <c r="BE72" s="103"/>
      <c r="BF72" s="105"/>
      <c r="BM72" s="18"/>
    </row>
    <row r="73" spans="1:65" x14ac:dyDescent="0.35">
      <c r="A73" s="9168"/>
      <c r="B73" s="295"/>
      <c r="C73" s="296" t="s">
        <v>551</v>
      </c>
      <c r="D73" s="60">
        <v>12</v>
      </c>
      <c r="F73" s="3398">
        <v>12775105.301999999</v>
      </c>
      <c r="G73" s="3399"/>
      <c r="H73" s="3400">
        <f>I73</f>
        <v>13151783.155999999</v>
      </c>
      <c r="I73" s="3401">
        <v>13151783.155999999</v>
      </c>
      <c r="J73" s="523">
        <f t="shared" ref="J73:J76" si="99">IF(H73=0,0,I73/H73)</f>
        <v>1</v>
      </c>
      <c r="L73" s="3400">
        <f>H73</f>
        <v>13151783.155999999</v>
      </c>
      <c r="M73" s="157">
        <f t="shared" ref="M73:M76" si="100">L73*J73</f>
        <v>13151783.155999999</v>
      </c>
      <c r="O73" s="1991">
        <f>L73</f>
        <v>13151783.155999999</v>
      </c>
      <c r="P73" s="1992"/>
      <c r="Q73" s="57" t="s">
        <v>4315</v>
      </c>
      <c r="R73" s="523">
        <f>(P74+P75)/O73</f>
        <v>0.78327827320513044</v>
      </c>
      <c r="T73" s="304"/>
      <c r="U73" s="332"/>
      <c r="V73" s="157"/>
      <c r="X73" s="1991">
        <f t="shared" ref="X73" si="101">T73</f>
        <v>0</v>
      </c>
      <c r="Y73" s="1992">
        <v>15187307</v>
      </c>
      <c r="Z73" s="57" t="s">
        <v>4315</v>
      </c>
      <c r="AA73" s="523" t="e">
        <f>(Y74+Y75)/X73</f>
        <v>#DIV/0!</v>
      </c>
      <c r="AC73" s="304">
        <v>10335302</v>
      </c>
      <c r="AD73" s="332"/>
      <c r="AE73" s="3173">
        <f>AC73</f>
        <v>10335302</v>
      </c>
      <c r="AG73" s="304">
        <v>10335302</v>
      </c>
      <c r="AH73" s="8068"/>
      <c r="AI73" s="1801"/>
      <c r="AJ73" s="523">
        <f>(AH74+AH75)/AG73</f>
        <v>0</v>
      </c>
      <c r="AL73" s="3383"/>
      <c r="AM73" s="106"/>
      <c r="AN73" s="3173">
        <f>AL73</f>
        <v>0</v>
      </c>
      <c r="AP73" s="304">
        <f>AL73</f>
        <v>0</v>
      </c>
      <c r="AQ73" s="671"/>
      <c r="AR73" s="332"/>
      <c r="AS73" s="523" t="e">
        <f>(AQ74+AQ75)/AP73</f>
        <v>#DIV/0!</v>
      </c>
      <c r="AU73" s="7298"/>
      <c r="AV73" s="106"/>
      <c r="AW73" s="301"/>
      <c r="AY73" s="304"/>
      <c r="AZ73" s="671"/>
      <c r="BA73" s="332"/>
      <c r="BB73" s="523" t="e">
        <f>(AZ74+AZ75)/AY73</f>
        <v>#DIV/0!</v>
      </c>
      <c r="BD73" s="7298"/>
      <c r="BE73" s="106"/>
      <c r="BF73" s="301"/>
      <c r="BM73" s="26"/>
    </row>
    <row r="74" spans="1:65" x14ac:dyDescent="0.35">
      <c r="A74" s="9168"/>
      <c r="B74" s="302"/>
      <c r="C74" s="587" t="s">
        <v>4177</v>
      </c>
      <c r="D74" s="60"/>
      <c r="F74" s="61"/>
      <c r="G74" s="272"/>
      <c r="H74" s="62"/>
      <c r="I74" s="63"/>
      <c r="J74" s="523">
        <f t="shared" si="99"/>
        <v>0</v>
      </c>
      <c r="L74" s="62"/>
      <c r="M74" s="157">
        <f t="shared" si="100"/>
        <v>0</v>
      </c>
      <c r="O74" s="62"/>
      <c r="P74" s="303">
        <f>66138+2221+9624+5111+3734+80+37205+9199+337+1672+1185+1346+25495+3329+3070+218744+66972+2028+316684+4591+457+255+10824+8913+2751+13618+3021+22276+3020+5329+143+141+3394+22614+52+702+3995+902661+160232+68366+261620+14324+4236932+1921194+11701+1135+1701+10179</f>
        <v>8470315</v>
      </c>
      <c r="Q74" s="57"/>
      <c r="R74" s="523"/>
      <c r="T74" s="1092">
        <f>322+2583+11622+487+233772+11247+386+1856+919+815+24181+2858+2627+281732+123743+7866+23+117+14+487+389+6231+1176+4018+16580+1994+35514+3482+4906+1779+641+2083+1536+115203+4873+4281+147791+72657+60563+10757+4267613+204945+4415952+853075+13338+3113+4269+22288+2134+5159</f>
        <v>10995997</v>
      </c>
      <c r="U74" s="106"/>
      <c r="V74" s="157">
        <f>T74*R73</f>
        <v>8612925.5423287954</v>
      </c>
      <c r="X74" s="62">
        <f>322+2583+11622+487+233772+11247+386+1856+919+815+24181+2858+2627+281732+123743+7866+23+117+14+487+389+6231+1176+4018+16580+1994+35514+3482+4906+1779+641+2083+1536+115203+4873+4281+147791+72657+60563+10757+4267613+204945+4415952+853075+13338+3113+4269+22288+2134+5159</f>
        <v>10995997</v>
      </c>
      <c r="Y74" s="303"/>
      <c r="Z74" s="57"/>
      <c r="AA74" s="523"/>
      <c r="AC74" s="1092"/>
      <c r="AD74" s="106"/>
      <c r="AE74" s="3173">
        <f t="shared" ref="AE74:AE76" si="102">AC74</f>
        <v>0</v>
      </c>
      <c r="AG74" s="1092"/>
      <c r="AH74" s="8069"/>
      <c r="AI74" s="66"/>
      <c r="AJ74" s="523"/>
      <c r="AL74" s="3383">
        <v>4174808</v>
      </c>
      <c r="AM74" s="106" t="s">
        <v>4316</v>
      </c>
      <c r="AN74" s="3173">
        <f t="shared" ref="AN74:AN76" si="103">AL74</f>
        <v>4174808</v>
      </c>
      <c r="AP74" s="304">
        <f t="shared" ref="AP74:AP75" si="104">AL74</f>
        <v>4174808</v>
      </c>
      <c r="AQ74" s="671"/>
      <c r="AR74" s="106"/>
      <c r="AS74" s="523"/>
      <c r="AU74" s="7298"/>
      <c r="AV74" s="106"/>
      <c r="AW74" s="301"/>
      <c r="AY74" s="304"/>
      <c r="AZ74" s="671"/>
      <c r="BA74" s="106"/>
      <c r="BB74" s="523"/>
      <c r="BD74" s="7298"/>
      <c r="BE74" s="106"/>
      <c r="BF74" s="301"/>
      <c r="BM74" s="26"/>
    </row>
    <row r="75" spans="1:65" ht="14.75" customHeight="1" x14ac:dyDescent="0.35">
      <c r="A75" s="9168"/>
      <c r="B75" s="305"/>
      <c r="C75" s="587" t="s">
        <v>4182</v>
      </c>
      <c r="D75" s="60"/>
      <c r="F75" s="61"/>
      <c r="G75" s="272"/>
      <c r="H75" s="62"/>
      <c r="I75" s="63"/>
      <c r="J75" s="523">
        <f t="shared" si="99"/>
        <v>0</v>
      </c>
      <c r="L75" s="62"/>
      <c r="M75" s="157">
        <f t="shared" si="100"/>
        <v>0</v>
      </c>
      <c r="O75" s="62"/>
      <c r="P75" s="303">
        <f>19+130+777+1516+1873+1225+3020+46+28+15956+2660+259+775666+29431+3216+470+262285+117800+7365+295+49+83+149+301+298+20337+263286+20337+201580+31663+98+473+68500</f>
        <v>1831191</v>
      </c>
      <c r="Q75" s="57" t="s">
        <v>4317</v>
      </c>
      <c r="R75" s="523"/>
      <c r="T75" s="1092">
        <f>168+931+2542+1665+1008+255+2150+116+232+13689+1751+464+632593+20716+2784+696+23339+17383+278+371+370+2165+341+14869+368974+67633+134+600131</f>
        <v>1777748</v>
      </c>
      <c r="U75" s="106"/>
      <c r="V75" s="157">
        <f>T75*R73</f>
        <v>1392471.3836338741</v>
      </c>
      <c r="X75" s="62">
        <f>168+931+2542+1665+1008+255+2150+116+232+13689+1751+464+632593+20716+2784+696+23339+17383+278+371+370+2165+341+14869+368974+67633+134+600131</f>
        <v>1777748</v>
      </c>
      <c r="Y75" s="303"/>
      <c r="Z75" s="57" t="s">
        <v>4317</v>
      </c>
      <c r="AA75" s="523"/>
      <c r="AC75" s="1092"/>
      <c r="AD75" s="106"/>
      <c r="AE75" s="3173">
        <f t="shared" si="102"/>
        <v>0</v>
      </c>
      <c r="AG75" s="1092"/>
      <c r="AH75" s="8069"/>
      <c r="AI75" s="66"/>
      <c r="AJ75" s="523"/>
      <c r="AL75" s="3383">
        <v>6783033</v>
      </c>
      <c r="AM75" s="106" t="s">
        <v>4316</v>
      </c>
      <c r="AN75" s="3173">
        <f t="shared" si="103"/>
        <v>6783033</v>
      </c>
      <c r="AP75" s="304">
        <f t="shared" si="104"/>
        <v>6783033</v>
      </c>
      <c r="AQ75" s="671"/>
      <c r="AR75" s="106"/>
      <c r="AS75" s="523"/>
      <c r="AU75" s="7298"/>
      <c r="AV75" s="106"/>
      <c r="AW75" s="301"/>
      <c r="AY75" s="304"/>
      <c r="AZ75" s="671"/>
      <c r="BA75" s="106"/>
      <c r="BB75" s="523"/>
      <c r="BD75" s="7298"/>
      <c r="BE75" s="106"/>
      <c r="BF75" s="301"/>
      <c r="BM75" s="26"/>
    </row>
    <row r="76" spans="1:65" x14ac:dyDescent="0.35">
      <c r="A76" s="9169"/>
      <c r="B76" s="306"/>
      <c r="C76" s="86" t="s">
        <v>4318</v>
      </c>
      <c r="D76" s="87"/>
      <c r="F76" s="88"/>
      <c r="G76" s="274"/>
      <c r="H76" s="89"/>
      <c r="I76" s="90"/>
      <c r="J76" s="527">
        <f t="shared" si="99"/>
        <v>0</v>
      </c>
      <c r="L76" s="89"/>
      <c r="M76" s="213">
        <f t="shared" si="100"/>
        <v>0</v>
      </c>
      <c r="O76" s="89"/>
      <c r="P76" s="308"/>
      <c r="Q76" s="216"/>
      <c r="R76" s="527"/>
      <c r="T76" s="89"/>
      <c r="U76" s="216"/>
      <c r="V76" s="213"/>
      <c r="X76" s="89"/>
      <c r="Y76" s="308"/>
      <c r="Z76" s="216"/>
      <c r="AA76" s="527"/>
      <c r="AC76" s="89">
        <v>2197845</v>
      </c>
      <c r="AD76" s="216" t="s">
        <v>4319</v>
      </c>
      <c r="AE76" s="3402">
        <f t="shared" si="102"/>
        <v>2197845</v>
      </c>
      <c r="AG76" s="89">
        <v>2197845</v>
      </c>
      <c r="AH76" s="479"/>
      <c r="AI76" s="92" t="s">
        <v>4319</v>
      </c>
      <c r="AJ76" s="527"/>
      <c r="AL76" s="3403"/>
      <c r="AM76" s="216"/>
      <c r="AN76" s="3402">
        <f t="shared" si="103"/>
        <v>0</v>
      </c>
      <c r="AP76" s="7299"/>
      <c r="AQ76" s="672"/>
      <c r="AR76" s="216"/>
      <c r="AS76" s="527"/>
      <c r="AU76" s="3403"/>
      <c r="AV76" s="216"/>
      <c r="AW76" s="309"/>
      <c r="AY76" s="7299"/>
      <c r="AZ76" s="672"/>
      <c r="BA76" s="216"/>
      <c r="BB76" s="527"/>
      <c r="BD76" s="3403"/>
      <c r="BE76" s="216"/>
      <c r="BF76" s="309"/>
      <c r="BM76" s="24"/>
    </row>
    <row r="77" spans="1:65" x14ac:dyDescent="0.35">
      <c r="A77" s="310"/>
      <c r="B77" s="310"/>
      <c r="F77" s="106"/>
      <c r="H77" s="106"/>
      <c r="I77" s="106"/>
      <c r="J77" s="558"/>
      <c r="L77" s="106"/>
      <c r="M77" s="312"/>
      <c r="O77" s="106"/>
      <c r="P77" s="106"/>
      <c r="Q77" s="106"/>
      <c r="R77" s="558"/>
      <c r="T77" s="106"/>
      <c r="U77" s="106"/>
      <c r="V77" s="312"/>
      <c r="X77" s="106"/>
      <c r="Y77" s="106"/>
      <c r="Z77" s="106"/>
      <c r="AA77" s="558"/>
      <c r="AC77" s="106"/>
      <c r="AD77" s="106"/>
      <c r="AE77" s="312"/>
      <c r="AG77" s="106"/>
      <c r="AH77" s="106"/>
      <c r="AI77" s="106"/>
      <c r="AJ77" s="558"/>
      <c r="AL77" s="3374"/>
      <c r="AM77" s="106"/>
      <c r="AN77" s="312"/>
      <c r="AP77" s="106"/>
      <c r="AQ77" s="106"/>
      <c r="AR77" s="106"/>
      <c r="AS77" s="558"/>
      <c r="AU77" s="3374"/>
      <c r="AV77" s="106"/>
      <c r="AW77" s="312"/>
      <c r="AY77" s="106"/>
      <c r="AZ77" s="106"/>
      <c r="BA77" s="106"/>
      <c r="BB77" s="558"/>
      <c r="BD77" s="3374"/>
      <c r="BE77" s="106"/>
      <c r="BF77" s="312"/>
    </row>
    <row r="78" spans="1:65" x14ac:dyDescent="0.35">
      <c r="A78" s="9226" t="s">
        <v>1114</v>
      </c>
      <c r="B78" s="317"/>
      <c r="C78" s="315"/>
      <c r="D78" s="184"/>
      <c r="F78" s="316"/>
      <c r="H78" s="317"/>
      <c r="I78" s="318"/>
      <c r="J78" s="3332"/>
      <c r="L78" s="317"/>
      <c r="M78" s="318"/>
      <c r="N78" s="141"/>
      <c r="O78" s="320"/>
      <c r="P78" s="321"/>
      <c r="Q78" s="231" t="s">
        <v>4248</v>
      </c>
      <c r="R78" s="293"/>
      <c r="T78" s="317"/>
      <c r="U78" s="231" t="s">
        <v>4248</v>
      </c>
      <c r="V78" s="323"/>
      <c r="W78" s="141"/>
      <c r="X78" s="320"/>
      <c r="Y78" s="321"/>
      <c r="Z78" s="231" t="s">
        <v>4248</v>
      </c>
      <c r="AA78" s="293"/>
      <c r="AC78" s="317"/>
      <c r="AD78" s="231" t="s">
        <v>4248</v>
      </c>
      <c r="AE78" s="323"/>
      <c r="AF78" s="141"/>
      <c r="AG78" s="317"/>
      <c r="AH78" s="3404"/>
      <c r="AI78" s="3377" t="s">
        <v>4248</v>
      </c>
      <c r="AJ78" s="293"/>
      <c r="AL78" s="3405"/>
      <c r="AM78" s="231"/>
      <c r="AN78" s="323"/>
      <c r="AO78" s="141"/>
      <c r="AP78" s="317"/>
      <c r="AQ78" s="1687"/>
      <c r="AR78" s="231" t="s">
        <v>4248</v>
      </c>
      <c r="AS78" s="293"/>
      <c r="AU78" s="3405"/>
      <c r="AV78" s="231"/>
      <c r="AW78" s="6793"/>
      <c r="AY78" s="317"/>
      <c r="AZ78" s="1687"/>
      <c r="BA78" s="231"/>
      <c r="BB78" s="293"/>
      <c r="BD78" s="3405"/>
      <c r="BE78" s="231"/>
      <c r="BF78" s="6793"/>
    </row>
    <row r="79" spans="1:65" x14ac:dyDescent="0.35">
      <c r="A79" s="9227"/>
      <c r="B79" s="325"/>
      <c r="C79" s="326"/>
      <c r="D79" s="197"/>
      <c r="F79" s="327"/>
      <c r="H79" s="325"/>
      <c r="I79" s="328"/>
      <c r="J79" s="3333"/>
      <c r="L79" s="325"/>
      <c r="M79" s="328"/>
      <c r="O79" s="674"/>
      <c r="P79" s="331">
        <v>28363982</v>
      </c>
      <c r="Q79" s="57" t="s">
        <v>2401</v>
      </c>
      <c r="R79" s="3406">
        <f>R38</f>
        <v>1.0210811586374942</v>
      </c>
      <c r="T79" s="330">
        <v>28225906</v>
      </c>
      <c r="U79" s="57" t="s">
        <v>2401</v>
      </c>
      <c r="V79" s="333">
        <f>T79*R79</f>
        <v>28820940.802072998</v>
      </c>
      <c r="X79" s="674">
        <f t="shared" ref="X79" si="105">T79</f>
        <v>28225906</v>
      </c>
      <c r="Y79" s="331">
        <v>28457369</v>
      </c>
      <c r="Z79" s="57" t="s">
        <v>4320</v>
      </c>
      <c r="AA79" s="523">
        <f>IF(X79=0,0,Y79/X79)</f>
        <v>1.008200374507022</v>
      </c>
      <c r="AC79" s="330">
        <v>43953085</v>
      </c>
      <c r="AD79" s="57" t="s">
        <v>4320</v>
      </c>
      <c r="AE79" s="333">
        <f>AC79*AA79</f>
        <v>44313516.75773897</v>
      </c>
      <c r="AG79" s="330">
        <v>43953085</v>
      </c>
      <c r="AH79" s="6122">
        <f>AG79</f>
        <v>43953085</v>
      </c>
      <c r="AI79" s="237" t="s">
        <v>4321</v>
      </c>
      <c r="AJ79" s="523">
        <f>IF(AG79=0,0,AH79/AG79)</f>
        <v>1</v>
      </c>
      <c r="AL79" s="3407"/>
      <c r="AM79" s="57"/>
      <c r="AN79" s="333">
        <f>AL79</f>
        <v>0</v>
      </c>
      <c r="AP79" s="330"/>
      <c r="AQ79" s="331"/>
      <c r="AR79" s="57" t="s">
        <v>4321</v>
      </c>
      <c r="AS79" s="523">
        <f>IF(AP79=0,0,AQ79/AP79)</f>
        <v>0</v>
      </c>
      <c r="AU79" s="3407"/>
      <c r="AV79" s="57"/>
      <c r="AW79" s="6795"/>
      <c r="AY79" s="330"/>
      <c r="AZ79" s="331"/>
      <c r="BA79" s="57"/>
      <c r="BB79" s="523">
        <f>IF(AY79=0,0,AZ79/AY79)</f>
        <v>0</v>
      </c>
      <c r="BD79" s="3407"/>
      <c r="BE79" s="57"/>
      <c r="BF79" s="6795"/>
    </row>
    <row r="80" spans="1:65" x14ac:dyDescent="0.35">
      <c r="A80" s="9227"/>
      <c r="B80" s="330"/>
      <c r="C80" s="326"/>
      <c r="D80" s="197"/>
      <c r="F80" s="336"/>
      <c r="H80" s="330"/>
      <c r="I80" s="337"/>
      <c r="J80" s="3333"/>
      <c r="L80" s="330"/>
      <c r="M80" s="337"/>
      <c r="O80" s="339"/>
      <c r="P80" s="340"/>
      <c r="Q80" s="106"/>
      <c r="R80" s="523">
        <f>IF(O80=0,0,P80/O80)</f>
        <v>0</v>
      </c>
      <c r="T80" s="330"/>
      <c r="U80" s="106"/>
      <c r="V80" s="333">
        <f>T80*R80</f>
        <v>0</v>
      </c>
      <c r="X80" s="339"/>
      <c r="Y80" s="340"/>
      <c r="Z80" s="106"/>
      <c r="AA80" s="523">
        <f>IF(X80=0,0,Y80/X80)</f>
        <v>0</v>
      </c>
      <c r="AC80" s="330"/>
      <c r="AD80" s="106"/>
      <c r="AE80" s="333">
        <f>AC80*AA80</f>
        <v>0</v>
      </c>
      <c r="AG80" s="330"/>
      <c r="AH80" s="6122"/>
      <c r="AI80" s="66"/>
      <c r="AJ80" s="523">
        <f>IF(AG80=0,0,AH80/AG80)</f>
        <v>0</v>
      </c>
      <c r="AL80" s="3407"/>
      <c r="AM80" s="106"/>
      <c r="AN80" s="333">
        <f t="shared" ref="AN80:AN87" si="106">AL80*BM80</f>
        <v>0</v>
      </c>
      <c r="AP80" s="330"/>
      <c r="AQ80" s="331"/>
      <c r="AR80" s="106"/>
      <c r="AS80" s="523">
        <f>IF(AP80=0,0,AQ80/AP80)</f>
        <v>0</v>
      </c>
      <c r="AU80" s="3407"/>
      <c r="AV80" s="106"/>
      <c r="AW80" s="6795"/>
      <c r="AY80" s="330"/>
      <c r="AZ80" s="331"/>
      <c r="BA80" s="106"/>
      <c r="BB80" s="523">
        <f>IF(AY80=0,0,AZ80/AY80)</f>
        <v>0</v>
      </c>
      <c r="BD80" s="3407"/>
      <c r="BE80" s="106"/>
      <c r="BF80" s="6795"/>
    </row>
    <row r="81" spans="1:65" x14ac:dyDescent="0.35">
      <c r="A81" s="9227"/>
      <c r="B81" s="330"/>
      <c r="C81" s="326"/>
      <c r="D81" s="197"/>
      <c r="F81" s="336"/>
      <c r="H81" s="330"/>
      <c r="I81" s="337"/>
      <c r="J81" s="3333"/>
      <c r="L81" s="330"/>
      <c r="M81" s="337"/>
      <c r="O81" s="339"/>
      <c r="P81" s="340"/>
      <c r="Q81" s="106"/>
      <c r="R81" s="523">
        <f t="shared" ref="R81:R85" si="107">IF(O81=0,0,P81/O81)</f>
        <v>0</v>
      </c>
      <c r="T81" s="330"/>
      <c r="U81" s="106"/>
      <c r="V81" s="333">
        <f t="shared" ref="V81:V85" si="108">T81*R81</f>
        <v>0</v>
      </c>
      <c r="X81" s="339"/>
      <c r="Y81" s="340"/>
      <c r="Z81" s="106"/>
      <c r="AA81" s="523">
        <f t="shared" ref="AA81:AA85" si="109">IF(X81=0,0,Y81/X81)</f>
        <v>0</v>
      </c>
      <c r="AC81" s="330"/>
      <c r="AD81" s="106"/>
      <c r="AE81" s="333">
        <f t="shared" ref="AE81:AE85" si="110">AC81*AA81</f>
        <v>0</v>
      </c>
      <c r="AG81" s="330"/>
      <c r="AH81" s="6122"/>
      <c r="AI81" s="66"/>
      <c r="AJ81" s="523">
        <f t="shared" ref="AJ81:AJ85" si="111">IF(AG81=0,0,AH81/AG81)</f>
        <v>0</v>
      </c>
      <c r="AL81" s="3407"/>
      <c r="AM81" s="106"/>
      <c r="AN81" s="333">
        <f t="shared" si="106"/>
        <v>0</v>
      </c>
      <c r="AP81" s="330"/>
      <c r="AQ81" s="331"/>
      <c r="AR81" s="106"/>
      <c r="AS81" s="523">
        <f t="shared" ref="AS81:AS85" si="112">IF(AP81=0,0,AQ81/AP81)</f>
        <v>0</v>
      </c>
      <c r="AU81" s="3407"/>
      <c r="AV81" s="106"/>
      <c r="AW81" s="6795"/>
      <c r="AY81" s="330"/>
      <c r="AZ81" s="331"/>
      <c r="BA81" s="106"/>
      <c r="BB81" s="523">
        <f t="shared" ref="BB81:BB85" si="113">IF(AY81=0,0,AZ81/AY81)</f>
        <v>0</v>
      </c>
      <c r="BD81" s="3407"/>
      <c r="BE81" s="106"/>
      <c r="BF81" s="6795"/>
    </row>
    <row r="82" spans="1:65" x14ac:dyDescent="0.35">
      <c r="A82" s="9227"/>
      <c r="B82" s="330"/>
      <c r="C82" s="326"/>
      <c r="D82" s="197"/>
      <c r="F82" s="336"/>
      <c r="H82" s="330"/>
      <c r="I82" s="337"/>
      <c r="J82" s="3333"/>
      <c r="L82" s="330"/>
      <c r="M82" s="337"/>
      <c r="O82" s="339"/>
      <c r="P82" s="340"/>
      <c r="Q82" s="106"/>
      <c r="R82" s="523">
        <f t="shared" si="107"/>
        <v>0</v>
      </c>
      <c r="T82" s="330"/>
      <c r="U82" s="106"/>
      <c r="V82" s="333">
        <f t="shared" si="108"/>
        <v>0</v>
      </c>
      <c r="X82" s="339"/>
      <c r="Y82" s="340"/>
      <c r="Z82" s="106"/>
      <c r="AA82" s="523">
        <f t="shared" si="109"/>
        <v>0</v>
      </c>
      <c r="AC82" s="330"/>
      <c r="AD82" s="106"/>
      <c r="AE82" s="333">
        <f t="shared" si="110"/>
        <v>0</v>
      </c>
      <c r="AG82" s="330"/>
      <c r="AH82" s="6122"/>
      <c r="AI82" s="66"/>
      <c r="AJ82" s="523">
        <f t="shared" si="111"/>
        <v>0</v>
      </c>
      <c r="AL82" s="3407"/>
      <c r="AM82" s="106"/>
      <c r="AN82" s="333">
        <f t="shared" si="106"/>
        <v>0</v>
      </c>
      <c r="AP82" s="330"/>
      <c r="AQ82" s="331"/>
      <c r="AR82" s="106"/>
      <c r="AS82" s="523">
        <f t="shared" si="112"/>
        <v>0</v>
      </c>
      <c r="AU82" s="3407"/>
      <c r="AV82" s="106"/>
      <c r="AW82" s="6795"/>
      <c r="AY82" s="330"/>
      <c r="AZ82" s="331"/>
      <c r="BA82" s="106"/>
      <c r="BB82" s="523">
        <f t="shared" si="113"/>
        <v>0</v>
      </c>
      <c r="BD82" s="3407"/>
      <c r="BE82" s="106"/>
      <c r="BF82" s="6795"/>
    </row>
    <row r="83" spans="1:65" x14ac:dyDescent="0.35">
      <c r="A83" s="9227"/>
      <c r="B83" s="330"/>
      <c r="C83" s="326"/>
      <c r="D83" s="197"/>
      <c r="F83" s="336"/>
      <c r="H83" s="330"/>
      <c r="I83" s="337"/>
      <c r="J83" s="3333"/>
      <c r="L83" s="330"/>
      <c r="M83" s="337"/>
      <c r="N83" s="143"/>
      <c r="O83" s="339"/>
      <c r="P83" s="340"/>
      <c r="Q83" s="106"/>
      <c r="R83" s="523">
        <f t="shared" si="107"/>
        <v>0</v>
      </c>
      <c r="T83" s="330"/>
      <c r="U83" s="106"/>
      <c r="V83" s="333">
        <f t="shared" si="108"/>
        <v>0</v>
      </c>
      <c r="W83" s="143"/>
      <c r="X83" s="339"/>
      <c r="Y83" s="340"/>
      <c r="Z83" s="106"/>
      <c r="AA83" s="523">
        <f t="shared" si="109"/>
        <v>0</v>
      </c>
      <c r="AC83" s="330"/>
      <c r="AD83" s="106"/>
      <c r="AE83" s="333">
        <f t="shared" si="110"/>
        <v>0</v>
      </c>
      <c r="AF83" s="143"/>
      <c r="AG83" s="330"/>
      <c r="AH83" s="6122"/>
      <c r="AI83" s="66"/>
      <c r="AJ83" s="523">
        <f t="shared" si="111"/>
        <v>0</v>
      </c>
      <c r="AL83" s="3407"/>
      <c r="AM83" s="106"/>
      <c r="AN83" s="333">
        <f t="shared" si="106"/>
        <v>0</v>
      </c>
      <c r="AO83" s="143"/>
      <c r="AP83" s="330"/>
      <c r="AQ83" s="331"/>
      <c r="AR83" s="106"/>
      <c r="AS83" s="523">
        <f t="shared" si="112"/>
        <v>0</v>
      </c>
      <c r="AU83" s="3407"/>
      <c r="AV83" s="106"/>
      <c r="AW83" s="6795"/>
      <c r="AY83" s="330"/>
      <c r="AZ83" s="331"/>
      <c r="BA83" s="106"/>
      <c r="BB83" s="523">
        <f t="shared" si="113"/>
        <v>0</v>
      </c>
      <c r="BD83" s="3407"/>
      <c r="BE83" s="106"/>
      <c r="BF83" s="6795"/>
    </row>
    <row r="84" spans="1:65" x14ac:dyDescent="0.35">
      <c r="A84" s="9227"/>
      <c r="B84" s="330"/>
      <c r="C84" s="326"/>
      <c r="D84" s="197"/>
      <c r="F84" s="336"/>
      <c r="H84" s="330"/>
      <c r="I84" s="337"/>
      <c r="J84" s="3333"/>
      <c r="L84" s="330"/>
      <c r="M84" s="337"/>
      <c r="O84" s="339"/>
      <c r="P84" s="340"/>
      <c r="Q84" s="106"/>
      <c r="R84" s="523">
        <f t="shared" si="107"/>
        <v>0</v>
      </c>
      <c r="T84" s="330"/>
      <c r="U84" s="106"/>
      <c r="V84" s="333">
        <f t="shared" si="108"/>
        <v>0</v>
      </c>
      <c r="X84" s="339"/>
      <c r="Y84" s="340"/>
      <c r="Z84" s="106"/>
      <c r="AA84" s="523">
        <f t="shared" si="109"/>
        <v>0</v>
      </c>
      <c r="AC84" s="330"/>
      <c r="AD84" s="106"/>
      <c r="AE84" s="333">
        <f t="shared" si="110"/>
        <v>0</v>
      </c>
      <c r="AG84" s="330"/>
      <c r="AH84" s="6122"/>
      <c r="AI84" s="66"/>
      <c r="AJ84" s="523">
        <f t="shared" si="111"/>
        <v>0</v>
      </c>
      <c r="AL84" s="3407"/>
      <c r="AM84" s="106"/>
      <c r="AN84" s="333">
        <f t="shared" si="106"/>
        <v>0</v>
      </c>
      <c r="AP84" s="330"/>
      <c r="AQ84" s="331"/>
      <c r="AR84" s="106"/>
      <c r="AS84" s="523">
        <f t="shared" si="112"/>
        <v>0</v>
      </c>
      <c r="AU84" s="3407"/>
      <c r="AV84" s="106"/>
      <c r="AW84" s="6795"/>
      <c r="AY84" s="330"/>
      <c r="AZ84" s="331"/>
      <c r="BA84" s="106"/>
      <c r="BB84" s="523">
        <f t="shared" si="113"/>
        <v>0</v>
      </c>
      <c r="BD84" s="3407"/>
      <c r="BE84" s="106"/>
      <c r="BF84" s="6795"/>
    </row>
    <row r="85" spans="1:65" x14ac:dyDescent="0.35">
      <c r="A85" s="9227"/>
      <c r="B85" s="330"/>
      <c r="C85" s="326"/>
      <c r="D85" s="197"/>
      <c r="F85" s="336"/>
      <c r="H85" s="330"/>
      <c r="I85" s="337"/>
      <c r="J85" s="3333"/>
      <c r="L85" s="330"/>
      <c r="M85" s="337"/>
      <c r="O85" s="339"/>
      <c r="P85" s="340"/>
      <c r="Q85" s="106"/>
      <c r="R85" s="523">
        <f t="shared" si="107"/>
        <v>0</v>
      </c>
      <c r="T85" s="330"/>
      <c r="U85" s="106"/>
      <c r="V85" s="333">
        <f t="shared" si="108"/>
        <v>0</v>
      </c>
      <c r="X85" s="339"/>
      <c r="Y85" s="340"/>
      <c r="Z85" s="106"/>
      <c r="AA85" s="523">
        <f t="shared" si="109"/>
        <v>0</v>
      </c>
      <c r="AC85" s="330"/>
      <c r="AD85" s="106"/>
      <c r="AE85" s="333">
        <f t="shared" si="110"/>
        <v>0</v>
      </c>
      <c r="AG85" s="330"/>
      <c r="AH85" s="6122"/>
      <c r="AI85" s="66"/>
      <c r="AJ85" s="523">
        <f t="shared" si="111"/>
        <v>0</v>
      </c>
      <c r="AL85" s="3407"/>
      <c r="AM85" s="106"/>
      <c r="AN85" s="333">
        <f t="shared" si="106"/>
        <v>0</v>
      </c>
      <c r="AP85" s="330"/>
      <c r="AQ85" s="331"/>
      <c r="AR85" s="106"/>
      <c r="AS85" s="523">
        <f t="shared" si="112"/>
        <v>0</v>
      </c>
      <c r="AU85" s="3407"/>
      <c r="AV85" s="106"/>
      <c r="AW85" s="6795"/>
      <c r="AY85" s="330"/>
      <c r="AZ85" s="331"/>
      <c r="BA85" s="106"/>
      <c r="BB85" s="523">
        <f t="shared" si="113"/>
        <v>0</v>
      </c>
      <c r="BD85" s="3407"/>
      <c r="BE85" s="106"/>
      <c r="BF85" s="6795"/>
    </row>
    <row r="86" spans="1:65" ht="19.5" customHeight="1" x14ac:dyDescent="0.35">
      <c r="A86" s="9227"/>
      <c r="B86" s="330"/>
      <c r="C86" s="337"/>
      <c r="D86" s="197"/>
      <c r="F86" s="336"/>
      <c r="H86" s="330"/>
      <c r="I86" s="337"/>
      <c r="J86" s="3333"/>
      <c r="L86" s="330"/>
      <c r="M86" s="337"/>
      <c r="O86" s="339"/>
      <c r="P86" s="340"/>
      <c r="Q86" s="106"/>
      <c r="R86" s="523">
        <f>IF(O86=0,0,P86/O86)</f>
        <v>0</v>
      </c>
      <c r="T86" s="330"/>
      <c r="U86" s="106"/>
      <c r="V86" s="333">
        <f>T86*R86</f>
        <v>0</v>
      </c>
      <c r="X86" s="339"/>
      <c r="Y86" s="340"/>
      <c r="Z86" s="106"/>
      <c r="AA86" s="523">
        <f>IF(X86=0,0,Y86/X86)</f>
        <v>0</v>
      </c>
      <c r="AC86" s="330"/>
      <c r="AD86" s="106"/>
      <c r="AE86" s="333">
        <f>AC86*AA86</f>
        <v>0</v>
      </c>
      <c r="AG86" s="330"/>
      <c r="AH86" s="6122"/>
      <c r="AI86" s="66"/>
      <c r="AJ86" s="523">
        <f>IF(AG86=0,0,AH86/AG86)</f>
        <v>0</v>
      </c>
      <c r="AL86" s="3407"/>
      <c r="AM86" s="106"/>
      <c r="AN86" s="333">
        <f t="shared" si="106"/>
        <v>0</v>
      </c>
      <c r="AP86" s="330"/>
      <c r="AQ86" s="331"/>
      <c r="AR86" s="106"/>
      <c r="AS86" s="523">
        <f>IF(AP86=0,0,AQ86/AP86)</f>
        <v>0</v>
      </c>
      <c r="AU86" s="3407"/>
      <c r="AV86" s="106"/>
      <c r="AW86" s="6795"/>
      <c r="AY86" s="330"/>
      <c r="AZ86" s="331"/>
      <c r="BA86" s="106"/>
      <c r="BB86" s="523">
        <f>IF(AY86=0,0,AZ86/AY86)</f>
        <v>0</v>
      </c>
      <c r="BD86" s="3407"/>
      <c r="BE86" s="106"/>
      <c r="BF86" s="6795"/>
    </row>
    <row r="87" spans="1:65" x14ac:dyDescent="0.35">
      <c r="A87" s="9228"/>
      <c r="B87" s="341"/>
      <c r="C87" s="342"/>
      <c r="D87" s="209"/>
      <c r="F87" s="343"/>
      <c r="H87" s="341"/>
      <c r="I87" s="342"/>
      <c r="J87" s="3334"/>
      <c r="L87" s="341"/>
      <c r="M87" s="342"/>
      <c r="O87" s="345"/>
      <c r="P87" s="346"/>
      <c r="Q87" s="216"/>
      <c r="R87" s="527">
        <f>IF(O87=0,0,P87/O87)</f>
        <v>0</v>
      </c>
      <c r="T87" s="341"/>
      <c r="U87" s="216"/>
      <c r="V87" s="347">
        <f>T87*R87</f>
        <v>0</v>
      </c>
      <c r="X87" s="345"/>
      <c r="Y87" s="346"/>
      <c r="Z87" s="216"/>
      <c r="AA87" s="527">
        <f>IF(X87=0,0,Y87/X87)</f>
        <v>0</v>
      </c>
      <c r="AC87" s="341"/>
      <c r="AD87" s="216"/>
      <c r="AE87" s="347">
        <f>AC87*AA87</f>
        <v>0</v>
      </c>
      <c r="AG87" s="341"/>
      <c r="AH87" s="3408"/>
      <c r="AI87" s="92"/>
      <c r="AJ87" s="527">
        <f>IF(AG87=0,0,AH87/AG87)</f>
        <v>0</v>
      </c>
      <c r="AL87" s="3409"/>
      <c r="AM87" s="216"/>
      <c r="AN87" s="347">
        <f t="shared" si="106"/>
        <v>0</v>
      </c>
      <c r="AP87" s="341"/>
      <c r="AQ87" s="952"/>
      <c r="AR87" s="216"/>
      <c r="AS87" s="527">
        <f>IF(AP87=0,0,AQ87/AP87)</f>
        <v>0</v>
      </c>
      <c r="AU87" s="3409"/>
      <c r="AV87" s="216"/>
      <c r="AW87" s="6797"/>
      <c r="AY87" s="341"/>
      <c r="AZ87" s="952"/>
      <c r="BA87" s="216"/>
      <c r="BB87" s="527">
        <f>IF(AY87=0,0,AZ87/AY87)</f>
        <v>0</v>
      </c>
      <c r="BD87" s="3409"/>
      <c r="BE87" s="216"/>
      <c r="BF87" s="6797"/>
    </row>
    <row r="88" spans="1:65" x14ac:dyDescent="0.35">
      <c r="A88" s="310"/>
      <c r="B88" s="310"/>
      <c r="F88" s="106"/>
      <c r="H88" s="106"/>
      <c r="I88" s="106"/>
      <c r="J88" s="558"/>
      <c r="L88" s="106"/>
      <c r="M88" s="312"/>
      <c r="O88" s="106"/>
      <c r="P88" s="106"/>
      <c r="Q88" s="106"/>
      <c r="R88" s="558"/>
      <c r="T88" s="106"/>
      <c r="U88" s="106"/>
      <c r="V88" s="312"/>
      <c r="X88" s="106"/>
      <c r="Y88" s="106"/>
      <c r="Z88" s="106"/>
      <c r="AA88" s="558"/>
      <c r="AC88" s="106"/>
      <c r="AD88" s="106"/>
      <c r="AE88" s="312"/>
      <c r="AG88" s="106"/>
      <c r="AH88" s="106"/>
      <c r="AI88" s="106"/>
      <c r="AJ88" s="106"/>
      <c r="AK88" s="106"/>
      <c r="AL88" s="106"/>
      <c r="AM88" s="106"/>
      <c r="AN88" s="312"/>
      <c r="AP88" s="106"/>
      <c r="AQ88" s="106"/>
      <c r="AR88" s="106"/>
      <c r="AS88" s="106"/>
      <c r="AT88" s="106"/>
      <c r="AU88" s="106"/>
      <c r="AV88" s="106"/>
      <c r="AW88" s="312"/>
      <c r="AY88" s="106"/>
      <c r="AZ88" s="106"/>
      <c r="BA88" s="106"/>
      <c r="BB88" s="106"/>
      <c r="BC88" s="106"/>
      <c r="BD88" s="106"/>
      <c r="BE88" s="106"/>
      <c r="BF88" s="312"/>
    </row>
    <row r="89" spans="1:65" x14ac:dyDescent="0.35">
      <c r="A89" s="9167" t="s">
        <v>566</v>
      </c>
      <c r="B89" s="139" t="s">
        <v>567</v>
      </c>
      <c r="C89" s="348"/>
      <c r="D89" s="49"/>
      <c r="E89" s="141"/>
      <c r="F89" s="227"/>
      <c r="G89" s="141"/>
      <c r="H89" s="102"/>
      <c r="I89" s="103"/>
      <c r="J89" s="228"/>
      <c r="K89" s="141"/>
      <c r="L89" s="102"/>
      <c r="M89" s="268"/>
      <c r="O89" s="102"/>
      <c r="P89" s="103"/>
      <c r="Q89" s="103"/>
      <c r="R89" s="228"/>
      <c r="S89" s="141"/>
      <c r="T89" s="102"/>
      <c r="U89" s="103"/>
      <c r="V89" s="268"/>
      <c r="X89" s="102"/>
      <c r="Y89" s="103"/>
      <c r="Z89" s="103"/>
      <c r="AA89" s="228"/>
      <c r="AB89" s="141"/>
      <c r="AC89" s="102"/>
      <c r="AD89" s="103"/>
      <c r="AE89" s="268"/>
      <c r="AG89" s="102"/>
      <c r="AH89" s="103"/>
      <c r="AI89" s="105"/>
      <c r="AJ89" s="228"/>
      <c r="AL89" s="3392"/>
      <c r="AM89" s="103"/>
      <c r="AN89" s="268"/>
      <c r="AP89" s="102"/>
      <c r="AQ89" s="103"/>
      <c r="AR89" s="103"/>
      <c r="AS89" s="228"/>
      <c r="AU89" s="3392"/>
      <c r="AV89" s="103"/>
      <c r="AW89" s="268"/>
      <c r="AY89" s="102"/>
      <c r="AZ89" s="103"/>
      <c r="BA89" s="103"/>
      <c r="BB89" s="228"/>
      <c r="BD89" s="3392"/>
      <c r="BE89" s="103"/>
      <c r="BF89" s="268"/>
    </row>
    <row r="90" spans="1:65" x14ac:dyDescent="0.35">
      <c r="A90" s="9168"/>
      <c r="B90" s="6082"/>
      <c r="C90"/>
      <c r="D90" s="110" t="s">
        <v>568</v>
      </c>
      <c r="F90" s="349">
        <f>SUM(F38:F40)-SUM(F44:F46)</f>
        <v>62053016</v>
      </c>
      <c r="G90" s="350"/>
      <c r="H90" s="351">
        <f>SUM(H38:H40)-SUM(H44:H46)</f>
        <v>79356615</v>
      </c>
      <c r="I90" s="352">
        <f>SUM(I38:I40)-SUM(I44:I46)</f>
        <v>77825687</v>
      </c>
      <c r="J90" s="246"/>
      <c r="K90" s="350"/>
      <c r="L90" s="351">
        <f>SUM(L38:L40)-SUM(L44:L46)</f>
        <v>78192429</v>
      </c>
      <c r="M90" s="353">
        <f>SUM(M38:M42)-SUM(M44:M46)</f>
        <v>76683960.18559666</v>
      </c>
      <c r="O90" s="354">
        <f>SUM(O38:O42)-SUM(O44:O46)</f>
        <v>78192429</v>
      </c>
      <c r="P90" s="355">
        <f>SUM(P38:P42)-SUM(P44:P46)</f>
        <v>79840816</v>
      </c>
      <c r="Q90" s="352"/>
      <c r="R90" s="246"/>
      <c r="S90" s="350"/>
      <c r="T90" s="351">
        <f>SUM(T38:T42)-SUM(T44:T46)</f>
        <v>87989875</v>
      </c>
      <c r="U90" s="352"/>
      <c r="V90" s="353">
        <f>SUM(V38:V42)-SUM(V44:V46)</f>
        <v>89844803.513368294</v>
      </c>
      <c r="X90" s="351">
        <f>SUM(X38:X42)-SUM(X44:X46)</f>
        <v>87989875</v>
      </c>
      <c r="Y90" s="352">
        <f>SUM(Y38:Y42)-SUM(Y44:Y46)</f>
        <v>90689488</v>
      </c>
      <c r="Z90" s="352"/>
      <c r="AA90" s="246"/>
      <c r="AB90" s="350"/>
      <c r="AC90" s="351">
        <f>SUM(AC38:AC42)-SUM(AC44:AC46)</f>
        <v>107319041</v>
      </c>
      <c r="AD90" s="352"/>
      <c r="AE90" s="353">
        <f>SUM(AE38:AE42)-SUM(AE44:AE46)</f>
        <v>107319041</v>
      </c>
      <c r="AG90" s="351">
        <f>SUM(AG38:AG42)-SUM(AG44:AG46)</f>
        <v>107319041</v>
      </c>
      <c r="AH90" s="352">
        <f>SUM(AH38:AH42)-SUM(AH44:AH46)</f>
        <v>109444700</v>
      </c>
      <c r="AI90" s="353"/>
      <c r="AJ90" s="246"/>
      <c r="AL90" s="3410">
        <f>SUM(AL38:AL42)-SUM(AL44:AL46)</f>
        <v>115879090</v>
      </c>
      <c r="AM90" s="352"/>
      <c r="AN90" s="353">
        <f>SUM(AN38:AN42)-SUM(AN44:AN46)</f>
        <v>115879090</v>
      </c>
      <c r="AP90" s="351">
        <f>SUM(AP38:AP42)-SUM(AP44:AP46)</f>
        <v>115879090</v>
      </c>
      <c r="AQ90" s="352">
        <f>SUM(AQ38:AQ42)-SUM(AQ44:AQ46)</f>
        <v>116391990</v>
      </c>
      <c r="AR90" s="352"/>
      <c r="AS90" s="246"/>
      <c r="AU90" s="3410">
        <f>SUM(AU38:AU42)-SUM(AU44:AU46)</f>
        <v>132219074</v>
      </c>
      <c r="AV90" s="352"/>
      <c r="AW90" s="353">
        <f>SUM(AW38:AW42)-SUM(AW44:AW46)</f>
        <v>132740558.32231128</v>
      </c>
      <c r="AY90" s="351">
        <f>SUM(AY38:AY42)-SUM(AY44:AY46)</f>
        <v>134507300</v>
      </c>
      <c r="AZ90" s="352">
        <f>SUM(AZ38:AZ42)-SUM(AZ44:AZ46)</f>
        <v>124425200</v>
      </c>
      <c r="BA90" s="352"/>
      <c r="BB90" s="246"/>
      <c r="BD90" s="3410">
        <f>SUM(BD38:BD42)-SUM(BD44:BD46)</f>
        <v>163755900</v>
      </c>
      <c r="BE90" s="352"/>
      <c r="BF90" s="353">
        <f>SUM(BF38:BF42)-SUM(BF44:BF46)</f>
        <v>149608909.78078419</v>
      </c>
    </row>
    <row r="91" spans="1:65" x14ac:dyDescent="0.35">
      <c r="A91" s="9168"/>
      <c r="B91" s="6082"/>
      <c r="C91"/>
      <c r="D91" s="110" t="s">
        <v>569</v>
      </c>
      <c r="F91" s="349">
        <f>SUM(F48:F57)</f>
        <v>884081</v>
      </c>
      <c r="G91" s="350"/>
      <c r="H91" s="351">
        <f>SUM(H48:H57)</f>
        <v>1267893</v>
      </c>
      <c r="I91" s="352">
        <f>SUM(I48:I57)</f>
        <v>1130318</v>
      </c>
      <c r="J91" s="246"/>
      <c r="K91" s="350"/>
      <c r="L91" s="351">
        <f>SUM(L48:L57)</f>
        <v>1390585</v>
      </c>
      <c r="M91" s="353">
        <f>SUM(M48:M57)</f>
        <v>1239741.9678034277</v>
      </c>
      <c r="O91" s="354">
        <f>SUM(O48:O57)</f>
        <v>1390585</v>
      </c>
      <c r="P91" s="355">
        <f>SUM(P48:P57)</f>
        <v>2071660</v>
      </c>
      <c r="Q91" s="352"/>
      <c r="R91" s="246"/>
      <c r="S91" s="350"/>
      <c r="T91" s="351">
        <f>SUM(T48:T57)</f>
        <v>3805279</v>
      </c>
      <c r="U91" s="352"/>
      <c r="V91" s="353">
        <f>SUM(V48:V57)</f>
        <v>3785313.7164300429</v>
      </c>
      <c r="X91" s="351">
        <f>SUM(X48:X57)</f>
        <v>3805279</v>
      </c>
      <c r="Y91" s="352">
        <f>SUM(Y48:Y57)</f>
        <v>1785187</v>
      </c>
      <c r="Z91" s="352"/>
      <c r="AA91" s="246"/>
      <c r="AB91" s="350"/>
      <c r="AC91" s="351">
        <f>SUM(AC48:AC57)</f>
        <v>4748457</v>
      </c>
      <c r="AD91" s="352"/>
      <c r="AE91" s="353">
        <f>SUM(AE48:AE57)</f>
        <v>4748457</v>
      </c>
      <c r="AG91" s="351">
        <f>SUM(AG48:AG57)</f>
        <v>4748457</v>
      </c>
      <c r="AH91" s="352">
        <f>SUM(AH48:AH57)</f>
        <v>4748457</v>
      </c>
      <c r="AI91" s="353"/>
      <c r="AJ91" s="246"/>
      <c r="AL91" s="3410">
        <f>SUM(AL48:AL57)</f>
        <v>9319900</v>
      </c>
      <c r="AM91" s="352"/>
      <c r="AN91" s="353">
        <f>SUM(AN48:AN57)</f>
        <v>9319900</v>
      </c>
      <c r="AP91" s="351">
        <f>SUM(AP48:AP57)</f>
        <v>9319900</v>
      </c>
      <c r="AQ91" s="352">
        <f>SUM(AQ48:AQ57)</f>
        <v>9318900</v>
      </c>
      <c r="AR91" s="352"/>
      <c r="AS91" s="246"/>
      <c r="AU91" s="3410">
        <f>SUM(AU48:AU57)</f>
        <v>9790900</v>
      </c>
      <c r="AV91" s="352"/>
      <c r="AW91" s="353">
        <f>SUM(AW48:AW57)</f>
        <v>9773887.3417721521</v>
      </c>
      <c r="AY91" s="351">
        <f>SUM(AY48:AY57)</f>
        <v>3111000</v>
      </c>
      <c r="AZ91" s="352">
        <f>SUM(AZ48:AZ57)</f>
        <v>3111000</v>
      </c>
      <c r="BA91" s="352"/>
      <c r="BB91" s="246"/>
      <c r="BD91" s="3410">
        <f>SUM(BD48:BD57)</f>
        <v>3095000</v>
      </c>
      <c r="BE91" s="352"/>
      <c r="BF91" s="353">
        <f>SUM(BF48:BF57)</f>
        <v>3095000</v>
      </c>
    </row>
    <row r="92" spans="1:65" s="462" customFormat="1" x14ac:dyDescent="0.35">
      <c r="A92" s="9168"/>
      <c r="B92" s="6082"/>
      <c r="C92"/>
      <c r="D92" s="110" t="s">
        <v>570</v>
      </c>
      <c r="E92" s="1"/>
      <c r="F92" s="349">
        <f>SUM(F59:F66)*F29</f>
        <v>388223.970241968</v>
      </c>
      <c r="G92" s="350"/>
      <c r="H92" s="351">
        <f>SUM(H59:H66)*H29</f>
        <v>532461.25608021871</v>
      </c>
      <c r="I92" s="352">
        <f>SUM(I59:I66)*I29</f>
        <v>539025.77576323668</v>
      </c>
      <c r="J92" s="246"/>
      <c r="K92" s="350"/>
      <c r="L92" s="351">
        <f>SUM(L59:L66)*L29</f>
        <v>858127.82195750461</v>
      </c>
      <c r="M92" s="353">
        <f>SUM(M59:M66)*M29</f>
        <v>866310.62709147972</v>
      </c>
      <c r="N92" s="1"/>
      <c r="O92" s="354">
        <f>SUM(O59:O66)*O29</f>
        <v>858127.82195750461</v>
      </c>
      <c r="P92" s="355">
        <f>SUM(P59:P66)*P29</f>
        <v>465245.74995006312</v>
      </c>
      <c r="Q92" s="352"/>
      <c r="R92" s="246"/>
      <c r="S92" s="350"/>
      <c r="T92" s="351">
        <f>SUM(T59:T66)*T29</f>
        <v>693196.07824872376</v>
      </c>
      <c r="U92" s="352"/>
      <c r="V92" s="353">
        <f>SUM(V59:V66)*V29</f>
        <v>375810.02879669465</v>
      </c>
      <c r="W92" s="1"/>
      <c r="X92" s="351">
        <f>SUM(X59:X66)*X29</f>
        <v>693196.07824872376</v>
      </c>
      <c r="Y92" s="352">
        <f>SUM(Y59:Y66)*Y29</f>
        <v>478095.065941668</v>
      </c>
      <c r="Z92" s="352"/>
      <c r="AA92" s="246"/>
      <c r="AB92" s="350"/>
      <c r="AC92" s="351">
        <f>SUM(AC59:AC66)*AC29</f>
        <v>476216.8862349877</v>
      </c>
      <c r="AD92" s="352"/>
      <c r="AE92" s="353">
        <f>SUM(AE59:AE66)*AE29</f>
        <v>552527.49322674237</v>
      </c>
      <c r="AF92" s="1"/>
      <c r="AG92" s="351">
        <f>SUM(AG59:AG66)*AG29</f>
        <v>476216.8862349877</v>
      </c>
      <c r="AH92" s="352">
        <f>SUM(AH59:AH66)*AH29</f>
        <v>369733.9579099901</v>
      </c>
      <c r="AI92" s="353"/>
      <c r="AJ92" s="246"/>
      <c r="AK92"/>
      <c r="AL92" s="3410">
        <f>SUM(AL59:AL66)*AL29</f>
        <v>529641.92864321161</v>
      </c>
      <c r="AM92" s="352"/>
      <c r="AN92" s="353">
        <f>SUM(AN59:AN66)*AN29</f>
        <v>411213.0674335332</v>
      </c>
      <c r="AO92" s="1"/>
      <c r="AP92" s="351">
        <f>SUM(AP59:AP66)*AP29</f>
        <v>529641.92864321161</v>
      </c>
      <c r="AQ92" s="352">
        <f>SUM(AQ59:AQ66)*AQ29</f>
        <v>576880.18993129453</v>
      </c>
      <c r="AR92" s="352"/>
      <c r="AS92" s="246"/>
      <c r="AT92"/>
      <c r="AU92" s="3410">
        <f>SUM(AU59:AU66)*AU29</f>
        <v>698617.16001989413</v>
      </c>
      <c r="AV92" s="352"/>
      <c r="AW92" s="353">
        <f>SUM(AW59:AW66)*AW29</f>
        <v>760926.16193350451</v>
      </c>
      <c r="AX92"/>
      <c r="AY92" s="351">
        <f>SUM(AY59:AY66)*AY29</f>
        <v>698414.73835360794</v>
      </c>
      <c r="AZ92" s="352">
        <f>SUM(AZ59:AZ66)*AZ29</f>
        <v>814200.13125151675</v>
      </c>
      <c r="BA92" s="352"/>
      <c r="BB92" s="246"/>
      <c r="BC92"/>
      <c r="BD92" s="3410">
        <f>SUM(BD59:BD66)*BD29</f>
        <v>608852.6115688493</v>
      </c>
      <c r="BE92" s="352"/>
      <c r="BF92" s="353">
        <f>SUM(BF59:BF66)*BF29</f>
        <v>709790.11327965197</v>
      </c>
      <c r="BG92"/>
      <c r="BH92"/>
      <c r="BI92"/>
      <c r="BJ92"/>
      <c r="BK92"/>
      <c r="BL92"/>
      <c r="BM92"/>
    </row>
    <row r="93" spans="1:65" s="462" customFormat="1" x14ac:dyDescent="0.35">
      <c r="A93" s="9168"/>
      <c r="B93" s="6082"/>
      <c r="C93"/>
      <c r="D93" s="110" t="s">
        <v>552</v>
      </c>
      <c r="E93" s="1"/>
      <c r="F93" s="349">
        <f>SUM(F68:F70)</f>
        <v>1311013.027</v>
      </c>
      <c r="G93" s="350"/>
      <c r="H93" s="351">
        <f t="shared" ref="H93:I93" si="114">SUM(H68:H70)</f>
        <v>1401877.071</v>
      </c>
      <c r="I93" s="352">
        <f t="shared" si="114"/>
        <v>1411901.6240000001</v>
      </c>
      <c r="J93" s="246"/>
      <c r="K93" s="350"/>
      <c r="L93" s="351">
        <f t="shared" ref="L93:M93" si="115">SUM(L68:L70)</f>
        <v>1500355</v>
      </c>
      <c r="M93" s="353">
        <f t="shared" si="115"/>
        <v>1511083.7497081226</v>
      </c>
      <c r="N93" s="1"/>
      <c r="O93" s="354">
        <f t="shared" ref="O93:P93" si="116">SUM(O68:O70)</f>
        <v>1500355</v>
      </c>
      <c r="P93" s="355">
        <f t="shared" si="116"/>
        <v>1647471.8020000001</v>
      </c>
      <c r="Q93" s="352"/>
      <c r="R93" s="246"/>
      <c r="S93" s="350"/>
      <c r="T93" s="351">
        <f>SUM(T68:T70)</f>
        <v>1647016.5950000002</v>
      </c>
      <c r="U93" s="352"/>
      <c r="V93" s="353">
        <f>SUM(V68:V70)</f>
        <v>1808514.2500865157</v>
      </c>
      <c r="W93" s="1"/>
      <c r="X93" s="351">
        <f>SUM(X68:X70)</f>
        <v>1647016.5950000002</v>
      </c>
      <c r="Y93" s="352">
        <f>SUM(Y68:Y70)</f>
        <v>1647016.5950000002</v>
      </c>
      <c r="Z93" s="352"/>
      <c r="AA93" s="246"/>
      <c r="AB93" s="350"/>
      <c r="AC93" s="351">
        <f>SUM(AC68:AC70)</f>
        <v>1221086.162</v>
      </c>
      <c r="AD93" s="352"/>
      <c r="AE93" s="353">
        <f>SUM(AE68:AE70)</f>
        <v>1221086.162</v>
      </c>
      <c r="AF93" s="1"/>
      <c r="AG93" s="351">
        <f>SUM(AG68:AG70)</f>
        <v>1221086.162</v>
      </c>
      <c r="AH93" s="352">
        <f>SUM(AH68:AH70)</f>
        <v>9775020</v>
      </c>
      <c r="AI93" s="353"/>
      <c r="AJ93" s="246"/>
      <c r="AK93"/>
      <c r="AL93" s="3410">
        <f>SUM(AL68:AL70)</f>
        <v>11148354</v>
      </c>
      <c r="AM93" s="352"/>
      <c r="AN93" s="353">
        <f>SUM(AN68:AN70)</f>
        <v>11148354</v>
      </c>
      <c r="AO93" s="1"/>
      <c r="AP93" s="351">
        <f>SUM(AP68:AP70)</f>
        <v>11148354</v>
      </c>
      <c r="AQ93" s="352">
        <f>SUM(AQ68:AQ70)</f>
        <v>12825922.23365088</v>
      </c>
      <c r="AR93" s="352"/>
      <c r="AS93" s="246"/>
      <c r="AT93"/>
      <c r="AU93" s="3410">
        <f>SUM(AU68:AU70)</f>
        <v>13856114.510765102</v>
      </c>
      <c r="AV93" s="352"/>
      <c r="AW93" s="353">
        <f>SUM(AW68:AW70)</f>
        <v>15941137.783715399</v>
      </c>
      <c r="AX93"/>
      <c r="AY93" s="351">
        <f>SUM(AY68:AY70)</f>
        <v>13754805.6</v>
      </c>
      <c r="AZ93" s="352">
        <f>SUM(AZ68:AZ70)</f>
        <v>13754805.6</v>
      </c>
      <c r="BA93" s="352"/>
      <c r="BB93" s="246"/>
      <c r="BC93"/>
      <c r="BD93" s="3410">
        <f>SUM(BD68:BD70)</f>
        <v>14620464.800000001</v>
      </c>
      <c r="BE93" s="352"/>
      <c r="BF93" s="353">
        <f>SUM(BF68:BF70)</f>
        <v>14620464.800000001</v>
      </c>
      <c r="BG93"/>
      <c r="BH93"/>
      <c r="BI93"/>
      <c r="BJ93"/>
      <c r="BK93"/>
      <c r="BL93"/>
      <c r="BM93"/>
    </row>
    <row r="94" spans="1:65" s="462" customFormat="1" ht="12" customHeight="1" x14ac:dyDescent="0.35">
      <c r="A94" s="9168"/>
      <c r="B94" s="6082"/>
      <c r="C94"/>
      <c r="D94" s="356" t="s">
        <v>571</v>
      </c>
      <c r="E94" s="143"/>
      <c r="F94" s="357">
        <f>SUM(F90:F93)</f>
        <v>64636333.997241974</v>
      </c>
      <c r="G94" s="358"/>
      <c r="H94" s="359">
        <f t="shared" ref="H94:I94" si="117">SUM(H90:H93)</f>
        <v>82558846.32708022</v>
      </c>
      <c r="I94" s="360">
        <f t="shared" si="117"/>
        <v>80906932.399763241</v>
      </c>
      <c r="J94" s="361"/>
      <c r="K94" s="358"/>
      <c r="L94" s="359">
        <f t="shared" ref="L94:M94" si="118">SUM(L90:L93)</f>
        <v>81941496.821957499</v>
      </c>
      <c r="M94" s="362">
        <f t="shared" si="118"/>
        <v>80301096.530199692</v>
      </c>
      <c r="N94" s="1"/>
      <c r="O94" s="363">
        <f t="shared" ref="O94:P94" si="119">SUM(O90:O93)</f>
        <v>81941496.821957499</v>
      </c>
      <c r="P94" s="364">
        <f t="shared" si="119"/>
        <v>84025193.551950067</v>
      </c>
      <c r="Q94" s="360"/>
      <c r="R94" s="361"/>
      <c r="S94" s="358"/>
      <c r="T94" s="359">
        <f t="shared" ref="T94" si="120">SUM(T90:T93)</f>
        <v>94135366.673248723</v>
      </c>
      <c r="U94" s="360"/>
      <c r="V94" s="362">
        <f t="shared" ref="V94" si="121">SUM(V90:V93)</f>
        <v>95814441.508681536</v>
      </c>
      <c r="W94" s="1"/>
      <c r="X94" s="359">
        <f t="shared" ref="X94:Y94" si="122">SUM(X90:X93)</f>
        <v>94135366.673248723</v>
      </c>
      <c r="Y94" s="360">
        <f t="shared" si="122"/>
        <v>94599786.66094166</v>
      </c>
      <c r="Z94" s="360"/>
      <c r="AA94" s="361"/>
      <c r="AB94" s="358"/>
      <c r="AC94" s="359">
        <f t="shared" ref="AC94" si="123">SUM(AC90:AC93)</f>
        <v>113764801.04823498</v>
      </c>
      <c r="AD94" s="360"/>
      <c r="AE94" s="362">
        <f t="shared" ref="AE94" si="124">SUM(AE90:AE93)</f>
        <v>113841111.65522674</v>
      </c>
      <c r="AF94" s="1"/>
      <c r="AG94" s="359">
        <f t="shared" ref="AG94:AH94" si="125">SUM(AG90:AG93)</f>
        <v>113764801.04823498</v>
      </c>
      <c r="AH94" s="360">
        <f t="shared" si="125"/>
        <v>124337910.95790999</v>
      </c>
      <c r="AI94" s="362"/>
      <c r="AJ94" s="361"/>
      <c r="AK94"/>
      <c r="AL94" s="3411">
        <f t="shared" ref="AL94" si="126">SUM(AL90:AL93)</f>
        <v>136876985.92864323</v>
      </c>
      <c r="AM94" s="360"/>
      <c r="AN94" s="362">
        <f t="shared" ref="AN94" si="127">SUM(AN90:AN93)</f>
        <v>136758557.06743354</v>
      </c>
      <c r="AO94" s="1"/>
      <c r="AP94" s="359">
        <f t="shared" ref="AP94:AQ94" si="128">SUM(AP90:AP93)</f>
        <v>136876985.92864323</v>
      </c>
      <c r="AQ94" s="360">
        <f t="shared" si="128"/>
        <v>139113692.42358217</v>
      </c>
      <c r="AR94" s="360"/>
      <c r="AS94" s="361"/>
      <c r="AT94"/>
      <c r="AU94" s="3411">
        <f t="shared" ref="AU94" si="129">SUM(AU90:AU93)</f>
        <v>156564705.67078501</v>
      </c>
      <c r="AV94" s="360"/>
      <c r="AW94" s="362">
        <f t="shared" ref="AW94" si="130">SUM(AW90:AW93)</f>
        <v>159216509.60973233</v>
      </c>
      <c r="AX94"/>
      <c r="AY94" s="359">
        <f t="shared" ref="AY94:AZ94" si="131">SUM(AY90:AY93)</f>
        <v>152071520.3383536</v>
      </c>
      <c r="AZ94" s="360">
        <f t="shared" si="131"/>
        <v>142105205.73125151</v>
      </c>
      <c r="BA94" s="360"/>
      <c r="BB94" s="361"/>
      <c r="BC94"/>
      <c r="BD94" s="3411">
        <f t="shared" ref="BD94" si="132">SUM(BD90:BD93)</f>
        <v>182080217.41156885</v>
      </c>
      <c r="BE94" s="360"/>
      <c r="BF94" s="362">
        <f t="shared" ref="BF94" si="133">SUM(BF90:BF93)</f>
        <v>168034164.69406384</v>
      </c>
      <c r="BG94"/>
      <c r="BH94"/>
      <c r="BI94"/>
      <c r="BJ94"/>
      <c r="BK94"/>
      <c r="BL94"/>
      <c r="BM94"/>
    </row>
    <row r="95" spans="1:65" s="462" customFormat="1" ht="15.5" x14ac:dyDescent="0.35">
      <c r="A95" s="9168"/>
      <c r="B95" s="6082"/>
      <c r="C95"/>
      <c r="D95" s="365" t="s">
        <v>572</v>
      </c>
      <c r="E95" s="1"/>
      <c r="F95" s="559">
        <f>F94/(F18+F20)</f>
        <v>0.21921714527396574</v>
      </c>
      <c r="G95" s="560"/>
      <c r="H95" s="561">
        <f>H94/(H18+H20)</f>
        <v>0.21696873575610034</v>
      </c>
      <c r="I95" s="562">
        <f>I94/(I18+I20)</f>
        <v>0.21853362397677728</v>
      </c>
      <c r="J95" s="563"/>
      <c r="K95" s="560"/>
      <c r="L95" s="561">
        <f>L94/(L18+L20)</f>
        <v>0.19245000124385039</v>
      </c>
      <c r="M95" s="563">
        <f>M94/(M18+M19+M20)</f>
        <v>0.19323249281085458</v>
      </c>
      <c r="N95" s="456"/>
      <c r="O95" s="561">
        <f>O94/(O18+O19+O20)</f>
        <v>0.19610485910522327</v>
      </c>
      <c r="P95" s="562">
        <f>P94/(P18+P19+P20)</f>
        <v>0.20064781778192686</v>
      </c>
      <c r="Q95" s="562"/>
      <c r="R95" s="563"/>
      <c r="S95" s="560"/>
      <c r="T95" s="561">
        <f>T94/(T18+T19+T20)</f>
        <v>0.16436766925429405</v>
      </c>
      <c r="U95" s="562"/>
      <c r="V95" s="563">
        <f>V94/(V18+V19+V20)</f>
        <v>0.16659153125573786</v>
      </c>
      <c r="W95" s="456"/>
      <c r="X95" s="561">
        <f>X94/(X18+X19+X20)</f>
        <v>0.16436766925429405</v>
      </c>
      <c r="Y95" s="562">
        <f>Y94/(Y18+Y19+Y20)</f>
        <v>0.19518624904934262</v>
      </c>
      <c r="Z95" s="562"/>
      <c r="AA95" s="563"/>
      <c r="AB95" s="560"/>
      <c r="AC95" s="561">
        <f>AC94/(AC18+AC19+AC20)</f>
        <v>0.14177852470323785</v>
      </c>
      <c r="AD95" s="562"/>
      <c r="AE95" s="563">
        <f>AE94/(AE18+AE19+AE20)</f>
        <v>0.16868673368600434</v>
      </c>
      <c r="AF95" s="456"/>
      <c r="AG95" s="561">
        <f>AG94/(AG18+AG19+AG20)</f>
        <v>0.14177852470323785</v>
      </c>
      <c r="AH95" s="3412">
        <f>AH94/(AH18+AH19+AH20)</f>
        <v>0.1733319081020297</v>
      </c>
      <c r="AI95" s="563"/>
      <c r="AJ95" s="563"/>
      <c r="AL95" s="561">
        <f>AL94/(AL18+AL19+AL20)</f>
        <v>0.14588561212889847</v>
      </c>
      <c r="AM95" s="562"/>
      <c r="AN95" s="563">
        <f>AN94/(AN18+AN19+AN20)</f>
        <v>0.16116462986492311</v>
      </c>
      <c r="AO95" s="456"/>
      <c r="AP95" s="561">
        <f>AP94/(AP18+AP19+AP20)</f>
        <v>0.14588561212889847</v>
      </c>
      <c r="AQ95" s="3412">
        <f>AQ94/(AQ18+AQ19+AQ20)</f>
        <v>0.14622213530951914</v>
      </c>
      <c r="AR95" s="3412"/>
      <c r="AS95" s="563"/>
      <c r="AU95" s="561">
        <f>AU94/(AU18+AU19+AU20)</f>
        <v>0.15212292911279224</v>
      </c>
      <c r="AV95" s="562"/>
      <c r="AW95" s="563">
        <f>AW94/(AW18+AW19+AW20)</f>
        <v>0.15230500446482234</v>
      </c>
      <c r="AY95" s="561">
        <f>AY94/(AY18+AY19+AY20+AY34)</f>
        <v>0.12192794507993839</v>
      </c>
      <c r="AZ95" s="3412">
        <f>AZ94/(AZ18+AZ19+AZ20+AZ34)</f>
        <v>0.1375263218555981</v>
      </c>
      <c r="BA95" s="3412"/>
      <c r="BB95" s="563"/>
      <c r="BD95" s="561">
        <f>BD94/(BD18+BD19+BD20+BD34)</f>
        <v>0.12394009320515917</v>
      </c>
      <c r="BE95" s="562"/>
      <c r="BF95" s="563">
        <f>BF94/(BF18+BF19+BF20+BF34)</f>
        <v>0.15235367722128404</v>
      </c>
    </row>
    <row r="96" spans="1:65" s="462" customFormat="1" x14ac:dyDescent="0.35">
      <c r="A96" s="9168"/>
      <c r="B96" s="371"/>
      <c r="C96" s="372"/>
      <c r="D96" s="296" t="s">
        <v>573</v>
      </c>
      <c r="E96" s="374"/>
      <c r="F96" s="3413"/>
      <c r="G96" s="3414"/>
      <c r="H96" s="3415"/>
      <c r="I96" s="3416"/>
      <c r="J96" s="3417"/>
      <c r="K96" s="3414"/>
      <c r="L96" s="3418"/>
      <c r="M96" s="3417"/>
      <c r="N96" s="456"/>
      <c r="O96" s="3419"/>
      <c r="P96" s="3420">
        <f>P39+P48+P50+P52+P54+P69</f>
        <v>82622041.126000002</v>
      </c>
      <c r="Q96" s="3421"/>
      <c r="R96" s="3422"/>
      <c r="S96" s="3423"/>
      <c r="T96" s="3424">
        <f>T39+T48+T50+T52+T54+T69</f>
        <v>90647936.288000003</v>
      </c>
      <c r="U96" s="3421"/>
      <c r="V96" s="3425">
        <f>V39+V48+V50+V52+V54+V69</f>
        <v>92582399.664529264</v>
      </c>
      <c r="W96" s="456"/>
      <c r="X96" s="3419">
        <f>X39+X48+X50+X52+X54+X69+X92</f>
        <v>91341132.366248727</v>
      </c>
      <c r="Y96" s="3420">
        <f>Y39+Y48+Y50+Y52+Y54+Y69+Y92</f>
        <v>93749549.353941664</v>
      </c>
      <c r="Z96" s="3421"/>
      <c r="AA96" s="3422"/>
      <c r="AB96" s="3423"/>
      <c r="AC96" s="3424">
        <f>AC39+AC48+AC50+AC52+AC54+AC69+AC92</f>
        <v>110638734.37223499</v>
      </c>
      <c r="AD96" s="3421"/>
      <c r="AE96" s="3425">
        <f>AE39+AE48+AE50+AE52+AE54+AE69+AE92</f>
        <v>110715044.97922674</v>
      </c>
      <c r="AF96" s="456"/>
      <c r="AG96" s="3424">
        <f>AG39+AG48+AG50+AG52+AG54+AG69+AG92</f>
        <v>110638734.37223499</v>
      </c>
      <c r="AH96" s="3420">
        <f>AH39+AH42+AH48+AH50+AH52+AH54+AH92</f>
        <v>111931307.95790999</v>
      </c>
      <c r="AI96" s="3422"/>
      <c r="AJ96" s="3422"/>
      <c r="AL96" s="3426">
        <f>AL39+AL42+AL48+AL50+AL52+AL54+AL92</f>
        <v>122283331.92864321</v>
      </c>
      <c r="AM96" s="3421"/>
      <c r="AN96" s="3425">
        <f>AN39+AN42+AN48+AN50+AN52+AN54+AN92</f>
        <v>122164903.06743354</v>
      </c>
      <c r="AO96" s="456"/>
      <c r="AP96" s="3424">
        <f>AP39+AP42+AP48+AP50+AP52+AP54+AP68+AP92</f>
        <v>133431685.92864321</v>
      </c>
      <c r="AQ96" s="3420">
        <f>AQ39+AQ42+AQ48+AQ50+AQ52+AQ54+AQ68+AQ92</f>
        <v>135614592.4235822</v>
      </c>
      <c r="AR96" s="8060"/>
      <c r="AS96" s="3422"/>
      <c r="AU96" s="3426">
        <f>AU39+AU41+AU42+AU48+AU50+AU52+AU54+AU68+AU92</f>
        <v>153108505.67078501</v>
      </c>
      <c r="AV96" s="3421"/>
      <c r="AW96" s="3425">
        <f>AW39+AW41+AW42+AW48+AW50+AW52+AW54+AW68+AW92</f>
        <v>155704664.9415977</v>
      </c>
      <c r="AY96" s="3424">
        <f>AY39+AY41+AY42+AY48+AY50+AY52+AY54+AY68+AY69+AY92</f>
        <v>151742720.3383536</v>
      </c>
      <c r="AZ96" s="3420">
        <f>AZ39+AZ41+AZ42+AZ48+AZ50+AZ52+AZ54+AZ68+AZ69+AZ92</f>
        <v>141855205.73125151</v>
      </c>
      <c r="BA96" s="8060"/>
      <c r="BB96" s="3422"/>
      <c r="BD96" s="3426">
        <f>BD39+BD41+BD42+BD48+BD50+BD52+BD54+BD68+BD69+BD92</f>
        <v>181476517.41156885</v>
      </c>
      <c r="BE96" s="3421"/>
      <c r="BF96" s="3425">
        <f>BF39+BF41+BF42+BF48+BF50+BF52+BF54+BF68+BF69+BF92</f>
        <v>167575147.05416119</v>
      </c>
    </row>
    <row r="97" spans="1:65" s="462" customFormat="1" x14ac:dyDescent="0.35">
      <c r="A97" s="9168"/>
      <c r="B97" s="58"/>
      <c r="C97" s="390"/>
      <c r="D97" s="296" t="s">
        <v>575</v>
      </c>
      <c r="E97" s="392"/>
      <c r="F97" s="393"/>
      <c r="G97" s="392"/>
      <c r="H97" s="394"/>
      <c r="I97" s="395"/>
      <c r="J97" s="229"/>
      <c r="K97" s="392"/>
      <c r="L97" s="396"/>
      <c r="M97" s="229"/>
      <c r="N97" s="456"/>
      <c r="O97" s="405"/>
      <c r="P97" s="406">
        <f>(P94-P96)/((P19+P20))</f>
        <v>1.5809329528187567E-2</v>
      </c>
      <c r="Q97" s="3341"/>
      <c r="R97" s="3339"/>
      <c r="S97" s="3338"/>
      <c r="T97" s="410">
        <f>(T94-T96)/((T19+T20))</f>
        <v>2.1921227867517087E-2</v>
      </c>
      <c r="U97" s="3341"/>
      <c r="V97" s="691">
        <f>(V94-V96)/((V19+V20))</f>
        <v>1.9818428888484219E-2</v>
      </c>
      <c r="W97" s="456"/>
      <c r="X97" s="405">
        <f>(X94-X96)/((X19+X20))</f>
        <v>1.7563948292149807E-2</v>
      </c>
      <c r="Y97" s="406">
        <f>(Y94-Y96)/((Y19+Y20))</f>
        <v>6.9491975385782973E-3</v>
      </c>
      <c r="Z97" s="3341"/>
      <c r="AA97" s="3339"/>
      <c r="AB97" s="3338"/>
      <c r="AC97" s="410">
        <f>(AC94-AC96)/((AC19+AC20))</f>
        <v>1.1929962462673816E-2</v>
      </c>
      <c r="AD97" s="3341"/>
      <c r="AE97" s="691">
        <f>(AE94-AE96)/((AE19+AE20))</f>
        <v>1.5512230442648895E-2</v>
      </c>
      <c r="AF97" s="456"/>
      <c r="AG97" s="410">
        <f>(AG94-AG96)/((AG19+AG20))</f>
        <v>1.1929962462673816E-2</v>
      </c>
      <c r="AH97" s="406">
        <f>(AH94-AH96)/((AH19+AH20))</f>
        <v>5.9432999567902947E-2</v>
      </c>
      <c r="AI97" s="3339"/>
      <c r="AJ97" s="3339"/>
      <c r="AL97" s="410">
        <f>(AL94-AL96)/((AL19+AL20))</f>
        <v>6.1147688115094856E-2</v>
      </c>
      <c r="AM97" s="3341"/>
      <c r="AN97" s="691">
        <f>(AN94-AN96)/((AN19+AN20))</f>
        <v>7.6756288331319741E-2</v>
      </c>
      <c r="AO97" s="456"/>
      <c r="AP97" s="410">
        <f>(AP94-AP96)/((AP19+AP20))</f>
        <v>1.4435872596605141E-2</v>
      </c>
      <c r="AQ97" s="406">
        <f>(AQ94-AQ96)/((AQ19+AQ20))</f>
        <v>1.2925463321582802E-2</v>
      </c>
      <c r="AR97" s="8061"/>
      <c r="AS97" s="3339"/>
      <c r="AU97" s="410">
        <f>(AU94-AU96)/((AU19+AU20))</f>
        <v>1.2670817928023213E-2</v>
      </c>
      <c r="AV97" s="3341"/>
      <c r="AW97" s="691">
        <f>(AW94-AW96)/((AW19+AW20))</f>
        <v>1.1350496312660734E-2</v>
      </c>
      <c r="AY97" s="410">
        <f>(AY94-AY96)/((AY19+AY20))</f>
        <v>1.0471397606737873E-3</v>
      </c>
      <c r="AZ97" s="406">
        <f>(AZ94-AZ96)/((AZ19+AZ20))</f>
        <v>1.0349288486416559E-3</v>
      </c>
      <c r="BA97" s="8061"/>
      <c r="BB97" s="3339"/>
      <c r="BD97" s="410">
        <f>(BD94-BD96)/((BD19+BD20))</f>
        <v>1.4796354660557604E-3</v>
      </c>
      <c r="BE97" s="3341"/>
      <c r="BF97" s="691">
        <f>(BF94-BF96)/((BF19+BF20))</f>
        <v>1.4623811326856986E-3</v>
      </c>
      <c r="BM97" s="577"/>
    </row>
    <row r="98" spans="1:65" s="462" customFormat="1" x14ac:dyDescent="0.35">
      <c r="A98" s="9168"/>
      <c r="B98" s="58"/>
      <c r="C98" s="390"/>
      <c r="D98" s="296" t="s">
        <v>576</v>
      </c>
      <c r="E98" s="392"/>
      <c r="F98" s="393"/>
      <c r="G98" s="392"/>
      <c r="H98" s="394"/>
      <c r="I98" s="395"/>
      <c r="J98" s="229"/>
      <c r="K98" s="392"/>
      <c r="L98" s="396"/>
      <c r="M98" s="229"/>
      <c r="N98" s="456"/>
      <c r="O98" s="405"/>
      <c r="P98" s="406">
        <f>P96/(P18)</f>
        <v>0.25035857214876417</v>
      </c>
      <c r="Q98" s="3341"/>
      <c r="R98" s="3339"/>
      <c r="S98" s="3338"/>
      <c r="T98" s="410">
        <f>T96/(T18)</f>
        <v>0.21915594109150505</v>
      </c>
      <c r="U98" s="3341"/>
      <c r="V98" s="691">
        <f>V96/(V18)</f>
        <v>0.2246800504959908</v>
      </c>
      <c r="W98" s="456"/>
      <c r="X98" s="405">
        <f>X96/(X18)</f>
        <v>0.22083185391545371</v>
      </c>
      <c r="Y98" s="406">
        <f>Y96/(Y18)</f>
        <v>0.25875237954714997</v>
      </c>
      <c r="Z98" s="3341"/>
      <c r="AA98" s="3339"/>
      <c r="AB98" s="3338"/>
      <c r="AC98" s="410">
        <f>AC96/(AC18)</f>
        <v>0.20474354011240348</v>
      </c>
      <c r="AD98" s="3341"/>
      <c r="AE98" s="691">
        <f>AE96/(AE18)</f>
        <v>0.23389960388337194</v>
      </c>
      <c r="AF98" s="456"/>
      <c r="AG98" s="410">
        <f>AG96/(AG18)</f>
        <v>0.20474354011240348</v>
      </c>
      <c r="AH98" s="406">
        <f>AH96/(AH18)</f>
        <v>0.22008135415383215</v>
      </c>
      <c r="AI98" s="3339"/>
      <c r="AJ98" s="3339"/>
      <c r="AL98" s="410">
        <f>AL96/(AL18)</f>
        <v>0.17479377730616397</v>
      </c>
      <c r="AM98" s="3341"/>
      <c r="AN98" s="691">
        <f>AN96/(AN18)</f>
        <v>0.18553840571102104</v>
      </c>
      <c r="AO98" s="456"/>
      <c r="AP98" s="410">
        <f>AP96/(AP18)</f>
        <v>0.19072941526819953</v>
      </c>
      <c r="AQ98" s="406">
        <f>AQ96/(AQ18)</f>
        <v>0.19923624396582937</v>
      </c>
      <c r="AR98" s="8061"/>
      <c r="AS98" s="3339"/>
      <c r="AU98" s="410">
        <f>AU96/(AU18)</f>
        <v>0.20240932462997574</v>
      </c>
      <c r="AV98" s="3341"/>
      <c r="AW98" s="691">
        <f>AW96/(AW18)</f>
        <v>0.21156120941249093</v>
      </c>
      <c r="AY98" s="410">
        <f>AY96/(AY18)</f>
        <v>0.18528114614170421</v>
      </c>
      <c r="AZ98" s="406">
        <f>AZ96/(AZ18)</f>
        <v>0.20419544080233917</v>
      </c>
      <c r="BA98" s="8061"/>
      <c r="BB98" s="3339"/>
      <c r="BD98" s="410">
        <f>BD96/(BD18)</f>
        <v>0.19509456689859461</v>
      </c>
      <c r="BE98" s="3341"/>
      <c r="BF98" s="691">
        <f>BF96/(BF18)</f>
        <v>0.21237908624587967</v>
      </c>
      <c r="BM98" s="577"/>
    </row>
    <row r="99" spans="1:65" s="462" customFormat="1" x14ac:dyDescent="0.35">
      <c r="A99" s="9168"/>
      <c r="B99" s="58"/>
      <c r="C99" s="390"/>
      <c r="D99" s="296"/>
      <c r="E99" s="392"/>
      <c r="F99" s="393"/>
      <c r="G99" s="392"/>
      <c r="H99" s="394"/>
      <c r="I99" s="395"/>
      <c r="J99" s="229"/>
      <c r="K99" s="392"/>
      <c r="L99" s="396"/>
      <c r="M99" s="229"/>
      <c r="N99" s="456"/>
      <c r="O99" s="394"/>
      <c r="P99" s="395"/>
      <c r="Q99"/>
      <c r="R99" s="229"/>
      <c r="S99" s="392"/>
      <c r="T99" s="396"/>
      <c r="U99"/>
      <c r="V99" s="977"/>
      <c r="W99" s="456"/>
      <c r="X99" s="394"/>
      <c r="Y99" s="395"/>
      <c r="Z99"/>
      <c r="AA99" s="229"/>
      <c r="AB99" s="392"/>
      <c r="AC99" s="396"/>
      <c r="AD99"/>
      <c r="AE99" s="977"/>
      <c r="AF99" s="456"/>
      <c r="AG99" s="396"/>
      <c r="AH99" s="395"/>
      <c r="AI99" s="229"/>
      <c r="AJ99" s="229"/>
      <c r="AL99" s="3427"/>
      <c r="AM99"/>
      <c r="AN99" s="977"/>
      <c r="AO99" s="456"/>
      <c r="AP99" s="396"/>
      <c r="AQ99" s="395"/>
      <c r="AR99"/>
      <c r="AS99" s="229"/>
      <c r="AU99" s="3427"/>
      <c r="AV99"/>
      <c r="AW99" s="977"/>
      <c r="AY99" s="396"/>
      <c r="AZ99" s="395"/>
      <c r="BA99"/>
      <c r="BB99" s="229"/>
      <c r="BD99" s="3427"/>
      <c r="BE99"/>
      <c r="BF99" s="977"/>
      <c r="BM99" s="577"/>
    </row>
    <row r="100" spans="1:65" s="462" customFormat="1" x14ac:dyDescent="0.35">
      <c r="A100" s="9168"/>
      <c r="B100" s="58"/>
      <c r="C100" s="390"/>
      <c r="D100" s="296" t="s">
        <v>577</v>
      </c>
      <c r="E100" s="392"/>
      <c r="F100" s="413">
        <f>F94/F12</f>
        <v>0.26449748259631217</v>
      </c>
      <c r="G100" s="3338"/>
      <c r="H100" s="405">
        <f t="shared" ref="H100:I100" si="134">H94/H12</f>
        <v>0.23286880958537129</v>
      </c>
      <c r="I100" s="406">
        <f t="shared" si="134"/>
        <v>0.21946347021494977</v>
      </c>
      <c r="J100" s="3339"/>
      <c r="K100" s="3338"/>
      <c r="L100" s="410">
        <f>L94/L12</f>
        <v>0.20823407662025642</v>
      </c>
      <c r="M100" s="3339">
        <f>M94/M12</f>
        <v>0.19624481164157906</v>
      </c>
      <c r="N100" s="456"/>
      <c r="O100" s="405">
        <f>O94/O12</f>
        <v>0.20823407662025642</v>
      </c>
      <c r="P100" s="406">
        <f>P94/P12</f>
        <v>0.20401979166843479</v>
      </c>
      <c r="Q100" s="3341"/>
      <c r="R100" s="3339"/>
      <c r="S100" s="3338"/>
      <c r="T100" s="410">
        <f>T94/T12</f>
        <v>0.2044529731297165</v>
      </c>
      <c r="U100" s="3341"/>
      <c r="V100" s="691">
        <f>V94/V12</f>
        <v>0.2080997623689099</v>
      </c>
      <c r="W100" s="456"/>
      <c r="X100" s="405">
        <f>X94/X12</f>
        <v>0.2044529731297165</v>
      </c>
      <c r="Y100" s="406">
        <f>Y94/Y12</f>
        <v>0.19495502584719285</v>
      </c>
      <c r="Z100" s="3341"/>
      <c r="AA100" s="3339"/>
      <c r="AB100" s="3338"/>
      <c r="AC100" s="410">
        <f>AC94/AC12</f>
        <v>0.19581243796315392</v>
      </c>
      <c r="AD100" s="3341"/>
      <c r="AE100" s="691">
        <f>AE94/AE12</f>
        <v>0.19594378409007387</v>
      </c>
      <c r="AF100" s="456"/>
      <c r="AG100" s="410">
        <f>AG94/AG12</f>
        <v>0.19581243796315392</v>
      </c>
      <c r="AH100" s="406">
        <f>AH94/AH12</f>
        <v>0.20296836170227595</v>
      </c>
      <c r="AI100" s="3339"/>
      <c r="AJ100" s="3339"/>
      <c r="AL100" s="410">
        <f>AL94/AL12</f>
        <v>0.18792748806019527</v>
      </c>
      <c r="AM100" s="3341"/>
      <c r="AN100" s="691">
        <f>AN94/AN12</f>
        <v>0.17807657832766513</v>
      </c>
      <c r="AO100" s="456"/>
      <c r="AP100" s="410">
        <f>AP94/AP12</f>
        <v>0.18792748806019527</v>
      </c>
      <c r="AQ100" s="406">
        <f>AQ94/AQ12</f>
        <v>0.19142744365016365</v>
      </c>
      <c r="AR100" s="8061"/>
      <c r="AS100" s="3339"/>
      <c r="AU100" s="410">
        <f>AU94/AU12</f>
        <v>0.20667260203860635</v>
      </c>
      <c r="AV100" s="3341"/>
      <c r="AW100" s="691">
        <f>AW94/AW12</f>
        <v>0.21064520942769493</v>
      </c>
      <c r="AY100" s="410">
        <f>AY94/AY12</f>
        <v>0.18292821800845596</v>
      </c>
      <c r="AZ100" s="406">
        <f>AZ94/AZ12</f>
        <v>0.19135323217063438</v>
      </c>
      <c r="BA100" s="8061"/>
      <c r="BB100" s="3339"/>
      <c r="BD100" s="410">
        <f>BD94/BD12</f>
        <v>0.18558058268805616</v>
      </c>
      <c r="BE100" s="3341"/>
      <c r="BF100" s="691">
        <f>BF94/BF12</f>
        <v>0.19171688362582323</v>
      </c>
      <c r="BM100" s="577"/>
    </row>
    <row r="101" spans="1:65" s="462" customFormat="1" x14ac:dyDescent="0.35">
      <c r="A101" s="9168"/>
      <c r="B101" s="58"/>
      <c r="C101" s="390"/>
      <c r="D101" s="59" t="s">
        <v>578</v>
      </c>
      <c r="E101" s="392"/>
      <c r="F101" s="3428">
        <f>F94-SUM(F73:F76)</f>
        <v>51861228.695241973</v>
      </c>
      <c r="G101" s="3429"/>
      <c r="H101" s="3430">
        <f t="shared" ref="H101:I101" si="135">H94-SUM(H73:H76)</f>
        <v>69407063.171080217</v>
      </c>
      <c r="I101" s="3431">
        <f t="shared" si="135"/>
        <v>67755149.243763238</v>
      </c>
      <c r="J101" s="3432"/>
      <c r="K101" s="3429"/>
      <c r="L101" s="3433">
        <f>L94-SUM(L73:L76)</f>
        <v>68789713.665957496</v>
      </c>
      <c r="M101" s="247">
        <f>M94-SUM(M73:M76)</f>
        <v>67149313.374199688</v>
      </c>
      <c r="N101" s="456"/>
      <c r="O101" s="572">
        <f>O94-SUM(O73:O76)</f>
        <v>68789713.665957496</v>
      </c>
      <c r="P101" s="1993">
        <f>P94-SUM(P73:P76)</f>
        <v>73723687.551950067</v>
      </c>
      <c r="Q101" s="254"/>
      <c r="R101" s="247"/>
      <c r="S101" s="1742"/>
      <c r="T101" s="1994">
        <f>T94-SUM(T73:T76)</f>
        <v>81361621.673248723</v>
      </c>
      <c r="U101" s="254"/>
      <c r="V101" s="3434">
        <f>V94-SUM(V73:V76)</f>
        <v>85809044.582718864</v>
      </c>
      <c r="W101" s="456"/>
      <c r="X101" s="572">
        <f>X94-SUM(X73:X76)</f>
        <v>81361621.673248723</v>
      </c>
      <c r="Y101" s="1993">
        <f>Y94-SUM(Y73:Y76)</f>
        <v>79412479.66094166</v>
      </c>
      <c r="Z101" s="254"/>
      <c r="AA101" s="247"/>
      <c r="AB101" s="1742"/>
      <c r="AC101" s="1994">
        <f>AC94-SUM(AC73:AC76)</f>
        <v>101231654.04823498</v>
      </c>
      <c r="AD101" s="254"/>
      <c r="AE101" s="3434">
        <f>AE94-SUM(AE73:AE76)</f>
        <v>101307964.65522674</v>
      </c>
      <c r="AF101" s="456"/>
      <c r="AG101" s="1994">
        <f>AG94-SUM(AG73:AG76)</f>
        <v>101231654.04823498</v>
      </c>
      <c r="AH101" s="1993">
        <f>AH94-SUM(AH73:AH76)</f>
        <v>124337910.95790999</v>
      </c>
      <c r="AI101" s="247"/>
      <c r="AJ101" s="247"/>
      <c r="AL101" s="3427">
        <f>AL94-SUM(AL73:AL76)</f>
        <v>125919144.92864323</v>
      </c>
      <c r="AM101" s="254"/>
      <c r="AN101" s="3434">
        <f>AN94-SUM(AN73:AN76)</f>
        <v>125800716.06743354</v>
      </c>
      <c r="AO101" s="456"/>
      <c r="AP101" s="1994">
        <f>AP94-SUM(AP73:AP76)</f>
        <v>125919144.92864323</v>
      </c>
      <c r="AQ101" s="1993"/>
      <c r="AR101" s="254"/>
      <c r="AS101" s="247"/>
      <c r="AU101" s="3427"/>
      <c r="AV101" s="254"/>
      <c r="AW101" s="3434"/>
      <c r="AY101" s="1994"/>
      <c r="AZ101" s="1993"/>
      <c r="BA101" s="254"/>
      <c r="BB101" s="247"/>
      <c r="BD101" s="3427"/>
      <c r="BE101" s="254"/>
      <c r="BF101" s="3434"/>
      <c r="BM101" s="577"/>
    </row>
    <row r="102" spans="1:65" s="462" customFormat="1" x14ac:dyDescent="0.35">
      <c r="A102" s="9168"/>
      <c r="B102" s="58"/>
      <c r="C102" s="390"/>
      <c r="D102" s="296" t="s">
        <v>579</v>
      </c>
      <c r="E102" s="392"/>
      <c r="F102" s="413">
        <f>F101/F12</f>
        <v>0.21222064411679722</v>
      </c>
      <c r="G102" s="3338"/>
      <c r="H102" s="405">
        <f t="shared" ref="H102:I102" si="136">H101/H12</f>
        <v>0.19577235991686281</v>
      </c>
      <c r="I102" s="406">
        <f t="shared" si="136"/>
        <v>0.18378870310514483</v>
      </c>
      <c r="J102" s="3339"/>
      <c r="K102" s="3338"/>
      <c r="L102" s="410">
        <f>L101/L12</f>
        <v>0.17481206789920462</v>
      </c>
      <c r="M102" s="3339">
        <f>M101/M12</f>
        <v>0.16410366638051205</v>
      </c>
      <c r="N102" s="456"/>
      <c r="O102" s="405">
        <f>O101/O12</f>
        <v>0.17481206789920462</v>
      </c>
      <c r="P102" s="406">
        <f>P101/P12</f>
        <v>0.17900692327567458</v>
      </c>
      <c r="Q102" s="3341"/>
      <c r="R102" s="3339"/>
      <c r="S102" s="3338"/>
      <c r="T102" s="410">
        <f>T101/T12</f>
        <v>0.1767096261226769</v>
      </c>
      <c r="U102" s="3341"/>
      <c r="V102" s="691">
        <f>V101/V12</f>
        <v>0.1863690014323052</v>
      </c>
      <c r="W102" s="456"/>
      <c r="X102" s="405">
        <f>X101/X12</f>
        <v>0.1767096261226769</v>
      </c>
      <c r="Y102" s="406">
        <f>Y101/Y12</f>
        <v>0.16365641584771889</v>
      </c>
      <c r="Z102" s="3341"/>
      <c r="AA102" s="3339"/>
      <c r="AB102" s="3338"/>
      <c r="AC102" s="410">
        <f>AC101/AC12</f>
        <v>0.17424033440556885</v>
      </c>
      <c r="AD102" s="3341"/>
      <c r="AE102" s="691">
        <f>AE101/AE12</f>
        <v>0.1743716805324888</v>
      </c>
      <c r="AF102" s="456"/>
      <c r="AG102" s="410">
        <f>AG101/AG12</f>
        <v>0.17424033440556885</v>
      </c>
      <c r="AH102" s="406">
        <f>AH101/AH12</f>
        <v>0.20296836170227595</v>
      </c>
      <c r="AI102" s="3339"/>
      <c r="AJ102" s="3339"/>
      <c r="AL102" s="410">
        <f>AL101/AL12</f>
        <v>0.17288274171571802</v>
      </c>
      <c r="AM102" s="3341"/>
      <c r="AN102" s="691">
        <f>AN101/AN12</f>
        <v>0.16380811225883679</v>
      </c>
      <c r="AO102" s="456"/>
      <c r="AP102" s="410">
        <f>AP101/AP12</f>
        <v>0.17288274171571802</v>
      </c>
      <c r="AQ102" s="406"/>
      <c r="AR102" s="8061"/>
      <c r="AS102" s="3339"/>
      <c r="AU102" s="410"/>
      <c r="AV102" s="3341"/>
      <c r="AW102" s="691"/>
      <c r="AY102" s="410"/>
      <c r="AZ102" s="406"/>
      <c r="BA102" s="8061"/>
      <c r="BB102" s="3339"/>
      <c r="BD102" s="410"/>
      <c r="BE102" s="3341"/>
      <c r="BF102" s="691"/>
      <c r="BM102" s="577"/>
    </row>
    <row r="103" spans="1:65" s="462" customFormat="1" x14ac:dyDescent="0.35">
      <c r="A103" s="9168"/>
      <c r="B103" s="58"/>
      <c r="C103" s="390"/>
      <c r="D103" s="296"/>
      <c r="E103" s="392"/>
      <c r="F103" s="393"/>
      <c r="G103" s="392"/>
      <c r="H103" s="394"/>
      <c r="I103" s="395"/>
      <c r="J103" s="229"/>
      <c r="K103" s="392"/>
      <c r="L103" s="396"/>
      <c r="M103" s="229"/>
      <c r="N103" s="456"/>
      <c r="O103" s="405"/>
      <c r="P103" s="406"/>
      <c r="Q103" s="3341"/>
      <c r="R103" s="3339"/>
      <c r="S103" s="3338"/>
      <c r="T103" s="410"/>
      <c r="U103" s="3341"/>
      <c r="V103" s="691"/>
      <c r="W103" s="456"/>
      <c r="X103" s="405"/>
      <c r="Y103" s="406"/>
      <c r="Z103" s="3341"/>
      <c r="AA103" s="3339"/>
      <c r="AB103" s="3338"/>
      <c r="AC103" s="410"/>
      <c r="AD103" s="3341"/>
      <c r="AE103" s="691"/>
      <c r="AF103" s="456"/>
      <c r="AG103" s="410"/>
      <c r="AH103" s="406"/>
      <c r="AI103" s="3339"/>
      <c r="AJ103" s="3339"/>
      <c r="AL103" s="3427"/>
      <c r="AM103" s="3341"/>
      <c r="AN103" s="691"/>
      <c r="AO103" s="456"/>
      <c r="AP103" s="410"/>
      <c r="AQ103" s="406"/>
      <c r="AR103" s="8061"/>
      <c r="AS103" s="3339"/>
      <c r="AU103" s="3427"/>
      <c r="AV103" s="3341"/>
      <c r="AW103" s="691"/>
      <c r="AY103" s="410"/>
      <c r="AZ103" s="406"/>
      <c r="BA103" s="8061"/>
      <c r="BB103" s="3339"/>
      <c r="BD103" s="3427"/>
      <c r="BE103" s="3341"/>
      <c r="BF103" s="691"/>
      <c r="BM103" s="577"/>
    </row>
    <row r="104" spans="1:65" s="462" customFormat="1" x14ac:dyDescent="0.35">
      <c r="A104" s="9168"/>
      <c r="B104" s="58"/>
      <c r="C104" s="390"/>
      <c r="D104" s="980" t="s">
        <v>580</v>
      </c>
      <c r="E104" s="424"/>
      <c r="F104" s="425"/>
      <c r="G104" s="426"/>
      <c r="H104" s="427"/>
      <c r="I104" s="428"/>
      <c r="J104" s="429"/>
      <c r="K104" s="426"/>
      <c r="L104" s="430"/>
      <c r="M104" s="431"/>
      <c r="N104" s="456"/>
      <c r="O104" s="405">
        <f>SUM(O78:O87)/O94</f>
        <v>0</v>
      </c>
      <c r="P104" s="406">
        <f>SUM(P78:P87)/P94</f>
        <v>0.33756520873068224</v>
      </c>
      <c r="Q104" s="3341"/>
      <c r="R104" s="3339"/>
      <c r="S104" s="3338"/>
      <c r="T104" s="410">
        <f>SUM(T78:T87)/T94</f>
        <v>0.29984379938705019</v>
      </c>
      <c r="U104" s="3341"/>
      <c r="V104" s="691">
        <f>SUM(V78:V87)/V94</f>
        <v>0.30079954908949291</v>
      </c>
      <c r="W104" s="456"/>
      <c r="X104" s="405">
        <f>SUM(X78:X87)/X94</f>
        <v>0.29984379938705019</v>
      </c>
      <c r="Y104" s="406">
        <f>SUM(Y78:Y87)/Y94</f>
        <v>0.30081853251947632</v>
      </c>
      <c r="Z104" s="3341"/>
      <c r="AA104" s="3339"/>
      <c r="AB104" s="3338"/>
      <c r="AC104" s="410">
        <f>SUM(AC78:AC87)/AC94</f>
        <v>0.3863504756744961</v>
      </c>
      <c r="AD104" s="3341"/>
      <c r="AE104" s="691">
        <f>SUM(AE78:AE87)/AE94</f>
        <v>0.3892575899288877</v>
      </c>
      <c r="AF104" s="456"/>
      <c r="AG104" s="410">
        <f>SUM(AG78:AG87)/AG94</f>
        <v>0.3863504756744961</v>
      </c>
      <c r="AH104" s="406">
        <f>SUM(AH78:AH87)/AH94</f>
        <v>0.35349705219736799</v>
      </c>
      <c r="AI104" s="3339"/>
      <c r="AJ104" s="3339"/>
      <c r="AL104" s="3427"/>
      <c r="AM104" s="3341"/>
      <c r="AN104" s="691"/>
      <c r="AO104" s="456"/>
      <c r="AP104" s="410"/>
      <c r="AQ104" s="406"/>
      <c r="AR104" s="8061"/>
      <c r="AS104" s="3339"/>
      <c r="AU104" s="3427"/>
      <c r="AV104" s="3341"/>
      <c r="AW104" s="691"/>
      <c r="AY104" s="410"/>
      <c r="AZ104" s="406"/>
      <c r="BA104" s="8061"/>
      <c r="BB104" s="3339"/>
      <c r="BD104" s="3427"/>
      <c r="BE104" s="3341"/>
      <c r="BF104" s="691"/>
      <c r="BM104" s="577"/>
    </row>
    <row r="105" spans="1:65" s="462" customFormat="1" x14ac:dyDescent="0.35">
      <c r="A105" s="9169"/>
      <c r="B105" s="85"/>
      <c r="C105" s="432"/>
      <c r="D105" s="86" t="s">
        <v>581</v>
      </c>
      <c r="E105" s="274"/>
      <c r="F105" s="434"/>
      <c r="G105" s="435"/>
      <c r="H105" s="436"/>
      <c r="I105" s="437"/>
      <c r="J105" s="573"/>
      <c r="K105" s="435"/>
      <c r="L105" s="439"/>
      <c r="M105" s="574"/>
      <c r="N105" s="456"/>
      <c r="O105" s="1996" t="e">
        <f>O79/O96</f>
        <v>#DIV/0!</v>
      </c>
      <c r="P105" s="1997">
        <f>P79/P96</f>
        <v>0.34329800636060842</v>
      </c>
      <c r="Q105" s="3347"/>
      <c r="R105" s="988"/>
      <c r="S105" s="3346"/>
      <c r="T105" s="1998">
        <f>T79/T96</f>
        <v>0.31137946605119299</v>
      </c>
      <c r="U105" s="3347"/>
      <c r="V105" s="3435">
        <f>V79/V96</f>
        <v>0.31130042974156191</v>
      </c>
      <c r="W105" s="456"/>
      <c r="X105" s="1996">
        <f>X79/X96</f>
        <v>0.30901637924547665</v>
      </c>
      <c r="Y105" s="1997">
        <f>Y79/Y96</f>
        <v>0.30354672844945807</v>
      </c>
      <c r="Z105" s="3347"/>
      <c r="AA105" s="988"/>
      <c r="AB105" s="3346"/>
      <c r="AC105" s="1998">
        <f>AC79/AC96</f>
        <v>0.39726670093787803</v>
      </c>
      <c r="AD105" s="3347"/>
      <c r="AE105" s="3435">
        <f>AE79/AE96</f>
        <v>0.40024837424808374</v>
      </c>
      <c r="AF105" s="456"/>
      <c r="AG105" s="1996">
        <f>AG79/AG96</f>
        <v>0.39726670093787803</v>
      </c>
      <c r="AH105" s="1997">
        <f>AH79/AH96</f>
        <v>0.39267909758124037</v>
      </c>
      <c r="AI105" s="3347"/>
      <c r="AJ105" s="3436"/>
      <c r="AK105" s="988"/>
      <c r="AL105" s="3437"/>
      <c r="AM105" s="3347"/>
      <c r="AN105" s="3435"/>
      <c r="AO105" s="456"/>
      <c r="AP105" s="1996"/>
      <c r="AQ105" s="1997"/>
      <c r="AR105" s="3347"/>
      <c r="AS105" s="988"/>
      <c r="AT105" s="988"/>
      <c r="AU105" s="3437"/>
      <c r="AV105" s="3347"/>
      <c r="AW105" s="3435"/>
      <c r="AY105" s="1996"/>
      <c r="AZ105" s="1997"/>
      <c r="BA105" s="3347"/>
      <c r="BB105" s="988"/>
      <c r="BC105" s="988"/>
      <c r="BD105" s="3437"/>
      <c r="BE105" s="3347"/>
      <c r="BF105" s="3435"/>
      <c r="BM105" s="577"/>
    </row>
    <row r="106" spans="1:65" s="462" customFormat="1" ht="12" x14ac:dyDescent="0.3">
      <c r="C106" s="456"/>
      <c r="D106" s="5"/>
      <c r="E106" s="456"/>
      <c r="F106" s="456"/>
      <c r="G106" s="456"/>
      <c r="H106" s="459"/>
      <c r="I106" s="459"/>
      <c r="J106" s="7"/>
      <c r="K106" s="456"/>
      <c r="N106" s="456"/>
      <c r="O106" s="459"/>
      <c r="P106" s="459"/>
      <c r="Q106" s="459"/>
      <c r="R106" s="7"/>
      <c r="S106" s="456"/>
      <c r="W106" s="456"/>
      <c r="X106" s="459"/>
      <c r="Y106" s="459"/>
      <c r="Z106" s="459"/>
      <c r="AA106" s="7"/>
      <c r="AB106" s="456"/>
      <c r="AF106" s="456"/>
      <c r="AJ106" s="7"/>
      <c r="AL106" s="3438"/>
      <c r="AO106" s="456"/>
      <c r="AS106" s="7"/>
      <c r="AU106" s="3438"/>
      <c r="BB106" s="7"/>
      <c r="BD106" s="3438"/>
      <c r="BM106" s="577"/>
    </row>
    <row r="107" spans="1:65" s="462" customFormat="1" ht="12" x14ac:dyDescent="0.3">
      <c r="A107" s="576" t="s">
        <v>582</v>
      </c>
      <c r="B107" s="576"/>
      <c r="C107" s="456"/>
      <c r="D107" s="5"/>
      <c r="E107" s="456"/>
      <c r="F107" s="456"/>
      <c r="G107" s="456"/>
      <c r="H107" s="459"/>
      <c r="I107" s="459"/>
      <c r="J107" s="7"/>
      <c r="K107" s="456"/>
      <c r="N107" s="456"/>
      <c r="O107" s="459"/>
      <c r="P107" s="459"/>
      <c r="Q107" s="459"/>
      <c r="R107" s="7"/>
      <c r="S107" s="456"/>
      <c r="W107" s="456"/>
      <c r="X107" s="459"/>
      <c r="Y107" s="459"/>
      <c r="Z107" s="459"/>
      <c r="AA107" s="7"/>
      <c r="AB107" s="456"/>
      <c r="AF107" s="456"/>
      <c r="AJ107" s="7"/>
      <c r="AL107" s="3438"/>
      <c r="AO107" s="456"/>
      <c r="AS107" s="7"/>
      <c r="AU107" s="3438"/>
      <c r="BB107" s="7"/>
      <c r="BD107" s="3438"/>
      <c r="BM107" s="577"/>
    </row>
    <row r="108" spans="1:65" s="462" customFormat="1" ht="12" x14ac:dyDescent="0.3">
      <c r="A108" s="3439">
        <v>1</v>
      </c>
      <c r="B108" s="464" t="str">
        <f>BM18</f>
        <v>not including financing</v>
      </c>
      <c r="D108" s="465"/>
      <c r="E108" s="466"/>
      <c r="F108" s="466"/>
      <c r="G108" s="466"/>
      <c r="H108" s="466"/>
      <c r="I108" s="466"/>
      <c r="J108" s="467"/>
      <c r="K108" s="466"/>
      <c r="L108" s="466"/>
      <c r="M108" s="466"/>
      <c r="N108" s="456"/>
      <c r="O108" s="466"/>
      <c r="P108" s="466"/>
      <c r="Q108" s="466"/>
      <c r="R108" s="467"/>
      <c r="S108" s="466"/>
      <c r="T108" s="466"/>
      <c r="U108" s="466"/>
      <c r="V108" s="466"/>
      <c r="W108" s="456"/>
      <c r="X108" s="466"/>
      <c r="Y108" s="466"/>
      <c r="Z108" s="466"/>
      <c r="AA108" s="467"/>
      <c r="AB108" s="466"/>
      <c r="AC108" s="466"/>
      <c r="AD108" s="466"/>
      <c r="AE108" s="466"/>
      <c r="AF108" s="456"/>
      <c r="AJ108" s="467"/>
      <c r="AL108" s="3438"/>
      <c r="AO108" s="456"/>
      <c r="AS108" s="467"/>
      <c r="AU108" s="3438"/>
      <c r="BB108" s="467"/>
      <c r="BD108" s="3438"/>
      <c r="BM108" s="577"/>
    </row>
    <row r="109" spans="1:65" s="462" customFormat="1" ht="93" customHeight="1" x14ac:dyDescent="0.3">
      <c r="A109" s="3439">
        <v>2</v>
      </c>
      <c r="B109" s="469" t="e">
        <f>#REF!</f>
        <v>#REF!</v>
      </c>
      <c r="D109" s="5"/>
      <c r="E109" s="456"/>
      <c r="F109" s="456"/>
      <c r="G109" s="456"/>
      <c r="H109" s="459"/>
      <c r="I109" s="459"/>
      <c r="J109" s="7"/>
      <c r="K109" s="456"/>
      <c r="N109" s="456"/>
      <c r="O109" s="459"/>
      <c r="P109" s="459"/>
      <c r="Q109" s="459"/>
      <c r="R109" s="7"/>
      <c r="S109" s="456"/>
      <c r="W109" s="456"/>
      <c r="X109" s="459"/>
      <c r="Y109" s="459"/>
      <c r="Z109" s="459"/>
      <c r="AA109" s="7"/>
      <c r="AB109" s="456"/>
      <c r="AF109" s="456"/>
      <c r="AG109" s="466"/>
      <c r="AH109" s="466"/>
      <c r="AI109" s="466"/>
      <c r="AJ109" s="7"/>
      <c r="AL109" s="3438"/>
      <c r="AO109" s="456"/>
      <c r="AP109" s="466"/>
      <c r="AQ109" s="466"/>
      <c r="AR109" s="466"/>
      <c r="AS109" s="7"/>
      <c r="AU109" s="3438"/>
      <c r="AY109" s="466"/>
      <c r="AZ109" s="466"/>
      <c r="BA109" s="466"/>
      <c r="BB109" s="7"/>
      <c r="BD109" s="3438"/>
      <c r="BM109" s="577"/>
    </row>
    <row r="110" spans="1:65" x14ac:dyDescent="0.35">
      <c r="A110" s="3439">
        <v>3</v>
      </c>
      <c r="B110" s="469">
        <f>BM29</f>
        <v>0</v>
      </c>
      <c r="C110" s="462"/>
      <c r="E110" s="456"/>
      <c r="F110" s="456"/>
      <c r="G110" s="456"/>
      <c r="H110" s="459"/>
      <c r="I110" s="459"/>
      <c r="K110" s="456"/>
      <c r="L110" s="462"/>
      <c r="M110" s="462"/>
      <c r="N110" s="456"/>
      <c r="O110" s="459"/>
      <c r="P110" s="459"/>
      <c r="Q110" s="459"/>
      <c r="S110" s="456"/>
      <c r="T110" s="462"/>
      <c r="U110" s="462"/>
      <c r="V110" s="462"/>
      <c r="W110" s="456"/>
      <c r="X110" s="459"/>
      <c r="Y110" s="459"/>
      <c r="Z110" s="459"/>
      <c r="AB110" s="456"/>
      <c r="AC110" s="462"/>
      <c r="AD110" s="462"/>
      <c r="AE110" s="462"/>
      <c r="AF110" s="456"/>
      <c r="AG110" s="462"/>
      <c r="AH110" s="462"/>
      <c r="AI110" s="462"/>
      <c r="AK110" s="462"/>
      <c r="AL110" s="3438"/>
      <c r="AM110" s="462"/>
      <c r="AN110" s="462"/>
      <c r="AO110" s="456"/>
      <c r="AP110" s="462"/>
      <c r="AQ110" s="462"/>
      <c r="AR110" s="462"/>
      <c r="AT110" s="462"/>
      <c r="AU110" s="3438"/>
      <c r="AV110" s="462"/>
      <c r="AW110" s="462"/>
      <c r="AX110" s="462"/>
      <c r="AY110" s="462"/>
      <c r="AZ110" s="462"/>
      <c r="BA110" s="462"/>
      <c r="BC110" s="462"/>
      <c r="BD110" s="3438"/>
      <c r="BE110" s="462"/>
      <c r="BF110" s="462"/>
      <c r="BG110" s="462"/>
      <c r="BH110" s="462"/>
      <c r="BI110" s="462"/>
      <c r="BJ110" s="462"/>
      <c r="BK110" s="462"/>
      <c r="BL110" s="462"/>
      <c r="BM110" s="577"/>
    </row>
    <row r="111" spans="1:65" x14ac:dyDescent="0.35">
      <c r="A111" s="3439">
        <v>4</v>
      </c>
      <c r="B111" s="469" t="str">
        <f>BM48</f>
        <v>370102 National Academy of Medical Sciences; 370139 Karnali Health Science Academy; 37000139 Patan Health Science Academy; 37000110 BP Koirala Institute of Health Science + starting with 2018-19 :  Rapti Health Academy ; Pokhara Health Science Academy</v>
      </c>
      <c r="C111" s="462"/>
      <c r="E111" s="456"/>
      <c r="F111" s="456"/>
      <c r="G111" s="456"/>
      <c r="H111" s="459"/>
      <c r="I111" s="459"/>
      <c r="K111" s="456"/>
      <c r="L111" s="462"/>
      <c r="M111" s="462"/>
      <c r="N111" s="456"/>
      <c r="O111" s="459"/>
      <c r="P111" s="459"/>
      <c r="Q111" s="459"/>
      <c r="S111" s="456"/>
      <c r="T111" s="462"/>
      <c r="U111" s="462"/>
      <c r="V111" s="462"/>
      <c r="W111" s="456"/>
      <c r="X111" s="459"/>
      <c r="Y111" s="459"/>
      <c r="Z111" s="459"/>
      <c r="AB111" s="456"/>
      <c r="AC111" s="462"/>
      <c r="AD111" s="462"/>
      <c r="AE111" s="462"/>
      <c r="AF111" s="456"/>
      <c r="AG111" s="462"/>
      <c r="AH111" s="462"/>
      <c r="AI111" s="462"/>
      <c r="AK111" s="462"/>
      <c r="AL111" s="3438"/>
      <c r="AM111" s="462"/>
      <c r="AN111" s="462"/>
      <c r="AO111" s="456"/>
      <c r="AP111" s="462"/>
      <c r="AQ111" s="462"/>
      <c r="AR111" s="462"/>
      <c r="AT111" s="462"/>
      <c r="AU111" s="3438"/>
      <c r="AV111" s="462"/>
      <c r="AW111" s="462"/>
      <c r="AX111" s="462"/>
      <c r="AY111" s="462"/>
      <c r="AZ111" s="462"/>
      <c r="BA111" s="462"/>
      <c r="BC111" s="462"/>
      <c r="BD111" s="3438"/>
      <c r="BE111" s="462"/>
      <c r="BF111" s="462"/>
      <c r="BG111" s="462"/>
      <c r="BH111" s="462"/>
      <c r="BI111" s="462"/>
      <c r="BJ111" s="462"/>
      <c r="BK111" s="462"/>
      <c r="BL111" s="462"/>
      <c r="BM111" s="577"/>
    </row>
    <row r="112" spans="1:65" x14ac:dyDescent="0.35">
      <c r="A112" s="3439">
        <v>5</v>
      </c>
      <c r="B112" s="469" t="str">
        <f>BM50</f>
        <v>325102 Nepal Tourism and Hotel Management Academy</v>
      </c>
      <c r="C112" s="462"/>
      <c r="E112" s="456"/>
      <c r="F112" s="456"/>
      <c r="G112" s="456"/>
      <c r="H112" s="459"/>
      <c r="I112" s="459"/>
      <c r="K112" s="456"/>
      <c r="L112" s="462"/>
      <c r="M112" s="462"/>
      <c r="N112" s="456"/>
      <c r="O112" s="462"/>
      <c r="P112" s="462"/>
      <c r="Q112" s="462"/>
      <c r="R112" s="462"/>
      <c r="S112" s="462"/>
      <c r="T112" s="462"/>
      <c r="U112" s="462"/>
      <c r="V112" s="462"/>
      <c r="W112" s="456"/>
      <c r="X112" s="462"/>
      <c r="Y112" s="462"/>
      <c r="Z112" s="462"/>
      <c r="AA112" s="462"/>
      <c r="AB112" s="462"/>
      <c r="AC112" s="462"/>
      <c r="AD112" s="462"/>
      <c r="AE112" s="462"/>
      <c r="AF112" s="456"/>
      <c r="AG112" s="462"/>
      <c r="AH112" s="462"/>
      <c r="AI112" s="462"/>
      <c r="AJ112" s="462"/>
      <c r="AK112" s="462"/>
      <c r="AL112" s="3438"/>
      <c r="AM112" s="462"/>
      <c r="AN112" s="462"/>
      <c r="AO112" s="456"/>
      <c r="AP112" s="462"/>
      <c r="AQ112" s="462"/>
      <c r="AR112" s="462"/>
      <c r="AS112" s="462"/>
      <c r="AT112" s="462"/>
      <c r="AU112" s="3438"/>
      <c r="AV112" s="462"/>
      <c r="AW112" s="462"/>
      <c r="AX112" s="462"/>
      <c r="AY112" s="462"/>
      <c r="AZ112" s="462"/>
      <c r="BA112" s="462"/>
      <c r="BB112" s="462"/>
      <c r="BC112" s="462"/>
      <c r="BD112" s="3438"/>
      <c r="BE112" s="462"/>
      <c r="BF112" s="462"/>
      <c r="BG112" s="462"/>
      <c r="BH112" s="462"/>
      <c r="BI112" s="462"/>
      <c r="BJ112" s="462"/>
      <c r="BK112" s="462"/>
      <c r="BL112" s="462"/>
      <c r="BM112" s="577"/>
    </row>
    <row r="113" spans="1:54" x14ac:dyDescent="0.35">
      <c r="A113" s="3439">
        <v>6</v>
      </c>
      <c r="B113" s="469" t="str">
        <f>BM52</f>
        <v xml:space="preserve">345016 Army Command and Staff college </v>
      </c>
      <c r="C113" s="462"/>
      <c r="E113" s="456"/>
      <c r="F113" s="456"/>
      <c r="G113" s="456"/>
      <c r="H113" s="459"/>
      <c r="I113" s="459"/>
      <c r="K113" s="456"/>
      <c r="L113" s="462"/>
      <c r="M113" s="462"/>
      <c r="O113" s="462"/>
      <c r="P113" s="462"/>
      <c r="Q113" s="462"/>
      <c r="R113" s="462"/>
      <c r="S113" s="462"/>
      <c r="T113" s="462"/>
      <c r="U113" s="462"/>
      <c r="V113" s="462"/>
      <c r="X113" s="462"/>
      <c r="Y113" s="462"/>
      <c r="Z113" s="462"/>
      <c r="AA113" s="462"/>
      <c r="AB113" s="462"/>
      <c r="AC113" s="462"/>
      <c r="AD113" s="462"/>
      <c r="AE113" s="462"/>
      <c r="AG113" s="462"/>
      <c r="AH113" s="462"/>
      <c r="AI113" s="462"/>
      <c r="AJ113" s="462"/>
      <c r="AP113" s="462"/>
      <c r="AQ113" s="462"/>
      <c r="AR113" s="462"/>
      <c r="AS113" s="462"/>
      <c r="AY113" s="462"/>
      <c r="AZ113" s="462"/>
      <c r="BA113" s="462"/>
      <c r="BB113" s="462"/>
    </row>
    <row r="114" spans="1:54" x14ac:dyDescent="0.35">
      <c r="A114" s="3439">
        <v>7</v>
      </c>
      <c r="B114" s="469" t="str">
        <f>BM54</f>
        <v>314026 National Police Academy</v>
      </c>
      <c r="C114" s="462"/>
      <c r="E114" s="456"/>
      <c r="F114" s="456"/>
      <c r="G114" s="456"/>
      <c r="H114" s="459"/>
      <c r="I114" s="459"/>
      <c r="K114" s="456"/>
      <c r="L114" s="462"/>
      <c r="M114" s="462"/>
      <c r="O114" s="462"/>
      <c r="P114" s="462"/>
      <c r="Q114" s="462"/>
      <c r="R114" s="462"/>
      <c r="S114" s="462"/>
      <c r="T114" s="462"/>
      <c r="U114" s="462"/>
      <c r="V114" s="462"/>
      <c r="X114" s="462"/>
      <c r="Y114" s="462"/>
      <c r="Z114" s="462"/>
      <c r="AA114" s="462"/>
      <c r="AB114" s="462"/>
      <c r="AC114" s="462"/>
      <c r="AD114" s="462"/>
      <c r="AE114" s="462"/>
      <c r="AG114" s="462"/>
      <c r="AH114" s="462"/>
      <c r="AI114" s="462"/>
      <c r="AJ114" s="462"/>
      <c r="AP114" s="462"/>
      <c r="AQ114" s="462"/>
      <c r="AR114" s="462"/>
      <c r="AS114" s="462"/>
      <c r="AY114" s="462"/>
      <c r="AZ114" s="462"/>
      <c r="BA114" s="462"/>
      <c r="BB114" s="462"/>
    </row>
    <row r="115" spans="1:54" x14ac:dyDescent="0.35">
      <c r="A115" s="3439">
        <v>8</v>
      </c>
      <c r="B115" s="469">
        <f>BM59</f>
        <v>0</v>
      </c>
      <c r="C115" s="462"/>
      <c r="E115" s="456"/>
      <c r="F115" s="456"/>
      <c r="G115" s="456"/>
      <c r="H115" s="459"/>
      <c r="I115" s="459"/>
      <c r="K115" s="456"/>
      <c r="L115" s="462"/>
      <c r="M115" s="462"/>
      <c r="O115" s="462"/>
      <c r="P115" s="462"/>
      <c r="Q115" s="462"/>
      <c r="R115" s="462"/>
      <c r="S115" s="462"/>
      <c r="T115" s="462"/>
      <c r="U115" s="462"/>
      <c r="V115" s="462"/>
      <c r="X115" s="462"/>
      <c r="Y115" s="462"/>
      <c r="Z115" s="462"/>
      <c r="AA115" s="462"/>
      <c r="AB115" s="462"/>
      <c r="AC115" s="462"/>
      <c r="AD115" s="462"/>
      <c r="AE115" s="462"/>
      <c r="AG115" s="462"/>
      <c r="AH115" s="462"/>
      <c r="AI115" s="462"/>
      <c r="AJ115" s="462"/>
      <c r="AP115" s="462"/>
      <c r="AQ115" s="462"/>
      <c r="AR115" s="462"/>
      <c r="AS115" s="462"/>
      <c r="AY115" s="462"/>
      <c r="AZ115" s="462"/>
      <c r="BA115" s="462"/>
      <c r="BB115" s="462"/>
    </row>
    <row r="116" spans="1:54" x14ac:dyDescent="0.35">
      <c r="A116" s="3439">
        <v>9</v>
      </c>
      <c r="B116" s="469">
        <f>BM62</f>
        <v>0</v>
      </c>
      <c r="C116" s="462"/>
      <c r="E116" s="456"/>
      <c r="F116" s="456"/>
      <c r="G116" s="456"/>
      <c r="H116" s="459"/>
      <c r="I116" s="459"/>
      <c r="K116" s="456"/>
      <c r="L116" s="462"/>
      <c r="M116" s="462"/>
      <c r="O116" s="462"/>
      <c r="P116" s="462"/>
      <c r="Q116" s="462"/>
      <c r="R116" s="462"/>
      <c r="S116" s="462"/>
      <c r="T116" s="462"/>
      <c r="U116" s="462"/>
      <c r="V116" s="462"/>
      <c r="X116" s="462"/>
      <c r="Y116" s="462"/>
      <c r="Z116" s="462"/>
      <c r="AA116" s="462"/>
      <c r="AB116" s="462"/>
      <c r="AC116" s="462"/>
      <c r="AD116" s="462"/>
      <c r="AE116" s="462"/>
      <c r="AG116" s="462"/>
      <c r="AH116" s="462"/>
      <c r="AI116" s="462"/>
      <c r="AJ116" s="462"/>
      <c r="AP116" s="462"/>
      <c r="AQ116" s="462"/>
      <c r="AR116" s="462"/>
      <c r="AS116" s="462"/>
      <c r="AY116" s="462"/>
      <c r="AZ116" s="462"/>
      <c r="BA116" s="462"/>
      <c r="BB116" s="462"/>
    </row>
    <row r="117" spans="1:54" x14ac:dyDescent="0.35">
      <c r="A117" s="3439">
        <v>10</v>
      </c>
      <c r="B117" s="469" t="str">
        <f>BM30</f>
        <v>Up to FY2016-17: District and Villages Development Committees, Municipalities. Starting with 2017-18: Shift to Federalism, Povinces and Local Governments are receiving unmarked funding (revenue sharing not part of Federal budget, Equalization grants from Federal Budget) and earmarked funding (conditional grants)</v>
      </c>
      <c r="C117" s="462"/>
      <c r="E117" s="456"/>
      <c r="F117" s="456"/>
      <c r="G117" s="456"/>
      <c r="H117" s="459"/>
      <c r="I117" s="459"/>
      <c r="K117" s="456"/>
      <c r="L117" s="462"/>
      <c r="M117" s="462"/>
      <c r="O117" s="462"/>
      <c r="P117" s="462"/>
      <c r="Q117" s="462"/>
      <c r="R117" s="462"/>
      <c r="S117" s="462"/>
      <c r="T117" s="462"/>
      <c r="U117" s="462"/>
      <c r="V117" s="462"/>
      <c r="X117" s="462"/>
      <c r="Y117" s="462"/>
      <c r="Z117" s="462"/>
      <c r="AA117" s="462"/>
      <c r="AB117" s="462"/>
      <c r="AC117" s="462"/>
      <c r="AD117" s="462"/>
      <c r="AE117" s="462"/>
      <c r="AG117" s="462"/>
      <c r="AH117" s="462"/>
      <c r="AI117" s="462"/>
      <c r="AJ117" s="462"/>
      <c r="AP117" s="462"/>
      <c r="AQ117" s="462"/>
      <c r="AR117" s="462"/>
      <c r="AS117" s="462"/>
      <c r="AY117" s="462"/>
      <c r="AZ117" s="462"/>
      <c r="BA117" s="462"/>
      <c r="BB117" s="462"/>
    </row>
    <row r="118" spans="1:54" x14ac:dyDescent="0.35">
      <c r="A118" s="3439">
        <v>11</v>
      </c>
      <c r="B118" s="469" t="str">
        <f>AI71</f>
        <v>% estimated from the work on National Education Accounts</v>
      </c>
      <c r="C118" s="462"/>
      <c r="E118" s="456"/>
      <c r="F118" s="456"/>
      <c r="G118" s="456"/>
      <c r="H118" s="459"/>
      <c r="I118" s="459"/>
      <c r="K118" s="456"/>
      <c r="L118" s="462"/>
      <c r="M118" s="462"/>
      <c r="O118" s="462"/>
      <c r="P118" s="462"/>
      <c r="Q118" s="462"/>
      <c r="R118" s="462"/>
      <c r="S118" s="462"/>
      <c r="T118" s="462"/>
      <c r="U118" s="462"/>
      <c r="V118" s="462"/>
      <c r="X118" s="462"/>
      <c r="Y118" s="462"/>
      <c r="Z118" s="462"/>
      <c r="AA118" s="462"/>
      <c r="AB118" s="462"/>
      <c r="AC118" s="462"/>
      <c r="AD118" s="462"/>
      <c r="AE118" s="462"/>
      <c r="AG118" s="462"/>
      <c r="AH118" s="462"/>
      <c r="AI118" s="462"/>
      <c r="AJ118" s="462"/>
      <c r="AP118" s="462"/>
      <c r="AQ118" s="462"/>
      <c r="AR118" s="462"/>
      <c r="AS118" s="462"/>
      <c r="AY118" s="462"/>
      <c r="AZ118" s="462"/>
      <c r="BA118" s="462"/>
      <c r="BB118" s="462"/>
    </row>
    <row r="119" spans="1:54" x14ac:dyDescent="0.35">
      <c r="A119" s="3439">
        <v>12</v>
      </c>
      <c r="B119" s="469">
        <f>BM73</f>
        <v>0</v>
      </c>
      <c r="C119" s="462"/>
      <c r="E119" s="456"/>
      <c r="F119" s="456"/>
      <c r="G119" s="456"/>
      <c r="H119" s="459"/>
      <c r="I119" s="459"/>
      <c r="K119" s="456"/>
      <c r="L119" s="462"/>
      <c r="M119" s="462"/>
      <c r="O119" s="459"/>
      <c r="P119" s="459"/>
      <c r="Q119" s="459"/>
      <c r="S119" s="456"/>
      <c r="T119" s="462"/>
      <c r="U119" s="462"/>
      <c r="V119" s="462"/>
      <c r="X119" s="459"/>
      <c r="Y119" s="459"/>
      <c r="Z119" s="459"/>
      <c r="AB119" s="456"/>
      <c r="AC119" s="462"/>
      <c r="AD119" s="462"/>
      <c r="AE119" s="462"/>
      <c r="AG119" s="462"/>
      <c r="AH119" s="462"/>
      <c r="AI119" s="462"/>
      <c r="AP119" s="462"/>
      <c r="AQ119" s="462"/>
      <c r="AR119" s="462"/>
      <c r="AY119" s="462"/>
      <c r="AZ119" s="462"/>
      <c r="BA119" s="462"/>
    </row>
    <row r="120" spans="1:54" ht="14.5" customHeight="1" x14ac:dyDescent="0.35">
      <c r="A120" s="462"/>
      <c r="B120" s="456"/>
      <c r="C120" s="462"/>
      <c r="E120" s="456"/>
      <c r="F120" s="456"/>
      <c r="G120" s="456"/>
      <c r="H120" s="459"/>
      <c r="I120" s="459"/>
      <c r="K120" s="456"/>
      <c r="L120" s="462"/>
      <c r="M120" s="462"/>
      <c r="O120" s="459"/>
      <c r="P120" s="459"/>
      <c r="Q120" s="459"/>
      <c r="S120" s="456"/>
      <c r="T120" s="462"/>
      <c r="U120" s="462"/>
      <c r="V120" s="462"/>
      <c r="X120" s="459"/>
      <c r="Y120" s="459"/>
      <c r="Z120" s="459"/>
      <c r="AB120" s="456"/>
      <c r="AC120" s="462"/>
      <c r="AD120" s="462"/>
      <c r="AE120" s="462"/>
      <c r="AG120" s="462"/>
      <c r="AH120" s="462"/>
      <c r="AI120" s="462"/>
      <c r="AP120" s="462"/>
      <c r="AQ120" s="462"/>
      <c r="AR120" s="462"/>
      <c r="AY120" s="462"/>
      <c r="AZ120" s="462"/>
      <c r="BA120" s="462"/>
    </row>
    <row r="121" spans="1:54" x14ac:dyDescent="0.35">
      <c r="A121" s="462"/>
      <c r="B121" s="456"/>
      <c r="C121" s="462"/>
      <c r="E121" s="456"/>
      <c r="F121" s="456"/>
      <c r="G121" s="456"/>
      <c r="H121" s="459"/>
      <c r="I121" s="459"/>
      <c r="K121" s="456"/>
      <c r="L121" s="462"/>
      <c r="M121" s="462"/>
      <c r="O121" s="459"/>
      <c r="P121" s="459"/>
      <c r="Q121" s="459"/>
      <c r="S121" s="456"/>
      <c r="T121" s="462"/>
      <c r="U121" s="462"/>
      <c r="V121" s="462"/>
      <c r="X121" s="459"/>
      <c r="Y121" s="459"/>
      <c r="Z121" s="459"/>
      <c r="AB121" s="456"/>
      <c r="AC121" s="462"/>
      <c r="AD121" s="462"/>
      <c r="AE121" s="462"/>
      <c r="AG121" s="462"/>
      <c r="AH121" s="462"/>
      <c r="AI121" s="462"/>
      <c r="AP121" s="462"/>
      <c r="AQ121" s="462"/>
      <c r="AR121" s="462"/>
      <c r="AY121" s="462"/>
      <c r="AZ121" s="462"/>
      <c r="BA121" s="462"/>
    </row>
    <row r="122" spans="1:54" x14ac:dyDescent="0.35">
      <c r="A122" s="455" t="s">
        <v>583</v>
      </c>
      <c r="B122" s="455"/>
      <c r="C122" s="456"/>
      <c r="E122" s="456"/>
      <c r="F122" s="456"/>
      <c r="G122" s="456"/>
      <c r="H122" s="459"/>
      <c r="I122" s="459"/>
      <c r="K122" s="456"/>
      <c r="L122" s="462"/>
      <c r="M122" s="462"/>
      <c r="AG122" s="462"/>
      <c r="AH122" s="462"/>
      <c r="AI122" s="462"/>
      <c r="AP122" s="462"/>
      <c r="AQ122" s="462"/>
      <c r="AR122" s="462"/>
      <c r="AY122" s="462"/>
      <c r="AZ122" s="462"/>
      <c r="BA122" s="462"/>
    </row>
    <row r="123" spans="1:54" x14ac:dyDescent="0.35">
      <c r="A123" s="9170" t="s">
        <v>4322</v>
      </c>
      <c r="B123" s="9171"/>
      <c r="C123" s="9171"/>
      <c r="D123" s="9171"/>
      <c r="E123" s="9171"/>
      <c r="F123" s="9171"/>
      <c r="G123" s="9171"/>
      <c r="H123" s="9171"/>
      <c r="I123" s="9171"/>
      <c r="J123" s="9171"/>
      <c r="K123" s="9171"/>
      <c r="L123" s="9171"/>
      <c r="M123" s="9172"/>
    </row>
  </sheetData>
  <mergeCells count="60">
    <mergeCell ref="A10:A34"/>
    <mergeCell ref="C31:C32"/>
    <mergeCell ref="O10:P10"/>
    <mergeCell ref="T7:V7"/>
    <mergeCell ref="X7:Y7"/>
    <mergeCell ref="AA7:AA8"/>
    <mergeCell ref="AC7:AE7"/>
    <mergeCell ref="AL7:AN7"/>
    <mergeCell ref="H7:I7"/>
    <mergeCell ref="J7:J8"/>
    <mergeCell ref="L7:M7"/>
    <mergeCell ref="O7:P7"/>
    <mergeCell ref="R7:R8"/>
    <mergeCell ref="AG7:AI7"/>
    <mergeCell ref="AJ7:AJ8"/>
    <mergeCell ref="AC5:AE5"/>
    <mergeCell ref="AG5:AJ5"/>
    <mergeCell ref="AL5:AN5"/>
    <mergeCell ref="AP5:AS5"/>
    <mergeCell ref="AU5:AW5"/>
    <mergeCell ref="H5:J5"/>
    <mergeCell ref="L5:M5"/>
    <mergeCell ref="O5:R5"/>
    <mergeCell ref="T5:V5"/>
    <mergeCell ref="X5:AA5"/>
    <mergeCell ref="F1:M1"/>
    <mergeCell ref="O1:V1"/>
    <mergeCell ref="X1:AE1"/>
    <mergeCell ref="AG1:AN1"/>
    <mergeCell ref="H4:J4"/>
    <mergeCell ref="L4:M4"/>
    <mergeCell ref="O4:R4"/>
    <mergeCell ref="T4:V4"/>
    <mergeCell ref="X4:AA4"/>
    <mergeCell ref="AC4:AE4"/>
    <mergeCell ref="AG4:AJ4"/>
    <mergeCell ref="AL4:AN4"/>
    <mergeCell ref="AP7:AR7"/>
    <mergeCell ref="AS7:AS8"/>
    <mergeCell ref="AU7:AW7"/>
    <mergeCell ref="AP1:AW1"/>
    <mergeCell ref="AP4:AS4"/>
    <mergeCell ref="AU4:AW4"/>
    <mergeCell ref="AY1:BF1"/>
    <mergeCell ref="AY4:BB4"/>
    <mergeCell ref="BD4:BF4"/>
    <mergeCell ref="BM4:BM5"/>
    <mergeCell ref="AY5:BB5"/>
    <mergeCell ref="BD5:BF5"/>
    <mergeCell ref="AY7:BA7"/>
    <mergeCell ref="BB7:BB8"/>
    <mergeCell ref="BD7:BF7"/>
    <mergeCell ref="BM30:BM34"/>
    <mergeCell ref="AZ31:AZ32"/>
    <mergeCell ref="A123:M123"/>
    <mergeCell ref="A36:A76"/>
    <mergeCell ref="O36:P36"/>
    <mergeCell ref="X36:Y36"/>
    <mergeCell ref="A78:A87"/>
    <mergeCell ref="A89:A105"/>
  </mergeCells>
  <hyperlinks>
    <hyperlink ref="Q10" r:id="rId1" xr:uid="{FED9B53F-392B-4EAC-91DA-40E59BC9DC2B}"/>
    <hyperlink ref="U10" r:id="rId2" xr:uid="{6DBBE179-7950-4C8B-8481-1BD31A2271A6}"/>
    <hyperlink ref="AM10" r:id="rId3" xr:uid="{DE2E78DD-0023-4A2E-BBDA-95CFCBD1232D}"/>
    <hyperlink ref="AV10" r:id="rId4" xr:uid="{F7DFE0B8-3858-4C88-AD0F-7F2144AF2636}"/>
    <hyperlink ref="AR10" r:id="rId5" xr:uid="{5E9107AF-46DB-46B6-ACA2-4E637DFFDFE1}"/>
    <hyperlink ref="AU37" r:id="rId6" xr:uid="{7090F2D8-DFA4-4256-A5A6-F99C05FCC1FA}"/>
  </hyperlinks>
  <pageMargins left="0.23622047244094491" right="0.23622047244094491" top="0.35433070866141736" bottom="0.35433070866141736" header="0.31496062992125984" footer="0.31496062992125984"/>
  <pageSetup paperSize="9" scale="41" orientation="portrait" horizontalDpi="4294967293" r:id="rId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L141"/>
  <sheetViews>
    <sheetView topLeftCell="A66" zoomScale="80" zoomScaleNormal="80" workbookViewId="0">
      <pane xSplit="4" topLeftCell="V1" activePane="topRight" state="frozen"/>
      <selection pane="topRight" activeCell="V113" sqref="V113"/>
    </sheetView>
  </sheetViews>
  <sheetFormatPr defaultColWidth="9.1796875" defaultRowHeight="14.5" x14ac:dyDescent="0.35"/>
  <cols>
    <col min="1" max="1" width="6.6328125" customWidth="1"/>
    <col min="2" max="2" width="57.816406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22.1796875" style="7" bestFit="1" customWidth="1"/>
    <col min="19" max="19" width="1.6328125" style="1" customWidth="1"/>
    <col min="20" max="20" width="21.6328125" customWidth="1"/>
    <col min="21" max="21" width="23.1796875" customWidth="1"/>
    <col min="22" max="22" width="21.6328125" customWidth="1"/>
    <col min="23" max="23" width="1.6328125" style="1" customWidth="1"/>
    <col min="24" max="25" width="2.453125" customWidth="1"/>
    <col min="26" max="28" width="40.1796875" customWidth="1"/>
    <col min="29" max="29" width="2.453125" customWidth="1"/>
    <col min="30" max="32" width="40.1796875" customWidth="1"/>
    <col min="33" max="33" width="8.81640625" customWidth="1"/>
    <col min="34" max="34" width="2.453125" customWidth="1"/>
    <col min="35" max="35" width="29.81640625" customWidth="1"/>
    <col min="36" max="36" width="40.1796875" customWidth="1"/>
    <col min="37" max="38" width="28.81640625" customWidth="1"/>
  </cols>
  <sheetData>
    <row r="1" spans="1:38" ht="31" x14ac:dyDescent="0.7">
      <c r="F1" s="9118" t="s">
        <v>394</v>
      </c>
      <c r="G1" s="9119"/>
      <c r="H1" s="9119"/>
      <c r="I1" s="9119"/>
      <c r="J1" s="9119"/>
      <c r="K1" s="9119"/>
      <c r="L1" s="9119"/>
      <c r="M1" s="9120"/>
      <c r="N1"/>
      <c r="O1" s="9121" t="s">
        <v>395</v>
      </c>
      <c r="P1" s="9122"/>
      <c r="Q1" s="9122"/>
      <c r="R1" s="9122"/>
      <c r="S1" s="9122"/>
      <c r="T1" s="9122"/>
      <c r="U1" s="9122"/>
      <c r="V1" s="9123"/>
      <c r="W1"/>
      <c r="Z1" s="9349" t="s">
        <v>396</v>
      </c>
      <c r="AA1" s="9350"/>
      <c r="AB1" s="9350"/>
      <c r="AC1" s="5070"/>
      <c r="AD1" s="9174" t="s">
        <v>397</v>
      </c>
      <c r="AE1" s="9175"/>
      <c r="AF1" s="9175"/>
      <c r="AG1" s="7679"/>
      <c r="AI1" s="9195" t="s">
        <v>398</v>
      </c>
      <c r="AJ1" s="9196"/>
      <c r="AK1" s="9196"/>
      <c r="AL1" s="7682"/>
    </row>
    <row r="2" spans="1:38" ht="21" x14ac:dyDescent="0.5">
      <c r="B2" s="1" t="s">
        <v>9</v>
      </c>
      <c r="C2" s="4" t="s">
        <v>57</v>
      </c>
      <c r="H2"/>
    </row>
    <row r="4" spans="1:38"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80" t="s">
        <v>404</v>
      </c>
      <c r="Z4" s="9130" t="s">
        <v>402</v>
      </c>
      <c r="AA4" s="9131"/>
      <c r="AB4" s="9132"/>
      <c r="AD4" s="9130" t="s">
        <v>402</v>
      </c>
      <c r="AE4" s="9131"/>
      <c r="AF4" s="9132"/>
      <c r="AI4" s="9130" t="s">
        <v>402</v>
      </c>
      <c r="AJ4" s="9131"/>
      <c r="AK4" s="9132"/>
    </row>
    <row r="5" spans="1:38" x14ac:dyDescent="0.35">
      <c r="B5" s="1" t="s">
        <v>406</v>
      </c>
      <c r="C5" s="11">
        <v>2002</v>
      </c>
      <c r="F5" s="8324">
        <v>2011</v>
      </c>
      <c r="G5" s="12"/>
      <c r="H5" s="9138">
        <v>2014</v>
      </c>
      <c r="I5" s="9139"/>
      <c r="J5" s="9140"/>
      <c r="K5" s="12"/>
      <c r="L5" s="9138">
        <v>2015</v>
      </c>
      <c r="M5" s="9140"/>
      <c r="O5" s="9138" t="s">
        <v>737</v>
      </c>
      <c r="P5" s="9139"/>
      <c r="Q5" s="9139"/>
      <c r="R5" s="9140"/>
      <c r="S5" s="12"/>
      <c r="T5" s="9138" t="s">
        <v>3242</v>
      </c>
      <c r="U5" s="9139"/>
      <c r="V5" s="9140"/>
      <c r="X5" s="9181"/>
      <c r="Z5" s="9138" t="s">
        <v>740</v>
      </c>
      <c r="AA5" s="9139"/>
      <c r="AB5" s="9140"/>
      <c r="AD5" s="9138" t="s">
        <v>741</v>
      </c>
      <c r="AE5" s="9139"/>
      <c r="AF5" s="9140"/>
      <c r="AG5" s="7678"/>
      <c r="AI5" s="9138">
        <v>2019</v>
      </c>
      <c r="AJ5" s="9139"/>
      <c r="AK5" s="9140"/>
      <c r="AL5" s="7678"/>
    </row>
    <row r="6" spans="1:38" x14ac:dyDescent="0.35">
      <c r="C6"/>
      <c r="F6" s="6"/>
      <c r="L6" s="14"/>
      <c r="T6" s="14"/>
      <c r="U6" s="14"/>
      <c r="X6" s="6"/>
      <c r="Z6" s="14"/>
      <c r="AA6" s="14"/>
      <c r="AD6" s="14"/>
      <c r="AE6" s="14"/>
      <c r="AI6" s="14"/>
      <c r="AJ6" s="14"/>
    </row>
    <row r="7" spans="1:38" ht="12.75" customHeight="1" x14ac:dyDescent="0.35">
      <c r="B7" s="1" t="s">
        <v>101</v>
      </c>
      <c r="C7" s="15" t="s">
        <v>4323</v>
      </c>
      <c r="D7" s="2" t="s">
        <v>417</v>
      </c>
      <c r="F7" s="8322" t="s">
        <v>1914</v>
      </c>
      <c r="H7" s="9173" t="s">
        <v>1914</v>
      </c>
      <c r="I7" s="9173"/>
      <c r="J7" s="9147" t="s">
        <v>419</v>
      </c>
      <c r="L7" s="9149" t="s">
        <v>1914</v>
      </c>
      <c r="M7" s="9151"/>
      <c r="O7" s="9173" t="str">
        <f>L7</f>
        <v>million</v>
      </c>
      <c r="P7" s="9173"/>
      <c r="Q7" s="16"/>
      <c r="R7" s="9147" t="s">
        <v>419</v>
      </c>
      <c r="T7" s="9149" t="str">
        <f>O7</f>
        <v>million</v>
      </c>
      <c r="U7" s="9150"/>
      <c r="V7" s="9151"/>
      <c r="X7" s="18"/>
      <c r="Z7" s="9149" t="s">
        <v>1914</v>
      </c>
      <c r="AA7" s="9150"/>
      <c r="AB7" s="9151"/>
      <c r="AD7" s="9149" t="s">
        <v>1914</v>
      </c>
      <c r="AE7" s="9150"/>
      <c r="AF7" s="9151"/>
      <c r="AG7" s="5157"/>
      <c r="AI7" s="9149" t="s">
        <v>1914</v>
      </c>
      <c r="AJ7" s="9150"/>
      <c r="AK7" s="9151"/>
      <c r="AL7" s="5157"/>
    </row>
    <row r="8" spans="1:38" x14ac:dyDescent="0.35">
      <c r="B8" s="1" t="s">
        <v>420</v>
      </c>
      <c r="C8" s="19" t="s">
        <v>589</v>
      </c>
      <c r="F8" s="20" t="s">
        <v>4324</v>
      </c>
      <c r="H8" s="21" t="s">
        <v>4325</v>
      </c>
      <c r="I8" s="20" t="s">
        <v>4324</v>
      </c>
      <c r="J8" s="9148"/>
      <c r="L8" s="21" t="s">
        <v>4325</v>
      </c>
      <c r="M8" s="20" t="s">
        <v>4324</v>
      </c>
      <c r="O8" s="20" t="s">
        <v>424</v>
      </c>
      <c r="P8" s="20" t="s">
        <v>96</v>
      </c>
      <c r="Q8" s="22" t="s">
        <v>425</v>
      </c>
      <c r="R8" s="9148"/>
      <c r="T8" s="21" t="s">
        <v>748</v>
      </c>
      <c r="U8" s="22" t="s">
        <v>425</v>
      </c>
      <c r="V8" s="20" t="s">
        <v>96</v>
      </c>
      <c r="X8" s="24"/>
      <c r="Z8" s="21" t="s">
        <v>424</v>
      </c>
      <c r="AA8" s="22" t="s">
        <v>4326</v>
      </c>
      <c r="AB8" s="20" t="s">
        <v>4327</v>
      </c>
      <c r="AD8" s="21" t="s">
        <v>424</v>
      </c>
      <c r="AE8" s="22" t="s">
        <v>425</v>
      </c>
      <c r="AF8" s="20" t="s">
        <v>96</v>
      </c>
      <c r="AG8" s="6"/>
      <c r="AI8" s="21" t="s">
        <v>424</v>
      </c>
      <c r="AJ8" s="22" t="s">
        <v>425</v>
      </c>
      <c r="AK8" s="20" t="s">
        <v>96</v>
      </c>
      <c r="AL8" s="6" t="s">
        <v>4328</v>
      </c>
    </row>
    <row r="9" spans="1:38" x14ac:dyDescent="0.35">
      <c r="C9"/>
      <c r="E9"/>
      <c r="F9"/>
      <c r="G9"/>
      <c r="H9"/>
      <c r="I9"/>
      <c r="J9" s="25"/>
      <c r="K9"/>
      <c r="N9"/>
      <c r="O9"/>
      <c r="P9"/>
      <c r="Q9"/>
      <c r="R9" s="25"/>
      <c r="S9"/>
      <c r="W9"/>
      <c r="AJ9" s="7300" t="s">
        <v>4329</v>
      </c>
    </row>
    <row r="10" spans="1:38" ht="55.5" customHeight="1" x14ac:dyDescent="0.35">
      <c r="A10" s="9167" t="s">
        <v>426</v>
      </c>
      <c r="B10" s="27"/>
      <c r="C10" s="28" t="s">
        <v>427</v>
      </c>
      <c r="D10" s="580" t="s">
        <v>428</v>
      </c>
      <c r="E10" s="30"/>
      <c r="F10" s="5071" t="s">
        <v>4330</v>
      </c>
      <c r="G10" s="711"/>
      <c r="H10" s="9489" t="s">
        <v>4331</v>
      </c>
      <c r="I10" s="9490"/>
      <c r="J10" s="32"/>
      <c r="K10" s="33"/>
      <c r="L10" s="9489" t="s">
        <v>4332</v>
      </c>
      <c r="M10" s="9490"/>
      <c r="N10" s="33"/>
      <c r="O10" s="9489" t="s">
        <v>4332</v>
      </c>
      <c r="P10" s="9490"/>
      <c r="Q10" s="581" t="s">
        <v>4333</v>
      </c>
      <c r="R10" s="32"/>
      <c r="S10" s="33"/>
      <c r="T10" s="36" t="s">
        <v>4334</v>
      </c>
      <c r="U10" s="581" t="s">
        <v>4335</v>
      </c>
      <c r="V10" s="34" t="s">
        <v>4336</v>
      </c>
      <c r="W10" s="33"/>
      <c r="X10" s="39"/>
      <c r="Z10" s="36" t="s">
        <v>4337</v>
      </c>
      <c r="AA10" s="581" t="s">
        <v>4338</v>
      </c>
      <c r="AB10" s="35" t="s">
        <v>4339</v>
      </c>
      <c r="AD10" s="36" t="s">
        <v>4340</v>
      </c>
      <c r="AE10" s="581" t="s">
        <v>4341</v>
      </c>
      <c r="AF10" s="36" t="s">
        <v>4340</v>
      </c>
      <c r="AG10" s="7680" t="s">
        <v>4342</v>
      </c>
      <c r="AI10" s="36" t="s">
        <v>4343</v>
      </c>
      <c r="AJ10" s="652" t="s">
        <v>4344</v>
      </c>
      <c r="AK10" s="36"/>
      <c r="AL10" s="7680"/>
    </row>
    <row r="11" spans="1:38" ht="12.75" customHeight="1" x14ac:dyDescent="0.35">
      <c r="A11" s="9168"/>
      <c r="B11" s="40" t="s">
        <v>451</v>
      </c>
      <c r="C11" s="41"/>
      <c r="D11" s="585"/>
      <c r="E11" s="43"/>
      <c r="F11" s="44"/>
      <c r="G11"/>
      <c r="H11" s="45"/>
      <c r="I11" s="46"/>
      <c r="J11" s="47"/>
      <c r="K11" s="48"/>
      <c r="L11" s="45"/>
      <c r="M11" s="4019"/>
      <c r="N11" s="50"/>
      <c r="O11" s="51"/>
      <c r="P11" s="46"/>
      <c r="Q11" s="592" t="s">
        <v>4345</v>
      </c>
      <c r="R11" s="47"/>
      <c r="S11" s="48"/>
      <c r="T11" s="45"/>
      <c r="U11" s="592" t="s">
        <v>4346</v>
      </c>
      <c r="V11" s="5072"/>
      <c r="W11" s="50"/>
      <c r="X11" s="18"/>
      <c r="Z11" s="45"/>
      <c r="AA11" s="592"/>
      <c r="AB11" s="45"/>
      <c r="AD11" s="45"/>
      <c r="AE11" s="592" t="s">
        <v>4347</v>
      </c>
      <c r="AF11" s="45"/>
      <c r="AI11" s="154"/>
      <c r="AJ11" s="592"/>
      <c r="AK11" s="154"/>
      <c r="AL11" s="1109"/>
    </row>
    <row r="12" spans="1:38" x14ac:dyDescent="0.35">
      <c r="A12" s="9168"/>
      <c r="B12" s="58"/>
      <c r="C12" s="59" t="s">
        <v>456</v>
      </c>
      <c r="D12" s="197"/>
      <c r="F12" s="61">
        <v>34946.213000000003</v>
      </c>
      <c r="G12"/>
      <c r="H12" s="62">
        <v>49106.3</v>
      </c>
      <c r="I12" s="63">
        <v>50687.3</v>
      </c>
      <c r="J12" s="64">
        <f>IF(H12=0,0,I12/H12)</f>
        <v>1.0321954616821059</v>
      </c>
      <c r="K12" s="65"/>
      <c r="L12" s="68">
        <v>57859.199999999997</v>
      </c>
      <c r="M12" s="4587">
        <v>58170.5</v>
      </c>
      <c r="N12" s="67"/>
      <c r="O12" s="68">
        <f>L12</f>
        <v>57859.199999999997</v>
      </c>
      <c r="P12" s="69">
        <f>M12</f>
        <v>58170.5</v>
      </c>
      <c r="Q12" s="53" t="s">
        <v>4348</v>
      </c>
      <c r="R12" s="64">
        <f>IF(O12=0,0,P12/O12)</f>
        <v>1.0053803025275152</v>
      </c>
      <c r="S12" s="65"/>
      <c r="T12" s="68">
        <v>63324.652999999998</v>
      </c>
      <c r="U12" s="53" t="s">
        <v>4348</v>
      </c>
      <c r="V12" s="619">
        <f>50772.043*4/3</f>
        <v>67696.05733333333</v>
      </c>
      <c r="W12" s="67"/>
      <c r="X12" s="26"/>
      <c r="Z12" s="68">
        <f>72804391491/1000000</f>
        <v>72804.391491000002</v>
      </c>
      <c r="AA12" s="5073">
        <f>55998730824.34/1000000</f>
        <v>55998.730824339997</v>
      </c>
      <c r="AB12" s="68">
        <v>73039.154494169998</v>
      </c>
      <c r="AD12" s="68">
        <v>73599.765547000003</v>
      </c>
      <c r="AE12" s="53" t="s">
        <v>4348</v>
      </c>
      <c r="AF12" s="68">
        <v>69712.481365</v>
      </c>
      <c r="AG12" s="7681">
        <f>IFERROR(AF12/AD12, "")</f>
        <v>0.94718347058432373</v>
      </c>
      <c r="AI12" s="68">
        <f>64160.47+3082.91+2074.6+235.07+198</f>
        <v>69751.050000000017</v>
      </c>
      <c r="AJ12" s="53"/>
      <c r="AK12" s="68"/>
      <c r="AL12" s="1112">
        <f>AI12*AG12</f>
        <v>66067.041615900715</v>
      </c>
    </row>
    <row r="13" spans="1:38" x14ac:dyDescent="0.35">
      <c r="A13" s="9168"/>
      <c r="B13" s="58"/>
      <c r="C13" s="587" t="s">
        <v>462</v>
      </c>
      <c r="D13" s="197">
        <v>1</v>
      </c>
      <c r="F13" s="61">
        <v>2838.049</v>
      </c>
      <c r="G13"/>
      <c r="H13" s="62">
        <v>3619</v>
      </c>
      <c r="I13" s="63">
        <v>3138</v>
      </c>
      <c r="J13" s="73">
        <f>IF(H13=0,0,I13/H13)</f>
        <v>0.86709035645205856</v>
      </c>
      <c r="K13" s="65"/>
      <c r="L13" s="68">
        <f>3201.5</f>
        <v>3201.5</v>
      </c>
      <c r="M13" s="4587">
        <f>2928.9</f>
        <v>2928.9</v>
      </c>
      <c r="N13" s="67"/>
      <c r="O13" s="68">
        <f>3201.5</f>
        <v>3201.5</v>
      </c>
      <c r="P13" s="69">
        <f>2928.9</f>
        <v>2928.9</v>
      </c>
      <c r="Q13" s="53" t="s">
        <v>4349</v>
      </c>
      <c r="R13" s="64">
        <f>IF(O13=0,0,P13/O13)</f>
        <v>0.91485241293143837</v>
      </c>
      <c r="S13" s="65"/>
      <c r="T13" s="68" t="s">
        <v>4350</v>
      </c>
      <c r="U13" s="53" t="s">
        <v>4349</v>
      </c>
      <c r="V13" s="619">
        <f>2127.287*4/3</f>
        <v>2836.3826666666664</v>
      </c>
      <c r="W13" s="67"/>
      <c r="X13" s="26" t="s">
        <v>4351</v>
      </c>
      <c r="Z13" s="68"/>
      <c r="AA13" s="5073"/>
      <c r="AB13" s="68"/>
      <c r="AD13" s="68">
        <v>3154.3164120000001</v>
      </c>
      <c r="AE13" s="53" t="s">
        <v>4349</v>
      </c>
      <c r="AF13" s="68">
        <v>2761.4803830000001</v>
      </c>
      <c r="AG13" s="7681">
        <f t="shared" ref="AG13:AG76" si="0">IFERROR(AF13/AD13, "")</f>
        <v>0.87546080427900963</v>
      </c>
      <c r="AI13" s="68"/>
      <c r="AJ13" s="53" t="s">
        <v>4352</v>
      </c>
      <c r="AK13" s="68"/>
      <c r="AL13" s="1112">
        <f t="shared" ref="AL13" si="1">AI13*AG13</f>
        <v>0</v>
      </c>
    </row>
    <row r="14" spans="1:38" x14ac:dyDescent="0.35">
      <c r="A14" s="9168"/>
      <c r="B14" s="75"/>
      <c r="C14" s="1096" t="s">
        <v>3267</v>
      </c>
      <c r="D14" s="197"/>
      <c r="F14" s="77"/>
      <c r="G14"/>
      <c r="H14" s="78"/>
      <c r="I14" s="79"/>
      <c r="J14" s="73"/>
      <c r="K14" s="80"/>
      <c r="L14" s="81"/>
      <c r="M14" s="4598"/>
      <c r="N14" s="67"/>
      <c r="O14" s="68"/>
      <c r="P14" s="69"/>
      <c r="Q14" s="53" t="s">
        <v>4353</v>
      </c>
      <c r="R14" s="64">
        <f>IF(O14=0,0,P14/O14)</f>
        <v>0</v>
      </c>
      <c r="S14" s="65"/>
      <c r="T14" s="298"/>
      <c r="U14" s="53" t="s">
        <v>4353</v>
      </c>
      <c r="V14" s="619"/>
      <c r="W14" s="67"/>
      <c r="X14" s="26"/>
      <c r="Z14" s="298"/>
      <c r="AA14" s="5073"/>
      <c r="AB14" s="298"/>
      <c r="AD14" s="298"/>
      <c r="AE14" s="53" t="s">
        <v>4353</v>
      </c>
      <c r="AF14" s="298"/>
      <c r="AG14" s="7681" t="str">
        <f t="shared" si="0"/>
        <v/>
      </c>
      <c r="AI14" s="298"/>
      <c r="AJ14" s="53"/>
      <c r="AK14" s="298"/>
      <c r="AL14" s="1112" t="str">
        <f>IFERROR(AI14*AG14,"")</f>
        <v/>
      </c>
    </row>
    <row r="15" spans="1:38" x14ac:dyDescent="0.35">
      <c r="A15" s="9168"/>
      <c r="B15" s="85"/>
      <c r="C15" s="86" t="s">
        <v>466</v>
      </c>
      <c r="D15" s="209"/>
      <c r="F15" s="88">
        <f>SUM(F12:F13)</f>
        <v>37784.262000000002</v>
      </c>
      <c r="G15"/>
      <c r="H15" s="89">
        <f>SUM(H12:H13)</f>
        <v>52725.3</v>
      </c>
      <c r="I15" s="90">
        <f>SUM(I12:I13)</f>
        <v>53825.3</v>
      </c>
      <c r="J15" s="91">
        <f>IF(H15=0,0,I15/H15)</f>
        <v>1.020862849523853</v>
      </c>
      <c r="K15" s="80"/>
      <c r="L15" s="93">
        <f>SUM(L12:L13)</f>
        <v>61060.7</v>
      </c>
      <c r="M15" s="4601">
        <f>SUM(M12:M13)</f>
        <v>61099.4</v>
      </c>
      <c r="N15" s="67"/>
      <c r="O15" s="93">
        <f>SUM(O12:O13)</f>
        <v>61060.7</v>
      </c>
      <c r="P15" s="94">
        <f>SUM(P12:P13)</f>
        <v>61099.4</v>
      </c>
      <c r="Q15" s="95" t="s">
        <v>4354</v>
      </c>
      <c r="R15" s="64">
        <f>IF(O15=0,0,P15/O15)</f>
        <v>1.0006337955509845</v>
      </c>
      <c r="S15" s="80"/>
      <c r="T15" s="590">
        <f>SUM(T12:T13)</f>
        <v>63324.652999999998</v>
      </c>
      <c r="U15" s="95" t="s">
        <v>4354</v>
      </c>
      <c r="V15" s="1365">
        <f>SUM(V12:V13)</f>
        <v>70532.44</v>
      </c>
      <c r="W15" s="67"/>
      <c r="X15" s="24"/>
      <c r="Z15" s="590">
        <f>Z12</f>
        <v>72804.391491000002</v>
      </c>
      <c r="AA15" s="5073">
        <f>55998730824.34/1000000</f>
        <v>55998.730824339997</v>
      </c>
      <c r="AB15" s="590">
        <f>73277185495.17/1000000</f>
        <v>73277.185495169993</v>
      </c>
      <c r="AD15" s="590">
        <f>SUM(AD12:AD14)</f>
        <v>76754.081959000003</v>
      </c>
      <c r="AE15" s="95" t="s">
        <v>4354</v>
      </c>
      <c r="AF15" s="590">
        <f>SUM(AF12:AF14)</f>
        <v>72473.961748000002</v>
      </c>
      <c r="AG15" s="7681">
        <f t="shared" si="0"/>
        <v>0.9442359272398525</v>
      </c>
      <c r="AI15" s="590">
        <f>SUM(AI11:AI14)</f>
        <v>69751.050000000017</v>
      </c>
      <c r="AJ15" s="95"/>
      <c r="AK15" s="590">
        <f>SUM(AK11:AK14)</f>
        <v>0</v>
      </c>
      <c r="AL15" s="1112">
        <f>IFERROR(AI15*AG15,"")</f>
        <v>65861.447372703333</v>
      </c>
    </row>
    <row r="16" spans="1:38" x14ac:dyDescent="0.35">
      <c r="A16" s="9168"/>
      <c r="B16" s="100" t="s">
        <v>468</v>
      </c>
      <c r="C16" s="49"/>
      <c r="D16" s="585"/>
      <c r="E16" s="43"/>
      <c r="F16" s="101"/>
      <c r="G16"/>
      <c r="H16" s="102"/>
      <c r="I16" s="103"/>
      <c r="J16" s="104"/>
      <c r="K16" s="43"/>
      <c r="L16" s="1375"/>
      <c r="M16" s="1377"/>
      <c r="N16" s="43"/>
      <c r="O16" s="1375"/>
      <c r="P16" s="645"/>
      <c r="Q16" s="592" t="s">
        <v>4355</v>
      </c>
      <c r="R16" s="104"/>
      <c r="S16" s="43"/>
      <c r="T16" s="1111"/>
      <c r="U16" s="592" t="s">
        <v>4356</v>
      </c>
      <c r="V16" s="66"/>
      <c r="W16" s="43"/>
      <c r="X16" s="18"/>
      <c r="Z16" s="1111"/>
      <c r="AA16" s="5074"/>
      <c r="AB16" s="1111"/>
      <c r="AD16" s="1111"/>
      <c r="AE16" s="592" t="s">
        <v>4347</v>
      </c>
      <c r="AF16" s="1111"/>
      <c r="AG16" s="7681" t="str">
        <f t="shared" si="0"/>
        <v/>
      </c>
      <c r="AI16" s="1111" t="s">
        <v>4357</v>
      </c>
      <c r="AJ16" s="652" t="s">
        <v>4358</v>
      </c>
      <c r="AK16" s="1111"/>
      <c r="AL16" s="1112" t="str">
        <f t="shared" ref="AL16:AL79" si="2">IFERROR(AI16*AG16,"")</f>
        <v/>
      </c>
    </row>
    <row r="17" spans="1:38" x14ac:dyDescent="0.35">
      <c r="A17" s="9168"/>
      <c r="B17" s="6082"/>
      <c r="C17" s="110" t="s">
        <v>470</v>
      </c>
      <c r="D17" s="197"/>
      <c r="F17" s="111">
        <f>28426.7-F20</f>
        <v>26159.7</v>
      </c>
      <c r="G17"/>
      <c r="H17" s="112">
        <f>41556.7-H20</f>
        <v>38819.1</v>
      </c>
      <c r="I17" s="113">
        <f>40692.3-I20</f>
        <v>38100.700000000004</v>
      </c>
      <c r="J17" s="64">
        <f>IF(H17=0,0,I17/H17)</f>
        <v>0.98149364616902524</v>
      </c>
      <c r="L17" s="1353">
        <f>46799.2-L20</f>
        <v>43753.299999999996</v>
      </c>
      <c r="M17" s="5075">
        <f>46005.6-M20</f>
        <v>43026.7</v>
      </c>
      <c r="O17" s="593">
        <f>46799.2-O20</f>
        <v>44033</v>
      </c>
      <c r="P17" s="594">
        <f>46005.6-P20</f>
        <v>43026.7</v>
      </c>
      <c r="Q17" s="53" t="s">
        <v>4359</v>
      </c>
      <c r="R17" s="64">
        <f t="shared" ref="R17:R22" si="3">IF(O17=0,0,P17/O17)</f>
        <v>0.97714668544046501</v>
      </c>
      <c r="T17" s="595">
        <f>52595.749-T20</f>
        <v>48873.237000000001</v>
      </c>
      <c r="U17" s="53" t="s">
        <v>4359</v>
      </c>
      <c r="V17" s="619">
        <f>(37149.384-2592.936)*4/3</f>
        <v>46075.263999999996</v>
      </c>
      <c r="X17" s="26"/>
      <c r="Z17" s="595">
        <f>53378254069/1000000</f>
        <v>53378.254069000002</v>
      </c>
      <c r="AA17" s="5073">
        <f>(40912484043.17/1000000)-AA20</f>
        <v>37770.884043170001</v>
      </c>
      <c r="AB17" s="595">
        <f>58701385189.39/1000000</f>
        <v>58701.385189389999</v>
      </c>
      <c r="AC17" t="s">
        <v>4360</v>
      </c>
      <c r="AD17" s="595">
        <f>60992.042785-AD20</f>
        <v>56506.657223999995</v>
      </c>
      <c r="AE17" s="53" t="s">
        <v>4359</v>
      </c>
      <c r="AF17" s="595">
        <f>59295.338518-AF20</f>
        <v>55306.37889</v>
      </c>
      <c r="AG17" s="7681">
        <f t="shared" si="0"/>
        <v>0.97875863848675515</v>
      </c>
      <c r="AH17" t="s">
        <v>4360</v>
      </c>
      <c r="AI17" s="595"/>
      <c r="AJ17" s="53"/>
      <c r="AK17" s="595"/>
      <c r="AL17" s="1112">
        <f t="shared" si="2"/>
        <v>0</v>
      </c>
    </row>
    <row r="18" spans="1:38" x14ac:dyDescent="0.35">
      <c r="A18" s="9168"/>
      <c r="B18" s="6082"/>
      <c r="C18" s="121" t="s">
        <v>630</v>
      </c>
      <c r="D18" s="197"/>
      <c r="F18" s="122"/>
      <c r="G18"/>
      <c r="H18" s="114"/>
      <c r="I18" s="123"/>
      <c r="J18" s="64"/>
      <c r="L18" s="1163"/>
      <c r="M18" s="5075"/>
      <c r="O18" s="598"/>
      <c r="P18" s="594"/>
      <c r="Q18" s="127"/>
      <c r="R18" s="64">
        <f t="shared" si="3"/>
        <v>0</v>
      </c>
      <c r="T18" s="595"/>
      <c r="U18" s="127"/>
      <c r="V18" s="619"/>
      <c r="X18" s="26"/>
      <c r="Z18" s="595"/>
      <c r="AA18" s="3732"/>
      <c r="AB18" s="595"/>
      <c r="AD18" s="595"/>
      <c r="AE18" s="127"/>
      <c r="AF18" s="595"/>
      <c r="AG18" s="7681" t="str">
        <f t="shared" si="0"/>
        <v/>
      </c>
      <c r="AI18" s="595"/>
      <c r="AJ18" s="127"/>
      <c r="AK18" s="595"/>
      <c r="AL18" s="1112" t="str">
        <f t="shared" si="2"/>
        <v/>
      </c>
    </row>
    <row r="19" spans="1:38" x14ac:dyDescent="0.35">
      <c r="A19" s="9168"/>
      <c r="B19" s="6082"/>
      <c r="C19" s="121" t="s">
        <v>632</v>
      </c>
      <c r="D19" s="197"/>
      <c r="F19" s="122">
        <v>8272.1</v>
      </c>
      <c r="G19"/>
      <c r="H19" s="114">
        <v>14785.2</v>
      </c>
      <c r="I19" s="123">
        <v>13946.8</v>
      </c>
      <c r="J19" s="64">
        <f>IF(H19=0,0,I19/H19)</f>
        <v>0.94329464599734858</v>
      </c>
      <c r="L19" s="1163">
        <v>18019.599999999999</v>
      </c>
      <c r="M19" s="5075">
        <v>17635.099999999999</v>
      </c>
      <c r="O19" s="598">
        <v>18019.599999999999</v>
      </c>
      <c r="P19" s="594">
        <v>17635.099999999999</v>
      </c>
      <c r="Q19" s="116" t="s">
        <v>4361</v>
      </c>
      <c r="R19" s="64">
        <f t="shared" si="3"/>
        <v>0.9786621234655597</v>
      </c>
      <c r="T19" s="595">
        <v>19372.758000000002</v>
      </c>
      <c r="U19" s="116" t="s">
        <v>4361</v>
      </c>
      <c r="V19" s="619">
        <f>13632.141*4/3</f>
        <v>18176.187999999998</v>
      </c>
      <c r="X19" s="26"/>
      <c r="Z19" s="595">
        <f>22249641896/1000000</f>
        <v>22249.641896000001</v>
      </c>
      <c r="AA19" s="5076">
        <f>14264699851/1000000</f>
        <v>14264.699850999999</v>
      </c>
      <c r="AB19" s="595">
        <f>23347109951.52/1000000</f>
        <v>23347.10995152</v>
      </c>
      <c r="AD19" s="595">
        <v>22393.263383000001</v>
      </c>
      <c r="AE19" s="116" t="s">
        <v>4361</v>
      </c>
      <c r="AF19" s="595">
        <v>21485.567052999999</v>
      </c>
      <c r="AG19" s="7681">
        <f t="shared" si="0"/>
        <v>0.95946565203671541</v>
      </c>
      <c r="AI19" s="595"/>
      <c r="AJ19" s="116"/>
      <c r="AK19" s="595"/>
      <c r="AL19" s="1112">
        <f t="shared" si="2"/>
        <v>0</v>
      </c>
    </row>
    <row r="20" spans="1:38" x14ac:dyDescent="0.35">
      <c r="A20" s="9168"/>
      <c r="B20" s="6082"/>
      <c r="C20" s="121" t="s">
        <v>3282</v>
      </c>
      <c r="D20" s="197"/>
      <c r="F20" s="122">
        <v>2267</v>
      </c>
      <c r="H20" s="114">
        <v>2737.6</v>
      </c>
      <c r="I20" s="123">
        <v>2591.6</v>
      </c>
      <c r="J20" s="64">
        <f>IF(H20=0,0,I20/H20)</f>
        <v>0.94666861484511977</v>
      </c>
      <c r="L20" s="1163">
        <v>3045.9</v>
      </c>
      <c r="M20" s="5075">
        <v>2978.9</v>
      </c>
      <c r="O20" s="598">
        <v>2766.2</v>
      </c>
      <c r="P20" s="599">
        <v>2978.9</v>
      </c>
      <c r="Q20" s="116" t="s">
        <v>4362</v>
      </c>
      <c r="R20" s="64">
        <f t="shared" si="3"/>
        <v>1.0768924878895236</v>
      </c>
      <c r="T20" s="598">
        <v>3722.5120000000002</v>
      </c>
      <c r="U20" s="116" t="s">
        <v>4362</v>
      </c>
      <c r="V20" s="619">
        <f>2592.936*4/3</f>
        <v>3457.248</v>
      </c>
      <c r="X20" s="26"/>
      <c r="Z20" s="598">
        <f>4380195631/1000000</f>
        <v>4380.1956309999996</v>
      </c>
      <c r="AA20" s="5077">
        <v>3141.6</v>
      </c>
      <c r="AB20" s="598">
        <v>4385</v>
      </c>
      <c r="AC20" t="s">
        <v>515</v>
      </c>
      <c r="AD20" s="598">
        <v>4485.3855610000001</v>
      </c>
      <c r="AE20" s="116" t="s">
        <v>4362</v>
      </c>
      <c r="AF20" s="598">
        <v>3988.9596280000001</v>
      </c>
      <c r="AG20" s="7681">
        <f t="shared" si="0"/>
        <v>0.88932368773013049</v>
      </c>
      <c r="AH20" t="s">
        <v>515</v>
      </c>
      <c r="AI20" s="598"/>
      <c r="AJ20" s="116"/>
      <c r="AK20" s="598"/>
      <c r="AL20" s="1112">
        <f t="shared" si="2"/>
        <v>0</v>
      </c>
    </row>
    <row r="21" spans="1:38" x14ac:dyDescent="0.35">
      <c r="A21" s="9168"/>
      <c r="B21" s="6082"/>
      <c r="C21" s="121" t="s">
        <v>3285</v>
      </c>
      <c r="D21" s="197"/>
      <c r="F21" s="122"/>
      <c r="H21" s="114"/>
      <c r="I21" s="123"/>
      <c r="J21" s="64"/>
      <c r="L21" s="1163"/>
      <c r="M21" s="5075"/>
      <c r="O21" s="598">
        <v>7823.8</v>
      </c>
      <c r="P21" s="599">
        <v>7609.9</v>
      </c>
      <c r="Q21" s="116" t="s">
        <v>4363</v>
      </c>
      <c r="R21" s="64">
        <f t="shared" si="3"/>
        <v>0.97266034407832502</v>
      </c>
      <c r="T21" s="598">
        <v>8392.3950000000004</v>
      </c>
      <c r="U21" s="116" t="s">
        <v>4363</v>
      </c>
      <c r="V21" s="619">
        <f>6505.045*4/3</f>
        <v>8673.3933333333334</v>
      </c>
      <c r="X21" s="26"/>
      <c r="Z21" s="598">
        <f>9604287063/1000000</f>
        <v>9604.2870629999998</v>
      </c>
      <c r="AA21" s="5077">
        <f>6992558638.13/1000000</f>
        <v>6992.55863813</v>
      </c>
      <c r="AB21" s="598">
        <f>(9835316049)/1000000</f>
        <v>9835.3160489999991</v>
      </c>
      <c r="AC21" t="s">
        <v>4364</v>
      </c>
      <c r="AD21" s="598">
        <v>14328.275960999999</v>
      </c>
      <c r="AE21" s="116" t="s">
        <v>4363</v>
      </c>
      <c r="AF21" s="598">
        <v>12822.825015</v>
      </c>
      <c r="AG21" s="7681">
        <f t="shared" si="0"/>
        <v>0.89493146627705444</v>
      </c>
      <c r="AH21" t="s">
        <v>4364</v>
      </c>
      <c r="AI21" s="598"/>
      <c r="AJ21" s="116"/>
      <c r="AK21" s="598"/>
      <c r="AL21" s="1112">
        <f t="shared" si="2"/>
        <v>0</v>
      </c>
    </row>
    <row r="22" spans="1:38" x14ac:dyDescent="0.35">
      <c r="A22" s="9168"/>
      <c r="B22" s="128"/>
      <c r="C22" s="129" t="s">
        <v>479</v>
      </c>
      <c r="D22" s="209"/>
      <c r="F22" s="130">
        <f>SUM(F17:F21)</f>
        <v>36698.800000000003</v>
      </c>
      <c r="H22" s="131">
        <f>SUM(H17:H21)</f>
        <v>56341.9</v>
      </c>
      <c r="I22" s="132">
        <f>SUM(I17:I21)</f>
        <v>54639.1</v>
      </c>
      <c r="J22" s="133">
        <f>IF(H22=0,0,I22/H22)</f>
        <v>0.96977737704976219</v>
      </c>
      <c r="L22" s="1156">
        <f>SUM(L17:L21)</f>
        <v>64818.799999999996</v>
      </c>
      <c r="M22" s="5078">
        <f>SUM(M17:M21)</f>
        <v>63640.7</v>
      </c>
      <c r="O22" s="602">
        <f>SUM(O17:O21)</f>
        <v>72642.599999999991</v>
      </c>
      <c r="P22" s="602">
        <f>SUM(P17:P21)</f>
        <v>71250.599999999991</v>
      </c>
      <c r="Q22" s="116" t="s">
        <v>4365</v>
      </c>
      <c r="R22" s="64">
        <f t="shared" si="3"/>
        <v>0.9808376902809095</v>
      </c>
      <c r="T22" s="602">
        <f>SUM(T17:T21)</f>
        <v>80360.902000000002</v>
      </c>
      <c r="U22" s="116" t="s">
        <v>4365</v>
      </c>
      <c r="V22" s="628">
        <f>SUM(V17:V21)</f>
        <v>76382.093333333323</v>
      </c>
      <c r="X22" s="24"/>
      <c r="Z22" s="602">
        <f>89612378659/1000000</f>
        <v>89612.378658999995</v>
      </c>
      <c r="AA22" s="5077"/>
      <c r="AB22" s="602">
        <f>(82048495140.91)/1000000</f>
        <v>82048.495140910003</v>
      </c>
      <c r="AD22" s="602">
        <f>SUM(AD17:AD21)</f>
        <v>97713.582128999988</v>
      </c>
      <c r="AE22" s="116" t="s">
        <v>4365</v>
      </c>
      <c r="AF22" s="602">
        <f>SUM(AF17:AF21)</f>
        <v>93603.730585999991</v>
      </c>
      <c r="AG22" s="7681">
        <f t="shared" si="0"/>
        <v>0.95793981293640185</v>
      </c>
      <c r="AI22" s="602">
        <v>80014.53</v>
      </c>
      <c r="AJ22" s="116"/>
      <c r="AK22" s="602">
        <f>SUM(AK17:AK21)</f>
        <v>0</v>
      </c>
      <c r="AL22" s="1112">
        <f t="shared" si="2"/>
        <v>76649.103900394111</v>
      </c>
    </row>
    <row r="23" spans="1:38" x14ac:dyDescent="0.35">
      <c r="A23" s="9168"/>
      <c r="B23" s="139" t="s">
        <v>480</v>
      </c>
      <c r="C23" s="49"/>
      <c r="D23" s="184"/>
      <c r="E23" s="141"/>
      <c r="F23" s="142"/>
      <c r="G23" s="143"/>
      <c r="H23" s="144"/>
      <c r="I23" s="145"/>
      <c r="J23" s="146"/>
      <c r="K23" s="141"/>
      <c r="L23" s="1324"/>
      <c r="M23" s="1325"/>
      <c r="N23" s="141"/>
      <c r="O23" s="606"/>
      <c r="P23" s="1127"/>
      <c r="Q23" s="592" t="s">
        <v>4366</v>
      </c>
      <c r="R23" s="146"/>
      <c r="S23" s="141"/>
      <c r="T23" s="151"/>
      <c r="U23" s="592" t="s">
        <v>4367</v>
      </c>
      <c r="V23" s="148"/>
      <c r="W23" s="141"/>
      <c r="X23" s="18"/>
      <c r="Z23" s="151"/>
      <c r="AA23" s="592"/>
      <c r="AB23" s="151"/>
      <c r="AD23" s="151"/>
      <c r="AE23" s="592" t="s">
        <v>4367</v>
      </c>
      <c r="AF23" s="151"/>
      <c r="AG23" s="7681" t="str">
        <f t="shared" si="0"/>
        <v/>
      </c>
      <c r="AI23" s="151"/>
      <c r="AJ23" s="592"/>
      <c r="AK23" s="151"/>
      <c r="AL23" s="1112" t="str">
        <f t="shared" si="2"/>
        <v/>
      </c>
    </row>
    <row r="24" spans="1:38" x14ac:dyDescent="0.35">
      <c r="A24" s="9168"/>
      <c r="B24" s="6082"/>
      <c r="C24" s="110" t="s">
        <v>483</v>
      </c>
      <c r="D24" s="197"/>
      <c r="F24" s="155">
        <v>11809.429</v>
      </c>
      <c r="H24" s="117"/>
      <c r="I24" s="115">
        <v>18114.115803000001</v>
      </c>
      <c r="J24" s="64">
        <f>IF(H24=0,0,I24/H24)</f>
        <v>0</v>
      </c>
      <c r="L24" s="607"/>
      <c r="M24" s="4032">
        <v>20361.989000000001</v>
      </c>
      <c r="O24" s="595"/>
      <c r="P24" s="594">
        <f>M24</f>
        <v>20361.989000000001</v>
      </c>
      <c r="Q24" s="116"/>
      <c r="R24" s="64">
        <f>IF(O24=0,0,P24/O24)</f>
        <v>0</v>
      </c>
      <c r="T24" s="156"/>
      <c r="U24" s="116"/>
      <c r="V24" s="619">
        <f>15555.833*4/3</f>
        <v>20741.110666666667</v>
      </c>
      <c r="X24" s="26"/>
      <c r="Z24" s="156"/>
      <c r="AA24" s="116"/>
      <c r="AB24" s="156"/>
      <c r="AD24" s="156"/>
      <c r="AE24" s="116"/>
      <c r="AF24" s="156"/>
      <c r="AG24" s="7681" t="str">
        <f t="shared" si="0"/>
        <v/>
      </c>
      <c r="AI24" s="156"/>
      <c r="AJ24" s="116"/>
      <c r="AK24" s="156"/>
      <c r="AL24" s="1112" t="str">
        <f t="shared" si="2"/>
        <v/>
      </c>
    </row>
    <row r="25" spans="1:38" x14ac:dyDescent="0.35">
      <c r="A25" s="9168"/>
      <c r="B25" s="6082"/>
      <c r="C25" s="110" t="s">
        <v>489</v>
      </c>
      <c r="D25" s="197"/>
      <c r="F25" s="155"/>
      <c r="H25" s="117"/>
      <c r="I25" s="115"/>
      <c r="J25" s="64">
        <f>IF(H25=0,0,I25/H25)</f>
        <v>0</v>
      </c>
      <c r="L25" s="607"/>
      <c r="M25" s="4032"/>
      <c r="O25" s="595"/>
      <c r="P25" s="594"/>
      <c r="Q25" s="127"/>
      <c r="R25" s="64">
        <f>IF(O25=0,0,P25/O25)</f>
        <v>0</v>
      </c>
      <c r="T25" s="156"/>
      <c r="U25" s="127"/>
      <c r="V25" s="66"/>
      <c r="X25" s="26"/>
      <c r="Z25" s="156"/>
      <c r="AA25" s="127"/>
      <c r="AB25" s="156"/>
      <c r="AD25" s="156"/>
      <c r="AE25" s="127"/>
      <c r="AF25" s="156"/>
      <c r="AG25" s="7681" t="str">
        <f t="shared" si="0"/>
        <v/>
      </c>
      <c r="AI25" s="156"/>
      <c r="AJ25" s="127"/>
      <c r="AK25" s="156"/>
      <c r="AL25" s="1112" t="str">
        <f t="shared" si="2"/>
        <v/>
      </c>
    </row>
    <row r="26" spans="1:38" x14ac:dyDescent="0.35">
      <c r="A26" s="9168"/>
      <c r="B26" s="6082"/>
      <c r="C26" s="110" t="s">
        <v>490</v>
      </c>
      <c r="D26" s="197"/>
      <c r="F26" s="155"/>
      <c r="H26" s="117"/>
      <c r="I26" s="115"/>
      <c r="J26" s="64">
        <f>IF(H26=0,0,I26/H26)</f>
        <v>0</v>
      </c>
      <c r="L26" s="607"/>
      <c r="M26" s="4032"/>
      <c r="O26" s="595"/>
      <c r="P26" s="594"/>
      <c r="Q26" s="116"/>
      <c r="R26" s="64">
        <f>IF(O26=0,0,P26/O26)</f>
        <v>0</v>
      </c>
      <c r="T26" s="156"/>
      <c r="U26" s="116"/>
      <c r="V26" s="66"/>
      <c r="X26" s="26"/>
      <c r="Z26" s="156"/>
      <c r="AA26" s="116"/>
      <c r="AB26" s="156"/>
      <c r="AD26" s="156"/>
      <c r="AE26" s="116"/>
      <c r="AF26" s="156"/>
      <c r="AG26" s="7681" t="str">
        <f t="shared" si="0"/>
        <v/>
      </c>
      <c r="AI26" s="156"/>
      <c r="AJ26" s="116"/>
      <c r="AK26" s="156"/>
      <c r="AL26" s="1112" t="str">
        <f t="shared" si="2"/>
        <v/>
      </c>
    </row>
    <row r="27" spans="1:38" x14ac:dyDescent="0.35">
      <c r="A27" s="9168"/>
      <c r="B27" s="6082"/>
      <c r="C27" s="161" t="s">
        <v>497</v>
      </c>
      <c r="D27" s="610"/>
      <c r="F27" s="163"/>
      <c r="H27" s="164"/>
      <c r="I27" s="165"/>
      <c r="J27" s="64">
        <f>IF(H27=0,0,I27/H27)</f>
        <v>0</v>
      </c>
      <c r="L27" s="4805"/>
      <c r="M27" s="4032"/>
      <c r="O27" s="612"/>
      <c r="P27" s="613"/>
      <c r="Q27" s="106"/>
      <c r="R27" s="64">
        <f>IF(O27=0,0,P27/O27)</f>
        <v>0</v>
      </c>
      <c r="T27" s="156"/>
      <c r="U27" s="106"/>
      <c r="V27" s="66"/>
      <c r="X27" s="26"/>
      <c r="Z27" s="156"/>
      <c r="AA27" s="106"/>
      <c r="AB27" s="156"/>
      <c r="AD27" s="156"/>
      <c r="AE27" s="106"/>
      <c r="AF27" s="156"/>
      <c r="AG27" s="7681" t="str">
        <f t="shared" si="0"/>
        <v/>
      </c>
      <c r="AI27" s="156"/>
      <c r="AJ27" s="106"/>
      <c r="AK27" s="156"/>
      <c r="AL27" s="1112" t="str">
        <f t="shared" si="2"/>
        <v/>
      </c>
    </row>
    <row r="28" spans="1:38" x14ac:dyDescent="0.35">
      <c r="A28" s="9168"/>
      <c r="B28" s="128"/>
      <c r="C28" s="129" t="s">
        <v>499</v>
      </c>
      <c r="D28" s="209"/>
      <c r="F28" s="169">
        <f>IF(F24=0,0,F26/F24)</f>
        <v>0</v>
      </c>
      <c r="G28" s="170"/>
      <c r="H28" s="171">
        <f>IF(H24=0,0,H26/H24)</f>
        <v>0</v>
      </c>
      <c r="I28" s="172">
        <f>IF(I24=0,0,I26/I24)</f>
        <v>0</v>
      </c>
      <c r="J28" s="173"/>
      <c r="K28" s="170"/>
      <c r="L28" s="174">
        <f>IF(L24=0,0,L26/L24)</f>
        <v>0</v>
      </c>
      <c r="M28" s="175">
        <f>IF(M24=0,0,M26/M24)</f>
        <v>0</v>
      </c>
      <c r="N28" s="176"/>
      <c r="O28" s="171"/>
      <c r="P28" s="177"/>
      <c r="Q28" s="177"/>
      <c r="R28" s="173"/>
      <c r="S28" s="170"/>
      <c r="T28" s="174"/>
      <c r="U28" s="177"/>
      <c r="V28" s="175"/>
      <c r="W28" s="176"/>
      <c r="X28" s="24"/>
      <c r="Z28" s="174"/>
      <c r="AA28" s="177"/>
      <c r="AB28" s="174"/>
      <c r="AD28" s="174"/>
      <c r="AE28" s="177"/>
      <c r="AF28" s="174"/>
      <c r="AG28" s="7681" t="str">
        <f t="shared" si="0"/>
        <v/>
      </c>
      <c r="AI28" s="495"/>
      <c r="AJ28" s="497"/>
      <c r="AK28" s="495"/>
      <c r="AL28" s="1112" t="str">
        <f t="shared" si="2"/>
        <v/>
      </c>
    </row>
    <row r="29" spans="1:38" x14ac:dyDescent="0.35">
      <c r="A29" s="9168"/>
      <c r="B29" s="139" t="s">
        <v>552</v>
      </c>
      <c r="C29" s="49"/>
      <c r="D29" s="184"/>
      <c r="F29" s="227"/>
      <c r="H29" s="777"/>
      <c r="I29" s="1341"/>
      <c r="J29" s="188"/>
      <c r="L29" s="777"/>
      <c r="M29" s="148"/>
      <c r="O29" s="1151"/>
      <c r="P29" s="190"/>
      <c r="Q29" s="190"/>
      <c r="R29" s="191"/>
      <c r="S29" s="170"/>
      <c r="T29" s="192"/>
      <c r="U29" s="190"/>
      <c r="V29" s="1342"/>
      <c r="X29" s="617"/>
      <c r="Z29" s="192"/>
      <c r="AA29" s="190"/>
      <c r="AB29" s="192"/>
      <c r="AD29" s="192"/>
      <c r="AE29" s="190"/>
      <c r="AF29" s="192"/>
      <c r="AG29" s="7681" t="str">
        <f t="shared" si="0"/>
        <v/>
      </c>
      <c r="AI29" s="3364"/>
      <c r="AJ29" s="839"/>
      <c r="AK29" s="3364"/>
      <c r="AL29" s="1112" t="str">
        <f t="shared" si="2"/>
        <v/>
      </c>
    </row>
    <row r="30" spans="1:38" x14ac:dyDescent="0.35">
      <c r="A30" s="9168"/>
      <c r="B30" s="196"/>
      <c r="C30" s="121" t="s">
        <v>470</v>
      </c>
      <c r="D30" s="197"/>
      <c r="F30" s="122"/>
      <c r="H30" s="200"/>
      <c r="I30" s="201"/>
      <c r="J30" s="64"/>
      <c r="L30" s="200"/>
      <c r="M30" s="273"/>
      <c r="O30" s="200"/>
      <c r="P30" s="201"/>
      <c r="Q30" s="1343"/>
      <c r="R30" s="203"/>
      <c r="S30" s="170"/>
      <c r="T30" s="117"/>
      <c r="U30" s="1343"/>
      <c r="V30" s="1344"/>
      <c r="X30" s="625"/>
      <c r="Z30" s="117"/>
      <c r="AA30" s="1343"/>
      <c r="AB30" s="117"/>
      <c r="AD30" s="117"/>
      <c r="AE30" s="1343"/>
      <c r="AF30" s="117"/>
      <c r="AG30" s="7681" t="str">
        <f t="shared" si="0"/>
        <v/>
      </c>
      <c r="AI30" s="117"/>
      <c r="AJ30" s="3368"/>
      <c r="AK30" s="117"/>
      <c r="AL30" s="1112" t="str">
        <f t="shared" si="2"/>
        <v/>
      </c>
    </row>
    <row r="31" spans="1:38" x14ac:dyDescent="0.35">
      <c r="A31" s="9169"/>
      <c r="B31" s="207"/>
      <c r="C31" s="208" t="s">
        <v>1116</v>
      </c>
      <c r="D31" s="209"/>
      <c r="F31" s="210"/>
      <c r="H31" s="214"/>
      <c r="I31" s="215"/>
      <c r="J31" s="133"/>
      <c r="L31" s="214"/>
      <c r="M31" s="658"/>
      <c r="O31" s="214"/>
      <c r="P31" s="215"/>
      <c r="Q31" s="1159"/>
      <c r="R31" s="133"/>
      <c r="T31" s="217"/>
      <c r="U31" s="1159"/>
      <c r="V31" s="1346"/>
      <c r="X31" s="625"/>
      <c r="Z31" s="217"/>
      <c r="AA31" s="1159"/>
      <c r="AB31" s="217"/>
      <c r="AD31" s="217"/>
      <c r="AE31" s="1159"/>
      <c r="AF31" s="217"/>
      <c r="AG31" s="7681" t="str">
        <f t="shared" si="0"/>
        <v/>
      </c>
      <c r="AI31" s="217"/>
      <c r="AJ31" s="1159"/>
      <c r="AK31" s="217"/>
      <c r="AL31" s="1112" t="str">
        <f t="shared" si="2"/>
        <v/>
      </c>
    </row>
    <row r="32" spans="1:38" x14ac:dyDescent="0.35">
      <c r="A32" s="220"/>
      <c r="B32" s="220"/>
      <c r="F32" s="106"/>
      <c r="H32" s="106"/>
      <c r="I32" s="106"/>
      <c r="J32" s="221"/>
      <c r="L32" s="106"/>
      <c r="O32" s="106"/>
      <c r="P32" s="106"/>
      <c r="Q32" s="106"/>
      <c r="R32" s="221"/>
      <c r="T32" s="106"/>
      <c r="U32" s="106"/>
      <c r="Z32" s="106"/>
      <c r="AA32" s="106"/>
      <c r="AB32" s="106"/>
      <c r="AD32" s="106"/>
      <c r="AE32" s="106"/>
      <c r="AF32" s="106"/>
      <c r="AG32" s="7681" t="str">
        <f t="shared" si="0"/>
        <v/>
      </c>
      <c r="AI32" s="106"/>
      <c r="AJ32" s="106"/>
      <c r="AK32" s="106"/>
      <c r="AL32" s="1112" t="str">
        <f t="shared" si="2"/>
        <v/>
      </c>
    </row>
    <row r="33" spans="1:38" ht="27.75" customHeight="1" x14ac:dyDescent="0.35">
      <c r="A33" s="9167" t="s">
        <v>503</v>
      </c>
      <c r="B33" s="27"/>
      <c r="C33" s="28" t="s">
        <v>427</v>
      </c>
      <c r="D33" s="585" t="s">
        <v>428</v>
      </c>
      <c r="E33" s="30"/>
      <c r="F33" s="36" t="s">
        <v>4368</v>
      </c>
      <c r="G33" s="223"/>
      <c r="H33" s="36" t="s">
        <v>4368</v>
      </c>
      <c r="I33" s="222"/>
      <c r="J33" s="224"/>
      <c r="K33" s="223"/>
      <c r="L33" s="36"/>
      <c r="M33" s="632"/>
      <c r="N33" s="30"/>
      <c r="O33" s="9489" t="s">
        <v>4332</v>
      </c>
      <c r="P33" s="9490"/>
      <c r="Q33" s="581" t="s">
        <v>4333</v>
      </c>
      <c r="R33" s="224"/>
      <c r="S33" s="223"/>
      <c r="T33" s="36" t="s">
        <v>4334</v>
      </c>
      <c r="U33" s="581" t="s">
        <v>4335</v>
      </c>
      <c r="V33" s="34" t="s">
        <v>4336</v>
      </c>
      <c r="W33" s="30"/>
      <c r="X33" s="39"/>
      <c r="Z33" s="36" t="s">
        <v>4337</v>
      </c>
      <c r="AA33" s="581" t="s">
        <v>4369</v>
      </c>
      <c r="AB33" s="36" t="s">
        <v>4336</v>
      </c>
      <c r="AD33" s="36" t="s">
        <v>4340</v>
      </c>
      <c r="AE33" s="581" t="s">
        <v>4341</v>
      </c>
      <c r="AF33" s="36" t="s">
        <v>4340</v>
      </c>
      <c r="AG33" s="7681" t="str">
        <f t="shared" si="0"/>
        <v/>
      </c>
      <c r="AI33" s="36" t="s">
        <v>4370</v>
      </c>
      <c r="AJ33" s="652" t="s">
        <v>4358</v>
      </c>
      <c r="AK33" s="36"/>
      <c r="AL33" s="1112" t="str">
        <f t="shared" si="2"/>
        <v/>
      </c>
    </row>
    <row r="34" spans="1:38" x14ac:dyDescent="0.35">
      <c r="A34" s="9168"/>
      <c r="B34" s="141" t="s">
        <v>514</v>
      </c>
      <c r="C34"/>
      <c r="D34" s="184"/>
      <c r="E34" s="143"/>
      <c r="F34" s="227"/>
      <c r="G34" s="143"/>
      <c r="H34" s="102"/>
      <c r="I34" s="103"/>
      <c r="J34" s="228"/>
      <c r="K34" s="143"/>
      <c r="L34" s="102"/>
      <c r="M34" s="229"/>
      <c r="N34" s="143"/>
      <c r="O34" s="230"/>
      <c r="P34" s="103"/>
      <c r="Q34" s="231"/>
      <c r="R34" s="228"/>
      <c r="S34" s="143"/>
      <c r="T34" s="230"/>
      <c r="U34" s="231"/>
      <c r="V34" s="49"/>
      <c r="W34" s="143"/>
      <c r="X34" s="18"/>
      <c r="Z34" s="230"/>
      <c r="AA34" s="231"/>
      <c r="AB34" s="230"/>
      <c r="AD34" s="230"/>
      <c r="AE34" s="231"/>
      <c r="AF34" s="230"/>
      <c r="AG34" s="7681" t="str">
        <f t="shared" si="0"/>
        <v/>
      </c>
      <c r="AI34" s="230"/>
      <c r="AJ34" s="231"/>
      <c r="AK34" s="230"/>
      <c r="AL34" s="1112" t="str">
        <f t="shared" si="2"/>
        <v/>
      </c>
    </row>
    <row r="35" spans="1:38" x14ac:dyDescent="0.35">
      <c r="A35" s="9168"/>
      <c r="B35" s="240"/>
      <c r="C35" s="240" t="s">
        <v>4371</v>
      </c>
      <c r="D35" s="197"/>
      <c r="F35" s="111">
        <v>5457.2568000000001</v>
      </c>
      <c r="H35" s="112">
        <f>8234.9+789.9</f>
        <v>9024.7999999999993</v>
      </c>
      <c r="I35" s="113">
        <f>8087.2+531.2</f>
        <v>8618.4</v>
      </c>
      <c r="J35" s="64">
        <f>IF(H35=0,0,I35/H35)</f>
        <v>0.95496853115858527</v>
      </c>
      <c r="L35" s="593">
        <v>10207.700000000001</v>
      </c>
      <c r="M35" s="596">
        <v>9849.2000000000007</v>
      </c>
      <c r="O35" s="593"/>
      <c r="P35" s="594"/>
      <c r="Q35" s="57" t="s">
        <v>4372</v>
      </c>
      <c r="R35" s="64"/>
      <c r="T35" s="593"/>
      <c r="U35" s="57"/>
      <c r="V35" s="619"/>
      <c r="X35" s="26"/>
      <c r="Z35" s="593"/>
      <c r="AA35" s="57"/>
      <c r="AB35" s="593"/>
      <c r="AD35" s="593"/>
      <c r="AE35" s="57"/>
      <c r="AF35" s="593"/>
      <c r="AG35" s="7681" t="str">
        <f t="shared" si="0"/>
        <v/>
      </c>
      <c r="AI35" s="593">
        <f>SUM(AI36:AI42)</f>
        <v>14277.886652000001</v>
      </c>
      <c r="AJ35" s="57"/>
      <c r="AK35" s="593"/>
      <c r="AL35" s="1112" t="str">
        <f t="shared" si="2"/>
        <v/>
      </c>
    </row>
    <row r="36" spans="1:38" x14ac:dyDescent="0.35">
      <c r="A36" s="9168"/>
      <c r="B36" s="240"/>
      <c r="C36" s="7303" t="s">
        <v>4373</v>
      </c>
      <c r="D36" s="197"/>
      <c r="F36" s="111"/>
      <c r="H36" s="112"/>
      <c r="I36" s="113"/>
      <c r="J36" s="64"/>
      <c r="L36" s="593"/>
      <c r="M36" s="596"/>
      <c r="O36" s="593"/>
      <c r="P36" s="594"/>
      <c r="Q36" s="57"/>
      <c r="R36" s="64"/>
      <c r="T36" s="593"/>
      <c r="U36" s="57"/>
      <c r="V36" s="619"/>
      <c r="X36" s="26"/>
      <c r="Z36" s="593"/>
      <c r="AA36" s="57"/>
      <c r="AB36" s="593"/>
      <c r="AD36" s="593"/>
      <c r="AE36" s="57"/>
      <c r="AF36" s="593"/>
      <c r="AG36" s="7681" t="str">
        <f t="shared" si="0"/>
        <v/>
      </c>
      <c r="AI36" s="593">
        <v>8521.1448060000002</v>
      </c>
      <c r="AJ36" s="57"/>
      <c r="AK36" s="593"/>
      <c r="AL36" s="1112" t="str">
        <f t="shared" si="2"/>
        <v/>
      </c>
    </row>
    <row r="37" spans="1:38" x14ac:dyDescent="0.35">
      <c r="A37" s="9168"/>
      <c r="B37" s="240"/>
      <c r="C37" s="7303" t="s">
        <v>4374</v>
      </c>
      <c r="D37" s="197"/>
      <c r="F37" s="111"/>
      <c r="H37" s="112"/>
      <c r="I37" s="113"/>
      <c r="J37" s="64"/>
      <c r="L37" s="593"/>
      <c r="M37" s="596"/>
      <c r="O37" s="593"/>
      <c r="P37" s="594"/>
      <c r="Q37" s="57"/>
      <c r="R37" s="64"/>
      <c r="T37" s="593"/>
      <c r="U37" s="57"/>
      <c r="V37" s="619"/>
      <c r="X37" s="26"/>
      <c r="Z37" s="593"/>
      <c r="AA37" s="57"/>
      <c r="AB37" s="593"/>
      <c r="AD37" s="593"/>
      <c r="AE37" s="57"/>
      <c r="AF37" s="593"/>
      <c r="AG37" s="7681" t="str">
        <f t="shared" si="0"/>
        <v/>
      </c>
      <c r="AI37" s="593">
        <v>2925.3647799999999</v>
      </c>
      <c r="AJ37" s="57"/>
      <c r="AK37" s="593"/>
      <c r="AL37" s="1112" t="str">
        <f t="shared" si="2"/>
        <v/>
      </c>
    </row>
    <row r="38" spans="1:38" x14ac:dyDescent="0.35">
      <c r="A38" s="9168"/>
      <c r="B38" s="240"/>
      <c r="C38" s="7303" t="s">
        <v>4375</v>
      </c>
      <c r="D38" s="197"/>
      <c r="F38" s="111"/>
      <c r="H38" s="112"/>
      <c r="I38" s="113"/>
      <c r="J38" s="64"/>
      <c r="L38" s="593"/>
      <c r="M38" s="596"/>
      <c r="O38" s="593"/>
      <c r="P38" s="594"/>
      <c r="Q38" s="57"/>
      <c r="R38" s="64"/>
      <c r="T38" s="593"/>
      <c r="U38" s="57"/>
      <c r="V38" s="619"/>
      <c r="X38" s="26"/>
      <c r="Z38" s="593"/>
      <c r="AA38" s="57"/>
      <c r="AB38" s="593"/>
      <c r="AD38" s="593"/>
      <c r="AE38" s="57"/>
      <c r="AF38" s="593"/>
      <c r="AG38" s="7681" t="str">
        <f t="shared" si="0"/>
        <v/>
      </c>
      <c r="AI38" s="593">
        <v>1531.7927830000001</v>
      </c>
      <c r="AJ38" s="57"/>
      <c r="AK38" s="593"/>
      <c r="AL38" s="1112" t="str">
        <f t="shared" si="2"/>
        <v/>
      </c>
    </row>
    <row r="39" spans="1:38" x14ac:dyDescent="0.35">
      <c r="A39" s="9168"/>
      <c r="B39" s="240"/>
      <c r="C39" s="7303" t="s">
        <v>4376</v>
      </c>
      <c r="D39" s="197"/>
      <c r="F39" s="111"/>
      <c r="H39" s="112"/>
      <c r="I39" s="113"/>
      <c r="J39" s="64"/>
      <c r="L39" s="593"/>
      <c r="M39" s="596"/>
      <c r="O39" s="593"/>
      <c r="P39" s="594"/>
      <c r="Q39" s="57"/>
      <c r="R39" s="64"/>
      <c r="T39" s="593"/>
      <c r="U39" s="57"/>
      <c r="V39" s="619"/>
      <c r="X39" s="26"/>
      <c r="Z39" s="593"/>
      <c r="AA39" s="57"/>
      <c r="AB39" s="593"/>
      <c r="AD39" s="593"/>
      <c r="AE39" s="57"/>
      <c r="AF39" s="593"/>
      <c r="AG39" s="7681" t="str">
        <f t="shared" si="0"/>
        <v/>
      </c>
      <c r="AI39" s="593">
        <v>744.14326400000004</v>
      </c>
      <c r="AJ39" s="57"/>
      <c r="AK39" s="593"/>
      <c r="AL39" s="1112" t="str">
        <f t="shared" si="2"/>
        <v/>
      </c>
    </row>
    <row r="40" spans="1:38" x14ac:dyDescent="0.35">
      <c r="A40" s="9168"/>
      <c r="B40" s="240"/>
      <c r="C40" s="7303" t="s">
        <v>4377</v>
      </c>
      <c r="D40" s="197"/>
      <c r="F40" s="111"/>
      <c r="H40" s="112"/>
      <c r="I40" s="113"/>
      <c r="J40" s="64"/>
      <c r="L40" s="593"/>
      <c r="M40" s="596"/>
      <c r="O40" s="593"/>
      <c r="P40" s="594"/>
      <c r="Q40" s="57"/>
      <c r="R40" s="64"/>
      <c r="T40" s="593"/>
      <c r="U40" s="57"/>
      <c r="V40" s="619"/>
      <c r="X40" s="26"/>
      <c r="Z40" s="593"/>
      <c r="AA40" s="57"/>
      <c r="AB40" s="593"/>
      <c r="AD40" s="593"/>
      <c r="AE40" s="57"/>
      <c r="AF40" s="593"/>
      <c r="AG40" s="7681" t="str">
        <f t="shared" si="0"/>
        <v/>
      </c>
      <c r="AI40" s="593">
        <v>226.98641699999999</v>
      </c>
      <c r="AJ40" s="57"/>
      <c r="AK40" s="593"/>
      <c r="AL40" s="1112" t="str">
        <f t="shared" si="2"/>
        <v/>
      </c>
    </row>
    <row r="41" spans="1:38" x14ac:dyDescent="0.35">
      <c r="A41" s="9168"/>
      <c r="B41" s="240"/>
      <c r="C41" s="7303" t="s">
        <v>4378</v>
      </c>
      <c r="D41" s="197"/>
      <c r="F41" s="111"/>
      <c r="H41" s="112"/>
      <c r="I41" s="113"/>
      <c r="J41" s="64"/>
      <c r="L41" s="593"/>
      <c r="M41" s="596"/>
      <c r="O41" s="593"/>
      <c r="P41" s="594"/>
      <c r="Q41" s="57"/>
      <c r="R41" s="64"/>
      <c r="T41" s="593"/>
      <c r="U41" s="57"/>
      <c r="V41" s="619"/>
      <c r="X41" s="26"/>
      <c r="Z41" s="593"/>
      <c r="AA41" s="57"/>
      <c r="AB41" s="593"/>
      <c r="AD41" s="593"/>
      <c r="AE41" s="57"/>
      <c r="AF41" s="593"/>
      <c r="AG41" s="7681" t="str">
        <f t="shared" si="0"/>
        <v/>
      </c>
      <c r="AI41" s="593">
        <v>206.36990399999999</v>
      </c>
      <c r="AJ41" s="57"/>
      <c r="AK41" s="593"/>
      <c r="AL41" s="1112" t="str">
        <f t="shared" si="2"/>
        <v/>
      </c>
    </row>
    <row r="42" spans="1:38" x14ac:dyDescent="0.35">
      <c r="A42" s="9168"/>
      <c r="B42" s="240"/>
      <c r="C42" s="7303" t="s">
        <v>4379</v>
      </c>
      <c r="D42" s="197"/>
      <c r="F42" s="111"/>
      <c r="H42" s="112"/>
      <c r="I42" s="113"/>
      <c r="J42" s="64"/>
      <c r="L42" s="593"/>
      <c r="M42" s="596"/>
      <c r="O42" s="593"/>
      <c r="P42" s="594"/>
      <c r="Q42" s="57"/>
      <c r="R42" s="64"/>
      <c r="T42" s="593"/>
      <c r="U42" s="57"/>
      <c r="V42" s="619"/>
      <c r="X42" s="26"/>
      <c r="Z42" s="593"/>
      <c r="AA42" s="57"/>
      <c r="AB42" s="593"/>
      <c r="AD42" s="593"/>
      <c r="AE42" s="57"/>
      <c r="AF42" s="593"/>
      <c r="AG42" s="7681" t="str">
        <f t="shared" si="0"/>
        <v/>
      </c>
      <c r="AI42" s="593">
        <v>122.084698</v>
      </c>
      <c r="AJ42" s="57"/>
      <c r="AK42" s="593"/>
      <c r="AL42" s="1112" t="str">
        <f t="shared" si="2"/>
        <v/>
      </c>
    </row>
    <row r="43" spans="1:38" x14ac:dyDescent="0.35">
      <c r="A43" s="9168"/>
      <c r="B43" s="240"/>
      <c r="C43" s="240"/>
      <c r="D43" s="197"/>
      <c r="F43" s="111"/>
      <c r="H43" s="112"/>
      <c r="I43" s="113"/>
      <c r="J43" s="64"/>
      <c r="L43" s="593"/>
      <c r="M43" s="596"/>
      <c r="O43" s="593"/>
      <c r="P43" s="594"/>
      <c r="Q43" s="57"/>
      <c r="R43" s="64"/>
      <c r="T43" s="593"/>
      <c r="U43" s="57"/>
      <c r="V43" s="619"/>
      <c r="X43" s="26"/>
      <c r="Z43" s="593"/>
      <c r="AA43" s="57"/>
      <c r="AB43" s="593"/>
      <c r="AD43" s="593"/>
      <c r="AE43" s="57"/>
      <c r="AF43" s="593"/>
      <c r="AG43" s="7681" t="str">
        <f t="shared" si="0"/>
        <v/>
      </c>
      <c r="AI43" s="593"/>
      <c r="AJ43" s="57"/>
      <c r="AK43" s="593"/>
      <c r="AL43" s="1112" t="str">
        <f t="shared" si="2"/>
        <v/>
      </c>
    </row>
    <row r="44" spans="1:38" x14ac:dyDescent="0.35">
      <c r="A44" s="9168"/>
      <c r="B44" s="240"/>
      <c r="C44" s="240"/>
      <c r="D44" s="197"/>
      <c r="F44" s="111"/>
      <c r="H44" s="112"/>
      <c r="I44" s="113"/>
      <c r="J44" s="64"/>
      <c r="L44" s="593"/>
      <c r="M44" s="596"/>
      <c r="O44" s="593"/>
      <c r="P44" s="594"/>
      <c r="Q44" s="57"/>
      <c r="R44" s="64"/>
      <c r="T44" s="593"/>
      <c r="U44" s="57"/>
      <c r="V44" s="619"/>
      <c r="X44" s="26"/>
      <c r="Z44" s="593"/>
      <c r="AA44" s="57"/>
      <c r="AB44" s="593"/>
      <c r="AD44" s="593"/>
      <c r="AE44" s="57"/>
      <c r="AF44" s="593"/>
      <c r="AG44" s="7681" t="str">
        <f t="shared" si="0"/>
        <v/>
      </c>
      <c r="AI44" s="593"/>
      <c r="AJ44" s="57"/>
      <c r="AK44" s="593"/>
      <c r="AL44" s="1112" t="str">
        <f t="shared" si="2"/>
        <v/>
      </c>
    </row>
    <row r="45" spans="1:38" x14ac:dyDescent="0.35">
      <c r="A45" s="9168"/>
      <c r="B45" s="240"/>
      <c r="C45" s="639" t="s">
        <v>11</v>
      </c>
      <c r="D45" s="197"/>
      <c r="F45" s="155"/>
      <c r="H45" s="117"/>
      <c r="I45" s="115"/>
      <c r="J45" s="64">
        <f>IF(H45=0,0,I45/H45)</f>
        <v>0</v>
      </c>
      <c r="L45" s="117"/>
      <c r="M45" s="3265"/>
      <c r="O45" s="593">
        <f>10207.7-O46</f>
        <v>9498.2451000000001</v>
      </c>
      <c r="P45" s="594">
        <v>9273.2000000000007</v>
      </c>
      <c r="Q45" s="57" t="s">
        <v>4380</v>
      </c>
      <c r="R45" s="64">
        <f>(P45)/O45</f>
        <v>0.9763066653228395</v>
      </c>
      <c r="T45" s="593">
        <f>12281.449-T46</f>
        <v>11123.115</v>
      </c>
      <c r="U45" s="57" t="s">
        <v>4381</v>
      </c>
      <c r="V45" s="619">
        <f>7684.218*4/3</f>
        <v>10245.624</v>
      </c>
      <c r="X45" s="26"/>
      <c r="Z45" s="593">
        <f>11885690472/1000000</f>
        <v>11885.690472</v>
      </c>
      <c r="AA45" s="57"/>
      <c r="AB45" s="593">
        <f>(11688709046.93)/1000000</f>
        <v>11688.70904693</v>
      </c>
      <c r="AD45" s="593">
        <v>13218.634654</v>
      </c>
      <c r="AE45" s="57" t="s">
        <v>4382</v>
      </c>
      <c r="AF45" s="593">
        <f>12339226365.46/1000000</f>
        <v>12339.226365459999</v>
      </c>
      <c r="AG45" s="7681">
        <f t="shared" si="0"/>
        <v>0.93347207850442493</v>
      </c>
      <c r="AI45" s="593"/>
      <c r="AJ45" s="57"/>
      <c r="AK45" s="593"/>
      <c r="AL45" s="1112">
        <f t="shared" si="2"/>
        <v>0</v>
      </c>
    </row>
    <row r="46" spans="1:38" x14ac:dyDescent="0.35">
      <c r="A46" s="9168"/>
      <c r="B46" s="241"/>
      <c r="C46" s="249" t="s">
        <v>1116</v>
      </c>
      <c r="D46" s="197"/>
      <c r="F46" s="163"/>
      <c r="H46" s="242"/>
      <c r="I46" s="243"/>
      <c r="J46" s="64">
        <f>IF(H46=0,0,I46/H46)</f>
        <v>0</v>
      </c>
      <c r="L46" s="242"/>
      <c r="M46" s="3265"/>
      <c r="O46" s="595">
        <v>709.45489999999995</v>
      </c>
      <c r="P46" s="594">
        <v>576</v>
      </c>
      <c r="Q46" s="57" t="s">
        <v>4372</v>
      </c>
      <c r="R46" s="64">
        <f>(P46)/O46</f>
        <v>0.81189093203810425</v>
      </c>
      <c r="T46" s="595">
        <v>1158.3340000000001</v>
      </c>
      <c r="U46" s="57" t="s">
        <v>4383</v>
      </c>
      <c r="V46" s="619">
        <f>373.723*4/3</f>
        <v>498.29733333333337</v>
      </c>
      <c r="X46" s="26"/>
      <c r="Z46" s="595">
        <f>1163108968/1000000</f>
        <v>1163.108968</v>
      </c>
      <c r="AA46" s="57"/>
      <c r="AB46" s="595">
        <f>(1053539912.43)/1000000</f>
        <v>1053.53991243</v>
      </c>
      <c r="AD46" s="595">
        <v>1466.2465460000001</v>
      </c>
      <c r="AE46" s="57" t="s">
        <v>4382</v>
      </c>
      <c r="AF46" s="595">
        <f>582961779.25/1000000</f>
        <v>582.96177924999995</v>
      </c>
      <c r="AG46" s="7681">
        <f t="shared" si="0"/>
        <v>0.39758782780450613</v>
      </c>
      <c r="AI46" s="595"/>
      <c r="AJ46" s="57"/>
      <c r="AK46" s="595"/>
      <c r="AL46" s="1112">
        <f t="shared" si="2"/>
        <v>0</v>
      </c>
    </row>
    <row r="47" spans="1:38" x14ac:dyDescent="0.35">
      <c r="A47" s="9168"/>
      <c r="B47" s="241"/>
      <c r="C47" s="241" t="s">
        <v>536</v>
      </c>
      <c r="D47" s="197"/>
      <c r="F47" s="163"/>
      <c r="H47" s="242"/>
      <c r="I47" s="243"/>
      <c r="J47" s="64">
        <f>IF(H47=0,0,I47/H47)</f>
        <v>0</v>
      </c>
      <c r="L47" s="242"/>
      <c r="M47" s="3265"/>
      <c r="O47" s="242"/>
      <c r="P47" s="594"/>
      <c r="Q47" s="106"/>
      <c r="R47" s="64"/>
      <c r="T47" s="242"/>
      <c r="U47" s="106"/>
      <c r="V47" s="619"/>
      <c r="X47" s="26"/>
      <c r="Z47" s="242"/>
      <c r="AA47" s="106"/>
      <c r="AB47" s="242"/>
      <c r="AD47" s="242"/>
      <c r="AE47" s="106"/>
      <c r="AF47" s="242"/>
      <c r="AG47" s="7681" t="str">
        <f t="shared" si="0"/>
        <v/>
      </c>
      <c r="AI47" s="242"/>
      <c r="AJ47" s="106"/>
      <c r="AK47" s="242"/>
      <c r="AL47" s="1112" t="str">
        <f t="shared" si="2"/>
        <v/>
      </c>
    </row>
    <row r="48" spans="1:38" x14ac:dyDescent="0.35">
      <c r="A48" s="9168"/>
      <c r="B48" s="141" t="s">
        <v>531</v>
      </c>
      <c r="C48"/>
      <c r="D48" s="197"/>
      <c r="E48" s="143"/>
      <c r="F48" s="168"/>
      <c r="G48" s="143"/>
      <c r="H48" s="245"/>
      <c r="I48" s="106"/>
      <c r="J48" s="246"/>
      <c r="K48" s="143"/>
      <c r="L48" s="245"/>
      <c r="M48" s="66"/>
      <c r="N48" s="143"/>
      <c r="O48" s="245"/>
      <c r="P48" s="106"/>
      <c r="Q48" s="106"/>
      <c r="R48" s="246"/>
      <c r="S48" s="143"/>
      <c r="T48" s="245"/>
      <c r="U48" s="106"/>
      <c r="V48" s="619"/>
      <c r="W48" s="143"/>
      <c r="X48" s="18"/>
      <c r="Z48" s="245"/>
      <c r="AA48" s="106"/>
      <c r="AB48" s="245"/>
      <c r="AD48" s="245"/>
      <c r="AE48" s="106"/>
      <c r="AF48" s="245"/>
      <c r="AG48" s="7681" t="str">
        <f t="shared" si="0"/>
        <v/>
      </c>
      <c r="AI48" s="245"/>
      <c r="AJ48" s="106"/>
      <c r="AK48" s="245"/>
      <c r="AL48" s="1112" t="str">
        <f t="shared" si="2"/>
        <v/>
      </c>
    </row>
    <row r="49" spans="1:38" x14ac:dyDescent="0.35">
      <c r="A49" s="9168"/>
      <c r="B49" s="240"/>
      <c r="C49" s="240" t="s">
        <v>532</v>
      </c>
      <c r="D49" s="197"/>
      <c r="F49" s="111"/>
      <c r="H49" s="112"/>
      <c r="I49" s="113"/>
      <c r="J49" s="64">
        <f>IF(H49=0,0,I49/H49)</f>
        <v>0</v>
      </c>
      <c r="L49" s="112"/>
      <c r="M49" s="1034"/>
      <c r="O49" s="248"/>
      <c r="P49" s="233"/>
      <c r="Q49" s="106"/>
      <c r="R49" s="64"/>
      <c r="T49" s="112"/>
      <c r="U49" s="106"/>
      <c r="V49" s="619"/>
      <c r="X49" s="26"/>
      <c r="Z49" s="112"/>
      <c r="AA49" s="106"/>
      <c r="AB49" s="112"/>
      <c r="AD49" s="112"/>
      <c r="AE49" s="106"/>
      <c r="AF49" s="112"/>
      <c r="AG49" s="7681" t="str">
        <f t="shared" si="0"/>
        <v/>
      </c>
      <c r="AI49" s="112"/>
      <c r="AJ49" s="106"/>
      <c r="AK49" s="112"/>
      <c r="AL49" s="1112" t="str">
        <f t="shared" si="2"/>
        <v/>
      </c>
    </row>
    <row r="50" spans="1:38" x14ac:dyDescent="0.35">
      <c r="A50" s="9168"/>
      <c r="B50" s="240"/>
      <c r="C50" s="240" t="s">
        <v>533</v>
      </c>
      <c r="D50" s="197"/>
      <c r="F50" s="155"/>
      <c r="H50" s="117"/>
      <c r="I50" s="115"/>
      <c r="J50" s="64">
        <f>IF(H50=0,0,I50/H50)</f>
        <v>0</v>
      </c>
      <c r="L50" s="117"/>
      <c r="M50" s="273"/>
      <c r="O50" s="200"/>
      <c r="P50" s="201"/>
      <c r="Q50" s="106"/>
      <c r="R50" s="64">
        <f>IF(O50=0,0,P50/O50)</f>
        <v>0</v>
      </c>
      <c r="T50" s="117"/>
      <c r="U50" s="106"/>
      <c r="V50" s="619"/>
      <c r="X50" s="26"/>
      <c r="Z50" s="117"/>
      <c r="AA50" s="106"/>
      <c r="AB50" s="117"/>
      <c r="AD50" s="117"/>
      <c r="AE50" s="106"/>
      <c r="AF50" s="117"/>
      <c r="AG50" s="7681" t="str">
        <f t="shared" si="0"/>
        <v/>
      </c>
      <c r="AI50" s="117"/>
      <c r="AJ50" s="106"/>
      <c r="AK50" s="117"/>
      <c r="AL50" s="1112" t="str">
        <f t="shared" si="2"/>
        <v/>
      </c>
    </row>
    <row r="51" spans="1:38" x14ac:dyDescent="0.35">
      <c r="A51" s="9168"/>
      <c r="B51" s="250"/>
      <c r="C51" s="250" t="s">
        <v>534</v>
      </c>
      <c r="D51" s="209"/>
      <c r="F51" s="130"/>
      <c r="H51" s="242"/>
      <c r="I51" s="243"/>
      <c r="J51" s="64">
        <f>IF(H51=0,0,I51/H51)</f>
        <v>0</v>
      </c>
      <c r="L51" s="131"/>
      <c r="M51" s="658"/>
      <c r="O51" s="164"/>
      <c r="P51" s="215"/>
      <c r="Q51" s="216"/>
      <c r="R51" s="64">
        <f>IF(O51=0,0,P51/O51)</f>
        <v>0</v>
      </c>
      <c r="T51" s="131"/>
      <c r="U51" s="216"/>
      <c r="V51" s="628"/>
      <c r="X51" s="24"/>
      <c r="Z51" s="131"/>
      <c r="AA51" s="216"/>
      <c r="AB51" s="131"/>
      <c r="AD51" s="131"/>
      <c r="AE51" s="216"/>
      <c r="AF51" s="131"/>
      <c r="AG51" s="7681" t="str">
        <f t="shared" si="0"/>
        <v/>
      </c>
      <c r="AI51" s="131"/>
      <c r="AJ51" s="216"/>
      <c r="AK51" s="131"/>
      <c r="AL51" s="1112" t="str">
        <f t="shared" si="2"/>
        <v/>
      </c>
    </row>
    <row r="52" spans="1:38" x14ac:dyDescent="0.35">
      <c r="A52" s="9168"/>
      <c r="B52" s="141" t="s">
        <v>4384</v>
      </c>
      <c r="C52" s="141"/>
      <c r="D52" s="197"/>
      <c r="E52" s="143"/>
      <c r="F52" s="227"/>
      <c r="G52" s="143"/>
      <c r="H52" s="102"/>
      <c r="I52" s="103"/>
      <c r="J52" s="252"/>
      <c r="K52" s="143"/>
      <c r="L52" s="245"/>
      <c r="M52" s="247"/>
      <c r="N52" s="143"/>
      <c r="O52" s="230"/>
      <c r="P52" s="103"/>
      <c r="Q52" s="57" t="s">
        <v>4385</v>
      </c>
      <c r="R52" s="252"/>
      <c r="S52" s="143"/>
      <c r="T52" s="230"/>
      <c r="U52" s="57" t="s">
        <v>4386</v>
      </c>
      <c r="V52" s="1342"/>
      <c r="W52" s="143"/>
      <c r="X52" s="26"/>
      <c r="Z52" s="230"/>
      <c r="AA52" s="57" t="s">
        <v>4387</v>
      </c>
      <c r="AB52" s="230"/>
      <c r="AC52" s="5079"/>
      <c r="AD52" s="230"/>
      <c r="AE52" s="57"/>
      <c r="AF52" s="230"/>
      <c r="AG52" s="7681" t="str">
        <f t="shared" si="0"/>
        <v/>
      </c>
      <c r="AH52" s="5079"/>
      <c r="AI52" s="230"/>
      <c r="AJ52" s="57"/>
      <c r="AK52" s="230"/>
      <c r="AL52" s="1112" t="str">
        <f t="shared" si="2"/>
        <v/>
      </c>
    </row>
    <row r="53" spans="1:38" x14ac:dyDescent="0.35">
      <c r="A53" s="9168"/>
      <c r="B53" s="4073" t="s">
        <v>11</v>
      </c>
      <c r="C53" s="1653"/>
      <c r="D53" s="197"/>
      <c r="E53" s="143"/>
      <c r="F53" s="168"/>
      <c r="G53" s="143"/>
      <c r="H53" s="245"/>
      <c r="I53" s="106"/>
      <c r="J53" s="267"/>
      <c r="K53" s="143"/>
      <c r="L53" s="245"/>
      <c r="M53" s="247"/>
      <c r="N53" s="143"/>
      <c r="O53" s="654"/>
      <c r="P53" s="106"/>
      <c r="Q53" s="57" t="s">
        <v>4388</v>
      </c>
      <c r="R53" s="267"/>
      <c r="S53" s="143"/>
      <c r="T53" s="654"/>
      <c r="U53" s="57" t="s">
        <v>4389</v>
      </c>
      <c r="V53" s="5080"/>
      <c r="W53" s="143"/>
      <c r="X53" s="26"/>
      <c r="Z53" s="654"/>
      <c r="AA53" s="57" t="s">
        <v>4389</v>
      </c>
      <c r="AB53" s="654"/>
      <c r="AD53" s="654"/>
      <c r="AE53" s="57"/>
      <c r="AF53" s="654"/>
      <c r="AG53" s="7681" t="str">
        <f t="shared" si="0"/>
        <v/>
      </c>
      <c r="AI53" s="654"/>
      <c r="AJ53" s="57"/>
      <c r="AK53" s="654"/>
      <c r="AL53" s="1112" t="str">
        <f t="shared" si="2"/>
        <v/>
      </c>
    </row>
    <row r="54" spans="1:38" ht="14.75" customHeight="1" x14ac:dyDescent="0.35">
      <c r="A54" s="9168"/>
      <c r="B54" s="240"/>
      <c r="C54" s="240" t="s">
        <v>4390</v>
      </c>
      <c r="D54" s="197"/>
      <c r="F54" s="5081">
        <v>264.54874699999999</v>
      </c>
      <c r="H54" s="112">
        <v>315.56200000000001</v>
      </c>
      <c r="I54" s="113">
        <v>300.23599999999999</v>
      </c>
      <c r="J54" s="64">
        <f t="shared" ref="J54:J70" si="4">IF(H54=0,0,I54/H54)</f>
        <v>0.95143268200860676</v>
      </c>
      <c r="L54" s="593">
        <v>308.89999999999998</v>
      </c>
      <c r="M54" s="623">
        <v>308.3</v>
      </c>
      <c r="O54" s="595">
        <v>308.89999999999998</v>
      </c>
      <c r="P54" s="642">
        <v>308.3</v>
      </c>
      <c r="Q54" s="57"/>
      <c r="R54" s="1171">
        <f t="shared" ref="R54:R59" si="5">IF(O54=0,0,(P54+P69)/O54)</f>
        <v>0.99805762382648122</v>
      </c>
      <c r="T54" s="593">
        <v>330.21800000000002</v>
      </c>
      <c r="U54" s="57"/>
      <c r="V54" s="1352">
        <f>229.606*4/3-V69</f>
        <v>306.14133333333331</v>
      </c>
      <c r="X54" s="257"/>
      <c r="Z54" s="593">
        <f>353365000/1000000</f>
        <v>353.36500000000001</v>
      </c>
      <c r="AA54" s="235">
        <f>(240755506.51/1000000)</f>
        <v>240.75550651</v>
      </c>
      <c r="AB54" s="593">
        <f>333928000/1000000</f>
        <v>333.928</v>
      </c>
      <c r="AD54" s="593">
        <v>372.96300000000002</v>
      </c>
      <c r="AE54" s="57"/>
      <c r="AF54" s="593">
        <v>322.8</v>
      </c>
      <c r="AG54" s="7681">
        <f t="shared" si="0"/>
        <v>0.86550140362448824</v>
      </c>
      <c r="AI54" s="593">
        <v>67.325999999999993</v>
      </c>
      <c r="AJ54" s="57"/>
      <c r="AK54" s="593"/>
      <c r="AL54" s="1112">
        <f t="shared" si="2"/>
        <v>58.270747500422289</v>
      </c>
    </row>
    <row r="55" spans="1:38" x14ac:dyDescent="0.35">
      <c r="A55" s="9168"/>
      <c r="B55" s="240"/>
      <c r="C55" s="240" t="s">
        <v>4391</v>
      </c>
      <c r="D55" s="197"/>
      <c r="F55" s="5082">
        <v>2232.5360000000001</v>
      </c>
      <c r="H55" s="117">
        <v>3284.3290000000002</v>
      </c>
      <c r="I55" s="115">
        <v>3284.3290000000002</v>
      </c>
      <c r="J55" s="64">
        <f t="shared" si="4"/>
        <v>1</v>
      </c>
      <c r="L55" s="595">
        <v>3802.4</v>
      </c>
      <c r="M55" s="608">
        <v>3802.4</v>
      </c>
      <c r="O55" s="595">
        <v>3802.4</v>
      </c>
      <c r="P55" s="643">
        <v>3425.5</v>
      </c>
      <c r="Q55" s="57"/>
      <c r="R55" s="1171">
        <f t="shared" si="5"/>
        <v>0.99997370082053438</v>
      </c>
      <c r="T55" s="593">
        <v>4316.8119999999999</v>
      </c>
      <c r="U55" s="57"/>
      <c r="V55" s="1352">
        <f>3237.609*4/3-V70</f>
        <v>3898.652</v>
      </c>
      <c r="X55" s="26"/>
      <c r="Z55" s="593">
        <f>4800485496/1000000</f>
        <v>4800.4854960000002</v>
      </c>
      <c r="AA55" s="235">
        <f>3600364122/1000000</f>
        <v>3600.364122</v>
      </c>
      <c r="AB55" s="593">
        <f>4325668273/1000000</f>
        <v>4325.6682730000002</v>
      </c>
      <c r="AC55" t="s">
        <v>4392</v>
      </c>
      <c r="AD55" s="593">
        <v>4790.0318239999997</v>
      </c>
      <c r="AF55" s="593">
        <v>4435.3</v>
      </c>
      <c r="AG55" s="7681">
        <f t="shared" si="0"/>
        <v>0.92594374379254651</v>
      </c>
      <c r="AI55" s="593">
        <v>4800.8715309999998</v>
      </c>
      <c r="AK55" s="593"/>
      <c r="AL55" s="1112">
        <f t="shared" si="2"/>
        <v>4445.3369588811947</v>
      </c>
    </row>
    <row r="56" spans="1:38" x14ac:dyDescent="0.35">
      <c r="A56" s="9168"/>
      <c r="B56" s="240"/>
      <c r="C56" s="240" t="s">
        <v>4393</v>
      </c>
      <c r="D56" s="197"/>
      <c r="F56" s="5082">
        <v>6.468</v>
      </c>
      <c r="H56" s="117">
        <v>8.2003280000000007</v>
      </c>
      <c r="I56" s="115">
        <v>8.2003280000000007</v>
      </c>
      <c r="J56" s="64">
        <f t="shared" si="4"/>
        <v>1</v>
      </c>
      <c r="L56" s="595">
        <v>8.9359999999999999</v>
      </c>
      <c r="M56" s="623">
        <v>8.9359999999999999</v>
      </c>
      <c r="O56" s="595">
        <v>8.9359999999999999</v>
      </c>
      <c r="P56" s="642">
        <v>8.9359999999999999</v>
      </c>
      <c r="Q56" s="57"/>
      <c r="R56" s="1171">
        <f t="shared" si="5"/>
        <v>1</v>
      </c>
      <c r="T56" s="593">
        <v>9.3140000000000001</v>
      </c>
      <c r="U56" s="57"/>
      <c r="V56" s="1352">
        <f>6.367*4/3</f>
        <v>8.4893333333333327</v>
      </c>
      <c r="X56" s="26"/>
      <c r="Z56" s="593">
        <f>10116000/1000000</f>
        <v>10.116</v>
      </c>
      <c r="AA56" s="235">
        <f>6803115/1000000</f>
        <v>6.803115</v>
      </c>
      <c r="AB56" s="593">
        <f>11316132/1000000</f>
        <v>11.316132</v>
      </c>
      <c r="AD56" s="593">
        <v>10.622</v>
      </c>
      <c r="AE56" s="57"/>
      <c r="AF56" s="593">
        <v>10.622</v>
      </c>
      <c r="AG56" s="7681">
        <f t="shared" si="0"/>
        <v>1</v>
      </c>
      <c r="AI56" s="593">
        <v>11.214</v>
      </c>
      <c r="AJ56" s="57"/>
      <c r="AK56" s="593"/>
      <c r="AL56" s="1112">
        <f t="shared" si="2"/>
        <v>11.214</v>
      </c>
    </row>
    <row r="57" spans="1:38" x14ac:dyDescent="0.35">
      <c r="A57" s="9168"/>
      <c r="B57" s="240"/>
      <c r="C57" s="240" t="s">
        <v>4394</v>
      </c>
      <c r="D57" s="197"/>
      <c r="F57" s="5082">
        <v>12</v>
      </c>
      <c r="H57" s="117">
        <v>21.2</v>
      </c>
      <c r="I57" s="115">
        <v>21.2</v>
      </c>
      <c r="J57" s="64">
        <f t="shared" si="4"/>
        <v>1</v>
      </c>
      <c r="L57" s="595">
        <v>21.2</v>
      </c>
      <c r="M57" s="608">
        <v>21.2</v>
      </c>
      <c r="O57" s="595">
        <v>21.2</v>
      </c>
      <c r="P57" s="643">
        <v>21.2</v>
      </c>
      <c r="Q57" s="57"/>
      <c r="R57" s="1171">
        <f t="shared" si="5"/>
        <v>1</v>
      </c>
      <c r="T57" s="593">
        <v>21.2</v>
      </c>
      <c r="U57" s="57"/>
      <c r="V57" s="1352">
        <f>15.899*4/3</f>
        <v>21.198666666666664</v>
      </c>
      <c r="X57" s="26"/>
      <c r="Z57" s="593">
        <f>21200000/1000000</f>
        <v>21.2</v>
      </c>
      <c r="AA57" s="235">
        <f>15899994/1000000</f>
        <v>15.899994</v>
      </c>
      <c r="AB57" s="593">
        <f>21200000/1000000</f>
        <v>21.2</v>
      </c>
      <c r="AD57" s="593">
        <v>21.2</v>
      </c>
      <c r="AE57" s="57"/>
      <c r="AF57" s="593">
        <v>20</v>
      </c>
      <c r="AG57" s="7681">
        <f t="shared" si="0"/>
        <v>0.94339622641509435</v>
      </c>
      <c r="AI57" s="593">
        <v>19.100000000000001</v>
      </c>
      <c r="AJ57" s="57"/>
      <c r="AK57" s="593"/>
      <c r="AL57" s="1112">
        <f t="shared" si="2"/>
        <v>18.018867924528305</v>
      </c>
    </row>
    <row r="58" spans="1:38" x14ac:dyDescent="0.35">
      <c r="A58" s="9168"/>
      <c r="B58" s="240"/>
      <c r="C58" s="240" t="s">
        <v>4395</v>
      </c>
      <c r="D58" s="197"/>
      <c r="F58" s="5082">
        <v>193.92699999999999</v>
      </c>
      <c r="H58" s="117">
        <v>339.25799999999998</v>
      </c>
      <c r="I58" s="115">
        <v>318.89480700000001</v>
      </c>
      <c r="J58" s="64">
        <f t="shared" si="4"/>
        <v>0.93997726509028534</v>
      </c>
      <c r="L58" s="595">
        <v>166.8</v>
      </c>
      <c r="M58" s="614">
        <v>146.19999999999999</v>
      </c>
      <c r="O58" s="1172">
        <v>166.8</v>
      </c>
      <c r="P58" s="1174">
        <v>56.1</v>
      </c>
      <c r="Q58" s="57"/>
      <c r="R58" s="1171">
        <f t="shared" si="5"/>
        <v>0.87649880095923249</v>
      </c>
      <c r="T58" s="593">
        <v>92.195999999999998</v>
      </c>
      <c r="U58" s="57"/>
      <c r="V58" s="1352">
        <f>55.149*4/3-V73</f>
        <v>27.098666666666659</v>
      </c>
      <c r="X58" s="26"/>
      <c r="Z58" s="593">
        <f>44599000/1000000</f>
        <v>44.598999999999997</v>
      </c>
      <c r="AA58" s="235">
        <f>26254005.86/1000000</f>
        <v>26.254005859999999</v>
      </c>
      <c r="AB58" s="593">
        <f>18400578.98/1000000</f>
        <v>18.400578979999999</v>
      </c>
      <c r="AD58" s="593">
        <v>30.359000000000002</v>
      </c>
      <c r="AE58" s="57"/>
      <c r="AF58" s="593">
        <f>64-AF73</f>
        <v>29.5</v>
      </c>
      <c r="AG58" s="7681">
        <f t="shared" si="0"/>
        <v>0.97170526038407057</v>
      </c>
      <c r="AI58" s="593">
        <v>54.335999999999999</v>
      </c>
      <c r="AJ58" s="57"/>
      <c r="AK58" s="593"/>
      <c r="AL58" s="1112">
        <f t="shared" si="2"/>
        <v>52.798577028228856</v>
      </c>
    </row>
    <row r="59" spans="1:38" x14ac:dyDescent="0.35">
      <c r="A59" s="9168"/>
      <c r="B59" s="240"/>
      <c r="C59" s="240" t="s">
        <v>4396</v>
      </c>
      <c r="D59" s="197"/>
      <c r="F59" s="5082">
        <v>28.192</v>
      </c>
      <c r="H59" s="117">
        <v>41.468000000000004</v>
      </c>
      <c r="I59" s="115">
        <v>41.468000000000004</v>
      </c>
      <c r="J59" s="64">
        <f t="shared" si="4"/>
        <v>1</v>
      </c>
      <c r="L59" s="595">
        <v>45.005000000000003</v>
      </c>
      <c r="M59" s="614">
        <v>45.005000000000003</v>
      </c>
      <c r="O59" s="1172">
        <v>45.005000000000003</v>
      </c>
      <c r="P59" s="1174">
        <v>45.005000000000003</v>
      </c>
      <c r="Q59" s="57"/>
      <c r="R59" s="1171">
        <f t="shared" si="5"/>
        <v>1</v>
      </c>
      <c r="T59" s="593">
        <v>50.945999999999998</v>
      </c>
      <c r="U59" s="57"/>
      <c r="V59" s="1352">
        <f>36.846*4/3-V74</f>
        <v>49.127999999999993</v>
      </c>
      <c r="X59" s="26"/>
      <c r="Z59" s="593">
        <f>54658000/1000000</f>
        <v>54.658000000000001</v>
      </c>
      <c r="AA59" s="235">
        <f>39428259.36/1000000</f>
        <v>39.428259359999998</v>
      </c>
      <c r="AB59" s="593">
        <f>56804000/1000000</f>
        <v>56.804000000000002</v>
      </c>
      <c r="AD59" s="593">
        <v>57.87</v>
      </c>
      <c r="AE59" s="57"/>
      <c r="AF59" s="593">
        <v>56.2</v>
      </c>
      <c r="AG59" s="7681">
        <f t="shared" si="0"/>
        <v>0.97114221531017808</v>
      </c>
      <c r="AI59" s="593">
        <v>55.42</v>
      </c>
      <c r="AJ59" s="57"/>
      <c r="AK59" s="593"/>
      <c r="AL59" s="1112">
        <f t="shared" si="2"/>
        <v>53.820701572490073</v>
      </c>
    </row>
    <row r="60" spans="1:38" x14ac:dyDescent="0.35">
      <c r="A60" s="9168"/>
      <c r="B60" s="240"/>
      <c r="C60" s="240" t="s">
        <v>4397</v>
      </c>
      <c r="D60" s="197"/>
      <c r="F60" s="5082"/>
      <c r="H60" s="117"/>
      <c r="I60" s="115"/>
      <c r="J60" s="64"/>
      <c r="L60" s="595"/>
      <c r="M60" s="614"/>
      <c r="O60" s="1172"/>
      <c r="P60" s="1174"/>
      <c r="Q60" s="57"/>
      <c r="R60" s="1171"/>
      <c r="T60" s="593"/>
      <c r="U60" s="57"/>
      <c r="V60" s="1352"/>
      <c r="X60" s="26"/>
      <c r="Z60" s="593"/>
      <c r="AA60" s="235"/>
      <c r="AB60" s="593"/>
      <c r="AD60" s="593"/>
      <c r="AE60" s="57"/>
      <c r="AF60" s="593"/>
      <c r="AG60" s="7681" t="str">
        <f t="shared" si="0"/>
        <v/>
      </c>
      <c r="AI60" s="593">
        <v>3.18</v>
      </c>
      <c r="AJ60" s="57"/>
      <c r="AK60" s="593"/>
      <c r="AL60" s="1112" t="str">
        <f t="shared" si="2"/>
        <v/>
      </c>
    </row>
    <row r="61" spans="1:38" x14ac:dyDescent="0.35">
      <c r="A61" s="9168"/>
      <c r="B61" s="240"/>
      <c r="C61" s="240" t="s">
        <v>4398</v>
      </c>
      <c r="D61" s="197"/>
      <c r="F61" s="5082"/>
      <c r="H61" s="117"/>
      <c r="I61" s="115"/>
      <c r="J61" s="64"/>
      <c r="L61" s="595"/>
      <c r="M61" s="614"/>
      <c r="O61" s="1172"/>
      <c r="P61" s="1174"/>
      <c r="Q61" s="57"/>
      <c r="R61" s="1171"/>
      <c r="T61" s="593"/>
      <c r="U61" s="57"/>
      <c r="V61" s="1352"/>
      <c r="X61" s="26"/>
      <c r="Z61" s="593"/>
      <c r="AA61" s="235"/>
      <c r="AB61" s="593"/>
      <c r="AD61" s="593"/>
      <c r="AE61" s="57"/>
      <c r="AF61" s="593"/>
      <c r="AG61" s="7681" t="str">
        <f t="shared" si="0"/>
        <v/>
      </c>
      <c r="AI61" s="593">
        <v>2.6</v>
      </c>
      <c r="AJ61" s="57"/>
      <c r="AK61" s="593"/>
      <c r="AL61" s="1112" t="str">
        <f t="shared" si="2"/>
        <v/>
      </c>
    </row>
    <row r="62" spans="1:38" x14ac:dyDescent="0.35">
      <c r="A62" s="9168"/>
      <c r="B62" s="240"/>
      <c r="C62" s="240"/>
      <c r="D62" s="197"/>
      <c r="F62" s="5082"/>
      <c r="H62" s="117"/>
      <c r="I62" s="115"/>
      <c r="J62" s="64"/>
      <c r="L62" s="595"/>
      <c r="M62" s="614"/>
      <c r="O62" s="1172"/>
      <c r="P62" s="1174"/>
      <c r="Q62" s="57"/>
      <c r="R62" s="1171"/>
      <c r="T62" s="593"/>
      <c r="U62" s="57"/>
      <c r="V62" s="1352"/>
      <c r="X62" s="26"/>
      <c r="Z62" s="593"/>
      <c r="AA62" s="235"/>
      <c r="AB62" s="593"/>
      <c r="AD62" s="593"/>
      <c r="AE62" s="57"/>
      <c r="AF62" s="593"/>
      <c r="AG62" s="7681" t="str">
        <f t="shared" si="0"/>
        <v/>
      </c>
      <c r="AI62" s="593"/>
      <c r="AJ62" s="57"/>
      <c r="AK62" s="593"/>
      <c r="AL62" s="1112" t="str">
        <f t="shared" si="2"/>
        <v/>
      </c>
    </row>
    <row r="63" spans="1:38" x14ac:dyDescent="0.35">
      <c r="A63" s="9168"/>
      <c r="B63" s="240"/>
      <c r="C63" s="240" t="s">
        <v>4399</v>
      </c>
      <c r="D63" s="197"/>
      <c r="F63" s="5082"/>
      <c r="H63" s="117"/>
      <c r="I63" s="115"/>
      <c r="J63" s="64"/>
      <c r="L63" s="595"/>
      <c r="M63" s="614"/>
      <c r="O63" s="1172"/>
      <c r="P63" s="1174"/>
      <c r="Q63" s="57"/>
      <c r="R63" s="1171"/>
      <c r="T63" s="593"/>
      <c r="U63" s="57"/>
      <c r="V63" s="1352"/>
      <c r="X63" s="26"/>
      <c r="Z63" s="593"/>
      <c r="AA63" s="235"/>
      <c r="AB63" s="593"/>
      <c r="AD63" s="593"/>
      <c r="AE63" s="57"/>
      <c r="AF63" s="593"/>
      <c r="AG63" s="7681" t="str">
        <f t="shared" si="0"/>
        <v/>
      </c>
      <c r="AI63" s="593">
        <v>80.523546999999994</v>
      </c>
      <c r="AJ63" s="57"/>
      <c r="AK63" s="593"/>
      <c r="AL63" s="1112" t="str">
        <f t="shared" si="2"/>
        <v/>
      </c>
    </row>
    <row r="64" spans="1:38" x14ac:dyDescent="0.35">
      <c r="A64" s="9168"/>
      <c r="B64" s="240"/>
      <c r="C64" s="240" t="s">
        <v>4400</v>
      </c>
      <c r="D64" s="197"/>
      <c r="F64" s="5082"/>
      <c r="H64" s="117"/>
      <c r="I64" s="115"/>
      <c r="J64" s="64"/>
      <c r="L64" s="595"/>
      <c r="M64" s="614"/>
      <c r="O64" s="1172"/>
      <c r="P64" s="1174"/>
      <c r="Q64" s="57"/>
      <c r="R64" s="1171"/>
      <c r="T64" s="593"/>
      <c r="U64" s="57"/>
      <c r="V64" s="1352"/>
      <c r="X64" s="26"/>
      <c r="Z64" s="593"/>
      <c r="AA64" s="235"/>
      <c r="AB64" s="593"/>
      <c r="AD64" s="593"/>
      <c r="AE64" s="57"/>
      <c r="AF64" s="593"/>
      <c r="AG64" s="7681" t="str">
        <f t="shared" si="0"/>
        <v/>
      </c>
      <c r="AI64" s="593">
        <v>58.782054000000002</v>
      </c>
      <c r="AJ64" s="57"/>
      <c r="AK64" s="593"/>
      <c r="AL64" s="1112" t="str">
        <f t="shared" si="2"/>
        <v/>
      </c>
    </row>
    <row r="65" spans="1:38" x14ac:dyDescent="0.35">
      <c r="A65" s="9168"/>
      <c r="B65" s="240"/>
      <c r="C65" s="240" t="s">
        <v>4401</v>
      </c>
      <c r="D65" s="197"/>
      <c r="F65" s="5082"/>
      <c r="H65" s="117"/>
      <c r="I65" s="115"/>
      <c r="J65" s="64"/>
      <c r="L65" s="595"/>
      <c r="M65" s="614"/>
      <c r="O65" s="1172"/>
      <c r="P65" s="1174"/>
      <c r="Q65" s="57"/>
      <c r="R65" s="1171"/>
      <c r="T65" s="593"/>
      <c r="U65" s="57"/>
      <c r="V65" s="1352"/>
      <c r="X65" s="26"/>
      <c r="Z65" s="593"/>
      <c r="AA65" s="235"/>
      <c r="AB65" s="593"/>
      <c r="AD65" s="593"/>
      <c r="AE65" s="57"/>
      <c r="AF65" s="593"/>
      <c r="AG65" s="7681" t="str">
        <f t="shared" si="0"/>
        <v/>
      </c>
      <c r="AI65" s="593">
        <v>45.364187000000001</v>
      </c>
      <c r="AJ65" s="57"/>
      <c r="AK65" s="593"/>
      <c r="AL65" s="1112" t="str">
        <f t="shared" si="2"/>
        <v/>
      </c>
    </row>
    <row r="66" spans="1:38" x14ac:dyDescent="0.35">
      <c r="A66" s="9168"/>
      <c r="B66" s="240"/>
      <c r="C66" s="240" t="s">
        <v>4402</v>
      </c>
      <c r="D66" s="197"/>
      <c r="F66" s="5082"/>
      <c r="H66" s="117"/>
      <c r="I66" s="115"/>
      <c r="J66" s="64"/>
      <c r="L66" s="595"/>
      <c r="M66" s="614"/>
      <c r="O66" s="1172"/>
      <c r="P66" s="1174"/>
      <c r="Q66" s="57"/>
      <c r="R66" s="1171"/>
      <c r="T66" s="593"/>
      <c r="U66" s="57"/>
      <c r="V66" s="1352"/>
      <c r="X66" s="26"/>
      <c r="Z66" s="593"/>
      <c r="AA66" s="235"/>
      <c r="AB66" s="593"/>
      <c r="AD66" s="593"/>
      <c r="AE66" s="57"/>
      <c r="AF66" s="593"/>
      <c r="AG66" s="7681" t="str">
        <f t="shared" si="0"/>
        <v/>
      </c>
      <c r="AI66" s="593">
        <v>23.956737</v>
      </c>
      <c r="AJ66" s="57"/>
      <c r="AK66" s="593"/>
      <c r="AL66" s="1112" t="str">
        <f t="shared" si="2"/>
        <v/>
      </c>
    </row>
    <row r="67" spans="1:38" x14ac:dyDescent="0.35">
      <c r="A67" s="9168"/>
      <c r="B67" s="240"/>
      <c r="C67" s="240"/>
      <c r="D67" s="197"/>
      <c r="F67" s="5082"/>
      <c r="H67" s="117"/>
      <c r="I67" s="115"/>
      <c r="J67" s="64"/>
      <c r="L67" s="595"/>
      <c r="M67" s="614"/>
      <c r="O67" s="1172"/>
      <c r="P67" s="1174"/>
      <c r="Q67" s="57"/>
      <c r="R67" s="1171"/>
      <c r="T67" s="593"/>
      <c r="U67" s="57"/>
      <c r="V67" s="1352"/>
      <c r="X67" s="26"/>
      <c r="Z67" s="593"/>
      <c r="AA67" s="235"/>
      <c r="AB67" s="593"/>
      <c r="AD67" s="593"/>
      <c r="AE67" s="57"/>
      <c r="AF67" s="593"/>
      <c r="AG67" s="7681" t="str">
        <f t="shared" si="0"/>
        <v/>
      </c>
      <c r="AI67" s="593"/>
      <c r="AJ67" s="57"/>
      <c r="AK67" s="593"/>
      <c r="AL67" s="1112" t="str">
        <f t="shared" si="2"/>
        <v/>
      </c>
    </row>
    <row r="68" spans="1:38" x14ac:dyDescent="0.35">
      <c r="A68" s="9168"/>
      <c r="B68" s="3322" t="s">
        <v>1116</v>
      </c>
      <c r="C68" s="240"/>
      <c r="D68" s="197"/>
      <c r="F68" s="155"/>
      <c r="H68" s="117"/>
      <c r="I68" s="115"/>
      <c r="J68" s="64">
        <f t="shared" si="4"/>
        <v>0</v>
      </c>
      <c r="L68" s="595"/>
      <c r="M68" s="614"/>
      <c r="O68" s="1172"/>
      <c r="P68" s="1174"/>
      <c r="Q68" s="57"/>
      <c r="R68" s="64"/>
      <c r="T68" s="593"/>
      <c r="U68" s="57"/>
      <c r="V68" s="1352"/>
      <c r="X68" s="26"/>
      <c r="Z68" s="593"/>
      <c r="AA68" s="235"/>
      <c r="AB68" s="593"/>
      <c r="AD68" s="593"/>
      <c r="AE68" s="57"/>
      <c r="AF68" s="593"/>
      <c r="AG68" s="7681" t="str">
        <f t="shared" si="0"/>
        <v/>
      </c>
      <c r="AI68" s="593"/>
      <c r="AJ68" s="57"/>
      <c r="AK68" s="593"/>
      <c r="AL68" s="1112" t="str">
        <f t="shared" si="2"/>
        <v/>
      </c>
    </row>
    <row r="69" spans="1:38" x14ac:dyDescent="0.35">
      <c r="A69" s="9168"/>
      <c r="B69" s="241"/>
      <c r="C69" s="240" t="s">
        <v>4390</v>
      </c>
      <c r="D69" s="197"/>
      <c r="F69" s="163"/>
      <c r="H69" s="242"/>
      <c r="I69" s="243"/>
      <c r="J69" s="64">
        <f t="shared" si="4"/>
        <v>0</v>
      </c>
      <c r="L69" s="242"/>
      <c r="M69" s="276"/>
      <c r="O69" s="1172"/>
      <c r="P69" s="1174">
        <v>0</v>
      </c>
      <c r="Q69" s="57"/>
      <c r="R69" s="64"/>
      <c r="T69" s="593"/>
      <c r="U69" s="57"/>
      <c r="V69" s="1352">
        <v>0</v>
      </c>
      <c r="X69" s="26"/>
      <c r="Z69" s="593">
        <v>0</v>
      </c>
      <c r="AA69" s="235">
        <v>0</v>
      </c>
      <c r="AB69" s="593">
        <v>0</v>
      </c>
      <c r="AD69" s="593">
        <v>0</v>
      </c>
      <c r="AE69" s="57"/>
      <c r="AF69" s="593">
        <v>0</v>
      </c>
      <c r="AG69" s="7681" t="str">
        <f t="shared" si="0"/>
        <v/>
      </c>
      <c r="AI69" s="593"/>
      <c r="AJ69" s="57"/>
      <c r="AK69" s="593"/>
      <c r="AL69" s="1112" t="str">
        <f t="shared" si="2"/>
        <v/>
      </c>
    </row>
    <row r="70" spans="1:38" x14ac:dyDescent="0.35">
      <c r="A70" s="9168"/>
      <c r="B70" s="241"/>
      <c r="C70" s="240" t="s">
        <v>4391</v>
      </c>
      <c r="D70" s="197"/>
      <c r="F70" s="163"/>
      <c r="H70" s="242"/>
      <c r="I70" s="243"/>
      <c r="J70" s="64">
        <f t="shared" si="4"/>
        <v>0</v>
      </c>
      <c r="L70" s="242"/>
      <c r="M70" s="276"/>
      <c r="O70" s="1172"/>
      <c r="P70" s="1174">
        <v>376.8</v>
      </c>
      <c r="Q70" s="57"/>
      <c r="R70" s="64"/>
      <c r="T70" s="593"/>
      <c r="U70" s="57"/>
      <c r="V70" s="1352">
        <f>313.62*4/3</f>
        <v>418.16</v>
      </c>
      <c r="X70" s="26"/>
      <c r="Z70" s="593"/>
      <c r="AA70" s="235">
        <f>377811774/1000000</f>
        <v>377.81177400000001</v>
      </c>
      <c r="AB70" s="593">
        <f>503749031/1000000</f>
        <v>503.749031</v>
      </c>
      <c r="AD70" s="593">
        <v>437.50861600000002</v>
      </c>
      <c r="AE70" s="57"/>
      <c r="AF70" s="593">
        <v>437.5</v>
      </c>
      <c r="AG70" s="7681">
        <f t="shared" si="0"/>
        <v>0.99998030667354898</v>
      </c>
      <c r="AI70" s="593"/>
      <c r="AJ70" s="57"/>
      <c r="AK70" s="593"/>
      <c r="AL70" s="1112">
        <f t="shared" si="2"/>
        <v>0</v>
      </c>
    </row>
    <row r="71" spans="1:38" x14ac:dyDescent="0.35">
      <c r="A71" s="9168"/>
      <c r="B71" s="241"/>
      <c r="C71" s="240" t="s">
        <v>4393</v>
      </c>
      <c r="D71" s="197"/>
      <c r="F71" s="163"/>
      <c r="H71" s="242"/>
      <c r="I71" s="243"/>
      <c r="J71" s="64"/>
      <c r="L71" s="242"/>
      <c r="M71" s="276"/>
      <c r="O71" s="1172"/>
      <c r="P71" s="1174">
        <v>0</v>
      </c>
      <c r="Q71" s="57"/>
      <c r="R71" s="64"/>
      <c r="T71" s="593"/>
      <c r="U71" s="57"/>
      <c r="V71" s="1352">
        <v>0</v>
      </c>
      <c r="X71" s="26"/>
      <c r="Z71" s="593">
        <v>0</v>
      </c>
      <c r="AA71" s="235">
        <v>0</v>
      </c>
      <c r="AB71" s="593">
        <v>0</v>
      </c>
      <c r="AD71" s="593">
        <v>0</v>
      </c>
      <c r="AE71" s="57"/>
      <c r="AF71" s="593">
        <v>0</v>
      </c>
      <c r="AG71" s="7681" t="str">
        <f t="shared" si="0"/>
        <v/>
      </c>
      <c r="AI71" s="593"/>
      <c r="AJ71" s="57"/>
      <c r="AK71" s="593"/>
      <c r="AL71" s="1112" t="str">
        <f t="shared" si="2"/>
        <v/>
      </c>
    </row>
    <row r="72" spans="1:38" x14ac:dyDescent="0.35">
      <c r="A72" s="9168"/>
      <c r="B72" s="241"/>
      <c r="C72" s="240" t="s">
        <v>4394</v>
      </c>
      <c r="D72" s="197"/>
      <c r="F72" s="163"/>
      <c r="H72" s="242"/>
      <c r="I72" s="243"/>
      <c r="J72" s="64"/>
      <c r="L72" s="242"/>
      <c r="M72" s="276"/>
      <c r="O72" s="1172"/>
      <c r="P72" s="1174">
        <v>0</v>
      </c>
      <c r="Q72" s="57"/>
      <c r="R72" s="64"/>
      <c r="T72" s="593"/>
      <c r="U72" s="57"/>
      <c r="V72" s="1352">
        <v>0</v>
      </c>
      <c r="X72" s="26"/>
      <c r="Z72" s="593">
        <v>0</v>
      </c>
      <c r="AA72" s="235">
        <v>0</v>
      </c>
      <c r="AB72" s="593">
        <v>0</v>
      </c>
      <c r="AD72" s="593">
        <v>0</v>
      </c>
      <c r="AE72" s="57"/>
      <c r="AF72" s="593">
        <v>0</v>
      </c>
      <c r="AG72" s="7681" t="str">
        <f t="shared" si="0"/>
        <v/>
      </c>
      <c r="AI72" s="593"/>
      <c r="AJ72" s="57"/>
      <c r="AK72" s="593"/>
      <c r="AL72" s="1112" t="str">
        <f t="shared" si="2"/>
        <v/>
      </c>
    </row>
    <row r="73" spans="1:38" x14ac:dyDescent="0.35">
      <c r="A73" s="9168"/>
      <c r="B73" s="241"/>
      <c r="C73" s="240" t="s">
        <v>4395</v>
      </c>
      <c r="D73" s="197"/>
      <c r="F73" s="163"/>
      <c r="H73" s="242"/>
      <c r="I73" s="243"/>
      <c r="J73" s="64"/>
      <c r="L73" s="242"/>
      <c r="M73" s="276"/>
      <c r="O73" s="1172"/>
      <c r="P73" s="1174">
        <v>90.1</v>
      </c>
      <c r="Q73" s="57"/>
      <c r="R73" s="64"/>
      <c r="T73" s="593"/>
      <c r="U73" s="57"/>
      <c r="V73" s="1352">
        <f>34.825*4/3</f>
        <v>46.433333333333337</v>
      </c>
      <c r="X73" s="26"/>
      <c r="Z73" s="593"/>
      <c r="AA73" s="5083">
        <f>16723834.36/1000000</f>
        <v>16.723834359999998</v>
      </c>
      <c r="AB73" s="593">
        <f>48343907.29/1000000</f>
        <v>48.343907289999997</v>
      </c>
      <c r="AD73" s="593">
        <v>34.511000000000003</v>
      </c>
      <c r="AE73" s="57"/>
      <c r="AF73" s="593">
        <v>34.5</v>
      </c>
      <c r="AG73" s="7681">
        <f t="shared" si="0"/>
        <v>0.99968126104720223</v>
      </c>
      <c r="AI73" s="593"/>
      <c r="AJ73" s="57"/>
      <c r="AK73" s="593"/>
      <c r="AL73" s="1112">
        <f t="shared" si="2"/>
        <v>0</v>
      </c>
    </row>
    <row r="74" spans="1:38" x14ac:dyDescent="0.35">
      <c r="A74" s="9168"/>
      <c r="B74" s="241"/>
      <c r="C74" s="240" t="s">
        <v>4396</v>
      </c>
      <c r="D74" s="197"/>
      <c r="F74" s="163"/>
      <c r="H74" s="242"/>
      <c r="I74" s="243"/>
      <c r="J74" s="64">
        <f>IF(H74=0,0,I74/H74)</f>
        <v>0</v>
      </c>
      <c r="L74" s="242"/>
      <c r="M74" s="276"/>
      <c r="O74" s="1172"/>
      <c r="P74" s="1174">
        <v>0</v>
      </c>
      <c r="Q74" s="57"/>
      <c r="R74" s="64"/>
      <c r="T74" s="1372"/>
      <c r="U74" s="106"/>
      <c r="V74" s="1352">
        <v>0</v>
      </c>
      <c r="X74" s="26"/>
      <c r="Z74" s="1372">
        <v>0</v>
      </c>
      <c r="AA74" s="106">
        <v>0</v>
      </c>
      <c r="AB74" s="1372">
        <v>0</v>
      </c>
      <c r="AD74" s="1372">
        <v>0</v>
      </c>
      <c r="AE74" s="106"/>
      <c r="AF74" s="1372">
        <v>0</v>
      </c>
      <c r="AG74" s="7681" t="str">
        <f t="shared" si="0"/>
        <v/>
      </c>
      <c r="AI74" s="1372"/>
      <c r="AJ74" s="106"/>
      <c r="AK74" s="1372"/>
      <c r="AL74" s="1112" t="str">
        <f t="shared" si="2"/>
        <v/>
      </c>
    </row>
    <row r="75" spans="1:38" x14ac:dyDescent="0.35">
      <c r="A75" s="9168"/>
      <c r="B75" s="241"/>
      <c r="C75" s="240" t="s">
        <v>4403</v>
      </c>
      <c r="D75" s="209"/>
      <c r="F75" s="130"/>
      <c r="H75" s="131"/>
      <c r="I75" s="243"/>
      <c r="J75" s="133">
        <f>IF(H75=0,0,I75/H75)</f>
        <v>0</v>
      </c>
      <c r="L75" s="242"/>
      <c r="M75" s="3264"/>
      <c r="O75" s="602"/>
      <c r="P75" s="603"/>
      <c r="Q75" s="216"/>
      <c r="R75" s="133"/>
      <c r="T75" s="242"/>
      <c r="U75" s="216"/>
      <c r="V75" s="157"/>
      <c r="X75" s="26"/>
      <c r="Z75" s="242"/>
      <c r="AA75" s="216"/>
      <c r="AB75" s="242"/>
      <c r="AD75" s="242"/>
      <c r="AE75" s="216"/>
      <c r="AF75" s="242"/>
      <c r="AG75" s="7681" t="str">
        <f t="shared" si="0"/>
        <v/>
      </c>
      <c r="AI75" s="242"/>
      <c r="AJ75" s="216"/>
      <c r="AK75" s="242"/>
      <c r="AL75" s="1112" t="str">
        <f t="shared" si="2"/>
        <v/>
      </c>
    </row>
    <row r="76" spans="1:38" x14ac:dyDescent="0.35">
      <c r="A76" s="9168"/>
      <c r="B76" s="271" t="s">
        <v>540</v>
      </c>
      <c r="C76" s="271"/>
      <c r="D76" s="184"/>
      <c r="E76" s="141"/>
      <c r="F76" s="227"/>
      <c r="G76" s="141"/>
      <c r="H76" s="245"/>
      <c r="I76" s="106"/>
      <c r="J76" s="267"/>
      <c r="K76" s="141"/>
      <c r="L76" s="102"/>
      <c r="M76" s="268"/>
      <c r="N76" s="141"/>
      <c r="O76" s="245"/>
      <c r="P76" s="106"/>
      <c r="Q76" s="106"/>
      <c r="R76" s="267"/>
      <c r="S76" s="141"/>
      <c r="T76" s="102"/>
      <c r="U76" s="106"/>
      <c r="V76" s="268"/>
      <c r="W76" s="141"/>
      <c r="X76" s="18"/>
      <c r="Z76" s="102"/>
      <c r="AA76" s="106"/>
      <c r="AB76" s="102"/>
      <c r="AD76" s="102"/>
      <c r="AE76" s="106"/>
      <c r="AF76" s="102"/>
      <c r="AG76" s="7681" t="str">
        <f t="shared" si="0"/>
        <v/>
      </c>
      <c r="AI76" s="102"/>
      <c r="AJ76" s="106"/>
      <c r="AK76" s="102"/>
      <c r="AL76" s="1112" t="str">
        <f t="shared" si="2"/>
        <v/>
      </c>
    </row>
    <row r="77" spans="1:38" x14ac:dyDescent="0.35">
      <c r="A77" s="9168"/>
      <c r="B77" s="240"/>
      <c r="C77" s="240" t="s">
        <v>532</v>
      </c>
      <c r="D77" s="197"/>
      <c r="F77" s="111"/>
      <c r="H77" s="112"/>
      <c r="I77" s="113"/>
      <c r="J77" s="64">
        <f>IF(H77=0,0,I77/H77)</f>
        <v>0</v>
      </c>
      <c r="L77" s="112"/>
      <c r="M77" s="1034"/>
      <c r="O77" s="112"/>
      <c r="P77" s="233"/>
      <c r="Q77" s="106"/>
      <c r="R77" s="64">
        <f t="shared" ref="R77:R84" si="6">IF(O77=0,0,P77/O77)</f>
        <v>0</v>
      </c>
      <c r="T77" s="112"/>
      <c r="U77" s="106"/>
      <c r="V77" s="157"/>
      <c r="X77" s="26"/>
      <c r="Z77" s="112"/>
      <c r="AA77" s="106"/>
      <c r="AB77" s="112"/>
      <c r="AD77" s="112"/>
      <c r="AE77" s="106"/>
      <c r="AF77" s="112"/>
      <c r="AG77" s="7681" t="str">
        <f t="shared" ref="AG77:AG123" si="7">IFERROR(AF77/AD77, "")</f>
        <v/>
      </c>
      <c r="AI77" s="112"/>
      <c r="AJ77" s="106"/>
      <c r="AK77" s="112"/>
      <c r="AL77" s="1112" t="str">
        <f t="shared" si="2"/>
        <v/>
      </c>
    </row>
    <row r="78" spans="1:38" x14ac:dyDescent="0.35">
      <c r="A78" s="9168"/>
      <c r="B78" s="240"/>
      <c r="C78" s="240" t="s">
        <v>533</v>
      </c>
      <c r="D78" s="197"/>
      <c r="F78" s="155"/>
      <c r="H78" s="117"/>
      <c r="I78" s="115"/>
      <c r="J78" s="64">
        <f>IF(H78=0,0,I78/H78)</f>
        <v>0</v>
      </c>
      <c r="L78" s="117"/>
      <c r="M78" s="273"/>
      <c r="O78" s="112"/>
      <c r="P78" s="201"/>
      <c r="Q78" s="106"/>
      <c r="R78" s="64">
        <f t="shared" si="6"/>
        <v>0</v>
      </c>
      <c r="T78" s="117"/>
      <c r="U78" s="106"/>
      <c r="V78" s="157"/>
      <c r="X78" s="26"/>
      <c r="Z78" s="117"/>
      <c r="AA78" s="106"/>
      <c r="AB78" s="117"/>
      <c r="AD78" s="117"/>
      <c r="AE78" s="106"/>
      <c r="AF78" s="117"/>
      <c r="AG78" s="7681" t="str">
        <f t="shared" si="7"/>
        <v/>
      </c>
      <c r="AI78" s="117"/>
      <c r="AJ78" s="106"/>
      <c r="AK78" s="117"/>
      <c r="AL78" s="1112" t="str">
        <f t="shared" si="2"/>
        <v/>
      </c>
    </row>
    <row r="79" spans="1:38" x14ac:dyDescent="0.35">
      <c r="A79" s="9168"/>
      <c r="B79" s="240"/>
      <c r="C79" s="240" t="s">
        <v>534</v>
      </c>
      <c r="D79" s="197"/>
      <c r="F79" s="163"/>
      <c r="H79" s="242"/>
      <c r="I79" s="243"/>
      <c r="J79" s="64">
        <f>IF(H79=0,0,I79/H79)</f>
        <v>0</v>
      </c>
      <c r="L79" s="242"/>
      <c r="M79" s="1034"/>
      <c r="O79" s="112"/>
      <c r="P79" s="233"/>
      <c r="Q79" s="106"/>
      <c r="R79" s="64">
        <f t="shared" si="6"/>
        <v>0</v>
      </c>
      <c r="T79" s="242"/>
      <c r="U79" s="106"/>
      <c r="V79" s="157"/>
      <c r="X79" s="26"/>
      <c r="Z79" s="242"/>
      <c r="AA79" s="106"/>
      <c r="AB79" s="242"/>
      <c r="AD79" s="242"/>
      <c r="AE79" s="106"/>
      <c r="AF79" s="242"/>
      <c r="AG79" s="7681" t="str">
        <f t="shared" si="7"/>
        <v/>
      </c>
      <c r="AI79" s="242"/>
      <c r="AJ79" s="106"/>
      <c r="AK79" s="242"/>
      <c r="AL79" s="1112" t="str">
        <f t="shared" si="2"/>
        <v/>
      </c>
    </row>
    <row r="80" spans="1:38" x14ac:dyDescent="0.35">
      <c r="A80" s="9168"/>
      <c r="B80" s="240"/>
      <c r="C80" s="240" t="s">
        <v>536</v>
      </c>
      <c r="D80" s="197"/>
      <c r="F80" s="163"/>
      <c r="H80" s="242"/>
      <c r="I80" s="243"/>
      <c r="J80" s="64">
        <f>IF(H80=0,0,I80/H80)</f>
        <v>0</v>
      </c>
      <c r="L80" s="242"/>
      <c r="M80" s="273"/>
      <c r="O80" s="112"/>
      <c r="P80" s="201"/>
      <c r="Q80" s="57"/>
      <c r="R80" s="64">
        <f t="shared" si="6"/>
        <v>0</v>
      </c>
      <c r="T80" s="242"/>
      <c r="U80" s="57"/>
      <c r="V80" s="157"/>
      <c r="X80" s="26"/>
      <c r="Z80" s="242"/>
      <c r="AA80" s="57"/>
      <c r="AB80" s="242"/>
      <c r="AD80" s="242"/>
      <c r="AE80" s="57"/>
      <c r="AF80" s="242"/>
      <c r="AG80" s="7681" t="str">
        <f t="shared" si="7"/>
        <v/>
      </c>
      <c r="AI80" s="242"/>
      <c r="AJ80" s="57"/>
      <c r="AK80" s="242"/>
      <c r="AL80" s="1112" t="str">
        <f t="shared" ref="AL80:AL123" si="8">IFERROR(AI80*AG80,"")</f>
        <v/>
      </c>
    </row>
    <row r="81" spans="1:38" x14ac:dyDescent="0.35">
      <c r="A81" s="9168"/>
      <c r="B81" s="240"/>
      <c r="C81" s="240" t="s">
        <v>537</v>
      </c>
      <c r="D81" s="197"/>
      <c r="F81" s="163"/>
      <c r="H81" s="242"/>
      <c r="I81" s="243"/>
      <c r="J81" s="64">
        <f>IF(H81=0,0,I81/H81)</f>
        <v>0</v>
      </c>
      <c r="L81" s="242"/>
      <c r="M81" s="1034"/>
      <c r="O81" s="112"/>
      <c r="P81" s="233"/>
      <c r="Q81" s="57"/>
      <c r="R81" s="64">
        <f t="shared" si="6"/>
        <v>0</v>
      </c>
      <c r="T81" s="242"/>
      <c r="U81" s="57"/>
      <c r="V81" s="157"/>
      <c r="X81" s="26"/>
      <c r="Z81" s="242"/>
      <c r="AA81" s="57"/>
      <c r="AB81" s="242"/>
      <c r="AD81" s="242"/>
      <c r="AE81" s="57"/>
      <c r="AF81" s="242"/>
      <c r="AG81" s="7681" t="str">
        <f t="shared" si="7"/>
        <v/>
      </c>
      <c r="AI81" s="242"/>
      <c r="AJ81" s="57"/>
      <c r="AK81" s="242"/>
      <c r="AL81" s="1112" t="str">
        <f t="shared" si="8"/>
        <v/>
      </c>
    </row>
    <row r="82" spans="1:38" x14ac:dyDescent="0.35">
      <c r="A82" s="9168"/>
      <c r="B82" s="240"/>
      <c r="C82" s="240" t="s">
        <v>538</v>
      </c>
      <c r="D82" s="197"/>
      <c r="F82" s="163"/>
      <c r="H82" s="242"/>
      <c r="I82" s="243"/>
      <c r="J82" s="64"/>
      <c r="L82" s="242"/>
      <c r="M82" s="273"/>
      <c r="O82" s="242"/>
      <c r="P82" s="201"/>
      <c r="Q82" s="106"/>
      <c r="R82" s="64">
        <f t="shared" si="6"/>
        <v>0</v>
      </c>
      <c r="T82" s="242"/>
      <c r="U82" s="106"/>
      <c r="V82" s="157"/>
      <c r="X82" s="26"/>
      <c r="Z82" s="242"/>
      <c r="AA82" s="106"/>
      <c r="AB82" s="242"/>
      <c r="AD82" s="242"/>
      <c r="AE82" s="106"/>
      <c r="AF82" s="242"/>
      <c r="AG82" s="7681" t="str">
        <f t="shared" si="7"/>
        <v/>
      </c>
      <c r="AI82" s="242"/>
      <c r="AJ82" s="106"/>
      <c r="AK82" s="242"/>
      <c r="AL82" s="1112" t="str">
        <f t="shared" si="8"/>
        <v/>
      </c>
    </row>
    <row r="83" spans="1:38" x14ac:dyDescent="0.35">
      <c r="A83" s="9168"/>
      <c r="B83" s="240"/>
      <c r="C83" s="240" t="s">
        <v>539</v>
      </c>
      <c r="D83" s="197"/>
      <c r="F83" s="163"/>
      <c r="H83" s="242"/>
      <c r="I83" s="243"/>
      <c r="J83" s="64">
        <f>IF(H83=0,0,I83/H83)</f>
        <v>0</v>
      </c>
      <c r="L83" s="242"/>
      <c r="M83" s="273"/>
      <c r="O83" s="242"/>
      <c r="P83" s="201"/>
      <c r="Q83" s="106"/>
      <c r="R83" s="64">
        <f t="shared" si="6"/>
        <v>0</v>
      </c>
      <c r="T83" s="242"/>
      <c r="U83" s="106"/>
      <c r="V83" s="157"/>
      <c r="X83" s="26"/>
      <c r="Z83" s="242"/>
      <c r="AA83" s="106"/>
      <c r="AB83" s="242"/>
      <c r="AD83" s="242"/>
      <c r="AE83" s="106"/>
      <c r="AF83" s="242"/>
      <c r="AG83" s="7681" t="str">
        <f t="shared" si="7"/>
        <v/>
      </c>
      <c r="AI83" s="242"/>
      <c r="AJ83" s="106"/>
      <c r="AK83" s="242"/>
      <c r="AL83" s="1112" t="str">
        <f t="shared" si="8"/>
        <v/>
      </c>
    </row>
    <row r="84" spans="1:38" x14ac:dyDescent="0.35">
      <c r="A84" s="9168"/>
      <c r="B84" s="250"/>
      <c r="C84" s="250" t="s">
        <v>704</v>
      </c>
      <c r="D84" s="209"/>
      <c r="F84" s="130"/>
      <c r="H84" s="242"/>
      <c r="I84" s="243"/>
      <c r="J84" s="64">
        <f>IF(H84=0,0,I84/H84)</f>
        <v>0</v>
      </c>
      <c r="L84" s="242"/>
      <c r="M84" s="273"/>
      <c r="O84" s="242"/>
      <c r="P84" s="201"/>
      <c r="Q84" s="216"/>
      <c r="R84" s="64">
        <f t="shared" si="6"/>
        <v>0</v>
      </c>
      <c r="T84" s="242"/>
      <c r="U84" s="216"/>
      <c r="V84" s="157"/>
      <c r="X84" s="24"/>
      <c r="Z84" s="242"/>
      <c r="AA84" s="216"/>
      <c r="AB84" s="242"/>
      <c r="AD84" s="242"/>
      <c r="AE84" s="216"/>
      <c r="AF84" s="242"/>
      <c r="AG84" s="7681" t="str">
        <f t="shared" si="7"/>
        <v/>
      </c>
      <c r="AI84" s="242"/>
      <c r="AJ84" s="216"/>
      <c r="AK84" s="242"/>
      <c r="AL84" s="1112" t="str">
        <f t="shared" si="8"/>
        <v/>
      </c>
    </row>
    <row r="85" spans="1:38" x14ac:dyDescent="0.35">
      <c r="A85" s="9168"/>
      <c r="B85" s="271" t="s">
        <v>552</v>
      </c>
      <c r="C85" s="271"/>
      <c r="D85" s="184"/>
      <c r="E85" s="143"/>
      <c r="F85" s="227"/>
      <c r="G85" s="143"/>
      <c r="H85" s="102"/>
      <c r="I85" s="103"/>
      <c r="J85" s="228"/>
      <c r="K85" s="143"/>
      <c r="L85" s="102"/>
      <c r="M85" s="105"/>
      <c r="N85" s="143"/>
      <c r="O85" s="102"/>
      <c r="P85" s="103"/>
      <c r="Q85" s="106"/>
      <c r="R85" s="228"/>
      <c r="S85" s="143"/>
      <c r="T85" s="102"/>
      <c r="U85" s="106"/>
      <c r="V85" s="268"/>
      <c r="W85" s="143"/>
      <c r="X85" s="18"/>
      <c r="Z85" s="102"/>
      <c r="AA85" s="106"/>
      <c r="AB85" s="102"/>
      <c r="AD85" s="102"/>
      <c r="AE85" s="106"/>
      <c r="AF85" s="102"/>
      <c r="AG85" s="7681" t="str">
        <f t="shared" si="7"/>
        <v/>
      </c>
      <c r="AI85" s="102"/>
      <c r="AJ85" s="106"/>
      <c r="AK85" s="102"/>
      <c r="AL85" s="1112" t="str">
        <f t="shared" si="8"/>
        <v/>
      </c>
    </row>
    <row r="86" spans="1:38" x14ac:dyDescent="0.35">
      <c r="A86" s="9168"/>
      <c r="B86" s="272"/>
      <c r="C86" s="272" t="s">
        <v>980</v>
      </c>
      <c r="D86" s="197"/>
      <c r="F86" s="155"/>
      <c r="H86" s="117"/>
      <c r="I86" s="115"/>
      <c r="J86" s="64">
        <f>IF(H86=0,0,I86/H86)</f>
        <v>0</v>
      </c>
      <c r="L86" s="117"/>
      <c r="M86" s="273"/>
      <c r="O86" s="117"/>
      <c r="P86" s="201"/>
      <c r="Q86" s="106"/>
      <c r="R86" s="1003" t="e">
        <f>(P87+P88)/O86</f>
        <v>#DIV/0!</v>
      </c>
      <c r="T86" s="117"/>
      <c r="V86" s="157"/>
      <c r="X86" s="26"/>
      <c r="Z86" s="117"/>
      <c r="AB86" s="117"/>
      <c r="AD86" s="117"/>
      <c r="AF86" s="117"/>
      <c r="AG86" s="7681" t="str">
        <f t="shared" si="7"/>
        <v/>
      </c>
      <c r="AI86" s="117">
        <v>16.233333999999999</v>
      </c>
      <c r="AK86" s="117"/>
      <c r="AL86" s="1112" t="str">
        <f t="shared" si="8"/>
        <v/>
      </c>
    </row>
    <row r="87" spans="1:38" x14ac:dyDescent="0.35">
      <c r="A87" s="9168"/>
      <c r="B87" s="274"/>
      <c r="C87" s="275" t="s">
        <v>11</v>
      </c>
      <c r="D87" s="197"/>
      <c r="F87" s="163"/>
      <c r="H87" s="242"/>
      <c r="I87" s="243"/>
      <c r="J87" s="64"/>
      <c r="L87" s="242"/>
      <c r="M87" s="273"/>
      <c r="O87" s="117"/>
      <c r="P87" s="201"/>
      <c r="Q87" s="106"/>
      <c r="R87" s="64"/>
      <c r="T87" s="117"/>
      <c r="U87" s="106"/>
      <c r="V87" s="157"/>
      <c r="X87" s="26"/>
      <c r="Z87" s="117"/>
      <c r="AA87" s="106"/>
      <c r="AB87" s="117"/>
      <c r="AD87" s="117"/>
      <c r="AE87" s="106"/>
      <c r="AF87" s="117"/>
      <c r="AG87" s="7681" t="str">
        <f t="shared" si="7"/>
        <v/>
      </c>
      <c r="AI87" s="117">
        <v>1.4</v>
      </c>
      <c r="AJ87" s="106"/>
      <c r="AK87" s="117"/>
      <c r="AL87" s="1112" t="str">
        <f t="shared" si="8"/>
        <v/>
      </c>
    </row>
    <row r="88" spans="1:38" x14ac:dyDescent="0.35">
      <c r="A88" s="9168"/>
      <c r="B88" s="274"/>
      <c r="C88" s="275" t="s">
        <v>1116</v>
      </c>
      <c r="D88" s="197"/>
      <c r="F88" s="163"/>
      <c r="H88" s="242"/>
      <c r="I88" s="243"/>
      <c r="J88" s="64"/>
      <c r="L88" s="242"/>
      <c r="M88" s="273"/>
      <c r="O88" s="242"/>
      <c r="P88" s="201"/>
      <c r="Q88" s="106"/>
      <c r="R88" s="64"/>
      <c r="T88" s="242"/>
      <c r="U88" s="106"/>
      <c r="V88" s="157"/>
      <c r="X88" s="26"/>
      <c r="Z88" s="242"/>
      <c r="AA88" s="106"/>
      <c r="AB88" s="242"/>
      <c r="AD88" s="242"/>
      <c r="AE88" s="106"/>
      <c r="AF88" s="242"/>
      <c r="AG88" s="7681" t="str">
        <f t="shared" si="7"/>
        <v/>
      </c>
      <c r="AI88" s="242"/>
      <c r="AJ88" s="106"/>
      <c r="AK88" s="242"/>
      <c r="AL88" s="1112" t="str">
        <f t="shared" si="8"/>
        <v/>
      </c>
    </row>
    <row r="89" spans="1:38" x14ac:dyDescent="0.35">
      <c r="A89" s="9168"/>
      <c r="B89" s="277"/>
      <c r="C89" s="277" t="s">
        <v>555</v>
      </c>
      <c r="D89" s="209"/>
      <c r="F89" s="665"/>
      <c r="G89" s="666"/>
      <c r="H89" s="283"/>
      <c r="I89" s="667"/>
      <c r="J89" s="133"/>
      <c r="L89" s="283"/>
      <c r="M89" s="5084"/>
      <c r="O89" s="283"/>
      <c r="P89" s="3393"/>
      <c r="Q89" s="284"/>
      <c r="R89" s="64"/>
      <c r="T89" s="283"/>
      <c r="U89" s="284"/>
      <c r="V89" s="668"/>
      <c r="X89" s="24"/>
      <c r="Z89" s="283"/>
      <c r="AA89" s="284"/>
      <c r="AB89" s="283"/>
      <c r="AD89" s="283"/>
      <c r="AE89" s="284"/>
      <c r="AF89" s="283"/>
      <c r="AG89" s="7681" t="str">
        <f t="shared" si="7"/>
        <v/>
      </c>
      <c r="AI89" s="283"/>
      <c r="AJ89" s="3329"/>
      <c r="AK89" s="283"/>
      <c r="AL89" s="1112" t="str">
        <f t="shared" si="8"/>
        <v/>
      </c>
    </row>
    <row r="90" spans="1:38" ht="15.25" customHeight="1" x14ac:dyDescent="0.35">
      <c r="A90" s="9168"/>
      <c r="B90" s="287" t="s">
        <v>556</v>
      </c>
      <c r="C90" s="288"/>
      <c r="D90" s="184"/>
      <c r="E90" s="143"/>
      <c r="F90" s="289"/>
      <c r="G90" s="290"/>
      <c r="H90" s="291"/>
      <c r="I90" s="292"/>
      <c r="J90" s="293"/>
      <c r="L90" s="291"/>
      <c r="M90" s="294"/>
      <c r="N90" s="143"/>
      <c r="O90" s="291"/>
      <c r="P90" s="292"/>
      <c r="Q90" s="313" t="s">
        <v>4404</v>
      </c>
      <c r="R90" s="293"/>
      <c r="T90" s="1388"/>
      <c r="U90" s="106"/>
      <c r="V90" s="3330"/>
      <c r="W90" s="143"/>
      <c r="X90" s="18"/>
      <c r="Z90" s="1388"/>
      <c r="AA90" s="106" t="s">
        <v>4405</v>
      </c>
      <c r="AB90" s="1388" t="s">
        <v>4405</v>
      </c>
      <c r="AD90" s="1388"/>
      <c r="AE90" s="106"/>
      <c r="AF90" s="1388" t="s">
        <v>4406</v>
      </c>
      <c r="AG90" s="7681" t="str">
        <f t="shared" si="7"/>
        <v/>
      </c>
      <c r="AI90" s="1388"/>
      <c r="AJ90" s="106"/>
      <c r="AK90" s="1388"/>
      <c r="AL90" s="1112" t="str">
        <f t="shared" si="8"/>
        <v/>
      </c>
    </row>
    <row r="91" spans="1:38" x14ac:dyDescent="0.35">
      <c r="A91" s="9168"/>
      <c r="B91" s="302"/>
      <c r="C91" s="587" t="s">
        <v>4177</v>
      </c>
      <c r="D91" s="197"/>
      <c r="F91" s="521"/>
      <c r="G91" s="272"/>
      <c r="H91" s="304"/>
      <c r="I91" s="522"/>
      <c r="J91" s="297">
        <f>IF(H91=0,0,I91/H91)</f>
        <v>0</v>
      </c>
      <c r="L91" s="304"/>
      <c r="M91" s="5085"/>
      <c r="O91" s="1991"/>
      <c r="P91" s="1992">
        <v>206.39699999999999</v>
      </c>
      <c r="Q91" s="57" t="s">
        <v>4407</v>
      </c>
      <c r="R91" s="297" t="e">
        <f>(P92+P93)/O91</f>
        <v>#DIV/0!</v>
      </c>
      <c r="T91" s="304"/>
      <c r="U91" s="332"/>
      <c r="V91" s="1352">
        <f>55.829*4/3</f>
        <v>74.438666666666663</v>
      </c>
      <c r="X91" s="26"/>
      <c r="Z91" s="304"/>
      <c r="AA91" s="645">
        <f>72623697.55/1000000</f>
        <v>72.623697550000003</v>
      </c>
      <c r="AB91" s="304">
        <f>421589105.64/1000000</f>
        <v>421.58910564000001</v>
      </c>
      <c r="AD91" s="304">
        <f>660.211364+325.629834</f>
        <v>985.84119800000008</v>
      </c>
      <c r="AE91" s="332" t="s">
        <v>4408</v>
      </c>
      <c r="AF91" s="304">
        <v>244.63900000000001</v>
      </c>
      <c r="AG91" s="7681">
        <f t="shared" si="7"/>
        <v>0.24815254271814272</v>
      </c>
      <c r="AI91" s="304"/>
      <c r="AJ91" s="332"/>
      <c r="AK91" s="304"/>
      <c r="AL91" s="1112">
        <f t="shared" si="8"/>
        <v>0</v>
      </c>
    </row>
    <row r="92" spans="1:38" ht="18.75" customHeight="1" x14ac:dyDescent="0.35">
      <c r="A92" s="9168"/>
      <c r="B92" s="302"/>
      <c r="C92" s="587" t="s">
        <v>4182</v>
      </c>
      <c r="D92" s="197"/>
      <c r="F92" s="61"/>
      <c r="G92" s="272"/>
      <c r="H92" s="62"/>
      <c r="I92" s="63"/>
      <c r="J92" s="297">
        <f>IF(H92=0,0,I92/H92)</f>
        <v>0</v>
      </c>
      <c r="L92" s="62"/>
      <c r="M92" s="5086"/>
      <c r="O92" s="62"/>
      <c r="P92" s="1992">
        <v>0.13300000000000001</v>
      </c>
      <c r="Q92" s="57"/>
      <c r="R92" s="297"/>
      <c r="T92" s="1092"/>
      <c r="U92" s="106"/>
      <c r="V92" s="1352">
        <f>7.464*4/3</f>
        <v>9.952</v>
      </c>
      <c r="X92" s="26"/>
      <c r="Z92" s="1092"/>
      <c r="AA92" s="645">
        <f>11007850.26/1000000</f>
        <v>11.00785026</v>
      </c>
      <c r="AB92" s="1092">
        <f>35913843.17/1000000</f>
        <v>35.91384317</v>
      </c>
      <c r="AD92" s="1092">
        <v>412.30099999999999</v>
      </c>
      <c r="AE92" s="332" t="s">
        <v>4408</v>
      </c>
      <c r="AF92" s="1092">
        <f>18.971+235.003+94.581</f>
        <v>348.55500000000001</v>
      </c>
      <c r="AG92" s="7681">
        <f t="shared" si="7"/>
        <v>0.84538965464551385</v>
      </c>
      <c r="AI92" s="1092"/>
      <c r="AJ92" s="332"/>
      <c r="AK92" s="1092"/>
      <c r="AL92" s="1112">
        <f t="shared" si="8"/>
        <v>0</v>
      </c>
    </row>
    <row r="93" spans="1:38" x14ac:dyDescent="0.35">
      <c r="A93" s="9168"/>
      <c r="B93" s="305"/>
      <c r="C93" s="59" t="s">
        <v>534</v>
      </c>
      <c r="D93" s="197"/>
      <c r="F93" s="61"/>
      <c r="G93" s="272"/>
      <c r="H93" s="62"/>
      <c r="I93" s="63"/>
      <c r="J93" s="297">
        <f>IF(H93=0,0,I93/H93)</f>
        <v>0</v>
      </c>
      <c r="L93" s="62"/>
      <c r="M93" s="5086"/>
      <c r="O93" s="62"/>
      <c r="P93" s="303"/>
      <c r="Q93" s="57"/>
      <c r="R93" s="297"/>
      <c r="T93" s="1092"/>
      <c r="U93" s="106"/>
      <c r="V93" s="157"/>
      <c r="X93" s="26"/>
      <c r="Z93" s="1092"/>
      <c r="AA93" s="106" t="s">
        <v>1099</v>
      </c>
      <c r="AB93" s="1092"/>
      <c r="AD93" s="1092"/>
      <c r="AE93" s="106"/>
      <c r="AF93" s="1092"/>
      <c r="AG93" s="7681" t="str">
        <f t="shared" si="7"/>
        <v/>
      </c>
      <c r="AI93" s="1092"/>
      <c r="AJ93" s="106"/>
      <c r="AK93" s="1092"/>
      <c r="AL93" s="1112" t="str">
        <f t="shared" si="8"/>
        <v/>
      </c>
    </row>
    <row r="94" spans="1:38" x14ac:dyDescent="0.35">
      <c r="A94" s="9169"/>
      <c r="B94" s="306"/>
      <c r="C94" s="86" t="s">
        <v>536</v>
      </c>
      <c r="D94" s="209"/>
      <c r="F94" s="88"/>
      <c r="G94" s="274"/>
      <c r="H94" s="89"/>
      <c r="I94" s="90"/>
      <c r="J94" s="307">
        <f>IF(H94=0,0,I94/H94)</f>
        <v>0</v>
      </c>
      <c r="L94" s="89"/>
      <c r="M94" s="1002"/>
      <c r="O94" s="89"/>
      <c r="P94" s="308"/>
      <c r="Q94" s="216"/>
      <c r="R94" s="307"/>
      <c r="T94" s="89"/>
      <c r="U94" s="216"/>
      <c r="V94" s="213"/>
      <c r="X94" s="24"/>
      <c r="Z94" s="89"/>
      <c r="AA94" s="216"/>
      <c r="AB94" s="89"/>
      <c r="AD94" s="89"/>
      <c r="AE94" s="216"/>
      <c r="AF94" s="89"/>
      <c r="AG94" s="7681" t="str">
        <f t="shared" si="7"/>
        <v/>
      </c>
      <c r="AI94" s="89"/>
      <c r="AJ94" s="216"/>
      <c r="AK94" s="89"/>
      <c r="AL94" s="1112" t="str">
        <f t="shared" si="8"/>
        <v/>
      </c>
    </row>
    <row r="95" spans="1:38" x14ac:dyDescent="0.35">
      <c r="A95" s="310"/>
      <c r="B95" s="310"/>
      <c r="F95" s="106"/>
      <c r="H95" s="106"/>
      <c r="I95" s="106"/>
      <c r="J95" s="311"/>
      <c r="L95" s="106"/>
      <c r="M95" s="312"/>
      <c r="O95" s="106"/>
      <c r="P95" s="106"/>
      <c r="Q95" s="106"/>
      <c r="R95" s="311"/>
      <c r="T95" s="106"/>
      <c r="U95" s="106"/>
      <c r="V95" s="312"/>
      <c r="Z95" s="106"/>
      <c r="AA95" s="106" t="s">
        <v>4409</v>
      </c>
      <c r="AB95" s="106" t="s">
        <v>4409</v>
      </c>
      <c r="AD95" s="106"/>
      <c r="AE95" s="106"/>
      <c r="AF95" s="106" t="s">
        <v>4409</v>
      </c>
      <c r="AG95" s="7681" t="str">
        <f t="shared" si="7"/>
        <v/>
      </c>
      <c r="AI95" s="106"/>
      <c r="AJ95" s="106"/>
      <c r="AK95" s="106" t="s">
        <v>4409</v>
      </c>
      <c r="AL95" s="1112" t="str">
        <f t="shared" si="8"/>
        <v/>
      </c>
    </row>
    <row r="96" spans="1:38" x14ac:dyDescent="0.35">
      <c r="A96" s="9226" t="s">
        <v>1114</v>
      </c>
      <c r="B96" s="317"/>
      <c r="C96" s="315"/>
      <c r="D96" s="184"/>
      <c r="F96" s="316"/>
      <c r="H96" s="317"/>
      <c r="I96" s="318"/>
      <c r="J96" s="319"/>
      <c r="L96" s="317"/>
      <c r="M96" s="318"/>
      <c r="O96" s="320"/>
      <c r="P96" s="321"/>
      <c r="Q96" s="481" t="s">
        <v>4409</v>
      </c>
      <c r="R96" s="293"/>
      <c r="T96" s="317"/>
      <c r="U96" s="481" t="s">
        <v>4409</v>
      </c>
      <c r="V96" s="323"/>
      <c r="Z96" s="317">
        <f>8336162574.2/1000000</f>
        <v>8336.1625741999997</v>
      </c>
      <c r="AA96" s="481">
        <f>AA97+AA98</f>
        <v>5698.8427401500003</v>
      </c>
      <c r="AB96" s="317"/>
      <c r="AD96" s="317"/>
      <c r="AE96" s="481"/>
      <c r="AF96" s="317"/>
      <c r="AG96" s="7681" t="str">
        <f t="shared" si="7"/>
        <v/>
      </c>
      <c r="AI96" s="1388"/>
      <c r="AJ96" s="481"/>
      <c r="AK96" s="1388"/>
      <c r="AL96" s="1112" t="str">
        <f t="shared" si="8"/>
        <v/>
      </c>
    </row>
    <row r="97" spans="1:38" x14ac:dyDescent="0.35">
      <c r="A97" s="9227"/>
      <c r="B97" s="325"/>
      <c r="C97" s="326" t="s">
        <v>11</v>
      </c>
      <c r="D97" s="197"/>
      <c r="F97" s="327"/>
      <c r="H97" s="325"/>
      <c r="I97" s="328"/>
      <c r="J97" s="329"/>
      <c r="L97" s="325"/>
      <c r="M97" s="328"/>
      <c r="O97" s="339">
        <v>6742.7960000000003</v>
      </c>
      <c r="P97" s="340">
        <v>6363.5280000000002</v>
      </c>
      <c r="Q97" s="57" t="s">
        <v>4410</v>
      </c>
      <c r="R97" s="3989">
        <f>R35</f>
        <v>0</v>
      </c>
      <c r="T97" s="339">
        <v>7492.3940000000002</v>
      </c>
      <c r="U97" s="57" t="s">
        <v>4411</v>
      </c>
      <c r="V97" s="1199">
        <f>5181.454*4/3</f>
        <v>6908.605333333333</v>
      </c>
      <c r="Z97" s="339">
        <f>AA97/AA96*Z96</f>
        <v>8077.5492128928854</v>
      </c>
      <c r="AA97" s="235">
        <f>5522047138.64/1000000</f>
        <v>5522.0471386400004</v>
      </c>
      <c r="AB97" s="339">
        <f>(520039994.59+7771295734.46)/1000000</f>
        <v>8291.3357290500007</v>
      </c>
      <c r="AD97" s="339">
        <f>763.153498+8496.158202</f>
        <v>9259.3117000000002</v>
      </c>
      <c r="AE97" s="57" t="s">
        <v>4412</v>
      </c>
      <c r="AF97" s="339">
        <v>8684.0060000000012</v>
      </c>
      <c r="AG97" s="7681">
        <f t="shared" si="7"/>
        <v>0.93786733629455432</v>
      </c>
      <c r="AI97" s="339">
        <f>AI36+AI39-AI98</f>
        <v>9265.2880700000005</v>
      </c>
      <c r="AJ97" s="57" t="s">
        <v>4413</v>
      </c>
      <c r="AK97" s="339"/>
      <c r="AL97" s="1112">
        <f t="shared" si="8"/>
        <v>8689.611042212613</v>
      </c>
    </row>
    <row r="98" spans="1:38" x14ac:dyDescent="0.35">
      <c r="A98" s="9227"/>
      <c r="B98" s="330"/>
      <c r="C98" s="326" t="s">
        <v>1116</v>
      </c>
      <c r="D98" s="197"/>
      <c r="F98" s="336"/>
      <c r="H98" s="330"/>
      <c r="I98" s="337"/>
      <c r="J98" s="329"/>
      <c r="L98" s="330"/>
      <c r="M98" s="337"/>
      <c r="O98" s="339"/>
      <c r="P98" s="340">
        <v>211.98500000000001</v>
      </c>
      <c r="Q98" s="106"/>
      <c r="R98" s="297">
        <f t="shared" ref="R98:R105" si="9">IF(O98=0,0,P98/O98)</f>
        <v>0</v>
      </c>
      <c r="T98" s="330"/>
      <c r="U98" s="106"/>
      <c r="V98" s="1199">
        <f>122.478*4/3</f>
        <v>163.304</v>
      </c>
      <c r="Z98" s="330">
        <f>AA98/AA96*Z96</f>
        <v>258.61336130711459</v>
      </c>
      <c r="AA98" s="106">
        <f>176795601.51/1000000</f>
        <v>176.79560150999998</v>
      </c>
      <c r="AB98" s="330">
        <f>(122690163.01+374082789.73)/1000000</f>
        <v>496.77295273999999</v>
      </c>
      <c r="AD98" s="330">
        <f>28.02303+478.531952</f>
        <v>506.554982</v>
      </c>
      <c r="AE98" s="106" t="s">
        <v>4412</v>
      </c>
      <c r="AF98" s="330">
        <v>409.19399999999951</v>
      </c>
      <c r="AG98" s="7681">
        <f t="shared" si="7"/>
        <v>0.80779779992371981</v>
      </c>
      <c r="AI98" s="330"/>
      <c r="AJ98" s="106"/>
      <c r="AK98" s="330"/>
      <c r="AL98" s="1112">
        <f t="shared" si="8"/>
        <v>0</v>
      </c>
    </row>
    <row r="99" spans="1:38" x14ac:dyDescent="0.35">
      <c r="A99" s="9227"/>
      <c r="B99" s="330"/>
      <c r="C99" s="326"/>
      <c r="D99" s="197"/>
      <c r="F99" s="336"/>
      <c r="H99" s="330"/>
      <c r="I99" s="337"/>
      <c r="J99" s="329"/>
      <c r="L99" s="330"/>
      <c r="M99" s="337"/>
      <c r="O99" s="339"/>
      <c r="P99" s="340"/>
      <c r="Q99" s="106"/>
      <c r="R99" s="297">
        <f t="shared" si="9"/>
        <v>0</v>
      </c>
      <c r="T99" s="330"/>
      <c r="U99" s="106"/>
      <c r="V99" s="333"/>
      <c r="Z99" s="330"/>
      <c r="AA99" s="106"/>
      <c r="AB99" s="330"/>
      <c r="AD99" s="330"/>
      <c r="AE99" s="106"/>
      <c r="AF99" s="330"/>
      <c r="AG99" s="7681" t="str">
        <f t="shared" si="7"/>
        <v/>
      </c>
      <c r="AI99" s="330"/>
      <c r="AJ99" s="106"/>
      <c r="AK99" s="330"/>
      <c r="AL99" s="1112" t="str">
        <f t="shared" si="8"/>
        <v/>
      </c>
    </row>
    <row r="100" spans="1:38" x14ac:dyDescent="0.35">
      <c r="A100" s="9227"/>
      <c r="B100" s="330"/>
      <c r="C100" s="326"/>
      <c r="D100" s="197"/>
      <c r="F100" s="336"/>
      <c r="H100" s="330"/>
      <c r="I100" s="337"/>
      <c r="J100" s="329"/>
      <c r="L100" s="330"/>
      <c r="M100" s="337"/>
      <c r="O100" s="339"/>
      <c r="P100" s="340"/>
      <c r="Q100" s="106"/>
      <c r="R100" s="297">
        <f t="shared" si="9"/>
        <v>0</v>
      </c>
      <c r="T100" s="330"/>
      <c r="U100" s="106"/>
      <c r="V100" s="333"/>
      <c r="Z100" s="330"/>
      <c r="AA100" s="106"/>
      <c r="AB100" s="330"/>
      <c r="AD100" s="330"/>
      <c r="AE100" s="106"/>
      <c r="AF100" s="330"/>
      <c r="AG100" s="7681" t="str">
        <f t="shared" si="7"/>
        <v/>
      </c>
      <c r="AI100" s="330"/>
      <c r="AJ100" s="106"/>
      <c r="AK100" s="330"/>
      <c r="AL100" s="1112" t="str">
        <f t="shared" si="8"/>
        <v/>
      </c>
    </row>
    <row r="101" spans="1:38" x14ac:dyDescent="0.35">
      <c r="A101" s="9227"/>
      <c r="B101" s="330"/>
      <c r="C101" s="326"/>
      <c r="D101" s="197"/>
      <c r="F101" s="336"/>
      <c r="H101" s="330"/>
      <c r="I101" s="337"/>
      <c r="J101" s="329"/>
      <c r="L101" s="330"/>
      <c r="M101" s="337"/>
      <c r="O101" s="339"/>
      <c r="P101" s="340"/>
      <c r="Q101" s="106"/>
      <c r="R101" s="297">
        <f t="shared" si="9"/>
        <v>0</v>
      </c>
      <c r="T101" s="330"/>
      <c r="U101" s="106"/>
      <c r="V101" s="333"/>
      <c r="Z101" s="330"/>
      <c r="AA101" s="106"/>
      <c r="AB101" s="330"/>
      <c r="AD101" s="330"/>
      <c r="AE101" s="106"/>
      <c r="AF101" s="330"/>
      <c r="AG101" s="7681" t="str">
        <f t="shared" si="7"/>
        <v/>
      </c>
      <c r="AI101" s="330"/>
      <c r="AJ101" s="106"/>
      <c r="AK101" s="330"/>
      <c r="AL101" s="1112" t="str">
        <f t="shared" si="8"/>
        <v/>
      </c>
    </row>
    <row r="102" spans="1:38" x14ac:dyDescent="0.35">
      <c r="A102" s="9227"/>
      <c r="B102" s="330"/>
      <c r="C102" s="326"/>
      <c r="D102" s="197"/>
      <c r="F102" s="336"/>
      <c r="H102" s="330"/>
      <c r="I102" s="337"/>
      <c r="J102" s="329"/>
      <c r="L102" s="330"/>
      <c r="M102" s="337"/>
      <c r="O102" s="339"/>
      <c r="P102" s="340"/>
      <c r="Q102" s="106"/>
      <c r="R102" s="297">
        <f t="shared" si="9"/>
        <v>0</v>
      </c>
      <c r="T102" s="330"/>
      <c r="U102" s="106"/>
      <c r="V102" s="333"/>
      <c r="Z102" s="330"/>
      <c r="AA102" s="106"/>
      <c r="AB102" s="330"/>
      <c r="AD102" s="330"/>
      <c r="AE102" s="106"/>
      <c r="AF102" s="330"/>
      <c r="AG102" s="7681" t="str">
        <f t="shared" si="7"/>
        <v/>
      </c>
      <c r="AI102" s="330"/>
      <c r="AJ102" s="106"/>
      <c r="AK102" s="330"/>
      <c r="AL102" s="1112" t="str">
        <f t="shared" si="8"/>
        <v/>
      </c>
    </row>
    <row r="103" spans="1:38" x14ac:dyDescent="0.35">
      <c r="A103" s="9227"/>
      <c r="B103" s="330"/>
      <c r="C103" s="326"/>
      <c r="D103" s="197"/>
      <c r="F103" s="336"/>
      <c r="H103" s="330"/>
      <c r="I103" s="337"/>
      <c r="J103" s="329"/>
      <c r="L103" s="330"/>
      <c r="M103" s="337"/>
      <c r="O103" s="339"/>
      <c r="P103" s="340"/>
      <c r="Q103" s="106"/>
      <c r="R103" s="297">
        <f t="shared" si="9"/>
        <v>0</v>
      </c>
      <c r="T103" s="330"/>
      <c r="U103" s="106"/>
      <c r="V103" s="333"/>
      <c r="Z103" s="330"/>
      <c r="AA103" s="106"/>
      <c r="AB103" s="330"/>
      <c r="AD103" s="330"/>
      <c r="AE103" s="106"/>
      <c r="AF103" s="330"/>
      <c r="AG103" s="7681" t="str">
        <f t="shared" si="7"/>
        <v/>
      </c>
      <c r="AI103" s="330"/>
      <c r="AJ103" s="106"/>
      <c r="AK103" s="330"/>
      <c r="AL103" s="1112" t="str">
        <f t="shared" si="8"/>
        <v/>
      </c>
    </row>
    <row r="104" spans="1:38" x14ac:dyDescent="0.35">
      <c r="A104" s="9227"/>
      <c r="B104" s="330"/>
      <c r="C104" s="337"/>
      <c r="D104" s="197"/>
      <c r="F104" s="336"/>
      <c r="H104" s="330"/>
      <c r="I104" s="337"/>
      <c r="J104" s="329"/>
      <c r="L104" s="330"/>
      <c r="M104" s="337"/>
      <c r="O104" s="339"/>
      <c r="P104" s="340"/>
      <c r="Q104" s="106"/>
      <c r="R104" s="297">
        <f t="shared" si="9"/>
        <v>0</v>
      </c>
      <c r="T104" s="330"/>
      <c r="U104" s="106"/>
      <c r="V104" s="333"/>
      <c r="Z104" s="330"/>
      <c r="AA104" s="106"/>
      <c r="AB104" s="330"/>
      <c r="AD104" s="330"/>
      <c r="AE104" s="106"/>
      <c r="AF104" s="330"/>
      <c r="AG104" s="7681" t="str">
        <f t="shared" si="7"/>
        <v/>
      </c>
      <c r="AI104" s="330"/>
      <c r="AJ104" s="106"/>
      <c r="AK104" s="330"/>
      <c r="AL104" s="1112" t="str">
        <f t="shared" si="8"/>
        <v/>
      </c>
    </row>
    <row r="105" spans="1:38" x14ac:dyDescent="0.35">
      <c r="A105" s="9228"/>
      <c r="B105" s="341"/>
      <c r="C105" s="342"/>
      <c r="D105" s="209"/>
      <c r="F105" s="343"/>
      <c r="H105" s="341"/>
      <c r="I105" s="342"/>
      <c r="J105" s="344"/>
      <c r="L105" s="341"/>
      <c r="M105" s="342"/>
      <c r="O105" s="345"/>
      <c r="P105" s="346"/>
      <c r="Q105" s="216"/>
      <c r="R105" s="307">
        <f t="shared" si="9"/>
        <v>0</v>
      </c>
      <c r="T105" s="341"/>
      <c r="U105" s="216"/>
      <c r="V105" s="347"/>
      <c r="Z105" s="341"/>
      <c r="AA105" s="216"/>
      <c r="AB105" s="341"/>
      <c r="AD105" s="341"/>
      <c r="AE105" s="216"/>
      <c r="AF105" s="341"/>
      <c r="AG105" s="7681" t="str">
        <f t="shared" si="7"/>
        <v/>
      </c>
      <c r="AI105" s="341"/>
      <c r="AJ105" s="216"/>
      <c r="AK105" s="341"/>
      <c r="AL105" s="1112" t="str">
        <f t="shared" si="8"/>
        <v/>
      </c>
    </row>
    <row r="106" spans="1:38" x14ac:dyDescent="0.35">
      <c r="A106" s="310"/>
      <c r="B106" s="310"/>
      <c r="F106" s="106"/>
      <c r="H106" s="106"/>
      <c r="I106" s="106"/>
      <c r="J106" s="311"/>
      <c r="L106" s="106"/>
      <c r="M106" s="312"/>
      <c r="O106" s="106"/>
      <c r="P106" s="106"/>
      <c r="Q106" s="106"/>
      <c r="R106" s="311"/>
      <c r="T106" s="106"/>
      <c r="U106" s="106"/>
      <c r="V106" s="312"/>
      <c r="Z106" s="106"/>
      <c r="AA106" s="106"/>
      <c r="AB106" s="106"/>
      <c r="AD106" s="106"/>
      <c r="AE106" s="106"/>
      <c r="AF106" s="106"/>
      <c r="AG106" s="7681" t="str">
        <f t="shared" si="7"/>
        <v/>
      </c>
      <c r="AI106" s="106"/>
      <c r="AJ106" s="106"/>
      <c r="AK106" s="106"/>
      <c r="AL106" s="1112" t="str">
        <f t="shared" si="8"/>
        <v/>
      </c>
    </row>
    <row r="107" spans="1:38" x14ac:dyDescent="0.35">
      <c r="A107" s="9167" t="s">
        <v>566</v>
      </c>
      <c r="B107" s="139" t="s">
        <v>567</v>
      </c>
      <c r="C107" s="348"/>
      <c r="D107" s="49"/>
      <c r="E107" s="141"/>
      <c r="F107" s="227"/>
      <c r="G107" s="141"/>
      <c r="H107" s="102"/>
      <c r="I107" s="103"/>
      <c r="J107" s="228"/>
      <c r="K107" s="141"/>
      <c r="L107" s="102"/>
      <c r="M107" s="268"/>
      <c r="N107" s="141"/>
      <c r="O107" s="102"/>
      <c r="P107" s="103"/>
      <c r="Q107" s="103"/>
      <c r="R107" s="228"/>
      <c r="S107" s="141"/>
      <c r="T107" s="102"/>
      <c r="U107" s="103"/>
      <c r="V107" s="268"/>
      <c r="W107" s="141"/>
      <c r="Z107" s="102"/>
      <c r="AA107" s="103"/>
      <c r="AB107" s="102"/>
      <c r="AD107" s="102"/>
      <c r="AE107" s="103"/>
      <c r="AF107" s="102"/>
      <c r="AG107" s="7681" t="str">
        <f t="shared" si="7"/>
        <v/>
      </c>
      <c r="AI107" s="102"/>
      <c r="AJ107" s="103"/>
      <c r="AK107" s="102"/>
      <c r="AL107" s="1112" t="str">
        <f t="shared" si="8"/>
        <v/>
      </c>
    </row>
    <row r="108" spans="1:38" x14ac:dyDescent="0.35">
      <c r="A108" s="9168"/>
      <c r="B108" s="6082"/>
      <c r="C108"/>
      <c r="D108" s="110" t="s">
        <v>568</v>
      </c>
      <c r="F108" s="349">
        <f>SUM(F35:F46)-SUM(F49:F51)</f>
        <v>5457.2568000000001</v>
      </c>
      <c r="G108" s="350"/>
      <c r="H108" s="351">
        <f>SUM(H35:H46)-SUM(H49:H51)</f>
        <v>9024.7999999999993</v>
      </c>
      <c r="I108" s="352">
        <f>SUM(I35:I46)-SUM(I49:I51)</f>
        <v>8618.4</v>
      </c>
      <c r="J108" s="246"/>
      <c r="K108" s="350"/>
      <c r="L108" s="351">
        <f>SUM(L35:L46)-SUM(L49:L51)</f>
        <v>10207.700000000001</v>
      </c>
      <c r="M108" s="353">
        <f>SUM(M35:M46)-SUM(M49:M51)</f>
        <v>9849.2000000000007</v>
      </c>
      <c r="O108" s="354">
        <f>SUM(O35:O47)-SUM(O49:O51)</f>
        <v>10207.700000000001</v>
      </c>
      <c r="P108" s="355">
        <f>SUM(P35:P47)-SUM(P49:P51)</f>
        <v>9849.2000000000007</v>
      </c>
      <c r="Q108" s="352"/>
      <c r="R108" s="246"/>
      <c r="S108" s="350"/>
      <c r="T108" s="351">
        <f>SUM(T35:T47)-SUM(T49:T51)</f>
        <v>12281.449000000001</v>
      </c>
      <c r="U108" s="352"/>
      <c r="V108" s="353">
        <f>SUM(V35:V47)-SUM(V49:V51)</f>
        <v>10743.921333333334</v>
      </c>
      <c r="Z108" s="351">
        <f>SUM(Z35:Z47)-SUM(Z49:Z51)</f>
        <v>13048.799440000001</v>
      </c>
      <c r="AA108" s="352"/>
      <c r="AB108" s="351">
        <f>SUM(AB35:AB47)-SUM(AB49:AB51)</f>
        <v>12742.24895936</v>
      </c>
      <c r="AD108" s="351">
        <f>SUM(AD35:AD47)-SUM(AD49:AD51)</f>
        <v>14684.8812</v>
      </c>
      <c r="AE108" s="352"/>
      <c r="AF108" s="351">
        <f>SUM(AF35:AF47)-SUM(AF49:AF51)</f>
        <v>12922.188144709999</v>
      </c>
      <c r="AG108" s="7681">
        <f t="shared" si="7"/>
        <v>0.87996545349716537</v>
      </c>
      <c r="AI108" s="351">
        <f>AI35-SUM(AI49:AI51)</f>
        <v>14277.886652000001</v>
      </c>
      <c r="AJ108" s="352"/>
      <c r="AK108" s="351">
        <f>AK35-SUM(AK49:AK51)</f>
        <v>0</v>
      </c>
      <c r="AL108" s="1112">
        <f t="shared" si="8"/>
        <v>12564.047002708305</v>
      </c>
    </row>
    <row r="109" spans="1:38" x14ac:dyDescent="0.35">
      <c r="A109" s="9168"/>
      <c r="B109" s="6082"/>
      <c r="C109"/>
      <c r="D109" s="110" t="str">
        <f>B52</f>
        <v>Other Ministries/ Subvented organizations</v>
      </c>
      <c r="F109" s="349">
        <f>SUM(F54:F75)</f>
        <v>2737.6717469999999</v>
      </c>
      <c r="G109" s="350"/>
      <c r="H109" s="351">
        <f>SUM(H54:H75)</f>
        <v>4010.0173279999995</v>
      </c>
      <c r="I109" s="352">
        <f>SUM(I54:I75)</f>
        <v>3974.3281349999997</v>
      </c>
      <c r="J109" s="246"/>
      <c r="K109" s="350"/>
      <c r="L109" s="351">
        <f>SUM(L54:L75)</f>
        <v>4353.241</v>
      </c>
      <c r="M109" s="353">
        <f>SUM(M54:M75)</f>
        <v>4332.0409999999993</v>
      </c>
      <c r="O109" s="354">
        <f>SUM(O54:O75)</f>
        <v>4353.241</v>
      </c>
      <c r="P109" s="355">
        <f>SUM(P54:P75)</f>
        <v>4331.9410000000007</v>
      </c>
      <c r="Q109" s="352"/>
      <c r="R109" s="246"/>
      <c r="S109" s="350"/>
      <c r="T109" s="351">
        <f>SUM(T54:T75)</f>
        <v>4820.6859999999997</v>
      </c>
      <c r="U109" s="352"/>
      <c r="V109" s="353">
        <f>SUM(V54:V75)</f>
        <v>4775.301333333332</v>
      </c>
      <c r="Z109" s="351">
        <f>SUM(Z54:Z75)</f>
        <v>5284.4234960000003</v>
      </c>
      <c r="AA109" s="352"/>
      <c r="AB109" s="351">
        <f>SUM(AB54:AB75)</f>
        <v>5319.4099222700006</v>
      </c>
      <c r="AD109" s="351">
        <f>SUM(AD54:AD75)</f>
        <v>5755.0654400000003</v>
      </c>
      <c r="AE109" s="352"/>
      <c r="AF109" s="351">
        <f>SUM(AF54:AF75)</f>
        <v>5346.4220000000005</v>
      </c>
      <c r="AG109" s="7681">
        <f t="shared" si="7"/>
        <v>0.92899412799726566</v>
      </c>
      <c r="AI109" s="351">
        <f>SUM(AI54:AI75)</f>
        <v>5222.6740560000017</v>
      </c>
      <c r="AJ109" s="352"/>
      <c r="AK109" s="351">
        <f>SUM(AK54:AK75)</f>
        <v>0</v>
      </c>
      <c r="AL109" s="1112">
        <f t="shared" si="8"/>
        <v>4851.8335304676639</v>
      </c>
    </row>
    <row r="110" spans="1:38" x14ac:dyDescent="0.35">
      <c r="A110" s="9168"/>
      <c r="B110" s="6082"/>
      <c r="C110"/>
      <c r="D110" s="110" t="s">
        <v>570</v>
      </c>
      <c r="F110" s="349">
        <f>SUM(F77:F84)*F28</f>
        <v>0</v>
      </c>
      <c r="G110" s="350"/>
      <c r="H110" s="351">
        <f>SUM(H77:H84)*H28</f>
        <v>0</v>
      </c>
      <c r="I110" s="352">
        <f>SUM(I77:I84)*I28</f>
        <v>0</v>
      </c>
      <c r="J110" s="246"/>
      <c r="K110" s="350"/>
      <c r="L110" s="351">
        <f>SUM(L77:L84)*L28</f>
        <v>0</v>
      </c>
      <c r="M110" s="353">
        <f>SUM(M77:M84)*M28</f>
        <v>0</v>
      </c>
      <c r="O110" s="354">
        <f>SUM(O77:O84)*O28</f>
        <v>0</v>
      </c>
      <c r="P110" s="355">
        <f>SUM(P77:P84)*P28</f>
        <v>0</v>
      </c>
      <c r="Q110" s="352"/>
      <c r="R110" s="246"/>
      <c r="S110" s="350"/>
      <c r="T110" s="351">
        <f>SUM(T77:T84)*T28</f>
        <v>0</v>
      </c>
      <c r="U110" s="352"/>
      <c r="V110" s="353">
        <f>SUM(V77:V84)*V28</f>
        <v>0</v>
      </c>
      <c r="Z110" s="351">
        <f>SUM(Z77:Z84)*Z28</f>
        <v>0</v>
      </c>
      <c r="AA110" s="352"/>
      <c r="AB110" s="351">
        <f>SUM(AB77:AB84)*AB28</f>
        <v>0</v>
      </c>
      <c r="AD110" s="351">
        <f>SUM(AD77:AD84)*AD28</f>
        <v>0</v>
      </c>
      <c r="AE110" s="352"/>
      <c r="AF110" s="351">
        <f>SUM(AF77:AF84)*AF28</f>
        <v>0</v>
      </c>
      <c r="AG110" s="7681" t="str">
        <f t="shared" si="7"/>
        <v/>
      </c>
      <c r="AI110" s="351">
        <f>SUM(AI77:AI84)*AI28</f>
        <v>0</v>
      </c>
      <c r="AJ110" s="352"/>
      <c r="AK110" s="351">
        <f>SUM(AK77:AK84)*AK28</f>
        <v>0</v>
      </c>
      <c r="AL110" s="1112" t="str">
        <f t="shared" si="8"/>
        <v/>
      </c>
    </row>
    <row r="111" spans="1:38" x14ac:dyDescent="0.35">
      <c r="A111" s="9168"/>
      <c r="B111" s="6082"/>
      <c r="C111"/>
      <c r="D111" s="110" t="s">
        <v>552</v>
      </c>
      <c r="F111" s="349">
        <f>F86</f>
        <v>0</v>
      </c>
      <c r="G111" s="350"/>
      <c r="H111" s="351">
        <f>H86</f>
        <v>0</v>
      </c>
      <c r="I111" s="352">
        <f>I86</f>
        <v>0</v>
      </c>
      <c r="J111" s="246"/>
      <c r="K111" s="350"/>
      <c r="L111" s="351">
        <f>L86</f>
        <v>0</v>
      </c>
      <c r="M111" s="353">
        <f>M86</f>
        <v>0</v>
      </c>
      <c r="O111" s="354">
        <f>SUM(O86:O88)</f>
        <v>0</v>
      </c>
      <c r="P111" s="355">
        <f>SUM(P86:P88)</f>
        <v>0</v>
      </c>
      <c r="Q111" s="352"/>
      <c r="R111" s="246"/>
      <c r="S111" s="350"/>
      <c r="T111" s="351">
        <f>SUM(T86:T88)</f>
        <v>0</v>
      </c>
      <c r="U111" s="352"/>
      <c r="V111" s="353">
        <f>SUM(V86:V88)</f>
        <v>0</v>
      </c>
      <c r="Z111" s="351">
        <f>SUM(Z86:Z88)</f>
        <v>0</v>
      </c>
      <c r="AA111" s="352"/>
      <c r="AB111" s="351">
        <f>SUM(AB86:AB88)</f>
        <v>0</v>
      </c>
      <c r="AD111" s="351">
        <f>SUM(AD86:AD88)</f>
        <v>0</v>
      </c>
      <c r="AE111" s="352"/>
      <c r="AF111" s="351">
        <f>SUM(AF86:AF88)</f>
        <v>0</v>
      </c>
      <c r="AG111" s="7681" t="str">
        <f t="shared" si="7"/>
        <v/>
      </c>
      <c r="AI111" s="351">
        <f>SUM(AI86:AI88)</f>
        <v>17.633333999999998</v>
      </c>
      <c r="AJ111" s="352"/>
      <c r="AK111" s="351">
        <f>SUM(AK86:AK88)</f>
        <v>0</v>
      </c>
      <c r="AL111" s="1112" t="str">
        <f t="shared" si="8"/>
        <v/>
      </c>
    </row>
    <row r="112" spans="1:38" x14ac:dyDescent="0.35">
      <c r="A112" s="9168"/>
      <c r="B112" s="6082"/>
      <c r="C112"/>
      <c r="D112" s="356" t="s">
        <v>571</v>
      </c>
      <c r="E112" s="143"/>
      <c r="F112" s="357">
        <f>SUM(F108:F111)</f>
        <v>8194.9285469999995</v>
      </c>
      <c r="G112" s="358"/>
      <c r="H112" s="359">
        <f>SUM(H108:H111)</f>
        <v>13034.817327999999</v>
      </c>
      <c r="I112" s="360">
        <f>SUM(I108:I111)</f>
        <v>12592.728134999999</v>
      </c>
      <c r="J112" s="361"/>
      <c r="K112" s="358"/>
      <c r="L112" s="359">
        <f>SUM(L108:L111)</f>
        <v>14560.941000000001</v>
      </c>
      <c r="M112" s="362">
        <f>SUM(M108:M111)</f>
        <v>14181.241</v>
      </c>
      <c r="N112" s="143"/>
      <c r="O112" s="363">
        <f>SUM(O108:O111)</f>
        <v>14560.941000000001</v>
      </c>
      <c r="P112" s="364">
        <f>SUM(P108:P111)</f>
        <v>14181.141000000001</v>
      </c>
      <c r="Q112" s="360"/>
      <c r="R112" s="361"/>
      <c r="S112" s="358"/>
      <c r="T112" s="359">
        <f>SUM(T108:T111)</f>
        <v>17102.135000000002</v>
      </c>
      <c r="U112" s="360"/>
      <c r="V112" s="362">
        <f>SUM(V108:V111)</f>
        <v>15519.222666666665</v>
      </c>
      <c r="W112" s="143"/>
      <c r="Z112" s="359">
        <f>SUM(Z108:Z111)</f>
        <v>18333.222936000002</v>
      </c>
      <c r="AA112" s="360"/>
      <c r="AB112" s="359">
        <f>SUM(AB108:AB111)</f>
        <v>18061.658881629999</v>
      </c>
      <c r="AD112" s="359">
        <f>SUM(AD108:AD111)</f>
        <v>20439.946640000002</v>
      </c>
      <c r="AE112" s="360"/>
      <c r="AF112" s="359">
        <f>SUM(AF108:AF111)</f>
        <v>18268.610144710001</v>
      </c>
      <c r="AG112" s="7681">
        <f t="shared" si="7"/>
        <v>0.89376995285101191</v>
      </c>
      <c r="AI112" s="359">
        <f>SUM(AI108:AI111)</f>
        <v>19518.194042000003</v>
      </c>
      <c r="AJ112" s="360"/>
      <c r="AK112" s="359">
        <f>SUM(AK108:AK111)</f>
        <v>0</v>
      </c>
      <c r="AL112" s="1112">
        <f t="shared" si="8"/>
        <v>17444.775368655242</v>
      </c>
    </row>
    <row r="113" spans="1:38" ht="15.5" x14ac:dyDescent="0.35">
      <c r="A113" s="9168"/>
      <c r="B113" s="6082"/>
      <c r="C113"/>
      <c r="D113" s="356" t="s">
        <v>572</v>
      </c>
      <c r="F113" s="366">
        <f>F112/(F17+F19)</f>
        <v>0.23800465113644942</v>
      </c>
      <c r="G113" s="367"/>
      <c r="H113" s="368">
        <f>H112/(H17+H19)</f>
        <v>0.24316738261669305</v>
      </c>
      <c r="I113" s="369">
        <f>I112/(I17+I19)</f>
        <v>0.24194683961765692</v>
      </c>
      <c r="J113" s="370"/>
      <c r="K113" s="367"/>
      <c r="L113" s="368">
        <f>L112/(L17+L19)</f>
        <v>0.23571729674339398</v>
      </c>
      <c r="M113" s="370">
        <f>M112/(M17+M19)</f>
        <v>0.23377547319730047</v>
      </c>
      <c r="O113" s="368">
        <f>O112/(O17+O18+O19)</f>
        <v>0.23465480898463564</v>
      </c>
      <c r="P113" s="369">
        <f>P112/(P17+P18+P19)</f>
        <v>0.23377382471341113</v>
      </c>
      <c r="Q113" s="369"/>
      <c r="R113" s="370"/>
      <c r="S113" s="367"/>
      <c r="T113" s="368">
        <f>T112/(T17+T18+T19)</f>
        <v>0.25059543787148247</v>
      </c>
      <c r="U113" s="369"/>
      <c r="V113" s="370">
        <f>V112/(V17+V18+V19)</f>
        <v>0.24153886306984421</v>
      </c>
      <c r="Z113" s="368">
        <f>Z112/(Z17+Z18+Z19)</f>
        <v>0.24241349970233833</v>
      </c>
      <c r="AA113" s="369"/>
      <c r="AB113" s="368">
        <f>AB112/(AB17+AB18+AB19)</f>
        <v>0.22013394457279106</v>
      </c>
      <c r="AD113" s="368">
        <f>AD112/(AD17+AD18+AD19)</f>
        <v>0.25906168831032478</v>
      </c>
      <c r="AE113" s="369"/>
      <c r="AF113" s="368">
        <f>AF112/(AF17+AF18+AF19)</f>
        <v>0.23789747636126005</v>
      </c>
      <c r="AG113" s="7681">
        <f t="shared" si="7"/>
        <v>0.91830435412081257</v>
      </c>
      <c r="AI113" s="561">
        <f>AI112/(AI22-AI20)</f>
        <v>0.24393312117186719</v>
      </c>
      <c r="AJ113" s="7301" t="s">
        <v>4414</v>
      </c>
      <c r="AK113" s="561" t="e">
        <f>AK112/(AK22-AK20)</f>
        <v>#DIV/0!</v>
      </c>
      <c r="AL113" s="1112">
        <f t="shared" si="8"/>
        <v>0.22400484728640541</v>
      </c>
    </row>
    <row r="114" spans="1:38" x14ac:dyDescent="0.35">
      <c r="A114" s="9168"/>
      <c r="B114" s="371"/>
      <c r="C114" s="372"/>
      <c r="D114" s="296" t="s">
        <v>573</v>
      </c>
      <c r="E114" s="374"/>
      <c r="F114" s="1054">
        <f>F112/F12</f>
        <v>0.23450119035787936</v>
      </c>
      <c r="G114" s="1055"/>
      <c r="H114" s="1056">
        <f>H112/H12</f>
        <v>0.26544083606380442</v>
      </c>
      <c r="I114" s="953">
        <f>I112/I12</f>
        <v>0.24843951315220969</v>
      </c>
      <c r="J114" s="1057"/>
      <c r="K114" s="1055"/>
      <c r="L114" s="1203">
        <f>L112/L12</f>
        <v>0.25166163721586199</v>
      </c>
      <c r="M114" s="680">
        <f>M112/M12</f>
        <v>0.24378750397538271</v>
      </c>
      <c r="O114" s="381">
        <f>O45+SUM(O54:O59)+O87</f>
        <v>13851.4861</v>
      </c>
      <c r="P114" s="382">
        <f>P45+P54+P56+P58+P68+P87</f>
        <v>9646.5360000000001</v>
      </c>
      <c r="Q114" s="383"/>
      <c r="R114" s="384"/>
      <c r="S114" s="385"/>
      <c r="T114" s="386">
        <f>T45+T54+T56+T58+T68+T87</f>
        <v>11554.843000000001</v>
      </c>
      <c r="U114" s="383"/>
      <c r="V114" s="387">
        <f>V45+V54+V56+V58+V68+V87</f>
        <v>10587.353333333333</v>
      </c>
      <c r="Z114" s="386">
        <f>Z45+Z54+Z56+Z58+Z68+Z87</f>
        <v>12293.770472</v>
      </c>
      <c r="AA114" s="383"/>
      <c r="AB114" s="386">
        <f>AB45+AB54+AB56+AB58+AB68+AB87</f>
        <v>12052.353757909999</v>
      </c>
      <c r="AD114" s="386">
        <f>AD45+AD54+AD56+AD58+AD68+AD87</f>
        <v>13632.578653999999</v>
      </c>
      <c r="AE114" s="383"/>
      <c r="AF114" s="386">
        <f>AF45+AF54+AF56+AF58+AF68+AF87</f>
        <v>12702.148365459998</v>
      </c>
      <c r="AG114" s="7681">
        <f t="shared" si="7"/>
        <v>0.93174950153197911</v>
      </c>
      <c r="AI114" s="386">
        <f>AI45+AI54+AI56+AI58+AI68+AI87</f>
        <v>134.27599999999998</v>
      </c>
      <c r="AJ114" s="7302" t="s">
        <v>4352</v>
      </c>
      <c r="AK114" s="386">
        <f>AK45+AK54+AK56+AK58+AK68+AK87</f>
        <v>0</v>
      </c>
      <c r="AL114" s="1112">
        <f t="shared" si="8"/>
        <v>125.11159606770801</v>
      </c>
    </row>
    <row r="115" spans="1:38" x14ac:dyDescent="0.35">
      <c r="A115" s="9168"/>
      <c r="B115" s="58"/>
      <c r="C115" s="390"/>
      <c r="D115" s="296" t="s">
        <v>575</v>
      </c>
      <c r="E115" s="392"/>
      <c r="F115" s="393"/>
      <c r="G115" s="392"/>
      <c r="H115" s="394"/>
      <c r="I115" s="395"/>
      <c r="J115" s="229"/>
      <c r="K115" s="392"/>
      <c r="L115" s="396"/>
      <c r="M115" s="691"/>
      <c r="O115" s="405">
        <f>(O112-O114)/((O18+O19))</f>
        <v>3.9371290150724804E-2</v>
      </c>
      <c r="P115" s="406">
        <f>(P112-P114)/((P18+P19))</f>
        <v>0.25713520195519174</v>
      </c>
      <c r="Q115" s="407"/>
      <c r="R115" s="408"/>
      <c r="S115" s="409"/>
      <c r="T115" s="410">
        <f>(T112-T114)/((T18+T19))</f>
        <v>0.28634497989393148</v>
      </c>
      <c r="U115" s="407"/>
      <c r="V115" s="411">
        <f>(V112-V114)/((V18+V19))</f>
        <v>0.27133683549781357</v>
      </c>
      <c r="Z115" s="410">
        <f>(Z112-Z114)/((Z18+Z19))</f>
        <v>0.27144043451260053</v>
      </c>
      <c r="AA115" s="407"/>
      <c r="AB115" s="410">
        <f>(AB112-AB114)/((AB18+AB19))</f>
        <v>0.25738967847404887</v>
      </c>
      <c r="AD115" s="410">
        <f>(AD112-AD114)/((AD18+AD19))</f>
        <v>0.30399177956205625</v>
      </c>
      <c r="AE115" s="407"/>
      <c r="AF115" s="410">
        <f>(AF112-AF114)/((AF18+AF19))</f>
        <v>0.25907911881119128</v>
      </c>
      <c r="AG115" s="7681">
        <f t="shared" si="7"/>
        <v>0.85225698926606464</v>
      </c>
      <c r="AI115" s="410" t="e">
        <f>(AI112-AI114)/((AI18+AI19))</f>
        <v>#DIV/0!</v>
      </c>
      <c r="AJ115" s="7302" t="s">
        <v>4352</v>
      </c>
      <c r="AK115" s="410" t="e">
        <f>(AK112-AK114)/((AK18+AK19))</f>
        <v>#DIV/0!</v>
      </c>
      <c r="AL115" s="1112" t="str">
        <f t="shared" si="8"/>
        <v/>
      </c>
    </row>
    <row r="116" spans="1:38" x14ac:dyDescent="0.35">
      <c r="A116" s="9168"/>
      <c r="B116" s="58"/>
      <c r="C116" s="390"/>
      <c r="D116" s="296" t="s">
        <v>576</v>
      </c>
      <c r="E116" s="392"/>
      <c r="F116" s="393"/>
      <c r="G116" s="392"/>
      <c r="H116" s="394"/>
      <c r="I116" s="395"/>
      <c r="J116" s="229"/>
      <c r="K116" s="392"/>
      <c r="L116" s="396"/>
      <c r="M116" s="691"/>
      <c r="O116" s="405">
        <f>O114/(O17)</f>
        <v>0.31457057434197078</v>
      </c>
      <c r="P116" s="406">
        <f>P114/(P17)</f>
        <v>0.22419883467707263</v>
      </c>
      <c r="Q116" s="407"/>
      <c r="R116" s="408"/>
      <c r="S116" s="409"/>
      <c r="T116" s="410">
        <f>T114/(T17)</f>
        <v>0.23642475328572979</v>
      </c>
      <c r="U116" s="407"/>
      <c r="V116" s="411">
        <f>V114/(V17)</f>
        <v>0.22978388866818719</v>
      </c>
      <c r="Z116" s="410">
        <f>Z114/(Z17)</f>
        <v>0.23031421102886429</v>
      </c>
      <c r="AA116" s="407"/>
      <c r="AB116" s="410">
        <f>AB114/(AB17)</f>
        <v>0.20531634337120219</v>
      </c>
      <c r="AD116" s="410">
        <f>AD114/(AD17)</f>
        <v>0.24125615146474905</v>
      </c>
      <c r="AE116" s="407"/>
      <c r="AF116" s="410">
        <f>AF114/(AF17)</f>
        <v>0.22966877637611322</v>
      </c>
      <c r="AG116" s="7681">
        <f t="shared" si="7"/>
        <v>0.95197065435105011</v>
      </c>
      <c r="AI116" s="410" t="e">
        <f>AI114/(AI17)</f>
        <v>#DIV/0!</v>
      </c>
      <c r="AJ116" s="7302" t="s">
        <v>4352</v>
      </c>
      <c r="AK116" s="410" t="e">
        <f>AK114/(AK17)</f>
        <v>#DIV/0!</v>
      </c>
      <c r="AL116" s="1112" t="str">
        <f t="shared" si="8"/>
        <v/>
      </c>
    </row>
    <row r="117" spans="1:38" x14ac:dyDescent="0.35">
      <c r="A117" s="9168"/>
      <c r="B117" s="58"/>
      <c r="C117" s="390"/>
      <c r="D117" s="296"/>
      <c r="E117" s="392"/>
      <c r="F117" s="393"/>
      <c r="G117" s="392"/>
      <c r="H117" s="394"/>
      <c r="I117" s="395"/>
      <c r="J117" s="229"/>
      <c r="K117" s="392"/>
      <c r="L117" s="396"/>
      <c r="M117" s="977"/>
      <c r="O117" s="394"/>
      <c r="P117" s="395"/>
      <c r="Q117"/>
      <c r="R117" s="229"/>
      <c r="S117" s="392"/>
      <c r="T117" s="396"/>
      <c r="V117" s="1822"/>
      <c r="Z117" s="396"/>
      <c r="AB117" s="396"/>
      <c r="AD117" s="396"/>
      <c r="AF117" s="396"/>
      <c r="AG117" s="7681" t="str">
        <f t="shared" si="7"/>
        <v/>
      </c>
      <c r="AI117" s="396"/>
      <c r="AJ117" s="7302"/>
      <c r="AK117" s="396"/>
      <c r="AL117" s="1112" t="str">
        <f t="shared" si="8"/>
        <v/>
      </c>
    </row>
    <row r="118" spans="1:38" x14ac:dyDescent="0.35">
      <c r="A118" s="9168"/>
      <c r="B118" s="58"/>
      <c r="C118" s="390"/>
      <c r="D118" s="296" t="s">
        <v>577</v>
      </c>
      <c r="E118" s="392"/>
      <c r="F118" s="413">
        <f>F112/F12</f>
        <v>0.23450119035787936</v>
      </c>
      <c r="G118" s="409"/>
      <c r="H118" s="405">
        <f>H112/H12</f>
        <v>0.26544083606380442</v>
      </c>
      <c r="I118" s="406">
        <f>I112/I12</f>
        <v>0.24843951315220969</v>
      </c>
      <c r="J118" s="408"/>
      <c r="K118" s="409"/>
      <c r="L118" s="410">
        <f>L112/L12</f>
        <v>0.25166163721586199</v>
      </c>
      <c r="M118" s="691">
        <f>M112/M12</f>
        <v>0.24378750397538271</v>
      </c>
      <c r="O118" s="405">
        <f>O112/O12</f>
        <v>0.25166163721586199</v>
      </c>
      <c r="P118" s="406">
        <f>P112/P12</f>
        <v>0.24378578489096708</v>
      </c>
      <c r="Q118" s="407"/>
      <c r="R118" s="408"/>
      <c r="S118" s="409"/>
      <c r="T118" s="410">
        <f>T112/T12</f>
        <v>0.2700707258514311</v>
      </c>
      <c r="U118" s="407"/>
      <c r="V118" s="411">
        <f>V112/V12</f>
        <v>0.22924854530671535</v>
      </c>
      <c r="Z118" s="410">
        <f>Z112/Z12</f>
        <v>0.2518147952416625</v>
      </c>
      <c r="AA118" s="407"/>
      <c r="AB118" s="410">
        <f>AB112/AB12</f>
        <v>0.24728734891190018</v>
      </c>
      <c r="AD118" s="410">
        <f>AD112/AD12</f>
        <v>0.27771755097436113</v>
      </c>
      <c r="AE118" s="407"/>
      <c r="AF118" s="410">
        <f>AF112/AF12</f>
        <v>0.26205651824469384</v>
      </c>
      <c r="AG118" s="7681">
        <f t="shared" si="7"/>
        <v>0.9436080554695907</v>
      </c>
      <c r="AI118" s="410">
        <f>AI112/AI12</f>
        <v>0.27982652651107043</v>
      </c>
      <c r="AJ118" s="7302" t="s">
        <v>4352</v>
      </c>
      <c r="AK118" s="410" t="e">
        <f>AK112/AK12</f>
        <v>#DIV/0!</v>
      </c>
      <c r="AL118" s="1112">
        <f t="shared" si="8"/>
        <v>0.26404656454992104</v>
      </c>
    </row>
    <row r="119" spans="1:38" x14ac:dyDescent="0.35">
      <c r="A119" s="9168"/>
      <c r="B119" s="58"/>
      <c r="C119" s="390"/>
      <c r="D119" s="59" t="s">
        <v>578</v>
      </c>
      <c r="E119" s="392"/>
      <c r="F119" s="393"/>
      <c r="G119" s="392"/>
      <c r="H119" s="394"/>
      <c r="I119" s="395"/>
      <c r="J119" s="229"/>
      <c r="K119" s="392"/>
      <c r="L119" s="396"/>
      <c r="M119" s="3434"/>
      <c r="O119" s="572">
        <f>O112-SUM(O91:O94)</f>
        <v>14560.941000000001</v>
      </c>
      <c r="P119" s="1993">
        <f>P112-SUM(P91:P94)</f>
        <v>13974.611000000001</v>
      </c>
      <c r="Q119" s="254"/>
      <c r="R119" s="247"/>
      <c r="S119" s="1742"/>
      <c r="T119" s="1994">
        <f>T112-SUM(T91:T94)</f>
        <v>17102.135000000002</v>
      </c>
      <c r="U119" s="254"/>
      <c r="V119" s="1995">
        <f>V112-SUM(V91:V94)</f>
        <v>15434.831999999999</v>
      </c>
      <c r="Z119" s="1994">
        <f>Z112-SUM(Z91:Z94)</f>
        <v>18333.222936000002</v>
      </c>
      <c r="AA119" s="254"/>
      <c r="AB119" s="1994">
        <f>AB112-SUM(AB91:AB94)</f>
        <v>17604.155932819998</v>
      </c>
      <c r="AD119" s="1994">
        <f>AD112-SUM(AD91:AD94)</f>
        <v>19041.804442000001</v>
      </c>
      <c r="AE119" s="254"/>
      <c r="AF119" s="1994">
        <f>AF112-SUM(AF91:AF94)</f>
        <v>17675.416144710001</v>
      </c>
      <c r="AG119" s="7681">
        <f t="shared" si="7"/>
        <v>0.92824270927411723</v>
      </c>
      <c r="AI119" s="1994">
        <f>AI112-SUM(AI91:AI94)</f>
        <v>19518.194042000003</v>
      </c>
      <c r="AJ119" s="7302" t="s">
        <v>4352</v>
      </c>
      <c r="AK119" s="1994">
        <f>AK112-SUM(AK91:AK94)</f>
        <v>0</v>
      </c>
      <c r="AL119" s="1112">
        <f t="shared" si="8"/>
        <v>18117.621317684017</v>
      </c>
    </row>
    <row r="120" spans="1:38" x14ac:dyDescent="0.35">
      <c r="A120" s="9168"/>
      <c r="B120" s="58"/>
      <c r="C120" s="390"/>
      <c r="D120" s="296" t="s">
        <v>579</v>
      </c>
      <c r="E120" s="392"/>
      <c r="F120" s="393"/>
      <c r="G120" s="392"/>
      <c r="H120" s="394"/>
      <c r="I120" s="395"/>
      <c r="J120" s="229"/>
      <c r="K120" s="392"/>
      <c r="L120" s="396"/>
      <c r="M120" s="691"/>
      <c r="O120" s="405">
        <f>O119/O12</f>
        <v>0.25166163721586199</v>
      </c>
      <c r="P120" s="406">
        <f>P119/P12</f>
        <v>0.24023535984734531</v>
      </c>
      <c r="Q120" s="407"/>
      <c r="R120" s="408"/>
      <c r="S120" s="409"/>
      <c r="T120" s="410">
        <f>T119/T12</f>
        <v>0.2700707258514311</v>
      </c>
      <c r="U120" s="407"/>
      <c r="V120" s="411">
        <f>V119/V12</f>
        <v>0.22800193405650426</v>
      </c>
      <c r="Z120" s="410">
        <f>Z119/Z12</f>
        <v>0.2518147952416625</v>
      </c>
      <c r="AA120" s="407"/>
      <c r="AB120" s="410">
        <f>AB119/AB12</f>
        <v>0.2410235449018672</v>
      </c>
      <c r="AD120" s="410">
        <f>AD119/AD12</f>
        <v>0.25872099320533992</v>
      </c>
      <c r="AE120" s="407"/>
      <c r="AF120" s="410">
        <f>AF119/AF12</f>
        <v>0.25354736768248448</v>
      </c>
      <c r="AG120" s="7681">
        <f t="shared" si="7"/>
        <v>0.9800030702620669</v>
      </c>
      <c r="AI120" s="410">
        <f>AI119/AI12</f>
        <v>0.27982652651107043</v>
      </c>
      <c r="AJ120" s="7302" t="s">
        <v>4352</v>
      </c>
      <c r="AK120" s="410" t="e">
        <f>AK119/AK12</f>
        <v>#DIV/0!</v>
      </c>
      <c r="AL120" s="1112">
        <f t="shared" si="8"/>
        <v>0.27423085512161866</v>
      </c>
    </row>
    <row r="121" spans="1:38" x14ac:dyDescent="0.35">
      <c r="A121" s="9168"/>
      <c r="B121" s="58"/>
      <c r="C121" s="390"/>
      <c r="D121" s="296"/>
      <c r="E121" s="392"/>
      <c r="F121" s="393"/>
      <c r="G121" s="392"/>
      <c r="H121" s="394"/>
      <c r="I121" s="395"/>
      <c r="J121" s="229"/>
      <c r="K121" s="392"/>
      <c r="L121" s="396"/>
      <c r="M121" s="691"/>
      <c r="O121" s="405"/>
      <c r="P121" s="406"/>
      <c r="Q121" s="407"/>
      <c r="R121" s="408"/>
      <c r="S121" s="409"/>
      <c r="T121" s="410"/>
      <c r="U121" s="407"/>
      <c r="V121" s="411"/>
      <c r="Z121" s="410"/>
      <c r="AA121" s="407"/>
      <c r="AB121" s="410"/>
      <c r="AD121" s="410"/>
      <c r="AE121" s="407"/>
      <c r="AF121" s="410"/>
      <c r="AG121" s="7681" t="str">
        <f t="shared" si="7"/>
        <v/>
      </c>
      <c r="AI121" s="410"/>
      <c r="AJ121" s="7302"/>
      <c r="AK121" s="410"/>
      <c r="AL121" s="1112" t="str">
        <f t="shared" si="8"/>
        <v/>
      </c>
    </row>
    <row r="122" spans="1:38" x14ac:dyDescent="0.35">
      <c r="A122" s="9168"/>
      <c r="B122" s="58"/>
      <c r="C122" s="390"/>
      <c r="D122" s="980" t="s">
        <v>580</v>
      </c>
      <c r="E122" s="424"/>
      <c r="F122" s="693"/>
      <c r="G122" s="694"/>
      <c r="H122" s="695"/>
      <c r="I122" s="696"/>
      <c r="J122" s="267"/>
      <c r="K122" s="694"/>
      <c r="L122" s="697"/>
      <c r="M122" s="691"/>
      <c r="N122" s="2911"/>
      <c r="O122" s="405">
        <f>SUM(O96:O105)/O112</f>
        <v>0.46307419280113832</v>
      </c>
      <c r="P122" s="406">
        <f>SUM(P96:P105)/P112</f>
        <v>0.46368010867390708</v>
      </c>
      <c r="Q122" s="407"/>
      <c r="R122" s="408"/>
      <c r="S122" s="409"/>
      <c r="T122" s="410">
        <f>SUM(T96:T105)/T112</f>
        <v>0.4380969978309725</v>
      </c>
      <c r="U122" s="407"/>
      <c r="V122" s="411">
        <f>SUM(V96:V105)/V112</f>
        <v>0.45568708467099345</v>
      </c>
      <c r="Z122" s="410">
        <f>SUM(Z96:Z105)/Z112</f>
        <v>0.90940502968855608</v>
      </c>
      <c r="AA122" s="407"/>
      <c r="AB122" s="410">
        <f>SUM(AB96:AB105)/AB112</f>
        <v>0.48656154672083513</v>
      </c>
      <c r="AD122" s="410">
        <f>SUM(AD96:AD105)/AD112</f>
        <v>0.47778337458516962</v>
      </c>
      <c r="AE122" s="407"/>
      <c r="AF122" s="410">
        <f>SUM(AF96:AF105)/AF112</f>
        <v>0.49774996170866875</v>
      </c>
      <c r="AG122" s="7681">
        <f t="shared" si="7"/>
        <v>1.041790041649806</v>
      </c>
      <c r="AI122" s="410">
        <f>SUM(AI96:AI105)/AI112</f>
        <v>0.47470006958956329</v>
      </c>
      <c r="AJ122" s="7302" t="s">
        <v>4352</v>
      </c>
      <c r="AK122" s="410" t="e">
        <f>SUM(AK96:AK105)/AK112</f>
        <v>#DIV/0!</v>
      </c>
      <c r="AL122" s="1112">
        <f t="shared" si="8"/>
        <v>0.49453780526887697</v>
      </c>
    </row>
    <row r="123" spans="1:38" x14ac:dyDescent="0.35">
      <c r="A123" s="9169"/>
      <c r="B123" s="85"/>
      <c r="C123" s="432"/>
      <c r="D123" s="86" t="s">
        <v>581</v>
      </c>
      <c r="E123" s="274"/>
      <c r="F123" s="702"/>
      <c r="G123" s="703"/>
      <c r="H123" s="704"/>
      <c r="I123" s="705"/>
      <c r="J123" s="706"/>
      <c r="K123" s="703"/>
      <c r="L123" s="707"/>
      <c r="M123" s="3435"/>
      <c r="N123" s="2911"/>
      <c r="O123" s="1996">
        <f>O97/O114</f>
        <v>0.48679224390226261</v>
      </c>
      <c r="P123" s="1997">
        <f>P97/P114</f>
        <v>0.65966975088259661</v>
      </c>
      <c r="Q123" s="1534"/>
      <c r="R123" s="706"/>
      <c r="S123" s="694"/>
      <c r="T123" s="1998">
        <f>T97/T114</f>
        <v>0.64842023383614988</v>
      </c>
      <c r="U123" s="1534"/>
      <c r="V123" s="1999">
        <f>V97/V114</f>
        <v>0.65253374623686244</v>
      </c>
      <c r="Z123" s="1998">
        <f>Z97/Z114</f>
        <v>0.657044088409664</v>
      </c>
      <c r="AA123" s="1534"/>
      <c r="AB123" s="1998">
        <f>AB97/AB114</f>
        <v>0.68794327610972839</v>
      </c>
      <c r="AD123" s="1998">
        <f>AD97/AD114</f>
        <v>0.67920471504363422</v>
      </c>
      <c r="AE123" s="1534"/>
      <c r="AF123" s="1998">
        <f>AF97/AF114</f>
        <v>0.68366434953741917</v>
      </c>
      <c r="AG123" s="7681">
        <f t="shared" si="7"/>
        <v>1.0065659651574981</v>
      </c>
      <c r="AI123" s="1998"/>
      <c r="AJ123" s="7302" t="s">
        <v>4352</v>
      </c>
      <c r="AK123" s="1998" t="e">
        <f>AK97/AK114</f>
        <v>#DIV/0!</v>
      </c>
      <c r="AL123" s="1112">
        <f t="shared" si="8"/>
        <v>0</v>
      </c>
    </row>
    <row r="124" spans="1:38" s="462" customFormat="1" ht="12" x14ac:dyDescent="0.3">
      <c r="C124" s="456"/>
      <c r="D124" s="2"/>
      <c r="E124" s="456"/>
      <c r="F124" s="456"/>
      <c r="G124" s="456"/>
      <c r="H124" s="459"/>
      <c r="I124" s="459"/>
      <c r="J124" s="7"/>
      <c r="K124" s="456"/>
      <c r="N124" s="456"/>
      <c r="O124" s="459"/>
      <c r="P124" s="459"/>
      <c r="Q124" s="459"/>
      <c r="R124" s="7"/>
      <c r="S124" s="456"/>
      <c r="W124" s="456"/>
    </row>
    <row r="125" spans="1:38" s="462" customFormat="1" ht="12" x14ac:dyDescent="0.3">
      <c r="A125" s="455" t="s">
        <v>582</v>
      </c>
      <c r="B125" s="455"/>
      <c r="C125" s="456"/>
      <c r="D125" s="2"/>
      <c r="E125" s="456"/>
      <c r="F125" s="456"/>
      <c r="G125" s="456"/>
      <c r="H125" s="459"/>
      <c r="I125" s="459"/>
      <c r="J125" s="7"/>
      <c r="K125" s="456"/>
      <c r="N125" s="456"/>
      <c r="O125" s="459"/>
      <c r="P125" s="459"/>
      <c r="Q125" s="459"/>
      <c r="R125" s="7"/>
      <c r="S125" s="456"/>
      <c r="W125" s="456"/>
    </row>
    <row r="126" spans="1:38" s="462" customFormat="1" ht="12" customHeight="1" x14ac:dyDescent="0.3">
      <c r="A126" s="463">
        <v>1</v>
      </c>
      <c r="B126" s="464" t="str">
        <f>X13</f>
        <v>Donaciones externas</v>
      </c>
      <c r="D126" s="709"/>
      <c r="E126" s="466"/>
      <c r="F126" s="466"/>
      <c r="G126" s="466"/>
      <c r="H126" s="466"/>
      <c r="I126" s="466"/>
      <c r="J126" s="467"/>
      <c r="K126" s="466"/>
      <c r="L126" s="466"/>
      <c r="M126" s="466"/>
      <c r="N126" s="456"/>
      <c r="O126" s="466"/>
      <c r="P126" s="466"/>
      <c r="Q126" s="466"/>
      <c r="R126" s="467"/>
      <c r="S126" s="466"/>
      <c r="T126" s="466"/>
      <c r="U126" s="466"/>
      <c r="V126" s="466"/>
      <c r="W126" s="456"/>
      <c r="X126" s="577"/>
    </row>
    <row r="127" spans="1:38" s="462" customFormat="1" ht="12" x14ac:dyDescent="0.3">
      <c r="A127" s="468">
        <v>2</v>
      </c>
      <c r="B127" s="469"/>
      <c r="D127" s="2"/>
      <c r="E127" s="456"/>
      <c r="F127" s="456"/>
      <c r="G127" s="456"/>
      <c r="H127" s="459"/>
      <c r="I127" s="459"/>
      <c r="J127" s="7"/>
      <c r="K127" s="456"/>
      <c r="N127" s="456"/>
      <c r="O127" s="459"/>
      <c r="P127" s="459"/>
      <c r="Q127" s="459"/>
      <c r="R127" s="7"/>
      <c r="S127" s="456"/>
      <c r="W127" s="456"/>
      <c r="X127" s="577"/>
    </row>
    <row r="128" spans="1:38" s="462" customFormat="1" ht="12" x14ac:dyDescent="0.3">
      <c r="A128" s="463">
        <v>3</v>
      </c>
      <c r="B128" s="469"/>
      <c r="D128" s="2"/>
      <c r="E128" s="456"/>
      <c r="F128" s="456"/>
      <c r="G128" s="456"/>
      <c r="H128" s="459"/>
      <c r="I128" s="459"/>
      <c r="J128" s="7"/>
      <c r="K128" s="456"/>
      <c r="N128" s="456"/>
      <c r="O128" s="459"/>
      <c r="P128" s="459"/>
      <c r="Q128" s="459"/>
      <c r="R128" s="7"/>
      <c r="S128" s="456"/>
      <c r="W128" s="456"/>
      <c r="X128" s="577"/>
    </row>
    <row r="129" spans="1:24" s="462" customFormat="1" ht="12" x14ac:dyDescent="0.3">
      <c r="A129" s="468">
        <v>4</v>
      </c>
      <c r="B129" s="469"/>
      <c r="D129" s="2"/>
      <c r="E129" s="456"/>
      <c r="F129" s="456"/>
      <c r="G129" s="456"/>
      <c r="H129" s="459"/>
      <c r="I129" s="459"/>
      <c r="J129" s="7"/>
      <c r="K129" s="456"/>
      <c r="N129" s="456"/>
      <c r="O129" s="459"/>
      <c r="P129" s="459"/>
      <c r="Q129" s="459"/>
      <c r="R129" s="7"/>
      <c r="S129" s="456"/>
      <c r="W129" s="456"/>
      <c r="X129" s="577"/>
    </row>
    <row r="130" spans="1:24" s="462" customFormat="1" ht="12" x14ac:dyDescent="0.3">
      <c r="A130" s="463">
        <v>5</v>
      </c>
      <c r="B130" s="469"/>
      <c r="D130" s="2"/>
      <c r="E130" s="456"/>
      <c r="F130" s="456"/>
      <c r="G130" s="456"/>
      <c r="H130" s="459"/>
      <c r="I130" s="459"/>
      <c r="J130" s="7"/>
      <c r="K130" s="456"/>
      <c r="N130" s="456"/>
      <c r="W130" s="456"/>
      <c r="X130" s="577"/>
    </row>
    <row r="131" spans="1:24" s="462" customFormat="1" ht="12" x14ac:dyDescent="0.3">
      <c r="A131" s="468">
        <v>6</v>
      </c>
      <c r="B131" s="469"/>
      <c r="D131" s="2"/>
      <c r="E131" s="456"/>
      <c r="F131" s="456"/>
      <c r="G131" s="456"/>
      <c r="H131" s="459"/>
      <c r="I131" s="459"/>
      <c r="J131" s="7"/>
      <c r="K131" s="456"/>
      <c r="N131" s="456"/>
      <c r="W131" s="456"/>
      <c r="X131" s="577"/>
    </row>
    <row r="132" spans="1:24" s="462" customFormat="1" ht="12" x14ac:dyDescent="0.3">
      <c r="A132" s="468"/>
      <c r="B132" s="469"/>
      <c r="D132" s="2"/>
      <c r="E132" s="456"/>
      <c r="F132" s="456"/>
      <c r="G132" s="456"/>
      <c r="H132" s="459"/>
      <c r="I132" s="459"/>
      <c r="J132" s="7"/>
      <c r="K132" s="456"/>
      <c r="N132" s="456"/>
      <c r="W132" s="456"/>
      <c r="X132" s="577"/>
    </row>
    <row r="133" spans="1:24" s="462" customFormat="1" ht="12" x14ac:dyDescent="0.3">
      <c r="A133" s="468"/>
      <c r="B133" s="469"/>
      <c r="D133" s="2"/>
      <c r="E133" s="456"/>
      <c r="F133" s="456"/>
      <c r="G133" s="456"/>
      <c r="H133" s="459"/>
      <c r="I133" s="459"/>
      <c r="J133" s="7"/>
      <c r="K133" s="456"/>
      <c r="N133" s="456"/>
      <c r="W133" s="456"/>
      <c r="X133" s="577"/>
    </row>
    <row r="134" spans="1:24" s="462" customFormat="1" x14ac:dyDescent="0.35">
      <c r="A134" s="468" t="s">
        <v>4415</v>
      </c>
      <c r="B134" s="5087" t="s">
        <v>4416</v>
      </c>
      <c r="D134" s="2"/>
      <c r="E134" s="456"/>
      <c r="F134" s="456"/>
      <c r="G134" s="456"/>
      <c r="H134" s="459"/>
      <c r="I134" s="459"/>
      <c r="J134" s="7"/>
      <c r="K134" s="456"/>
      <c r="N134" s="456"/>
      <c r="W134" s="456"/>
      <c r="X134" s="577"/>
    </row>
    <row r="135" spans="1:24" s="462" customFormat="1" x14ac:dyDescent="0.35">
      <c r="A135" s="468"/>
      <c r="B135" s="5087" t="s">
        <v>4417</v>
      </c>
      <c r="D135" s="2"/>
      <c r="E135" s="456"/>
      <c r="F135" s="456"/>
      <c r="G135" s="456"/>
      <c r="H135" s="459"/>
      <c r="I135" s="459"/>
      <c r="J135" s="7"/>
      <c r="K135" s="456"/>
      <c r="N135" s="456"/>
      <c r="W135" s="456"/>
      <c r="X135" s="577"/>
    </row>
    <row r="136" spans="1:24" s="462" customFormat="1" x14ac:dyDescent="0.35">
      <c r="A136" s="468"/>
      <c r="B136" s="5087"/>
      <c r="D136" s="2"/>
      <c r="E136" s="456"/>
      <c r="F136" s="456"/>
      <c r="G136" s="456"/>
      <c r="H136" s="459"/>
      <c r="I136" s="459"/>
      <c r="J136" s="7"/>
      <c r="K136" s="456"/>
      <c r="N136" s="456"/>
      <c r="W136" s="456"/>
      <c r="X136" s="577"/>
    </row>
    <row r="137" spans="1:24" s="462" customFormat="1" x14ac:dyDescent="0.35">
      <c r="A137" s="468"/>
      <c r="B137" s="5087"/>
      <c r="D137" s="2"/>
      <c r="E137" s="456"/>
      <c r="F137" s="456"/>
      <c r="G137" s="456"/>
      <c r="H137" s="459"/>
      <c r="I137" s="459"/>
      <c r="J137" s="7"/>
      <c r="K137" s="456"/>
      <c r="N137" s="456"/>
      <c r="O137" s="459"/>
      <c r="P137" s="459"/>
      <c r="Q137" s="459"/>
      <c r="R137" s="7"/>
      <c r="S137" s="456"/>
      <c r="W137" s="456"/>
      <c r="X137" s="577"/>
    </row>
    <row r="138" spans="1:24" s="462" customFormat="1" ht="12" x14ac:dyDescent="0.3">
      <c r="A138" s="468"/>
      <c r="B138" s="469"/>
      <c r="D138" s="2"/>
      <c r="E138" s="456"/>
      <c r="F138" s="456"/>
      <c r="G138" s="456"/>
      <c r="H138" s="459"/>
      <c r="I138" s="459"/>
      <c r="J138" s="7"/>
      <c r="K138" s="456"/>
      <c r="N138" s="456"/>
      <c r="O138" s="459"/>
      <c r="P138" s="459"/>
      <c r="Q138" s="459"/>
      <c r="R138" s="7"/>
      <c r="S138" s="456"/>
      <c r="W138" s="456"/>
      <c r="X138" s="577"/>
    </row>
    <row r="139" spans="1:24" s="462" customFormat="1" ht="12" x14ac:dyDescent="0.3">
      <c r="A139" s="468"/>
      <c r="B139" s="469"/>
      <c r="D139" s="2"/>
      <c r="E139" s="456"/>
      <c r="F139" s="456"/>
      <c r="G139" s="456"/>
      <c r="H139" s="459"/>
      <c r="I139" s="459"/>
      <c r="J139" s="7"/>
      <c r="K139" s="456"/>
      <c r="N139" s="456"/>
      <c r="O139" s="459"/>
      <c r="P139" s="459"/>
      <c r="Q139" s="459"/>
      <c r="R139" s="7"/>
      <c r="S139" s="456"/>
      <c r="W139" s="456"/>
      <c r="X139" s="577"/>
    </row>
    <row r="140" spans="1:24" s="462" customFormat="1" x14ac:dyDescent="0.35">
      <c r="A140" s="455" t="s">
        <v>583</v>
      </c>
      <c r="B140" s="455"/>
      <c r="C140" s="456"/>
      <c r="D140" s="2"/>
      <c r="E140" s="456"/>
      <c r="F140" s="456"/>
      <c r="G140" s="456"/>
      <c r="H140" s="459"/>
      <c r="I140" s="459"/>
      <c r="J140" s="7"/>
      <c r="K140" s="456"/>
      <c r="N140" s="456"/>
      <c r="O140" s="6"/>
      <c r="P140" s="6"/>
      <c r="Q140" s="6"/>
      <c r="R140" s="7"/>
      <c r="S140" s="1"/>
      <c r="T140"/>
      <c r="U140"/>
      <c r="V140"/>
      <c r="W140" s="456"/>
      <c r="X140" s="577"/>
    </row>
    <row r="141" spans="1:24" s="462" customFormat="1" ht="93" customHeight="1" x14ac:dyDescent="0.35">
      <c r="A141" s="9491"/>
      <c r="B141" s="9171"/>
      <c r="C141" s="9171"/>
      <c r="D141" s="9171"/>
      <c r="E141" s="9171"/>
      <c r="F141" s="9171"/>
      <c r="G141" s="9171"/>
      <c r="H141" s="9171"/>
      <c r="I141" s="9171"/>
      <c r="J141" s="9171"/>
      <c r="K141" s="9171"/>
      <c r="L141" s="9171"/>
      <c r="M141" s="9172"/>
      <c r="N141" s="456"/>
      <c r="O141" s="6"/>
      <c r="P141" s="6"/>
      <c r="Q141" s="6"/>
      <c r="R141" s="7"/>
      <c r="S141" s="1"/>
      <c r="T141"/>
      <c r="U141"/>
      <c r="V141"/>
      <c r="W141" s="456"/>
      <c r="X141" s="577"/>
    </row>
  </sheetData>
  <mergeCells count="38">
    <mergeCell ref="AD4:AF4"/>
    <mergeCell ref="H5:J5"/>
    <mergeCell ref="L5:M5"/>
    <mergeCell ref="O5:R5"/>
    <mergeCell ref="T5:V5"/>
    <mergeCell ref="Z5:AB5"/>
    <mergeCell ref="A96:A105"/>
    <mergeCell ref="A107:A123"/>
    <mergeCell ref="A141:M141"/>
    <mergeCell ref="AD5:AF5"/>
    <mergeCell ref="Z7:AB7"/>
    <mergeCell ref="AD7:AF7"/>
    <mergeCell ref="A10:A31"/>
    <mergeCell ref="H10:I10"/>
    <mergeCell ref="L10:M10"/>
    <mergeCell ref="O10:P10"/>
    <mergeCell ref="H7:I7"/>
    <mergeCell ref="J7:J8"/>
    <mergeCell ref="L7:M7"/>
    <mergeCell ref="O7:P7"/>
    <mergeCell ref="R7:R8"/>
    <mergeCell ref="T7:V7"/>
    <mergeCell ref="AI1:AK1"/>
    <mergeCell ref="AI4:AK4"/>
    <mergeCell ref="AI5:AK5"/>
    <mergeCell ref="AI7:AK7"/>
    <mergeCell ref="A33:A94"/>
    <mergeCell ref="O33:P33"/>
    <mergeCell ref="F1:M1"/>
    <mergeCell ref="O1:V1"/>
    <mergeCell ref="Z1:AB1"/>
    <mergeCell ref="AD1:AF1"/>
    <mergeCell ref="H4:J4"/>
    <mergeCell ref="L4:M4"/>
    <mergeCell ref="O4:R4"/>
    <mergeCell ref="T4:V4"/>
    <mergeCell ref="X4:X5"/>
    <mergeCell ref="Z4:AB4"/>
  </mergeCells>
  <hyperlinks>
    <hyperlink ref="B134" r:id="rId1" xr:uid="{00000000-0004-0000-1F00-000000000000}"/>
    <hyperlink ref="Q10" r:id="rId2" xr:uid="{00000000-0004-0000-1F00-000001000000}"/>
    <hyperlink ref="U10" r:id="rId3" xr:uid="{00000000-0004-0000-1F00-000002000000}"/>
    <hyperlink ref="Q33" r:id="rId4" xr:uid="{00000000-0004-0000-1F00-000003000000}"/>
    <hyperlink ref="U33" r:id="rId5" xr:uid="{00000000-0004-0000-1F00-000004000000}"/>
    <hyperlink ref="AA33" r:id="rId6" xr:uid="{00000000-0004-0000-1F00-000005000000}"/>
    <hyperlink ref="B135" r:id="rId7" xr:uid="{00000000-0004-0000-1F00-000006000000}"/>
    <hyperlink ref="AB10" r:id="rId8" xr:uid="{00000000-0004-0000-1F00-000007000000}"/>
    <hyperlink ref="AE10" r:id="rId9" xr:uid="{00000000-0004-0000-1F00-000008000000}"/>
    <hyperlink ref="AE33" r:id="rId10" xr:uid="{00000000-0004-0000-1F00-000009000000}"/>
    <hyperlink ref="AJ10" r:id="rId11" xr:uid="{CC0DAA41-EB1C-443E-ABBD-9F6A657545AA}"/>
    <hyperlink ref="AJ16" r:id="rId12" xr:uid="{EE5A781F-1EA0-448F-AAB2-43B30F60F7C4}"/>
    <hyperlink ref="AJ33" r:id="rId13" xr:uid="{4F716DFF-B12D-4A23-AE4C-03DAC160361B}"/>
  </hyperlinks>
  <pageMargins left="0.23622047244094491" right="0.23622047244094491" top="0.35433070866141736" bottom="0.35433070866141736" header="0.31496062992125984" footer="0.31496062992125984"/>
  <pageSetup paperSize="9" scale="56" orientation="portrait" horizontalDpi="4294967293" r:id="rId1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136"/>
  <sheetViews>
    <sheetView topLeftCell="A62" zoomScale="75" zoomScaleNormal="82" workbookViewId="0">
      <pane xSplit="4" topLeftCell="AJ1" activePane="topRight" state="frozen"/>
      <selection activeCell="A67" sqref="A67"/>
      <selection pane="topRight" activeCell="AJ105" sqref="AJ105"/>
    </sheetView>
  </sheetViews>
  <sheetFormatPr defaultColWidth="9"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235" customWidth="1"/>
    <col min="7" max="7" width="1.6328125" style="235" customWidth="1"/>
    <col min="8" max="9" width="21.6328125" style="253" customWidth="1"/>
    <col min="10" max="10" width="8.6328125" style="7" customWidth="1"/>
    <col min="11" max="11" width="1.6328125" style="1" customWidth="1"/>
    <col min="12" max="13" width="21.6328125" style="254" customWidth="1"/>
    <col min="14" max="14" width="1.6328125" style="235" customWidth="1"/>
    <col min="15" max="16" width="21.6328125" style="254" customWidth="1"/>
    <col min="17" max="17" width="1.6328125" style="235" customWidth="1"/>
    <col min="18" max="19" width="21.6328125" style="254" customWidth="1"/>
    <col min="20" max="20" width="11" style="254" customWidth="1"/>
    <col min="21" max="21" width="1.6328125" style="235" customWidth="1"/>
    <col min="22" max="24" width="21.81640625" style="254" customWidth="1"/>
    <col min="25" max="25" width="1.6328125" style="1" customWidth="1"/>
    <col min="26" max="27" width="21.6328125" style="254" customWidth="1"/>
    <col min="28" max="28" width="18.1796875" style="254" customWidth="1"/>
    <col min="29" max="29" width="11" style="254" customWidth="1"/>
    <col min="30" max="30" width="1.6328125" style="235" customWidth="1"/>
    <col min="31" max="33" width="21.81640625" style="254" customWidth="1"/>
    <col min="34" max="34" width="1.6328125" style="1" customWidth="1"/>
    <col min="35" max="36" width="21.6328125" style="254" customWidth="1"/>
    <col min="37" max="37" width="18.1796875" style="254" customWidth="1"/>
    <col min="38" max="38" width="11" style="254" customWidth="1"/>
    <col min="39" max="39" width="1.6328125" style="235" customWidth="1"/>
    <col min="40" max="42" width="21.81640625" style="254" customWidth="1"/>
    <col min="43" max="43" width="1.6328125" style="1" customWidth="1"/>
    <col min="44" max="44" width="47.6328125" style="4655" customWidth="1"/>
    <col min="45" max="46" width="21.6328125" style="7780" customWidth="1"/>
    <col min="47" max="47" width="18.1796875" style="7780" customWidth="1"/>
    <col min="48" max="48" width="11" style="7780" customWidth="1"/>
    <col min="49" max="49" width="1.6328125" style="3276" customWidth="1"/>
    <col min="50" max="52" width="21.81640625" style="7780" customWidth="1"/>
    <col min="53" max="53" width="3.81640625" style="4655" customWidth="1"/>
    <col min="54" max="55" width="21.6328125" style="7780" customWidth="1"/>
    <col min="56" max="56" width="18.1796875" style="7780" customWidth="1"/>
    <col min="57" max="57" width="11" style="7780" customWidth="1"/>
    <col min="58" max="58" width="1.6328125" style="3276" customWidth="1"/>
    <col min="59" max="59" width="21.81640625" style="7780" customWidth="1"/>
    <col min="60" max="61" width="21.81640625" style="254" customWidth="1"/>
  </cols>
  <sheetData>
    <row r="1" spans="1:61" s="470" customFormat="1" ht="31" customHeight="1" x14ac:dyDescent="0.7">
      <c r="A1" s="1114" t="s">
        <v>4418</v>
      </c>
      <c r="B1" s="1"/>
      <c r="C1" s="1"/>
      <c r="F1" s="9118" t="s">
        <v>823</v>
      </c>
      <c r="G1" s="9119"/>
      <c r="H1" s="9119"/>
      <c r="I1" s="9119"/>
      <c r="J1" s="9119"/>
      <c r="K1" s="9119"/>
      <c r="L1" s="9119"/>
      <c r="M1" s="9119"/>
      <c r="N1" s="9119"/>
      <c r="O1" s="9119"/>
      <c r="P1" s="9120"/>
      <c r="R1" s="9121" t="s">
        <v>824</v>
      </c>
      <c r="S1" s="9122"/>
      <c r="T1" s="9122"/>
      <c r="U1" s="9122"/>
      <c r="V1" s="9122"/>
      <c r="W1" s="9122"/>
      <c r="X1" s="9123"/>
      <c r="Z1" s="9500" t="s">
        <v>825</v>
      </c>
      <c r="AA1" s="9501"/>
      <c r="AB1" s="9501"/>
      <c r="AC1" s="9501"/>
      <c r="AD1" s="9501"/>
      <c r="AE1" s="9501"/>
      <c r="AF1" s="9501"/>
      <c r="AG1" s="9502"/>
      <c r="AI1" s="9500" t="s">
        <v>826</v>
      </c>
      <c r="AJ1" s="9501"/>
      <c r="AK1" s="9501"/>
      <c r="AL1" s="9501"/>
      <c r="AM1" s="9501"/>
      <c r="AN1" s="9501"/>
      <c r="AO1" s="9501"/>
      <c r="AP1" s="9502"/>
      <c r="AR1" s="8560"/>
      <c r="AS1" s="9509" t="s">
        <v>827</v>
      </c>
      <c r="AT1" s="9510"/>
      <c r="AU1" s="9510"/>
      <c r="AV1" s="9510"/>
      <c r="AW1" s="9510"/>
      <c r="AX1" s="9510"/>
      <c r="AY1" s="9510"/>
      <c r="AZ1" s="9511"/>
      <c r="BA1" s="8560"/>
      <c r="BB1" s="8560"/>
      <c r="BC1" s="9504" t="s">
        <v>828</v>
      </c>
      <c r="BD1" s="9505"/>
      <c r="BE1" s="9505"/>
      <c r="BF1" s="9505"/>
      <c r="BG1" s="9505"/>
      <c r="BH1" s="9505"/>
      <c r="BI1" s="9505"/>
    </row>
    <row r="2" spans="1:61" ht="21" x14ac:dyDescent="0.5">
      <c r="B2" s="1" t="s">
        <v>829</v>
      </c>
      <c r="C2" s="4" t="s">
        <v>58</v>
      </c>
      <c r="H2" s="254"/>
      <c r="S2" s="3667" t="s">
        <v>4419</v>
      </c>
    </row>
    <row r="4" spans="1:61" s="8" customFormat="1" ht="15.25" customHeight="1" x14ac:dyDescent="0.35">
      <c r="D4" s="471"/>
      <c r="F4" s="2663" t="s">
        <v>830</v>
      </c>
      <c r="G4" s="8355"/>
      <c r="H4" s="9130" t="s">
        <v>831</v>
      </c>
      <c r="I4" s="9131"/>
      <c r="J4" s="9132"/>
      <c r="L4" s="9458" t="s">
        <v>3788</v>
      </c>
      <c r="M4" s="9460"/>
      <c r="N4" s="8355"/>
      <c r="O4" s="9458" t="s">
        <v>832</v>
      </c>
      <c r="P4" s="9460"/>
      <c r="Q4" s="8355"/>
      <c r="R4" s="9503" t="s">
        <v>833</v>
      </c>
      <c r="S4" s="9503"/>
      <c r="T4" s="9503"/>
      <c r="U4" s="8355"/>
      <c r="V4" s="9503" t="s">
        <v>1289</v>
      </c>
      <c r="W4" s="9503"/>
      <c r="X4" s="9503"/>
      <c r="Z4" s="9503" t="s">
        <v>833</v>
      </c>
      <c r="AA4" s="9503"/>
      <c r="AB4" s="9503"/>
      <c r="AC4" s="8355"/>
      <c r="AD4" s="8355"/>
      <c r="AE4" s="9503" t="s">
        <v>1289</v>
      </c>
      <c r="AF4" s="9503"/>
      <c r="AG4" s="9503"/>
      <c r="AI4" s="9503" t="s">
        <v>833</v>
      </c>
      <c r="AJ4" s="9503"/>
      <c r="AK4" s="9503"/>
      <c r="AL4" s="8355"/>
      <c r="AM4" s="8355"/>
      <c r="AN4" s="9503" t="s">
        <v>1289</v>
      </c>
      <c r="AO4" s="9503"/>
      <c r="AP4" s="9503"/>
      <c r="AR4" s="9497" t="s">
        <v>404</v>
      </c>
      <c r="AS4" s="9503" t="s">
        <v>833</v>
      </c>
      <c r="AT4" s="9503"/>
      <c r="AU4" s="9503"/>
      <c r="AV4" s="8355"/>
      <c r="AW4" s="8355"/>
      <c r="AX4" s="9503" t="s">
        <v>1289</v>
      </c>
      <c r="AY4" s="9503"/>
      <c r="AZ4" s="9503"/>
      <c r="BA4" s="1835"/>
      <c r="BB4" s="9506" t="s">
        <v>833</v>
      </c>
      <c r="BC4" s="9506"/>
      <c r="BD4" s="9506"/>
      <c r="BE4" s="2663"/>
      <c r="BF4" s="8355"/>
      <c r="BG4" s="8355"/>
      <c r="BH4" s="9506" t="s">
        <v>1289</v>
      </c>
      <c r="BI4" s="9506"/>
    </row>
    <row r="5" spans="1:61" s="3668" customFormat="1" x14ac:dyDescent="0.35">
      <c r="B5" s="2668" t="s">
        <v>835</v>
      </c>
      <c r="C5" s="3669">
        <v>2002</v>
      </c>
      <c r="D5" s="3670"/>
      <c r="E5" s="2668"/>
      <c r="F5" s="2666">
        <v>2011</v>
      </c>
      <c r="G5" s="2667"/>
      <c r="H5" s="9461">
        <v>2013</v>
      </c>
      <c r="I5" s="9462"/>
      <c r="J5" s="9463"/>
      <c r="K5" s="2667"/>
      <c r="L5" s="9461">
        <v>2014</v>
      </c>
      <c r="M5" s="9463"/>
      <c r="N5" s="2668"/>
      <c r="O5" s="9461">
        <v>2015</v>
      </c>
      <c r="P5" s="9463"/>
      <c r="Q5" s="2668"/>
      <c r="R5" s="9499">
        <v>2015</v>
      </c>
      <c r="S5" s="9499"/>
      <c r="T5" s="9499"/>
      <c r="U5" s="2668"/>
      <c r="V5" s="9499">
        <v>2016</v>
      </c>
      <c r="W5" s="9499"/>
      <c r="X5" s="9499"/>
      <c r="Y5" s="2668"/>
      <c r="Z5" s="9499">
        <v>2016</v>
      </c>
      <c r="AA5" s="9499"/>
      <c r="AB5" s="9499"/>
      <c r="AC5" s="8356"/>
      <c r="AD5" s="2668"/>
      <c r="AE5" s="9499">
        <v>2017</v>
      </c>
      <c r="AF5" s="9499"/>
      <c r="AG5" s="9499"/>
      <c r="AH5" s="2668"/>
      <c r="AI5" s="9499">
        <v>2017</v>
      </c>
      <c r="AJ5" s="9499"/>
      <c r="AK5" s="9499"/>
      <c r="AL5" s="8356"/>
      <c r="AM5" s="2668"/>
      <c r="AN5" s="9499">
        <v>2018</v>
      </c>
      <c r="AO5" s="9499"/>
      <c r="AP5" s="9499"/>
      <c r="AQ5" s="2668"/>
      <c r="AR5" s="9498"/>
      <c r="AS5" s="9512">
        <v>2018</v>
      </c>
      <c r="AT5" s="9512"/>
      <c r="AU5" s="9512"/>
      <c r="AV5" s="8561"/>
      <c r="AW5" s="8562"/>
      <c r="AX5" s="9512">
        <v>2019</v>
      </c>
      <c r="AY5" s="9512"/>
      <c r="AZ5" s="9512"/>
      <c r="BA5" s="1835"/>
      <c r="BB5" s="9513">
        <v>2019</v>
      </c>
      <c r="BC5" s="9513"/>
      <c r="BD5" s="9513"/>
      <c r="BE5" s="8563"/>
      <c r="BF5" s="8562"/>
      <c r="BG5" s="8562"/>
      <c r="BH5" s="9507">
        <v>2020</v>
      </c>
      <c r="BI5" s="9507"/>
    </row>
    <row r="6" spans="1:61" x14ac:dyDescent="0.35">
      <c r="C6"/>
      <c r="F6" s="253"/>
      <c r="L6" s="2669"/>
      <c r="O6" s="2669"/>
      <c r="AR6" s="8788"/>
      <c r="BA6" s="8564"/>
    </row>
    <row r="7" spans="1:61" ht="12.75" customHeight="1" x14ac:dyDescent="0.35">
      <c r="B7" s="1" t="s">
        <v>836</v>
      </c>
      <c r="C7" s="15" t="s">
        <v>4420</v>
      </c>
      <c r="D7" s="5" t="s">
        <v>417</v>
      </c>
      <c r="F7" s="2670"/>
      <c r="H7" s="9470" t="s">
        <v>4421</v>
      </c>
      <c r="I7" s="9470"/>
      <c r="J7" s="9147" t="s">
        <v>839</v>
      </c>
      <c r="L7" s="9455" t="s">
        <v>4421</v>
      </c>
      <c r="M7" s="9457"/>
      <c r="O7" s="9455" t="s">
        <v>4421</v>
      </c>
      <c r="P7" s="9457"/>
      <c r="R7" s="9492" t="s">
        <v>4421</v>
      </c>
      <c r="S7" s="9492"/>
      <c r="T7" s="9492"/>
      <c r="V7" s="3672"/>
      <c r="W7" s="3672"/>
      <c r="X7" s="3672"/>
      <c r="Z7" s="9492" t="s">
        <v>4421</v>
      </c>
      <c r="AA7" s="9492"/>
      <c r="AB7" s="9492"/>
      <c r="AC7" s="3672"/>
      <c r="AE7" s="3672"/>
      <c r="AF7" s="3672"/>
      <c r="AG7" s="3672"/>
      <c r="AI7" s="9492" t="s">
        <v>4421</v>
      </c>
      <c r="AJ7" s="9492"/>
      <c r="AK7" s="9492"/>
      <c r="AL7" s="3672"/>
      <c r="AN7" s="9492" t="s">
        <v>4421</v>
      </c>
      <c r="AO7" s="9492"/>
      <c r="AP7" s="9492"/>
      <c r="AR7" s="7859"/>
      <c r="AS7" s="9508" t="s">
        <v>4421</v>
      </c>
      <c r="AT7" s="9508"/>
      <c r="AU7" s="9508"/>
      <c r="AV7" s="8565"/>
      <c r="AX7" s="9508" t="s">
        <v>4421</v>
      </c>
      <c r="AY7" s="9508"/>
      <c r="AZ7" s="9508"/>
      <c r="BB7" s="9508" t="s">
        <v>4421</v>
      </c>
      <c r="BC7" s="9508"/>
      <c r="BD7" s="9508"/>
      <c r="BE7" s="8565"/>
      <c r="BG7" s="3276"/>
      <c r="BH7" s="9492" t="s">
        <v>4421</v>
      </c>
      <c r="BI7" s="9492"/>
    </row>
    <row r="8" spans="1:61" ht="14.5" customHeight="1" x14ac:dyDescent="0.35">
      <c r="B8" s="1" t="s">
        <v>841</v>
      </c>
      <c r="C8" s="19" t="s">
        <v>1121</v>
      </c>
      <c r="F8" s="2671" t="s">
        <v>843</v>
      </c>
      <c r="H8" s="2672" t="s">
        <v>844</v>
      </c>
      <c r="I8" s="2671" t="s">
        <v>843</v>
      </c>
      <c r="J8" s="9148"/>
      <c r="L8" s="2672" t="s">
        <v>844</v>
      </c>
      <c r="M8" s="2671" t="s">
        <v>843</v>
      </c>
      <c r="O8" s="2672" t="s">
        <v>844</v>
      </c>
      <c r="P8" s="2671" t="s">
        <v>843</v>
      </c>
      <c r="R8" s="720" t="s">
        <v>424</v>
      </c>
      <c r="S8" s="720" t="s">
        <v>845</v>
      </c>
      <c r="T8" s="720" t="s">
        <v>846</v>
      </c>
      <c r="V8" s="720" t="s">
        <v>424</v>
      </c>
      <c r="W8" s="720" t="s">
        <v>846</v>
      </c>
      <c r="X8" s="720" t="s">
        <v>1373</v>
      </c>
      <c r="Z8" s="720" t="s">
        <v>424</v>
      </c>
      <c r="AA8" s="720" t="s">
        <v>845</v>
      </c>
      <c r="AB8" s="720" t="s">
        <v>4415</v>
      </c>
      <c r="AC8" s="720" t="s">
        <v>2015</v>
      </c>
      <c r="AE8" s="720" t="s">
        <v>424</v>
      </c>
      <c r="AF8" s="720" t="s">
        <v>846</v>
      </c>
      <c r="AG8" s="720" t="s">
        <v>1373</v>
      </c>
      <c r="AI8" s="720" t="s">
        <v>424</v>
      </c>
      <c r="AJ8" s="720" t="s">
        <v>845</v>
      </c>
      <c r="AK8" s="720" t="s">
        <v>4415</v>
      </c>
      <c r="AL8" s="720" t="s">
        <v>2015</v>
      </c>
      <c r="AN8" s="720" t="s">
        <v>424</v>
      </c>
      <c r="AO8" s="720" t="s">
        <v>846</v>
      </c>
      <c r="AP8" s="720" t="s">
        <v>1373</v>
      </c>
      <c r="AR8" s="3644"/>
      <c r="AS8" s="5997" t="s">
        <v>424</v>
      </c>
      <c r="AT8" s="5997" t="s">
        <v>845</v>
      </c>
      <c r="AU8" s="5997" t="s">
        <v>4415</v>
      </c>
      <c r="AV8" s="5997" t="s">
        <v>2015</v>
      </c>
      <c r="AX8" s="5997" t="s">
        <v>424</v>
      </c>
      <c r="AY8" s="5997" t="s">
        <v>846</v>
      </c>
      <c r="AZ8" s="5997" t="s">
        <v>1373</v>
      </c>
      <c r="BA8" s="257"/>
      <c r="BB8" s="5997" t="s">
        <v>424</v>
      </c>
      <c r="BC8" s="5997" t="s">
        <v>845</v>
      </c>
      <c r="BD8" s="5997" t="s">
        <v>4415</v>
      </c>
      <c r="BE8" s="5997" t="s">
        <v>2015</v>
      </c>
      <c r="BG8" s="5997" t="s">
        <v>424</v>
      </c>
      <c r="BH8" s="720" t="s">
        <v>846</v>
      </c>
      <c r="BI8" s="720" t="s">
        <v>1373</v>
      </c>
    </row>
    <row r="9" spans="1:61" x14ac:dyDescent="0.35">
      <c r="C9"/>
      <c r="E9"/>
      <c r="F9" s="254"/>
      <c r="G9" s="254"/>
      <c r="H9" s="254"/>
      <c r="I9" s="254"/>
      <c r="J9" s="25"/>
      <c r="K9"/>
      <c r="N9" s="254"/>
      <c r="Q9" s="254"/>
      <c r="U9" s="254"/>
      <c r="Y9"/>
      <c r="AD9" s="254"/>
      <c r="AH9"/>
      <c r="AM9" s="254"/>
      <c r="AQ9"/>
      <c r="AW9" s="7780"/>
      <c r="BF9" s="7780"/>
    </row>
    <row r="10" spans="1:61" ht="33.25" customHeight="1" x14ac:dyDescent="0.35">
      <c r="A10" s="9167" t="s">
        <v>854</v>
      </c>
      <c r="B10" s="27"/>
      <c r="C10" s="28" t="s">
        <v>427</v>
      </c>
      <c r="D10" s="29" t="s">
        <v>428</v>
      </c>
      <c r="E10" s="30"/>
      <c r="F10" s="2679" t="s">
        <v>1126</v>
      </c>
      <c r="G10" s="2680"/>
      <c r="H10" s="2679" t="s">
        <v>1126</v>
      </c>
      <c r="I10" s="2679" t="s">
        <v>1126</v>
      </c>
      <c r="J10" s="32"/>
      <c r="K10" s="33"/>
      <c r="L10" s="9493" t="s">
        <v>4422</v>
      </c>
      <c r="M10" s="9494"/>
      <c r="N10" s="2681"/>
      <c r="O10" s="9493" t="s">
        <v>4423</v>
      </c>
      <c r="P10" s="9494"/>
      <c r="Q10" s="2681"/>
      <c r="R10" s="2679" t="s">
        <v>4424</v>
      </c>
      <c r="S10" s="2679"/>
      <c r="T10" s="3673"/>
      <c r="U10" s="2681"/>
      <c r="V10" s="36" t="s">
        <v>4425</v>
      </c>
      <c r="W10" s="2821"/>
      <c r="X10" s="2687"/>
      <c r="Y10" s="33"/>
      <c r="Z10" s="9495" t="s">
        <v>4426</v>
      </c>
      <c r="AA10" s="9496"/>
      <c r="AB10" s="3674" t="s">
        <v>4427</v>
      </c>
      <c r="AC10" s="3675"/>
      <c r="AD10" s="2681"/>
      <c r="AE10" s="3676" t="s">
        <v>4428</v>
      </c>
      <c r="AF10" s="3677" t="s">
        <v>4429</v>
      </c>
      <c r="AG10" s="3676" t="s">
        <v>4428</v>
      </c>
      <c r="AH10" s="33"/>
      <c r="AI10" s="9495" t="str">
        <f>AE10</f>
        <v>RAPPORT D’EXECUTION DU BUDGET GENERAL DE L’ETAT AU TITRE DU QUATRIEME TRIMESTRE 2017
Version provisoire, JANVIER 2018</v>
      </c>
      <c r="AJ10" s="9496"/>
      <c r="AK10" s="3674" t="s">
        <v>4427</v>
      </c>
      <c r="AL10" s="3675"/>
      <c r="AM10" s="2681"/>
      <c r="AN10" s="36" t="s">
        <v>4430</v>
      </c>
      <c r="AO10" s="3677" t="s">
        <v>4431</v>
      </c>
      <c r="AP10" s="36" t="s">
        <v>4432</v>
      </c>
      <c r="AQ10" s="33"/>
      <c r="AR10" s="726"/>
      <c r="AS10" s="36" t="s">
        <v>4433</v>
      </c>
      <c r="AT10" s="36"/>
      <c r="AU10" s="3674" t="s">
        <v>4434</v>
      </c>
      <c r="AV10" s="8566"/>
      <c r="AW10" s="6003"/>
      <c r="AX10" s="36" t="s">
        <v>4435</v>
      </c>
      <c r="AY10" s="3677" t="s">
        <v>4436</v>
      </c>
      <c r="AZ10" s="36"/>
      <c r="BA10" s="6850"/>
      <c r="BB10" s="9155" t="s">
        <v>4437</v>
      </c>
      <c r="BC10" s="9156"/>
      <c r="BD10" s="3674" t="s">
        <v>4434</v>
      </c>
      <c r="BE10" s="8566"/>
      <c r="BF10" s="6003"/>
      <c r="BG10" s="36" t="s">
        <v>4438</v>
      </c>
      <c r="BH10" s="3677" t="s">
        <v>4436</v>
      </c>
      <c r="BI10" s="36" t="s">
        <v>4439</v>
      </c>
    </row>
    <row r="11" spans="1:61" ht="12.75" customHeight="1" x14ac:dyDescent="0.35">
      <c r="A11" s="9168"/>
      <c r="B11" s="3678" t="s">
        <v>870</v>
      </c>
      <c r="C11" s="3679"/>
      <c r="D11" s="42"/>
      <c r="E11" s="43"/>
      <c r="F11" s="3680"/>
      <c r="G11" s="254"/>
      <c r="H11" s="3681"/>
      <c r="I11" s="3682"/>
      <c r="J11" s="47"/>
      <c r="K11" s="48"/>
      <c r="L11" s="3683"/>
      <c r="M11" s="3682"/>
      <c r="N11" s="2693"/>
      <c r="O11" s="3683"/>
      <c r="P11" s="3684"/>
      <c r="Q11" s="2693"/>
      <c r="R11" s="3681"/>
      <c r="S11" s="3682"/>
      <c r="T11" s="268"/>
      <c r="U11" s="2693"/>
      <c r="V11" s="3683"/>
      <c r="W11" s="3685"/>
      <c r="X11" s="3686"/>
      <c r="Y11" s="43"/>
      <c r="Z11" s="3681"/>
      <c r="AA11" s="3682"/>
      <c r="AB11" s="254" t="s">
        <v>4440</v>
      </c>
      <c r="AC11" s="268"/>
      <c r="AD11" s="2693"/>
      <c r="AE11" s="3683"/>
      <c r="AF11" s="3687" t="s">
        <v>4441</v>
      </c>
      <c r="AG11" s="3686"/>
      <c r="AH11" s="50"/>
      <c r="AI11" s="3683"/>
      <c r="AJ11" s="3686"/>
      <c r="AK11" s="3688" t="s">
        <v>4441</v>
      </c>
      <c r="AL11" s="268"/>
      <c r="AM11" s="2693"/>
      <c r="AN11" s="3683"/>
      <c r="AO11" s="3689" t="s">
        <v>4442</v>
      </c>
      <c r="AP11" s="3690"/>
      <c r="AQ11" s="50"/>
      <c r="AR11" s="7859"/>
      <c r="AS11" s="3683"/>
      <c r="AT11" s="3686"/>
      <c r="AU11" s="8567" t="s">
        <v>4443</v>
      </c>
      <c r="AV11" s="3281"/>
      <c r="AW11" s="8568"/>
      <c r="AX11" s="3683"/>
      <c r="AY11" s="8567" t="s">
        <v>4444</v>
      </c>
      <c r="AZ11" s="3690"/>
      <c r="BA11" s="6850"/>
      <c r="BB11" s="8569"/>
      <c r="BC11" s="8570"/>
      <c r="BD11" s="8567" t="s">
        <v>4444</v>
      </c>
      <c r="BE11" s="3281"/>
      <c r="BF11" s="8568"/>
      <c r="BG11" s="8569"/>
      <c r="BH11" s="7669" t="s">
        <v>4444</v>
      </c>
      <c r="BI11" s="8570" t="s">
        <v>4445</v>
      </c>
    </row>
    <row r="12" spans="1:61" x14ac:dyDescent="0.35">
      <c r="A12" s="9168"/>
      <c r="B12" s="1478"/>
      <c r="C12" s="1396" t="s">
        <v>4446</v>
      </c>
      <c r="D12" s="60"/>
      <c r="F12" s="3691"/>
      <c r="G12" s="1112"/>
      <c r="H12" s="3692"/>
      <c r="I12" s="3693"/>
      <c r="J12" s="64">
        <f>IF(H12=0,0,I12/H12)</f>
        <v>0</v>
      </c>
      <c r="K12" s="65"/>
      <c r="L12" s="3692">
        <v>1012.49</v>
      </c>
      <c r="M12" s="3693">
        <v>905.75</v>
      </c>
      <c r="N12" s="2709"/>
      <c r="O12" s="3692">
        <v>1003.46</v>
      </c>
      <c r="P12" s="3694">
        <v>1063.01</v>
      </c>
      <c r="Q12" s="2709"/>
      <c r="R12" s="3692">
        <f>930.27+21.61+73.35</f>
        <v>1025.23</v>
      </c>
      <c r="S12" s="3695"/>
      <c r="T12" s="247" t="s">
        <v>4447</v>
      </c>
      <c r="U12" s="2709"/>
      <c r="V12" s="3692">
        <f>928.66+21.61+81.29</f>
        <v>1031.56</v>
      </c>
      <c r="W12" s="3687" t="s">
        <v>4448</v>
      </c>
      <c r="X12" s="3696"/>
      <c r="Z12" s="3692">
        <v>986.29</v>
      </c>
      <c r="AA12" s="3695">
        <v>819.43</v>
      </c>
      <c r="AC12" s="247"/>
      <c r="AD12" s="2709"/>
      <c r="AE12" s="3692">
        <v>1012.75</v>
      </c>
      <c r="AG12" s="3696">
        <v>830.66</v>
      </c>
      <c r="AH12" s="67"/>
      <c r="AI12" s="3692">
        <v>1012.75</v>
      </c>
      <c r="AJ12" s="3696">
        <v>830.66</v>
      </c>
      <c r="AK12" s="3697"/>
      <c r="AL12" s="8789">
        <f>AJ12/AI12</f>
        <v>0.82020241915576397</v>
      </c>
      <c r="AM12" s="2709"/>
      <c r="AN12" s="3692">
        <f>1449.188607507-AN14</f>
        <v>1031.8611935069998</v>
      </c>
      <c r="AP12" s="3699">
        <f>AN12*AL12</f>
        <v>846.33504714739513</v>
      </c>
      <c r="AQ12" s="67"/>
      <c r="AR12" s="257"/>
      <c r="AS12" s="8571">
        <v>1087.54</v>
      </c>
      <c r="AT12" s="8572">
        <v>1090.3499999999999</v>
      </c>
      <c r="AU12" s="8573" t="s">
        <v>4449</v>
      </c>
      <c r="AV12" s="8574">
        <f>AT12/AS12</f>
        <v>1.0025838130091766</v>
      </c>
      <c r="AW12" s="8575"/>
      <c r="AX12" s="8571">
        <v>1135.4100000000001</v>
      </c>
      <c r="AY12" s="8576" t="s">
        <v>4450</v>
      </c>
      <c r="AZ12" s="8577">
        <v>1144.3399999999999</v>
      </c>
      <c r="BA12" s="6850"/>
      <c r="BB12" s="8571">
        <v>1135.4100000000001</v>
      </c>
      <c r="BC12" s="8572">
        <v>1144.3399999999999</v>
      </c>
      <c r="BD12" s="8573" t="s">
        <v>4450</v>
      </c>
      <c r="BE12" s="8574">
        <f>BC12/BB12</f>
        <v>1.0078650003082585</v>
      </c>
      <c r="BF12" s="8575"/>
      <c r="BG12" s="8571">
        <v>1057.54</v>
      </c>
      <c r="BH12" s="3709" t="s">
        <v>4451</v>
      </c>
      <c r="BI12" s="3696">
        <f>880.31*12/9</f>
        <v>1173.7466666666667</v>
      </c>
    </row>
    <row r="13" spans="1:61" x14ac:dyDescent="0.35">
      <c r="A13" s="9168"/>
      <c r="B13" s="1478"/>
      <c r="C13" s="1396" t="s">
        <v>878</v>
      </c>
      <c r="D13" s="60"/>
      <c r="F13" s="3691"/>
      <c r="G13" s="1112"/>
      <c r="H13" s="3692"/>
      <c r="I13" s="3693"/>
      <c r="J13" s="73">
        <f>IF(H13=0,0,I13/H13)</f>
        <v>0</v>
      </c>
      <c r="K13" s="65"/>
      <c r="L13" s="3692">
        <v>664.4</v>
      </c>
      <c r="M13" s="3693">
        <v>420.45</v>
      </c>
      <c r="N13" s="2709"/>
      <c r="O13" s="3692">
        <v>331.83</v>
      </c>
      <c r="P13" s="3694">
        <v>219.77</v>
      </c>
      <c r="Q13" s="2709"/>
      <c r="R13" s="3692">
        <v>681.91</v>
      </c>
      <c r="S13" s="3695"/>
      <c r="T13" s="247"/>
      <c r="U13" s="2709"/>
      <c r="V13" s="3692">
        <f>263.45+82.3+234.16</f>
        <v>579.91</v>
      </c>
      <c r="W13" s="3687"/>
      <c r="X13" s="3696"/>
      <c r="Z13" s="3692"/>
      <c r="AA13" s="3695"/>
      <c r="AC13" s="247"/>
      <c r="AD13" s="2709"/>
      <c r="AE13" s="3692"/>
      <c r="AF13" s="3687"/>
      <c r="AG13" s="3696"/>
      <c r="AH13" s="67"/>
      <c r="AI13" s="3692"/>
      <c r="AJ13" s="3696"/>
      <c r="AK13" s="2867"/>
      <c r="AL13" s="8789"/>
      <c r="AM13" s="2709"/>
      <c r="AN13" s="3692"/>
      <c r="AO13" s="3689"/>
      <c r="AP13" s="3699"/>
      <c r="AQ13" s="67"/>
      <c r="AR13" s="257"/>
      <c r="AS13" s="8571"/>
      <c r="AT13" s="8572"/>
      <c r="AU13" s="8575"/>
      <c r="AV13" s="8574"/>
      <c r="AW13" s="8575"/>
      <c r="AX13" s="8571"/>
      <c r="AY13" s="8578"/>
      <c r="AZ13" s="8577"/>
      <c r="BA13" s="6850"/>
      <c r="BB13" s="8571"/>
      <c r="BC13" s="8572"/>
      <c r="BD13" s="8575"/>
      <c r="BE13" s="8574"/>
      <c r="BF13" s="8575"/>
      <c r="BG13" s="8571"/>
      <c r="BH13" s="3689"/>
      <c r="BI13" s="3696"/>
    </row>
    <row r="14" spans="1:61" x14ac:dyDescent="0.35">
      <c r="A14" s="9168"/>
      <c r="B14" s="3700"/>
      <c r="C14" s="3701" t="s">
        <v>4452</v>
      </c>
      <c r="D14" s="60"/>
      <c r="F14" s="3702"/>
      <c r="G14" s="1112"/>
      <c r="H14" s="3703"/>
      <c r="I14" s="3704"/>
      <c r="J14" s="73"/>
      <c r="K14" s="80"/>
      <c r="L14" s="3703"/>
      <c r="M14" s="3704"/>
      <c r="N14" s="2709"/>
      <c r="O14" s="3703"/>
      <c r="P14" s="3705"/>
      <c r="Q14" s="2709"/>
      <c r="R14" s="3703"/>
      <c r="S14" s="3706"/>
      <c r="T14" s="247"/>
      <c r="U14" s="2709"/>
      <c r="V14" s="3703"/>
      <c r="W14" s="3707"/>
      <c r="X14" s="3708"/>
      <c r="Z14" s="3703">
        <v>308.7</v>
      </c>
      <c r="AA14" s="3706">
        <v>204.06</v>
      </c>
      <c r="AC14" s="247"/>
      <c r="AD14" s="2709"/>
      <c r="AE14" s="3703">
        <v>410.47</v>
      </c>
      <c r="AF14" s="3707"/>
      <c r="AG14" s="3708">
        <v>312.10000000000002</v>
      </c>
      <c r="AH14" s="67"/>
      <c r="AI14" s="3703">
        <v>410.47</v>
      </c>
      <c r="AJ14" s="3708">
        <v>312.10000000000002</v>
      </c>
      <c r="AK14" s="2867"/>
      <c r="AL14" s="8789">
        <f>AJ14/AI14</f>
        <v>0.76034789387774993</v>
      </c>
      <c r="AM14" s="2709"/>
      <c r="AN14" s="3703">
        <v>417.32741399999998</v>
      </c>
      <c r="AO14" s="3709"/>
      <c r="AP14" s="3699">
        <f>AN14*AL14</f>
        <v>317.31402029234778</v>
      </c>
      <c r="AQ14" s="67"/>
      <c r="AR14" s="257"/>
      <c r="AS14" s="8579">
        <v>440.76</v>
      </c>
      <c r="AT14" s="8580">
        <v>397.38</v>
      </c>
      <c r="AU14" s="8573" t="s">
        <v>4449</v>
      </c>
      <c r="AV14" s="8574">
        <f>AT14/AS14</f>
        <v>0.90157909066158459</v>
      </c>
      <c r="AW14" s="8575"/>
      <c r="AX14" s="8579">
        <v>572.79999999999995</v>
      </c>
      <c r="AY14" s="8576" t="s">
        <v>4450</v>
      </c>
      <c r="AZ14" s="8577">
        <v>455.39</v>
      </c>
      <c r="BA14" s="6850"/>
      <c r="BB14" s="8579">
        <v>572.79999999999995</v>
      </c>
      <c r="BC14" s="8580">
        <v>455.39</v>
      </c>
      <c r="BD14" s="8573" t="s">
        <v>4450</v>
      </c>
      <c r="BE14" s="8574">
        <f>BC14/BB14</f>
        <v>0.79502444134078221</v>
      </c>
      <c r="BF14" s="8575"/>
      <c r="BG14" s="8579">
        <v>631.39</v>
      </c>
      <c r="BH14" s="3709" t="s">
        <v>4451</v>
      </c>
      <c r="BI14" s="3696">
        <f t="shared" ref="BI14" si="0">277.25*12/9</f>
        <v>369.66666666666669</v>
      </c>
    </row>
    <row r="15" spans="1:61" x14ac:dyDescent="0.35">
      <c r="A15" s="9168"/>
      <c r="B15" s="3700"/>
      <c r="C15" s="3701" t="s">
        <v>4453</v>
      </c>
      <c r="D15" s="60"/>
      <c r="F15" s="3702"/>
      <c r="G15" s="1112"/>
      <c r="H15" s="3703"/>
      <c r="I15" s="3704"/>
      <c r="J15" s="73"/>
      <c r="K15" s="80"/>
      <c r="L15" s="3703"/>
      <c r="M15" s="3704"/>
      <c r="N15" s="2709"/>
      <c r="O15" s="3703"/>
      <c r="P15" s="3705"/>
      <c r="Q15" s="2709"/>
      <c r="R15" s="3703"/>
      <c r="S15" s="3706"/>
      <c r="T15" s="247"/>
      <c r="U15" s="2709"/>
      <c r="V15" s="3703"/>
      <c r="W15" s="3707"/>
      <c r="X15" s="3708"/>
      <c r="Z15" s="3703">
        <f>282.07+60.15</f>
        <v>342.21999999999997</v>
      </c>
      <c r="AA15" s="3706">
        <f>139.93+24.61</f>
        <v>164.54000000000002</v>
      </c>
      <c r="AC15" s="247"/>
      <c r="AD15" s="2709"/>
      <c r="AE15" s="3703">
        <f>247.91+52.09</f>
        <v>300</v>
      </c>
      <c r="AF15" s="3707"/>
      <c r="AG15" s="3708">
        <f>122.17+56.03</f>
        <v>178.2</v>
      </c>
      <c r="AH15" s="67"/>
      <c r="AI15" s="3703">
        <f>247.91+52.09</f>
        <v>300</v>
      </c>
      <c r="AJ15" s="3708">
        <f>122.17+56.03</f>
        <v>178.2</v>
      </c>
      <c r="AK15" s="2867"/>
      <c r="AL15" s="8789">
        <f>AJ15/AI15</f>
        <v>0.59399999999999997</v>
      </c>
      <c r="AM15" s="2709"/>
      <c r="AN15" s="3703">
        <f>210.272337101+91.4</f>
        <v>301.67233710100004</v>
      </c>
      <c r="AO15" s="3709"/>
      <c r="AP15" s="3699">
        <f>AN15*AL15</f>
        <v>179.19336823799401</v>
      </c>
      <c r="AQ15" s="67"/>
      <c r="AR15" s="257"/>
      <c r="AS15" s="8579">
        <f>210.27+91.4</f>
        <v>301.67</v>
      </c>
      <c r="AT15" s="8580">
        <f>120.39+61.57</f>
        <v>181.96</v>
      </c>
      <c r="AU15" s="8573" t="s">
        <v>4449</v>
      </c>
      <c r="AV15" s="8574">
        <f>AT15/AS15</f>
        <v>0.60317565551761854</v>
      </c>
      <c r="AW15" s="8575"/>
      <c r="AX15" s="8579">
        <f>210.5+176.21</f>
        <v>386.71000000000004</v>
      </c>
      <c r="AY15" s="8576" t="s">
        <v>4450</v>
      </c>
      <c r="AZ15" s="8577">
        <f>177.17+138.17</f>
        <v>315.33999999999997</v>
      </c>
      <c r="BA15" s="6850"/>
      <c r="BB15" s="8579">
        <f>210.5+176.21</f>
        <v>386.71000000000004</v>
      </c>
      <c r="BC15" s="8580">
        <f>177.17+138.17</f>
        <v>315.33999999999997</v>
      </c>
      <c r="BD15" s="8573" t="s">
        <v>4450</v>
      </c>
      <c r="BE15" s="8574">
        <f>BC15/BB15</f>
        <v>0.81544309689431338</v>
      </c>
      <c r="BF15" s="8575"/>
      <c r="BG15" s="8579">
        <f>212.69+363.31</f>
        <v>576</v>
      </c>
      <c r="BH15" s="3709" t="s">
        <v>4451</v>
      </c>
      <c r="BI15" s="3708">
        <f>(86.52+310.46)*12/9</f>
        <v>529.30666666666662</v>
      </c>
    </row>
    <row r="16" spans="1:61" ht="29" x14ac:dyDescent="0.35">
      <c r="A16" s="9168"/>
      <c r="B16" s="1518"/>
      <c r="C16" s="1416" t="s">
        <v>882</v>
      </c>
      <c r="D16" s="87"/>
      <c r="F16" s="3710"/>
      <c r="G16" s="1112"/>
      <c r="H16" s="3711">
        <f>SUM(H12:H13)</f>
        <v>0</v>
      </c>
      <c r="I16" s="3712">
        <f>SUM(I12:I13)</f>
        <v>0</v>
      </c>
      <c r="J16" s="91">
        <f>IF(H16=0,0,I16/H16)</f>
        <v>0</v>
      </c>
      <c r="K16" s="80"/>
      <c r="L16" s="3713">
        <f>SUM(L12:L13)</f>
        <v>1676.8899999999999</v>
      </c>
      <c r="M16" s="3714">
        <f>SUM(M12:M13)</f>
        <v>1326.2</v>
      </c>
      <c r="N16" s="2746"/>
      <c r="O16" s="3711">
        <f>SUM(O12:O13)</f>
        <v>1335.29</v>
      </c>
      <c r="P16" s="3715">
        <f>SUM(P12:P13)</f>
        <v>1282.78</v>
      </c>
      <c r="Q16" s="2709"/>
      <c r="R16" s="3711">
        <f>SUM(R12:R13)</f>
        <v>1707.1399999999999</v>
      </c>
      <c r="S16" s="3716"/>
      <c r="T16" s="3717"/>
      <c r="U16" s="2709"/>
      <c r="V16" s="3711">
        <f>SUM(V12:V13)</f>
        <v>1611.4699999999998</v>
      </c>
      <c r="W16" s="3718"/>
      <c r="X16" s="3719"/>
      <c r="Z16" s="3711">
        <f>SUM(Z12:Z15)</f>
        <v>1637.21</v>
      </c>
      <c r="AA16" s="3716">
        <f>SUM(AA12:AA15)</f>
        <v>1188.03</v>
      </c>
      <c r="AB16" s="3720" t="s">
        <v>4454</v>
      </c>
      <c r="AC16" s="3717"/>
      <c r="AD16" s="2709"/>
      <c r="AE16" s="3711">
        <f>SUM(AE12:AE15)</f>
        <v>1723.22</v>
      </c>
      <c r="AF16" s="3720" t="s">
        <v>4454</v>
      </c>
      <c r="AG16" s="3719">
        <f>SUM(AG12:AG15)</f>
        <v>1320.96</v>
      </c>
      <c r="AH16" s="67"/>
      <c r="AI16" s="3711">
        <f>SUM(AI12:AI15)</f>
        <v>1723.22</v>
      </c>
      <c r="AJ16" s="3719">
        <f>SUM(AJ12:AJ15)</f>
        <v>1320.96</v>
      </c>
      <c r="AK16" s="3721" t="s">
        <v>4454</v>
      </c>
      <c r="AL16" s="3717"/>
      <c r="AM16" s="2709"/>
      <c r="AN16" s="3711">
        <f>SUM(AN12:AN15)</f>
        <v>1750.8609446079997</v>
      </c>
      <c r="AO16" s="3722" t="s">
        <v>4454</v>
      </c>
      <c r="AP16" s="3723">
        <f>SUM(AP12:AP15)</f>
        <v>1342.8424356777368</v>
      </c>
      <c r="AQ16" s="67"/>
      <c r="AR16" s="3644"/>
      <c r="AS16" s="8581">
        <f>SUM(AS12:AS15)</f>
        <v>1829.97</v>
      </c>
      <c r="AT16" s="8582">
        <f>SUM(AT12:AT15)</f>
        <v>1669.69</v>
      </c>
      <c r="AU16" s="8583" t="s">
        <v>4454</v>
      </c>
      <c r="AV16" s="8574">
        <f>AT16/AS16</f>
        <v>0.91241386470816466</v>
      </c>
      <c r="AW16" s="8575"/>
      <c r="AX16" s="8581">
        <f>SUM(AX12:AX15)</f>
        <v>2094.92</v>
      </c>
      <c r="AY16" s="8584" t="s">
        <v>4454</v>
      </c>
      <c r="AZ16" s="8585">
        <f>SUM(AZ12:AZ15)</f>
        <v>1915.07</v>
      </c>
      <c r="BA16" s="6850"/>
      <c r="BB16" s="8581">
        <f>SUM(BB12:BB15)</f>
        <v>2094.92</v>
      </c>
      <c r="BC16" s="8582">
        <f>SUM(BC12:BC15)</f>
        <v>1915.07</v>
      </c>
      <c r="BD16" s="8583" t="s">
        <v>4454</v>
      </c>
      <c r="BE16" s="8574">
        <f>BC16/BB16</f>
        <v>0.9141494663280697</v>
      </c>
      <c r="BF16" s="8575"/>
      <c r="BG16" s="8581">
        <f>SUM(BG12:BG15)</f>
        <v>2264.9299999999998</v>
      </c>
      <c r="BH16" s="3722" t="s">
        <v>4454</v>
      </c>
      <c r="BI16" s="3719">
        <f>SUM(BI12:BI15)</f>
        <v>2072.7200000000003</v>
      </c>
    </row>
    <row r="17" spans="1:61" x14ac:dyDescent="0.35">
      <c r="A17" s="9168"/>
      <c r="B17" s="100" t="s">
        <v>883</v>
      </c>
      <c r="C17" s="49"/>
      <c r="D17" s="42"/>
      <c r="E17" s="43"/>
      <c r="F17" s="101"/>
      <c r="G17" s="254"/>
      <c r="H17" s="777"/>
      <c r="I17" s="3724"/>
      <c r="J17" s="104"/>
      <c r="K17" s="43"/>
      <c r="L17" s="102"/>
      <c r="M17" s="105"/>
      <c r="N17" s="2734"/>
      <c r="O17" s="102"/>
      <c r="P17" s="105"/>
      <c r="Q17" s="2709"/>
      <c r="R17" s="777"/>
      <c r="S17" s="3724"/>
      <c r="T17" s="268"/>
      <c r="U17" s="2709"/>
      <c r="V17" s="102"/>
      <c r="W17" s="3724"/>
      <c r="X17" s="3725"/>
      <c r="Y17" s="43"/>
      <c r="Z17" s="777"/>
      <c r="AA17" s="3724"/>
      <c r="AB17" s="912" t="s">
        <v>4455</v>
      </c>
      <c r="AC17" s="268"/>
      <c r="AD17" s="2709"/>
      <c r="AE17" s="102"/>
      <c r="AF17" s="3726" t="s">
        <v>4456</v>
      </c>
      <c r="AG17" s="3725"/>
      <c r="AH17" s="43"/>
      <c r="AI17" s="102"/>
      <c r="AJ17" s="3725"/>
      <c r="AK17" s="3726" t="s">
        <v>4456</v>
      </c>
      <c r="AL17" s="268"/>
      <c r="AM17" s="2709"/>
      <c r="AN17" s="102"/>
      <c r="AO17" s="3726" t="s">
        <v>4457</v>
      </c>
      <c r="AP17" s="3725"/>
      <c r="AQ17" s="43"/>
      <c r="AR17" s="7859"/>
      <c r="AS17" s="3274"/>
      <c r="AT17" s="8586"/>
      <c r="AU17" s="8573" t="s">
        <v>4458</v>
      </c>
      <c r="AV17" s="3281"/>
      <c r="AW17" s="8575"/>
      <c r="AX17" s="3274"/>
      <c r="AY17" s="8587" t="s">
        <v>4459</v>
      </c>
      <c r="AZ17" s="8586"/>
      <c r="BA17" s="6850"/>
      <c r="BB17" s="3274"/>
      <c r="BC17" s="8586"/>
      <c r="BD17" s="8573" t="s">
        <v>4459</v>
      </c>
      <c r="BE17" s="3281"/>
      <c r="BF17" s="8575"/>
      <c r="BG17" s="3274"/>
      <c r="BH17" s="3726" t="s">
        <v>4460</v>
      </c>
      <c r="BI17" s="3725"/>
    </row>
    <row r="18" spans="1:61" x14ac:dyDescent="0.35">
      <c r="A18" s="9168"/>
      <c r="B18" s="6082"/>
      <c r="C18" s="110" t="s">
        <v>885</v>
      </c>
      <c r="D18" s="60"/>
      <c r="F18" s="2743">
        <v>510.016420547</v>
      </c>
      <c r="G18" s="1112"/>
      <c r="H18" s="2755">
        <v>484.05484720700002</v>
      </c>
      <c r="I18" s="3727">
        <v>446.94316181300002</v>
      </c>
      <c r="J18" s="64">
        <f t="shared" ref="J18:J24" si="1">IF(H18=0,0,I18/H18)</f>
        <v>0.92333165217095814</v>
      </c>
      <c r="L18" s="2755">
        <f>L24-L19-L22</f>
        <v>576.43000000000018</v>
      </c>
      <c r="M18" s="3728">
        <f>M24-M19-M22</f>
        <v>552.23000000000013</v>
      </c>
      <c r="N18" s="2746"/>
      <c r="O18" s="2755">
        <v>637.38999999999987</v>
      </c>
      <c r="P18" s="3727">
        <v>622.69999999999993</v>
      </c>
      <c r="Q18" s="2709"/>
      <c r="R18" s="2755">
        <f>221.65+130.98+217.12</f>
        <v>569.75</v>
      </c>
      <c r="S18" s="3729">
        <v>614.20086621099995</v>
      </c>
      <c r="T18" s="247"/>
      <c r="U18" s="2709"/>
      <c r="V18" s="2755">
        <f>229.05+142.66+208.47</f>
        <v>580.18000000000006</v>
      </c>
      <c r="W18" s="3730"/>
      <c r="X18" s="3728"/>
      <c r="Z18" s="2755">
        <f>258.8+132.31+242.47</f>
        <v>633.58000000000004</v>
      </c>
      <c r="AA18" s="3727">
        <f>265.65+98.28+190.06</f>
        <v>553.99</v>
      </c>
      <c r="AB18" s="3731"/>
      <c r="AC18" s="8115"/>
      <c r="AD18" s="2709"/>
      <c r="AE18" s="2755">
        <f>271.01+132.96+230.82</f>
        <v>634.79</v>
      </c>
      <c r="AF18" s="3731"/>
      <c r="AG18" s="3728">
        <f>266.7+101.01+180.19</f>
        <v>547.9</v>
      </c>
      <c r="AI18" s="2755">
        <f>271.01+132.96+230.82</f>
        <v>634.79</v>
      </c>
      <c r="AJ18" s="3728">
        <f>266.7+101.01+180.19</f>
        <v>547.9</v>
      </c>
      <c r="AK18" s="3731"/>
      <c r="AL18" s="8789">
        <f>AJ18/AI18</f>
        <v>0.86312008695789155</v>
      </c>
      <c r="AM18" s="2709"/>
      <c r="AN18" s="2755">
        <f>707.512171024-AN22</f>
        <v>653.31217102400001</v>
      </c>
      <c r="AO18" s="892" t="s">
        <v>4461</v>
      </c>
      <c r="AP18" s="3699">
        <f>AN18*AL18</f>
        <v>563.88685786488384</v>
      </c>
      <c r="AR18" s="257"/>
      <c r="AS18" s="8588">
        <f>276.43+138.28+252.89</f>
        <v>667.6</v>
      </c>
      <c r="AT18" s="8589">
        <f>273.61+100.14+180.7</f>
        <v>554.45000000000005</v>
      </c>
      <c r="AU18" s="8590"/>
      <c r="AV18" s="8574">
        <f>AT18/AS18</f>
        <v>0.8305122828040743</v>
      </c>
      <c r="AW18" s="8575"/>
      <c r="AX18" s="8588">
        <f>284.74+120.91+257.96</f>
        <v>663.6099999999999</v>
      </c>
      <c r="AY18" s="4742"/>
      <c r="AZ18" s="8577">
        <f>287.1+93.16+234.8</f>
        <v>615.05999999999995</v>
      </c>
      <c r="BA18" s="6850"/>
      <c r="BB18" s="8588">
        <f>284.74+120.91+257.96</f>
        <v>663.6099999999999</v>
      </c>
      <c r="BC18" s="8589">
        <f>287.1+93.16+234.8</f>
        <v>615.05999999999995</v>
      </c>
      <c r="BD18" s="8590"/>
      <c r="BE18" s="8574">
        <f>BC18/BB18</f>
        <v>0.92683955937975626</v>
      </c>
      <c r="BF18" s="8575"/>
      <c r="BG18" s="8588">
        <f>295.76+138.4+298.86</f>
        <v>733.02</v>
      </c>
      <c r="BH18" s="892"/>
      <c r="BI18" s="3728">
        <f>(221.81+80.72+191.5)*12/9</f>
        <v>658.70666666666659</v>
      </c>
    </row>
    <row r="19" spans="1:61" x14ac:dyDescent="0.35">
      <c r="A19" s="9168"/>
      <c r="B19" s="6082"/>
      <c r="C19" s="110" t="s">
        <v>1168</v>
      </c>
      <c r="D19" s="60"/>
      <c r="F19" s="2743">
        <v>167.91222091200001</v>
      </c>
      <c r="G19" s="1112"/>
      <c r="H19" s="2755">
        <v>799.44782255099994</v>
      </c>
      <c r="I19" s="3727">
        <v>582.89941450699996</v>
      </c>
      <c r="J19" s="3165">
        <f t="shared" si="1"/>
        <v>0.72912752785665946</v>
      </c>
      <c r="K19" s="374"/>
      <c r="L19" s="2755">
        <v>987.8</v>
      </c>
      <c r="M19" s="3728">
        <v>770.03</v>
      </c>
      <c r="N19" s="2746"/>
      <c r="O19" s="2755">
        <v>1013.45</v>
      </c>
      <c r="P19" s="3727">
        <v>874.09</v>
      </c>
      <c r="Q19" s="2709"/>
      <c r="R19" s="2755">
        <v>1024.3499999999999</v>
      </c>
      <c r="S19" s="3729"/>
      <c r="T19" s="247"/>
      <c r="U19" s="2709"/>
      <c r="V19" s="2755">
        <v>1044.02</v>
      </c>
      <c r="W19" s="3730"/>
      <c r="X19" s="3728"/>
      <c r="Z19" s="2755"/>
      <c r="AA19" s="3727"/>
      <c r="AB19" s="892"/>
      <c r="AC19" s="8115"/>
      <c r="AD19" s="2709"/>
      <c r="AE19" s="2755"/>
      <c r="AF19" s="892"/>
      <c r="AG19" s="3728"/>
      <c r="AI19" s="2755"/>
      <c r="AJ19" s="3728"/>
      <c r="AK19" s="892"/>
      <c r="AL19" s="8789"/>
      <c r="AM19" s="2709"/>
      <c r="AN19" s="2755"/>
      <c r="AO19" s="892"/>
      <c r="AP19" s="3699"/>
      <c r="AR19" s="257"/>
      <c r="AS19" s="8588"/>
      <c r="AT19" s="8589"/>
      <c r="AU19" s="8573" t="s">
        <v>4458</v>
      </c>
      <c r="AV19" s="8574"/>
      <c r="AW19" s="8575"/>
      <c r="AX19" s="8588"/>
      <c r="AY19" s="4742"/>
      <c r="AZ19" s="8577"/>
      <c r="BA19" s="6850"/>
      <c r="BB19" s="8588"/>
      <c r="BC19" s="8589"/>
      <c r="BD19" s="8573"/>
      <c r="BE19" s="8574"/>
      <c r="BF19" s="8575"/>
      <c r="BG19" s="8588"/>
      <c r="BH19" s="892"/>
      <c r="BI19" s="3728"/>
    </row>
    <row r="20" spans="1:61" x14ac:dyDescent="0.35">
      <c r="A20" s="9168"/>
      <c r="B20" s="6082"/>
      <c r="C20" s="121" t="s">
        <v>4462</v>
      </c>
      <c r="D20" s="60"/>
      <c r="F20" s="2743"/>
      <c r="G20" s="1112"/>
      <c r="H20" s="2755"/>
      <c r="I20" s="3727"/>
      <c r="J20" s="64"/>
      <c r="L20" s="2755"/>
      <c r="M20" s="3728"/>
      <c r="N20" s="2746"/>
      <c r="O20" s="2755"/>
      <c r="P20" s="3727"/>
      <c r="Q20" s="2709"/>
      <c r="R20" s="2755"/>
      <c r="S20" s="3729">
        <v>532.95382609199999</v>
      </c>
      <c r="T20" s="247"/>
      <c r="U20" s="2709"/>
      <c r="V20" s="2755"/>
      <c r="W20" s="3732"/>
      <c r="X20" s="3728"/>
      <c r="Z20" s="2755">
        <v>498.59</v>
      </c>
      <c r="AA20" s="3727">
        <f>395.17</f>
        <v>395.17</v>
      </c>
      <c r="AB20" s="892"/>
      <c r="AC20" s="8115"/>
      <c r="AD20" s="2709"/>
      <c r="AE20" s="2755">
        <v>557.80999999999995</v>
      </c>
      <c r="AF20" s="892"/>
      <c r="AG20" s="3728">
        <v>368.55</v>
      </c>
      <c r="AI20" s="2755">
        <v>557.80999999999995</v>
      </c>
      <c r="AJ20" s="3728">
        <v>368.55</v>
      </c>
      <c r="AK20" s="892"/>
      <c r="AL20" s="8789">
        <f>AJ20/AI20</f>
        <v>0.66070884351302428</v>
      </c>
      <c r="AM20" s="2709"/>
      <c r="AN20" s="2755">
        <v>476.90332752699999</v>
      </c>
      <c r="AP20" s="3699">
        <f>AN20*AL20</f>
        <v>315.09424599787718</v>
      </c>
      <c r="AR20" s="257"/>
      <c r="AS20" s="8588">
        <v>503.92</v>
      </c>
      <c r="AT20" s="8589">
        <v>457.1</v>
      </c>
      <c r="AU20" s="8573" t="s">
        <v>4458</v>
      </c>
      <c r="AV20" s="8574">
        <f>AT20/AS20</f>
        <v>0.90708842673440226</v>
      </c>
      <c r="AW20" s="8575"/>
      <c r="AX20" s="8588">
        <v>623.41999999999996</v>
      </c>
      <c r="AY20" s="3220"/>
      <c r="AZ20" s="8577">
        <v>498.13</v>
      </c>
      <c r="BA20" s="6850"/>
      <c r="BB20" s="8588">
        <v>623.41999999999996</v>
      </c>
      <c r="BC20" s="8589">
        <v>498.13</v>
      </c>
      <c r="BD20" s="8573"/>
      <c r="BE20" s="8574">
        <f>BC20/BB20</f>
        <v>0.79902794263899146</v>
      </c>
      <c r="BF20" s="8575"/>
      <c r="BG20" s="8588">
        <v>691.38</v>
      </c>
      <c r="BH20" s="652"/>
      <c r="BI20" s="3728">
        <f>375.9*12/9</f>
        <v>501.19999999999993</v>
      </c>
    </row>
    <row r="21" spans="1:61" x14ac:dyDescent="0.35">
      <c r="A21" s="9168"/>
      <c r="B21" s="6082"/>
      <c r="C21" s="121" t="s">
        <v>4463</v>
      </c>
      <c r="D21" s="60"/>
      <c r="F21" s="2743"/>
      <c r="G21" s="1112"/>
      <c r="H21" s="2755"/>
      <c r="I21" s="3727"/>
      <c r="J21" s="64"/>
      <c r="L21" s="2755"/>
      <c r="M21" s="3728"/>
      <c r="N21" s="2746"/>
      <c r="O21" s="2755"/>
      <c r="P21" s="3727"/>
      <c r="Q21" s="2709"/>
      <c r="R21" s="2755"/>
      <c r="S21" s="3729">
        <v>285.10189584300002</v>
      </c>
      <c r="T21" s="247"/>
      <c r="U21" s="2709"/>
      <c r="V21" s="2755"/>
      <c r="W21" s="3732"/>
      <c r="X21" s="3728"/>
      <c r="Z21" s="2755">
        <f>220.17+283.57</f>
        <v>503.74</v>
      </c>
      <c r="AA21" s="3727">
        <f>134.82+139.93</f>
        <v>274.75</v>
      </c>
      <c r="AB21" s="892"/>
      <c r="AC21" s="8115"/>
      <c r="AD21" s="2709"/>
      <c r="AE21" s="2755">
        <f>246.54+247.91</f>
        <v>494.45</v>
      </c>
      <c r="AF21" s="892"/>
      <c r="AG21" s="3728">
        <f>161.62+122.17</f>
        <v>283.79000000000002</v>
      </c>
      <c r="AI21" s="2755">
        <f>246.54+247.91</f>
        <v>494.45</v>
      </c>
      <c r="AJ21" s="3728">
        <f>161.62+122.17</f>
        <v>283.79000000000002</v>
      </c>
      <c r="AK21" s="892"/>
      <c r="AL21" s="8789">
        <f>AJ21/AI21</f>
        <v>0.57395085448478111</v>
      </c>
      <c r="AM21" s="2709"/>
      <c r="AN21" s="2755">
        <f>1018.272767584-AN20</f>
        <v>541.36944005700002</v>
      </c>
      <c r="AO21" s="892"/>
      <c r="AP21" s="3699">
        <f>AN21*AL21</f>
        <v>310.71945271266264</v>
      </c>
      <c r="AR21" s="257"/>
      <c r="AS21" s="8588">
        <f>1048.76-AS20</f>
        <v>544.83999999999992</v>
      </c>
      <c r="AT21" s="8589">
        <f>867.86-AT20</f>
        <v>410.76</v>
      </c>
      <c r="AU21" s="8573" t="s">
        <v>4458</v>
      </c>
      <c r="AV21" s="8574">
        <f>AT21/AS21</f>
        <v>0.75390940459584477</v>
      </c>
      <c r="AW21" s="8575"/>
      <c r="AX21" s="8588">
        <f>1164.34-AX20</f>
        <v>540.91999999999996</v>
      </c>
      <c r="AY21" s="4742"/>
      <c r="AZ21" s="8577">
        <f>939.87-AZ20</f>
        <v>441.74</v>
      </c>
      <c r="BA21" s="6850"/>
      <c r="BB21" s="8588">
        <f>1164.34-BB20</f>
        <v>540.91999999999996</v>
      </c>
      <c r="BC21" s="8589">
        <f>939.87-BC20</f>
        <v>441.74</v>
      </c>
      <c r="BD21" s="8573"/>
      <c r="BE21" s="8574">
        <f>BC21/BB21</f>
        <v>0.81664571470827485</v>
      </c>
      <c r="BF21" s="8575"/>
      <c r="BG21" s="8588">
        <f>1322.24-BG20</f>
        <v>630.86</v>
      </c>
      <c r="BH21" s="892"/>
      <c r="BI21" s="3728">
        <f>611.4*12/9-BI20</f>
        <v>314</v>
      </c>
    </row>
    <row r="22" spans="1:61" ht="29" x14ac:dyDescent="0.35">
      <c r="A22" s="9168"/>
      <c r="B22" s="6082"/>
      <c r="C22" s="110" t="s">
        <v>1978</v>
      </c>
      <c r="D22" s="60"/>
      <c r="F22" s="2743">
        <v>29.687290983</v>
      </c>
      <c r="G22" s="2762"/>
      <c r="H22" s="2744">
        <v>62.413471999999999</v>
      </c>
      <c r="I22" s="3727">
        <v>60.434456056999998</v>
      </c>
      <c r="J22" s="3025">
        <f>IF(H22=0,0,I22/H22)</f>
        <v>0.96829184662247281</v>
      </c>
      <c r="K22" s="274"/>
      <c r="L22" s="2744">
        <v>115.66</v>
      </c>
      <c r="M22" s="3728">
        <v>57.18</v>
      </c>
      <c r="N22" s="2746"/>
      <c r="O22" s="2744">
        <v>135.03</v>
      </c>
      <c r="P22" s="3727">
        <v>81.540000000000006</v>
      </c>
      <c r="Q22" s="2709"/>
      <c r="R22" s="2744">
        <v>113.04</v>
      </c>
      <c r="S22" s="3729">
        <v>81.107119053000005</v>
      </c>
      <c r="T22" s="247"/>
      <c r="U22" s="2709"/>
      <c r="V22" s="2755">
        <v>108.27</v>
      </c>
      <c r="W22" s="3732"/>
      <c r="X22" s="3728"/>
      <c r="Z22" s="2744">
        <v>171.3</v>
      </c>
      <c r="AA22" s="3727">
        <f>117.14</f>
        <v>117.14</v>
      </c>
      <c r="AB22" s="892"/>
      <c r="AC22" s="8115"/>
      <c r="AD22" s="2709"/>
      <c r="AE22" s="2755">
        <v>223.06</v>
      </c>
      <c r="AF22" s="892"/>
      <c r="AG22" s="3728">
        <v>162.88</v>
      </c>
      <c r="AI22" s="2755">
        <v>223.06</v>
      </c>
      <c r="AJ22" s="3728">
        <v>162.88</v>
      </c>
      <c r="AK22" s="892"/>
      <c r="AL22" s="8789">
        <f>AJ22/AI22</f>
        <v>0.73020711916076386</v>
      </c>
      <c r="AM22" s="2709"/>
      <c r="AN22" s="2755">
        <v>54.2</v>
      </c>
      <c r="AO22" s="892"/>
      <c r="AP22" s="3699">
        <f>AN22*AL22</f>
        <v>39.577225858513401</v>
      </c>
      <c r="AR22" s="257"/>
      <c r="AS22" s="8588">
        <v>44.15</v>
      </c>
      <c r="AT22" s="8589">
        <f>0.95*AS22</f>
        <v>41.942499999999995</v>
      </c>
      <c r="AU22" s="8573"/>
      <c r="AV22" s="8574">
        <f>AT22/AS22</f>
        <v>0.95</v>
      </c>
      <c r="AW22" s="8575"/>
      <c r="AX22" s="8588">
        <v>50.69</v>
      </c>
      <c r="AY22" s="4742" t="s">
        <v>4464</v>
      </c>
      <c r="AZ22" s="8577">
        <f>AX22*AV22</f>
        <v>48.155499999999996</v>
      </c>
      <c r="BA22" s="6850"/>
      <c r="BB22" s="8588">
        <v>50.69</v>
      </c>
      <c r="BC22" s="8591">
        <f>AZ22</f>
        <v>48.155499999999996</v>
      </c>
      <c r="BD22" s="8573" t="s">
        <v>4464</v>
      </c>
      <c r="BE22" s="8574">
        <f>BC22/BB22</f>
        <v>0.95</v>
      </c>
      <c r="BF22" s="8575"/>
      <c r="BG22" s="8588">
        <v>459.13</v>
      </c>
      <c r="BH22" s="892" t="s">
        <v>4465</v>
      </c>
      <c r="BI22" s="3728">
        <f>216.74*12/9</f>
        <v>288.98666666666668</v>
      </c>
    </row>
    <row r="23" spans="1:61" x14ac:dyDescent="0.35">
      <c r="A23" s="9168"/>
      <c r="B23" s="6082"/>
      <c r="C23" s="110" t="s">
        <v>1169</v>
      </c>
      <c r="D23" s="60"/>
      <c r="F23" s="2743"/>
      <c r="G23" s="1112"/>
      <c r="H23" s="2755"/>
      <c r="I23" s="3727"/>
      <c r="J23" s="64"/>
      <c r="L23" s="2755"/>
      <c r="M23" s="3728"/>
      <c r="N23" s="2746"/>
      <c r="O23" s="2755"/>
      <c r="P23" s="3727"/>
      <c r="Q23" s="2709"/>
      <c r="R23" s="2755"/>
      <c r="S23" s="3729"/>
      <c r="T23" s="247"/>
      <c r="U23" s="2709"/>
      <c r="V23" s="2755"/>
      <c r="W23" s="3732"/>
      <c r="X23" s="3728"/>
      <c r="Z23" s="2755"/>
      <c r="AA23" s="3727"/>
      <c r="AB23" s="892"/>
      <c r="AC23" s="8115"/>
      <c r="AD23" s="2709"/>
      <c r="AE23" s="2755"/>
      <c r="AF23" s="892"/>
      <c r="AG23" s="3728"/>
      <c r="AI23" s="2755"/>
      <c r="AJ23" s="3728"/>
      <c r="AK23" s="892"/>
      <c r="AL23" s="8115"/>
      <c r="AM23" s="2709"/>
      <c r="AN23" s="2755"/>
      <c r="AO23" s="892"/>
      <c r="AP23" s="3699"/>
      <c r="AR23" s="257"/>
      <c r="AS23" s="8588"/>
      <c r="AT23" s="8589"/>
      <c r="AU23" s="4742"/>
      <c r="AV23" s="8592"/>
      <c r="AW23" s="8575"/>
      <c r="AX23" s="8588"/>
      <c r="AY23" s="4742"/>
      <c r="AZ23" s="8577"/>
      <c r="BA23" s="6850"/>
      <c r="BB23" s="8588"/>
      <c r="BC23" s="8589"/>
      <c r="BD23" s="4742"/>
      <c r="BE23" s="8592"/>
      <c r="BF23" s="8575"/>
      <c r="BG23" s="8588"/>
      <c r="BH23" s="892"/>
      <c r="BI23" s="3728"/>
    </row>
    <row r="24" spans="1:61" x14ac:dyDescent="0.35">
      <c r="A24" s="9168"/>
      <c r="B24" s="128"/>
      <c r="C24" s="129" t="s">
        <v>903</v>
      </c>
      <c r="D24" s="87"/>
      <c r="F24" s="3733">
        <f>SUM(F18:F22)</f>
        <v>707.61593244200003</v>
      </c>
      <c r="G24" s="2746"/>
      <c r="H24" s="2767">
        <f>SUM(H18:H22)</f>
        <v>1345.9161417579999</v>
      </c>
      <c r="I24" s="3734">
        <f>SUM(I18:I22)</f>
        <v>1090.2770323770001</v>
      </c>
      <c r="J24" s="133">
        <f t="shared" si="1"/>
        <v>0.81006312247129242</v>
      </c>
      <c r="L24" s="2767">
        <v>1679.89</v>
      </c>
      <c r="M24" s="3735">
        <v>1379.44</v>
      </c>
      <c r="N24" s="2746"/>
      <c r="O24" s="2767">
        <f>SUM(O18:O22)</f>
        <v>1785.87</v>
      </c>
      <c r="P24" s="3734">
        <f>SUM(P18:P22)</f>
        <v>1578.33</v>
      </c>
      <c r="Q24" s="2709"/>
      <c r="R24" s="2767">
        <f>SUM(R18:R22)</f>
        <v>1707.1399999999999</v>
      </c>
      <c r="S24" s="3736">
        <v>1513.3637071989999</v>
      </c>
      <c r="T24" s="3717"/>
      <c r="U24" s="2709"/>
      <c r="V24" s="3737">
        <f>SUM(V18:V22)</f>
        <v>1732.47</v>
      </c>
      <c r="W24" s="3738"/>
      <c r="X24" s="3739"/>
      <c r="Z24" s="2767">
        <f>SUM(Z18:Z23)</f>
        <v>1807.21</v>
      </c>
      <c r="AA24" s="3734">
        <f>SUM(AA18:AA23)</f>
        <v>1341.0500000000002</v>
      </c>
      <c r="AB24" s="3740"/>
      <c r="AC24" s="8115"/>
      <c r="AD24" s="2709"/>
      <c r="AE24" s="3737">
        <f>SUM(AE18:AE23)</f>
        <v>1910.11</v>
      </c>
      <c r="AF24" s="3740"/>
      <c r="AG24" s="3739">
        <f>SUM(AG18:AG23)</f>
        <v>1363.12</v>
      </c>
      <c r="AI24" s="3737">
        <f>SUM(AI18:AI23)</f>
        <v>1910.11</v>
      </c>
      <c r="AJ24" s="3739">
        <f>SUM(AJ18:AJ23)</f>
        <v>1363.12</v>
      </c>
      <c r="AK24" s="3740"/>
      <c r="AL24" s="8115"/>
      <c r="AM24" s="2709"/>
      <c r="AN24" s="3737">
        <f>SUM(AN18:AN23)</f>
        <v>1725.7849386080002</v>
      </c>
      <c r="AO24" s="3740"/>
      <c r="AP24" s="3741">
        <f>SUM(AP18:AP23)</f>
        <v>1229.2777824339371</v>
      </c>
      <c r="AR24" s="3644"/>
      <c r="AS24" s="8593">
        <f>SUM(AS18:AS23)</f>
        <v>1760.51</v>
      </c>
      <c r="AT24" s="8594">
        <f>SUM(AT18:AT23)</f>
        <v>1464.2525000000001</v>
      </c>
      <c r="AU24" s="8595"/>
      <c r="AV24" s="8592"/>
      <c r="AW24" s="8575"/>
      <c r="AX24" s="8593">
        <f>SUM(AX18:AX23)</f>
        <v>1878.6399999999999</v>
      </c>
      <c r="AY24" s="8595"/>
      <c r="AZ24" s="8596">
        <f>SUM(AZ18:AZ23)</f>
        <v>1603.0855000000001</v>
      </c>
      <c r="BA24" s="6850"/>
      <c r="BB24" s="8593">
        <f>SUM(BB18:BB23)</f>
        <v>1878.6399999999999</v>
      </c>
      <c r="BC24" s="8594">
        <f>SUM(BC18:BC23)</f>
        <v>1603.0855000000001</v>
      </c>
      <c r="BD24" s="8595"/>
      <c r="BE24" s="8592"/>
      <c r="BF24" s="8575"/>
      <c r="BG24" s="8593">
        <f>SUM(BG18:BG23)</f>
        <v>2514.3900000000003</v>
      </c>
      <c r="BH24" s="3740"/>
      <c r="BI24" s="3739">
        <f>SUM(BI18:BI23)</f>
        <v>1762.8933333333332</v>
      </c>
    </row>
    <row r="25" spans="1:61" x14ac:dyDescent="0.35">
      <c r="A25" s="9168"/>
      <c r="B25" s="139" t="s">
        <v>904</v>
      </c>
      <c r="C25" s="49"/>
      <c r="D25" s="140"/>
      <c r="E25" s="141"/>
      <c r="F25" s="2775"/>
      <c r="G25" s="2776"/>
      <c r="H25" s="3742"/>
      <c r="I25" s="3743"/>
      <c r="J25" s="146"/>
      <c r="K25" s="141"/>
      <c r="L25" s="2777"/>
      <c r="M25" s="2778"/>
      <c r="N25" s="2779"/>
      <c r="O25" s="2777"/>
      <c r="P25" s="2778"/>
      <c r="Q25" s="2709"/>
      <c r="R25" s="3742"/>
      <c r="S25" s="3743"/>
      <c r="T25" s="268"/>
      <c r="U25" s="2709"/>
      <c r="V25" s="3744"/>
      <c r="W25" s="3745"/>
      <c r="X25" s="3746"/>
      <c r="Y25" s="141"/>
      <c r="Z25" s="3742"/>
      <c r="AA25" s="3743"/>
      <c r="AB25" s="2909" t="s">
        <v>1929</v>
      </c>
      <c r="AC25" s="268"/>
      <c r="AD25" s="2709"/>
      <c r="AE25" s="3744"/>
      <c r="AF25" s="3747"/>
      <c r="AG25" s="3746"/>
      <c r="AH25" s="141"/>
      <c r="AI25" s="3744"/>
      <c r="AJ25" s="3746"/>
      <c r="AK25" s="3747"/>
      <c r="AL25" s="268"/>
      <c r="AM25" s="2709"/>
      <c r="AN25" s="3744"/>
      <c r="AO25" s="3747"/>
      <c r="AP25" s="3746"/>
      <c r="AQ25" s="141"/>
      <c r="AR25" s="7859"/>
      <c r="AS25" s="3744"/>
      <c r="AT25" s="3746"/>
      <c r="AU25" s="3747"/>
      <c r="AV25" s="3281"/>
      <c r="AW25" s="8575"/>
      <c r="AX25" s="3744"/>
      <c r="AY25" s="3747"/>
      <c r="AZ25" s="3746"/>
      <c r="BA25" s="6850"/>
      <c r="BB25" s="3744"/>
      <c r="BC25" s="3746"/>
      <c r="BD25" s="3747"/>
      <c r="BE25" s="3281"/>
      <c r="BF25" s="8575"/>
      <c r="BG25" s="3744"/>
      <c r="BH25" s="3747"/>
      <c r="BI25" s="3746"/>
    </row>
    <row r="26" spans="1:61" x14ac:dyDescent="0.35">
      <c r="A26" s="9168"/>
      <c r="B26" s="6082"/>
      <c r="C26" s="110" t="s">
        <v>905</v>
      </c>
      <c r="D26" s="60"/>
      <c r="F26" s="2786">
        <v>127.556231928</v>
      </c>
      <c r="G26" s="2746"/>
      <c r="H26" s="2747">
        <v>160.824778423</v>
      </c>
      <c r="I26" s="3748">
        <v>178.851458374</v>
      </c>
      <c r="J26" s="64">
        <f>IF(H26=0,0,I26/H26)</f>
        <v>1.1120889462915122</v>
      </c>
      <c r="L26" s="2787">
        <v>209.98</v>
      </c>
      <c r="M26" s="2788">
        <v>203.74</v>
      </c>
      <c r="N26" s="2746"/>
      <c r="O26" s="2787">
        <v>240.98</v>
      </c>
      <c r="P26" s="2788">
        <v>250.29</v>
      </c>
      <c r="Q26" s="2709"/>
      <c r="R26" s="2747">
        <v>221.65</v>
      </c>
      <c r="S26" s="3749"/>
      <c r="T26" s="247"/>
      <c r="U26" s="2709"/>
      <c r="V26" s="2747">
        <v>229.05</v>
      </c>
      <c r="W26" s="3687"/>
      <c r="X26" s="3750"/>
      <c r="Z26" s="2747">
        <v>256.35089994399999</v>
      </c>
      <c r="AA26" s="3749">
        <v>262.58913155499999</v>
      </c>
      <c r="AC26" s="247"/>
      <c r="AD26" s="2709"/>
      <c r="AE26" s="2747">
        <v>268.19642630099997</v>
      </c>
      <c r="AF26" s="3732"/>
      <c r="AG26" s="3750">
        <v>266.7</v>
      </c>
      <c r="AI26" s="2747">
        <v>268.19642630099997</v>
      </c>
      <c r="AJ26" s="3750">
        <v>266.7</v>
      </c>
      <c r="AK26" s="2867"/>
      <c r="AL26" s="8789">
        <f>AJ26/AI26</f>
        <v>0.99442040924393027</v>
      </c>
      <c r="AM26" s="2709"/>
      <c r="AN26" s="2747">
        <v>276.42996872700002</v>
      </c>
      <c r="AO26" s="3732"/>
      <c r="AP26" s="3699">
        <f>AN26*AL26</f>
        <v>274.88760262879021</v>
      </c>
      <c r="AR26" s="257"/>
      <c r="AS26" s="8597">
        <v>276.42996872700002</v>
      </c>
      <c r="AT26" s="8598">
        <v>273.61</v>
      </c>
      <c r="AU26" s="8575"/>
      <c r="AV26" s="8574">
        <f>AT26/AS26</f>
        <v>0.98979861431093608</v>
      </c>
      <c r="AW26" s="8575"/>
      <c r="AX26" s="8597">
        <v>284.74</v>
      </c>
      <c r="AY26" s="8599"/>
      <c r="AZ26" s="8577">
        <v>287.10000000000002</v>
      </c>
      <c r="BA26" s="6850"/>
      <c r="BB26" s="8597">
        <v>284.74</v>
      </c>
      <c r="BC26" s="8598">
        <v>287.10000000000002</v>
      </c>
      <c r="BD26" s="8575"/>
      <c r="BE26" s="8574">
        <f>BC26/BB26</f>
        <v>1.0082882629767507</v>
      </c>
      <c r="BF26" s="8575"/>
      <c r="BG26" s="8597">
        <v>295.76</v>
      </c>
      <c r="BH26" s="3732"/>
      <c r="BI26" s="3750">
        <f>221.81*12/9</f>
        <v>295.74666666666667</v>
      </c>
    </row>
    <row r="27" spans="1:61" x14ac:dyDescent="0.35">
      <c r="A27" s="9168"/>
      <c r="B27" s="6082"/>
      <c r="C27" s="110" t="s">
        <v>907</v>
      </c>
      <c r="D27" s="60"/>
      <c r="F27" s="2786"/>
      <c r="G27" s="2746"/>
      <c r="H27" s="2747"/>
      <c r="I27" s="3748"/>
      <c r="J27" s="64">
        <f>IF(H27=0,0,I27/H27)</f>
        <v>0</v>
      </c>
      <c r="L27" s="2787"/>
      <c r="M27" s="2794">
        <f>L27*J27</f>
        <v>0</v>
      </c>
      <c r="N27" s="2746"/>
      <c r="O27" s="2787"/>
      <c r="P27" s="2794">
        <f>O27*J27</f>
        <v>0</v>
      </c>
      <c r="Q27" s="2709"/>
      <c r="R27" s="2747"/>
      <c r="S27" s="3749"/>
      <c r="T27" s="247"/>
      <c r="U27" s="2709"/>
      <c r="V27" s="2747"/>
      <c r="W27" s="3687"/>
      <c r="X27" s="3750"/>
      <c r="Z27" s="2747"/>
      <c r="AA27" s="3749"/>
      <c r="AC27" s="247"/>
      <c r="AD27" s="2709"/>
      <c r="AE27" s="2747"/>
      <c r="AF27" s="3732"/>
      <c r="AG27" s="3750"/>
      <c r="AI27" s="2747"/>
      <c r="AJ27" s="3750"/>
      <c r="AK27" s="2867"/>
      <c r="AL27" s="247"/>
      <c r="AM27" s="2709"/>
      <c r="AN27" s="2747"/>
      <c r="AO27" s="3732"/>
      <c r="AP27" s="3699">
        <f>AN27*AL27</f>
        <v>0</v>
      </c>
      <c r="AR27" s="257"/>
      <c r="AS27" s="8597"/>
      <c r="AT27" s="8598"/>
      <c r="AU27" s="8575"/>
      <c r="AV27" s="4667"/>
      <c r="AW27" s="8575"/>
      <c r="AX27" s="8597"/>
      <c r="AY27" s="8599"/>
      <c r="AZ27" s="8577">
        <f>AX27*AV27</f>
        <v>0</v>
      </c>
      <c r="BA27" s="6850"/>
      <c r="BB27" s="8597"/>
      <c r="BC27" s="8598">
        <f>BA27*AY27</f>
        <v>0</v>
      </c>
      <c r="BD27" s="8575"/>
      <c r="BE27" s="4667"/>
      <c r="BF27" s="8575"/>
      <c r="BG27" s="8597"/>
      <c r="BH27" s="3732"/>
      <c r="BI27" s="3750"/>
    </row>
    <row r="28" spans="1:61" x14ac:dyDescent="0.35">
      <c r="A28" s="9168"/>
      <c r="B28" s="6082"/>
      <c r="C28" s="110" t="s">
        <v>908</v>
      </c>
      <c r="D28" s="60"/>
      <c r="F28" s="2786"/>
      <c r="G28" s="2746"/>
      <c r="H28" s="2747">
        <v>8</v>
      </c>
      <c r="I28" s="3748"/>
      <c r="J28" s="64">
        <f>IF(H28=0,0,I28/H28)</f>
        <v>0</v>
      </c>
      <c r="L28" s="2747">
        <v>8</v>
      </c>
      <c r="M28" s="2794">
        <f>L28*J28</f>
        <v>0</v>
      </c>
      <c r="N28" s="2746"/>
      <c r="O28" s="2747">
        <v>8</v>
      </c>
      <c r="P28" s="2794">
        <f>O28*J28</f>
        <v>0</v>
      </c>
      <c r="Q28" s="2709"/>
      <c r="R28" s="2747"/>
      <c r="S28" s="3749"/>
      <c r="T28" s="247"/>
      <c r="U28" s="2709"/>
      <c r="V28" s="2747"/>
      <c r="W28" s="3687"/>
      <c r="X28" s="3750"/>
      <c r="Z28" s="2747">
        <v>8.26328</v>
      </c>
      <c r="AA28" s="3749">
        <v>0</v>
      </c>
      <c r="AC28" s="8115">
        <f>AA28/Z28</f>
        <v>0</v>
      </c>
      <c r="AD28" s="2709"/>
      <c r="AE28" s="2747">
        <v>8.26328</v>
      </c>
      <c r="AF28" s="3732"/>
      <c r="AG28" s="3751">
        <f>AE28*AC28</f>
        <v>0</v>
      </c>
      <c r="AI28" s="2747">
        <v>8.26328</v>
      </c>
      <c r="AJ28" s="3752">
        <f>AJ26*AJ30</f>
        <v>8.2171742792971845</v>
      </c>
      <c r="AK28" s="2867"/>
      <c r="AL28" s="8115">
        <f>AJ28/AI28</f>
        <v>0.99442040924393027</v>
      </c>
      <c r="AM28" s="2709"/>
      <c r="AN28" s="3753">
        <f>AN26*AN30</f>
        <v>8.5169599889404939</v>
      </c>
      <c r="AO28" s="3732"/>
      <c r="AP28" s="3699">
        <f>AN28*AL28</f>
        <v>8.4694388377163854</v>
      </c>
      <c r="AR28" s="257"/>
      <c r="AS28" s="8600">
        <f>AS26*AS30</f>
        <v>8.5169599889404939</v>
      </c>
      <c r="AT28" s="8601">
        <f>AT26*AT30</f>
        <v>8.4300751951949859</v>
      </c>
      <c r="AU28" s="8575"/>
      <c r="AV28" s="8592">
        <f>AT28/AS28</f>
        <v>0.98979861431093608</v>
      </c>
      <c r="AW28" s="8575"/>
      <c r="AX28" s="8600">
        <f>AX26*AX30</f>
        <v>8.7729966414963645</v>
      </c>
      <c r="AY28" s="8599"/>
      <c r="AZ28" s="8577">
        <f>AX28*AV28</f>
        <v>8.6834999191075983</v>
      </c>
      <c r="BA28" s="6850"/>
      <c r="BB28" s="8600"/>
      <c r="BC28" s="8601">
        <f>BA28*AY28</f>
        <v>0</v>
      </c>
      <c r="BD28" s="8575"/>
      <c r="BE28" s="8592" t="e">
        <f>BC28/BB28</f>
        <v>#DIV/0!</v>
      </c>
      <c r="BF28" s="8575"/>
      <c r="BG28" s="8597">
        <v>17.100000000000001</v>
      </c>
      <c r="BH28" s="8602" t="s">
        <v>4466</v>
      </c>
      <c r="BI28" s="8603"/>
    </row>
    <row r="29" spans="1:61" x14ac:dyDescent="0.35">
      <c r="A29" s="9168"/>
      <c r="B29" s="6082"/>
      <c r="C29" s="161" t="s">
        <v>910</v>
      </c>
      <c r="D29" s="162"/>
      <c r="F29" s="2761"/>
      <c r="G29" s="2746"/>
      <c r="H29" s="3754"/>
      <c r="I29" s="3755"/>
      <c r="J29" s="64">
        <f>IF(H29=0,0,I29/H29)</f>
        <v>0</v>
      </c>
      <c r="L29" s="2798"/>
      <c r="M29" s="2794">
        <f>L29*J29</f>
        <v>0</v>
      </c>
      <c r="N29" s="2746"/>
      <c r="O29" s="2798"/>
      <c r="P29" s="2794">
        <f>O29*J29</f>
        <v>0</v>
      </c>
      <c r="Q29" s="2709"/>
      <c r="R29" s="3754"/>
      <c r="S29" s="3755"/>
      <c r="T29" s="247"/>
      <c r="U29" s="2709"/>
      <c r="V29" s="3754"/>
      <c r="W29" s="3756"/>
      <c r="X29" s="3757"/>
      <c r="Z29" s="3754"/>
      <c r="AA29" s="3755"/>
      <c r="AC29" s="247"/>
      <c r="AD29" s="2709"/>
      <c r="AE29" s="3754"/>
      <c r="AF29" s="3758"/>
      <c r="AG29" s="3759"/>
      <c r="AI29" s="3754"/>
      <c r="AJ29" s="3759"/>
      <c r="AK29" s="3758"/>
      <c r="AL29" s="247"/>
      <c r="AM29" s="2709"/>
      <c r="AN29" s="3754"/>
      <c r="AO29" s="3758"/>
      <c r="AP29" s="3699">
        <f>AN29*AL29</f>
        <v>0</v>
      </c>
      <c r="AR29" s="257"/>
      <c r="AS29" s="8604"/>
      <c r="AT29" s="8605"/>
      <c r="AU29" s="8606"/>
      <c r="AV29" s="4667"/>
      <c r="AW29" s="8575"/>
      <c r="AX29" s="8604"/>
      <c r="AY29" s="8606"/>
      <c r="AZ29" s="8577">
        <f>AX29*AV29</f>
        <v>0</v>
      </c>
      <c r="BA29" s="6850"/>
      <c r="BB29" s="8604"/>
      <c r="BC29" s="8605">
        <f>BA29*AY29</f>
        <v>0</v>
      </c>
      <c r="BD29" s="8606"/>
      <c r="BE29" s="4667"/>
      <c r="BF29" s="8575"/>
      <c r="BG29" s="8604"/>
      <c r="BH29" s="3758"/>
      <c r="BI29" s="3757"/>
    </row>
    <row r="30" spans="1:61" x14ac:dyDescent="0.35">
      <c r="A30" s="9168"/>
      <c r="B30" s="128"/>
      <c r="C30" s="129" t="s">
        <v>914</v>
      </c>
      <c r="D30" s="87"/>
      <c r="F30" s="1133">
        <f>H30</f>
        <v>4.9743578560751789E-2</v>
      </c>
      <c r="G30" s="1477"/>
      <c r="H30" s="1135">
        <f>IF(H26=0,0,(H28-H29)/H26)</f>
        <v>4.9743578560751789E-2</v>
      </c>
      <c r="I30" s="1136">
        <f>H30</f>
        <v>4.9743578560751789E-2</v>
      </c>
      <c r="J30" s="1137"/>
      <c r="K30" s="1477"/>
      <c r="L30" s="1135">
        <f>IF(L26=0,0,(L28-L29)/L26)</f>
        <v>3.8098866558719878E-2</v>
      </c>
      <c r="M30" s="3760">
        <f>L30</f>
        <v>3.8098866558719878E-2</v>
      </c>
      <c r="N30" s="2803"/>
      <c r="O30" s="1135">
        <f>IF(O26=0,0,(O28-O29)/O26)</f>
        <v>3.319777574902482E-2</v>
      </c>
      <c r="P30" s="3760">
        <f>O30</f>
        <v>3.319777574902482E-2</v>
      </c>
      <c r="Q30" s="2709"/>
      <c r="R30" s="1135">
        <f>O30</f>
        <v>3.319777574902482E-2</v>
      </c>
      <c r="S30" s="1136"/>
      <c r="T30" s="247"/>
      <c r="U30" s="2709"/>
      <c r="V30" s="1135">
        <f>R30</f>
        <v>3.319777574902482E-2</v>
      </c>
      <c r="W30" s="1136"/>
      <c r="X30" s="1137"/>
      <c r="Y30" s="176"/>
      <c r="Z30" s="1135">
        <f>Z28/Z26</f>
        <v>3.2234253914478622E-2</v>
      </c>
      <c r="AA30" s="1136">
        <f>AA28/AA26</f>
        <v>0</v>
      </c>
      <c r="AC30" s="247"/>
      <c r="AD30" s="2709"/>
      <c r="AE30" s="1135">
        <f>Z30</f>
        <v>3.2234253914478622E-2</v>
      </c>
      <c r="AF30" s="1141"/>
      <c r="AG30" s="1137">
        <f>AB30</f>
        <v>0</v>
      </c>
      <c r="AH30" s="176"/>
      <c r="AI30" s="1135">
        <f>AI28/AI26</f>
        <v>3.08105522283359E-2</v>
      </c>
      <c r="AJ30" s="1137">
        <f>AI30</f>
        <v>3.08105522283359E-2</v>
      </c>
      <c r="AK30" s="1141"/>
      <c r="AL30" s="247"/>
      <c r="AM30" s="2709"/>
      <c r="AN30" s="1135">
        <f>AI30</f>
        <v>3.08105522283359E-2</v>
      </c>
      <c r="AO30" s="1141"/>
      <c r="AP30" s="1137">
        <f>AP28/AP26</f>
        <v>3.08105522283359E-2</v>
      </c>
      <c r="AQ30" s="176"/>
      <c r="AR30" s="3644"/>
      <c r="AS30" s="8607">
        <f>AN30</f>
        <v>3.08105522283359E-2</v>
      </c>
      <c r="AT30" s="8608">
        <f>AS30</f>
        <v>3.08105522283359E-2</v>
      </c>
      <c r="AU30" s="8609"/>
      <c r="AV30" s="4667"/>
      <c r="AW30" s="8575"/>
      <c r="AX30" s="8607">
        <f>AS30</f>
        <v>3.08105522283359E-2</v>
      </c>
      <c r="AY30" s="8609"/>
      <c r="AZ30" s="8608">
        <f>AX30</f>
        <v>3.08105522283359E-2</v>
      </c>
      <c r="BA30" s="6850"/>
      <c r="BB30" s="8607">
        <f>BG30</f>
        <v>5.7817149039761977E-2</v>
      </c>
      <c r="BC30" s="8608">
        <f>BB30</f>
        <v>5.7817149039761977E-2</v>
      </c>
      <c r="BD30" s="8609"/>
      <c r="BE30" s="4667"/>
      <c r="BF30" s="8575"/>
      <c r="BG30" s="8607">
        <f>BG28/BG26</f>
        <v>5.7817149039761977E-2</v>
      </c>
      <c r="BH30" s="1141"/>
      <c r="BI30" s="1137">
        <f>BG30</f>
        <v>5.7817149039761977E-2</v>
      </c>
    </row>
    <row r="31" spans="1:61" x14ac:dyDescent="0.35">
      <c r="A31" s="9168"/>
      <c r="B31" s="1600" t="s">
        <v>915</v>
      </c>
      <c r="C31" s="49"/>
      <c r="D31" s="140"/>
      <c r="F31" s="3761">
        <f>14.457+21.376</f>
        <v>35.832999999999998</v>
      </c>
      <c r="G31" s="1"/>
      <c r="H31" s="3762"/>
      <c r="I31" s="3763"/>
      <c r="J31" s="3764">
        <f>IF(H31=0,0,I31/H31)</f>
        <v>0</v>
      </c>
      <c r="L31" s="3762"/>
      <c r="M31" s="3765"/>
      <c r="N31" s="1"/>
      <c r="O31" s="3762"/>
      <c r="P31" s="3765"/>
      <c r="Q31" s="2709"/>
      <c r="R31" s="3762"/>
      <c r="S31" s="3763"/>
      <c r="T31" s="3764"/>
      <c r="U31" s="2709"/>
      <c r="V31" s="3762"/>
      <c r="W31" s="1149"/>
      <c r="X31" s="3765"/>
      <c r="Y31"/>
      <c r="Z31" s="3762"/>
      <c r="AA31" s="3763"/>
      <c r="AB31" s="3766"/>
      <c r="AC31" s="3764"/>
      <c r="AD31" s="2709"/>
      <c r="AE31" s="3762"/>
      <c r="AF31" s="1149"/>
      <c r="AG31" s="3765"/>
      <c r="AH31"/>
      <c r="AI31" s="3762"/>
      <c r="AJ31" s="3765"/>
      <c r="AK31" s="1149"/>
      <c r="AL31" s="3764"/>
      <c r="AM31" s="2709"/>
      <c r="AN31" s="3762"/>
      <c r="AO31" s="1149"/>
      <c r="AP31" s="3767"/>
      <c r="AQ31"/>
      <c r="AR31" s="7859"/>
      <c r="AS31" s="8610"/>
      <c r="AT31" s="8611"/>
      <c r="AU31" s="8612"/>
      <c r="AV31" s="8613"/>
      <c r="AW31" s="8575"/>
      <c r="AX31" s="8610"/>
      <c r="AY31" s="8612"/>
      <c r="AZ31" s="8614"/>
      <c r="BA31" s="6850"/>
      <c r="BB31" s="8610"/>
      <c r="BC31" s="8611"/>
      <c r="BD31" s="8612"/>
      <c r="BE31" s="8613"/>
      <c r="BF31" s="8575"/>
      <c r="BG31" s="8610"/>
      <c r="BH31" s="1149"/>
      <c r="BI31" s="3765"/>
    </row>
    <row r="32" spans="1:61" x14ac:dyDescent="0.35">
      <c r="A32" s="9168"/>
      <c r="B32" s="1601"/>
      <c r="C32" s="121" t="s">
        <v>1336</v>
      </c>
      <c r="D32" s="60"/>
      <c r="F32" s="155"/>
      <c r="G32" s="1"/>
      <c r="H32" s="2747"/>
      <c r="I32" s="3748"/>
      <c r="J32" s="3768"/>
      <c r="L32" s="2747"/>
      <c r="M32" s="3750"/>
      <c r="N32" s="1"/>
      <c r="O32" s="2747"/>
      <c r="P32" s="3750"/>
      <c r="Q32" s="2709"/>
      <c r="R32" s="2747"/>
      <c r="S32" s="3748"/>
      <c r="T32" s="3768"/>
      <c r="U32" s="2709"/>
      <c r="V32" s="2747"/>
      <c r="W32" s="1"/>
      <c r="X32" s="3750"/>
      <c r="Y32"/>
      <c r="Z32" s="2747"/>
      <c r="AA32" s="3748"/>
      <c r="AB32" s="3769"/>
      <c r="AC32" s="3768"/>
      <c r="AD32" s="2709"/>
      <c r="AE32" s="2747"/>
      <c r="AF32" s="1"/>
      <c r="AG32" s="3750"/>
      <c r="AH32"/>
      <c r="AI32" s="2747"/>
      <c r="AJ32" s="3750"/>
      <c r="AK32" s="1"/>
      <c r="AL32" s="3768"/>
      <c r="AM32" s="2709"/>
      <c r="AN32" s="2747"/>
      <c r="AO32" s="1"/>
      <c r="AP32" s="3751"/>
      <c r="AQ32"/>
      <c r="AR32" s="257"/>
      <c r="AS32" s="8597"/>
      <c r="AT32" s="8598"/>
      <c r="AU32" s="8615"/>
      <c r="AV32" s="8616"/>
      <c r="AW32" s="8575"/>
      <c r="AX32" s="8597"/>
      <c r="AY32" s="8615"/>
      <c r="AZ32" s="8617"/>
      <c r="BA32" s="6850"/>
      <c r="BB32" s="8597"/>
      <c r="BC32" s="8598"/>
      <c r="BD32" s="8615"/>
      <c r="BE32" s="8616"/>
      <c r="BF32" s="8575"/>
      <c r="BG32" s="8597"/>
      <c r="BH32" s="1"/>
      <c r="BI32" s="3750"/>
    </row>
    <row r="33" spans="1:61" x14ac:dyDescent="0.35">
      <c r="A33" s="9169"/>
      <c r="B33" s="1603"/>
      <c r="C33" s="208" t="s">
        <v>933</v>
      </c>
      <c r="D33" s="87"/>
      <c r="F33" s="130"/>
      <c r="G33" s="1"/>
      <c r="H33" s="2767"/>
      <c r="I33" s="3734"/>
      <c r="J33" s="3770"/>
      <c r="L33" s="2767"/>
      <c r="M33" s="3735"/>
      <c r="N33" s="1"/>
      <c r="O33" s="2767"/>
      <c r="P33" s="3735"/>
      <c r="Q33" s="2709"/>
      <c r="R33" s="2767"/>
      <c r="S33" s="3734"/>
      <c r="T33" s="3770"/>
      <c r="U33" s="2709"/>
      <c r="V33" s="2767"/>
      <c r="W33" s="3492"/>
      <c r="X33" s="3735"/>
      <c r="Y33"/>
      <c r="Z33" s="2767"/>
      <c r="AA33" s="3734"/>
      <c r="AB33" s="3771"/>
      <c r="AC33" s="3770"/>
      <c r="AD33" s="2709"/>
      <c r="AE33" s="2767"/>
      <c r="AF33" s="3492"/>
      <c r="AG33" s="3735"/>
      <c r="AH33"/>
      <c r="AI33" s="2767"/>
      <c r="AJ33" s="3735"/>
      <c r="AK33" s="3492"/>
      <c r="AL33" s="3770"/>
      <c r="AM33" s="2709"/>
      <c r="AN33" s="2767"/>
      <c r="AO33" s="3492"/>
      <c r="AP33" s="3772"/>
      <c r="AQ33"/>
      <c r="AR33" s="3644"/>
      <c r="AS33" s="8618"/>
      <c r="AT33" s="8619"/>
      <c r="AU33" s="8620"/>
      <c r="AV33" s="8621"/>
      <c r="AW33" s="8575"/>
      <c r="AX33" s="8618"/>
      <c r="AY33" s="8620"/>
      <c r="AZ33" s="8622"/>
      <c r="BA33" s="6850"/>
      <c r="BB33" s="8618"/>
      <c r="BC33" s="8619"/>
      <c r="BD33" s="8620"/>
      <c r="BE33" s="8621"/>
      <c r="BF33" s="8575"/>
      <c r="BG33" s="8618"/>
      <c r="BH33" s="3492"/>
      <c r="BI33" s="3735"/>
    </row>
    <row r="34" spans="1:61" x14ac:dyDescent="0.35">
      <c r="A34" s="220"/>
      <c r="B34" s="220"/>
      <c r="D34" s="1"/>
      <c r="F34" s="1"/>
      <c r="G34" s="1"/>
      <c r="H34" s="1"/>
      <c r="I34" s="1"/>
      <c r="J34" s="1"/>
      <c r="L34" s="1"/>
      <c r="M34" s="1"/>
      <c r="N34" s="1"/>
      <c r="O34" s="1"/>
      <c r="P34" s="1"/>
      <c r="Q34" s="1"/>
      <c r="R34" s="1"/>
      <c r="S34" s="1"/>
      <c r="T34" s="1"/>
      <c r="U34" s="1"/>
      <c r="V34" s="1"/>
      <c r="W34" s="1"/>
      <c r="X34" s="1"/>
      <c r="Z34" s="1"/>
      <c r="AA34" s="1"/>
      <c r="AB34" s="1"/>
      <c r="AC34" s="1"/>
      <c r="AE34" s="106"/>
      <c r="AF34" s="106"/>
      <c r="AI34" s="1"/>
      <c r="AJ34" s="1"/>
      <c r="AK34" s="1"/>
      <c r="AL34" s="1"/>
      <c r="AN34" s="106"/>
      <c r="AO34" s="106"/>
      <c r="AS34" s="3276"/>
      <c r="AT34" s="8615"/>
      <c r="AU34" s="8615"/>
      <c r="AV34" s="8615"/>
      <c r="AX34" s="3276"/>
      <c r="AY34" s="3276"/>
      <c r="BB34" s="3276"/>
      <c r="BC34" s="8615"/>
      <c r="BD34" s="8615"/>
      <c r="BE34" s="8615"/>
      <c r="BG34" s="3276"/>
      <c r="BH34" s="106"/>
      <c r="BI34" s="1"/>
    </row>
    <row r="35" spans="1:61" ht="27.75" customHeight="1" x14ac:dyDescent="0.35">
      <c r="A35" s="9167" t="s">
        <v>916</v>
      </c>
      <c r="B35" s="27"/>
      <c r="C35" s="28" t="s">
        <v>427</v>
      </c>
      <c r="D35" s="42" t="s">
        <v>428</v>
      </c>
      <c r="E35" s="30"/>
      <c r="F35" s="2679" t="s">
        <v>1126</v>
      </c>
      <c r="G35" s="2680"/>
      <c r="H35" s="2679" t="s">
        <v>1126</v>
      </c>
      <c r="I35" s="2679" t="s">
        <v>1126</v>
      </c>
      <c r="J35" s="224"/>
      <c r="K35" s="223"/>
      <c r="L35" s="2679" t="s">
        <v>1126</v>
      </c>
      <c r="M35" s="2821" t="s">
        <v>857</v>
      </c>
      <c r="N35" s="1864"/>
      <c r="O35" s="2679" t="s">
        <v>1126</v>
      </c>
      <c r="P35" s="2821" t="s">
        <v>857</v>
      </c>
      <c r="Q35" s="1864"/>
      <c r="R35" s="2679"/>
      <c r="S35" s="2679"/>
      <c r="T35" s="268"/>
      <c r="U35" s="1864"/>
      <c r="V35" s="2679"/>
      <c r="W35" s="3773"/>
      <c r="X35" s="2821"/>
      <c r="Y35" s="30"/>
      <c r="Z35" s="2679" t="s">
        <v>4467</v>
      </c>
      <c r="AA35" s="2679" t="s">
        <v>4467</v>
      </c>
      <c r="AB35" s="3774"/>
      <c r="AC35" s="3675"/>
      <c r="AD35" s="1864"/>
      <c r="AE35" s="2679" t="s">
        <v>4467</v>
      </c>
      <c r="AF35" s="3775"/>
      <c r="AG35" s="3776" t="s">
        <v>4468</v>
      </c>
      <c r="AH35" s="30"/>
      <c r="AI35" s="2679" t="str">
        <f>AE35</f>
        <v>Fichier BOOST</v>
      </c>
      <c r="AJ35" s="2679" t="str">
        <f>AG35</f>
        <v>Estimations avec taux d'exécution</v>
      </c>
      <c r="AK35" s="3774"/>
      <c r="AL35" s="3675"/>
      <c r="AM35" s="1864"/>
      <c r="AN35" s="2679" t="s">
        <v>4430</v>
      </c>
      <c r="AO35" s="3775"/>
      <c r="AP35" s="3777"/>
      <c r="AQ35" s="30"/>
      <c r="AR35" s="726"/>
      <c r="AS35" s="2679" t="s">
        <v>4430</v>
      </c>
      <c r="AT35" s="2679">
        <f>AR35</f>
        <v>0</v>
      </c>
      <c r="AU35" s="8623"/>
      <c r="AV35" s="8566"/>
      <c r="AW35" s="5329"/>
      <c r="AX35" s="2679" t="s">
        <v>4469</v>
      </c>
      <c r="AY35" s="3775"/>
      <c r="AZ35" s="2679" t="s">
        <v>4469</v>
      </c>
      <c r="BB35" s="9493" t="s">
        <v>4469</v>
      </c>
      <c r="BC35" s="9494"/>
      <c r="BD35" s="8623"/>
      <c r="BE35" s="8566"/>
      <c r="BF35" s="5329"/>
      <c r="BG35" s="36" t="s">
        <v>4438</v>
      </c>
      <c r="BH35" s="3775"/>
      <c r="BI35" s="36" t="s">
        <v>4438</v>
      </c>
    </row>
    <row r="36" spans="1:61" x14ac:dyDescent="0.35">
      <c r="A36" s="9168"/>
      <c r="B36" s="141" t="s">
        <v>925</v>
      </c>
      <c r="C36"/>
      <c r="D36" s="140"/>
      <c r="E36" s="143"/>
      <c r="F36" s="3778" t="s">
        <v>4470</v>
      </c>
      <c r="G36" s="1579"/>
      <c r="H36" s="3778" t="s">
        <v>4470</v>
      </c>
      <c r="I36" s="3778" t="s">
        <v>4470</v>
      </c>
      <c r="J36" s="228"/>
      <c r="K36" s="143"/>
      <c r="L36" s="3778" t="s">
        <v>4470</v>
      </c>
      <c r="M36" s="3778" t="s">
        <v>4470</v>
      </c>
      <c r="N36" s="1579"/>
      <c r="O36" s="3778" t="s">
        <v>4470</v>
      </c>
      <c r="P36" s="3778" t="s">
        <v>4470</v>
      </c>
      <c r="Q36" s="1579"/>
      <c r="R36" s="102"/>
      <c r="S36" s="103"/>
      <c r="T36" s="247"/>
      <c r="U36" s="1579"/>
      <c r="V36" s="3778" t="s">
        <v>4470</v>
      </c>
      <c r="W36" s="103"/>
      <c r="X36" s="247"/>
      <c r="Y36" s="143"/>
      <c r="Z36" s="102"/>
      <c r="AA36" s="103"/>
      <c r="AC36" s="247"/>
      <c r="AD36" s="1579"/>
      <c r="AE36" s="102"/>
      <c r="AF36" s="103"/>
      <c r="AG36" s="105" t="s">
        <v>4471</v>
      </c>
      <c r="AH36" s="143"/>
      <c r="AI36" s="102"/>
      <c r="AJ36" s="103" t="s">
        <v>4471</v>
      </c>
      <c r="AL36" s="247"/>
      <c r="AM36" s="1579"/>
      <c r="AN36" s="102"/>
      <c r="AO36" s="103"/>
      <c r="AP36" s="105" t="s">
        <v>4471</v>
      </c>
      <c r="AQ36" s="143"/>
      <c r="AR36" s="8790" t="s">
        <v>4469</v>
      </c>
      <c r="AS36" s="8624" t="s">
        <v>4472</v>
      </c>
      <c r="AT36" s="8625"/>
      <c r="AU36" s="8626"/>
      <c r="AV36" s="8627"/>
      <c r="AW36" s="8628"/>
      <c r="AX36" s="8629"/>
      <c r="AY36" s="8630"/>
      <c r="AZ36" s="8631"/>
      <c r="BA36" s="8630"/>
      <c r="BB36" s="8632" t="s">
        <v>4473</v>
      </c>
      <c r="BC36" s="3275"/>
      <c r="BD36" s="6132"/>
      <c r="BE36" s="3281"/>
      <c r="BF36" s="8633"/>
      <c r="BG36" s="3274"/>
      <c r="BH36" s="4655" t="s">
        <v>4474</v>
      </c>
      <c r="BI36" s="105"/>
    </row>
    <row r="37" spans="1:61" x14ac:dyDescent="0.35">
      <c r="A37" s="9168"/>
      <c r="B37" s="232"/>
      <c r="C37" s="232" t="s">
        <v>4475</v>
      </c>
      <c r="D37" s="60"/>
      <c r="F37" s="2743">
        <v>81.874834301999996</v>
      </c>
      <c r="G37" s="2746"/>
      <c r="H37" s="2755">
        <v>121.704333691</v>
      </c>
      <c r="I37" s="3727">
        <v>119.26212447899999</v>
      </c>
      <c r="J37" s="64">
        <f>IF(H37=0,0,I37/H37)</f>
        <v>0.97993326007436488</v>
      </c>
      <c r="L37" s="2755">
        <v>162.655171663</v>
      </c>
      <c r="M37" s="2794">
        <f t="shared" ref="M37:M43" si="2">MIN(L37*J37,L37)</f>
        <v>159.39121263567904</v>
      </c>
      <c r="N37" s="2746"/>
      <c r="O37" s="2755">
        <v>153.52542135499999</v>
      </c>
      <c r="P37" s="2794">
        <f t="shared" ref="P37:P43" si="3">MIN(O37*J37,O37)</f>
        <v>150.44466665269564</v>
      </c>
      <c r="Q37" s="2746"/>
      <c r="R37" s="2755">
        <f>48.079721157+9.333361369+55.8331873</f>
        <v>113.246269826</v>
      </c>
      <c r="S37" s="3727"/>
      <c r="T37" s="247"/>
      <c r="U37" s="2746"/>
      <c r="V37" s="3779">
        <f>124.492500087+1.197444046+15.849743088</f>
        <v>141.53968722100001</v>
      </c>
      <c r="W37" s="3730"/>
      <c r="X37" s="2794"/>
      <c r="Z37" s="2755"/>
      <c r="AA37" s="3727"/>
      <c r="AC37" s="247"/>
      <c r="AD37" s="2746"/>
      <c r="AE37" s="2755"/>
      <c r="AF37" s="3780"/>
      <c r="AG37" s="3699"/>
      <c r="AI37" s="2755"/>
      <c r="AJ37" s="3732"/>
      <c r="AL37" s="8789">
        <f>(AJ39+AJ38)/(AI38+AI39)</f>
        <v>0.83730453523254667</v>
      </c>
      <c r="AM37" s="2746"/>
      <c r="AN37" s="2755">
        <v>129.572452016</v>
      </c>
      <c r="AO37" s="3780"/>
      <c r="AP37" s="3699">
        <f>AN37*(AJ$38+AJ$41+AJ$44+AJ$47)/(AI$38+AI$41+AI$44+AI$47)</f>
        <v>126.45475496892249</v>
      </c>
      <c r="AR37" s="8791" t="s">
        <v>4476</v>
      </c>
      <c r="AS37" s="8588">
        <v>19.847000000000001</v>
      </c>
      <c r="AT37" s="8634">
        <v>17.440999999999999</v>
      </c>
      <c r="AU37" s="8635"/>
      <c r="AV37" s="8636">
        <f>AT37/AS37</f>
        <v>0.87877261047009614</v>
      </c>
      <c r="AW37" s="8606"/>
      <c r="AX37" s="8588">
        <f>(0.869+0.15+17.102+3.789)</f>
        <v>21.91</v>
      </c>
      <c r="AY37" s="8637"/>
      <c r="AZ37" s="8638">
        <f>(0.869+0.51+16.992+2.858)</f>
        <v>21.229000000000003</v>
      </c>
      <c r="BA37" s="8639"/>
      <c r="BB37" s="8588"/>
      <c r="BC37" s="8640"/>
      <c r="BE37" s="8574" t="e">
        <f>BC37/BB37</f>
        <v>#DIV/0!</v>
      </c>
      <c r="BF37" s="8606"/>
      <c r="BG37" s="8588"/>
      <c r="BH37" s="3780"/>
      <c r="BI37" s="3728"/>
    </row>
    <row r="38" spans="1:61" x14ac:dyDescent="0.35">
      <c r="A38" s="9168"/>
      <c r="B38" s="232"/>
      <c r="C38" s="238" t="s">
        <v>1336</v>
      </c>
      <c r="D38" s="60"/>
      <c r="F38" s="2743"/>
      <c r="G38" s="2746"/>
      <c r="H38" s="2757"/>
      <c r="I38" s="3727"/>
      <c r="J38" s="64"/>
      <c r="L38" s="2757"/>
      <c r="M38" s="2794"/>
      <c r="N38" s="2746"/>
      <c r="O38" s="2757"/>
      <c r="P38" s="2794"/>
      <c r="Q38" s="2746"/>
      <c r="R38" s="2757">
        <v>37.790875225999997</v>
      </c>
      <c r="S38" s="3727"/>
      <c r="T38" s="247"/>
      <c r="U38" s="2746"/>
      <c r="V38" s="3779"/>
      <c r="W38" s="3730"/>
      <c r="X38" s="2794"/>
      <c r="Z38" s="2757">
        <v>115.449195214</v>
      </c>
      <c r="AA38" s="3727">
        <v>109.13082817999999</v>
      </c>
      <c r="AC38" s="8115">
        <f>AA38/Z38</f>
        <v>0.94527145016222858</v>
      </c>
      <c r="AD38" s="2746"/>
      <c r="AE38" s="2757">
        <v>108.64590894</v>
      </c>
      <c r="AF38" s="3780"/>
      <c r="AG38" s="3699">
        <f>AE38*(AA$38+AA$41+AA$44+AA$47)/(Z$38+Z$41+Z$44+Z$47)</f>
        <v>106.03173421220011</v>
      </c>
      <c r="AI38" s="2744">
        <v>108.64590894</v>
      </c>
      <c r="AJ38" s="3732">
        <f>AG38</f>
        <v>106.03173421220011</v>
      </c>
      <c r="AL38" s="8115">
        <f>AJ38/AI38</f>
        <v>0.9759385810905814</v>
      </c>
      <c r="AM38" s="2746"/>
      <c r="AN38" s="2755"/>
      <c r="AO38" s="3780"/>
      <c r="AP38" s="3699">
        <f>AN38*(AJ$38+AJ$41+AJ$44+AJ$47)/(AI$38+AI$41+AI$44+AI$47)</f>
        <v>0</v>
      </c>
      <c r="AR38" s="8791" t="s">
        <v>4477</v>
      </c>
      <c r="AS38" s="8588">
        <v>0.92400000000000004</v>
      </c>
      <c r="AT38" s="8640">
        <v>0.65</v>
      </c>
      <c r="AU38" s="8641"/>
      <c r="AV38" s="8642">
        <f t="shared" ref="AV38:AV49" si="4">AT38/AS38</f>
        <v>0.70346320346320346</v>
      </c>
      <c r="AW38" s="8606"/>
      <c r="AX38" s="8588">
        <f>(0.656+0.93+0.1+0.76)</f>
        <v>2.4460000000000002</v>
      </c>
      <c r="AY38" s="8637"/>
      <c r="AZ38" s="8643">
        <f>(0.656+0.41+0.74)</f>
        <v>1.806</v>
      </c>
      <c r="BA38" s="8639"/>
      <c r="BB38" s="8588">
        <f>136.865494057-BB39</f>
        <v>113.135504256</v>
      </c>
      <c r="BC38" s="8640">
        <f>117.236611368</f>
        <v>117.236611368</v>
      </c>
      <c r="BD38" s="8644" t="s">
        <v>506</v>
      </c>
      <c r="BE38" s="8574">
        <f t="shared" ref="BE38:BE49" si="5">BC38/BB38</f>
        <v>1.0362495145884543</v>
      </c>
      <c r="BF38" s="8606"/>
      <c r="BG38" s="8588">
        <f>143.997933439-BG39</f>
        <v>133.572647582</v>
      </c>
      <c r="BH38" s="8645" t="s">
        <v>4478</v>
      </c>
      <c r="BI38" s="3728">
        <f>103.420953341*12/9-BI39</f>
        <v>133.321672052</v>
      </c>
    </row>
    <row r="39" spans="1:61" x14ac:dyDescent="0.35">
      <c r="A39" s="9168"/>
      <c r="B39" s="232"/>
      <c r="C39" s="238" t="s">
        <v>933</v>
      </c>
      <c r="D39" s="60"/>
      <c r="F39" s="2743"/>
      <c r="G39" s="2746"/>
      <c r="H39" s="2757"/>
      <c r="I39" s="3727"/>
      <c r="J39" s="64"/>
      <c r="L39" s="2757"/>
      <c r="M39" s="2794"/>
      <c r="N39" s="2746"/>
      <c r="O39" s="2757"/>
      <c r="P39" s="2794"/>
      <c r="Q39" s="2746"/>
      <c r="R39" s="2757"/>
      <c r="S39" s="3727"/>
      <c r="T39" s="247"/>
      <c r="U39" s="2746"/>
      <c r="V39" s="3779"/>
      <c r="W39" s="3730"/>
      <c r="X39" s="2794"/>
      <c r="Z39" s="2757">
        <v>25.111340335000001</v>
      </c>
      <c r="AA39" s="3727">
        <v>6.2383019390000003</v>
      </c>
      <c r="AC39" s="8115">
        <f t="shared" ref="AC39:AC48" si="6">AA39/Z39</f>
        <v>0.24842568559771783</v>
      </c>
      <c r="AD39" s="2746"/>
      <c r="AE39" s="2757">
        <v>24.689681835999998</v>
      </c>
      <c r="AF39" s="3780"/>
      <c r="AG39" s="3699">
        <f>AE39*(AA$39+AA$42+AA$45+AA$48)/(Z$39+Z$42+Z$45+Z$48)</f>
        <v>5.6107606524556131</v>
      </c>
      <c r="AI39" s="2744">
        <v>24.689681835999998</v>
      </c>
      <c r="AJ39" s="3732">
        <f t="shared" ref="AJ39:AJ48" si="7">AG39</f>
        <v>5.6107606524556131</v>
      </c>
      <c r="AL39" s="8115">
        <f>AJ39/AI39</f>
        <v>0.22725123352033516</v>
      </c>
      <c r="AM39" s="2746"/>
      <c r="AN39" s="2757"/>
      <c r="AO39" s="3780"/>
      <c r="AP39" s="3699">
        <f t="shared" ref="AP39:AP48" si="8">AN39*(AJ$38+AJ$41+AJ$44+AJ$47)/(AI$38+AI$41+AI$44+AI$47)</f>
        <v>0</v>
      </c>
      <c r="AR39" s="8791" t="s">
        <v>4479</v>
      </c>
      <c r="AS39" s="8646">
        <v>31.600999999999999</v>
      </c>
      <c r="AT39" s="8640">
        <v>27.332000000000001</v>
      </c>
      <c r="AU39" s="8641"/>
      <c r="AV39" s="8642">
        <f t="shared" si="4"/>
        <v>0.86490933831207883</v>
      </c>
      <c r="AW39" s="8606"/>
      <c r="AX39" s="8646">
        <f>(2.784+0.4+24.7+0.9)</f>
        <v>28.783999999999999</v>
      </c>
      <c r="AY39" s="8637"/>
      <c r="AZ39" s="8643">
        <f>(2.456+0.346+19.604+0.47)</f>
        <v>22.875999999999998</v>
      </c>
      <c r="BA39" s="8639"/>
      <c r="BB39" s="8646">
        <f>21.143979363+0+0.08275008+2.503260358</f>
        <v>23.729989800999999</v>
      </c>
      <c r="BC39" s="8640">
        <f>9.443573226+0+1.1172+2.619499064</f>
        <v>13.180272290000001</v>
      </c>
      <c r="BE39" s="8574">
        <f t="shared" si="5"/>
        <v>0.55542679961221797</v>
      </c>
      <c r="BF39" s="8606"/>
      <c r="BG39" s="8646">
        <f>10.333285857+0.092</f>
        <v>10.425285857</v>
      </c>
      <c r="BH39" s="8645"/>
      <c r="BI39" s="3728">
        <f>(3.337699303+0.091999999)*12/9</f>
        <v>4.5729324026666669</v>
      </c>
    </row>
    <row r="40" spans="1:61" x14ac:dyDescent="0.35">
      <c r="A40" s="9168"/>
      <c r="B40" s="232"/>
      <c r="C40" s="232" t="s">
        <v>4480</v>
      </c>
      <c r="D40" s="60"/>
      <c r="F40" s="2786"/>
      <c r="G40" s="2746"/>
      <c r="H40" s="2744"/>
      <c r="I40" s="3748">
        <v>8.6317772000000001E-2</v>
      </c>
      <c r="J40" s="64">
        <f>J37</f>
        <v>0.97993326007436488</v>
      </c>
      <c r="L40" s="2744">
        <v>42.229377325999998</v>
      </c>
      <c r="M40" s="2794">
        <f t="shared" si="2"/>
        <v>41.381971393977643</v>
      </c>
      <c r="N40" s="2746"/>
      <c r="O40" s="2744">
        <v>43.089397192</v>
      </c>
      <c r="P40" s="2794">
        <f t="shared" si="3"/>
        <v>42.224733464995744</v>
      </c>
      <c r="Q40" s="2746"/>
      <c r="R40" s="2744">
        <f>5.224704143+11.3790869415</f>
        <v>16.603791084500003</v>
      </c>
      <c r="S40" s="3748"/>
      <c r="T40" s="247"/>
      <c r="U40" s="2746"/>
      <c r="V40" s="3781">
        <f>29.395951275+1+3.794850579+0.615581767</f>
        <v>34.806383621000002</v>
      </c>
      <c r="W40" s="3687"/>
      <c r="X40" s="2794"/>
      <c r="Z40" s="2744"/>
      <c r="AA40" s="3748"/>
      <c r="AC40" s="8115"/>
      <c r="AD40" s="2746"/>
      <c r="AE40" s="2744"/>
      <c r="AF40" s="3780"/>
      <c r="AG40" s="3699"/>
      <c r="AI40" s="2744"/>
      <c r="AJ40" s="3732"/>
      <c r="AL40" s="8789">
        <f>(AJ42+AJ41)/(AI41+AI42)</f>
        <v>0.85120452814318337</v>
      </c>
      <c r="AM40" s="2746"/>
      <c r="AN40" s="2744">
        <v>47.612813975000002</v>
      </c>
      <c r="AO40" s="3780"/>
      <c r="AP40" s="3699">
        <f t="shared" si="8"/>
        <v>46.467182112491315</v>
      </c>
      <c r="AR40" s="8791" t="s">
        <v>4481</v>
      </c>
      <c r="AS40" s="8647">
        <v>10.298999999999999</v>
      </c>
      <c r="AT40" s="8640">
        <v>7.5259999999999998</v>
      </c>
      <c r="AU40" s="8641"/>
      <c r="AV40" s="8642">
        <f t="shared" si="4"/>
        <v>0.73075055830663171</v>
      </c>
      <c r="AW40" s="8606"/>
      <c r="AX40" s="8647">
        <f>(2.546+2.674+6.581+1.457)</f>
        <v>13.258000000000001</v>
      </c>
      <c r="AY40" s="8637"/>
      <c r="AZ40" s="8643">
        <f>(3.134+2.486+6.09+1.457)</f>
        <v>13.167000000000002</v>
      </c>
      <c r="BA40" s="8639"/>
      <c r="BB40" s="8647"/>
      <c r="BC40" s="8640"/>
      <c r="BE40" s="8574" t="e">
        <f t="shared" si="5"/>
        <v>#DIV/0!</v>
      </c>
      <c r="BF40" s="8606"/>
      <c r="BG40" s="8647"/>
      <c r="BH40" s="8645"/>
      <c r="BI40" s="3728"/>
    </row>
    <row r="41" spans="1:61" x14ac:dyDescent="0.35">
      <c r="A41" s="9168"/>
      <c r="B41" s="232"/>
      <c r="C41" s="238" t="s">
        <v>1336</v>
      </c>
      <c r="D41" s="60"/>
      <c r="F41" s="2761"/>
      <c r="G41" s="2746"/>
      <c r="H41" s="2744"/>
      <c r="I41" s="3782"/>
      <c r="J41" s="64"/>
      <c r="L41" s="2744"/>
      <c r="M41" s="2794"/>
      <c r="N41" s="2746"/>
      <c r="O41" s="2744"/>
      <c r="P41" s="2794"/>
      <c r="Q41" s="2746"/>
      <c r="R41" s="2744">
        <v>13.086035043000001</v>
      </c>
      <c r="S41" s="3782"/>
      <c r="T41" s="247"/>
      <c r="U41" s="2746"/>
      <c r="V41" s="3783"/>
      <c r="W41" s="3707"/>
      <c r="X41" s="2794"/>
      <c r="Z41" s="2744">
        <v>31.758567584000001</v>
      </c>
      <c r="AA41" s="3782">
        <v>45.942714672999998</v>
      </c>
      <c r="AC41" s="8115">
        <f t="shared" si="6"/>
        <v>1.4466242708045178</v>
      </c>
      <c r="AD41" s="2746"/>
      <c r="AE41" s="2744">
        <v>31.169099742</v>
      </c>
      <c r="AF41" s="3780"/>
      <c r="AG41" s="3699">
        <f>AE41*(AA$38+AA$41+AA$44+AA$47)/(Z$38+Z$41+Z$44+Z$47)</f>
        <v>30.419126976078285</v>
      </c>
      <c r="AI41" s="2744">
        <v>31.169099742</v>
      </c>
      <c r="AJ41" s="3732">
        <f t="shared" si="7"/>
        <v>30.419126976078285</v>
      </c>
      <c r="AL41" s="8115">
        <f>AJ41/AI41</f>
        <v>0.97593858109058129</v>
      </c>
      <c r="AM41" s="2746"/>
      <c r="AN41" s="2744"/>
      <c r="AO41" s="3780"/>
      <c r="AP41" s="3699">
        <f t="shared" si="8"/>
        <v>0</v>
      </c>
      <c r="AR41" s="8792" t="s">
        <v>4482</v>
      </c>
      <c r="AS41" s="8647">
        <v>0.63900000000000001</v>
      </c>
      <c r="AT41" s="8640">
        <v>0.41499999999999998</v>
      </c>
      <c r="AU41" s="8641"/>
      <c r="AV41" s="8642">
        <f t="shared" si="4"/>
        <v>0.64945226917057897</v>
      </c>
      <c r="AW41" s="8606"/>
      <c r="AX41" s="8647">
        <f>(0.372+0.252+0.254)</f>
        <v>0.878</v>
      </c>
      <c r="AY41" s="8637"/>
      <c r="AZ41" s="8643">
        <f>(0.372+0.137)</f>
        <v>0.50900000000000001</v>
      </c>
      <c r="BA41" s="8630"/>
      <c r="BB41" s="8647">
        <f>52.916919148-BB42</f>
        <v>47.310703021999998</v>
      </c>
      <c r="BC41" s="8640">
        <f>58.950852285-BC42</f>
        <v>49.779693176999999</v>
      </c>
      <c r="BD41" s="8644" t="s">
        <v>515</v>
      </c>
      <c r="BE41" s="8574">
        <f t="shared" si="5"/>
        <v>1.0521867145760209</v>
      </c>
      <c r="BF41" s="8606"/>
      <c r="BG41" s="8647">
        <f>57.789605335-BG42</f>
        <v>51.569108524999997</v>
      </c>
      <c r="BH41" s="8645" t="s">
        <v>4483</v>
      </c>
      <c r="BI41" s="3728">
        <f>42.459453876*12/9-BI42</f>
        <v>52.992987159999991</v>
      </c>
    </row>
    <row r="42" spans="1:61" x14ac:dyDescent="0.35">
      <c r="A42" s="9168"/>
      <c r="B42" s="232"/>
      <c r="C42" s="238" t="s">
        <v>933</v>
      </c>
      <c r="D42" s="60"/>
      <c r="F42" s="2761"/>
      <c r="G42" s="2746"/>
      <c r="H42" s="2744"/>
      <c r="I42" s="3782"/>
      <c r="J42" s="64"/>
      <c r="L42" s="2744"/>
      <c r="M42" s="2794"/>
      <c r="N42" s="2746"/>
      <c r="O42" s="2744"/>
      <c r="P42" s="2794"/>
      <c r="Q42" s="2746"/>
      <c r="R42" s="2744"/>
      <c r="S42" s="3782"/>
      <c r="T42" s="247"/>
      <c r="U42" s="2746"/>
      <c r="V42" s="3783"/>
      <c r="W42" s="3707"/>
      <c r="X42" s="2794"/>
      <c r="Z42" s="2744">
        <v>3.5631146990000002</v>
      </c>
      <c r="AA42" s="3782">
        <v>0.775066374</v>
      </c>
      <c r="AC42" s="8115">
        <f t="shared" si="6"/>
        <v>0.21752495764941973</v>
      </c>
      <c r="AD42" s="2746"/>
      <c r="AE42" s="2744">
        <v>6.230992241</v>
      </c>
      <c r="AF42" s="3780"/>
      <c r="AG42" s="3699">
        <f>AE42*(AA$39+AA$42+AA$45+AA$48)/(Z$39+Z$42+Z$45+Z$48)</f>
        <v>1.4160006728228876</v>
      </c>
      <c r="AI42" s="2744">
        <v>6.230992241</v>
      </c>
      <c r="AJ42" s="3732">
        <f t="shared" si="7"/>
        <v>1.4160006728228876</v>
      </c>
      <c r="AL42" s="8115">
        <f>AJ42/AI42</f>
        <v>0.22725123352033516</v>
      </c>
      <c r="AM42" s="2746"/>
      <c r="AN42" s="2744"/>
      <c r="AO42" s="3780"/>
      <c r="AP42" s="3699">
        <f t="shared" si="8"/>
        <v>0</v>
      </c>
      <c r="AR42" s="8792" t="s">
        <v>4484</v>
      </c>
      <c r="AS42" s="8647">
        <v>17.719000000000001</v>
      </c>
      <c r="AT42" s="8640">
        <v>3.9670000000000001</v>
      </c>
      <c r="AU42" s="8641"/>
      <c r="AV42" s="8642">
        <f t="shared" si="4"/>
        <v>0.22388396636379027</v>
      </c>
      <c r="AW42" s="8606"/>
      <c r="AX42" s="8647">
        <f>(0.324+0.451+1.19+19.066)</f>
        <v>21.030999999999999</v>
      </c>
      <c r="AY42" s="8637"/>
      <c r="AZ42" s="8643">
        <f>(0.324+0.414+1.094+13.976)</f>
        <v>15.808000000000002</v>
      </c>
      <c r="BA42" s="8630"/>
      <c r="BB42" s="8647">
        <f>4.088532397+1.147085729+0.370598</f>
        <v>5.6062161260000005</v>
      </c>
      <c r="BC42" s="8640">
        <f>7.614681411+1.146477697+0.41</f>
        <v>9.1711591080000012</v>
      </c>
      <c r="BE42" s="8574">
        <f t="shared" si="5"/>
        <v>1.6358911076344045</v>
      </c>
      <c r="BF42" s="8606"/>
      <c r="BG42" s="8647">
        <f>0.117770683+3.393476518+2.709249609</f>
        <v>6.2204968100000002</v>
      </c>
      <c r="BH42" s="8645"/>
      <c r="BI42" s="3728">
        <f>(0.419968+1.665090452+0.629655054)*12/9</f>
        <v>3.6196180080000002</v>
      </c>
    </row>
    <row r="43" spans="1:61" x14ac:dyDescent="0.35">
      <c r="A43" s="9168"/>
      <c r="B43" s="232"/>
      <c r="C43" s="232" t="s">
        <v>4485</v>
      </c>
      <c r="D43" s="60"/>
      <c r="F43" s="2761">
        <v>3.9606542550000001</v>
      </c>
      <c r="G43" s="2746"/>
      <c r="H43" s="2747">
        <v>17.765845880000001</v>
      </c>
      <c r="I43" s="3782">
        <v>9.9697427449999996</v>
      </c>
      <c r="J43" s="64">
        <f>IF(H43=0,0,I43/H43)</f>
        <v>0.56117467259037146</v>
      </c>
      <c r="L43" s="2747">
        <v>21.020186969000001</v>
      </c>
      <c r="M43" s="2794">
        <f t="shared" si="2"/>
        <v>11.795996540116969</v>
      </c>
      <c r="N43" s="2746"/>
      <c r="O43" s="2747">
        <v>24.099488748999999</v>
      </c>
      <c r="P43" s="2794">
        <f t="shared" si="3"/>
        <v>13.524022708315416</v>
      </c>
      <c r="Q43" s="2746"/>
      <c r="R43" s="2747">
        <f>0.748937859+1.129635001+1.901572875</f>
        <v>3.7801457350000001</v>
      </c>
      <c r="S43" s="3782"/>
      <c r="T43" s="247"/>
      <c r="U43" s="2746"/>
      <c r="V43" s="3783">
        <f>16.772596899+1.2942373+1.852464832</f>
        <v>19.919299030999998</v>
      </c>
      <c r="W43" s="3707"/>
      <c r="X43" s="2794"/>
      <c r="Z43" s="2747"/>
      <c r="AA43" s="3782"/>
      <c r="AC43" s="8115"/>
      <c r="AD43" s="2746"/>
      <c r="AE43" s="2747"/>
      <c r="AF43" s="3780"/>
      <c r="AG43" s="3699"/>
      <c r="AI43" s="2747"/>
      <c r="AJ43" s="3732"/>
      <c r="AL43" s="8789">
        <f>(AJ45+AJ44)/(AI44+AI45)</f>
        <v>0.68011983401845477</v>
      </c>
      <c r="AM43" s="2746"/>
      <c r="AN43" s="2747">
        <v>25.162596545</v>
      </c>
      <c r="AO43" s="3780"/>
      <c r="AP43" s="3699">
        <f t="shared" si="8"/>
        <v>24.557148768682069</v>
      </c>
      <c r="AR43" s="8792" t="s">
        <v>4486</v>
      </c>
      <c r="AS43" s="8597">
        <v>11.965999999999999</v>
      </c>
      <c r="AT43" s="8640">
        <v>9.2899999999999991</v>
      </c>
      <c r="AU43" s="8641"/>
      <c r="AV43" s="8642">
        <f t="shared" si="4"/>
        <v>0.7763663713855925</v>
      </c>
      <c r="AW43" s="8606"/>
      <c r="AX43" s="8597">
        <f>(7.414+0.583+0.764+4.088)</f>
        <v>12.849</v>
      </c>
      <c r="AY43" s="8637"/>
      <c r="AZ43" s="8643">
        <f>(7.414+0.578+0.764+7.615)</f>
        <v>16.371000000000002</v>
      </c>
      <c r="BA43" s="8630"/>
      <c r="BB43" s="8597"/>
      <c r="BC43" s="8640"/>
      <c r="BE43" s="8574" t="e">
        <f t="shared" si="5"/>
        <v>#DIV/0!</v>
      </c>
      <c r="BF43" s="8606"/>
      <c r="BG43" s="8597"/>
      <c r="BH43" s="8645"/>
      <c r="BI43" s="3728"/>
    </row>
    <row r="44" spans="1:61" x14ac:dyDescent="0.35">
      <c r="A44" s="9168"/>
      <c r="B44" s="232"/>
      <c r="C44" s="238" t="s">
        <v>1336</v>
      </c>
      <c r="D44" s="60"/>
      <c r="F44" s="2761"/>
      <c r="G44" s="2746"/>
      <c r="H44" s="2744"/>
      <c r="I44" s="3782"/>
      <c r="J44" s="64"/>
      <c r="L44" s="2747"/>
      <c r="M44" s="2794"/>
      <c r="N44" s="2746"/>
      <c r="O44" s="2747"/>
      <c r="P44" s="2794"/>
      <c r="Q44" s="2746"/>
      <c r="R44" s="2747">
        <v>17.381972676</v>
      </c>
      <c r="S44" s="3782"/>
      <c r="T44" s="247"/>
      <c r="U44" s="2746"/>
      <c r="V44" s="3783"/>
      <c r="W44" s="3707"/>
      <c r="X44" s="2794"/>
      <c r="Z44" s="2747">
        <v>8.2789092530000001</v>
      </c>
      <c r="AA44" s="3782">
        <v>8.4402159000000001</v>
      </c>
      <c r="AC44" s="8115">
        <f t="shared" si="6"/>
        <v>1.0194840457928136</v>
      </c>
      <c r="AD44" s="2746"/>
      <c r="AE44" s="2747">
        <v>8.0271882940000001</v>
      </c>
      <c r="AF44" s="3780"/>
      <c r="AG44" s="3699">
        <f>AE44*(AA$38+AA$41+AA$44+AA$47)/(Z$38+Z$41+Z$44+Z$47)</f>
        <v>7.834042753793284</v>
      </c>
      <c r="AI44" s="2747">
        <v>8.0271882940000001</v>
      </c>
      <c r="AJ44" s="3732">
        <f t="shared" si="7"/>
        <v>7.834042753793284</v>
      </c>
      <c r="AL44" s="8115">
        <f>AJ44/AI44</f>
        <v>0.97593858109058129</v>
      </c>
      <c r="AM44" s="2746"/>
      <c r="AN44" s="2747"/>
      <c r="AO44" s="3780"/>
      <c r="AP44" s="3699">
        <f t="shared" si="8"/>
        <v>0</v>
      </c>
      <c r="AR44" s="8792" t="s">
        <v>4487</v>
      </c>
      <c r="AS44" s="8597">
        <v>17.265000000000001</v>
      </c>
      <c r="AT44" s="8640">
        <v>13.606</v>
      </c>
      <c r="AU44" s="8641"/>
      <c r="AV44" s="8642">
        <f t="shared" si="4"/>
        <v>0.78806834636547929</v>
      </c>
      <c r="AW44" s="8606"/>
      <c r="AX44" s="8597">
        <f>(0.948+16.446+1.147)</f>
        <v>18.541</v>
      </c>
      <c r="AY44" s="8637"/>
      <c r="AZ44" s="8643">
        <f>(0.947+16.13+1.146)</f>
        <v>18.222999999999999</v>
      </c>
      <c r="BA44" s="8630"/>
      <c r="BB44" s="8597">
        <f>35.172416018-BB45</f>
        <v>14.648802488000001</v>
      </c>
      <c r="BC44" s="8640">
        <f>29.487520021-BC45</f>
        <v>14.053973946000003</v>
      </c>
      <c r="BD44" s="8644" t="s">
        <v>900</v>
      </c>
      <c r="BE44" s="8574">
        <f t="shared" si="5"/>
        <v>0.95939404995819488</v>
      </c>
      <c r="BF44" s="8606"/>
      <c r="BG44" s="8597">
        <f>32.912288088-BG45</f>
        <v>13.906187144999997</v>
      </c>
      <c r="BH44" s="8645" t="s">
        <v>4488</v>
      </c>
      <c r="BI44" s="3728">
        <f>16.994555454*12/9-BI45</f>
        <v>13.826476298666666</v>
      </c>
    </row>
    <row r="45" spans="1:61" x14ac:dyDescent="0.35">
      <c r="A45" s="9168"/>
      <c r="B45" s="232"/>
      <c r="C45" s="238" t="s">
        <v>933</v>
      </c>
      <c r="D45" s="60"/>
      <c r="F45" s="2761"/>
      <c r="G45" s="2746"/>
      <c r="H45" s="2744"/>
      <c r="I45" s="3782"/>
      <c r="J45" s="64"/>
      <c r="L45" s="2747"/>
      <c r="M45" s="2794"/>
      <c r="N45" s="2746"/>
      <c r="O45" s="2747"/>
      <c r="P45" s="2794"/>
      <c r="Q45" s="2746"/>
      <c r="R45" s="2747"/>
      <c r="S45" s="3782"/>
      <c r="T45" s="247"/>
      <c r="U45" s="2746"/>
      <c r="V45" s="3783"/>
      <c r="W45" s="3707"/>
      <c r="X45" s="2794"/>
      <c r="Z45" s="2747">
        <v>10.953983912</v>
      </c>
      <c r="AA45" s="3782">
        <v>0.107020035</v>
      </c>
      <c r="AC45" s="8115">
        <f t="shared" si="6"/>
        <v>9.7699645955076145E-3</v>
      </c>
      <c r="AD45" s="2746"/>
      <c r="AE45" s="2747">
        <v>5.2434476160000001</v>
      </c>
      <c r="AF45" s="3780"/>
      <c r="AG45" s="3699">
        <f>AE45*(AA$39+AA$42+AA$45+AA$48)/(Z$39+Z$42+Z$45+Z$48)</f>
        <v>1.1915799386352608</v>
      </c>
      <c r="AI45" s="2747">
        <v>5.2434476160000001</v>
      </c>
      <c r="AJ45" s="3732">
        <f t="shared" si="7"/>
        <v>1.1915799386352608</v>
      </c>
      <c r="AL45" s="8115">
        <f>AJ45/AI45</f>
        <v>0.22725123352033519</v>
      </c>
      <c r="AM45" s="2746"/>
      <c r="AN45" s="2747"/>
      <c r="AO45" s="3780"/>
      <c r="AP45" s="3699">
        <f t="shared" si="8"/>
        <v>0</v>
      </c>
      <c r="AR45" s="8792" t="s">
        <v>4489</v>
      </c>
      <c r="AS45" s="8597">
        <v>22.81</v>
      </c>
      <c r="AT45" s="8640">
        <v>21.006</v>
      </c>
      <c r="AU45" s="8641"/>
      <c r="AV45" s="8642">
        <f t="shared" si="4"/>
        <v>0.92091188075405528</v>
      </c>
      <c r="AW45" s="8606"/>
      <c r="AX45" s="8597">
        <f>(17.44+3.714+0.37)</f>
        <v>21.524000000000001</v>
      </c>
      <c r="AY45" s="8637"/>
      <c r="AZ45" s="8643">
        <f>(20.234+3.711+0.41)</f>
        <v>24.355</v>
      </c>
      <c r="BA45" s="8630"/>
      <c r="BB45" s="8597">
        <f>1.457273969+19.066339561</f>
        <v>20.523613529999999</v>
      </c>
      <c r="BC45" s="8640">
        <f>1.457271287+13.976274788</f>
        <v>15.433546074999999</v>
      </c>
      <c r="BE45" s="8574">
        <f t="shared" si="5"/>
        <v>0.75198970456349257</v>
      </c>
      <c r="BF45" s="8606"/>
      <c r="BG45" s="8597">
        <f>3.803735369+15.202365574</f>
        <v>19.006100943</v>
      </c>
      <c r="BH45" s="8645"/>
      <c r="BI45" s="3728">
        <f>(3.097190297+3.527507933)*12/9</f>
        <v>8.8329309733333332</v>
      </c>
    </row>
    <row r="46" spans="1:61" x14ac:dyDescent="0.35">
      <c r="A46" s="9168"/>
      <c r="B46" s="232"/>
      <c r="C46" s="232" t="s">
        <v>4490</v>
      </c>
      <c r="D46" s="60"/>
      <c r="F46" s="2761">
        <v>44.267994031000001</v>
      </c>
      <c r="G46" s="2746"/>
      <c r="H46" s="2744">
        <v>56.633086116999998</v>
      </c>
      <c r="I46" s="3782">
        <v>58.388350264000003</v>
      </c>
      <c r="J46" s="64">
        <f>IF(H46=0,0,I46/H46)</f>
        <v>1.0309936164060307</v>
      </c>
      <c r="L46" s="2747">
        <v>57.981574100000003</v>
      </c>
      <c r="M46" s="2794">
        <f>MIN(L46*J46,L46)</f>
        <v>57.981574100000003</v>
      </c>
      <c r="N46" s="2746"/>
      <c r="O46" s="2747">
        <v>64.509207724000007</v>
      </c>
      <c r="P46" s="2794">
        <f>MIN(O46*J46,O46)</f>
        <v>64.509207724000007</v>
      </c>
      <c r="Q46" s="2746"/>
      <c r="R46" s="2747">
        <f>18.214734251+0.573384417+33.0208824</f>
        <v>51.809001068000001</v>
      </c>
      <c r="S46" s="3782"/>
      <c r="T46" s="247"/>
      <c r="U46" s="2746"/>
      <c r="V46" s="3783">
        <f>54.540557601+2.291786852+2.099971195</f>
        <v>58.932315648000007</v>
      </c>
      <c r="W46" s="3707"/>
      <c r="X46" s="2794"/>
      <c r="Z46" s="2747"/>
      <c r="AA46" s="3782"/>
      <c r="AC46" s="8115"/>
      <c r="AD46" s="2746"/>
      <c r="AE46" s="2747"/>
      <c r="AF46" s="3780"/>
      <c r="AG46" s="3699"/>
      <c r="AI46" s="2747"/>
      <c r="AJ46" s="3732"/>
      <c r="AL46" s="8789">
        <f>(AJ48+AJ47)/(AI47+AI48)</f>
        <v>0.94355757127847806</v>
      </c>
      <c r="AM46" s="2746"/>
      <c r="AN46" s="2747">
        <v>52.044563175999997</v>
      </c>
      <c r="AO46" s="3780"/>
      <c r="AP46" s="3699">
        <f t="shared" si="8"/>
        <v>50.792297139464559</v>
      </c>
      <c r="AR46" s="8792" t="s">
        <v>4491</v>
      </c>
      <c r="AS46" s="8597">
        <v>9.2769999999999992</v>
      </c>
      <c r="AT46" s="8640">
        <v>5.1639999999999997</v>
      </c>
      <c r="AU46" s="8641"/>
      <c r="AV46" s="8642">
        <f t="shared" si="4"/>
        <v>0.55664546728468256</v>
      </c>
      <c r="AW46" s="8606"/>
      <c r="AX46" s="8597">
        <f>(0.654+0.1+1.322+21.143)</f>
        <v>23.219000000000001</v>
      </c>
      <c r="AY46" s="8637"/>
      <c r="AZ46" s="8643">
        <f>(0.486+0.1+1.32+9.443)</f>
        <v>11.349</v>
      </c>
      <c r="BA46" s="8630"/>
      <c r="BB46" s="8597"/>
      <c r="BC46" s="8640"/>
      <c r="BE46" s="8574" t="e">
        <f t="shared" si="5"/>
        <v>#DIV/0!</v>
      </c>
      <c r="BF46" s="8606"/>
      <c r="BG46" s="8597"/>
      <c r="BH46" s="8645"/>
      <c r="BI46" s="3728"/>
    </row>
    <row r="47" spans="1:61" x14ac:dyDescent="0.35">
      <c r="A47" s="9168"/>
      <c r="B47" s="232"/>
      <c r="C47" s="238" t="s">
        <v>1336</v>
      </c>
      <c r="D47" s="60"/>
      <c r="F47" s="2761"/>
      <c r="G47" s="2746"/>
      <c r="H47" s="2744"/>
      <c r="I47" s="3782"/>
      <c r="J47" s="64"/>
      <c r="L47" s="2747"/>
      <c r="M47" s="2794"/>
      <c r="N47" s="2746"/>
      <c r="O47" s="2747"/>
      <c r="P47" s="2794"/>
      <c r="Q47" s="2746"/>
      <c r="R47" s="2747"/>
      <c r="S47" s="3782"/>
      <c r="T47" s="247"/>
      <c r="U47" s="2746"/>
      <c r="V47" s="3783"/>
      <c r="W47" s="3707"/>
      <c r="X47" s="2794"/>
      <c r="Z47" s="2747">
        <v>55.663823110000003</v>
      </c>
      <c r="AA47" s="3782">
        <v>42.556155891000003</v>
      </c>
      <c r="AC47" s="8115">
        <f t="shared" si="6"/>
        <v>0.76452089549980606</v>
      </c>
      <c r="AD47" s="2746"/>
      <c r="AE47" s="2747">
        <v>57.471144498999998</v>
      </c>
      <c r="AF47" s="3780"/>
      <c r="AG47" s="3699">
        <f>AE47*(AA$38+AA$41+AA$44+AA$47)/(Z$38+Z$41+Z$44+Z$47)</f>
        <v>56.088307216005823</v>
      </c>
      <c r="AI47" s="2747">
        <v>57.471144498999998</v>
      </c>
      <c r="AJ47" s="3732">
        <f t="shared" si="7"/>
        <v>56.088307216005823</v>
      </c>
      <c r="AL47" s="8115">
        <f>AJ47/AI47</f>
        <v>0.97593858109058129</v>
      </c>
      <c r="AM47" s="2746"/>
      <c r="AN47" s="2747"/>
      <c r="AO47" s="3780"/>
      <c r="AP47" s="3699">
        <f t="shared" si="8"/>
        <v>0</v>
      </c>
      <c r="AR47" s="8792" t="s">
        <v>4492</v>
      </c>
      <c r="AS47" s="8597">
        <v>101.393</v>
      </c>
      <c r="AT47" s="8640">
        <v>85.113</v>
      </c>
      <c r="AU47" s="8641"/>
      <c r="AV47" s="8642">
        <f t="shared" si="4"/>
        <v>0.83943664750032054</v>
      </c>
      <c r="AW47" s="8606"/>
      <c r="AX47" s="8597">
        <f>(52.353+2.732+41.806)</f>
        <v>96.890999999999991</v>
      </c>
      <c r="AY47" s="8637"/>
      <c r="AZ47" s="8643">
        <f>(47.211+2.703+41.451)</f>
        <v>91.365000000000009</v>
      </c>
      <c r="BA47" s="8630"/>
      <c r="BB47" s="8597">
        <f>50.813583507-BB48</f>
        <v>46.858581581999999</v>
      </c>
      <c r="BC47" s="8640">
        <f>41.905598517-BC48</f>
        <v>39.00055236</v>
      </c>
      <c r="BD47" s="8644" t="s">
        <v>886</v>
      </c>
      <c r="BE47" s="8574">
        <f t="shared" si="5"/>
        <v>0.83230330588968271</v>
      </c>
      <c r="BF47" s="8606"/>
      <c r="BG47" s="8597">
        <f>53.203269191-BG48</f>
        <v>50.665114488</v>
      </c>
      <c r="BH47" s="8645" t="s">
        <v>4493</v>
      </c>
      <c r="BI47" s="3728">
        <f>35.584446099*12/9-BI48</f>
        <v>46.310335582999997</v>
      </c>
    </row>
    <row r="48" spans="1:61" x14ac:dyDescent="0.35">
      <c r="A48" s="9168"/>
      <c r="B48" s="232"/>
      <c r="C48" s="238" t="s">
        <v>933</v>
      </c>
      <c r="D48" s="60"/>
      <c r="F48" s="2761"/>
      <c r="G48" s="2746"/>
      <c r="H48" s="2744"/>
      <c r="I48" s="3782"/>
      <c r="J48" s="64"/>
      <c r="L48" s="2747"/>
      <c r="M48" s="2794"/>
      <c r="N48" s="2746"/>
      <c r="O48" s="2747"/>
      <c r="P48" s="2794"/>
      <c r="Q48" s="2746"/>
      <c r="R48" s="2747">
        <v>4.8059209430000003</v>
      </c>
      <c r="S48" s="3782"/>
      <c r="T48" s="247"/>
      <c r="U48" s="2746"/>
      <c r="V48" s="3783"/>
      <c r="W48" s="3707"/>
      <c r="X48" s="2794"/>
      <c r="Z48" s="2747">
        <v>2.7318175149999999</v>
      </c>
      <c r="AA48" s="3782">
        <v>2.506032185</v>
      </c>
      <c r="AC48" s="8115">
        <f t="shared" si="6"/>
        <v>0.91734977583229971</v>
      </c>
      <c r="AD48" s="2746"/>
      <c r="AE48" s="2747">
        <v>2.5980137210000001</v>
      </c>
      <c r="AF48" s="3780"/>
      <c r="AG48" s="3699">
        <f>AE48*(AA$39+AA$42+AA$45+AA$48)/(Z$39+Z$42+Z$45+Z$48)</f>
        <v>0.59040182280000597</v>
      </c>
      <c r="AI48" s="2747">
        <v>2.5980137210000001</v>
      </c>
      <c r="AJ48" s="3732">
        <f t="shared" si="7"/>
        <v>0.59040182280000597</v>
      </c>
      <c r="AL48" s="8115">
        <f>AJ48/AI48</f>
        <v>0.22725123352033519</v>
      </c>
      <c r="AM48" s="2746"/>
      <c r="AN48" s="2747"/>
      <c r="AO48" s="3780"/>
      <c r="AP48" s="3699">
        <f t="shared" si="8"/>
        <v>0</v>
      </c>
      <c r="AR48" s="8792" t="s">
        <v>4494</v>
      </c>
      <c r="AS48" s="8597">
        <v>11.003</v>
      </c>
      <c r="AT48" s="8640">
        <v>4.9779999999999998</v>
      </c>
      <c r="AU48" s="8641"/>
      <c r="AV48" s="8642">
        <f t="shared" si="4"/>
        <v>0.45242206670907931</v>
      </c>
      <c r="AW48" s="8606"/>
      <c r="AX48" s="8597">
        <f>(9.816+0.8+0.25+0.82)</f>
        <v>11.686000000000002</v>
      </c>
      <c r="AY48" s="8637"/>
      <c r="AZ48" s="8643">
        <f>(7.293+0.75+1.117)</f>
        <v>9.16</v>
      </c>
      <c r="BA48" s="8630"/>
      <c r="BB48" s="8597">
        <f>3.788704801+0.076315755+0.089981369</f>
        <v>3.9550019250000004</v>
      </c>
      <c r="BC48" s="8640">
        <f>2.857716485+0+0.047329672</f>
        <v>2.9050461570000001</v>
      </c>
      <c r="BE48" s="8574">
        <f t="shared" si="5"/>
        <v>0.73452458736793147</v>
      </c>
      <c r="BF48" s="8606"/>
      <c r="BG48" s="8597">
        <f>0.023856+2.403987899+0.110310804</f>
        <v>2.538154703</v>
      </c>
      <c r="BH48" s="3780"/>
      <c r="BI48" s="3728">
        <f>0+1.057881949+0.0777106</f>
        <v>1.1355925490000001</v>
      </c>
    </row>
    <row r="49" spans="1:61" x14ac:dyDescent="0.35">
      <c r="A49" s="9168"/>
      <c r="B49" s="141" t="s">
        <v>940</v>
      </c>
      <c r="C49"/>
      <c r="D49" s="60"/>
      <c r="E49" s="143"/>
      <c r="F49" s="2866"/>
      <c r="G49" s="2776"/>
      <c r="H49" s="2867"/>
      <c r="I49" s="3758"/>
      <c r="J49" s="246"/>
      <c r="K49" s="143"/>
      <c r="L49" s="2867"/>
      <c r="M49" s="2868"/>
      <c r="N49" s="2776"/>
      <c r="O49" s="2867"/>
      <c r="P49" s="2868"/>
      <c r="Q49" s="2776"/>
      <c r="R49" s="2867"/>
      <c r="S49" s="3758"/>
      <c r="T49" s="247"/>
      <c r="U49" s="2776"/>
      <c r="V49" s="2867"/>
      <c r="W49" s="3758"/>
      <c r="X49" s="2868"/>
      <c r="Y49" s="143"/>
      <c r="Z49" s="2867"/>
      <c r="AA49" s="3758"/>
      <c r="AC49" s="247"/>
      <c r="AD49" s="2776"/>
      <c r="AE49" s="2867"/>
      <c r="AF49" s="3758"/>
      <c r="AG49" s="3699"/>
      <c r="AH49" s="143"/>
      <c r="AI49" s="2867"/>
      <c r="AJ49" s="3758"/>
      <c r="AL49" s="247"/>
      <c r="AM49" s="2776"/>
      <c r="AN49" s="2867"/>
      <c r="AO49" s="3758"/>
      <c r="AP49" s="3699"/>
      <c r="AQ49" s="143"/>
      <c r="AR49" s="8792" t="s">
        <v>4495</v>
      </c>
      <c r="AS49" s="8597">
        <v>9.173</v>
      </c>
      <c r="AT49" s="8648">
        <v>0.92500000000000004</v>
      </c>
      <c r="AU49" s="8641"/>
      <c r="AV49" s="8642">
        <f t="shared" si="4"/>
        <v>0.10083942003706531</v>
      </c>
      <c r="AW49" s="8649"/>
      <c r="AX49" s="8597">
        <f>(3.308+1.004+0.22+2.503)</f>
        <v>7.0349999999999993</v>
      </c>
      <c r="AY49" s="8650"/>
      <c r="AZ49" s="8643">
        <f>(2.457+1.002+0.22+2.619)</f>
        <v>6.298</v>
      </c>
      <c r="BA49" s="8630"/>
      <c r="BB49" s="8597"/>
      <c r="BC49" s="8640"/>
      <c r="BE49" s="8574" t="e">
        <f t="shared" si="5"/>
        <v>#DIV/0!</v>
      </c>
      <c r="BF49" s="8649"/>
      <c r="BG49" s="8597"/>
      <c r="BH49" s="3758"/>
      <c r="BI49" s="3728"/>
    </row>
    <row r="50" spans="1:61" x14ac:dyDescent="0.35">
      <c r="A50" s="9168"/>
      <c r="B50" s="232"/>
      <c r="C50" s="232" t="s">
        <v>941</v>
      </c>
      <c r="D50" s="60"/>
      <c r="F50" s="2873"/>
      <c r="G50" s="2746"/>
      <c r="H50" s="2755"/>
      <c r="I50" s="3727"/>
      <c r="J50" s="64">
        <f>IF(H50=0,0,I50/H50)</f>
        <v>0</v>
      </c>
      <c r="L50" s="2755"/>
      <c r="M50" s="2794">
        <f>L50*J50</f>
        <v>0</v>
      </c>
      <c r="N50" s="2746"/>
      <c r="O50" s="2755"/>
      <c r="P50" s="2794">
        <f>O50*J50</f>
        <v>0</v>
      </c>
      <c r="Q50" s="2746"/>
      <c r="R50" s="2755"/>
      <c r="S50" s="3727"/>
      <c r="T50" s="247"/>
      <c r="U50" s="2746"/>
      <c r="V50" s="2755"/>
      <c r="W50" s="3730"/>
      <c r="X50" s="2794"/>
      <c r="Z50" s="2755"/>
      <c r="AA50" s="3727"/>
      <c r="AC50" s="247"/>
      <c r="AD50" s="2746"/>
      <c r="AE50" s="2755"/>
      <c r="AF50" s="3780"/>
      <c r="AG50" s="3699"/>
      <c r="AI50" s="2755"/>
      <c r="AJ50" s="3732"/>
      <c r="AL50" s="247"/>
      <c r="AM50" s="2746"/>
      <c r="AN50" s="2755"/>
      <c r="AO50" s="3780"/>
      <c r="AP50" s="3699"/>
      <c r="AR50" s="8793"/>
      <c r="AS50" s="8588"/>
      <c r="AT50" s="8640"/>
      <c r="AU50" s="8641"/>
      <c r="AV50" s="8651"/>
      <c r="AW50" s="8606"/>
      <c r="AX50" s="8588"/>
      <c r="AY50" s="8637"/>
      <c r="AZ50" s="8643"/>
      <c r="BA50" s="8630"/>
      <c r="BB50" s="8588"/>
      <c r="BC50" s="8640"/>
      <c r="BE50" s="4667"/>
      <c r="BF50" s="8606"/>
      <c r="BG50" s="8588"/>
      <c r="BH50" s="3780"/>
      <c r="BI50" s="3728"/>
    </row>
    <row r="51" spans="1:61" x14ac:dyDescent="0.35">
      <c r="A51" s="9168"/>
      <c r="B51" s="232"/>
      <c r="C51" s="232" t="s">
        <v>942</v>
      </c>
      <c r="D51" s="60"/>
      <c r="F51" s="2874"/>
      <c r="G51" s="2746"/>
      <c r="H51" s="2747"/>
      <c r="I51" s="3748"/>
      <c r="J51" s="64">
        <f>IF(H51=0,0,I51/H51)</f>
        <v>0</v>
      </c>
      <c r="L51" s="2747"/>
      <c r="M51" s="2794">
        <f>L51*J51</f>
        <v>0</v>
      </c>
      <c r="N51" s="2746"/>
      <c r="O51" s="2747"/>
      <c r="P51" s="2794">
        <f>O51*J51</f>
        <v>0</v>
      </c>
      <c r="Q51" s="2746"/>
      <c r="R51" s="2747"/>
      <c r="S51" s="3748"/>
      <c r="T51" s="247"/>
      <c r="U51" s="2746"/>
      <c r="V51" s="2747"/>
      <c r="W51" s="3687"/>
      <c r="X51" s="2794"/>
      <c r="Z51" s="2747"/>
      <c r="AA51" s="3748"/>
      <c r="AC51" s="247"/>
      <c r="AD51" s="2746"/>
      <c r="AE51" s="2747"/>
      <c r="AF51" s="3780"/>
      <c r="AG51" s="3699"/>
      <c r="AI51" s="2747"/>
      <c r="AJ51" s="3732"/>
      <c r="AL51" s="247"/>
      <c r="AM51" s="2746"/>
      <c r="AN51" s="2747"/>
      <c r="AO51" s="3780"/>
      <c r="AP51" s="3699"/>
      <c r="AR51" s="8793"/>
      <c r="AS51" s="8597"/>
      <c r="AT51" s="8652"/>
      <c r="AU51" s="8653"/>
      <c r="AV51" s="8654"/>
      <c r="AW51" s="8606"/>
      <c r="AX51" s="8597"/>
      <c r="AY51" s="8637"/>
      <c r="AZ51" s="8655"/>
      <c r="BA51" s="8630"/>
      <c r="BB51" s="8597"/>
      <c r="BC51" s="8640"/>
      <c r="BE51" s="4667"/>
      <c r="BF51" s="8606"/>
      <c r="BG51" s="8597"/>
      <c r="BH51" s="3780"/>
      <c r="BI51" s="3728"/>
    </row>
    <row r="52" spans="1:61" x14ac:dyDescent="0.35">
      <c r="A52" s="9168"/>
      <c r="B52" s="1662"/>
      <c r="C52" s="1662" t="s">
        <v>943</v>
      </c>
      <c r="D52" s="87"/>
      <c r="F52" s="2875"/>
      <c r="G52" s="2746"/>
      <c r="H52" s="2744"/>
      <c r="I52" s="3782"/>
      <c r="J52" s="64">
        <f>IF(H52=0,0,I52/H52)</f>
        <v>0</v>
      </c>
      <c r="L52" s="2767"/>
      <c r="M52" s="2876">
        <f>L52*J52</f>
        <v>0</v>
      </c>
      <c r="N52" s="2746"/>
      <c r="O52" s="2767"/>
      <c r="P52" s="2876">
        <f>O52*J52</f>
        <v>0</v>
      </c>
      <c r="Q52" s="2746"/>
      <c r="R52" s="2767"/>
      <c r="S52" s="3734"/>
      <c r="T52" s="3717"/>
      <c r="U52" s="2746"/>
      <c r="V52" s="2767"/>
      <c r="W52" s="3718"/>
      <c r="X52" s="2876"/>
      <c r="Z52" s="2767"/>
      <c r="AA52" s="3734"/>
      <c r="AB52" s="627"/>
      <c r="AC52" s="3717"/>
      <c r="AD52" s="2746"/>
      <c r="AE52" s="2767"/>
      <c r="AF52" s="3784"/>
      <c r="AG52" s="3723"/>
      <c r="AI52" s="2767"/>
      <c r="AJ52" s="3738"/>
      <c r="AK52" s="627"/>
      <c r="AL52" s="3717"/>
      <c r="AM52" s="2746"/>
      <c r="AN52" s="2767"/>
      <c r="AO52" s="3784"/>
      <c r="AP52" s="3723"/>
      <c r="AR52" s="8794"/>
      <c r="AS52" s="8656"/>
      <c r="AT52" s="8657"/>
      <c r="AU52" s="8658"/>
      <c r="AV52" s="8659"/>
      <c r="AW52" s="8650"/>
      <c r="AX52" s="8656"/>
      <c r="AY52" s="8660"/>
      <c r="AZ52" s="8661"/>
      <c r="BA52" s="8662"/>
      <c r="BB52" s="8618"/>
      <c r="BC52" s="8663"/>
      <c r="BD52" s="8664"/>
      <c r="BE52" s="8553"/>
      <c r="BF52" s="8606"/>
      <c r="BG52" s="8618"/>
      <c r="BH52" s="3784"/>
      <c r="BI52" s="2768"/>
    </row>
    <row r="53" spans="1:61" x14ac:dyDescent="0.35">
      <c r="A53" s="9168"/>
      <c r="B53" s="141" t="s">
        <v>944</v>
      </c>
      <c r="C53" s="141"/>
      <c r="D53" s="60"/>
      <c r="E53" s="143"/>
      <c r="F53" s="2879"/>
      <c r="G53" s="1579"/>
      <c r="H53" s="102"/>
      <c r="I53" s="103"/>
      <c r="J53" s="252"/>
      <c r="K53" s="143"/>
      <c r="L53" s="245"/>
      <c r="M53" s="247"/>
      <c r="N53" s="1579"/>
      <c r="O53" s="245"/>
      <c r="P53" s="247"/>
      <c r="Q53" s="1579"/>
      <c r="R53" s="102"/>
      <c r="S53" s="103"/>
      <c r="T53" s="268"/>
      <c r="U53" s="1579"/>
      <c r="V53" s="102"/>
      <c r="W53" s="103"/>
      <c r="X53" s="268"/>
      <c r="Y53" s="143"/>
      <c r="Z53" s="102"/>
      <c r="AA53" s="103"/>
      <c r="AB53" s="2909"/>
      <c r="AC53" s="268"/>
      <c r="AD53" s="1579"/>
      <c r="AE53" s="102"/>
      <c r="AF53" s="2909"/>
      <c r="AG53" s="268"/>
      <c r="AH53" s="143"/>
      <c r="AI53" s="102"/>
      <c r="AJ53" s="103"/>
      <c r="AK53" s="2909"/>
      <c r="AL53" s="268"/>
      <c r="AM53" s="1579"/>
      <c r="AN53" s="102" t="s">
        <v>4496</v>
      </c>
      <c r="AO53" s="2909"/>
      <c r="AP53" s="268"/>
      <c r="AQ53" s="143"/>
      <c r="AR53" s="257"/>
      <c r="AS53" s="3274" t="s">
        <v>4496</v>
      </c>
      <c r="AT53" s="3275"/>
      <c r="AU53" s="6132"/>
      <c r="AV53" s="3281"/>
      <c r="AW53" s="8633"/>
      <c r="AX53" s="3274" t="s">
        <v>4496</v>
      </c>
      <c r="AY53" s="6132"/>
      <c r="AZ53" s="3281"/>
      <c r="BA53" s="6850"/>
      <c r="BB53" s="654" t="s">
        <v>4497</v>
      </c>
      <c r="BC53" s="3275"/>
      <c r="BD53" s="6132"/>
      <c r="BE53" s="3281"/>
      <c r="BF53" s="8633"/>
      <c r="BG53" s="3274"/>
      <c r="BH53" s="2909"/>
      <c r="BI53" s="268"/>
    </row>
    <row r="54" spans="1:61" ht="29" x14ac:dyDescent="0.35">
      <c r="A54" s="9168"/>
      <c r="B54" s="141"/>
      <c r="C54" s="141" t="s">
        <v>1785</v>
      </c>
      <c r="D54" s="60"/>
      <c r="E54" s="143"/>
      <c r="F54" s="3785"/>
      <c r="G54" s="1579"/>
      <c r="H54" s="245"/>
      <c r="I54" s="106"/>
      <c r="J54" s="267"/>
      <c r="K54" s="143"/>
      <c r="L54" s="245"/>
      <c r="M54" s="247"/>
      <c r="N54" s="1579"/>
      <c r="O54" s="245"/>
      <c r="P54" s="247"/>
      <c r="Q54" s="1579"/>
      <c r="R54" s="245"/>
      <c r="S54" s="106"/>
      <c r="T54" s="247"/>
      <c r="U54" s="1579"/>
      <c r="V54" s="245"/>
      <c r="W54" s="106"/>
      <c r="X54" s="247"/>
      <c r="Y54" s="143"/>
      <c r="Z54" s="245"/>
      <c r="AA54" s="106"/>
      <c r="AC54" s="247"/>
      <c r="AD54" s="1579"/>
      <c r="AE54" s="245"/>
      <c r="AG54" s="247"/>
      <c r="AH54" s="143"/>
      <c r="AI54" s="245"/>
      <c r="AJ54" s="106"/>
      <c r="AL54" s="247"/>
      <c r="AM54" s="1579"/>
      <c r="AN54" s="245"/>
      <c r="AP54" s="247"/>
      <c r="AQ54" s="143"/>
      <c r="AR54" s="257"/>
      <c r="AS54" s="4666"/>
      <c r="AT54" s="3276"/>
      <c r="AV54" s="4667"/>
      <c r="AW54" s="8633"/>
      <c r="AX54" s="4666"/>
      <c r="AZ54" s="4667"/>
      <c r="BA54" s="6850"/>
      <c r="BB54" s="7780" t="s">
        <v>4498</v>
      </c>
      <c r="BC54" s="3276"/>
      <c r="BE54" s="4667"/>
      <c r="BF54" s="8633"/>
      <c r="BG54" s="4666"/>
      <c r="BI54" s="247"/>
    </row>
    <row r="55" spans="1:61" ht="16.5" customHeight="1" x14ac:dyDescent="0.35">
      <c r="A55" s="9168"/>
      <c r="B55" s="232"/>
      <c r="C55" s="232" t="s">
        <v>4499</v>
      </c>
      <c r="D55" s="60"/>
      <c r="F55" s="2873">
        <f>6487975/1000000000</f>
        <v>6.487975E-3</v>
      </c>
      <c r="H55" s="2880">
        <f>368591344/1000000000</f>
        <v>0.36859134399999999</v>
      </c>
      <c r="I55" s="3786">
        <f>9413495/1000000000</f>
        <v>9.4134949999999992E-3</v>
      </c>
      <c r="J55" s="64">
        <f>IF(H55=0,0,I55/H55)</f>
        <v>2.5539110327018423E-2</v>
      </c>
      <c r="L55" s="2880">
        <f>368591344/1000000000</f>
        <v>0.36859134399999999</v>
      </c>
      <c r="M55" s="2881">
        <f t="shared" ref="M55:M66" si="9">MIN(L55*J55,L55)</f>
        <v>9.4134949999999992E-3</v>
      </c>
      <c r="O55" s="2880">
        <f>362240946/1000000000</f>
        <v>0.36224094600000001</v>
      </c>
      <c r="P55" s="2881">
        <f>MIN(O55*J55,O55)</f>
        <v>9.2513114848575238E-3</v>
      </c>
      <c r="R55" s="2880">
        <f>362240946/1000000000</f>
        <v>0.36224094600000001</v>
      </c>
      <c r="S55" s="3786"/>
      <c r="T55" s="247"/>
      <c r="V55" s="3787">
        <f t="shared" ref="V55:V60" si="10">R55</f>
        <v>0.36224094600000001</v>
      </c>
      <c r="W55" s="3788"/>
      <c r="X55" s="2881"/>
      <c r="Z55" s="2880">
        <v>5.6303319999999997E-2</v>
      </c>
      <c r="AA55" s="3786">
        <v>4.4820513999999999E-2</v>
      </c>
      <c r="AC55" s="8115">
        <f>AA55/Z55</f>
        <v>0.79605454882589521</v>
      </c>
      <c r="AE55" s="2880">
        <v>3.3913819999999997E-2</v>
      </c>
      <c r="AF55" s="3789"/>
      <c r="AG55" s="3699">
        <f t="shared" ref="AG55:AG65" si="11">AE55*AC55</f>
        <v>2.6997250679062619E-2</v>
      </c>
      <c r="AI55" s="2880">
        <v>3.3913819999999997E-2</v>
      </c>
      <c r="AJ55" s="3730">
        <f t="shared" ref="AJ55:AJ65" si="12">AG55</f>
        <v>2.6997250679062619E-2</v>
      </c>
      <c r="AL55" s="8115">
        <f>AJ55/AI55</f>
        <v>0.79605454882589521</v>
      </c>
      <c r="AN55" s="3787">
        <f>AI55</f>
        <v>3.3913819999999997E-2</v>
      </c>
      <c r="AO55" s="3789"/>
      <c r="AP55" s="3699">
        <f>AN55*AL55</f>
        <v>2.6997250679062619E-2</v>
      </c>
      <c r="AR55" s="257" t="s">
        <v>4500</v>
      </c>
      <c r="AS55" s="8665">
        <f>AN55</f>
        <v>3.3913819999999997E-2</v>
      </c>
      <c r="AT55" s="8666">
        <f>AP55</f>
        <v>2.6997250679062619E-2</v>
      </c>
      <c r="AV55" s="8592">
        <f>AT55/AS55</f>
        <v>0.79605454882589521</v>
      </c>
      <c r="AX55" s="8665">
        <f>AS55</f>
        <v>3.3913819999999997E-2</v>
      </c>
      <c r="AY55" s="8667"/>
      <c r="AZ55" s="8577">
        <f>AX55</f>
        <v>3.3913819999999997E-2</v>
      </c>
      <c r="BA55" s="6850"/>
      <c r="BB55" s="8665">
        <f>SUM(AE55:AE63)*BB18/AE18</f>
        <v>1.675701527976827</v>
      </c>
      <c r="BC55" s="8634">
        <f>SUM(AG55:AG63)*BC18/AG18</f>
        <v>1.3822964601474861</v>
      </c>
      <c r="BD55" s="7780" t="s">
        <v>4501</v>
      </c>
      <c r="BE55" s="8592">
        <f>BC55/BB55</f>
        <v>0.82490612860896173</v>
      </c>
      <c r="BG55" s="8665">
        <f>BB55*BG18/BB18</f>
        <v>1.8509708021843763</v>
      </c>
      <c r="BH55" s="7780" t="s">
        <v>4501</v>
      </c>
      <c r="BI55" s="3728">
        <f>BC55*BI18/BC18</f>
        <v>1.4803887321706557</v>
      </c>
    </row>
    <row r="56" spans="1:61" x14ac:dyDescent="0.35">
      <c r="A56" s="9168"/>
      <c r="B56" s="232"/>
      <c r="C56" s="232" t="s">
        <v>4499</v>
      </c>
      <c r="D56" s="60"/>
      <c r="F56" s="2874">
        <f>15125631/1000000000</f>
        <v>1.5125631E-2</v>
      </c>
      <c r="H56" s="2886">
        <f>14902616/1000000000</f>
        <v>1.4902616E-2</v>
      </c>
      <c r="I56" s="3790">
        <f>14901489/1000000000</f>
        <v>1.4901489E-2</v>
      </c>
      <c r="J56" s="64">
        <f t="shared" ref="J56:J66" si="13">IF(H56=0,0,I56/H56)</f>
        <v>0.99992437569350234</v>
      </c>
      <c r="L56" s="2886">
        <f>13725799/1000000000</f>
        <v>1.3725799E-2</v>
      </c>
      <c r="M56" s="2881">
        <f t="shared" si="9"/>
        <v>1.3724760995969499E-2</v>
      </c>
      <c r="O56" s="2886">
        <f>36622280/1000000000</f>
        <v>3.662228E-2</v>
      </c>
      <c r="P56" s="2881">
        <f t="shared" ref="P56:P66" si="14">MIN(O56*J56,O56)</f>
        <v>3.6619510465472641E-2</v>
      </c>
      <c r="R56" s="2886">
        <f>36622280/1000000000</f>
        <v>3.662228E-2</v>
      </c>
      <c r="S56" s="3790"/>
      <c r="T56" s="247"/>
      <c r="V56" s="3787">
        <f t="shared" si="10"/>
        <v>3.662228E-2</v>
      </c>
      <c r="W56" s="3791"/>
      <c r="X56" s="2881"/>
      <c r="Z56" s="2886">
        <v>1.1344507E-2</v>
      </c>
      <c r="AA56" s="3790">
        <v>5.5144970000000001E-3</v>
      </c>
      <c r="AC56" s="8115">
        <f>AA56/Z56</f>
        <v>0.48609401889390169</v>
      </c>
      <c r="AE56" s="2880">
        <v>1.0399754000000001E-2</v>
      </c>
      <c r="AF56" s="3789"/>
      <c r="AG56" s="3699">
        <f t="shared" si="11"/>
        <v>5.0552582173679301E-3</v>
      </c>
      <c r="AI56" s="2880">
        <v>1.0399754000000001E-2</v>
      </c>
      <c r="AJ56" s="3730">
        <f t="shared" si="12"/>
        <v>5.0552582173679301E-3</v>
      </c>
      <c r="AL56" s="8115">
        <f>AJ56/AI56</f>
        <v>0.48609401889390169</v>
      </c>
      <c r="AN56" s="3787">
        <f t="shared" ref="AN56:AN65" si="15">AI56</f>
        <v>1.0399754000000001E-2</v>
      </c>
      <c r="AO56" s="3789"/>
      <c r="AP56" s="3699">
        <f t="shared" ref="AP56:AP63" si="16">AN56*AL56</f>
        <v>5.0552582173679301E-3</v>
      </c>
      <c r="AR56" s="257" t="s">
        <v>4502</v>
      </c>
      <c r="AS56" s="8665">
        <f t="shared" ref="AS56:AS65" si="17">AN56</f>
        <v>1.0399754000000001E-2</v>
      </c>
      <c r="AT56" s="8666">
        <f t="shared" ref="AT56:AT65" si="18">AP56</f>
        <v>5.0552582173679301E-3</v>
      </c>
      <c r="AV56" s="8592">
        <f>AT56/AS56</f>
        <v>0.48609401889390169</v>
      </c>
      <c r="AX56" s="8665">
        <f t="shared" ref="AX56:AX63" si="19">AS56</f>
        <v>1.0399754000000001E-2</v>
      </c>
      <c r="AY56" s="8667"/>
      <c r="AZ56" s="8577">
        <f t="shared" ref="AZ56:AZ65" si="20">AX56</f>
        <v>1.0399754000000001E-2</v>
      </c>
      <c r="BA56" s="6850"/>
      <c r="BB56" s="8665"/>
      <c r="BC56" s="8634"/>
      <c r="BE56" s="8592" t="e">
        <f>BC56/BB56</f>
        <v>#DIV/0!</v>
      </c>
      <c r="BG56" s="8665"/>
      <c r="BH56" s="3789"/>
      <c r="BI56" s="3728"/>
    </row>
    <row r="57" spans="1:61" x14ac:dyDescent="0.35">
      <c r="A57" s="9168"/>
      <c r="B57" s="232"/>
      <c r="C57" s="232" t="s">
        <v>4499</v>
      </c>
      <c r="D57" s="60"/>
      <c r="F57" s="2874">
        <f>19179615/1000000000</f>
        <v>1.9179615000000001E-2</v>
      </c>
      <c r="H57" s="2886">
        <f>14105928/1000000000</f>
        <v>1.4105928E-2</v>
      </c>
      <c r="I57" s="3790">
        <f>14083645/1000000000</f>
        <v>1.4083645000000001E-2</v>
      </c>
      <c r="J57" s="64">
        <f t="shared" si="13"/>
        <v>0.99842030953227612</v>
      </c>
      <c r="L57" s="2886">
        <f>10604575/1000000000</f>
        <v>1.0604575E-2</v>
      </c>
      <c r="M57" s="2881">
        <f t="shared" si="9"/>
        <v>1.0587823053958237E-2</v>
      </c>
      <c r="O57" s="2886">
        <f>208869666/1000000000</f>
        <v>0.20886966600000001</v>
      </c>
      <c r="P57" s="2881">
        <f t="shared" si="14"/>
        <v>0.20853971657962314</v>
      </c>
      <c r="R57" s="2886">
        <f>208869666/1000000000</f>
        <v>0.20886966600000001</v>
      </c>
      <c r="S57" s="3790"/>
      <c r="T57" s="2881"/>
      <c r="V57" s="3787">
        <f t="shared" si="10"/>
        <v>0.20886966600000001</v>
      </c>
      <c r="W57" s="3791"/>
      <c r="X57" s="2881"/>
      <c r="Z57" s="2886"/>
      <c r="AA57" s="3790"/>
      <c r="AB57" s="3789"/>
      <c r="AC57" s="2881"/>
      <c r="AE57" s="2880">
        <v>0</v>
      </c>
      <c r="AF57" s="3789"/>
      <c r="AG57" s="3699">
        <f t="shared" si="11"/>
        <v>0</v>
      </c>
      <c r="AI57" s="2880">
        <v>0</v>
      </c>
      <c r="AJ57" s="3730">
        <f t="shared" si="12"/>
        <v>0</v>
      </c>
      <c r="AK57" s="3789"/>
      <c r="AL57" s="2881"/>
      <c r="AN57" s="3787">
        <f t="shared" si="15"/>
        <v>0</v>
      </c>
      <c r="AO57" s="3789"/>
      <c r="AP57" s="3699">
        <f t="shared" si="16"/>
        <v>0</v>
      </c>
      <c r="AR57" s="257" t="s">
        <v>4503</v>
      </c>
      <c r="AS57" s="8665">
        <f t="shared" si="17"/>
        <v>0</v>
      </c>
      <c r="AT57" s="8666">
        <f t="shared" si="18"/>
        <v>0</v>
      </c>
      <c r="AU57" s="8667"/>
      <c r="AV57" s="8668"/>
      <c r="AX57" s="8665">
        <f t="shared" si="19"/>
        <v>0</v>
      </c>
      <c r="AY57" s="8667"/>
      <c r="AZ57" s="8577">
        <f t="shared" si="20"/>
        <v>0</v>
      </c>
      <c r="BA57" s="6850"/>
      <c r="BB57" s="8665"/>
      <c r="BC57" s="8634"/>
      <c r="BD57" s="8667"/>
      <c r="BE57" s="8668"/>
      <c r="BG57" s="8665"/>
      <c r="BH57" s="3789"/>
      <c r="BI57" s="3728"/>
    </row>
    <row r="58" spans="1:61" x14ac:dyDescent="0.35">
      <c r="A58" s="9168"/>
      <c r="B58" s="232"/>
      <c r="C58" s="232" t="s">
        <v>4504</v>
      </c>
      <c r="D58" s="60"/>
      <c r="F58" s="2874">
        <f>180302527/1000000000</f>
        <v>0.18030252699999999</v>
      </c>
      <c r="H58" s="2886">
        <f>135178003/1000000000</f>
        <v>0.13517800299999999</v>
      </c>
      <c r="I58" s="3790">
        <f>1209634833/1000000000</f>
        <v>1.209634833</v>
      </c>
      <c r="J58" s="64">
        <f t="shared" si="13"/>
        <v>8.9484591143131471</v>
      </c>
      <c r="L58" s="2886">
        <f>1009390719/1000000000</f>
        <v>1.009390719</v>
      </c>
      <c r="M58" s="2881">
        <f t="shared" si="9"/>
        <v>1.009390719</v>
      </c>
      <c r="O58" s="2886">
        <f>992541021/1000000000</f>
        <v>0.99254102099999997</v>
      </c>
      <c r="P58" s="2881">
        <f t="shared" si="14"/>
        <v>0.99254102099999997</v>
      </c>
      <c r="R58" s="2886">
        <f>992541021/1000000000</f>
        <v>0.99254102099999997</v>
      </c>
      <c r="S58" s="3790"/>
      <c r="T58" s="2881"/>
      <c r="V58" s="3787">
        <f t="shared" si="10"/>
        <v>0.99254102099999997</v>
      </c>
      <c r="W58" s="3791"/>
      <c r="X58" s="2881"/>
      <c r="Z58" s="2886">
        <v>0.353583388</v>
      </c>
      <c r="AA58" s="3790">
        <v>3.7222399999999999E-3</v>
      </c>
      <c r="AB58" s="3789"/>
      <c r="AC58" s="8115">
        <f t="shared" ref="AC58:AC65" si="21">AA58/Z58</f>
        <v>1.0527191396220232E-2</v>
      </c>
      <c r="AE58" s="2880">
        <v>0.35367485100000001</v>
      </c>
      <c r="AF58" s="3789"/>
      <c r="AG58" s="3699">
        <f t="shared" si="11"/>
        <v>3.7232028485066726E-3</v>
      </c>
      <c r="AI58" s="2880">
        <v>0.35367485100000001</v>
      </c>
      <c r="AJ58" s="3730">
        <f t="shared" si="12"/>
        <v>3.7232028485066726E-3</v>
      </c>
      <c r="AK58" s="3789"/>
      <c r="AL58" s="8115">
        <f t="shared" ref="AL58:AL63" si="22">AJ58/AI58</f>
        <v>1.0527191396220232E-2</v>
      </c>
      <c r="AN58" s="3787">
        <f t="shared" si="15"/>
        <v>0.35367485100000001</v>
      </c>
      <c r="AO58" s="3789"/>
      <c r="AP58" s="3699">
        <f t="shared" si="16"/>
        <v>3.7232028485066726E-3</v>
      </c>
      <c r="AR58" s="257" t="s">
        <v>4505</v>
      </c>
      <c r="AS58" s="8665">
        <f t="shared" si="17"/>
        <v>0.35367485100000001</v>
      </c>
      <c r="AT58" s="8666">
        <f t="shared" si="18"/>
        <v>3.7232028485066726E-3</v>
      </c>
      <c r="AU58" s="8667"/>
      <c r="AV58" s="8592">
        <f t="shared" ref="AV58:AV63" si="23">AT58/AS58</f>
        <v>1.0527191396220232E-2</v>
      </c>
      <c r="AX58" s="8665">
        <f t="shared" si="19"/>
        <v>0.35367485100000001</v>
      </c>
      <c r="AY58" s="8667"/>
      <c r="AZ58" s="8577">
        <f t="shared" si="20"/>
        <v>0.35367485100000001</v>
      </c>
      <c r="BA58" s="6850"/>
      <c r="BB58" s="8665"/>
      <c r="BC58" s="8634"/>
      <c r="BD58" s="8667"/>
      <c r="BE58" s="8592" t="e">
        <f t="shared" ref="BE58:BE63" si="24">BC58/BB58</f>
        <v>#DIV/0!</v>
      </c>
      <c r="BG58" s="8665"/>
      <c r="BH58" s="3789"/>
      <c r="BI58" s="3728"/>
    </row>
    <row r="59" spans="1:61" ht="29" x14ac:dyDescent="0.35">
      <c r="A59" s="9168"/>
      <c r="B59" s="232"/>
      <c r="C59" s="232" t="s">
        <v>4506</v>
      </c>
      <c r="D59" s="60"/>
      <c r="F59" s="2874">
        <f>203054891/1000000000</f>
        <v>0.20305489099999999</v>
      </c>
      <c r="H59" s="2886">
        <f>350000000/1000000000</f>
        <v>0.35</v>
      </c>
      <c r="I59" s="3790">
        <f>350000000/1000000000</f>
        <v>0.35</v>
      </c>
      <c r="J59" s="64">
        <f t="shared" si="13"/>
        <v>1</v>
      </c>
      <c r="L59" s="2886">
        <f>400000000/1000000000</f>
        <v>0.4</v>
      </c>
      <c r="M59" s="2881">
        <f t="shared" si="9"/>
        <v>0.4</v>
      </c>
      <c r="O59" s="2886">
        <f>400000000/1000000000</f>
        <v>0.4</v>
      </c>
      <c r="P59" s="2881">
        <f t="shared" si="14"/>
        <v>0.4</v>
      </c>
      <c r="R59" s="2886">
        <f>400000000/1000000000</f>
        <v>0.4</v>
      </c>
      <c r="S59" s="3790"/>
      <c r="T59" s="2881"/>
      <c r="V59" s="3787">
        <f t="shared" si="10"/>
        <v>0.4</v>
      </c>
      <c r="W59" s="3791"/>
      <c r="X59" s="2881"/>
      <c r="Z59" s="2886">
        <v>0.29160000000000003</v>
      </c>
      <c r="AA59" s="3790">
        <v>0.29160000000000003</v>
      </c>
      <c r="AB59" s="3789"/>
      <c r="AC59" s="8115">
        <f t="shared" si="21"/>
        <v>1</v>
      </c>
      <c r="AE59" s="2880">
        <v>0.26244000000000001</v>
      </c>
      <c r="AF59" s="3789"/>
      <c r="AG59" s="3699">
        <f t="shared" si="11"/>
        <v>0.26244000000000001</v>
      </c>
      <c r="AI59" s="2880">
        <v>0.26244000000000001</v>
      </c>
      <c r="AJ59" s="3730">
        <f t="shared" si="12"/>
        <v>0.26244000000000001</v>
      </c>
      <c r="AK59" s="3789"/>
      <c r="AL59" s="8115">
        <f t="shared" si="22"/>
        <v>1</v>
      </c>
      <c r="AN59" s="3787">
        <f t="shared" si="15"/>
        <v>0.26244000000000001</v>
      </c>
      <c r="AO59" s="3789"/>
      <c r="AP59" s="3699">
        <f t="shared" si="16"/>
        <v>0.26244000000000001</v>
      </c>
      <c r="AR59" s="257" t="s">
        <v>4507</v>
      </c>
      <c r="AS59" s="8665">
        <f t="shared" si="17"/>
        <v>0.26244000000000001</v>
      </c>
      <c r="AT59" s="8666">
        <f t="shared" si="18"/>
        <v>0.26244000000000001</v>
      </c>
      <c r="AU59" s="8667"/>
      <c r="AV59" s="8592">
        <f t="shared" si="23"/>
        <v>1</v>
      </c>
      <c r="AX59" s="8665">
        <f t="shared" si="19"/>
        <v>0.26244000000000001</v>
      </c>
      <c r="AY59" s="8667"/>
      <c r="AZ59" s="8577">
        <f t="shared" si="20"/>
        <v>0.26244000000000001</v>
      </c>
      <c r="BA59" s="6850"/>
      <c r="BB59" s="8665"/>
      <c r="BC59" s="8634"/>
      <c r="BD59" s="8667"/>
      <c r="BE59" s="8592" t="e">
        <f t="shared" si="24"/>
        <v>#DIV/0!</v>
      </c>
      <c r="BG59" s="8665"/>
      <c r="BH59" s="3789"/>
      <c r="BI59" s="3728"/>
    </row>
    <row r="60" spans="1:61" ht="29" x14ac:dyDescent="0.35">
      <c r="A60" s="9168"/>
      <c r="B60" s="232"/>
      <c r="C60" s="232" t="s">
        <v>4506</v>
      </c>
      <c r="D60" s="60"/>
      <c r="F60" s="2874">
        <f>267694031/1000000000</f>
        <v>0.267694031</v>
      </c>
      <c r="H60" s="2886">
        <f>460301042/1000000000</f>
        <v>0.46030104199999999</v>
      </c>
      <c r="I60" s="3790">
        <f>460301042/1000000000</f>
        <v>0.46030104199999999</v>
      </c>
      <c r="J60" s="64">
        <f t="shared" si="13"/>
        <v>1</v>
      </c>
      <c r="L60" s="2886">
        <f>499301042/1000000000</f>
        <v>0.49930104199999997</v>
      </c>
      <c r="M60" s="2881">
        <f t="shared" si="9"/>
        <v>0.49930104199999997</v>
      </c>
      <c r="O60" s="2886">
        <f>499301042/1000000000</f>
        <v>0.49930104199999997</v>
      </c>
      <c r="P60" s="2881">
        <f t="shared" si="14"/>
        <v>0.49930104199999997</v>
      </c>
      <c r="R60" s="2886">
        <f>499301042/1000000000</f>
        <v>0.49930104199999997</v>
      </c>
      <c r="S60" s="3790"/>
      <c r="T60" s="2881"/>
      <c r="V60" s="3787">
        <f t="shared" si="10"/>
        <v>0.49930104199999997</v>
      </c>
      <c r="W60" s="3791"/>
      <c r="X60" s="2881"/>
      <c r="Z60" s="2886">
        <v>0.36399046000000002</v>
      </c>
      <c r="AA60" s="3790">
        <v>0.36399046000000002</v>
      </c>
      <c r="AB60" s="3789"/>
      <c r="AC60" s="8115">
        <f t="shared" si="21"/>
        <v>1</v>
      </c>
      <c r="AE60" s="2880">
        <v>0.32759141400000003</v>
      </c>
      <c r="AF60" s="3789"/>
      <c r="AG60" s="3699">
        <f t="shared" si="11"/>
        <v>0.32759141400000003</v>
      </c>
      <c r="AI60" s="2880">
        <v>0.32759141400000003</v>
      </c>
      <c r="AJ60" s="3730">
        <f t="shared" si="12"/>
        <v>0.32759141400000003</v>
      </c>
      <c r="AK60" s="3789"/>
      <c r="AL60" s="8115">
        <f t="shared" si="22"/>
        <v>1</v>
      </c>
      <c r="AN60" s="3787">
        <f t="shared" si="15"/>
        <v>0.32759141400000003</v>
      </c>
      <c r="AO60" s="3789"/>
      <c r="AP60" s="3699">
        <f t="shared" si="16"/>
        <v>0.32759141400000003</v>
      </c>
      <c r="AR60" s="257" t="s">
        <v>4508</v>
      </c>
      <c r="AS60" s="8665">
        <f t="shared" si="17"/>
        <v>0.32759141400000003</v>
      </c>
      <c r="AT60" s="8666">
        <f t="shared" si="18"/>
        <v>0.32759141400000003</v>
      </c>
      <c r="AU60" s="8667"/>
      <c r="AV60" s="8592">
        <f t="shared" si="23"/>
        <v>1</v>
      </c>
      <c r="AX60" s="8665">
        <f t="shared" si="19"/>
        <v>0.32759141400000003</v>
      </c>
      <c r="AY60" s="8667"/>
      <c r="AZ60" s="8577">
        <f t="shared" si="20"/>
        <v>0.32759141400000003</v>
      </c>
      <c r="BA60" s="6850"/>
      <c r="BB60" s="8665"/>
      <c r="BC60" s="8634"/>
      <c r="BD60" s="8667"/>
      <c r="BE60" s="8592" t="e">
        <f t="shared" si="24"/>
        <v>#DIV/0!</v>
      </c>
      <c r="BG60" s="8665"/>
      <c r="BH60" s="3789"/>
      <c r="BI60" s="3728"/>
    </row>
    <row r="61" spans="1:61" x14ac:dyDescent="0.35">
      <c r="A61" s="9168"/>
      <c r="B61" s="232"/>
      <c r="C61" s="232" t="s">
        <v>4506</v>
      </c>
      <c r="D61" s="60"/>
      <c r="F61" s="2874"/>
      <c r="H61" s="2886"/>
      <c r="I61" s="3790"/>
      <c r="J61" s="64"/>
      <c r="L61" s="2886"/>
      <c r="M61" s="2881"/>
      <c r="O61" s="2886"/>
      <c r="P61" s="2881"/>
      <c r="R61" s="2886"/>
      <c r="S61" s="3790"/>
      <c r="T61" s="2881"/>
      <c r="V61" s="3787"/>
      <c r="W61" s="3791"/>
      <c r="X61" s="2881"/>
      <c r="Z61" s="2886">
        <v>0.17386718400000001</v>
      </c>
      <c r="AA61" s="3790">
        <v>0.17386718400000001</v>
      </c>
      <c r="AB61" s="3789"/>
      <c r="AC61" s="8115">
        <f t="shared" si="21"/>
        <v>1</v>
      </c>
      <c r="AE61" s="2880">
        <v>0.15648046600000001</v>
      </c>
      <c r="AF61" s="3789"/>
      <c r="AG61" s="3699">
        <f t="shared" si="11"/>
        <v>0.15648046600000001</v>
      </c>
      <c r="AI61" s="2880">
        <v>0.15648046600000001</v>
      </c>
      <c r="AJ61" s="3730">
        <f t="shared" si="12"/>
        <v>0.15648046600000001</v>
      </c>
      <c r="AK61" s="3789"/>
      <c r="AL61" s="8115">
        <f t="shared" si="22"/>
        <v>1</v>
      </c>
      <c r="AN61" s="3787">
        <f t="shared" si="15"/>
        <v>0.15648046600000001</v>
      </c>
      <c r="AO61" s="3789"/>
      <c r="AP61" s="3699">
        <f t="shared" si="16"/>
        <v>0.15648046600000001</v>
      </c>
      <c r="AR61" s="257" t="s">
        <v>4509</v>
      </c>
      <c r="AS61" s="8665">
        <f t="shared" si="17"/>
        <v>0.15648046600000001</v>
      </c>
      <c r="AT61" s="8666">
        <f t="shared" si="18"/>
        <v>0.15648046600000001</v>
      </c>
      <c r="AU61" s="8667"/>
      <c r="AV61" s="8592">
        <f t="shared" si="23"/>
        <v>1</v>
      </c>
      <c r="AX61" s="8665">
        <f t="shared" si="19"/>
        <v>0.15648046600000001</v>
      </c>
      <c r="AY61" s="8667"/>
      <c r="AZ61" s="8577">
        <f t="shared" si="20"/>
        <v>0.15648046600000001</v>
      </c>
      <c r="BA61" s="6850"/>
      <c r="BB61" s="8665"/>
      <c r="BC61" s="8634"/>
      <c r="BD61" s="8667"/>
      <c r="BE61" s="8592" t="e">
        <f t="shared" si="24"/>
        <v>#DIV/0!</v>
      </c>
      <c r="BG61" s="8665"/>
      <c r="BH61" s="3789"/>
      <c r="BI61" s="3728"/>
    </row>
    <row r="62" spans="1:61" x14ac:dyDescent="0.35">
      <c r="A62" s="9168"/>
      <c r="B62" s="232"/>
      <c r="C62" s="232" t="s">
        <v>4506</v>
      </c>
      <c r="D62" s="60"/>
      <c r="F62" s="2874"/>
      <c r="H62" s="2886"/>
      <c r="I62" s="3790"/>
      <c r="J62" s="64"/>
      <c r="L62" s="2886"/>
      <c r="M62" s="2881"/>
      <c r="O62" s="2886"/>
      <c r="P62" s="2881"/>
      <c r="R62" s="2886"/>
      <c r="S62" s="3790"/>
      <c r="T62" s="2881"/>
      <c r="V62" s="3787"/>
      <c r="W62" s="3791"/>
      <c r="X62" s="2881"/>
      <c r="Z62" s="2886">
        <v>1.7222685000000001E-2</v>
      </c>
      <c r="AA62" s="3790">
        <v>6.8291239999999998E-3</v>
      </c>
      <c r="AB62" s="3789"/>
      <c r="AC62" s="8115">
        <f t="shared" si="21"/>
        <v>0.39651912579252302</v>
      </c>
      <c r="AE62" s="2880">
        <v>1.5500416E-2</v>
      </c>
      <c r="AF62" s="3789"/>
      <c r="AG62" s="3699">
        <f t="shared" si="11"/>
        <v>6.1462114017404364E-3</v>
      </c>
      <c r="AI62" s="2880">
        <v>1.5500416E-2</v>
      </c>
      <c r="AJ62" s="3730">
        <f t="shared" si="12"/>
        <v>6.1462114017404364E-3</v>
      </c>
      <c r="AK62" s="3789"/>
      <c r="AL62" s="8115">
        <f t="shared" si="22"/>
        <v>0.39651912579252302</v>
      </c>
      <c r="AN62" s="3787">
        <f t="shared" si="15"/>
        <v>1.5500416E-2</v>
      </c>
      <c r="AO62" s="3789"/>
      <c r="AP62" s="3699">
        <f t="shared" si="16"/>
        <v>6.1462114017404364E-3</v>
      </c>
      <c r="AR62" s="257" t="s">
        <v>4510</v>
      </c>
      <c r="AS62" s="8665">
        <f t="shared" si="17"/>
        <v>1.5500416E-2</v>
      </c>
      <c r="AT62" s="8666">
        <f t="shared" si="18"/>
        <v>6.1462114017404364E-3</v>
      </c>
      <c r="AU62" s="8667"/>
      <c r="AV62" s="8592">
        <f t="shared" si="23"/>
        <v>0.39651912579252302</v>
      </c>
      <c r="AX62" s="8665">
        <f t="shared" si="19"/>
        <v>1.5500416E-2</v>
      </c>
      <c r="AY62" s="8667"/>
      <c r="AZ62" s="8577">
        <f t="shared" si="20"/>
        <v>1.5500416E-2</v>
      </c>
      <c r="BA62" s="6850"/>
      <c r="BB62" s="8665"/>
      <c r="BC62" s="8634"/>
      <c r="BD62" s="8667"/>
      <c r="BE62" s="8592" t="e">
        <f t="shared" si="24"/>
        <v>#DIV/0!</v>
      </c>
      <c r="BG62" s="8665"/>
      <c r="BH62" s="3789"/>
      <c r="BI62" s="3728"/>
    </row>
    <row r="63" spans="1:61" x14ac:dyDescent="0.35">
      <c r="A63" s="9168"/>
      <c r="B63" s="232"/>
      <c r="C63" s="232" t="s">
        <v>4511</v>
      </c>
      <c r="D63" s="60"/>
      <c r="F63" s="2874"/>
      <c r="H63" s="2886"/>
      <c r="I63" s="3790"/>
      <c r="J63" s="64">
        <f t="shared" si="13"/>
        <v>0</v>
      </c>
      <c r="L63" s="2886"/>
      <c r="M63" s="2881">
        <f t="shared" si="9"/>
        <v>0</v>
      </c>
      <c r="O63" s="2886"/>
      <c r="P63" s="2881">
        <f t="shared" si="14"/>
        <v>0</v>
      </c>
      <c r="R63" s="2886"/>
      <c r="S63" s="3790"/>
      <c r="T63" s="2881"/>
      <c r="V63" s="2886"/>
      <c r="W63" s="3791"/>
      <c r="X63" s="2881"/>
      <c r="Z63" s="2886">
        <v>0.49632749999999998</v>
      </c>
      <c r="AA63" s="3790">
        <v>0.49632700000000002</v>
      </c>
      <c r="AB63" s="3789"/>
      <c r="AC63" s="8115">
        <f t="shared" si="21"/>
        <v>0.99999899260065184</v>
      </c>
      <c r="AE63" s="2886">
        <v>0.44292656000000002</v>
      </c>
      <c r="AF63" s="3789"/>
      <c r="AG63" s="3699">
        <f t="shared" si="11"/>
        <v>0.44292611379607222</v>
      </c>
      <c r="AI63" s="2886">
        <v>0.44292656000000002</v>
      </c>
      <c r="AJ63" s="3730">
        <f t="shared" si="12"/>
        <v>0.44292611379607222</v>
      </c>
      <c r="AK63" s="3789"/>
      <c r="AL63" s="8115">
        <f t="shared" si="22"/>
        <v>0.99999899260065184</v>
      </c>
      <c r="AN63" s="3787">
        <f t="shared" si="15"/>
        <v>0.44292656000000002</v>
      </c>
      <c r="AO63" s="3789"/>
      <c r="AP63" s="3699">
        <f t="shared" si="16"/>
        <v>0.44292611379607222</v>
      </c>
      <c r="AR63" s="257" t="s">
        <v>4512</v>
      </c>
      <c r="AS63" s="8665">
        <f t="shared" si="17"/>
        <v>0.44292656000000002</v>
      </c>
      <c r="AT63" s="8666">
        <f t="shared" si="18"/>
        <v>0.44292611379607222</v>
      </c>
      <c r="AU63" s="8667"/>
      <c r="AV63" s="8592">
        <f t="shared" si="23"/>
        <v>0.99999899260065184</v>
      </c>
      <c r="AX63" s="8665">
        <f t="shared" si="19"/>
        <v>0.44292656000000002</v>
      </c>
      <c r="AY63" s="8667"/>
      <c r="AZ63" s="8577">
        <f t="shared" si="20"/>
        <v>0.44292656000000002</v>
      </c>
      <c r="BA63" s="6850"/>
      <c r="BB63" s="8665"/>
      <c r="BC63" s="8634"/>
      <c r="BD63" s="8667"/>
      <c r="BE63" s="8592" t="e">
        <f t="shared" si="24"/>
        <v>#DIV/0!</v>
      </c>
      <c r="BG63" s="8665"/>
      <c r="BH63" s="3789"/>
      <c r="BI63" s="3728"/>
    </row>
    <row r="64" spans="1:61" x14ac:dyDescent="0.35">
      <c r="A64" s="9168"/>
      <c r="B64" s="1654"/>
      <c r="C64" s="3792" t="s">
        <v>4513</v>
      </c>
      <c r="D64" s="60"/>
      <c r="F64" s="2893"/>
      <c r="H64" s="2894"/>
      <c r="I64" s="3793"/>
      <c r="J64" s="64"/>
      <c r="L64" s="2894"/>
      <c r="M64" s="2881"/>
      <c r="O64" s="2894"/>
      <c r="P64" s="2881"/>
      <c r="R64" s="2894"/>
      <c r="S64" s="3793"/>
      <c r="T64" s="2881"/>
      <c r="V64" s="2894"/>
      <c r="W64" s="3794"/>
      <c r="X64" s="2881"/>
      <c r="Z64" s="2894"/>
      <c r="AA64" s="3793"/>
      <c r="AB64" s="3789"/>
      <c r="AC64" s="8115"/>
      <c r="AE64" s="2894"/>
      <c r="AF64" s="3789"/>
      <c r="AG64" s="3699"/>
      <c r="AI64" s="2894"/>
      <c r="AJ64" s="3730"/>
      <c r="AK64" s="3789"/>
      <c r="AL64" s="8115"/>
      <c r="AN64" s="3787"/>
      <c r="AO64" s="3789"/>
      <c r="AP64" s="3699"/>
      <c r="AR64" s="257"/>
      <c r="AS64" s="8665"/>
      <c r="AT64" s="8666"/>
      <c r="AU64" s="8667"/>
      <c r="AV64" s="8592"/>
      <c r="AX64" s="8665"/>
      <c r="AY64" s="8667"/>
      <c r="AZ64" s="8577"/>
      <c r="BA64" s="6850"/>
      <c r="BB64" s="8665"/>
      <c r="BC64" s="8634"/>
      <c r="BD64" s="8667"/>
      <c r="BE64" s="8592"/>
      <c r="BG64" s="8665"/>
      <c r="BH64" s="3789"/>
      <c r="BI64" s="3728"/>
    </row>
    <row r="65" spans="1:61" x14ac:dyDescent="0.35">
      <c r="A65" s="9168"/>
      <c r="B65" s="1654"/>
      <c r="C65" s="232" t="s">
        <v>4499</v>
      </c>
      <c r="D65" s="60"/>
      <c r="F65" s="2893"/>
      <c r="H65" s="2894"/>
      <c r="I65" s="3793"/>
      <c r="J65" s="64"/>
      <c r="L65" s="2894"/>
      <c r="M65" s="2881"/>
      <c r="O65" s="2894"/>
      <c r="P65" s="2881"/>
      <c r="R65" s="2894"/>
      <c r="S65" s="3793"/>
      <c r="T65" s="2881"/>
      <c r="V65" s="2894"/>
      <c r="W65" s="3794"/>
      <c r="X65" s="2881"/>
      <c r="Z65" s="2894">
        <v>1.9326300000000001E-2</v>
      </c>
      <c r="AA65" s="3793">
        <v>0</v>
      </c>
      <c r="AB65" s="3789"/>
      <c r="AC65" s="8115">
        <f t="shared" si="21"/>
        <v>0</v>
      </c>
      <c r="AE65" s="2894">
        <v>1.5951651000000001E-2</v>
      </c>
      <c r="AF65" s="3789"/>
      <c r="AG65" s="3699">
        <f t="shared" si="11"/>
        <v>0</v>
      </c>
      <c r="AI65" s="2894">
        <v>1.5951651000000001E-2</v>
      </c>
      <c r="AJ65" s="3730">
        <f t="shared" si="12"/>
        <v>0</v>
      </c>
      <c r="AK65" s="3789"/>
      <c r="AL65" s="8115">
        <f>AJ65/AI65</f>
        <v>0</v>
      </c>
      <c r="AN65" s="3787">
        <f t="shared" si="15"/>
        <v>1.5951651000000001E-2</v>
      </c>
      <c r="AO65" s="3789"/>
      <c r="AP65" s="3699">
        <f>AN65*AL65</f>
        <v>0</v>
      </c>
      <c r="AR65" s="257" t="s">
        <v>4502</v>
      </c>
      <c r="AS65" s="8665">
        <f t="shared" si="17"/>
        <v>1.5951651000000001E-2</v>
      </c>
      <c r="AT65" s="8666">
        <f t="shared" si="18"/>
        <v>0</v>
      </c>
      <c r="AU65" s="8667"/>
      <c r="AV65" s="8592">
        <f>AT65/AS65</f>
        <v>0</v>
      </c>
      <c r="AX65" s="8665">
        <f>AS65</f>
        <v>1.5951651000000001E-2</v>
      </c>
      <c r="AY65" s="8667"/>
      <c r="AZ65" s="8577">
        <f t="shared" si="20"/>
        <v>1.5951651000000001E-2</v>
      </c>
      <c r="BA65" s="6850"/>
      <c r="BB65" s="8665">
        <f>AE65*BB20/AE20</f>
        <v>1.7827895280507704E-2</v>
      </c>
      <c r="BC65" s="8634">
        <f>AG65*BC20/AG20</f>
        <v>0</v>
      </c>
      <c r="BD65" s="8644" t="s">
        <v>1116</v>
      </c>
      <c r="BE65" s="8592">
        <f>BC65/BB65</f>
        <v>0</v>
      </c>
      <c r="BG65" s="8665">
        <f>BB65*BG20/BB20</f>
        <v>1.9771342335884984E-2</v>
      </c>
      <c r="BH65" s="8644" t="s">
        <v>1116</v>
      </c>
      <c r="BI65" s="3728">
        <f>BC65*BI20/BC20</f>
        <v>0</v>
      </c>
    </row>
    <row r="66" spans="1:61" x14ac:dyDescent="0.35">
      <c r="A66" s="9168"/>
      <c r="B66" s="1654"/>
      <c r="C66" s="1654"/>
      <c r="D66" s="87"/>
      <c r="F66" s="2875"/>
      <c r="H66" s="3795"/>
      <c r="I66" s="3796"/>
      <c r="J66" s="133">
        <f t="shared" si="13"/>
        <v>0</v>
      </c>
      <c r="L66" s="2894"/>
      <c r="M66" s="2881">
        <f t="shared" si="9"/>
        <v>0</v>
      </c>
      <c r="O66" s="2894"/>
      <c r="P66" s="2881">
        <f t="shared" si="14"/>
        <v>0</v>
      </c>
      <c r="R66" s="2894"/>
      <c r="S66" s="3793"/>
      <c r="T66" s="2881"/>
      <c r="V66" s="2894"/>
      <c r="W66" s="3794"/>
      <c r="X66" s="2881"/>
      <c r="Z66" s="3795"/>
      <c r="AA66" s="3796"/>
      <c r="AB66" s="3797"/>
      <c r="AC66" s="2899"/>
      <c r="AE66" s="3795"/>
      <c r="AF66" s="3797"/>
      <c r="AG66" s="2899"/>
      <c r="AI66" s="3795"/>
      <c r="AJ66" s="3798"/>
      <c r="AK66" s="3797"/>
      <c r="AL66" s="2899"/>
      <c r="AN66" s="3795"/>
      <c r="AO66" s="3797"/>
      <c r="AP66" s="2899"/>
      <c r="AR66" s="257"/>
      <c r="AS66" s="8669"/>
      <c r="AT66" s="8670"/>
      <c r="AU66" s="8671"/>
      <c r="AV66" s="8672"/>
      <c r="AX66" s="8669"/>
      <c r="AY66" s="8671"/>
      <c r="AZ66" s="8672"/>
      <c r="BA66" s="6850"/>
      <c r="BB66" s="8669"/>
      <c r="BC66" s="8673"/>
      <c r="BD66" s="8671"/>
      <c r="BE66" s="8672"/>
      <c r="BG66" s="8669"/>
      <c r="BH66" s="3797"/>
      <c r="BI66" s="8674"/>
    </row>
    <row r="67" spans="1:61" ht="29" x14ac:dyDescent="0.35">
      <c r="A67" s="9168"/>
      <c r="B67" s="271" t="s">
        <v>965</v>
      </c>
      <c r="C67" s="271"/>
      <c r="D67" s="140"/>
      <c r="E67" s="141"/>
      <c r="F67" s="2879"/>
      <c r="G67" s="2900"/>
      <c r="H67" s="3799"/>
      <c r="I67" s="3800"/>
      <c r="J67" s="267"/>
      <c r="K67" s="141"/>
      <c r="L67" s="2901"/>
      <c r="M67" s="2902"/>
      <c r="N67" s="2900"/>
      <c r="O67" s="2901"/>
      <c r="P67" s="2902"/>
      <c r="Q67" s="2900"/>
      <c r="R67" s="2901"/>
      <c r="S67" s="3801"/>
      <c r="T67" s="2902"/>
      <c r="U67" s="2900"/>
      <c r="V67" s="2901"/>
      <c r="W67" s="3801"/>
      <c r="X67" s="2902"/>
      <c r="Y67" s="141"/>
      <c r="Z67" s="2901"/>
      <c r="AA67" s="3801"/>
      <c r="AB67" s="3802"/>
      <c r="AC67" s="2902"/>
      <c r="AD67" s="2900"/>
      <c r="AE67" s="2901"/>
      <c r="AF67" s="3802"/>
      <c r="AG67" s="2902"/>
      <c r="AH67" s="141"/>
      <c r="AI67" s="2901"/>
      <c r="AJ67" s="3801"/>
      <c r="AK67" s="3802"/>
      <c r="AL67" s="2902"/>
      <c r="AM67" s="2900"/>
      <c r="AN67" s="2901" t="s">
        <v>3786</v>
      </c>
      <c r="AO67" s="3802"/>
      <c r="AP67" s="2902"/>
      <c r="AQ67" s="141"/>
      <c r="AS67" s="8675" t="s">
        <v>4433</v>
      </c>
      <c r="AT67" s="8676"/>
      <c r="AU67" s="8677"/>
      <c r="AV67" s="8678"/>
      <c r="AW67" s="8679"/>
      <c r="AX67" s="8675" t="s">
        <v>4435</v>
      </c>
      <c r="AY67" s="8677"/>
      <c r="AZ67" s="8678"/>
      <c r="BB67" s="8675" t="s">
        <v>4514</v>
      </c>
      <c r="BC67" s="8676"/>
      <c r="BD67" s="8677"/>
      <c r="BE67" s="8678"/>
      <c r="BF67" s="8679"/>
      <c r="BG67" s="8680" t="s">
        <v>4515</v>
      </c>
      <c r="BH67" s="3802"/>
      <c r="BI67" s="8681"/>
    </row>
    <row r="68" spans="1:61" ht="43.5" x14ac:dyDescent="0.35">
      <c r="A68" s="9168"/>
      <c r="B68" s="232"/>
      <c r="C68" s="232" t="s">
        <v>4475</v>
      </c>
      <c r="D68" s="60"/>
      <c r="F68" s="2873">
        <f>32611333066/1000000000</f>
        <v>32.611333066</v>
      </c>
      <c r="H68" s="2880">
        <f>39441936962/1000000000</f>
        <v>39.441936962</v>
      </c>
      <c r="I68" s="3786">
        <f>48021685985/1000000000</f>
        <v>48.021685984999998</v>
      </c>
      <c r="J68" s="64">
        <f t="shared" ref="J68:J75" si="25">IF(H68=0,0,I68/H68)</f>
        <v>1.2175285922510877</v>
      </c>
      <c r="L68" s="2880">
        <f>48079721157/1000000000</f>
        <v>48.079721157000002</v>
      </c>
      <c r="M68" s="2881">
        <f>MIN(L68*J68,L68)</f>
        <v>48.079721157000002</v>
      </c>
      <c r="O68" s="2880">
        <f>49522112792/1000000000</f>
        <v>49.522112792000001</v>
      </c>
      <c r="P68" s="2881">
        <f t="shared" ref="P68:P75" si="26">MIN(O68*J68,O68)</f>
        <v>49.522112792000001</v>
      </c>
      <c r="R68" s="2880">
        <f>48.079721157+1.442391635</f>
        <v>49.522112792000001</v>
      </c>
      <c r="S68" s="3786"/>
      <c r="T68" s="2881"/>
      <c r="V68" s="2880">
        <f>59.872202334+1.197444046</f>
        <v>61.069646380000002</v>
      </c>
      <c r="W68" s="3788"/>
      <c r="X68" s="2881"/>
      <c r="Z68" s="2880">
        <v>61.069646380000002</v>
      </c>
      <c r="AA68" s="3786">
        <v>60.424662808000001</v>
      </c>
      <c r="AB68" s="3789"/>
      <c r="AC68" s="8115">
        <f>AA68/Z68</f>
        <v>0.98943855728283325</v>
      </c>
      <c r="AE68" s="593">
        <v>62.901735770999998</v>
      </c>
      <c r="AF68" s="3789"/>
      <c r="AG68" s="3699">
        <f>AE68*AC68</f>
        <v>62.237402691844224</v>
      </c>
      <c r="AI68" s="2880">
        <v>62.901735770999998</v>
      </c>
      <c r="AJ68" s="3730">
        <f>AG68</f>
        <v>62.237402691844224</v>
      </c>
      <c r="AK68" s="3789"/>
      <c r="AL68" s="8115">
        <f>AJ68/AI68</f>
        <v>0.98943855728283325</v>
      </c>
      <c r="AN68" s="3787">
        <f>AN$18*AI68/AI$18</f>
        <v>64.737109213645468</v>
      </c>
      <c r="AO68" s="3789"/>
      <c r="AP68" s="3699">
        <f>AN68*AL68</f>
        <v>64.053391943010581</v>
      </c>
      <c r="AR68" s="4655" t="s">
        <v>4516</v>
      </c>
      <c r="AS68" s="8597">
        <f>(0.642+51.327+9.623+2.566)</f>
        <v>64.158000000000001</v>
      </c>
      <c r="AT68" s="8666">
        <f>(0.111+50.504+4.587)</f>
        <v>55.201999999999998</v>
      </c>
      <c r="AU68" s="8667"/>
      <c r="AV68" s="8592">
        <f>AT68/AS68</f>
        <v>0.86040711992269081</v>
      </c>
      <c r="AX68" s="8597">
        <f>(0.654+52.354+9.816+3.307)</f>
        <v>66.131</v>
      </c>
      <c r="AY68" s="7780" t="s">
        <v>4517</v>
      </c>
      <c r="AZ68" s="8577">
        <f>(0.486+47.211+7.293+2.457)</f>
        <v>57.446999999999996</v>
      </c>
      <c r="BB68" s="8682">
        <f>(0.868754+0.656647+2.784323)</f>
        <v>4.3097240000000001</v>
      </c>
      <c r="BC68" s="8683">
        <f>(0.668754+0.656647+2.456182)</f>
        <v>3.7815829999999999</v>
      </c>
      <c r="BD68" s="8644" t="s">
        <v>886</v>
      </c>
      <c r="BE68" s="8684">
        <f>BC68/BB68</f>
        <v>0.87745363740230231</v>
      </c>
      <c r="BG68" s="8597">
        <f>0.70377528+0.875592796+2.886442922</f>
        <v>4.4658109980000003</v>
      </c>
      <c r="BH68" s="70" t="s">
        <v>4493</v>
      </c>
      <c r="BI68" s="3728">
        <f>(0.527831453+0.656694597+2.149832192)*12/9</f>
        <v>4.4458109893333333</v>
      </c>
    </row>
    <row r="69" spans="1:61" ht="43.5" x14ac:dyDescent="0.35">
      <c r="A69" s="9168"/>
      <c r="B69" s="232"/>
      <c r="C69" s="232" t="s">
        <v>4480</v>
      </c>
      <c r="D69" s="60"/>
      <c r="F69" s="2874"/>
      <c r="H69" s="2886"/>
      <c r="I69" s="3790"/>
      <c r="J69" s="1171">
        <f>J68</f>
        <v>1.2175285922510877</v>
      </c>
      <c r="L69" s="2886"/>
      <c r="M69" s="2881">
        <f>MIN(L69*J69,L69)</f>
        <v>0</v>
      </c>
      <c r="O69" s="2886">
        <f>11892691880/1000000000</f>
        <v>11.892691879999999</v>
      </c>
      <c r="P69" s="2881">
        <f t="shared" si="26"/>
        <v>11.892691879999999</v>
      </c>
      <c r="R69" s="2886">
        <f>11892691880/1000000000</f>
        <v>11.892691879999999</v>
      </c>
      <c r="S69" s="3790"/>
      <c r="T69" s="2881"/>
      <c r="V69" s="2886">
        <f>6.237406053+3.794850579</f>
        <v>10.032256631999999</v>
      </c>
      <c r="W69" s="3791"/>
      <c r="X69" s="2881"/>
      <c r="Z69" s="2886">
        <v>11.656190948000001</v>
      </c>
      <c r="AA69" s="3790">
        <v>28.006471281</v>
      </c>
      <c r="AB69" s="3789"/>
      <c r="AC69" s="3803">
        <f>(AA69+AA71)/(Z69+Z71)</f>
        <v>1.1312943809504088</v>
      </c>
      <c r="AE69" s="2886">
        <v>11.889314767</v>
      </c>
      <c r="AF69" s="3789"/>
      <c r="AG69" s="3699">
        <f>AE69*AC69</f>
        <v>13.450314989257819</v>
      </c>
      <c r="AI69" s="2886">
        <v>11.889314767</v>
      </c>
      <c r="AJ69" s="3730">
        <f>AG69</f>
        <v>13.450314989257819</v>
      </c>
      <c r="AK69" s="3789"/>
      <c r="AL69" s="3803">
        <f>(AJ69+AJ71)/(AI69+AI71)</f>
        <v>1.1312943809504088</v>
      </c>
      <c r="AN69" s="3787">
        <f>AN$18*AI69/AI$18</f>
        <v>12.236226220350783</v>
      </c>
      <c r="AO69" s="3789"/>
      <c r="AP69" s="3699">
        <f>AN69*AL69</f>
        <v>13.8427739671209</v>
      </c>
      <c r="AR69" s="4655" t="s">
        <v>4485</v>
      </c>
      <c r="AS69" s="8597">
        <f>(7.393+16.974)</f>
        <v>24.367000000000001</v>
      </c>
      <c r="AT69" s="8666">
        <f>(6.886+16.208)</f>
        <v>23.093999999999998</v>
      </c>
      <c r="AU69" s="8667"/>
      <c r="AV69" s="8592">
        <f>AT69/AS69</f>
        <v>0.94775721262363022</v>
      </c>
      <c r="AX69" s="8597">
        <f>(7.414+17.44)</f>
        <v>24.853999999999999</v>
      </c>
      <c r="AY69" s="7780" t="s">
        <v>4518</v>
      </c>
      <c r="AZ69" s="8577">
        <f>(7.414+20.233)</f>
        <v>27.646999999999998</v>
      </c>
      <c r="BB69" s="8682">
        <f>(2.546609+0.372474+0.324889)</f>
        <v>3.2439720000000003</v>
      </c>
      <c r="BC69" s="8683">
        <f>(3.134107+0.372474+0.324889)</f>
        <v>3.8314700000000004</v>
      </c>
      <c r="BD69" s="8644" t="s">
        <v>900</v>
      </c>
      <c r="BE69" s="8684">
        <f>BC69/BB69</f>
        <v>1.1811045224804653</v>
      </c>
      <c r="BG69" s="8597">
        <f>2.578473+0.756642792</f>
        <v>3.3351157919999999</v>
      </c>
      <c r="BH69" s="8685" t="s">
        <v>4488</v>
      </c>
      <c r="BI69" s="3728">
        <f>(1.933854764+0.567482)*12/9</f>
        <v>3.3351156853333332</v>
      </c>
    </row>
    <row r="70" spans="1:61" ht="43.5" x14ac:dyDescent="0.35">
      <c r="A70" s="9168"/>
      <c r="B70" s="232"/>
      <c r="C70" s="232" t="s">
        <v>4485</v>
      </c>
      <c r="D70" s="60"/>
      <c r="F70" s="2893">
        <f>465419860/1000000000</f>
        <v>0.46541986000000002</v>
      </c>
      <c r="H70" s="2894">
        <f>614387087/1000000000</f>
        <v>0.614387087</v>
      </c>
      <c r="I70" s="3793">
        <f>1834125918/1000000000</f>
        <v>1.834125918</v>
      </c>
      <c r="J70" s="64">
        <f t="shared" si="25"/>
        <v>2.9852937290005253</v>
      </c>
      <c r="L70" s="2894">
        <f>748937859/1000000000</f>
        <v>0.74893785899999998</v>
      </c>
      <c r="M70" s="2881">
        <f>MIN(L70*J70,L70)</f>
        <v>0.74893785899999998</v>
      </c>
      <c r="O70" s="2894">
        <f>757707658/1000000000</f>
        <v>0.75770765799999995</v>
      </c>
      <c r="P70" s="2881">
        <f t="shared" si="26"/>
        <v>0.75770765799999995</v>
      </c>
      <c r="R70" s="2894">
        <v>0.74893785899999998</v>
      </c>
      <c r="S70" s="3793"/>
      <c r="T70" s="2881"/>
      <c r="V70" s="2894">
        <v>2.9678338950000001</v>
      </c>
      <c r="W70" s="3794"/>
      <c r="X70" s="2881"/>
      <c r="Z70" s="2894">
        <v>3.0271905729999999</v>
      </c>
      <c r="AA70" s="3793">
        <v>3.8396664710000001</v>
      </c>
      <c r="AB70" s="3789"/>
      <c r="AC70" s="8115">
        <f>AA70/Z70</f>
        <v>1.2683927154261789</v>
      </c>
      <c r="AE70" s="2894">
        <v>3.1180062899999998</v>
      </c>
      <c r="AF70" s="3789"/>
      <c r="AG70" s="3699">
        <f>AE70*AC70</f>
        <v>3.9548564648890059</v>
      </c>
      <c r="AI70" s="2894">
        <v>3.1180062899999998</v>
      </c>
      <c r="AJ70" s="3730">
        <f>AG70</f>
        <v>3.9548564648890059</v>
      </c>
      <c r="AK70" s="3789"/>
      <c r="AL70" s="8115">
        <f>AJ70/AI70</f>
        <v>1.2683927154261789</v>
      </c>
      <c r="AN70" s="3787">
        <f>AN$18*AI70/AI$18</f>
        <v>3.2089847958953164</v>
      </c>
      <c r="AO70" s="3789"/>
      <c r="AP70" s="3699">
        <f>AN70*AL70</f>
        <v>4.0702529390269833</v>
      </c>
      <c r="AR70" s="4655" t="s">
        <v>4519</v>
      </c>
      <c r="AS70" s="8597">
        <f>(2.497+0.365+0.318)</f>
        <v>3.18</v>
      </c>
      <c r="AT70" s="8666">
        <f>(2.218+0.317)</f>
        <v>2.5350000000000001</v>
      </c>
      <c r="AU70" s="8667"/>
      <c r="AV70" s="8592">
        <f>AT70/AS70</f>
        <v>0.79716981132075471</v>
      </c>
      <c r="AX70" s="8597">
        <f>(0.554+0.91+0.18)</f>
        <v>1.6439999999999999</v>
      </c>
      <c r="AY70" s="7780" t="s">
        <v>4520</v>
      </c>
      <c r="AZ70" s="8577">
        <f>(0.503)</f>
        <v>0.503</v>
      </c>
      <c r="BB70" s="8682">
        <f>(7.414434+16.446862)</f>
        <v>23.861295999999999</v>
      </c>
      <c r="BC70" s="8683">
        <f>(7.414434+16.130812)</f>
        <v>23.545245999999999</v>
      </c>
      <c r="BD70" s="8644" t="s">
        <v>515</v>
      </c>
      <c r="BE70" s="8684">
        <f>BC70/BB70</f>
        <v>0.98675470100199081</v>
      </c>
      <c r="BG70" s="8597">
        <f>17.886924136+7.665824629</f>
        <v>25.552748765</v>
      </c>
      <c r="BH70" s="8685" t="s">
        <v>4483</v>
      </c>
      <c r="BI70" s="3728">
        <f>(13.415193102+5.749368472)*12/9</f>
        <v>25.552748765333334</v>
      </c>
    </row>
    <row r="71" spans="1:61" ht="43.5" x14ac:dyDescent="0.35">
      <c r="A71" s="9168"/>
      <c r="B71" s="232"/>
      <c r="C71" s="232" t="s">
        <v>4490</v>
      </c>
      <c r="D71" s="60"/>
      <c r="F71" s="2893">
        <f>12316594686/1000000000</f>
        <v>12.316594686</v>
      </c>
      <c r="H71" s="2894">
        <f>13242357876/1000000000</f>
        <v>13.242357876</v>
      </c>
      <c r="I71" s="3793">
        <f>20160093572/1000000000</f>
        <v>20.160093572000001</v>
      </c>
      <c r="J71" s="64">
        <f t="shared" si="25"/>
        <v>1.5223945584900307</v>
      </c>
      <c r="L71" s="2894">
        <f>18214734251/1000000000</f>
        <v>18.214734250999999</v>
      </c>
      <c r="M71" s="2881">
        <f>MIN(L71*J71,L71)</f>
        <v>18.214734250999999</v>
      </c>
      <c r="O71" s="2894">
        <f>18214734251/1000000000</f>
        <v>18.214734250999999</v>
      </c>
      <c r="P71" s="2881">
        <f t="shared" si="26"/>
        <v>18.214734250999999</v>
      </c>
      <c r="R71" s="2894">
        <v>18.214734250999999</v>
      </c>
      <c r="S71" s="3793"/>
      <c r="T71" s="2881"/>
      <c r="V71" s="2894">
        <v>15.819637392000001</v>
      </c>
      <c r="W71" s="3794"/>
      <c r="X71" s="2881"/>
      <c r="Z71" s="2894">
        <v>15.819637392000001</v>
      </c>
      <c r="AA71" s="3793">
        <v>3.0767789319999999</v>
      </c>
      <c r="AB71" s="3789"/>
      <c r="AC71" s="3803">
        <f>AC69</f>
        <v>1.1312943809504088</v>
      </c>
      <c r="AE71" s="2894">
        <v>16.136030139999999</v>
      </c>
      <c r="AF71" s="3789"/>
      <c r="AG71" s="3699">
        <f>AE71*AC71</f>
        <v>18.254600228228437</v>
      </c>
      <c r="AI71" s="2894">
        <v>16.136030139999999</v>
      </c>
      <c r="AJ71" s="3730">
        <f>AG71</f>
        <v>18.254600228228437</v>
      </c>
      <c r="AK71" s="3789"/>
      <c r="AL71" s="3803">
        <f>AL69</f>
        <v>1.1312943809504088</v>
      </c>
      <c r="AN71" s="3787">
        <f>AN$18*AI71/AI$18</f>
        <v>16.606854050114368</v>
      </c>
      <c r="AO71" s="3789"/>
      <c r="AP71" s="3699">
        <f>AN71*AL71</f>
        <v>18.787240672157925</v>
      </c>
      <c r="AR71" s="4655" t="s">
        <v>4521</v>
      </c>
      <c r="AS71" s="8597">
        <f>(0.843+0.633+2.742)</f>
        <v>4.218</v>
      </c>
      <c r="AT71" s="8666">
        <f>(0.68+0.552+2.054)</f>
        <v>3.286</v>
      </c>
      <c r="AU71" s="8667"/>
      <c r="AV71" s="8592">
        <f>AT71/AS71</f>
        <v>0.77904220009483172</v>
      </c>
      <c r="AX71" s="8597">
        <f>(0.868+0.656+2.784)</f>
        <v>4.3079999999999998</v>
      </c>
      <c r="AY71" s="7780" t="s">
        <v>4522</v>
      </c>
      <c r="AZ71" s="8577">
        <f>(0.68+0.552+2.054)</f>
        <v>3.286</v>
      </c>
      <c r="BB71" s="8682">
        <f>(0.654919+52.353883+9.816445+3.307718)</f>
        <v>66.132964999999999</v>
      </c>
      <c r="BC71" s="8683">
        <f>(0.486589+47.211727+7.293383+2.457555)</f>
        <v>57.449254000000003</v>
      </c>
      <c r="BD71" s="8644" t="s">
        <v>506</v>
      </c>
      <c r="BE71" s="8684">
        <f>BC71/BB71</f>
        <v>0.86869315476782272</v>
      </c>
      <c r="BG71" s="8597">
        <f>3.798+16.5467433+47.646281</f>
        <v>67.991024299999992</v>
      </c>
      <c r="BH71" s="70" t="s">
        <v>4478</v>
      </c>
      <c r="BI71" s="3728">
        <f>(2.8485+12.410057+35.734711325)*12/9</f>
        <v>67.991024433333337</v>
      </c>
    </row>
    <row r="72" spans="1:61" x14ac:dyDescent="0.35">
      <c r="A72" s="9168"/>
      <c r="B72" s="232"/>
      <c r="C72" s="232" t="s">
        <v>962</v>
      </c>
      <c r="D72" s="60"/>
      <c r="F72" s="2893"/>
      <c r="H72" s="242"/>
      <c r="I72" s="243"/>
      <c r="J72" s="64">
        <f t="shared" si="25"/>
        <v>0</v>
      </c>
      <c r="L72" s="242"/>
      <c r="M72" s="2881">
        <f>L72*J72</f>
        <v>0</v>
      </c>
      <c r="O72" s="2894"/>
      <c r="P72" s="2881">
        <f t="shared" si="26"/>
        <v>0</v>
      </c>
      <c r="R72" s="242"/>
      <c r="S72" s="243"/>
      <c r="T72" s="2881"/>
      <c r="V72" s="242"/>
      <c r="W72" s="3085"/>
      <c r="X72" s="2881"/>
      <c r="Z72" s="242"/>
      <c r="AA72" s="243"/>
      <c r="AB72" s="3789"/>
      <c r="AC72" s="2881"/>
      <c r="AE72" s="242"/>
      <c r="AF72" s="3789"/>
      <c r="AG72" s="2881"/>
      <c r="AI72" s="242"/>
      <c r="AJ72" s="3085"/>
      <c r="AK72" s="3789"/>
      <c r="AL72" s="2881"/>
      <c r="AN72" s="242"/>
      <c r="AO72" s="3789"/>
      <c r="AP72" s="2881"/>
      <c r="AS72" s="8686"/>
      <c r="AT72" s="8687"/>
      <c r="AU72" s="8667"/>
      <c r="AV72" s="8668"/>
      <c r="AX72" s="8686"/>
      <c r="AY72" s="8667"/>
      <c r="AZ72" s="8668"/>
      <c r="BB72" s="8686"/>
      <c r="BC72" s="8688"/>
      <c r="BD72" s="8667"/>
      <c r="BE72" s="8668"/>
      <c r="BG72" s="8686"/>
      <c r="BH72" s="3789"/>
      <c r="BI72" s="3272"/>
    </row>
    <row r="73" spans="1:61" x14ac:dyDescent="0.35">
      <c r="A73" s="9168"/>
      <c r="B73" s="232"/>
      <c r="C73" s="232" t="s">
        <v>963</v>
      </c>
      <c r="D73" s="60"/>
      <c r="F73" s="2893"/>
      <c r="H73" s="242"/>
      <c r="I73" s="243"/>
      <c r="J73" s="64"/>
      <c r="L73" s="242"/>
      <c r="M73" s="2881">
        <f>L73*J73</f>
        <v>0</v>
      </c>
      <c r="O73" s="2894"/>
      <c r="P73" s="2881">
        <f t="shared" si="26"/>
        <v>0</v>
      </c>
      <c r="R73" s="242"/>
      <c r="S73" s="243"/>
      <c r="T73" s="2881"/>
      <c r="V73" s="242"/>
      <c r="W73" s="3085"/>
      <c r="X73" s="2881"/>
      <c r="Z73" s="242"/>
      <c r="AA73" s="243"/>
      <c r="AB73" s="3789"/>
      <c r="AC73" s="2881"/>
      <c r="AE73" s="242"/>
      <c r="AF73" s="3789"/>
      <c r="AG73" s="2881"/>
      <c r="AI73" s="242"/>
      <c r="AJ73" s="3085"/>
      <c r="AK73" s="3789"/>
      <c r="AL73" s="2881"/>
      <c r="AN73" s="242"/>
      <c r="AO73" s="3789"/>
      <c r="AP73" s="2881"/>
      <c r="AS73" s="8686"/>
      <c r="AV73" s="4667"/>
      <c r="AX73" s="8686"/>
      <c r="AY73" s="8667"/>
      <c r="AZ73" s="8668"/>
      <c r="BB73" s="8686"/>
      <c r="BC73" s="8688"/>
      <c r="BD73" s="8667"/>
      <c r="BE73" s="8668"/>
      <c r="BG73" s="8686"/>
      <c r="BH73" s="3789"/>
      <c r="BI73" s="3272"/>
    </row>
    <row r="74" spans="1:61" x14ac:dyDescent="0.35">
      <c r="A74" s="9168"/>
      <c r="B74" s="232"/>
      <c r="C74" s="232" t="s">
        <v>964</v>
      </c>
      <c r="D74" s="60"/>
      <c r="F74" s="163"/>
      <c r="H74" s="242"/>
      <c r="I74" s="243"/>
      <c r="J74" s="64">
        <f t="shared" si="25"/>
        <v>0</v>
      </c>
      <c r="L74" s="242"/>
      <c r="M74" s="2881">
        <f>L74*J74</f>
        <v>0</v>
      </c>
      <c r="O74" s="2894"/>
      <c r="P74" s="2881">
        <f t="shared" si="26"/>
        <v>0</v>
      </c>
      <c r="R74" s="242"/>
      <c r="S74" s="243"/>
      <c r="T74" s="2881"/>
      <c r="V74" s="242"/>
      <c r="W74" s="3085"/>
      <c r="X74" s="2881"/>
      <c r="Z74" s="242"/>
      <c r="AA74" s="243"/>
      <c r="AB74" s="3789"/>
      <c r="AC74" s="2881"/>
      <c r="AE74" s="242"/>
      <c r="AF74" s="3789"/>
      <c r="AG74" s="2881"/>
      <c r="AI74" s="242"/>
      <c r="AJ74" s="3085"/>
      <c r="AK74" s="3789"/>
      <c r="AL74" s="2881"/>
      <c r="AN74" s="242"/>
      <c r="AO74" s="3789"/>
      <c r="AP74" s="2881"/>
      <c r="AS74" s="8686"/>
      <c r="AV74" s="4667"/>
      <c r="AX74" s="8686"/>
      <c r="AY74" s="8667"/>
      <c r="AZ74" s="8668"/>
      <c r="BB74" s="8686"/>
      <c r="BC74" s="8688"/>
      <c r="BD74" s="8667"/>
      <c r="BE74" s="8668"/>
      <c r="BG74" s="8686"/>
      <c r="BH74" s="3789"/>
      <c r="BI74" s="3272"/>
    </row>
    <row r="75" spans="1:61" x14ac:dyDescent="0.35">
      <c r="A75" s="9168"/>
      <c r="B75" s="1662"/>
      <c r="C75" s="1662" t="s">
        <v>978</v>
      </c>
      <c r="D75" s="87"/>
      <c r="F75" s="130"/>
      <c r="H75" s="242"/>
      <c r="I75" s="243"/>
      <c r="J75" s="64">
        <f t="shared" si="25"/>
        <v>0</v>
      </c>
      <c r="L75" s="242"/>
      <c r="M75" s="2881">
        <f>L75*J75</f>
        <v>0</v>
      </c>
      <c r="O75" s="2894"/>
      <c r="P75" s="2881">
        <f t="shared" si="26"/>
        <v>0</v>
      </c>
      <c r="R75" s="242"/>
      <c r="S75" s="243"/>
      <c r="T75" s="2881"/>
      <c r="V75" s="131"/>
      <c r="W75" s="3083"/>
      <c r="X75" s="2899"/>
      <c r="Z75" s="242"/>
      <c r="AA75" s="243"/>
      <c r="AB75" s="3789"/>
      <c r="AC75" s="2881"/>
      <c r="AE75" s="242"/>
      <c r="AF75" s="3789"/>
      <c r="AG75" s="2881"/>
      <c r="AI75" s="242"/>
      <c r="AJ75" s="3085"/>
      <c r="AK75" s="3789"/>
      <c r="AL75" s="2881"/>
      <c r="AN75" s="242"/>
      <c r="AO75" s="3789"/>
      <c r="AP75" s="2881"/>
      <c r="AS75" s="8689"/>
      <c r="AT75" s="8690"/>
      <c r="AU75" s="8690"/>
      <c r="AV75" s="8691"/>
      <c r="AX75" s="8686"/>
      <c r="AY75" s="8667"/>
      <c r="AZ75" s="8668"/>
      <c r="BB75" s="8689"/>
      <c r="BC75" s="8692"/>
      <c r="BD75" s="8671"/>
      <c r="BE75" s="8672"/>
      <c r="BG75" s="8686"/>
      <c r="BH75" s="3789"/>
      <c r="BI75" s="3264"/>
    </row>
    <row r="76" spans="1:61" x14ac:dyDescent="0.35">
      <c r="A76" s="9168"/>
      <c r="B76" s="271" t="s">
        <v>979</v>
      </c>
      <c r="C76" s="271"/>
      <c r="D76" s="140"/>
      <c r="E76" s="143"/>
      <c r="F76" s="227"/>
      <c r="G76" s="1579"/>
      <c r="H76" s="102"/>
      <c r="I76" s="103"/>
      <c r="J76" s="228"/>
      <c r="K76" s="143"/>
      <c r="L76" s="102"/>
      <c r="M76" s="268"/>
      <c r="N76" s="1579"/>
      <c r="O76" s="102"/>
      <c r="P76" s="268"/>
      <c r="Q76" s="1579"/>
      <c r="R76" s="3804"/>
      <c r="S76" s="508"/>
      <c r="T76" s="3717"/>
      <c r="U76" s="1579"/>
      <c r="V76" s="245"/>
      <c r="W76" s="106"/>
      <c r="X76" s="247"/>
      <c r="Y76" s="143"/>
      <c r="Z76" s="102"/>
      <c r="AA76" s="103"/>
      <c r="AC76" s="247"/>
      <c r="AD76" s="1579"/>
      <c r="AE76" s="102"/>
      <c r="AF76" s="2909"/>
      <c r="AG76" s="268"/>
      <c r="AH76" s="143"/>
      <c r="AI76" s="102"/>
      <c r="AJ76" s="103"/>
      <c r="AL76" s="247"/>
      <c r="AM76" s="1579"/>
      <c r="AN76" s="102"/>
      <c r="AO76" s="2909"/>
      <c r="AP76" s="268"/>
      <c r="AQ76" s="143"/>
      <c r="AS76" s="4666"/>
      <c r="AT76" s="3276"/>
      <c r="AV76" s="4667"/>
      <c r="AW76" s="8633"/>
      <c r="AX76" s="3274"/>
      <c r="AY76" s="6132"/>
      <c r="AZ76" s="3281"/>
      <c r="BB76" s="4666"/>
      <c r="BC76" s="3276"/>
      <c r="BE76" s="4667"/>
      <c r="BF76" s="8633"/>
      <c r="BG76" s="3274"/>
      <c r="BH76" s="2909"/>
      <c r="BI76" s="66"/>
    </row>
    <row r="77" spans="1:61" x14ac:dyDescent="0.35">
      <c r="A77" s="9168"/>
      <c r="B77" s="272"/>
      <c r="C77" s="272" t="s">
        <v>980</v>
      </c>
      <c r="D77" s="60"/>
      <c r="F77" s="155"/>
      <c r="H77" s="117"/>
      <c r="I77" s="115"/>
      <c r="J77" s="64">
        <f>IF(H77=0,0,I77/H77)</f>
        <v>0</v>
      </c>
      <c r="L77" s="117"/>
      <c r="M77" s="157">
        <f>L77*J77</f>
        <v>0</v>
      </c>
      <c r="O77" s="117"/>
      <c r="P77" s="157">
        <f>P31*P80</f>
        <v>0</v>
      </c>
      <c r="R77" s="112"/>
      <c r="S77" s="113"/>
      <c r="T77" s="157"/>
      <c r="V77" s="117"/>
      <c r="W77" s="3082"/>
      <c r="X77" s="157"/>
      <c r="Z77" s="117"/>
      <c r="AA77" s="115"/>
      <c r="AB77" s="312"/>
      <c r="AC77" s="157"/>
      <c r="AE77" s="200"/>
      <c r="AF77" s="312"/>
      <c r="AG77" s="157"/>
      <c r="AI77" s="200"/>
      <c r="AJ77" s="3082"/>
      <c r="AK77" s="312"/>
      <c r="AL77" s="157"/>
      <c r="AN77" s="200"/>
      <c r="AO77" s="312"/>
      <c r="AP77" s="157"/>
      <c r="AS77" s="8693"/>
      <c r="AT77" s="8694"/>
      <c r="AU77" s="5329"/>
      <c r="AV77" s="6003"/>
      <c r="AX77" s="8693"/>
      <c r="AY77" s="5329"/>
      <c r="AZ77" s="6003"/>
      <c r="BB77" s="8693"/>
      <c r="BC77" s="8695"/>
      <c r="BD77" s="5329"/>
      <c r="BE77" s="6003"/>
      <c r="BG77" s="8693"/>
      <c r="BH77" s="312"/>
      <c r="BI77" s="3265"/>
    </row>
    <row r="78" spans="1:61" x14ac:dyDescent="0.35">
      <c r="A78" s="9168"/>
      <c r="B78" s="274"/>
      <c r="C78" s="275" t="s">
        <v>1336</v>
      </c>
      <c r="D78" s="60"/>
      <c r="F78" s="163"/>
      <c r="H78" s="242"/>
      <c r="I78" s="243"/>
      <c r="J78" s="64"/>
      <c r="L78" s="242"/>
      <c r="M78" s="157"/>
      <c r="O78" s="242"/>
      <c r="P78" s="157"/>
      <c r="R78" s="242"/>
      <c r="S78" s="243"/>
      <c r="T78" s="157"/>
      <c r="V78" s="242"/>
      <c r="W78" s="3085"/>
      <c r="X78" s="157"/>
      <c r="Z78" s="242"/>
      <c r="AA78" s="243"/>
      <c r="AB78" s="312"/>
      <c r="AC78" s="157"/>
      <c r="AE78" s="164"/>
      <c r="AF78" s="312"/>
      <c r="AG78" s="157"/>
      <c r="AI78" s="164"/>
      <c r="AJ78" s="3085"/>
      <c r="AK78" s="312"/>
      <c r="AL78" s="157"/>
      <c r="AN78" s="164"/>
      <c r="AO78" s="312"/>
      <c r="AP78" s="157"/>
      <c r="AS78" s="8696"/>
      <c r="AT78" s="8687"/>
      <c r="AU78" s="5329"/>
      <c r="AV78" s="6003"/>
      <c r="AX78" s="8696"/>
      <c r="AY78" s="5329"/>
      <c r="AZ78" s="6003"/>
      <c r="BB78" s="8696"/>
      <c r="BC78" s="8688"/>
      <c r="BD78" s="5329"/>
      <c r="BE78" s="6003"/>
      <c r="BG78" s="8696"/>
      <c r="BH78" s="312"/>
      <c r="BI78" s="3272"/>
    </row>
    <row r="79" spans="1:61" x14ac:dyDescent="0.35">
      <c r="A79" s="9168"/>
      <c r="B79" s="274"/>
      <c r="C79" s="275" t="s">
        <v>933</v>
      </c>
      <c r="D79" s="60"/>
      <c r="F79" s="163"/>
      <c r="H79" s="242"/>
      <c r="I79" s="243"/>
      <c r="J79" s="64"/>
      <c r="L79" s="242"/>
      <c r="M79" s="157"/>
      <c r="O79" s="242"/>
      <c r="P79" s="157"/>
      <c r="R79" s="242"/>
      <c r="S79" s="243"/>
      <c r="T79" s="157"/>
      <c r="V79" s="242"/>
      <c r="W79" s="3085"/>
      <c r="X79" s="157"/>
      <c r="Z79" s="242"/>
      <c r="AA79" s="243"/>
      <c r="AB79" s="312"/>
      <c r="AC79" s="157"/>
      <c r="AE79" s="164"/>
      <c r="AF79" s="312"/>
      <c r="AG79" s="157"/>
      <c r="AI79" s="164"/>
      <c r="AJ79" s="3085"/>
      <c r="AK79" s="312"/>
      <c r="AL79" s="157"/>
      <c r="AN79" s="164"/>
      <c r="AO79" s="312"/>
      <c r="AP79" s="157"/>
      <c r="AS79" s="8696"/>
      <c r="AT79" s="8687"/>
      <c r="AU79" s="5329"/>
      <c r="AV79" s="6003"/>
      <c r="AX79" s="8696"/>
      <c r="AY79" s="5329"/>
      <c r="AZ79" s="6003"/>
      <c r="BB79" s="8696"/>
      <c r="BC79" s="8688"/>
      <c r="BD79" s="5329"/>
      <c r="BE79" s="6003"/>
      <c r="BG79" s="8696"/>
      <c r="BH79" s="312"/>
      <c r="BI79" s="3272"/>
    </row>
    <row r="80" spans="1:61" x14ac:dyDescent="0.35">
      <c r="A80" s="9168"/>
      <c r="B80" s="277"/>
      <c r="C80" s="277" t="s">
        <v>981</v>
      </c>
      <c r="D80" s="87"/>
      <c r="F80" s="278"/>
      <c r="G80" s="2910"/>
      <c r="H80" s="280"/>
      <c r="I80" s="281"/>
      <c r="J80" s="133"/>
      <c r="K80" s="1236"/>
      <c r="L80" s="280"/>
      <c r="M80" s="282"/>
      <c r="N80" s="1236"/>
      <c r="O80" s="280"/>
      <c r="P80" s="282"/>
      <c r="Q80" s="1236"/>
      <c r="R80" s="280"/>
      <c r="S80" s="281"/>
      <c r="T80" s="2920"/>
      <c r="U80" s="1236"/>
      <c r="V80" s="280"/>
      <c r="W80" s="3089"/>
      <c r="X80" s="2920"/>
      <c r="Z80" s="280"/>
      <c r="AA80" s="281"/>
      <c r="AB80" s="2913"/>
      <c r="AC80" s="282"/>
      <c r="AD80" s="1236"/>
      <c r="AE80" s="3087"/>
      <c r="AF80" s="3086"/>
      <c r="AG80" s="3805"/>
      <c r="AI80" s="3087"/>
      <c r="AJ80" s="3089"/>
      <c r="AK80" s="2913"/>
      <c r="AL80" s="282"/>
      <c r="AM80" s="1236"/>
      <c r="AN80" s="3087"/>
      <c r="AO80" s="3086"/>
      <c r="AP80" s="3805"/>
      <c r="AS80" s="8697"/>
      <c r="AT80" s="8698"/>
      <c r="AU80" s="8699"/>
      <c r="AV80" s="8700"/>
      <c r="AW80" s="8701"/>
      <c r="AX80" s="8697"/>
      <c r="AY80" s="8702"/>
      <c r="AZ80" s="8703"/>
      <c r="BB80" s="8697"/>
      <c r="BC80" s="8704"/>
      <c r="BD80" s="8699"/>
      <c r="BE80" s="8700"/>
      <c r="BF80" s="8701"/>
      <c r="BG80" s="8697"/>
      <c r="BH80" s="3086"/>
      <c r="BI80" s="5225"/>
    </row>
    <row r="81" spans="1:61" ht="15.25" customHeight="1" x14ac:dyDescent="0.35">
      <c r="A81" s="9168"/>
      <c r="B81" s="3806" t="s">
        <v>982</v>
      </c>
      <c r="C81" s="3807"/>
      <c r="D81" s="140"/>
      <c r="E81" s="143"/>
      <c r="F81" s="3808"/>
      <c r="G81" s="2939"/>
      <c r="H81" s="3809"/>
      <c r="I81" s="3810"/>
      <c r="J81" s="293"/>
      <c r="L81" s="3809"/>
      <c r="M81" s="268"/>
      <c r="N81" s="1579"/>
      <c r="O81" s="3809"/>
      <c r="P81" s="268"/>
      <c r="Q81" s="1579"/>
      <c r="R81" s="3809"/>
      <c r="S81" s="3810"/>
      <c r="T81" s="293"/>
      <c r="U81" s="1579"/>
      <c r="V81" s="3809"/>
      <c r="W81" s="103"/>
      <c r="X81" s="3811"/>
      <c r="Y81" s="143"/>
      <c r="Z81" s="3809"/>
      <c r="AA81" s="3810"/>
      <c r="AB81" s="3812"/>
      <c r="AC81" s="293"/>
      <c r="AD81" s="1579"/>
      <c r="AE81" s="3809"/>
      <c r="AF81" s="103"/>
      <c r="AG81" s="105"/>
      <c r="AH81" s="143"/>
      <c r="AI81" s="3809"/>
      <c r="AJ81" s="520"/>
      <c r="AK81" s="3812"/>
      <c r="AL81" s="293"/>
      <c r="AM81" s="1579"/>
      <c r="AN81" s="3809"/>
      <c r="AO81" s="103"/>
      <c r="AP81" s="105"/>
      <c r="AQ81" s="143"/>
      <c r="AS81" s="8705"/>
      <c r="AT81" s="8706"/>
      <c r="AU81" s="8707"/>
      <c r="AV81" s="8708"/>
      <c r="AW81" s="8633"/>
      <c r="AX81" s="8705"/>
      <c r="AY81" s="3275"/>
      <c r="AZ81" s="4678"/>
      <c r="BB81" s="8705"/>
      <c r="BC81" s="8709"/>
      <c r="BD81" s="8707"/>
      <c r="BE81" s="8708"/>
      <c r="BF81" s="8633"/>
      <c r="BG81" s="8705"/>
      <c r="BH81" s="103"/>
      <c r="BI81" s="8710"/>
    </row>
    <row r="82" spans="1:61" x14ac:dyDescent="0.35">
      <c r="A82" s="9168"/>
      <c r="B82" s="3813"/>
      <c r="C82" s="1451" t="s">
        <v>4475</v>
      </c>
      <c r="D82" s="60"/>
      <c r="F82" s="3814">
        <f>9959987853/1000000000</f>
        <v>9.9599878529999994</v>
      </c>
      <c r="G82" s="2944"/>
      <c r="H82" s="3815">
        <f>17253405882/1000000000</f>
        <v>17.253405881999999</v>
      </c>
      <c r="I82" s="3816">
        <f>11765311753/1000000000</f>
        <v>11.765311753000001</v>
      </c>
      <c r="J82" s="3817">
        <f>IF(H82=0,0,I82/H82)</f>
        <v>0.6819124196964742</v>
      </c>
      <c r="K82" s="3818"/>
      <c r="L82" s="3815">
        <f>6905567985/1000000000</f>
        <v>6.9055679850000002</v>
      </c>
      <c r="M82" s="2795">
        <f>L82*J82</f>
        <v>4.7089925740298559</v>
      </c>
      <c r="N82" s="2675"/>
      <c r="O82" s="3815">
        <f>24587770515/1000000000</f>
        <v>24.587770514999999</v>
      </c>
      <c r="P82" s="2795">
        <f>O82*J82</f>
        <v>16.766706086825273</v>
      </c>
      <c r="Q82" s="2675"/>
      <c r="R82" s="3815"/>
      <c r="S82" s="3816"/>
      <c r="T82" s="3817"/>
      <c r="U82" s="2675"/>
      <c r="V82" s="3815"/>
      <c r="W82" s="3819"/>
      <c r="X82" s="3820"/>
      <c r="Z82" s="3815">
        <v>0</v>
      </c>
      <c r="AA82" s="3816">
        <v>0</v>
      </c>
      <c r="AB82" s="3821"/>
      <c r="AC82" s="3817"/>
      <c r="AD82" s="2675"/>
      <c r="AE82" s="3815">
        <v>19.801124665</v>
      </c>
      <c r="AF82" s="3819"/>
      <c r="AG82" s="3699">
        <f>AE82*AC82</f>
        <v>0</v>
      </c>
      <c r="AI82" s="3815">
        <v>19.801124665</v>
      </c>
      <c r="AJ82" s="3822">
        <f>AG82</f>
        <v>0</v>
      </c>
      <c r="AK82" s="3821"/>
      <c r="AL82" s="3817"/>
      <c r="AM82" s="2675"/>
      <c r="AN82" s="3815"/>
      <c r="AO82" s="3819"/>
      <c r="AP82" s="3699">
        <f>AN82*AL82</f>
        <v>0</v>
      </c>
      <c r="AS82" s="8711"/>
      <c r="AT82" s="8712">
        <f>AR82</f>
        <v>0</v>
      </c>
      <c r="AU82" s="8713"/>
      <c r="AV82" s="8714"/>
      <c r="AW82" s="8715"/>
      <c r="AX82" s="8711"/>
      <c r="AY82" s="8716"/>
      <c r="AZ82" s="8577">
        <f>AX82*AV82</f>
        <v>0</v>
      </c>
      <c r="BB82" s="8711"/>
      <c r="BC82" s="8717"/>
      <c r="BD82" s="8713"/>
      <c r="BE82" s="8714"/>
      <c r="BF82" s="8715"/>
      <c r="BG82" s="8711"/>
      <c r="BH82" s="3819"/>
      <c r="BI82" s="8718"/>
    </row>
    <row r="83" spans="1:61" x14ac:dyDescent="0.35">
      <c r="A83" s="9168"/>
      <c r="B83" s="3813"/>
      <c r="C83" s="1451" t="s">
        <v>4480</v>
      </c>
      <c r="D83" s="60"/>
      <c r="F83" s="3691"/>
      <c r="G83" s="2947"/>
      <c r="H83" s="3692"/>
      <c r="I83" s="3693"/>
      <c r="J83" s="3823">
        <f>J82</f>
        <v>0.6819124196964742</v>
      </c>
      <c r="L83" s="3692">
        <f>408149415/1000000000</f>
        <v>0.40814941500000002</v>
      </c>
      <c r="M83" s="2794">
        <f>L83*J83</f>
        <v>0.27832215518035042</v>
      </c>
      <c r="O83" s="3692">
        <f>12407038947/1000000000</f>
        <v>12.407038947</v>
      </c>
      <c r="P83" s="2794">
        <f>O83*J83</f>
        <v>8.460513949617166</v>
      </c>
      <c r="R83" s="3692"/>
      <c r="S83" s="3693"/>
      <c r="T83" s="3823"/>
      <c r="V83" s="3692"/>
      <c r="W83" s="3732"/>
      <c r="X83" s="3696"/>
      <c r="Z83" s="3692">
        <v>4.2577753149999999</v>
      </c>
      <c r="AA83" s="3693">
        <v>1.3001221000000001</v>
      </c>
      <c r="AB83" s="3824"/>
      <c r="AC83" s="8115">
        <f>AA83/Z83</f>
        <v>0.30535244436683012</v>
      </c>
      <c r="AE83" s="3692">
        <v>7.2340212360000002</v>
      </c>
      <c r="AF83" s="3732"/>
      <c r="AG83" s="3699">
        <f>AE83*AC83</f>
        <v>2.2089260670141577</v>
      </c>
      <c r="AI83" s="3692">
        <v>7.2340212360000002</v>
      </c>
      <c r="AJ83" s="3822">
        <f>AG83</f>
        <v>2.2089260670141577</v>
      </c>
      <c r="AK83" s="3824"/>
      <c r="AL83" s="8115">
        <f>AJ83/AI83</f>
        <v>0.30535244436683012</v>
      </c>
      <c r="AN83" s="3692"/>
      <c r="AO83" s="3732"/>
      <c r="AP83" s="3699">
        <f>AN83*AL83</f>
        <v>0</v>
      </c>
      <c r="AS83" s="8571"/>
      <c r="AT83" s="8712">
        <f>AR83</f>
        <v>0</v>
      </c>
      <c r="AU83" s="8719"/>
      <c r="AV83" s="8592"/>
      <c r="AX83" s="8571"/>
      <c r="AY83" s="8599"/>
      <c r="AZ83" s="8577">
        <f>AX83*AV83</f>
        <v>0</v>
      </c>
      <c r="BB83" s="8571"/>
      <c r="BC83" s="8717"/>
      <c r="BD83" s="8719"/>
      <c r="BE83" s="8592"/>
      <c r="BG83" s="8571"/>
      <c r="BH83" s="3732"/>
      <c r="BI83" s="8718"/>
    </row>
    <row r="84" spans="1:61" x14ac:dyDescent="0.35">
      <c r="A84" s="9168"/>
      <c r="B84" s="3813"/>
      <c r="C84" s="1451" t="s">
        <v>4485</v>
      </c>
      <c r="D84" s="60"/>
      <c r="F84" s="3691">
        <f>156329825/1000000000</f>
        <v>0.15632982500000001</v>
      </c>
      <c r="G84" s="2947"/>
      <c r="H84" s="3692">
        <f>10906483886/1000000000</f>
        <v>10.906483886</v>
      </c>
      <c r="I84" s="3693">
        <f>853987919/1000000000</f>
        <v>0.85398791900000004</v>
      </c>
      <c r="J84" s="297">
        <f>IF(H84=0,0,I84/H84)</f>
        <v>7.8300938040738607E-2</v>
      </c>
      <c r="L84" s="3692">
        <f>13386798456/1000000000</f>
        <v>13.386798455999999</v>
      </c>
      <c r="M84" s="2794">
        <f>L84*J84</f>
        <v>1.0481988764671113</v>
      </c>
      <c r="O84" s="3692">
        <f>14093667835/1000000000</f>
        <v>14.093667835</v>
      </c>
      <c r="P84" s="2794">
        <f>O84*J84</f>
        <v>1.1035474119150857</v>
      </c>
      <c r="R84" s="3692"/>
      <c r="S84" s="3693"/>
      <c r="T84" s="297"/>
      <c r="V84" s="3692"/>
      <c r="W84" s="3732"/>
      <c r="X84" s="3696"/>
      <c r="Z84" s="3692">
        <v>10.42077229</v>
      </c>
      <c r="AA84" s="3693">
        <v>3.4916540000000003E-2</v>
      </c>
      <c r="AB84" s="3825"/>
      <c r="AC84" s="8115">
        <f>AA84/Z84</f>
        <v>3.3506672085625239E-3</v>
      </c>
      <c r="AE84" s="3692">
        <v>4.9466420170000003</v>
      </c>
      <c r="AF84" s="3732"/>
      <c r="AG84" s="3699">
        <f>AE84*AC84</f>
        <v>1.6574551198859484E-2</v>
      </c>
      <c r="AI84" s="3692">
        <v>4.9466420170000003</v>
      </c>
      <c r="AJ84" s="3822">
        <f>AG84</f>
        <v>1.6574551198859484E-2</v>
      </c>
      <c r="AK84" s="3825"/>
      <c r="AL84" s="8115">
        <f>AJ84/AI84</f>
        <v>3.3506672085625239E-3</v>
      </c>
      <c r="AN84" s="3692"/>
      <c r="AO84" s="3732"/>
      <c r="AP84" s="3699">
        <f>AN84*AL84</f>
        <v>0</v>
      </c>
      <c r="AS84" s="8571"/>
      <c r="AT84" s="8712">
        <f>AR84</f>
        <v>0</v>
      </c>
      <c r="AU84" s="8720"/>
      <c r="AV84" s="8592"/>
      <c r="AX84" s="8571"/>
      <c r="AY84" s="8599"/>
      <c r="AZ84" s="8577">
        <f>AX84*AV84</f>
        <v>0</v>
      </c>
      <c r="BB84" s="8571"/>
      <c r="BC84" s="8717"/>
      <c r="BD84" s="8720"/>
      <c r="BE84" s="8592"/>
      <c r="BG84" s="8571"/>
      <c r="BH84" s="3732"/>
      <c r="BI84" s="8718"/>
    </row>
    <row r="85" spans="1:61" x14ac:dyDescent="0.35">
      <c r="A85" s="9168"/>
      <c r="B85" s="3813"/>
      <c r="C85" s="1451" t="s">
        <v>4490</v>
      </c>
      <c r="D85" s="87"/>
      <c r="F85" s="3691">
        <f>2127474580/1000000000</f>
        <v>2.1274745799999999</v>
      </c>
      <c r="G85" s="2947"/>
      <c r="H85" s="3692">
        <f>2924149415/1000000000</f>
        <v>2.924149415</v>
      </c>
      <c r="I85" s="3693">
        <f>1653788519/1000000000</f>
        <v>1.6537885189999999</v>
      </c>
      <c r="J85" s="3823">
        <f>IF(H85=0,0,I85/H85)</f>
        <v>0.56556224880868478</v>
      </c>
      <c r="L85" s="3692">
        <f>2516000000/1000000000</f>
        <v>2.516</v>
      </c>
      <c r="M85" s="2794">
        <f>L85*J85</f>
        <v>1.4229546180026509</v>
      </c>
      <c r="O85" s="3692">
        <f>8978906564/1000000000</f>
        <v>8.9789065640000008</v>
      </c>
      <c r="P85" s="2794">
        <f>O85*J85</f>
        <v>5.078130588178901</v>
      </c>
      <c r="R85" s="3692"/>
      <c r="S85" s="3693"/>
      <c r="T85" s="3823"/>
      <c r="V85" s="3692"/>
      <c r="W85" s="3732"/>
      <c r="X85" s="3696"/>
      <c r="Z85" s="3692">
        <v>2.5172872420000001</v>
      </c>
      <c r="AA85" s="3693">
        <v>2.282161763</v>
      </c>
      <c r="AB85" s="3824"/>
      <c r="AC85" s="8115">
        <f>AA85/Z85</f>
        <v>0.90659568956731706</v>
      </c>
      <c r="AE85" s="3692">
        <v>2.4500000000000002</v>
      </c>
      <c r="AF85" s="3732"/>
      <c r="AG85" s="3699">
        <f>AE85*AC85</f>
        <v>2.2211594394399268</v>
      </c>
      <c r="AI85" s="3692">
        <v>2.4500000000000002</v>
      </c>
      <c r="AJ85" s="3822">
        <f>AG85</f>
        <v>2.2211594394399268</v>
      </c>
      <c r="AK85" s="3824"/>
      <c r="AL85" s="8115">
        <f>AJ85/AI85</f>
        <v>0.90659568956731695</v>
      </c>
      <c r="AN85" s="3692"/>
      <c r="AO85" s="3732"/>
      <c r="AP85" s="3699">
        <f>AN85*AL85</f>
        <v>0</v>
      </c>
      <c r="AS85" s="8571"/>
      <c r="AT85" s="8712">
        <f>AR85</f>
        <v>0</v>
      </c>
      <c r="AU85" s="8719"/>
      <c r="AV85" s="8592"/>
      <c r="AX85" s="8571"/>
      <c r="AY85" s="8599"/>
      <c r="AZ85" s="8577">
        <f>AX85*AV85</f>
        <v>0</v>
      </c>
      <c r="BB85" s="8571"/>
      <c r="BC85" s="8717"/>
      <c r="BD85" s="8719"/>
      <c r="BE85" s="8592"/>
      <c r="BG85" s="8571"/>
      <c r="BH85" s="3732"/>
      <c r="BI85" s="8718"/>
    </row>
    <row r="86" spans="1:61" x14ac:dyDescent="0.35">
      <c r="A86" s="9168"/>
      <c r="B86" s="3813"/>
      <c r="C86" s="1451"/>
      <c r="D86" s="60"/>
      <c r="F86" s="3691"/>
      <c r="G86" s="2947"/>
      <c r="H86" s="3692"/>
      <c r="I86" s="3693"/>
      <c r="J86" s="297"/>
      <c r="L86" s="3692"/>
      <c r="M86" s="2794"/>
      <c r="O86" s="3692"/>
      <c r="P86" s="2794"/>
      <c r="R86" s="3692"/>
      <c r="S86" s="3693"/>
      <c r="T86" s="297"/>
      <c r="V86" s="3692"/>
      <c r="W86" s="3732"/>
      <c r="X86" s="3696"/>
      <c r="Z86" s="3692"/>
      <c r="AA86" s="3693"/>
      <c r="AB86" s="3825"/>
      <c r="AC86" s="297"/>
      <c r="AE86" s="3692"/>
      <c r="AF86" s="3732"/>
      <c r="AG86" s="3826"/>
      <c r="AI86" s="3692"/>
      <c r="AJ86" s="3687"/>
      <c r="AK86" s="3825"/>
      <c r="AL86" s="297"/>
      <c r="AN86" s="3692"/>
      <c r="AO86" s="3732"/>
      <c r="AP86" s="3826"/>
      <c r="AS86" s="8571"/>
      <c r="AT86" s="8721"/>
      <c r="AU86" s="8720"/>
      <c r="AV86" s="8722"/>
      <c r="AX86" s="8571"/>
      <c r="AY86" s="8599"/>
      <c r="AZ86" s="8723"/>
      <c r="BB86" s="8571"/>
      <c r="BC86" s="8724"/>
      <c r="BD86" s="8720"/>
      <c r="BE86" s="8722"/>
      <c r="BG86" s="8571"/>
      <c r="BH86" s="3732"/>
      <c r="BI86" s="8725"/>
    </row>
    <row r="87" spans="1:61" x14ac:dyDescent="0.35">
      <c r="A87" s="9168"/>
      <c r="B87" s="3813"/>
      <c r="C87" s="1451"/>
      <c r="D87" s="60"/>
      <c r="F87" s="3702"/>
      <c r="G87" s="2762"/>
      <c r="H87" s="3703"/>
      <c r="I87" s="3704"/>
      <c r="J87" s="3025"/>
      <c r="L87" s="3703"/>
      <c r="M87" s="2794"/>
      <c r="O87" s="3703"/>
      <c r="P87" s="2794"/>
      <c r="R87" s="3703"/>
      <c r="S87" s="3704"/>
      <c r="T87" s="3025"/>
      <c r="V87" s="3703"/>
      <c r="W87" s="3732"/>
      <c r="X87" s="3708"/>
      <c r="Z87" s="3703"/>
      <c r="AA87" s="3704"/>
      <c r="AB87" s="3827"/>
      <c r="AC87" s="3025"/>
      <c r="AE87" s="3703"/>
      <c r="AF87" s="3732"/>
      <c r="AG87" s="3826"/>
      <c r="AI87" s="3703"/>
      <c r="AJ87" s="3707"/>
      <c r="AK87" s="3827"/>
      <c r="AL87" s="3025"/>
      <c r="AN87" s="3703"/>
      <c r="AO87" s="3732"/>
      <c r="AP87" s="3826"/>
      <c r="AS87" s="8579"/>
      <c r="AT87" s="8726"/>
      <c r="AU87" s="8727"/>
      <c r="AV87" s="8728"/>
      <c r="AX87" s="8579"/>
      <c r="AY87" s="8599"/>
      <c r="AZ87" s="8723"/>
      <c r="BB87" s="8579"/>
      <c r="BC87" s="8729"/>
      <c r="BD87" s="8727"/>
      <c r="BE87" s="8728"/>
      <c r="BG87" s="8579"/>
      <c r="BH87" s="3732"/>
      <c r="BI87" s="8725"/>
    </row>
    <row r="88" spans="1:61" x14ac:dyDescent="0.35">
      <c r="A88" s="9169"/>
      <c r="B88" s="3828"/>
      <c r="C88" s="3829"/>
      <c r="D88" s="60"/>
      <c r="F88" s="3830"/>
      <c r="G88" s="2762"/>
      <c r="H88" s="3711"/>
      <c r="I88" s="3712"/>
      <c r="J88" s="307"/>
      <c r="L88" s="3711"/>
      <c r="M88" s="2876"/>
      <c r="O88" s="3711"/>
      <c r="P88" s="2876"/>
      <c r="R88" s="3711"/>
      <c r="S88" s="3712"/>
      <c r="T88" s="307"/>
      <c r="V88" s="3711"/>
      <c r="W88" s="3738"/>
      <c r="X88" s="3719"/>
      <c r="Z88" s="3711"/>
      <c r="AA88" s="3712"/>
      <c r="AB88" s="3831"/>
      <c r="AC88" s="307"/>
      <c r="AE88" s="3711"/>
      <c r="AF88" s="3738"/>
      <c r="AG88" s="3741"/>
      <c r="AI88" s="3711"/>
      <c r="AJ88" s="3718"/>
      <c r="AK88" s="3831"/>
      <c r="AL88" s="307"/>
      <c r="AN88" s="3711"/>
      <c r="AO88" s="3738"/>
      <c r="AP88" s="3741"/>
      <c r="AS88" s="8581"/>
      <c r="AT88" s="8730"/>
      <c r="AU88" s="8731"/>
      <c r="AV88" s="8732"/>
      <c r="AX88" s="8581"/>
      <c r="AY88" s="8733"/>
      <c r="AZ88" s="8596"/>
      <c r="BB88" s="8581"/>
      <c r="BC88" s="8734"/>
      <c r="BD88" s="8731"/>
      <c r="BE88" s="8732"/>
      <c r="BG88" s="8581"/>
      <c r="BH88" s="3738"/>
      <c r="BI88" s="8735"/>
    </row>
    <row r="89" spans="1:61" x14ac:dyDescent="0.35">
      <c r="A89" s="310"/>
      <c r="B89" s="310"/>
      <c r="F89" s="106"/>
      <c r="H89" s="106"/>
      <c r="I89" s="106"/>
      <c r="J89" s="311"/>
      <c r="L89" s="106"/>
      <c r="M89" s="312"/>
      <c r="O89" s="106"/>
      <c r="P89" s="312"/>
      <c r="R89" s="106"/>
      <c r="S89" s="106"/>
      <c r="T89" s="312"/>
      <c r="V89" s="106"/>
      <c r="W89" s="106"/>
      <c r="X89" s="312"/>
      <c r="Z89" s="106"/>
      <c r="AA89" s="106"/>
      <c r="AB89" s="312"/>
      <c r="AC89" s="312"/>
      <c r="AE89" s="106"/>
      <c r="AF89" s="106"/>
      <c r="AG89" s="106"/>
      <c r="AI89" s="106"/>
      <c r="AJ89" s="106"/>
      <c r="AK89" s="312"/>
      <c r="AL89" s="312"/>
      <c r="AN89" s="106"/>
      <c r="AO89" s="106"/>
      <c r="AP89" s="106"/>
      <c r="AS89" s="3276"/>
      <c r="AT89" s="3276"/>
      <c r="AU89" s="5329"/>
      <c r="AV89" s="5329"/>
      <c r="AX89" s="3276"/>
      <c r="AY89" s="3276"/>
      <c r="AZ89" s="3276"/>
      <c r="BB89" s="3276"/>
      <c r="BC89" s="3276"/>
      <c r="BD89" s="5329"/>
      <c r="BE89" s="5329"/>
      <c r="BG89" s="3276"/>
      <c r="BH89" s="106"/>
      <c r="BI89" s="106"/>
    </row>
    <row r="90" spans="1:61" x14ac:dyDescent="0.35">
      <c r="A90" s="9351" t="s">
        <v>1364</v>
      </c>
      <c r="B90" s="3832"/>
      <c r="C90" s="3833" t="s">
        <v>4523</v>
      </c>
      <c r="D90" s="184"/>
      <c r="F90" s="3834"/>
      <c r="G90" s="290"/>
      <c r="H90" s="3832"/>
      <c r="I90" s="3835"/>
      <c r="J90" s="293"/>
      <c r="L90" s="3836"/>
      <c r="M90" s="268"/>
      <c r="N90" s="1"/>
      <c r="O90" s="3837"/>
      <c r="P90" s="3833"/>
      <c r="R90" s="3837"/>
      <c r="S90" s="3835"/>
      <c r="T90" s="293"/>
      <c r="V90" s="3837"/>
      <c r="W90" s="348"/>
      <c r="X90" s="3838"/>
      <c r="Y90"/>
      <c r="Z90" s="3837"/>
      <c r="AA90" s="3835"/>
      <c r="AB90" s="3812"/>
      <c r="AC90" s="293"/>
      <c r="AD90"/>
      <c r="AE90" s="3837"/>
      <c r="AF90" s="348"/>
      <c r="AG90" s="49"/>
      <c r="AH90"/>
      <c r="AI90" s="3837"/>
      <c r="AJ90" s="520"/>
      <c r="AK90" s="3812"/>
      <c r="AL90" s="293">
        <f>(AJ91+AJ92)/(AI91+AI92)</f>
        <v>0.8162333539525809</v>
      </c>
      <c r="AM90"/>
      <c r="AN90" s="3839">
        <f>AN37</f>
        <v>129.572452016</v>
      </c>
      <c r="AO90" s="348"/>
      <c r="AP90" s="3840">
        <f>AN90*AL90</f>
        <v>105.76135708887954</v>
      </c>
      <c r="AQ90"/>
      <c r="AS90" s="8736">
        <f>AS37</f>
        <v>19.847000000000001</v>
      </c>
      <c r="AT90" s="8706"/>
      <c r="AU90" s="8707"/>
      <c r="AV90" s="8708">
        <f>(AT91+AT92)/(AS91+AS92)</f>
        <v>0</v>
      </c>
      <c r="AW90" s="4655"/>
      <c r="AX90" s="8736">
        <f>AX37</f>
        <v>21.91</v>
      </c>
      <c r="AY90" s="8737"/>
      <c r="AZ90" s="8738">
        <f>AX90*AV90</f>
        <v>0</v>
      </c>
      <c r="BB90" s="8736"/>
      <c r="BC90" s="8739"/>
      <c r="BD90" s="8707"/>
      <c r="BE90" s="8708"/>
      <c r="BF90" s="4655"/>
      <c r="BG90" s="8736"/>
      <c r="BH90" s="348"/>
      <c r="BI90" s="8740"/>
    </row>
    <row r="91" spans="1:61" x14ac:dyDescent="0.35">
      <c r="A91" s="9352"/>
      <c r="B91" s="3841"/>
      <c r="C91" s="3842" t="s">
        <v>1363</v>
      </c>
      <c r="D91" s="197"/>
      <c r="F91" s="8795"/>
      <c r="G91" s="272"/>
      <c r="H91" s="8796"/>
      <c r="I91" s="8797"/>
      <c r="J91" s="297">
        <f t="shared" ref="J91:J99" si="27">IF(H91=0,0,I91/H91)</f>
        <v>0</v>
      </c>
      <c r="L91" s="8796"/>
      <c r="M91" s="2681">
        <f t="shared" ref="M91:M99" si="28">L91*J91</f>
        <v>0</v>
      </c>
      <c r="N91" s="1"/>
      <c r="O91" s="8796"/>
      <c r="P91" s="8798"/>
      <c r="R91" s="8796"/>
      <c r="S91" s="8799"/>
      <c r="T91" s="297"/>
      <c r="V91" s="8800"/>
      <c r="W91"/>
      <c r="X91" s="8801"/>
      <c r="Y91"/>
      <c r="Z91" s="8802">
        <v>115.321332091</v>
      </c>
      <c r="AA91" s="8744">
        <v>109.028877224</v>
      </c>
      <c r="AB91" s="3850" t="s">
        <v>4524</v>
      </c>
      <c r="AC91" s="8743">
        <f>AA91/Z91</f>
        <v>0.94543546494906394</v>
      </c>
      <c r="AD91"/>
      <c r="AE91" s="8741">
        <v>108.508600605</v>
      </c>
      <c r="AF91"/>
      <c r="AG91" s="5021">
        <f>AE91*AC91</f>
        <v>102.58787926396046</v>
      </c>
      <c r="AH91"/>
      <c r="AI91" s="8741">
        <v>108.508600605</v>
      </c>
      <c r="AJ91" s="8742">
        <f>AG91</f>
        <v>102.58787926396046</v>
      </c>
      <c r="AK91" s="3850" t="s">
        <v>4524</v>
      </c>
      <c r="AL91" s="8743">
        <f>AJ91/AI91</f>
        <v>0.94543546494906394</v>
      </c>
      <c r="AM91"/>
      <c r="AN91" s="8741">
        <f>AN38</f>
        <v>0</v>
      </c>
      <c r="AO91"/>
      <c r="AP91" s="5021">
        <f>AN91*AL91</f>
        <v>0</v>
      </c>
      <c r="AQ91"/>
      <c r="AR91"/>
      <c r="AS91" s="8741">
        <f>AS38</f>
        <v>0.92400000000000004</v>
      </c>
      <c r="AT91" s="8742">
        <f>AR91</f>
        <v>0</v>
      </c>
      <c r="AU91" s="3850" t="s">
        <v>4524</v>
      </c>
      <c r="AV91" s="8743">
        <f>AT91/AS91</f>
        <v>0</v>
      </c>
      <c r="AW91"/>
      <c r="AX91" s="8741">
        <f>AX38</f>
        <v>2.4460000000000002</v>
      </c>
      <c r="AY91"/>
      <c r="AZ91" s="5021">
        <f>AX91*AV91</f>
        <v>0</v>
      </c>
      <c r="BA91"/>
      <c r="BB91" s="8741">
        <f>BB38-9.816445-0.08504339-0.025</f>
        <v>103.209015866</v>
      </c>
      <c r="BC91" s="8744">
        <f>BC38-(7.298383509+0.075102276)*12/9</f>
        <v>107.405296988</v>
      </c>
      <c r="BD91" s="3850" t="s">
        <v>4524</v>
      </c>
      <c r="BE91" s="8743"/>
      <c r="BF91"/>
      <c r="BG91" s="8741">
        <f>BG38-3.798-0.201039</f>
        <v>129.57360858199999</v>
      </c>
      <c r="BH91" s="3850" t="s">
        <v>4524</v>
      </c>
      <c r="BI91" s="8745">
        <f>BI38-(2.8485+0.099)*12/9</f>
        <v>129.39167205199999</v>
      </c>
    </row>
    <row r="92" spans="1:61" x14ac:dyDescent="0.35">
      <c r="A92" s="9352"/>
      <c r="B92" s="3852"/>
      <c r="C92" s="3853" t="s">
        <v>1586</v>
      </c>
      <c r="D92" s="197"/>
      <c r="F92" s="3854"/>
      <c r="G92" s="272"/>
      <c r="H92" s="3855"/>
      <c r="I92" s="3847"/>
      <c r="J92" s="297">
        <f t="shared" si="27"/>
        <v>0</v>
      </c>
      <c r="L92" s="3855"/>
      <c r="M92" s="157">
        <f t="shared" si="28"/>
        <v>0</v>
      </c>
      <c r="N92" s="1"/>
      <c r="O92" s="3855"/>
      <c r="P92" s="3846"/>
      <c r="R92" s="3855"/>
      <c r="S92" s="3847"/>
      <c r="T92" s="297"/>
      <c r="V92" s="3852"/>
      <c r="W92"/>
      <c r="X92" s="3853"/>
      <c r="Y92"/>
      <c r="Z92" s="3856">
        <v>25.110120437999999</v>
      </c>
      <c r="AA92" s="3849">
        <v>6.2371043879999997</v>
      </c>
      <c r="AB92" s="3825"/>
      <c r="AC92" s="8115">
        <f>AA92/Z92</f>
        <v>0.24839006262037586</v>
      </c>
      <c r="AD92"/>
      <c r="AE92" s="3857">
        <v>24.689100801999999</v>
      </c>
      <c r="AF92"/>
      <c r="AG92" s="3699">
        <f>AE92*AC92</f>
        <v>6.1325272942495515</v>
      </c>
      <c r="AH92"/>
      <c r="AI92" s="3857">
        <v>24.689100801999999</v>
      </c>
      <c r="AJ92" s="3687">
        <f>AG92</f>
        <v>6.1325272942495515</v>
      </c>
      <c r="AK92" s="3825"/>
      <c r="AL92" s="8115">
        <f>AJ92/AI92</f>
        <v>0.24839006262037586</v>
      </c>
      <c r="AM92"/>
      <c r="AN92" s="3851">
        <f>AN39</f>
        <v>0</v>
      </c>
      <c r="AO92"/>
      <c r="AP92" s="3699">
        <f>AN92*AL92</f>
        <v>0</v>
      </c>
      <c r="AQ92"/>
      <c r="AS92" s="8746">
        <f>AS39</f>
        <v>31.600999999999999</v>
      </c>
      <c r="AT92" s="8721">
        <f>AR92</f>
        <v>0</v>
      </c>
      <c r="AU92" s="8720"/>
      <c r="AV92" s="8592">
        <f>AT92/AS92</f>
        <v>0</v>
      </c>
      <c r="AW92" s="4655"/>
      <c r="AX92" s="8746">
        <f>AX39</f>
        <v>28.783999999999999</v>
      </c>
      <c r="AY92" s="4655"/>
      <c r="AZ92" s="8577">
        <f>AX92*AV92</f>
        <v>0</v>
      </c>
      <c r="BB92" s="8741">
        <f>BB39-0.8275008</f>
        <v>22.902489000999999</v>
      </c>
      <c r="BC92" s="8747">
        <f>BC39-1.1173*12/9</f>
        <v>11.690538956666668</v>
      </c>
      <c r="BD92" s="8720"/>
      <c r="BE92" s="8592"/>
      <c r="BF92" s="4655"/>
      <c r="BG92" s="8746">
        <f>BG39-0</f>
        <v>10.425285857</v>
      </c>
      <c r="BH92"/>
      <c r="BI92" s="8748">
        <f>BI39</f>
        <v>4.5729324026666669</v>
      </c>
    </row>
    <row r="93" spans="1:61" x14ac:dyDescent="0.35">
      <c r="A93" s="9352"/>
      <c r="B93" s="3852"/>
      <c r="C93" s="3853"/>
      <c r="D93" s="197"/>
      <c r="F93" s="3854"/>
      <c r="G93" s="272"/>
      <c r="H93" s="3855"/>
      <c r="I93" s="3847"/>
      <c r="J93" s="297">
        <f t="shared" si="27"/>
        <v>0</v>
      </c>
      <c r="L93" s="3855"/>
      <c r="M93" s="157">
        <f t="shared" si="28"/>
        <v>0</v>
      </c>
      <c r="N93" s="1"/>
      <c r="O93" s="3855"/>
      <c r="P93" s="3846"/>
      <c r="R93" s="3855"/>
      <c r="S93" s="3847"/>
      <c r="T93" s="297"/>
      <c r="V93" s="3852"/>
      <c r="W93"/>
      <c r="X93" s="3853"/>
      <c r="Y93"/>
      <c r="Z93" s="3855"/>
      <c r="AA93" s="3847"/>
      <c r="AB93" s="3825"/>
      <c r="AC93" s="297"/>
      <c r="AD93"/>
      <c r="AE93" s="3852"/>
      <c r="AF93"/>
      <c r="AG93" s="229"/>
      <c r="AH93"/>
      <c r="AI93" s="3852"/>
      <c r="AJ93" s="3082"/>
      <c r="AK93" s="3825"/>
      <c r="AL93" s="297"/>
      <c r="AM93"/>
      <c r="AN93" s="3852"/>
      <c r="AO93"/>
      <c r="AP93" s="229"/>
      <c r="AQ93"/>
      <c r="AS93" s="8749"/>
      <c r="AT93" s="8694"/>
      <c r="AU93" s="8720"/>
      <c r="AV93" s="8722"/>
      <c r="AW93" s="4655"/>
      <c r="AX93" s="8749"/>
      <c r="AY93" s="4655"/>
      <c r="AZ93" s="8750"/>
      <c r="BB93" s="8749"/>
      <c r="BC93" s="8751"/>
      <c r="BD93" s="8720"/>
      <c r="BE93" s="8722"/>
      <c r="BF93" s="4655"/>
      <c r="BG93" s="8749"/>
      <c r="BH93"/>
      <c r="BI93" s="8752"/>
    </row>
    <row r="94" spans="1:61" x14ac:dyDescent="0.35">
      <c r="A94" s="9352"/>
      <c r="B94" s="3852"/>
      <c r="C94" s="3853"/>
      <c r="D94" s="197"/>
      <c r="F94" s="3854"/>
      <c r="G94" s="272"/>
      <c r="H94" s="3855"/>
      <c r="I94" s="3847"/>
      <c r="J94" s="297">
        <f t="shared" si="27"/>
        <v>0</v>
      </c>
      <c r="L94" s="3855"/>
      <c r="M94" s="157">
        <f t="shared" si="28"/>
        <v>0</v>
      </c>
      <c r="N94" s="1"/>
      <c r="O94" s="3855"/>
      <c r="P94" s="3846"/>
      <c r="R94" s="3855"/>
      <c r="S94" s="3847"/>
      <c r="T94" s="297"/>
      <c r="V94" s="3852"/>
      <c r="W94"/>
      <c r="X94" s="3853"/>
      <c r="Y94"/>
      <c r="Z94" s="3855"/>
      <c r="AA94" s="3847"/>
      <c r="AB94" s="3825"/>
      <c r="AC94" s="297"/>
      <c r="AD94"/>
      <c r="AE94" s="3852"/>
      <c r="AF94"/>
      <c r="AG94" s="229"/>
      <c r="AH94"/>
      <c r="AI94" s="3852"/>
      <c r="AJ94" s="3082"/>
      <c r="AK94" s="3825"/>
      <c r="AL94" s="297"/>
      <c r="AM94"/>
      <c r="AN94" s="3852"/>
      <c r="AO94"/>
      <c r="AP94" s="229"/>
      <c r="AQ94"/>
      <c r="AS94" s="8749"/>
      <c r="AT94" s="8694"/>
      <c r="AU94" s="8720"/>
      <c r="AV94" s="8722"/>
      <c r="AW94" s="4655"/>
      <c r="AX94" s="8749"/>
      <c r="AY94" s="4655"/>
      <c r="AZ94" s="8750"/>
      <c r="BB94" s="8749"/>
      <c r="BC94" s="8751"/>
      <c r="BD94" s="8720"/>
      <c r="BE94" s="8722"/>
      <c r="BF94" s="4655"/>
      <c r="BG94" s="8749"/>
      <c r="BH94"/>
      <c r="BI94" s="8752"/>
    </row>
    <row r="95" spans="1:61" x14ac:dyDescent="0.35">
      <c r="A95" s="9352"/>
      <c r="B95" s="3852"/>
      <c r="C95" s="3853"/>
      <c r="D95" s="197"/>
      <c r="F95" s="3854"/>
      <c r="G95" s="272"/>
      <c r="H95" s="3855"/>
      <c r="I95" s="3847"/>
      <c r="J95" s="297">
        <f t="shared" si="27"/>
        <v>0</v>
      </c>
      <c r="L95" s="3855"/>
      <c r="M95" s="157">
        <f t="shared" si="28"/>
        <v>0</v>
      </c>
      <c r="N95" s="1"/>
      <c r="O95" s="3855"/>
      <c r="P95" s="3846"/>
      <c r="R95" s="3855"/>
      <c r="S95" s="3847"/>
      <c r="T95" s="297"/>
      <c r="V95" s="3852"/>
      <c r="W95"/>
      <c r="X95" s="3853"/>
      <c r="Y95"/>
      <c r="Z95" s="3855"/>
      <c r="AA95" s="3847"/>
      <c r="AB95" s="3825"/>
      <c r="AC95" s="297"/>
      <c r="AD95"/>
      <c r="AE95" s="3852"/>
      <c r="AF95"/>
      <c r="AG95" s="229"/>
      <c r="AH95"/>
      <c r="AI95" s="3852"/>
      <c r="AJ95" s="3082"/>
      <c r="AK95" s="3825"/>
      <c r="AL95" s="297"/>
      <c r="AM95"/>
      <c r="AN95" s="3852"/>
      <c r="AO95"/>
      <c r="AP95" s="229"/>
      <c r="AQ95"/>
      <c r="AS95" s="8749"/>
      <c r="AT95" s="8694"/>
      <c r="AU95" s="8720"/>
      <c r="AV95" s="8722"/>
      <c r="AW95" s="4655"/>
      <c r="AX95" s="8749"/>
      <c r="AY95" s="4655"/>
      <c r="AZ95" s="8750"/>
      <c r="BB95" s="8749"/>
      <c r="BC95" s="8751"/>
      <c r="BD95" s="8720"/>
      <c r="BE95" s="8722"/>
      <c r="BF95" s="4655"/>
      <c r="BG95" s="8749"/>
      <c r="BH95"/>
      <c r="BI95" s="8752"/>
    </row>
    <row r="96" spans="1:61" x14ac:dyDescent="0.35">
      <c r="A96" s="9352"/>
      <c r="B96" s="3852"/>
      <c r="C96" s="3853"/>
      <c r="D96" s="197"/>
      <c r="F96" s="3854"/>
      <c r="G96" s="272"/>
      <c r="H96" s="3855"/>
      <c r="I96" s="3847"/>
      <c r="J96" s="297">
        <f t="shared" si="27"/>
        <v>0</v>
      </c>
      <c r="L96" s="3855"/>
      <c r="M96" s="157">
        <f t="shared" si="28"/>
        <v>0</v>
      </c>
      <c r="N96" s="1"/>
      <c r="O96" s="3855"/>
      <c r="P96" s="3846"/>
      <c r="R96" s="3855"/>
      <c r="S96" s="3847"/>
      <c r="T96" s="297"/>
      <c r="V96" s="3852"/>
      <c r="W96"/>
      <c r="X96" s="3853"/>
      <c r="Y96"/>
      <c r="Z96" s="3855"/>
      <c r="AA96" s="3847"/>
      <c r="AB96" s="3825"/>
      <c r="AC96" s="297"/>
      <c r="AD96"/>
      <c r="AE96" s="3852"/>
      <c r="AF96"/>
      <c r="AG96" s="229"/>
      <c r="AH96"/>
      <c r="AI96" s="3852"/>
      <c r="AJ96" s="3082"/>
      <c r="AK96" s="3825"/>
      <c r="AL96" s="297"/>
      <c r="AM96"/>
      <c r="AN96" s="3852"/>
      <c r="AO96"/>
      <c r="AP96" s="229"/>
      <c r="AQ96"/>
      <c r="AS96" s="8749"/>
      <c r="AT96" s="8694"/>
      <c r="AU96" s="8720"/>
      <c r="AV96" s="8722"/>
      <c r="AW96" s="4655"/>
      <c r="AX96" s="8749"/>
      <c r="AY96" s="4655"/>
      <c r="AZ96" s="8750"/>
      <c r="BB96" s="8749"/>
      <c r="BC96" s="8751"/>
      <c r="BD96" s="8720"/>
      <c r="BE96" s="8722"/>
      <c r="BF96" s="4655"/>
      <c r="BG96" s="8749"/>
      <c r="BH96"/>
      <c r="BI96" s="8752"/>
    </row>
    <row r="97" spans="1:61" x14ac:dyDescent="0.35">
      <c r="A97" s="9352"/>
      <c r="B97" s="3852"/>
      <c r="C97" s="3853"/>
      <c r="D97" s="197"/>
      <c r="F97" s="3854"/>
      <c r="G97" s="272"/>
      <c r="H97" s="3855"/>
      <c r="I97" s="3847"/>
      <c r="J97" s="297">
        <f t="shared" si="27"/>
        <v>0</v>
      </c>
      <c r="L97" s="3855"/>
      <c r="M97" s="157">
        <f t="shared" si="28"/>
        <v>0</v>
      </c>
      <c r="N97" s="1"/>
      <c r="O97" s="3855"/>
      <c r="P97" s="3846"/>
      <c r="R97" s="3855"/>
      <c r="S97" s="3847"/>
      <c r="T97" s="297"/>
      <c r="V97" s="3852"/>
      <c r="W97"/>
      <c r="X97" s="3853"/>
      <c r="Y97"/>
      <c r="Z97" s="3855"/>
      <c r="AA97" s="3847"/>
      <c r="AB97" s="3825"/>
      <c r="AC97" s="297"/>
      <c r="AD97"/>
      <c r="AE97" s="3852"/>
      <c r="AF97"/>
      <c r="AG97" s="229"/>
      <c r="AH97"/>
      <c r="AI97" s="3852"/>
      <c r="AJ97" s="3082"/>
      <c r="AK97" s="3825"/>
      <c r="AL97" s="297"/>
      <c r="AM97"/>
      <c r="AN97" s="3852"/>
      <c r="AO97"/>
      <c r="AP97" s="229"/>
      <c r="AQ97"/>
      <c r="AS97" s="8749"/>
      <c r="AT97" s="8694"/>
      <c r="AU97" s="8720"/>
      <c r="AV97" s="8722"/>
      <c r="AW97" s="4655"/>
      <c r="AX97" s="8749"/>
      <c r="AY97" s="4655"/>
      <c r="AZ97" s="8750"/>
      <c r="BB97" s="8749"/>
      <c r="BC97" s="8751"/>
      <c r="BD97" s="8720"/>
      <c r="BE97" s="8722"/>
      <c r="BF97" s="4655"/>
      <c r="BG97" s="8749"/>
      <c r="BH97"/>
      <c r="BI97" s="8752"/>
    </row>
    <row r="98" spans="1:61" x14ac:dyDescent="0.35">
      <c r="A98" s="9352"/>
      <c r="B98" s="3852"/>
      <c r="C98" s="3853"/>
      <c r="D98" s="197"/>
      <c r="F98" s="3854"/>
      <c r="G98" s="272"/>
      <c r="H98" s="3855"/>
      <c r="I98" s="3847"/>
      <c r="J98" s="297">
        <f t="shared" si="27"/>
        <v>0</v>
      </c>
      <c r="L98" s="3855"/>
      <c r="M98" s="157">
        <f t="shared" si="28"/>
        <v>0</v>
      </c>
      <c r="N98" s="1"/>
      <c r="O98" s="3855"/>
      <c r="P98" s="3846"/>
      <c r="R98" s="3855"/>
      <c r="S98" s="3847"/>
      <c r="T98" s="297"/>
      <c r="V98" s="3852"/>
      <c r="W98"/>
      <c r="X98" s="3853"/>
      <c r="Y98"/>
      <c r="Z98" s="3855"/>
      <c r="AA98" s="3847"/>
      <c r="AB98" s="3825"/>
      <c r="AC98" s="297"/>
      <c r="AD98"/>
      <c r="AE98" s="3852"/>
      <c r="AF98"/>
      <c r="AG98" s="229"/>
      <c r="AH98"/>
      <c r="AI98" s="3852"/>
      <c r="AJ98" s="3082"/>
      <c r="AK98" s="3825"/>
      <c r="AL98" s="297"/>
      <c r="AM98"/>
      <c r="AN98" s="3852"/>
      <c r="AO98"/>
      <c r="AP98" s="229"/>
      <c r="AQ98"/>
      <c r="AS98" s="8749"/>
      <c r="AT98" s="8694"/>
      <c r="AU98" s="8720"/>
      <c r="AV98" s="8722"/>
      <c r="AW98" s="4655"/>
      <c r="AX98" s="8749"/>
      <c r="AY98" s="4655"/>
      <c r="AZ98" s="8750"/>
      <c r="BB98" s="8749"/>
      <c r="BC98" s="8751"/>
      <c r="BD98" s="8720"/>
      <c r="BE98" s="8722"/>
      <c r="BF98" s="4655"/>
      <c r="BG98" s="8749"/>
      <c r="BH98"/>
      <c r="BI98" s="8752"/>
    </row>
    <row r="99" spans="1:61" x14ac:dyDescent="0.35">
      <c r="A99" s="9353"/>
      <c r="B99" s="3858"/>
      <c r="C99" s="3859"/>
      <c r="D99" s="209"/>
      <c r="F99" s="3860"/>
      <c r="G99" s="274"/>
      <c r="H99" s="3861"/>
      <c r="I99" s="3862"/>
      <c r="J99" s="307">
        <f t="shared" si="27"/>
        <v>0</v>
      </c>
      <c r="L99" s="3861"/>
      <c r="M99" s="213">
        <f t="shared" si="28"/>
        <v>0</v>
      </c>
      <c r="N99" s="1"/>
      <c r="O99" s="3861"/>
      <c r="P99" s="3863"/>
      <c r="R99" s="3861"/>
      <c r="S99" s="3862"/>
      <c r="T99" s="307"/>
      <c r="V99" s="3858"/>
      <c r="W99" s="1696"/>
      <c r="X99" s="3859"/>
      <c r="Y99"/>
      <c r="Z99" s="3861"/>
      <c r="AA99" s="3862"/>
      <c r="AB99" s="3831"/>
      <c r="AC99" s="307"/>
      <c r="AD99"/>
      <c r="AE99" s="3858"/>
      <c r="AF99" s="1696"/>
      <c r="AG99" s="3864"/>
      <c r="AH99"/>
      <c r="AI99" s="3858"/>
      <c r="AJ99" s="3083"/>
      <c r="AK99" s="3831"/>
      <c r="AL99" s="307"/>
      <c r="AM99"/>
      <c r="AN99" s="3858"/>
      <c r="AO99" s="1696"/>
      <c r="AP99" s="3864"/>
      <c r="AQ99"/>
      <c r="AS99" s="8753"/>
      <c r="AT99" s="8690"/>
      <c r="AU99" s="8731"/>
      <c r="AV99" s="8732"/>
      <c r="AW99" s="4655"/>
      <c r="AX99" s="8753"/>
      <c r="AY99" s="8754"/>
      <c r="AZ99" s="8755"/>
      <c r="BB99" s="8753"/>
      <c r="BC99" s="8756"/>
      <c r="BD99" s="8731"/>
      <c r="BE99" s="8732"/>
      <c r="BF99" s="4655"/>
      <c r="BG99" s="8753"/>
      <c r="BH99" s="1696"/>
      <c r="BI99" s="8757"/>
    </row>
    <row r="100" spans="1:61" x14ac:dyDescent="0.35">
      <c r="A100" s="310"/>
      <c r="B100" s="310"/>
      <c r="F100" s="106"/>
      <c r="H100" s="106"/>
      <c r="I100" s="106"/>
      <c r="J100" s="311"/>
      <c r="L100" s="106"/>
      <c r="M100" s="312"/>
      <c r="O100" s="106"/>
      <c r="P100" s="312"/>
      <c r="R100" s="106"/>
      <c r="S100" s="106"/>
      <c r="T100" s="312"/>
      <c r="V100" s="106"/>
      <c r="W100" s="106"/>
      <c r="X100" s="312"/>
      <c r="Z100" s="106"/>
      <c r="AA100" s="106"/>
      <c r="AB100" s="312"/>
      <c r="AC100" s="312"/>
      <c r="AE100" s="106"/>
      <c r="AF100" s="106"/>
      <c r="AG100" s="312"/>
      <c r="AI100" s="106"/>
      <c r="AJ100" s="106"/>
      <c r="AK100" s="312"/>
      <c r="AL100" s="312"/>
      <c r="AN100" s="106"/>
      <c r="AO100" s="106"/>
      <c r="AP100" s="312"/>
      <c r="AS100" s="3276"/>
      <c r="AT100" s="3276"/>
      <c r="AU100" s="5329"/>
      <c r="AV100" s="5329"/>
      <c r="AX100" s="3276"/>
      <c r="AY100" s="3276"/>
      <c r="AZ100" s="5329"/>
      <c r="BB100" s="3276"/>
      <c r="BC100" s="3276"/>
      <c r="BD100" s="5329"/>
      <c r="BE100" s="5329"/>
      <c r="BG100" s="3276"/>
      <c r="BH100" s="106"/>
      <c r="BI100" s="312"/>
    </row>
    <row r="101" spans="1:61" x14ac:dyDescent="0.35">
      <c r="A101" s="9167" t="s">
        <v>988</v>
      </c>
      <c r="B101" s="139" t="s">
        <v>989</v>
      </c>
      <c r="C101" s="348"/>
      <c r="D101" s="49"/>
      <c r="E101" s="141"/>
      <c r="F101" s="227"/>
      <c r="G101" s="2900"/>
      <c r="H101" s="102"/>
      <c r="I101" s="103"/>
      <c r="J101" s="228"/>
      <c r="K101" s="141"/>
      <c r="L101" s="102"/>
      <c r="M101" s="268"/>
      <c r="N101" s="2900"/>
      <c r="O101" s="102"/>
      <c r="P101" s="268"/>
      <c r="Q101" s="2900"/>
      <c r="R101" s="102"/>
      <c r="S101" s="103"/>
      <c r="T101" s="268"/>
      <c r="V101" s="102"/>
      <c r="W101" s="103"/>
      <c r="X101" s="268"/>
      <c r="Y101" s="141"/>
      <c r="Z101" s="102"/>
      <c r="AA101" s="103"/>
      <c r="AB101" s="2909"/>
      <c r="AC101" s="268"/>
      <c r="AD101" s="2900"/>
      <c r="AE101" s="102"/>
      <c r="AF101" s="103"/>
      <c r="AG101" s="268"/>
      <c r="AH101" s="141"/>
      <c r="AI101" s="102"/>
      <c r="AJ101" s="103"/>
      <c r="AK101" s="2909"/>
      <c r="AL101" s="268"/>
      <c r="AM101" s="2900"/>
      <c r="AN101" s="102"/>
      <c r="AO101" s="103"/>
      <c r="AP101" s="268"/>
      <c r="AQ101" s="141"/>
      <c r="AS101" s="3274"/>
      <c r="AT101" s="3275"/>
      <c r="AU101" s="6132"/>
      <c r="AV101" s="3281"/>
      <c r="AW101" s="8679"/>
      <c r="AX101" s="3274"/>
      <c r="AY101" s="3275"/>
      <c r="AZ101" s="3281"/>
      <c r="BB101" s="3274"/>
      <c r="BC101" s="3275"/>
      <c r="BD101" s="6132"/>
      <c r="BE101" s="3281"/>
      <c r="BF101" s="8679"/>
      <c r="BG101" s="3274"/>
      <c r="BH101" s="103"/>
      <c r="BI101" s="268"/>
    </row>
    <row r="102" spans="1:61" x14ac:dyDescent="0.35">
      <c r="A102" s="9168"/>
      <c r="B102" s="6082"/>
      <c r="C102"/>
      <c r="D102" s="110" t="s">
        <v>990</v>
      </c>
      <c r="F102" s="2953">
        <f>SUM(F37:F48)-SUM(F50:F52)</f>
        <v>130.10348258799999</v>
      </c>
      <c r="G102" s="2954"/>
      <c r="H102" s="2955">
        <f>SUM(H37:H48)-SUM(H50:H52)</f>
        <v>196.10326568800002</v>
      </c>
      <c r="I102" s="2957">
        <f>SUM(I37:I48)-SUM(I50:I52)</f>
        <v>187.70653525999998</v>
      </c>
      <c r="J102" s="3865"/>
      <c r="K102" s="2954"/>
      <c r="L102" s="2955">
        <f>SUM(L37:L48)-SUM(L50:L52)</f>
        <v>283.88631005799999</v>
      </c>
      <c r="M102" s="2956">
        <f>SUM(M37:M48)-SUM(M50:M52)</f>
        <v>270.55075466977365</v>
      </c>
      <c r="N102" s="2746"/>
      <c r="O102" s="2955">
        <f>SUM(O37:O48)-SUM(O50:O52)</f>
        <v>285.22351501999998</v>
      </c>
      <c r="P102" s="2956">
        <f>SUM(P37:P48)-SUM(P50:P52)</f>
        <v>270.7026305500068</v>
      </c>
      <c r="Q102" s="2746"/>
      <c r="R102" s="2955">
        <f>SUM(R37:R48)-SUM(R50:R52)</f>
        <v>258.5040116015</v>
      </c>
      <c r="S102" s="2957"/>
      <c r="T102" s="2956"/>
      <c r="V102" s="2955">
        <f>SUM(V37:V48)-SUM(V50:V52)</f>
        <v>255.19768552100004</v>
      </c>
      <c r="W102" s="2957"/>
      <c r="X102" s="2956"/>
      <c r="Z102" s="3866">
        <f>SUM(Z37:Z48)-SUM(Z50:Z52)</f>
        <v>253.51075162200002</v>
      </c>
      <c r="AA102" s="3867">
        <f>SUM(AA37:AA48)-SUM(AA50:AA52)</f>
        <v>215.69633517700001</v>
      </c>
      <c r="AB102" s="2957"/>
      <c r="AC102" s="2956"/>
      <c r="AD102" s="2746"/>
      <c r="AE102" s="3866">
        <f>SUM(AE37:AE48)-SUM(AE50:AE52)</f>
        <v>244.07547688900002</v>
      </c>
      <c r="AF102" s="2957"/>
      <c r="AG102" s="3868">
        <f>SUM(AG37:AG48)-SUM(AG50:AG52)</f>
        <v>209.18195424479129</v>
      </c>
      <c r="AI102" s="3866">
        <f>SUM(AI37:AI48)-SUM(AI50:AI52)</f>
        <v>244.07547688900002</v>
      </c>
      <c r="AJ102" s="3867">
        <f>SUM(AJ37:AJ48)-SUM(AJ50:AJ52)</f>
        <v>209.18195424479129</v>
      </c>
      <c r="AK102" s="2957"/>
      <c r="AL102" s="2956"/>
      <c r="AM102" s="2746"/>
      <c r="AN102" s="3866">
        <f>SUM(AN37:AN48)-SUM(AN50:AN52)</f>
        <v>254.39242571199998</v>
      </c>
      <c r="AO102" s="2957"/>
      <c r="AP102" s="3868">
        <f>SUM(AP37:AP48)-SUM(AP50:AP52)</f>
        <v>248.27138298956044</v>
      </c>
      <c r="AS102" s="8758">
        <f>SUM(AS37:AS49)-SUM(AS50:AS52)</f>
        <v>263.916</v>
      </c>
      <c r="AT102" s="8759">
        <f>SUM(AT37:AT49)-SUM(AT50:AT52)</f>
        <v>197.41300000000001</v>
      </c>
      <c r="AU102" s="8759"/>
      <c r="AV102" s="8760"/>
      <c r="AW102" s="8606"/>
      <c r="AX102" s="8758">
        <f>SUM(AX37:AX49)-SUM(AX50:AX52)</f>
        <v>280.05200000000002</v>
      </c>
      <c r="AY102" s="8759"/>
      <c r="AZ102" s="8760">
        <f>SUM(AZ37:AZ49)-SUM(AZ50:AZ52)</f>
        <v>252.51600000000002</v>
      </c>
      <c r="BB102" s="8758">
        <f>SUM(BB37:BB49)-SUM(BB50:BB52)</f>
        <v>275.76841272999997</v>
      </c>
      <c r="BC102" s="8759">
        <f>SUM(BC37:BC49)-SUM(BC50:BC52)</f>
        <v>260.76085448100002</v>
      </c>
      <c r="BD102" s="8759"/>
      <c r="BE102" s="8760"/>
      <c r="BF102" s="8606"/>
      <c r="BG102" s="8758">
        <f>SUM(BG37:BG49)-SUM(BG50:BG52)</f>
        <v>287.90309605299996</v>
      </c>
      <c r="BH102" s="2957"/>
      <c r="BI102" s="3868">
        <f>SUM(BI37:BI49)-SUM(BI50:BI52)</f>
        <v>264.61254502666668</v>
      </c>
    </row>
    <row r="103" spans="1:61" x14ac:dyDescent="0.35">
      <c r="A103" s="9168"/>
      <c r="B103" s="6082"/>
      <c r="C103"/>
      <c r="D103" s="110" t="s">
        <v>944</v>
      </c>
      <c r="F103" s="2953">
        <f>SUM(F55:F66)</f>
        <v>0.69184466999999994</v>
      </c>
      <c r="G103" s="2954"/>
      <c r="H103" s="2955">
        <f>SUM(H55:H66)</f>
        <v>1.3430789329999999</v>
      </c>
      <c r="I103" s="2957">
        <f>SUM(I55:I66)</f>
        <v>2.0583345040000003</v>
      </c>
      <c r="J103" s="3865"/>
      <c r="K103" s="2954"/>
      <c r="L103" s="2955">
        <f>SUM(L55:L66)</f>
        <v>2.3016134789999998</v>
      </c>
      <c r="M103" s="2956">
        <f>SUM(M55:M66)</f>
        <v>1.9424178400499277</v>
      </c>
      <c r="N103" s="2746"/>
      <c r="O103" s="2955">
        <f>SUM(O55:O66)</f>
        <v>2.4995749549999999</v>
      </c>
      <c r="P103" s="2956">
        <f>SUM(P55:P66)</f>
        <v>2.146252601529953</v>
      </c>
      <c r="Q103" s="2746"/>
      <c r="R103" s="2955">
        <f>SUM(R55:R66)</f>
        <v>2.4995749549999999</v>
      </c>
      <c r="S103" s="2957"/>
      <c r="T103" s="2956"/>
      <c r="V103" s="2955">
        <f>SUM(V55:V66)</f>
        <v>2.4995749549999999</v>
      </c>
      <c r="W103" s="2957"/>
      <c r="X103" s="2956"/>
      <c r="Z103" s="3866">
        <f>SUM(Z55:Z66)</f>
        <v>1.7835653440000001</v>
      </c>
      <c r="AA103" s="3867">
        <f>SUM(AA55:AA66)</f>
        <v>1.386671019</v>
      </c>
      <c r="AB103" s="2957"/>
      <c r="AC103" s="2956"/>
      <c r="AD103" s="2746"/>
      <c r="AE103" s="3866">
        <f>SUM(AE55:AE66)</f>
        <v>1.6188789320000001</v>
      </c>
      <c r="AF103" s="2957"/>
      <c r="AG103" s="3868">
        <f>SUM(AG55:AG66)</f>
        <v>1.2313599169427498</v>
      </c>
      <c r="AI103" s="3866">
        <f>SUM(AI55:AI66)</f>
        <v>1.6188789320000001</v>
      </c>
      <c r="AJ103" s="3867">
        <f>SUM(AJ55:AJ66)</f>
        <v>1.2313599169427498</v>
      </c>
      <c r="AK103" s="2957"/>
      <c r="AL103" s="2956"/>
      <c r="AM103" s="2746"/>
      <c r="AN103" s="3866">
        <f>SUM(AN55:AN66)</f>
        <v>1.6188789320000001</v>
      </c>
      <c r="AO103" s="2957"/>
      <c r="AP103" s="3868">
        <f>SUM(AP55:AP66)</f>
        <v>1.2313599169427498</v>
      </c>
      <c r="AS103" s="8758">
        <f>SUM(AS55:AS66)</f>
        <v>1.6188789320000001</v>
      </c>
      <c r="AT103" s="8759">
        <f>SUM(AT55:AT66)</f>
        <v>1.2313599169427498</v>
      </c>
      <c r="AU103" s="8759"/>
      <c r="AV103" s="8760"/>
      <c r="AW103" s="8606"/>
      <c r="AX103" s="8758">
        <f>SUM(AX55:AX66)</f>
        <v>1.6188789320000001</v>
      </c>
      <c r="AY103" s="8759"/>
      <c r="AZ103" s="8760">
        <f>SUM(AZ55:AZ66)</f>
        <v>1.6188789320000001</v>
      </c>
      <c r="BB103" s="8758">
        <f>SUM(BB55:BB66)</f>
        <v>1.6935294232573348</v>
      </c>
      <c r="BC103" s="8759">
        <f>SUM(BC55:BC66)</f>
        <v>1.3822964601474861</v>
      </c>
      <c r="BD103" s="8759"/>
      <c r="BE103" s="8760"/>
      <c r="BF103" s="8606"/>
      <c r="BG103" s="8758">
        <f>SUM(BG55:BG66)</f>
        <v>1.8707421445202612</v>
      </c>
      <c r="BH103" s="2957"/>
      <c r="BI103" s="3868">
        <f>SUM(BI55:BI66)</f>
        <v>1.4803887321706557</v>
      </c>
    </row>
    <row r="104" spans="1:61" x14ac:dyDescent="0.35">
      <c r="A104" s="9168"/>
      <c r="B104" s="6082"/>
      <c r="C104"/>
      <c r="D104" s="110" t="s">
        <v>991</v>
      </c>
      <c r="F104" s="2953">
        <f>SUM(F68:F75)*F30</f>
        <v>2.2580275530730365</v>
      </c>
      <c r="G104" s="2954"/>
      <c r="H104" s="2955">
        <f>SUM(H68:H75)*H30</f>
        <v>2.6512671715207587</v>
      </c>
      <c r="I104" s="2957">
        <f>SUM(I68:I75)*I30</f>
        <v>3.4828416944978335</v>
      </c>
      <c r="J104" s="3865"/>
      <c r="K104" s="2954"/>
      <c r="L104" s="2955">
        <f>SUM(L68:L75)*L30</f>
        <v>2.5542772937232119</v>
      </c>
      <c r="M104" s="2956">
        <f>SUM(M68:M75)*M30</f>
        <v>2.5542772937232119</v>
      </c>
      <c r="N104" s="2746"/>
      <c r="O104" s="2955">
        <f>SUM(O68:O75)*O30</f>
        <v>2.6686777850776</v>
      </c>
      <c r="P104" s="2956">
        <f>SUM(P68:P75)*P30</f>
        <v>2.6686777850776</v>
      </c>
      <c r="Q104" s="2746"/>
      <c r="R104" s="2955">
        <f>SUM(R68:R75)*R30</f>
        <v>2.6683866472570346</v>
      </c>
      <c r="S104" s="2957"/>
      <c r="T104" s="2956"/>
      <c r="V104" s="2955">
        <f>SUM(V68:V75)*V30</f>
        <v>2.9841272901983573</v>
      </c>
      <c r="W104" s="2957"/>
      <c r="X104" s="2956"/>
      <c r="Z104" s="3866">
        <f>SUM(Z68:Z75)*Z30</f>
        <v>2.9517765446801261</v>
      </c>
      <c r="AA104" s="3867">
        <f>SUM(AA68:AA75)*AA30</f>
        <v>0</v>
      </c>
      <c r="AB104" s="2957"/>
      <c r="AC104" s="2956"/>
      <c r="AD104" s="2746"/>
      <c r="AE104" s="3866">
        <f>SUM(AE68:AE75)*AE30</f>
        <v>3.0314732127357362</v>
      </c>
      <c r="AF104" s="2957"/>
      <c r="AG104" s="3868">
        <f>SUM(AG68:AG75)*AG30</f>
        <v>0</v>
      </c>
      <c r="AI104" s="3866">
        <f>SUM(AI68:AI75)*AI30</f>
        <v>2.8975810638459558</v>
      </c>
      <c r="AJ104" s="3867">
        <f>SUM(AJ68:AJ75)*AJ30</f>
        <v>3.0162660040633966</v>
      </c>
      <c r="AK104" s="2957"/>
      <c r="AL104" s="2956"/>
      <c r="AM104" s="2746"/>
      <c r="AN104" s="3866">
        <f>SUM(AN68:AN75)*AN30</f>
        <v>2.9821279092916289</v>
      </c>
      <c r="AO104" s="2957"/>
      <c r="AP104" s="3868">
        <f>SUM(AP68:AP75)*AP30</f>
        <v>3.1042758888774915</v>
      </c>
      <c r="AS104" s="8758">
        <f>SUM(AS69:AS75)*AS30</f>
        <v>0.97869719153308987</v>
      </c>
      <c r="AT104" s="8759">
        <f>SUM(AT69:AT75)*AT30</f>
        <v>0.89088711768233253</v>
      </c>
      <c r="AU104" s="8759"/>
      <c r="AV104" s="8760"/>
      <c r="AW104" s="8606"/>
      <c r="AX104" s="8758">
        <f>SUM(AX69:AX75)*AX30</f>
        <v>0.94914987194611566</v>
      </c>
      <c r="AY104" s="8759"/>
      <c r="AZ104" s="8760">
        <f>SUM(AZ69:AZ75)*AZ30</f>
        <v>0.96856051984996738</v>
      </c>
      <c r="BB104" s="8758">
        <f>SUM(BB68:BB75)*BB30</f>
        <v>5.6399447683932928</v>
      </c>
      <c r="BC104" s="8759">
        <f>SUM(BC68:BC75)*BC30</f>
        <v>5.1230360978496083</v>
      </c>
      <c r="BD104" s="8759"/>
      <c r="BE104" s="8760"/>
      <c r="BF104" s="8606"/>
      <c r="BG104" s="8758">
        <f>SUM(BG68:BG75)*BG30</f>
        <v>5.8594616159064783</v>
      </c>
      <c r="BH104" s="2957"/>
      <c r="BI104" s="3868">
        <f>SUM(BI68:BI75)*BI30</f>
        <v>5.8583052739856658</v>
      </c>
    </row>
    <row r="105" spans="1:61" x14ac:dyDescent="0.35">
      <c r="A105" s="9168"/>
      <c r="B105" s="6082"/>
      <c r="C105"/>
      <c r="D105" s="110" t="s">
        <v>979</v>
      </c>
      <c r="F105" s="2953">
        <f>F77</f>
        <v>0</v>
      </c>
      <c r="G105" s="2954"/>
      <c r="H105" s="2955">
        <f>H77</f>
        <v>0</v>
      </c>
      <c r="I105" s="2957">
        <f>I77</f>
        <v>0</v>
      </c>
      <c r="J105" s="3865"/>
      <c r="K105" s="2954"/>
      <c r="L105" s="2955">
        <f>L77</f>
        <v>0</v>
      </c>
      <c r="M105" s="2956">
        <f>M77</f>
        <v>0</v>
      </c>
      <c r="N105" s="2746"/>
      <c r="O105" s="2955">
        <f>O77</f>
        <v>0</v>
      </c>
      <c r="P105" s="2956">
        <f>P77</f>
        <v>0</v>
      </c>
      <c r="Q105" s="2746"/>
      <c r="R105" s="2955">
        <f>R77</f>
        <v>0</v>
      </c>
      <c r="S105" s="2957"/>
      <c r="T105" s="2956"/>
      <c r="V105" s="2955">
        <f>V77</f>
        <v>0</v>
      </c>
      <c r="W105" s="2957"/>
      <c r="X105" s="2956"/>
      <c r="Z105" s="3866">
        <f>SUM(Z77:Z79)</f>
        <v>0</v>
      </c>
      <c r="AA105" s="3867">
        <f>SUM(AA77:AA79)</f>
        <v>0</v>
      </c>
      <c r="AB105" s="2957"/>
      <c r="AC105" s="2956"/>
      <c r="AD105" s="2746"/>
      <c r="AE105" s="3866">
        <f>SUM(AE77:AE79)</f>
        <v>0</v>
      </c>
      <c r="AF105" s="2957"/>
      <c r="AG105" s="3868">
        <f>SUM(AG77:AG79)</f>
        <v>0</v>
      </c>
      <c r="AI105" s="3866">
        <f>SUM(AI77:AI79)</f>
        <v>0</v>
      </c>
      <c r="AJ105" s="3867">
        <f>SUM(AJ77:AJ79)</f>
        <v>0</v>
      </c>
      <c r="AK105" s="2957"/>
      <c r="AL105" s="2956"/>
      <c r="AM105" s="2746"/>
      <c r="AN105" s="3866">
        <f>SUM(AN77:AN79)</f>
        <v>0</v>
      </c>
      <c r="AO105" s="2957"/>
      <c r="AP105" s="3868">
        <f>SUM(AP77:AP79)</f>
        <v>0</v>
      </c>
      <c r="AS105" s="8758">
        <f>SUM(AS77:AS79)</f>
        <v>0</v>
      </c>
      <c r="AT105" s="8759">
        <f>SUM(AT77:AT79)</f>
        <v>0</v>
      </c>
      <c r="AU105" s="8759"/>
      <c r="AV105" s="8760"/>
      <c r="AW105" s="8606"/>
      <c r="AX105" s="8758">
        <f>SUM(AX77:AX79)</f>
        <v>0</v>
      </c>
      <c r="AY105" s="8759"/>
      <c r="AZ105" s="8760">
        <f>SUM(AZ77:AZ79)</f>
        <v>0</v>
      </c>
      <c r="BB105" s="8758">
        <f>SUM(BB77:BB79)</f>
        <v>0</v>
      </c>
      <c r="BC105" s="8759">
        <f>SUM(BC77:BC79)</f>
        <v>0</v>
      </c>
      <c r="BD105" s="8759"/>
      <c r="BE105" s="8760"/>
      <c r="BF105" s="8606"/>
      <c r="BG105" s="8758">
        <f>SUM(BG77:BG79)</f>
        <v>0</v>
      </c>
      <c r="BH105" s="2957"/>
      <c r="BI105" s="3868">
        <f>SUM(BI77:BI79)</f>
        <v>0</v>
      </c>
    </row>
    <row r="106" spans="1:61" x14ac:dyDescent="0.35">
      <c r="A106" s="9168"/>
      <c r="B106" s="6082"/>
      <c r="C106"/>
      <c r="D106" s="356" t="s">
        <v>992</v>
      </c>
      <c r="E106" s="143"/>
      <c r="F106" s="2958">
        <f>SUM(F102:F105)</f>
        <v>133.05335481107304</v>
      </c>
      <c r="G106" s="2959"/>
      <c r="H106" s="2960">
        <f>SUM(H102:H105)</f>
        <v>200.09761179252078</v>
      </c>
      <c r="I106" s="2962">
        <f>SUM(I102:I105)</f>
        <v>193.2477114584978</v>
      </c>
      <c r="J106" s="3869"/>
      <c r="K106" s="2959"/>
      <c r="L106" s="2960">
        <f>SUM(L102:L105)</f>
        <v>288.74220083072322</v>
      </c>
      <c r="M106" s="2961">
        <f>SUM(M102:M105)</f>
        <v>275.04744980354678</v>
      </c>
      <c r="N106" s="2776"/>
      <c r="O106" s="2960">
        <f>SUM(O102:O105)</f>
        <v>290.39176776007758</v>
      </c>
      <c r="P106" s="2961">
        <f>SUM(P102:P105)</f>
        <v>275.51756093661436</v>
      </c>
      <c r="Q106" s="2776"/>
      <c r="R106" s="2960">
        <f>SUM(R102:R105)</f>
        <v>263.67197320375703</v>
      </c>
      <c r="S106" s="2962"/>
      <c r="T106" s="2961"/>
      <c r="V106" s="2960">
        <f>SUM(V102:V105)</f>
        <v>260.68138776619838</v>
      </c>
      <c r="W106" s="2962"/>
      <c r="X106" s="2961"/>
      <c r="Y106" s="143"/>
      <c r="Z106" s="3870">
        <f>SUM(Z102:Z105)</f>
        <v>258.24609351068017</v>
      </c>
      <c r="AA106" s="3871">
        <f>SUM(AA102:AA105)</f>
        <v>217.08300619600001</v>
      </c>
      <c r="AB106" s="2962"/>
      <c r="AC106" s="2961"/>
      <c r="AD106" s="2776"/>
      <c r="AE106" s="3870">
        <f>SUM(AE102:AE105)</f>
        <v>248.72582903373575</v>
      </c>
      <c r="AF106" s="2962"/>
      <c r="AG106" s="3872">
        <f>SUM(AG102:AG105)</f>
        <v>210.41331416173404</v>
      </c>
      <c r="AH106" s="143"/>
      <c r="AI106" s="3870">
        <f>SUM(AI102:AI105)</f>
        <v>248.59193688484598</v>
      </c>
      <c r="AJ106" s="3871">
        <f>SUM(AJ102:AJ105)</f>
        <v>213.42958016579743</v>
      </c>
      <c r="AK106" s="2962"/>
      <c r="AL106" s="2961"/>
      <c r="AM106" s="2776"/>
      <c r="AN106" s="3870">
        <f>SUM(AN102:AN105)</f>
        <v>258.9934325532916</v>
      </c>
      <c r="AO106" s="2962"/>
      <c r="AP106" s="3872">
        <f>SUM(AP102:AP105)</f>
        <v>252.60701879538067</v>
      </c>
      <c r="AQ106" s="143"/>
      <c r="AS106" s="8761">
        <f>SUM(AS102:AS105)</f>
        <v>266.51357612353308</v>
      </c>
      <c r="AT106" s="8762">
        <f>SUM(AT102:AT105)</f>
        <v>199.53524703462509</v>
      </c>
      <c r="AU106" s="8762"/>
      <c r="AV106" s="8763"/>
      <c r="AW106" s="8649"/>
      <c r="AX106" s="8761">
        <f>SUM(AX102:AX105)</f>
        <v>282.62002880394613</v>
      </c>
      <c r="AY106" s="8762"/>
      <c r="AZ106" s="8763">
        <f>SUM(AZ102:AZ105)</f>
        <v>255.10343945184999</v>
      </c>
      <c r="BB106" s="8761">
        <f>SUM(BB102:BB105)</f>
        <v>283.10188692165065</v>
      </c>
      <c r="BC106" s="8762">
        <f>SUM(BC102:BC105)</f>
        <v>267.26618703899709</v>
      </c>
      <c r="BD106" s="8762"/>
      <c r="BE106" s="8763"/>
      <c r="BF106" s="8649"/>
      <c r="BG106" s="8761">
        <f>SUM(BG102:BG105)</f>
        <v>295.63329981342667</v>
      </c>
      <c r="BH106" s="2962"/>
      <c r="BI106" s="3872">
        <f>SUM(BI102:BI105)</f>
        <v>271.95123903282297</v>
      </c>
    </row>
    <row r="107" spans="1:61" ht="15.5" x14ac:dyDescent="0.35">
      <c r="A107" s="9168"/>
      <c r="B107" s="6082"/>
      <c r="C107"/>
      <c r="D107" s="365" t="s">
        <v>993</v>
      </c>
      <c r="F107" s="366">
        <f>F106/(F18+F19)</f>
        <v>0.19626454271753893</v>
      </c>
      <c r="G107" s="367"/>
      <c r="H107" s="368">
        <f>H106/(H18+H19)</f>
        <v>0.15589964595106648</v>
      </c>
      <c r="I107" s="369">
        <f>I106/(I18+I19)</f>
        <v>0.18764781715380399</v>
      </c>
      <c r="J107" s="370"/>
      <c r="K107" s="367"/>
      <c r="L107" s="368">
        <f>L106/(L18+L19)</f>
        <v>0.1845906297863634</v>
      </c>
      <c r="M107" s="370">
        <f>M106/(M18+M19)</f>
        <v>0.20801313645088465</v>
      </c>
      <c r="N107" s="1236"/>
      <c r="O107" s="368">
        <f>O106/(O18+O19)</f>
        <v>0.17590545889370116</v>
      </c>
      <c r="P107" s="370">
        <f>P106/(P18+P19)</f>
        <v>0.1840722886554656</v>
      </c>
      <c r="Q107" s="1236"/>
      <c r="R107" s="368">
        <f>R106/(R18+R19)</f>
        <v>0.16540491387225209</v>
      </c>
      <c r="S107" s="369"/>
      <c r="T107" s="370"/>
      <c r="U107" s="1236"/>
      <c r="V107" s="368">
        <f>V106/(V18+V19)</f>
        <v>0.16049833011094594</v>
      </c>
      <c r="W107" s="369"/>
      <c r="X107" s="370"/>
      <c r="Z107" s="3873">
        <f>Z106/SUM(Z18:Z21)</f>
        <v>0.15786081967264712</v>
      </c>
      <c r="AA107" s="3874">
        <f>AA106/SUM(AA18:AA21)</f>
        <v>0.17736843901594071</v>
      </c>
      <c r="AB107" s="369"/>
      <c r="AC107" s="370"/>
      <c r="AD107" s="1236"/>
      <c r="AE107" s="3873">
        <f>AE106/SUM(AE18:AE21)</f>
        <v>0.14743239917829096</v>
      </c>
      <c r="AF107" s="369"/>
      <c r="AG107" s="3875">
        <f>AG106/SUM(AG18:AG21)</f>
        <v>0.17530936659479274</v>
      </c>
      <c r="AI107" s="3873">
        <f>AI106/SUM(AI18:AI21)</f>
        <v>0.14735303451874335</v>
      </c>
      <c r="AJ107" s="3874">
        <f>AJ106/SUM(AJ18:AJ21)</f>
        <v>0.17782241898770032</v>
      </c>
      <c r="AK107" s="369"/>
      <c r="AL107" s="370"/>
      <c r="AM107" s="1236"/>
      <c r="AN107" s="3873">
        <f>AN106/SUM(AN18:AN21)</f>
        <v>0.15493884072021277</v>
      </c>
      <c r="AO107" s="369"/>
      <c r="AP107" s="3875">
        <f>AP106/SUM(AP18:AP21)</f>
        <v>0.21232823452862368</v>
      </c>
      <c r="AS107" s="8764">
        <f>AS106/SUM(AS18:AS21)</f>
        <v>0.15527836591596933</v>
      </c>
      <c r="AT107" s="8765">
        <f>AT106/SUM(AT18:AT21)</f>
        <v>0.14028956207481147</v>
      </c>
      <c r="AU107" s="8765"/>
      <c r="AV107" s="8766"/>
      <c r="AW107" s="8701"/>
      <c r="AX107" s="8764">
        <f>AX106/SUM(AX18:AX21)</f>
        <v>0.15461037162063851</v>
      </c>
      <c r="AY107" s="8765"/>
      <c r="AZ107" s="8766">
        <f>AZ106/SUM(AZ18:AZ21)</f>
        <v>0.16406104419610529</v>
      </c>
      <c r="BB107" s="8764">
        <f>BB106/SUM(BB18:BB21)</f>
        <v>0.15487397736352235</v>
      </c>
      <c r="BC107" s="8765">
        <f>BC106/SUM(BC18:BC21)</f>
        <v>0.17188309894271581</v>
      </c>
      <c r="BD107" s="8765"/>
      <c r="BE107" s="8766"/>
      <c r="BF107" s="8701"/>
      <c r="BG107" s="8764">
        <f>BG106/SUM(BG18:BG21)</f>
        <v>0.14384228750300529</v>
      </c>
      <c r="BH107" s="369"/>
      <c r="BI107" s="3875">
        <f>BI106/SUM(BI18:BI21)</f>
        <v>0.18451048847472679</v>
      </c>
    </row>
    <row r="108" spans="1:61" ht="15.5" x14ac:dyDescent="0.35">
      <c r="A108" s="9168"/>
      <c r="B108" s="1449"/>
      <c r="C108" s="1450"/>
      <c r="D108" s="1451" t="s">
        <v>994</v>
      </c>
      <c r="E108" s="374"/>
      <c r="F108" s="3876"/>
      <c r="G108" s="1742"/>
      <c r="H108" s="3877"/>
      <c r="I108" s="3878"/>
      <c r="J108" s="229"/>
      <c r="K108" s="392"/>
      <c r="L108" s="3879"/>
      <c r="M108" s="247"/>
      <c r="N108" s="1236"/>
      <c r="O108" s="3880"/>
      <c r="P108" s="379"/>
      <c r="Q108" s="1236"/>
      <c r="R108" s="3881">
        <f>R37+R40+R43+R46+SUM(R55:R66)+R104</f>
        <v>190.60716931575706</v>
      </c>
      <c r="S108" s="3882"/>
      <c r="T108" s="370"/>
      <c r="U108" s="1236"/>
      <c r="V108" s="3883"/>
      <c r="X108" s="3884"/>
      <c r="Z108" s="3885">
        <f>Z38+Z41+Z44+Z47+SUM(Z55:Z63)+Z104</f>
        <v>215.86651074968012</v>
      </c>
      <c r="AA108" s="3886">
        <f>AA38+AA41+AA44+AA47+SUM(AA55:AA63)+AA104</f>
        <v>207.456585663</v>
      </c>
      <c r="AB108" s="369"/>
      <c r="AC108" s="370"/>
      <c r="AD108" s="1236"/>
      <c r="AE108" s="3885">
        <f>AE38+AE41+AE44+AE47+SUM(AE55:AE63)+AE104</f>
        <v>209.94774196873573</v>
      </c>
      <c r="AG108" s="3887">
        <f>AG38+AG41+AG44+AG47+SUM(AG55:AG63)+AG104</f>
        <v>201.60457107502026</v>
      </c>
      <c r="AI108" s="3885">
        <f>AI38+AI41+AI44+AI47+SUM(AI55:AI63)+AI104</f>
        <v>209.81384981984596</v>
      </c>
      <c r="AJ108" s="3886">
        <f>AJ38+AJ41+AJ44+AJ47+SUM(AJ55:AJ63)+AJ104</f>
        <v>204.62083707908366</v>
      </c>
      <c r="AK108" s="369"/>
      <c r="AL108" s="370"/>
      <c r="AM108" s="1236"/>
      <c r="AN108" s="3885">
        <f>AN38+AN41+AN44+AN47+SUM(AN55:AN63)+AN104</f>
        <v>4.5850551902916292</v>
      </c>
      <c r="AP108" s="3887">
        <f>AP38+AP41+AP44+AP47+SUM(AP55:AP63)+AP104</f>
        <v>4.3356358058202416</v>
      </c>
      <c r="AS108" s="8767">
        <f>AS38+AS41+AS44+AS47+SUM(AS55:AS63)+AS104</f>
        <v>122.8026244725331</v>
      </c>
      <c r="AT108" s="8768">
        <f>AT38+AT41+AT44+AT47+SUM(AT55:AT63)+AT104</f>
        <v>101.90624703462507</v>
      </c>
      <c r="AU108" s="8765"/>
      <c r="AV108" s="8766"/>
      <c r="AW108" s="8701"/>
      <c r="AX108" s="8767">
        <f>AX38+AX41+AX44+AX47+SUM(AX55:AX63)+AX104</f>
        <v>121.30807715294613</v>
      </c>
      <c r="AZ108" s="8769">
        <f>AZ38+AZ41+AZ44+AZ47+SUM(AZ55:AZ63)+AZ104</f>
        <v>114.47448780084999</v>
      </c>
      <c r="BB108" s="8767">
        <f>BB38+BB41+BB44+BB47+SUM(BB55:BB63)+BB104</f>
        <v>229.26923764437012</v>
      </c>
      <c r="BC108" s="8768">
        <f>BC38+BC41+BC44+BC47+SUM(BC55:BC63)+BC104</f>
        <v>226.5761634089971</v>
      </c>
      <c r="BD108" s="8765"/>
      <c r="BE108" s="8766"/>
      <c r="BF108" s="8701"/>
      <c r="BG108" s="8767">
        <f>BG38+BG41+BG44+BG47+SUM(BG55:BG63)+BG104</f>
        <v>257.42349015809083</v>
      </c>
      <c r="BI108" s="3887">
        <f>BI38+BI41+BI44+BI47+SUM(BI55:BI63)+BI104</f>
        <v>253.79016509982301</v>
      </c>
    </row>
    <row r="109" spans="1:61" s="972" customFormat="1" ht="15.5" x14ac:dyDescent="0.35">
      <c r="A109" s="9168"/>
      <c r="B109" s="1463"/>
      <c r="C109" s="1464"/>
      <c r="D109" s="1465" t="s">
        <v>574</v>
      </c>
      <c r="E109" s="961"/>
      <c r="F109" s="1466"/>
      <c r="G109" s="1467"/>
      <c r="H109" s="1468"/>
      <c r="I109" s="1469"/>
      <c r="J109" s="1470"/>
      <c r="K109" s="1467"/>
      <c r="L109" s="1468"/>
      <c r="M109" s="247"/>
      <c r="N109" s="1467"/>
      <c r="O109" s="1468"/>
      <c r="P109" s="379"/>
      <c r="Q109" s="1472"/>
      <c r="R109" s="3888">
        <f>R38+R41+R44+R48</f>
        <v>73.064803888</v>
      </c>
      <c r="S109" s="3889"/>
      <c r="T109" s="370"/>
      <c r="U109" s="1236"/>
      <c r="V109" s="3890"/>
      <c r="X109" s="3884"/>
      <c r="Z109" s="3885">
        <f>Z39+Z42+Z45+Z48+Z65</f>
        <v>42.379582761000009</v>
      </c>
      <c r="AA109" s="3886">
        <f>AA39+AA42+AA45+AA48+AA65</f>
        <v>9.6264205329999992</v>
      </c>
      <c r="AB109" s="369"/>
      <c r="AC109" s="370"/>
      <c r="AD109" s="1236"/>
      <c r="AE109" s="3885">
        <f>AE39+AE42+AE45+AE48+AE65</f>
        <v>38.778087065000001</v>
      </c>
      <c r="AG109" s="3887">
        <f>AG39+AG42+AG45+AG48+AG65</f>
        <v>8.8087430867137666</v>
      </c>
      <c r="AI109" s="3885">
        <f>AI39+AI42+AI45+AI48+AI65</f>
        <v>38.778087065000001</v>
      </c>
      <c r="AJ109" s="3886">
        <f>AJ39+AJ42+AJ45+AJ48+AJ65</f>
        <v>8.8087430867137666</v>
      </c>
      <c r="AK109" s="369"/>
      <c r="AL109" s="370"/>
      <c r="AM109" s="1236"/>
      <c r="AN109" s="3885"/>
      <c r="AP109" s="3887"/>
      <c r="AR109" s="8770"/>
      <c r="AS109" s="8767"/>
      <c r="AT109" s="8768">
        <f>AT39+AT42+AT45+AT48+AT65</f>
        <v>57.283000000000001</v>
      </c>
      <c r="AU109" s="8765"/>
      <c r="AV109" s="8766"/>
      <c r="AW109" s="8701"/>
      <c r="AX109" s="8767"/>
      <c r="AY109" s="8770"/>
      <c r="AZ109" s="8769"/>
      <c r="BA109" s="8770"/>
      <c r="BB109" s="8767"/>
      <c r="BC109" s="8768">
        <f>BC39+BC42+BC45+BC48+BC65</f>
        <v>40.690023629999999</v>
      </c>
      <c r="BD109" s="8765"/>
      <c r="BE109" s="8766"/>
      <c r="BF109" s="8701"/>
      <c r="BG109" s="8767"/>
      <c r="BI109" s="3887"/>
    </row>
    <row r="110" spans="1:61" ht="15.5" x14ac:dyDescent="0.35">
      <c r="A110" s="9168"/>
      <c r="B110" s="1478"/>
      <c r="C110" s="1479"/>
      <c r="D110" s="1396" t="s">
        <v>995</v>
      </c>
      <c r="E110" s="392"/>
      <c r="F110" s="3876"/>
      <c r="G110" s="1742"/>
      <c r="H110" s="3877"/>
      <c r="I110" s="3878"/>
      <c r="J110" s="229"/>
      <c r="K110" s="392"/>
      <c r="L110" s="3879"/>
      <c r="M110" s="247"/>
      <c r="O110" s="8803"/>
      <c r="P110" s="247"/>
      <c r="R110" s="8803">
        <f>R109/R19</f>
        <v>7.132796787035682E-2</v>
      </c>
      <c r="S110" s="8804"/>
      <c r="T110" s="370"/>
      <c r="U110" s="1236"/>
      <c r="V110" s="8803"/>
      <c r="X110" s="8805"/>
      <c r="Z110" s="3891">
        <f>Z109/SUM(Z19:Z21)</f>
        <v>4.2281067872856258E-2</v>
      </c>
      <c r="AA110" s="3892">
        <f>AA109/SUM(AA19:AA21)</f>
        <v>1.4369507602400284E-2</v>
      </c>
      <c r="AB110" s="369"/>
      <c r="AC110" s="370"/>
      <c r="AD110" s="1236"/>
      <c r="AE110" s="3891">
        <f>AE109/SUM(AE19:AE21)</f>
        <v>3.6852191535361983E-2</v>
      </c>
      <c r="AG110" s="3893">
        <f>AG109/SUM(AG19:AG21)</f>
        <v>1.3503300559085394E-2</v>
      </c>
      <c r="AI110" s="3891">
        <f>AI109/SUM(AI19:AI21)</f>
        <v>3.6852191535361983E-2</v>
      </c>
      <c r="AJ110" s="3892">
        <f>AJ109/SUM(AJ19:AJ21)</f>
        <v>1.3503300559085394E-2</v>
      </c>
      <c r="AK110" s="369"/>
      <c r="AL110" s="370"/>
      <c r="AM110" s="1236"/>
      <c r="AN110" s="3891"/>
      <c r="AP110" s="3893"/>
      <c r="AS110" s="8771"/>
      <c r="AT110" s="8772">
        <f>AT109/SUM(AT19:AT21)</f>
        <v>6.6004885580623604E-2</v>
      </c>
      <c r="AU110" s="8765"/>
      <c r="AV110" s="8766"/>
      <c r="AW110" s="8701"/>
      <c r="AX110" s="8771"/>
      <c r="AZ110" s="8773"/>
      <c r="BB110" s="8771"/>
      <c r="BC110" s="8772">
        <f>BC109/SUM(BC19:BC21)</f>
        <v>4.329324654473491E-2</v>
      </c>
      <c r="BD110" s="8765"/>
      <c r="BE110" s="8766"/>
      <c r="BF110" s="8701"/>
      <c r="BG110" s="8771"/>
      <c r="BI110" s="3893"/>
    </row>
    <row r="111" spans="1:61" ht="15.5" x14ac:dyDescent="0.35">
      <c r="A111" s="9168"/>
      <c r="B111" s="1478"/>
      <c r="C111" s="1479"/>
      <c r="D111" s="1396" t="s">
        <v>996</v>
      </c>
      <c r="E111" s="392"/>
      <c r="F111" s="3876"/>
      <c r="G111" s="1742"/>
      <c r="H111" s="3877"/>
      <c r="I111" s="3878"/>
      <c r="J111" s="229"/>
      <c r="K111" s="392"/>
      <c r="L111" s="3879"/>
      <c r="M111" s="247"/>
      <c r="O111" s="8803"/>
      <c r="P111" s="247"/>
      <c r="R111" s="8803">
        <f>R108/R18</f>
        <v>0.33454527304213616</v>
      </c>
      <c r="S111" s="8804"/>
      <c r="T111" s="370"/>
      <c r="U111" s="1236"/>
      <c r="V111" s="8803"/>
      <c r="X111" s="8805"/>
      <c r="Z111" s="3891">
        <f>Z108/Z18</f>
        <v>0.34070916182594163</v>
      </c>
      <c r="AA111" s="3892">
        <f>AA108/AA18</f>
        <v>0.37447713074784744</v>
      </c>
      <c r="AB111" s="369"/>
      <c r="AC111" s="370"/>
      <c r="AD111" s="1236"/>
      <c r="AE111" s="3891">
        <f>AE108/AE18</f>
        <v>0.330735742479774</v>
      </c>
      <c r="AG111" s="3893">
        <f>AG108/AG18</f>
        <v>0.36795869880456339</v>
      </c>
      <c r="AI111" s="3891">
        <f>AI108/AI18</f>
        <v>0.33052481894775593</v>
      </c>
      <c r="AJ111" s="3892">
        <f>AJ108/AJ18</f>
        <v>0.37346383843599867</v>
      </c>
      <c r="AK111" s="369"/>
      <c r="AL111" s="370"/>
      <c r="AM111" s="1236"/>
      <c r="AN111" s="3891"/>
      <c r="AP111" s="3893"/>
      <c r="AS111" s="8771"/>
      <c r="AT111" s="8772">
        <f>AT108/AT18</f>
        <v>0.18379700069370558</v>
      </c>
      <c r="AU111" s="8765"/>
      <c r="AV111" s="8766"/>
      <c r="AW111" s="8701"/>
      <c r="AX111" s="8771"/>
      <c r="AZ111" s="8773"/>
      <c r="BB111" s="8771"/>
      <c r="BC111" s="8772">
        <f>BC108/BC18</f>
        <v>0.36838058629889298</v>
      </c>
      <c r="BD111" s="8765"/>
      <c r="BE111" s="8766"/>
      <c r="BF111" s="8701"/>
      <c r="BG111" s="8771"/>
      <c r="BI111" s="3893"/>
    </row>
    <row r="112" spans="1:61" ht="15.5" x14ac:dyDescent="0.35">
      <c r="A112" s="9168"/>
      <c r="B112" s="1478"/>
      <c r="C112" s="1479"/>
      <c r="D112" s="3894"/>
      <c r="E112" s="392"/>
      <c r="F112" s="3876"/>
      <c r="G112" s="1742"/>
      <c r="H112" s="3877"/>
      <c r="I112" s="3878"/>
      <c r="J112" s="229"/>
      <c r="K112" s="392"/>
      <c r="L112" s="3879"/>
      <c r="M112" s="247"/>
      <c r="O112" s="8803"/>
      <c r="P112" s="247"/>
      <c r="R112" s="8803"/>
      <c r="S112" s="8804"/>
      <c r="T112" s="370"/>
      <c r="U112" s="1236"/>
      <c r="V112" s="8803"/>
      <c r="X112" s="8805"/>
      <c r="Z112" s="3891"/>
      <c r="AA112" s="3892"/>
      <c r="AB112" s="369"/>
      <c r="AC112" s="370"/>
      <c r="AD112" s="1236"/>
      <c r="AE112" s="3891"/>
      <c r="AG112" s="3893"/>
      <c r="AI112" s="3891"/>
      <c r="AJ112" s="3892"/>
      <c r="AK112" s="369"/>
      <c r="AL112" s="370"/>
      <c r="AM112" s="1236"/>
      <c r="AN112" s="3891"/>
      <c r="AP112" s="3893"/>
      <c r="AS112" s="8771"/>
      <c r="AT112" s="8772"/>
      <c r="AU112" s="8765"/>
      <c r="AV112" s="8766"/>
      <c r="AW112" s="8701"/>
      <c r="AX112" s="8771"/>
      <c r="AZ112" s="8773"/>
      <c r="BB112" s="8771"/>
      <c r="BC112" s="8772"/>
      <c r="BD112" s="8765"/>
      <c r="BE112" s="8766"/>
      <c r="BF112" s="8701"/>
      <c r="BG112" s="8771"/>
      <c r="BI112" s="3893"/>
    </row>
    <row r="113" spans="1:61" ht="15.5" x14ac:dyDescent="0.35">
      <c r="A113" s="9168"/>
      <c r="B113" s="1478"/>
      <c r="C113" s="1479"/>
      <c r="D113" s="1451" t="s">
        <v>997</v>
      </c>
      <c r="E113" s="392"/>
      <c r="F113" s="3895"/>
      <c r="G113" s="376"/>
      <c r="H113" s="3896"/>
      <c r="I113" s="3897"/>
      <c r="J113" s="229"/>
      <c r="K113" s="376"/>
      <c r="L113" s="3880">
        <f>L106/L12</f>
        <v>0.28518029889749352</v>
      </c>
      <c r="M113" s="379">
        <f>M106/M12</f>
        <v>0.3036681753282327</v>
      </c>
      <c r="O113" s="8803">
        <f>O106/O12</f>
        <v>0.28939047671065871</v>
      </c>
      <c r="P113" s="8494">
        <f>P106/P12</f>
        <v>0.25918623619402864</v>
      </c>
      <c r="R113" s="8803">
        <f>R106/R12</f>
        <v>0.25718324005711601</v>
      </c>
      <c r="S113" s="8804"/>
      <c r="T113" s="370"/>
      <c r="U113" s="1236"/>
      <c r="V113" s="8803">
        <f>V106/V12</f>
        <v>0.25270598682209316</v>
      </c>
      <c r="X113" s="8805"/>
      <c r="Z113" s="3891">
        <f>Z106/Z12</f>
        <v>0.26183586319508478</v>
      </c>
      <c r="AA113" s="3892">
        <f>AA106/AA12</f>
        <v>0.26491952478674202</v>
      </c>
      <c r="AB113" s="369"/>
      <c r="AC113" s="370"/>
      <c r="AD113" s="1236"/>
      <c r="AE113" s="3891">
        <f>AE106/AE12</f>
        <v>0.24559449916932682</v>
      </c>
      <c r="AG113" s="3893">
        <f>AG106/AG12</f>
        <v>0.25330859095386082</v>
      </c>
      <c r="AI113" s="3891">
        <f>AI106/AI12</f>
        <v>0.24546229265351369</v>
      </c>
      <c r="AJ113" s="3892">
        <f>AJ106/AJ12</f>
        <v>0.25693975894565457</v>
      </c>
      <c r="AK113" s="369"/>
      <c r="AL113" s="370"/>
      <c r="AM113" s="1236"/>
      <c r="AN113" s="3891">
        <f>AN106/AN12</f>
        <v>0.250996388063638</v>
      </c>
      <c r="AP113" s="3893">
        <f>AP106/AP12</f>
        <v>0.29847165096943856</v>
      </c>
      <c r="AS113" s="8771">
        <f>AS106/AS12</f>
        <v>0.2450609413203497</v>
      </c>
      <c r="AT113" s="8772">
        <f>AT106/AT12</f>
        <v>0.18300109784438492</v>
      </c>
      <c r="AU113" s="8765"/>
      <c r="AV113" s="8766"/>
      <c r="AW113" s="8701"/>
      <c r="AX113" s="8771">
        <f>AX106/AX12</f>
        <v>0.24891451440796375</v>
      </c>
      <c r="AZ113" s="8773">
        <f>AZ106/AZ12</f>
        <v>0.22292626269452262</v>
      </c>
      <c r="BB113" s="8771">
        <f>BB106/BB12</f>
        <v>0.2493389057007166</v>
      </c>
      <c r="BC113" s="8772">
        <f>BC106/BC12</f>
        <v>0.23355487620724358</v>
      </c>
      <c r="BD113" s="8765"/>
      <c r="BE113" s="8766"/>
      <c r="BF113" s="8701"/>
      <c r="BG113" s="8771">
        <f>BG106/BG12</f>
        <v>0.27954810202302199</v>
      </c>
      <c r="BI113" s="3893">
        <f>BI106/BI12</f>
        <v>0.23169500434462545</v>
      </c>
    </row>
    <row r="114" spans="1:61" ht="15.5" x14ac:dyDescent="0.35">
      <c r="A114" s="9168"/>
      <c r="B114" s="1478"/>
      <c r="C114" s="1479"/>
      <c r="D114" s="3898" t="s">
        <v>998</v>
      </c>
      <c r="E114" s="392"/>
      <c r="F114" s="1511">
        <f>F106-SUM(F82:F87)</f>
        <v>120.80956255307304</v>
      </c>
      <c r="G114" s="2967"/>
      <c r="H114" s="1512">
        <f>H106-SUM(H82:H87)</f>
        <v>169.01357260952079</v>
      </c>
      <c r="I114" s="3899">
        <f>I106-SUM(I82:I87)</f>
        <v>178.9746232674978</v>
      </c>
      <c r="J114" s="229"/>
      <c r="K114" s="426"/>
      <c r="L114" s="3900">
        <f>L106-SUM(L82:L87)</f>
        <v>265.52568497472322</v>
      </c>
      <c r="M114" s="431">
        <f>M106-SUM(M82:M87)</f>
        <v>267.58898157986681</v>
      </c>
      <c r="O114" s="3879">
        <f>O106-SUM(O82:O87)</f>
        <v>230.32438389907759</v>
      </c>
      <c r="P114" s="247">
        <f>P106-SUM(P82:P87)</f>
        <v>244.10866290007795</v>
      </c>
      <c r="R114" s="8806"/>
      <c r="S114" s="8807"/>
      <c r="T114" s="370"/>
      <c r="U114" s="1236"/>
      <c r="V114" s="8806"/>
      <c r="X114" s="8808"/>
      <c r="Z114" s="3901">
        <f>Z106-SUM(Z82:Z88)</f>
        <v>241.05025866368015</v>
      </c>
      <c r="AA114" s="3902">
        <f>AA106-SUM(AA82:AA88)</f>
        <v>213.46580579300002</v>
      </c>
      <c r="AB114" s="3903"/>
      <c r="AC114" s="3904"/>
      <c r="AD114" s="8809"/>
      <c r="AE114" s="3901">
        <f>AE106-SUM(AE82:AE88)</f>
        <v>214.29404111573575</v>
      </c>
      <c r="AG114" s="3905">
        <f>AG106-SUM(AG82:AG88)</f>
        <v>205.9666541040811</v>
      </c>
      <c r="AI114" s="3901">
        <f>AI106-SUM(AI82:AI88)</f>
        <v>214.16014896684598</v>
      </c>
      <c r="AJ114" s="3902">
        <f>AJ106-SUM(AJ82:AJ88)</f>
        <v>208.9829201081445</v>
      </c>
      <c r="AK114" s="3903"/>
      <c r="AL114" s="3904"/>
      <c r="AM114" s="8809"/>
      <c r="AN114" s="3901"/>
      <c r="AP114" s="3905"/>
      <c r="AS114" s="8774"/>
      <c r="AT114" s="8775">
        <f>AT106-SUM(AT82:AT88)</f>
        <v>199.53524703462509</v>
      </c>
      <c r="AU114" s="8776"/>
      <c r="AV114" s="8777"/>
      <c r="AW114" s="8778"/>
      <c r="AX114" s="8774"/>
      <c r="AZ114" s="8779"/>
      <c r="BB114" s="8774"/>
      <c r="BC114" s="8775">
        <f>BC106-SUM(BC82:BC88)</f>
        <v>267.26618703899709</v>
      </c>
      <c r="BD114" s="8776"/>
      <c r="BE114" s="8777"/>
      <c r="BF114" s="8778"/>
      <c r="BG114" s="8774"/>
      <c r="BI114" s="3905"/>
    </row>
    <row r="115" spans="1:61" ht="15.5" x14ac:dyDescent="0.35">
      <c r="A115" s="9168"/>
      <c r="B115" s="1478"/>
      <c r="C115" s="1479"/>
      <c r="D115" s="1451" t="s">
        <v>999</v>
      </c>
      <c r="E115" s="392"/>
      <c r="F115" s="3906"/>
      <c r="G115" s="2972"/>
      <c r="H115" s="3907"/>
      <c r="I115" s="3908"/>
      <c r="J115" s="229"/>
      <c r="K115" s="2972"/>
      <c r="L115" s="3909">
        <f>L114/L12</f>
        <v>0.26225018022372887</v>
      </c>
      <c r="M115" s="379">
        <f>M114/M12</f>
        <v>0.29543359821127996</v>
      </c>
      <c r="O115" s="8803">
        <f>O114/O12</f>
        <v>0.22953020937464133</v>
      </c>
      <c r="P115" s="8494">
        <f>P114/P12</f>
        <v>0.22963910301885959</v>
      </c>
      <c r="R115" s="8803"/>
      <c r="S115" s="8804"/>
      <c r="T115" s="370"/>
      <c r="U115" s="1236"/>
      <c r="V115" s="8803"/>
      <c r="X115" s="8805"/>
      <c r="Z115" s="3891">
        <f>Z114/Z18</f>
        <v>0.38045749339259466</v>
      </c>
      <c r="AA115" s="3892">
        <f>AA114/AA18</f>
        <v>0.38532429428870557</v>
      </c>
      <c r="AB115" s="369"/>
      <c r="AC115" s="370"/>
      <c r="AD115" s="1236"/>
      <c r="AE115" s="3891">
        <f>AE114/AE18</f>
        <v>0.33758257237154926</v>
      </c>
      <c r="AG115" s="3893">
        <f>AG114/AG18</f>
        <v>0.37592015715291316</v>
      </c>
      <c r="AI115" s="3891">
        <f>AI114/AI18</f>
        <v>0.33737164883953119</v>
      </c>
      <c r="AJ115" s="3892">
        <f>AJ114/AJ18</f>
        <v>0.38142529678434844</v>
      </c>
      <c r="AK115" s="369"/>
      <c r="AL115" s="370"/>
      <c r="AM115" s="1236"/>
      <c r="AN115" s="3891"/>
      <c r="AP115" s="3893"/>
      <c r="AS115" s="8771"/>
      <c r="AT115" s="8772">
        <f>AT114/AT18</f>
        <v>0.35987960507642724</v>
      </c>
      <c r="AU115" s="8765"/>
      <c r="AV115" s="8766"/>
      <c r="AW115" s="8701"/>
      <c r="AX115" s="8771"/>
      <c r="AZ115" s="8773"/>
      <c r="BB115" s="8771"/>
      <c r="BC115" s="8772">
        <f>BC114/BC18</f>
        <v>0.43453677208564551</v>
      </c>
      <c r="BD115" s="8765"/>
      <c r="BE115" s="8766"/>
      <c r="BF115" s="8701"/>
      <c r="BG115" s="8771"/>
      <c r="BI115" s="3893"/>
    </row>
    <row r="116" spans="1:61" ht="15.5" x14ac:dyDescent="0.35">
      <c r="A116" s="9168"/>
      <c r="B116" s="1478"/>
      <c r="C116" s="1479"/>
      <c r="D116" s="3894"/>
      <c r="E116" s="392"/>
      <c r="F116" s="3876"/>
      <c r="G116" s="1742"/>
      <c r="H116" s="3877"/>
      <c r="I116" s="3878"/>
      <c r="J116" s="229"/>
      <c r="K116" s="392"/>
      <c r="L116" s="3879"/>
      <c r="M116" s="247"/>
      <c r="O116" s="8803"/>
      <c r="P116" s="247"/>
      <c r="R116" s="8803"/>
      <c r="S116" s="8804"/>
      <c r="T116" s="370"/>
      <c r="U116" s="1236"/>
      <c r="V116" s="8803"/>
      <c r="X116" s="8805"/>
      <c r="Z116" s="3891"/>
      <c r="AA116" s="3892"/>
      <c r="AB116" s="369"/>
      <c r="AC116" s="370"/>
      <c r="AD116" s="1236"/>
      <c r="AE116" s="3891"/>
      <c r="AG116" s="3893"/>
      <c r="AI116" s="3891"/>
      <c r="AJ116" s="3892"/>
      <c r="AK116" s="369"/>
      <c r="AL116" s="370"/>
      <c r="AM116" s="1236"/>
      <c r="AN116" s="3891"/>
      <c r="AP116" s="3893"/>
      <c r="AS116" s="8771"/>
      <c r="AT116" s="8772"/>
      <c r="AU116" s="8765"/>
      <c r="AV116" s="8766"/>
      <c r="AW116" s="8701"/>
      <c r="AX116" s="8771"/>
      <c r="AZ116" s="8773"/>
      <c r="BB116" s="8771"/>
      <c r="BC116" s="8772"/>
      <c r="BD116" s="8765"/>
      <c r="BE116" s="8766"/>
      <c r="BF116" s="8701"/>
      <c r="BG116" s="8771"/>
      <c r="BI116" s="3893"/>
    </row>
    <row r="117" spans="1:61" ht="15.5" x14ac:dyDescent="0.35">
      <c r="A117" s="9168"/>
      <c r="B117" s="1478"/>
      <c r="C117" s="1479"/>
      <c r="D117" s="3910" t="s">
        <v>1000</v>
      </c>
      <c r="E117" s="424"/>
      <c r="F117" s="3876"/>
      <c r="H117" s="3877"/>
      <c r="I117" s="3878"/>
      <c r="J117" s="229"/>
      <c r="K117" s="392"/>
      <c r="L117" s="3879"/>
      <c r="M117" s="247"/>
      <c r="O117" s="3911"/>
      <c r="P117" s="431"/>
      <c r="R117" s="3911"/>
      <c r="S117" s="3912"/>
      <c r="T117" s="370"/>
      <c r="U117" s="1236"/>
      <c r="V117" s="3911"/>
      <c r="X117" s="3913"/>
      <c r="Z117" s="3891">
        <f>Z91/Z108</f>
        <v>0.53422521024915803</v>
      </c>
      <c r="AA117" s="3892">
        <f>AA91/AA108</f>
        <v>0.52555033081046876</v>
      </c>
      <c r="AB117" s="369"/>
      <c r="AC117" s="370"/>
      <c r="AD117" s="1236"/>
      <c r="AE117" s="3891">
        <f>AE91/AE108</f>
        <v>0.51683623547215152</v>
      </c>
      <c r="AG117" s="3893">
        <f>AG91/AG108</f>
        <v>0.50885691091689522</v>
      </c>
      <c r="AI117" s="3891">
        <f>AI91/AI108</f>
        <v>0.51716605313791031</v>
      </c>
      <c r="AJ117" s="3892">
        <f>AJ91/AJ108</f>
        <v>0.50135597492601103</v>
      </c>
      <c r="AK117" s="369"/>
      <c r="AL117" s="370"/>
      <c r="AM117" s="1236"/>
      <c r="AN117" s="3891"/>
      <c r="AP117" s="3893"/>
      <c r="AS117" s="8771"/>
      <c r="AT117" s="8772">
        <f>AT91/AT108</f>
        <v>0</v>
      </c>
      <c r="AU117" s="8765"/>
      <c r="AV117" s="8766"/>
      <c r="AW117" s="8701"/>
      <c r="AX117" s="8771"/>
      <c r="AZ117" s="8773"/>
      <c r="BB117" s="8771">
        <f>BB91/BB108</f>
        <v>0.45016512867762998</v>
      </c>
      <c r="BC117" s="8772">
        <f>BC91/BC108</f>
        <v>0.4740361712018249</v>
      </c>
      <c r="BD117" s="8765"/>
      <c r="BE117" s="8766"/>
      <c r="BF117" s="8701"/>
      <c r="BG117" s="8771">
        <f>BG91/BG108</f>
        <v>0.50334803751757573</v>
      </c>
      <c r="BI117" s="3893">
        <f>BI91/BI108</f>
        <v>0.50983721926776204</v>
      </c>
    </row>
    <row r="118" spans="1:61" ht="15.5" x14ac:dyDescent="0.35">
      <c r="A118" s="9169"/>
      <c r="B118" s="1518"/>
      <c r="C118" s="1519"/>
      <c r="D118" s="3914" t="s">
        <v>1001</v>
      </c>
      <c r="E118" s="274"/>
      <c r="F118" s="3915"/>
      <c r="H118" s="3916"/>
      <c r="I118" s="3917"/>
      <c r="J118" s="3864"/>
      <c r="K118" s="392"/>
      <c r="L118" s="3918"/>
      <c r="M118" s="3717"/>
      <c r="N118" s="1236"/>
      <c r="O118" s="3919"/>
      <c r="P118" s="440"/>
      <c r="Q118" s="1236"/>
      <c r="R118" s="3919"/>
      <c r="S118" s="3920"/>
      <c r="T118" s="3921"/>
      <c r="U118" s="1236"/>
      <c r="V118" s="3919"/>
      <c r="W118" s="627"/>
      <c r="X118" s="3922"/>
      <c r="Z118" s="3923">
        <f>SUM(Z91:Z99)/Z106</f>
        <v>0.54378926170742736</v>
      </c>
      <c r="AA118" s="3924">
        <f>SUM(AA91:AA99)/AA106</f>
        <v>0.53097653119806443</v>
      </c>
      <c r="AB118" s="3925"/>
      <c r="AC118" s="3921"/>
      <c r="AD118" s="1236"/>
      <c r="AE118" s="3923">
        <f>SUM(AE91:AE99)/AE106</f>
        <v>0.53552018270259272</v>
      </c>
      <c r="AF118" s="627"/>
      <c r="AG118" s="3926">
        <f>SUM(AG91:AG99)/AG106</f>
        <v>0.51669927348153533</v>
      </c>
      <c r="AI118" s="3923">
        <f>SUM(AI91:AI99)/AI106</f>
        <v>0.53580861501835653</v>
      </c>
      <c r="AJ118" s="3924">
        <f>SUM(AJ91:AJ99)/AJ106</f>
        <v>0.50939708766588632</v>
      </c>
      <c r="AK118" s="3925"/>
      <c r="AL118" s="3921"/>
      <c r="AM118" s="1236"/>
      <c r="AN118" s="3923">
        <f>SUM(AN90:AN99)/AN106</f>
        <v>0.50029242339702429</v>
      </c>
      <c r="AO118" s="627"/>
      <c r="AP118" s="3926"/>
      <c r="AS118" s="8780">
        <f>SUM(AS90:AS99)/AS106</f>
        <v>0.19650781307937867</v>
      </c>
      <c r="AT118" s="8781">
        <f>SUM(AT91:AT99)/AT106</f>
        <v>0</v>
      </c>
      <c r="AU118" s="8782"/>
      <c r="AV118" s="8783"/>
      <c r="AW118" s="8701"/>
      <c r="AX118" s="8780">
        <f>SUM(AX90:AX99)/AX106</f>
        <v>0.18802630593765626</v>
      </c>
      <c r="AY118" s="8664"/>
      <c r="AZ118" s="8784"/>
      <c r="BB118" s="8780">
        <f>SUM(BB91:BB99)/BB106</f>
        <v>0.44546331442114961</v>
      </c>
      <c r="BC118" s="8781">
        <f>SUM(BC91:BC99)/BC106</f>
        <v>0.44560756923317529</v>
      </c>
      <c r="BD118" s="8782"/>
      <c r="BE118" s="8783"/>
      <c r="BF118" s="8701"/>
      <c r="BG118" s="8780">
        <f>SUM(BG91:BG99)/BG106</f>
        <v>0.47355590363924799</v>
      </c>
      <c r="BH118" s="627"/>
      <c r="BI118" s="3926">
        <f>SUM(BI91:BI99)/BI106</f>
        <v>0.49260523662662153</v>
      </c>
    </row>
    <row r="119" spans="1:61" s="449" customFormat="1" ht="15.5" x14ac:dyDescent="0.35">
      <c r="C119" s="450"/>
      <c r="D119" s="450"/>
      <c r="E119" s="450"/>
      <c r="F119" s="451"/>
      <c r="G119" s="450"/>
      <c r="H119" s="451"/>
      <c r="I119" s="451"/>
      <c r="J119" s="452"/>
      <c r="K119" s="450"/>
      <c r="L119" s="451"/>
      <c r="M119" s="451"/>
      <c r="N119" s="453"/>
      <c r="O119" s="451"/>
      <c r="P119" s="451"/>
      <c r="Q119" s="454"/>
      <c r="R119" s="1536"/>
      <c r="S119" s="1536"/>
      <c r="T119" s="369"/>
      <c r="U119" s="1236"/>
      <c r="V119" s="1536"/>
      <c r="Z119" s="1536"/>
      <c r="AA119" s="1536"/>
      <c r="AB119" s="369"/>
      <c r="AC119" s="369"/>
      <c r="AD119" s="1236"/>
      <c r="AE119" s="1536"/>
      <c r="AI119" s="1536"/>
      <c r="AJ119" s="1536"/>
      <c r="AK119" s="369"/>
      <c r="AL119" s="369"/>
      <c r="AM119" s="1236"/>
      <c r="AN119" s="1536"/>
      <c r="AR119" s="8785"/>
      <c r="AS119" s="1536"/>
      <c r="AT119" s="1536"/>
      <c r="AU119" s="8765"/>
      <c r="AV119" s="8765"/>
      <c r="AW119" s="8701"/>
      <c r="AX119" s="1536"/>
      <c r="AY119" s="8785"/>
      <c r="AZ119" s="8785"/>
      <c r="BA119" s="8785"/>
      <c r="BB119" s="1536"/>
      <c r="BC119" s="1536"/>
      <c r="BD119" s="8765"/>
      <c r="BE119" s="8765"/>
      <c r="BF119" s="8701"/>
      <c r="BG119" s="1536"/>
    </row>
    <row r="120" spans="1:61" s="462" customFormat="1" ht="15.25" customHeight="1" x14ac:dyDescent="0.35">
      <c r="A120" s="455" t="s">
        <v>582</v>
      </c>
      <c r="B120" s="455"/>
      <c r="C120" s="456"/>
      <c r="D120" s="456"/>
      <c r="E120" s="457"/>
      <c r="F120" s="458"/>
      <c r="G120" s="456"/>
      <c r="H120" s="458"/>
      <c r="I120" s="458"/>
      <c r="J120" s="459"/>
      <c r="K120" s="456"/>
      <c r="L120" s="458"/>
      <c r="M120" s="458"/>
      <c r="N120" s="460"/>
      <c r="O120" s="458"/>
      <c r="P120" s="458"/>
      <c r="Q120" s="461"/>
      <c r="R120" s="461"/>
      <c r="S120" s="461"/>
      <c r="T120" s="369"/>
      <c r="U120" s="1236"/>
      <c r="V120" s="461"/>
      <c r="W120"/>
      <c r="Z120" s="461"/>
      <c r="AA120" s="461"/>
      <c r="AB120" s="369"/>
      <c r="AC120" s="369"/>
      <c r="AD120" s="1236"/>
      <c r="AE120" s="461"/>
      <c r="AF120"/>
      <c r="AI120" s="461"/>
      <c r="AJ120" s="461"/>
      <c r="AK120" s="369"/>
      <c r="AL120" s="369"/>
      <c r="AM120" s="1236"/>
      <c r="AN120" s="461"/>
      <c r="AO120"/>
      <c r="AR120" s="4743"/>
      <c r="AS120" s="461"/>
      <c r="AT120" s="461"/>
      <c r="AU120" s="8765"/>
      <c r="AV120" s="8765"/>
      <c r="AW120" s="8701"/>
      <c r="AX120" s="461"/>
      <c r="AY120" s="4655"/>
      <c r="AZ120" s="4743"/>
      <c r="BA120" s="4743"/>
      <c r="BB120" s="461"/>
      <c r="BC120" s="461"/>
      <c r="BD120" s="8765"/>
      <c r="BE120" s="8765"/>
      <c r="BF120" s="8701"/>
      <c r="BG120" s="461"/>
      <c r="BH120"/>
    </row>
    <row r="121" spans="1:61" s="462" customFormat="1" ht="12" customHeight="1" x14ac:dyDescent="0.35">
      <c r="A121" s="463">
        <v>1</v>
      </c>
      <c r="B121" s="464"/>
      <c r="D121" s="465"/>
      <c r="E121" s="466"/>
      <c r="F121" s="2976"/>
      <c r="G121" s="2976"/>
      <c r="H121" s="2976"/>
      <c r="I121" s="2976"/>
      <c r="J121" s="467"/>
      <c r="K121" s="466"/>
      <c r="L121" s="2976"/>
      <c r="M121" s="2976"/>
      <c r="N121" s="2974"/>
      <c r="O121" s="2976"/>
      <c r="P121" s="2976"/>
      <c r="Q121" s="2974"/>
      <c r="R121" s="2976"/>
      <c r="S121" s="2976"/>
      <c r="T121" s="369"/>
      <c r="U121" s="1236"/>
      <c r="V121" s="2976"/>
      <c r="W121" s="2976"/>
      <c r="X121" s="2976"/>
      <c r="Y121" s="456"/>
      <c r="Z121" s="2976"/>
      <c r="AA121" s="2976"/>
      <c r="AB121" s="369"/>
      <c r="AC121" s="369"/>
      <c r="AD121" s="1236"/>
      <c r="AE121" s="2976"/>
      <c r="AF121" s="2976"/>
      <c r="AG121" s="2976"/>
      <c r="AH121" s="456"/>
      <c r="AI121" s="2976"/>
      <c r="AJ121" s="2976"/>
      <c r="AK121" s="369"/>
      <c r="AL121" s="369"/>
      <c r="AM121" s="1236"/>
      <c r="AN121" s="2976"/>
      <c r="AO121" s="2976"/>
      <c r="AP121" s="2976"/>
      <c r="AQ121" s="456"/>
      <c r="AR121" s="4743"/>
      <c r="AS121" s="8786"/>
      <c r="AT121" s="8786"/>
      <c r="AU121" s="8765"/>
      <c r="AV121" s="8765"/>
      <c r="AW121" s="8701"/>
      <c r="AX121" s="8786"/>
      <c r="AY121" s="8786"/>
      <c r="AZ121" s="8786"/>
      <c r="BA121" s="4743"/>
      <c r="BB121" s="8786"/>
      <c r="BC121" s="8786"/>
      <c r="BD121" s="8765"/>
      <c r="BE121" s="8765"/>
      <c r="BF121" s="8701"/>
      <c r="BG121" s="8786"/>
      <c r="BH121" s="2976"/>
      <c r="BI121" s="2976"/>
    </row>
    <row r="122" spans="1:61" s="462" customFormat="1" ht="15.5" x14ac:dyDescent="0.35">
      <c r="A122" s="463">
        <v>2</v>
      </c>
      <c r="B122" s="464"/>
      <c r="D122" s="5"/>
      <c r="E122" s="456"/>
      <c r="F122" s="2974"/>
      <c r="G122" s="2974"/>
      <c r="H122" s="3927"/>
      <c r="I122" s="3927"/>
      <c r="J122" s="7"/>
      <c r="K122" s="456"/>
      <c r="L122" s="892"/>
      <c r="M122" s="892"/>
      <c r="N122" s="2974"/>
      <c r="O122" s="892"/>
      <c r="P122" s="892"/>
      <c r="Q122" s="2974"/>
      <c r="R122" s="892"/>
      <c r="S122" s="892"/>
      <c r="T122" s="369"/>
      <c r="U122" s="1236"/>
      <c r="V122" s="892"/>
      <c r="W122" s="892"/>
      <c r="X122" s="892"/>
      <c r="Y122" s="456"/>
      <c r="Z122" s="892"/>
      <c r="AA122" s="892"/>
      <c r="AB122" s="369"/>
      <c r="AC122" s="369"/>
      <c r="AD122" s="1236"/>
      <c r="AE122" s="892"/>
      <c r="AF122" s="892"/>
      <c r="AG122" s="892"/>
      <c r="AH122" s="456"/>
      <c r="AI122" s="892"/>
      <c r="AJ122" s="892"/>
      <c r="AK122" s="369"/>
      <c r="AL122" s="369"/>
      <c r="AM122" s="1236"/>
      <c r="AN122" s="892"/>
      <c r="AO122" s="892"/>
      <c r="AP122" s="892"/>
      <c r="AQ122" s="456"/>
      <c r="AR122" s="4743"/>
      <c r="AS122" s="4742"/>
      <c r="AT122" s="4742"/>
      <c r="AU122" s="8765"/>
      <c r="AV122" s="8765"/>
      <c r="AW122" s="8701"/>
      <c r="AX122" s="4742"/>
      <c r="AY122" s="4742"/>
      <c r="AZ122" s="4742"/>
      <c r="BA122" s="4743"/>
      <c r="BB122" s="4742"/>
      <c r="BC122" s="4742"/>
      <c r="BD122" s="8765"/>
      <c r="BE122" s="8765"/>
      <c r="BF122" s="8701"/>
      <c r="BG122" s="4742"/>
      <c r="BH122" s="892"/>
      <c r="BI122" s="892"/>
    </row>
    <row r="123" spans="1:61" s="462" customFormat="1" ht="12" x14ac:dyDescent="0.3">
      <c r="A123" s="463">
        <v>3</v>
      </c>
      <c r="B123" s="464"/>
      <c r="D123" s="5"/>
      <c r="E123" s="456"/>
      <c r="F123" s="2974"/>
      <c r="G123" s="2974"/>
      <c r="H123" s="3927"/>
      <c r="I123" s="3927"/>
      <c r="J123" s="7"/>
      <c r="K123" s="456"/>
      <c r="L123" s="892"/>
      <c r="M123" s="892"/>
      <c r="N123" s="2974"/>
      <c r="O123" s="892"/>
      <c r="P123" s="892"/>
      <c r="Q123" s="2974"/>
      <c r="R123" s="892"/>
      <c r="S123" s="892"/>
      <c r="T123" s="892"/>
      <c r="U123" s="2974"/>
      <c r="V123" s="892"/>
      <c r="W123" s="892"/>
      <c r="X123" s="892"/>
      <c r="Y123" s="456"/>
      <c r="Z123" s="892"/>
      <c r="AA123" s="892"/>
      <c r="AB123" s="892"/>
      <c r="AC123" s="892"/>
      <c r="AD123" s="2974"/>
      <c r="AE123" s="892"/>
      <c r="AF123" s="892"/>
      <c r="AG123" s="892"/>
      <c r="AH123" s="456"/>
      <c r="AI123" s="892"/>
      <c r="AJ123" s="892"/>
      <c r="AK123" s="892"/>
      <c r="AL123" s="892"/>
      <c r="AM123" s="2974"/>
      <c r="AN123" s="892"/>
      <c r="AO123" s="892"/>
      <c r="AP123" s="892"/>
      <c r="AQ123" s="456"/>
      <c r="AR123" s="4743"/>
      <c r="AS123" s="4742"/>
      <c r="AT123" s="4742"/>
      <c r="AU123" s="4742"/>
      <c r="AV123" s="4742"/>
      <c r="AW123" s="8787"/>
      <c r="AX123" s="4742"/>
      <c r="AY123" s="4742"/>
      <c r="AZ123" s="4742"/>
      <c r="BA123" s="4743"/>
      <c r="BB123" s="4742"/>
      <c r="BC123" s="4742"/>
      <c r="BD123" s="4742"/>
      <c r="BE123" s="4742"/>
      <c r="BF123" s="8787"/>
      <c r="BG123" s="4742"/>
      <c r="BH123" s="892"/>
      <c r="BI123" s="892"/>
    </row>
    <row r="124" spans="1:61" s="462" customFormat="1" ht="12" x14ac:dyDescent="0.3">
      <c r="A124" s="463"/>
      <c r="B124" s="464"/>
      <c r="D124" s="5"/>
      <c r="E124" s="456"/>
      <c r="F124" s="2974"/>
      <c r="G124" s="2974"/>
      <c r="H124" s="3927"/>
      <c r="I124" s="3927"/>
      <c r="J124" s="7"/>
      <c r="K124" s="456"/>
      <c r="L124" s="892"/>
      <c r="M124" s="892"/>
      <c r="N124" s="2974"/>
      <c r="O124" s="892"/>
      <c r="P124" s="892"/>
      <c r="Q124" s="2974"/>
      <c r="R124" s="892"/>
      <c r="S124" s="892"/>
      <c r="T124" s="892"/>
      <c r="U124" s="2974"/>
      <c r="V124" s="892"/>
      <c r="W124" s="892"/>
      <c r="X124" s="892"/>
      <c r="Y124" s="456"/>
      <c r="Z124" s="892"/>
      <c r="AA124" s="892"/>
      <c r="AB124" s="892"/>
      <c r="AC124" s="892"/>
      <c r="AD124" s="2974"/>
      <c r="AE124" s="892"/>
      <c r="AF124" s="892"/>
      <c r="AG124" s="892"/>
      <c r="AH124" s="456"/>
      <c r="AI124" s="892"/>
      <c r="AJ124" s="892"/>
      <c r="AK124" s="892"/>
      <c r="AL124" s="892"/>
      <c r="AM124" s="2974"/>
      <c r="AN124" s="892"/>
      <c r="AO124" s="892"/>
      <c r="AP124" s="892"/>
      <c r="AQ124" s="456"/>
      <c r="AR124" s="4743"/>
      <c r="AS124" s="4742"/>
      <c r="AT124" s="4742"/>
      <c r="AU124" s="4742"/>
      <c r="AV124" s="4742"/>
      <c r="AW124" s="8787"/>
      <c r="AX124" s="4742"/>
      <c r="AY124" s="4742"/>
      <c r="AZ124" s="4742"/>
      <c r="BA124" s="4743"/>
      <c r="BB124" s="4742"/>
      <c r="BC124" s="4742"/>
      <c r="BD124" s="4742"/>
      <c r="BE124" s="4742"/>
      <c r="BF124" s="8787"/>
      <c r="BG124" s="4742"/>
      <c r="BH124" s="892"/>
      <c r="BI124" s="892"/>
    </row>
    <row r="125" spans="1:61" s="462" customFormat="1" ht="12" x14ac:dyDescent="0.3">
      <c r="A125" s="463"/>
      <c r="B125" s="464"/>
      <c r="D125" s="5"/>
      <c r="E125" s="456"/>
      <c r="F125" s="2974"/>
      <c r="G125" s="2974"/>
      <c r="H125" s="3927"/>
      <c r="I125" s="3927"/>
      <c r="J125" s="7"/>
      <c r="K125" s="456"/>
      <c r="L125" s="892"/>
      <c r="M125" s="892"/>
      <c r="N125" s="2974"/>
      <c r="O125" s="892"/>
      <c r="P125" s="892"/>
      <c r="Q125" s="2974"/>
      <c r="R125" s="892"/>
      <c r="S125" s="892"/>
      <c r="T125" s="892"/>
      <c r="U125" s="2974"/>
      <c r="V125" s="892"/>
      <c r="W125" s="892"/>
      <c r="X125" s="892"/>
      <c r="Y125" s="456"/>
      <c r="Z125" s="892"/>
      <c r="AA125" s="892"/>
      <c r="AB125" s="892"/>
      <c r="AC125" s="892"/>
      <c r="AD125" s="2974"/>
      <c r="AE125" s="892"/>
      <c r="AF125" s="892"/>
      <c r="AG125" s="892"/>
      <c r="AH125" s="456"/>
      <c r="AI125" s="892"/>
      <c r="AJ125" s="892"/>
      <c r="AK125" s="892"/>
      <c r="AL125" s="892"/>
      <c r="AM125" s="2974"/>
      <c r="AN125" s="892"/>
      <c r="AO125" s="892"/>
      <c r="AP125" s="892"/>
      <c r="AQ125" s="456"/>
      <c r="AR125" s="4743"/>
      <c r="AS125" s="4742"/>
      <c r="AT125" s="4742"/>
      <c r="AU125" s="4742"/>
      <c r="AV125" s="4742"/>
      <c r="AW125" s="8787"/>
      <c r="AX125" s="4742"/>
      <c r="AY125" s="4742"/>
      <c r="AZ125" s="4742"/>
      <c r="BA125" s="4743"/>
      <c r="BB125" s="4742"/>
      <c r="BC125" s="4742"/>
      <c r="BD125" s="4742"/>
      <c r="BE125" s="4742"/>
      <c r="BF125" s="8787"/>
      <c r="BG125" s="4742"/>
      <c r="BH125" s="892"/>
      <c r="BI125" s="892"/>
    </row>
    <row r="126" spans="1:61" s="462" customFormat="1" ht="12" x14ac:dyDescent="0.3">
      <c r="A126" s="468"/>
      <c r="B126" s="469"/>
      <c r="D126" s="5"/>
      <c r="E126" s="456"/>
      <c r="F126" s="2974"/>
      <c r="G126" s="2974"/>
      <c r="H126" s="3927"/>
      <c r="I126" s="3927"/>
      <c r="J126" s="7"/>
      <c r="K126" s="456"/>
      <c r="L126" s="892"/>
      <c r="M126" s="892"/>
      <c r="N126" s="2974"/>
      <c r="O126" s="892"/>
      <c r="P126" s="892"/>
      <c r="Q126" s="2974"/>
      <c r="R126" s="892"/>
      <c r="S126" s="892"/>
      <c r="T126" s="892"/>
      <c r="U126" s="2974"/>
      <c r="V126" s="892"/>
      <c r="W126" s="892"/>
      <c r="X126" s="892"/>
      <c r="Y126" s="456"/>
      <c r="Z126" s="892"/>
      <c r="AA126" s="892"/>
      <c r="AB126" s="892"/>
      <c r="AC126" s="892"/>
      <c r="AD126" s="2974"/>
      <c r="AE126" s="892"/>
      <c r="AF126" s="892"/>
      <c r="AG126" s="892"/>
      <c r="AH126" s="456"/>
      <c r="AI126" s="892"/>
      <c r="AJ126" s="892"/>
      <c r="AK126" s="892"/>
      <c r="AL126" s="892"/>
      <c r="AM126" s="2974"/>
      <c r="AN126" s="892"/>
      <c r="AO126" s="892"/>
      <c r="AP126" s="892"/>
      <c r="AQ126" s="456"/>
      <c r="AR126" s="4743"/>
      <c r="AS126" s="4742"/>
      <c r="AT126" s="4742"/>
      <c r="AU126" s="4742"/>
      <c r="AV126" s="4742"/>
      <c r="AW126" s="8787"/>
      <c r="AX126" s="4742"/>
      <c r="AY126" s="4742"/>
      <c r="AZ126" s="4742"/>
      <c r="BA126" s="4743"/>
      <c r="BB126" s="4742"/>
      <c r="BC126" s="4742"/>
      <c r="BD126" s="4742"/>
      <c r="BE126" s="4742"/>
      <c r="BF126" s="8787"/>
      <c r="BG126" s="4742"/>
      <c r="BH126" s="892"/>
      <c r="BI126" s="892"/>
    </row>
    <row r="127" spans="1:61" s="462" customFormat="1" ht="12" x14ac:dyDescent="0.3">
      <c r="A127" s="468"/>
      <c r="B127" s="469"/>
      <c r="D127" s="5"/>
      <c r="E127" s="456"/>
      <c r="F127" s="2974"/>
      <c r="G127" s="2974"/>
      <c r="H127" s="3927"/>
      <c r="I127" s="3927"/>
      <c r="J127" s="7"/>
      <c r="K127" s="456"/>
      <c r="L127" s="892"/>
      <c r="M127" s="892"/>
      <c r="N127" s="2974"/>
      <c r="O127" s="892"/>
      <c r="P127" s="892"/>
      <c r="Q127" s="2974"/>
      <c r="R127" s="892"/>
      <c r="S127" s="892"/>
      <c r="T127" s="892"/>
      <c r="U127" s="2974"/>
      <c r="V127" s="892"/>
      <c r="W127" s="892"/>
      <c r="X127" s="892"/>
      <c r="Y127" s="456"/>
      <c r="Z127" s="892"/>
      <c r="AA127" s="892"/>
      <c r="AB127" s="892"/>
      <c r="AC127" s="892"/>
      <c r="AD127" s="2974"/>
      <c r="AE127" s="892"/>
      <c r="AF127" s="892"/>
      <c r="AG127" s="892"/>
      <c r="AH127" s="456"/>
      <c r="AI127" s="892"/>
      <c r="AJ127" s="892"/>
      <c r="AK127" s="892"/>
      <c r="AL127" s="892"/>
      <c r="AM127" s="2974"/>
      <c r="AN127" s="892"/>
      <c r="AO127" s="892"/>
      <c r="AP127" s="892"/>
      <c r="AQ127" s="456"/>
      <c r="AR127" s="4743"/>
      <c r="AS127" s="4742"/>
      <c r="AT127" s="4742"/>
      <c r="AU127" s="4742"/>
      <c r="AV127" s="4742"/>
      <c r="AW127" s="8787"/>
      <c r="AX127" s="4742"/>
      <c r="AY127" s="4742"/>
      <c r="AZ127" s="4742"/>
      <c r="BA127" s="4743"/>
      <c r="BB127" s="4742"/>
      <c r="BC127" s="4742"/>
      <c r="BD127" s="4742"/>
      <c r="BE127" s="4742"/>
      <c r="BF127" s="8787"/>
      <c r="BG127" s="4742"/>
      <c r="BH127" s="892"/>
      <c r="BI127" s="892"/>
    </row>
    <row r="128" spans="1:61" s="462" customFormat="1" ht="12" x14ac:dyDescent="0.3">
      <c r="A128" s="468"/>
      <c r="B128" s="469"/>
      <c r="D128" s="5"/>
      <c r="E128" s="456"/>
      <c r="F128" s="2974"/>
      <c r="G128" s="2974"/>
      <c r="H128" s="3927"/>
      <c r="I128" s="3927"/>
      <c r="J128" s="7"/>
      <c r="K128" s="456"/>
      <c r="L128" s="892"/>
      <c r="M128" s="892"/>
      <c r="N128" s="2974"/>
      <c r="O128" s="892"/>
      <c r="P128" s="892"/>
      <c r="Q128" s="2974"/>
      <c r="R128" s="892"/>
      <c r="S128" s="892"/>
      <c r="T128" s="892"/>
      <c r="U128" s="2974"/>
      <c r="V128" s="892"/>
      <c r="W128" s="892"/>
      <c r="X128" s="892"/>
      <c r="Y128" s="456"/>
      <c r="Z128" s="892"/>
      <c r="AA128" s="892"/>
      <c r="AB128" s="892"/>
      <c r="AC128" s="892"/>
      <c r="AD128" s="2974"/>
      <c r="AE128" s="892"/>
      <c r="AF128" s="892"/>
      <c r="AG128" s="892"/>
      <c r="AH128" s="456"/>
      <c r="AI128" s="892"/>
      <c r="AJ128" s="892"/>
      <c r="AK128" s="892"/>
      <c r="AL128" s="892"/>
      <c r="AM128" s="2974"/>
      <c r="AN128" s="892"/>
      <c r="AO128" s="892"/>
      <c r="AP128" s="892"/>
      <c r="AQ128" s="456"/>
      <c r="AR128" s="4743"/>
      <c r="AS128" s="4742"/>
      <c r="AT128" s="4742"/>
      <c r="AU128" s="4742"/>
      <c r="AV128" s="4742"/>
      <c r="AW128" s="8787"/>
      <c r="AX128" s="4742"/>
      <c r="AY128" s="4742"/>
      <c r="AZ128" s="4742"/>
      <c r="BA128" s="4743"/>
      <c r="BB128" s="4742"/>
      <c r="BC128" s="4742"/>
      <c r="BD128" s="4742"/>
      <c r="BE128" s="4742"/>
      <c r="BF128" s="8787"/>
      <c r="BG128" s="4742"/>
      <c r="BH128" s="892"/>
      <c r="BI128" s="892"/>
    </row>
    <row r="129" spans="1:61" s="462" customFormat="1" ht="12" x14ac:dyDescent="0.3">
      <c r="A129" s="468"/>
      <c r="B129" s="469"/>
      <c r="D129" s="5"/>
      <c r="E129" s="456"/>
      <c r="F129" s="2974"/>
      <c r="G129" s="2974"/>
      <c r="H129" s="3927"/>
      <c r="I129" s="3927"/>
      <c r="J129" s="7"/>
      <c r="K129" s="456"/>
      <c r="L129" s="892"/>
      <c r="M129" s="892"/>
      <c r="N129" s="2974"/>
      <c r="O129" s="892"/>
      <c r="P129" s="892"/>
      <c r="Q129" s="2974"/>
      <c r="R129" s="892"/>
      <c r="S129" s="892"/>
      <c r="T129" s="892"/>
      <c r="U129" s="2974"/>
      <c r="V129" s="892"/>
      <c r="W129" s="892"/>
      <c r="X129" s="892"/>
      <c r="Y129" s="456"/>
      <c r="Z129" s="892"/>
      <c r="AA129" s="892"/>
      <c r="AB129" s="892"/>
      <c r="AC129" s="892"/>
      <c r="AD129" s="2974"/>
      <c r="AE129" s="892"/>
      <c r="AF129" s="892"/>
      <c r="AG129" s="892"/>
      <c r="AH129" s="456"/>
      <c r="AI129" s="892"/>
      <c r="AJ129" s="892"/>
      <c r="AK129" s="892"/>
      <c r="AL129" s="892"/>
      <c r="AM129" s="2974"/>
      <c r="AN129" s="892"/>
      <c r="AO129" s="892"/>
      <c r="AP129" s="892"/>
      <c r="AQ129" s="456"/>
      <c r="AR129" s="4743"/>
      <c r="AS129" s="4742"/>
      <c r="AT129" s="4742"/>
      <c r="AU129" s="4742"/>
      <c r="AV129" s="4742"/>
      <c r="AW129" s="8787"/>
      <c r="AX129" s="4742"/>
      <c r="AY129" s="4742"/>
      <c r="AZ129" s="4742"/>
      <c r="BA129" s="4743"/>
      <c r="BB129" s="4742"/>
      <c r="BC129" s="4742"/>
      <c r="BD129" s="4742"/>
      <c r="BE129" s="4742"/>
      <c r="BF129" s="8787"/>
      <c r="BG129" s="4742"/>
      <c r="BH129" s="892"/>
      <c r="BI129" s="892"/>
    </row>
    <row r="130" spans="1:61" s="462" customFormat="1" ht="12" x14ac:dyDescent="0.3">
      <c r="A130" s="468"/>
      <c r="B130" s="469"/>
      <c r="D130" s="5"/>
      <c r="E130" s="456"/>
      <c r="F130" s="2974"/>
      <c r="G130" s="2974"/>
      <c r="H130" s="3927"/>
      <c r="I130" s="3927"/>
      <c r="J130" s="7"/>
      <c r="K130" s="456"/>
      <c r="L130" s="892"/>
      <c r="M130" s="892"/>
      <c r="N130" s="2974"/>
      <c r="O130" s="892"/>
      <c r="P130" s="892"/>
      <c r="Q130" s="2974"/>
      <c r="R130" s="892"/>
      <c r="S130" s="892"/>
      <c r="T130" s="892"/>
      <c r="U130" s="2974"/>
      <c r="V130" s="892"/>
      <c r="W130" s="892"/>
      <c r="X130" s="892"/>
      <c r="Y130" s="456"/>
      <c r="Z130" s="892"/>
      <c r="AA130" s="892"/>
      <c r="AB130" s="892"/>
      <c r="AC130" s="892"/>
      <c r="AD130" s="2974"/>
      <c r="AE130" s="892"/>
      <c r="AF130" s="892"/>
      <c r="AG130" s="892"/>
      <c r="AH130" s="456"/>
      <c r="AI130" s="892"/>
      <c r="AJ130" s="892"/>
      <c r="AK130" s="892"/>
      <c r="AL130" s="892"/>
      <c r="AM130" s="2974"/>
      <c r="AN130" s="892"/>
      <c r="AO130" s="892"/>
      <c r="AP130" s="892"/>
      <c r="AQ130" s="456"/>
      <c r="AR130" s="4743"/>
      <c r="AS130" s="4742"/>
      <c r="AT130" s="4742"/>
      <c r="AU130" s="4742"/>
      <c r="AV130" s="4742"/>
      <c r="AW130" s="8787"/>
      <c r="AX130" s="4742"/>
      <c r="AY130" s="4742"/>
      <c r="AZ130" s="4742"/>
      <c r="BA130" s="4743"/>
      <c r="BB130" s="4742"/>
      <c r="BC130" s="4742"/>
      <c r="BD130" s="4742"/>
      <c r="BE130" s="4742"/>
      <c r="BF130" s="8787"/>
      <c r="BG130" s="4742"/>
      <c r="BH130" s="892"/>
      <c r="BI130" s="892"/>
    </row>
    <row r="131" spans="1:61" s="462" customFormat="1" ht="12" x14ac:dyDescent="0.3">
      <c r="A131" s="468"/>
      <c r="B131" s="469"/>
      <c r="D131" s="5"/>
      <c r="E131" s="456"/>
      <c r="F131" s="2974"/>
      <c r="G131" s="2974"/>
      <c r="H131" s="3927"/>
      <c r="I131" s="3927"/>
      <c r="J131" s="7"/>
      <c r="K131" s="456"/>
      <c r="L131" s="892"/>
      <c r="M131" s="892"/>
      <c r="N131" s="2974"/>
      <c r="O131" s="892"/>
      <c r="P131" s="892"/>
      <c r="Q131" s="2974"/>
      <c r="R131" s="892"/>
      <c r="S131" s="892"/>
      <c r="T131" s="892"/>
      <c r="U131" s="2974"/>
      <c r="V131" s="892"/>
      <c r="W131" s="892"/>
      <c r="X131" s="892"/>
      <c r="Y131" s="456"/>
      <c r="Z131" s="892"/>
      <c r="AA131" s="892"/>
      <c r="AB131" s="892"/>
      <c r="AC131" s="892"/>
      <c r="AD131" s="2974"/>
      <c r="AE131" s="892"/>
      <c r="AF131" s="892"/>
      <c r="AG131" s="892"/>
      <c r="AH131" s="456"/>
      <c r="AI131" s="892"/>
      <c r="AJ131" s="892"/>
      <c r="AK131" s="892"/>
      <c r="AL131" s="892"/>
      <c r="AM131" s="2974"/>
      <c r="AN131" s="892"/>
      <c r="AO131" s="892"/>
      <c r="AP131" s="892"/>
      <c r="AQ131" s="456"/>
      <c r="AR131" s="4743"/>
      <c r="AS131" s="4742"/>
      <c r="AT131" s="4742"/>
      <c r="AU131" s="4742"/>
      <c r="AV131" s="4742"/>
      <c r="AW131" s="8787"/>
      <c r="AX131" s="4742"/>
      <c r="AY131" s="4742"/>
      <c r="AZ131" s="4742"/>
      <c r="BA131" s="4743"/>
      <c r="BB131" s="4742"/>
      <c r="BC131" s="4742"/>
      <c r="BD131" s="4742"/>
      <c r="BE131" s="4742"/>
      <c r="BF131" s="8787"/>
      <c r="BG131" s="4742"/>
      <c r="BH131" s="892"/>
      <c r="BI131" s="892"/>
    </row>
    <row r="132" spans="1:61" s="462" customFormat="1" ht="12" x14ac:dyDescent="0.3">
      <c r="A132" s="468"/>
      <c r="B132" s="469"/>
      <c r="D132" s="5"/>
      <c r="E132" s="456"/>
      <c r="F132" s="2974"/>
      <c r="G132" s="2974"/>
      <c r="H132" s="3927"/>
      <c r="I132" s="3927"/>
      <c r="J132" s="7"/>
      <c r="K132" s="456"/>
      <c r="L132" s="892"/>
      <c r="M132" s="892"/>
      <c r="N132" s="2974"/>
      <c r="O132" s="892"/>
      <c r="P132" s="892"/>
      <c r="Q132" s="2974"/>
      <c r="R132" s="892"/>
      <c r="S132" s="892"/>
      <c r="T132" s="892"/>
      <c r="U132" s="2974"/>
      <c r="V132" s="892"/>
      <c r="W132" s="892"/>
      <c r="X132" s="892"/>
      <c r="Y132" s="456"/>
      <c r="Z132" s="892"/>
      <c r="AA132" s="892"/>
      <c r="AB132" s="892"/>
      <c r="AC132" s="892"/>
      <c r="AD132" s="2974"/>
      <c r="AE132" s="892"/>
      <c r="AF132" s="892"/>
      <c r="AG132" s="892"/>
      <c r="AH132" s="456"/>
      <c r="AI132" s="892"/>
      <c r="AJ132" s="892"/>
      <c r="AK132" s="892"/>
      <c r="AL132" s="892"/>
      <c r="AM132" s="2974"/>
      <c r="AN132" s="892"/>
      <c r="AO132" s="892"/>
      <c r="AP132" s="892"/>
      <c r="AQ132" s="456"/>
      <c r="AR132" s="4743"/>
      <c r="AS132" s="4742"/>
      <c r="AT132" s="4742"/>
      <c r="AU132" s="4742"/>
      <c r="AV132" s="4742"/>
      <c r="AW132" s="8787"/>
      <c r="AX132" s="4742"/>
      <c r="AY132" s="4742"/>
      <c r="AZ132" s="4742"/>
      <c r="BA132" s="4743"/>
      <c r="BB132" s="4742"/>
      <c r="BC132" s="4742"/>
      <c r="BD132" s="4742"/>
      <c r="BE132" s="4742"/>
      <c r="BF132" s="8787"/>
      <c r="BG132" s="4742"/>
      <c r="BH132" s="892"/>
      <c r="BI132" s="892"/>
    </row>
    <row r="133" spans="1:61" s="462" customFormat="1" ht="12" x14ac:dyDescent="0.3">
      <c r="A133" s="468"/>
      <c r="B133" s="469"/>
      <c r="D133" s="5"/>
      <c r="E133" s="456"/>
      <c r="F133" s="2974"/>
      <c r="G133" s="2974"/>
      <c r="H133" s="3927"/>
      <c r="I133" s="3927"/>
      <c r="J133" s="7"/>
      <c r="K133" s="456"/>
      <c r="L133" s="892"/>
      <c r="M133" s="892"/>
      <c r="N133" s="2974"/>
      <c r="O133" s="892"/>
      <c r="P133" s="892"/>
      <c r="Q133" s="2974"/>
      <c r="R133" s="892"/>
      <c r="S133" s="892"/>
      <c r="T133" s="892"/>
      <c r="U133" s="2974"/>
      <c r="V133" s="892"/>
      <c r="W133" s="892"/>
      <c r="X133" s="892"/>
      <c r="Y133" s="456"/>
      <c r="Z133" s="892"/>
      <c r="AA133" s="892"/>
      <c r="AB133" s="892"/>
      <c r="AC133" s="892"/>
      <c r="AD133" s="2974"/>
      <c r="AE133" s="892"/>
      <c r="AF133" s="892"/>
      <c r="AG133" s="892"/>
      <c r="AH133" s="456"/>
      <c r="AI133" s="892"/>
      <c r="AJ133" s="892"/>
      <c r="AK133" s="892"/>
      <c r="AL133" s="892"/>
      <c r="AM133" s="2974"/>
      <c r="AN133" s="892"/>
      <c r="AO133" s="892"/>
      <c r="AP133" s="892"/>
      <c r="AQ133" s="456"/>
      <c r="AR133" s="4743"/>
      <c r="AS133" s="4742"/>
      <c r="AT133" s="4742"/>
      <c r="AU133" s="4742"/>
      <c r="AV133" s="4742"/>
      <c r="AW133" s="8787"/>
      <c r="AX133" s="4742"/>
      <c r="AY133" s="4742"/>
      <c r="AZ133" s="4742"/>
      <c r="BA133" s="4743"/>
      <c r="BB133" s="4742"/>
      <c r="BC133" s="4742"/>
      <c r="BD133" s="4742"/>
      <c r="BE133" s="4742"/>
      <c r="BF133" s="8787"/>
      <c r="BG133" s="4742"/>
      <c r="BH133" s="892"/>
      <c r="BI133" s="892"/>
    </row>
    <row r="134" spans="1:61" s="462" customFormat="1" ht="12" x14ac:dyDescent="0.3">
      <c r="A134" s="468"/>
      <c r="B134" s="469"/>
      <c r="D134" s="5"/>
      <c r="E134" s="456"/>
      <c r="F134" s="2974"/>
      <c r="G134" s="2974"/>
      <c r="H134" s="3927"/>
      <c r="I134" s="3927"/>
      <c r="J134" s="7"/>
      <c r="K134" s="456"/>
      <c r="L134" s="892"/>
      <c r="M134" s="892"/>
      <c r="N134" s="2974"/>
      <c r="O134" s="892"/>
      <c r="P134" s="892"/>
      <c r="Q134" s="2974"/>
      <c r="R134" s="892"/>
      <c r="S134" s="892"/>
      <c r="T134" s="892"/>
      <c r="U134" s="2974"/>
      <c r="V134" s="892"/>
      <c r="W134" s="892"/>
      <c r="X134" s="892"/>
      <c r="Y134" s="456"/>
      <c r="Z134" s="892"/>
      <c r="AA134" s="892"/>
      <c r="AB134" s="892"/>
      <c r="AC134" s="892"/>
      <c r="AD134" s="2974"/>
      <c r="AE134" s="892"/>
      <c r="AF134" s="892"/>
      <c r="AG134" s="892"/>
      <c r="AH134" s="456"/>
      <c r="AI134" s="892"/>
      <c r="AJ134" s="892"/>
      <c r="AK134" s="892"/>
      <c r="AL134" s="892"/>
      <c r="AM134" s="2974"/>
      <c r="AN134" s="892"/>
      <c r="AO134" s="892"/>
      <c r="AP134" s="892"/>
      <c r="AQ134" s="456"/>
      <c r="AR134" s="4743"/>
      <c r="AS134" s="4742"/>
      <c r="AT134" s="4742"/>
      <c r="AU134" s="4742"/>
      <c r="AV134" s="4742"/>
      <c r="AW134" s="8787"/>
      <c r="AX134" s="4742"/>
      <c r="AY134" s="4742"/>
      <c r="AZ134" s="4742"/>
      <c r="BA134" s="4743"/>
      <c r="BB134" s="4742"/>
      <c r="BC134" s="4742"/>
      <c r="BD134" s="4742"/>
      <c r="BE134" s="4742"/>
      <c r="BF134" s="8787"/>
      <c r="BG134" s="4742"/>
      <c r="BH134" s="892"/>
      <c r="BI134" s="892"/>
    </row>
    <row r="135" spans="1:61" s="462" customFormat="1" ht="12" x14ac:dyDescent="0.3">
      <c r="A135" s="455" t="s">
        <v>1002</v>
      </c>
      <c r="B135" s="455"/>
      <c r="C135" s="456"/>
      <c r="D135" s="5"/>
      <c r="E135" s="456"/>
      <c r="F135" s="2974"/>
      <c r="G135" s="2974"/>
      <c r="H135" s="3927"/>
      <c r="I135" s="3927"/>
      <c r="J135" s="7"/>
      <c r="K135" s="456"/>
      <c r="L135" s="892"/>
      <c r="M135" s="892"/>
      <c r="N135" s="2974"/>
      <c r="O135" s="892"/>
      <c r="P135" s="892"/>
      <c r="Q135" s="2974"/>
      <c r="R135" s="892"/>
      <c r="S135" s="892"/>
      <c r="T135" s="892"/>
      <c r="U135" s="2974"/>
      <c r="V135" s="892"/>
      <c r="W135" s="892"/>
      <c r="X135" s="892"/>
      <c r="Y135" s="456"/>
      <c r="Z135" s="892"/>
      <c r="AA135" s="892"/>
      <c r="AB135" s="892"/>
      <c r="AC135" s="892"/>
      <c r="AD135" s="2974"/>
      <c r="AE135" s="892"/>
      <c r="AF135" s="892"/>
      <c r="AG135" s="892"/>
      <c r="AH135" s="456"/>
      <c r="AI135" s="892"/>
      <c r="AJ135" s="892"/>
      <c r="AK135" s="892"/>
      <c r="AL135" s="892"/>
      <c r="AM135" s="2974"/>
      <c r="AN135" s="892"/>
      <c r="AO135" s="892"/>
      <c r="AP135" s="892"/>
      <c r="AQ135" s="456"/>
      <c r="AR135" s="4743"/>
      <c r="AS135" s="4742"/>
      <c r="AT135" s="4742"/>
      <c r="AU135" s="4742"/>
      <c r="AV135" s="4742"/>
      <c r="AW135" s="8787"/>
      <c r="AX135" s="4742"/>
      <c r="AY135" s="4742"/>
      <c r="AZ135" s="4742"/>
      <c r="BA135" s="4743"/>
      <c r="BB135" s="4742"/>
      <c r="BC135" s="4742"/>
      <c r="BD135" s="4742"/>
      <c r="BE135" s="4742"/>
      <c r="BF135" s="8787"/>
      <c r="BG135" s="4742"/>
      <c r="BH135" s="892"/>
      <c r="BI135" s="892"/>
    </row>
    <row r="136" spans="1:61" s="462" customFormat="1" ht="93" customHeight="1" x14ac:dyDescent="0.3">
      <c r="A136" s="9170"/>
      <c r="B136" s="9171"/>
      <c r="C136" s="9171"/>
      <c r="D136" s="9171"/>
      <c r="E136" s="9171"/>
      <c r="F136" s="9171"/>
      <c r="G136" s="9171"/>
      <c r="H136" s="9171"/>
      <c r="I136" s="9171"/>
      <c r="J136" s="9171"/>
      <c r="K136" s="9171"/>
      <c r="L136" s="9171"/>
      <c r="M136" s="9171"/>
      <c r="N136" s="9171"/>
      <c r="O136" s="9171"/>
      <c r="P136" s="9172"/>
      <c r="Q136" s="2978"/>
      <c r="R136" s="2978"/>
      <c r="S136" s="2978"/>
      <c r="T136" s="2978"/>
      <c r="U136" s="2978"/>
      <c r="V136" s="2978"/>
      <c r="W136" s="2978"/>
      <c r="X136" s="2978"/>
      <c r="Y136" s="456"/>
      <c r="Z136" s="2978"/>
      <c r="AA136" s="2978"/>
      <c r="AB136" s="2978"/>
      <c r="AC136" s="2978"/>
      <c r="AD136" s="2978"/>
      <c r="AE136" s="2978"/>
      <c r="AF136" s="2978"/>
      <c r="AG136" s="2978"/>
      <c r="AH136" s="456"/>
      <c r="AI136" s="2978"/>
      <c r="AJ136" s="2978"/>
      <c r="AK136" s="2978"/>
      <c r="AL136" s="2978"/>
      <c r="AM136" s="2978"/>
      <c r="AN136" s="2978"/>
      <c r="AO136" s="2978"/>
      <c r="AP136" s="2978"/>
      <c r="AQ136" s="456"/>
      <c r="AR136" s="4743"/>
      <c r="AS136" s="2978"/>
      <c r="AT136" s="2978"/>
      <c r="AU136" s="2978"/>
      <c r="AV136" s="2978"/>
      <c r="AW136" s="2978"/>
      <c r="AX136" s="2978"/>
      <c r="AY136" s="2978"/>
      <c r="AZ136" s="2978"/>
      <c r="BA136" s="4743"/>
      <c r="BB136" s="2978"/>
      <c r="BC136" s="2978"/>
      <c r="BD136" s="2978"/>
      <c r="BE136" s="2978"/>
      <c r="BF136" s="2978"/>
      <c r="BG136" s="2978"/>
      <c r="BH136" s="2978"/>
      <c r="BI136" s="2978"/>
    </row>
  </sheetData>
  <mergeCells count="56">
    <mergeCell ref="AS7:AU7"/>
    <mergeCell ref="AX7:AZ7"/>
    <mergeCell ref="BB7:BD7"/>
    <mergeCell ref="AS1:AZ1"/>
    <mergeCell ref="AS4:AU4"/>
    <mergeCell ref="AX4:AZ4"/>
    <mergeCell ref="BB4:BD4"/>
    <mergeCell ref="AS5:AU5"/>
    <mergeCell ref="AX5:AZ5"/>
    <mergeCell ref="BB5:BD5"/>
    <mergeCell ref="BB10:BC10"/>
    <mergeCell ref="BB35:BC35"/>
    <mergeCell ref="BC1:BI1"/>
    <mergeCell ref="BH4:BI4"/>
    <mergeCell ref="BH5:BI5"/>
    <mergeCell ref="BH7:BI7"/>
    <mergeCell ref="F1:P1"/>
    <mergeCell ref="R1:X1"/>
    <mergeCell ref="Z1:AG1"/>
    <mergeCell ref="AI1:AP1"/>
    <mergeCell ref="H4:J4"/>
    <mergeCell ref="L4:M4"/>
    <mergeCell ref="O4:P4"/>
    <mergeCell ref="R4:T4"/>
    <mergeCell ref="V4:X4"/>
    <mergeCell ref="Z4:AB4"/>
    <mergeCell ref="AE4:AG4"/>
    <mergeCell ref="AI4:AK4"/>
    <mergeCell ref="AN4:AP4"/>
    <mergeCell ref="R7:T7"/>
    <mergeCell ref="AR4:AR5"/>
    <mergeCell ref="H5:J5"/>
    <mergeCell ref="L5:M5"/>
    <mergeCell ref="O5:P5"/>
    <mergeCell ref="R5:T5"/>
    <mergeCell ref="V5:X5"/>
    <mergeCell ref="Z5:AB5"/>
    <mergeCell ref="AE5:AG5"/>
    <mergeCell ref="AI5:AK5"/>
    <mergeCell ref="AN5:AP5"/>
    <mergeCell ref="A136:P136"/>
    <mergeCell ref="AN7:AP7"/>
    <mergeCell ref="A10:A33"/>
    <mergeCell ref="L10:M10"/>
    <mergeCell ref="O10:P10"/>
    <mergeCell ref="Z10:AA10"/>
    <mergeCell ref="AI10:AJ10"/>
    <mergeCell ref="Z7:AB7"/>
    <mergeCell ref="AI7:AK7"/>
    <mergeCell ref="A35:A88"/>
    <mergeCell ref="A90:A99"/>
    <mergeCell ref="A101:A118"/>
    <mergeCell ref="H7:I7"/>
    <mergeCell ref="J7:J8"/>
    <mergeCell ref="L7:M7"/>
    <mergeCell ref="O7:P7"/>
  </mergeCells>
  <hyperlinks>
    <hyperlink ref="AB10" r:id="rId1" xr:uid="{E7F66159-71A8-4489-93CB-3A11EF57F2C8}"/>
    <hyperlink ref="AF10" r:id="rId2" xr:uid="{07ACEDCC-C7E7-4A65-8888-E38B0227BF01}"/>
    <hyperlink ref="AK10" r:id="rId3" xr:uid="{C976D68D-1DC2-4F65-8E07-4211FCE26594}"/>
    <hyperlink ref="AO10" r:id="rId4" xr:uid="{29C4DA48-B863-46AE-83D3-75DD9E960821}"/>
    <hyperlink ref="BD10" r:id="rId5" xr:uid="{3808E651-C9B9-4880-B6F3-572C45BACCE6}"/>
    <hyperlink ref="BH10" r:id="rId6" xr:uid="{7C758DF4-434D-4F36-9619-72F9CB6B1B07}"/>
    <hyperlink ref="AU10" r:id="rId7" xr:uid="{5E08D600-8F36-4E94-A039-EA0575EF7BF2}"/>
    <hyperlink ref="AY10" r:id="rId8" xr:uid="{F4441C99-7BEC-4B94-8025-D0960644263C}"/>
  </hyperlinks>
  <pageMargins left="0.23622047244094491" right="0.23622047244094491" top="0.35433070866141736" bottom="0.35433070866141736" header="0.31496062992125984" footer="0.31496062992125984"/>
  <pageSetup paperSize="9" scale="34" orientation="portrait" horizontalDpi="4294967293" r:id="rId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5B74-5910-42FC-BEC8-E7BF5F0DB1F7}">
  <sheetPr>
    <pageSetUpPr fitToPage="1"/>
  </sheetPr>
  <dimension ref="A1:AA117"/>
  <sheetViews>
    <sheetView zoomScale="74" zoomScaleNormal="83" zoomScalePageLayoutView="93" workbookViewId="0">
      <selection activeCell="R87" sqref="R87"/>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6" width="1.6328125" style="1" customWidth="1"/>
    <col min="7" max="9" width="21.6328125" style="6" customWidth="1"/>
    <col min="10" max="10" width="8.6328125" style="7" customWidth="1"/>
    <col min="11" max="11" width="1.6328125" style="1" customWidth="1"/>
    <col min="12" max="12" width="21.6328125" customWidth="1"/>
    <col min="13" max="13" width="23" customWidth="1"/>
    <col min="14" max="14" width="21.6328125" customWidth="1"/>
    <col min="15" max="15" width="1.6328125" style="1" customWidth="1"/>
    <col min="16" max="16" width="21.6328125" customWidth="1"/>
    <col min="17" max="17" width="23" customWidth="1"/>
    <col min="18" max="18" width="21.6328125" customWidth="1"/>
    <col min="19" max="19" width="1.6328125" style="1" customWidth="1"/>
    <col min="20" max="20" width="55" customWidth="1"/>
    <col min="27" max="27" width="55" customWidth="1"/>
  </cols>
  <sheetData>
    <row r="1" spans="1:27" ht="31" x14ac:dyDescent="0.7">
      <c r="F1"/>
      <c r="G1" s="9471" t="s">
        <v>398</v>
      </c>
      <c r="H1" s="9472"/>
      <c r="I1" s="9472"/>
      <c r="J1" s="9472"/>
      <c r="K1" s="9472"/>
      <c r="L1" s="9472"/>
      <c r="M1" s="9472"/>
      <c r="N1" s="9473"/>
      <c r="O1"/>
      <c r="P1" s="9514" t="s">
        <v>399</v>
      </c>
      <c r="Q1" s="9514"/>
      <c r="R1" s="9514"/>
      <c r="S1"/>
    </row>
    <row r="2" spans="1:27" ht="21" x14ac:dyDescent="0.5">
      <c r="B2" s="1" t="s">
        <v>9</v>
      </c>
      <c r="C2" s="578" t="s">
        <v>4525</v>
      </c>
    </row>
    <row r="3" spans="1:27" ht="21" x14ac:dyDescent="0.5">
      <c r="C3" s="578" t="s">
        <v>290</v>
      </c>
    </row>
    <row r="4" spans="1:27" s="8" customFormat="1" ht="15.25" customHeight="1" x14ac:dyDescent="0.35">
      <c r="D4" s="579"/>
      <c r="G4" s="9130" t="s">
        <v>4526</v>
      </c>
      <c r="H4" s="9131"/>
      <c r="I4" s="9131"/>
      <c r="J4" s="9132"/>
      <c r="L4" s="9130" t="s">
        <v>402</v>
      </c>
      <c r="M4" s="9131"/>
      <c r="N4" s="9132"/>
      <c r="P4" s="9130" t="s">
        <v>402</v>
      </c>
      <c r="Q4" s="9131"/>
      <c r="R4" s="9132"/>
      <c r="T4" s="9180" t="s">
        <v>404</v>
      </c>
      <c r="AA4" s="9180" t="s">
        <v>404</v>
      </c>
    </row>
    <row r="5" spans="1:27" x14ac:dyDescent="0.35">
      <c r="B5" s="1" t="s">
        <v>406</v>
      </c>
      <c r="C5" s="11">
        <v>2012</v>
      </c>
      <c r="G5" s="9138">
        <v>2018</v>
      </c>
      <c r="H5" s="9139"/>
      <c r="I5" s="9139"/>
      <c r="J5" s="9140"/>
      <c r="K5" s="12"/>
      <c r="L5" s="9138">
        <v>2019</v>
      </c>
      <c r="M5" s="9139"/>
      <c r="N5" s="9140"/>
      <c r="P5" s="9138">
        <v>2021</v>
      </c>
      <c r="Q5" s="9139"/>
      <c r="R5" s="9140"/>
      <c r="T5" s="9181"/>
      <c r="AA5" s="9181"/>
    </row>
    <row r="6" spans="1:27" x14ac:dyDescent="0.35">
      <c r="C6"/>
      <c r="L6" s="14"/>
      <c r="M6" s="14"/>
      <c r="P6" s="14"/>
      <c r="Q6" s="14"/>
      <c r="T6" s="6"/>
      <c r="AA6" s="6"/>
    </row>
    <row r="7" spans="1:27" ht="12.75" customHeight="1" x14ac:dyDescent="0.35">
      <c r="B7" s="1" t="s">
        <v>101</v>
      </c>
      <c r="C7" s="15" t="s">
        <v>4527</v>
      </c>
      <c r="D7" s="2" t="s">
        <v>417</v>
      </c>
      <c r="G7" s="9173" t="s">
        <v>1914</v>
      </c>
      <c r="H7" s="9173"/>
      <c r="I7" s="16"/>
      <c r="J7" s="9147" t="s">
        <v>419</v>
      </c>
      <c r="L7" s="9149" t="s">
        <v>1914</v>
      </c>
      <c r="M7" s="9150"/>
      <c r="N7" s="9151"/>
      <c r="P7" s="9149" t="s">
        <v>1914</v>
      </c>
      <c r="Q7" s="9150"/>
      <c r="R7" s="9151"/>
      <c r="T7" s="18"/>
      <c r="AA7" s="18"/>
    </row>
    <row r="8" spans="1:27" x14ac:dyDescent="0.35">
      <c r="B8" s="1" t="s">
        <v>420</v>
      </c>
      <c r="C8" s="19" t="s">
        <v>589</v>
      </c>
      <c r="G8" s="20" t="s">
        <v>424</v>
      </c>
      <c r="H8" s="20" t="s">
        <v>96</v>
      </c>
      <c r="I8" s="22" t="s">
        <v>425</v>
      </c>
      <c r="J8" s="9148"/>
      <c r="L8" s="21" t="s">
        <v>748</v>
      </c>
      <c r="M8" s="22" t="s">
        <v>425</v>
      </c>
      <c r="N8" s="20" t="s">
        <v>96</v>
      </c>
      <c r="P8" s="21" t="s">
        <v>748</v>
      </c>
      <c r="Q8" s="22" t="s">
        <v>425</v>
      </c>
      <c r="R8" s="20" t="s">
        <v>96</v>
      </c>
      <c r="T8" s="24"/>
      <c r="AA8" s="24"/>
    </row>
    <row r="9" spans="1:27" x14ac:dyDescent="0.35">
      <c r="C9"/>
      <c r="E9"/>
      <c r="F9"/>
      <c r="G9"/>
      <c r="H9"/>
      <c r="I9"/>
      <c r="J9" s="25"/>
      <c r="K9"/>
      <c r="O9"/>
      <c r="S9"/>
    </row>
    <row r="10" spans="1:27" ht="44.75" customHeight="1" x14ac:dyDescent="0.35">
      <c r="A10" s="9167" t="s">
        <v>426</v>
      </c>
      <c r="B10" s="27"/>
      <c r="C10" s="28" t="s">
        <v>427</v>
      </c>
      <c r="D10" s="580" t="s">
        <v>428</v>
      </c>
      <c r="E10" s="30"/>
      <c r="F10" s="33"/>
      <c r="G10" s="9155" t="s">
        <v>4528</v>
      </c>
      <c r="H10" s="9156"/>
      <c r="I10" s="3375" t="s">
        <v>4529</v>
      </c>
      <c r="J10" s="32"/>
      <c r="K10" s="33"/>
      <c r="L10" s="850" t="s">
        <v>4530</v>
      </c>
      <c r="M10" s="3375" t="s">
        <v>4529</v>
      </c>
      <c r="N10" s="850" t="s">
        <v>4530</v>
      </c>
      <c r="O10" s="33"/>
      <c r="P10" s="850" t="s">
        <v>4531</v>
      </c>
      <c r="Q10" s="35" t="s">
        <v>4529</v>
      </c>
      <c r="R10" s="850" t="s">
        <v>4531</v>
      </c>
      <c r="S10" s="33"/>
      <c r="T10" s="39"/>
      <c r="AA10" s="39"/>
    </row>
    <row r="11" spans="1:27" s="1256" customFormat="1" ht="12.75" customHeight="1" x14ac:dyDescent="0.35">
      <c r="A11" s="9168"/>
      <c r="B11" s="7305" t="s">
        <v>451</v>
      </c>
      <c r="C11" s="7306"/>
      <c r="D11" s="1253"/>
      <c r="E11" s="1254"/>
      <c r="F11" s="1261"/>
      <c r="G11" s="7307"/>
      <c r="H11" s="7308"/>
      <c r="I11" s="7309" t="s">
        <v>4532</v>
      </c>
      <c r="J11" s="1259"/>
      <c r="K11" s="1260"/>
      <c r="L11" s="7307"/>
      <c r="M11" s="7309" t="s">
        <v>4533</v>
      </c>
      <c r="N11" s="7308"/>
      <c r="O11" s="1261"/>
      <c r="P11" s="7307"/>
      <c r="Q11" s="7309" t="s">
        <v>4533</v>
      </c>
      <c r="R11" s="7308"/>
      <c r="S11" s="1261"/>
      <c r="T11" s="1266"/>
      <c r="AA11" s="1266"/>
    </row>
    <row r="12" spans="1:27" s="1256" customFormat="1" x14ac:dyDescent="0.35">
      <c r="A12" s="9168"/>
      <c r="B12" s="1267"/>
      <c r="C12" s="1268" t="s">
        <v>456</v>
      </c>
      <c r="D12" s="1269">
        <v>1</v>
      </c>
      <c r="E12" s="1270"/>
      <c r="F12" s="1276"/>
      <c r="G12" s="1272">
        <f>84500+37938-G13</f>
        <v>114278.7</v>
      </c>
      <c r="H12" s="1273">
        <f>87866.019095+35592.380341-H13</f>
        <v>119920.355868</v>
      </c>
      <c r="I12" s="7310" t="s">
        <v>4534</v>
      </c>
      <c r="J12" s="476"/>
      <c r="K12" s="1275"/>
      <c r="L12" s="1277">
        <f>108230+31250-L13</f>
        <v>135716</v>
      </c>
      <c r="M12" s="7310" t="s">
        <v>4534</v>
      </c>
      <c r="N12" s="1278">
        <f>88754.954634+28337.410939-N13</f>
        <v>115380.67105399999</v>
      </c>
      <c r="O12" s="1276"/>
      <c r="P12" s="1277">
        <f>90088.4+34268.6-P13</f>
        <v>120207</v>
      </c>
      <c r="Q12" s="7310" t="s">
        <v>4534</v>
      </c>
      <c r="R12" s="1278">
        <f>104881.232732+31138.059103-R13</f>
        <v>134551.11391900002</v>
      </c>
      <c r="S12" s="1276"/>
      <c r="T12" s="1281"/>
      <c r="AA12" s="1281"/>
    </row>
    <row r="13" spans="1:27" s="1256" customFormat="1" x14ac:dyDescent="0.35">
      <c r="A13" s="9168"/>
      <c r="B13" s="1267"/>
      <c r="C13" s="1282" t="s">
        <v>462</v>
      </c>
      <c r="D13" s="1269"/>
      <c r="E13" s="1270"/>
      <c r="F13" s="1276"/>
      <c r="G13" s="1272">
        <f>1297.3+24+1700+335+363+3240+1200</f>
        <v>8159.3</v>
      </c>
      <c r="H13" s="1273">
        <f>601.05383+0+122.27411+289.023398+103+2023.689567+399.002663</f>
        <v>3538.0435680000001</v>
      </c>
      <c r="I13" s="7310" t="s">
        <v>4535</v>
      </c>
      <c r="J13" s="476"/>
      <c r="K13" s="1275"/>
      <c r="L13" s="1277">
        <f>688+24+1117+325+260+400+950</f>
        <v>3764</v>
      </c>
      <c r="M13" s="7310" t="s">
        <v>4535</v>
      </c>
      <c r="N13" s="1278">
        <f>215.56+77.926747+45.676304+348.59325+0+249.739002+774.199216</f>
        <v>1711.6945190000001</v>
      </c>
      <c r="O13" s="1276"/>
      <c r="P13" s="1277">
        <f>260+750+840+2300</f>
        <v>4150</v>
      </c>
      <c r="Q13" s="7310" t="s">
        <v>4536</v>
      </c>
      <c r="R13" s="1278">
        <f>0+331.589785+595.175+541.413131</f>
        <v>1468.1779160000001</v>
      </c>
      <c r="S13" s="1276"/>
      <c r="T13" s="1281"/>
      <c r="AA13" s="1281"/>
    </row>
    <row r="14" spans="1:27" s="1256" customFormat="1" x14ac:dyDescent="0.35">
      <c r="A14" s="9168"/>
      <c r="B14" s="1283"/>
      <c r="C14" s="1284" t="s">
        <v>3267</v>
      </c>
      <c r="D14" s="1269"/>
      <c r="E14" s="1270"/>
      <c r="F14" s="1276"/>
      <c r="G14" s="1272">
        <v>4432</v>
      </c>
      <c r="H14" s="1273">
        <v>1331.584059</v>
      </c>
      <c r="I14" s="7310" t="s">
        <v>465</v>
      </c>
      <c r="J14" s="476"/>
      <c r="K14" s="1275"/>
      <c r="L14" s="1272">
        <v>3500</v>
      </c>
      <c r="M14" s="7310" t="s">
        <v>465</v>
      </c>
      <c r="N14" s="1278">
        <v>632.71598300000005</v>
      </c>
      <c r="O14" s="1276"/>
      <c r="P14" s="1272">
        <v>2080</v>
      </c>
      <c r="Q14" s="7310" t="s">
        <v>4537</v>
      </c>
      <c r="R14" s="1278">
        <v>1557.0463749999999</v>
      </c>
      <c r="S14" s="1276"/>
      <c r="T14" s="1281"/>
      <c r="AA14" s="1281"/>
    </row>
    <row r="15" spans="1:27" s="1256" customFormat="1" x14ac:dyDescent="0.35">
      <c r="A15" s="9168"/>
      <c r="B15" s="1287"/>
      <c r="C15" s="1288" t="s">
        <v>466</v>
      </c>
      <c r="D15" s="1289"/>
      <c r="E15" s="1270"/>
      <c r="F15" s="1276"/>
      <c r="G15" s="7311">
        <f t="shared" ref="G15:H15" si="0">SUM(G12:G14)</f>
        <v>126870</v>
      </c>
      <c r="H15" s="7312">
        <f t="shared" si="0"/>
        <v>124789.98349499999</v>
      </c>
      <c r="I15" s="3000" t="s">
        <v>4538</v>
      </c>
      <c r="J15" s="476"/>
      <c r="K15" s="1286"/>
      <c r="L15" s="7311">
        <f>SUM(L12:L14)</f>
        <v>142980</v>
      </c>
      <c r="M15" s="3000" t="s">
        <v>4538</v>
      </c>
      <c r="N15" s="7313">
        <f>SUM(N12:N14)</f>
        <v>117725.08155599999</v>
      </c>
      <c r="O15" s="1276"/>
      <c r="P15" s="7311">
        <f>SUM(P12:P14)</f>
        <v>126437</v>
      </c>
      <c r="Q15" s="3000" t="s">
        <v>4538</v>
      </c>
      <c r="R15" s="7313">
        <f>SUM(R12:R14)</f>
        <v>137576.33821000002</v>
      </c>
      <c r="S15" s="1276"/>
      <c r="T15" s="1297"/>
      <c r="AA15" s="1297"/>
    </row>
    <row r="16" spans="1:27" x14ac:dyDescent="0.35">
      <c r="A16" s="9168"/>
      <c r="B16" s="100" t="s">
        <v>468</v>
      </c>
      <c r="C16" s="49"/>
      <c r="D16" s="585"/>
      <c r="E16" s="43"/>
      <c r="F16" s="43"/>
      <c r="G16" s="107"/>
      <c r="H16" s="106"/>
      <c r="I16" s="7309" t="s">
        <v>4539</v>
      </c>
      <c r="J16" s="104"/>
      <c r="K16" s="43"/>
      <c r="L16" s="107"/>
      <c r="M16" s="7309" t="s">
        <v>4540</v>
      </c>
      <c r="N16" s="105"/>
      <c r="O16" s="43"/>
      <c r="P16" s="107"/>
      <c r="Q16" s="7309" t="s">
        <v>4541</v>
      </c>
      <c r="R16" s="105"/>
      <c r="S16" s="43"/>
      <c r="T16" s="18"/>
      <c r="AA16" s="18"/>
    </row>
    <row r="17" spans="1:27" s="1256" customFormat="1" x14ac:dyDescent="0.35">
      <c r="A17" s="9168"/>
      <c r="B17" s="1299"/>
      <c r="C17" s="1300" t="s">
        <v>470</v>
      </c>
      <c r="D17" s="1269"/>
      <c r="E17" s="1270"/>
      <c r="F17" s="1270"/>
      <c r="G17" s="595">
        <f>43314+18780+400+600</f>
        <v>63094</v>
      </c>
      <c r="H17" s="594">
        <f>40419.616739+17232.26912+431.666664</f>
        <v>58083.552522999998</v>
      </c>
      <c r="I17" s="1279" t="s">
        <v>4542</v>
      </c>
      <c r="J17" s="476"/>
      <c r="K17" s="1270"/>
      <c r="L17" s="595">
        <f>50645+26605+1000</f>
        <v>78250</v>
      </c>
      <c r="M17" s="1279" t="s">
        <v>4542</v>
      </c>
      <c r="N17" s="596">
        <f>43506.554811+21496.525748+431.666664</f>
        <v>65434.747222999998</v>
      </c>
      <c r="O17" s="1270"/>
      <c r="P17" s="595">
        <f>67898-P20</f>
        <v>66338</v>
      </c>
      <c r="Q17" s="1279" t="s">
        <v>4542</v>
      </c>
      <c r="R17" s="596">
        <f>63244.040207-R20</f>
        <v>60626.978016000001</v>
      </c>
      <c r="S17" s="1270"/>
      <c r="T17" s="1281"/>
      <c r="AA17" s="1281"/>
    </row>
    <row r="18" spans="1:27" s="1256" customFormat="1" x14ac:dyDescent="0.35">
      <c r="A18" s="9168"/>
      <c r="B18" s="1299"/>
      <c r="C18" s="1305" t="s">
        <v>630</v>
      </c>
      <c r="D18" s="1269"/>
      <c r="E18" s="1270"/>
      <c r="F18" s="1270"/>
      <c r="G18" s="595">
        <v>71134</v>
      </c>
      <c r="H18" s="594">
        <v>66404.402180000005</v>
      </c>
      <c r="I18" s="1279"/>
      <c r="J18" s="476"/>
      <c r="K18" s="1270"/>
      <c r="L18" s="595">
        <v>76535</v>
      </c>
      <c r="M18" s="1279"/>
      <c r="N18" s="596">
        <v>49169.132981000002</v>
      </c>
      <c r="O18" s="1270"/>
      <c r="P18" s="595">
        <v>56459</v>
      </c>
      <c r="Q18" s="1279"/>
      <c r="R18" s="596">
        <v>45767.633082</v>
      </c>
      <c r="S18" s="1270"/>
      <c r="T18" s="1281"/>
      <c r="AA18" s="1281"/>
    </row>
    <row r="19" spans="1:27" s="1256" customFormat="1" x14ac:dyDescent="0.35">
      <c r="A19" s="9168"/>
      <c r="B19" s="1299"/>
      <c r="C19" s="1305" t="s">
        <v>632</v>
      </c>
      <c r="D19" s="1269"/>
      <c r="E19" s="1270"/>
      <c r="F19" s="1270"/>
      <c r="G19" s="595"/>
      <c r="H19" s="594"/>
      <c r="I19" s="1279"/>
      <c r="J19" s="476"/>
      <c r="K19" s="1270"/>
      <c r="L19" s="595"/>
      <c r="M19" s="1279"/>
      <c r="N19" s="596"/>
      <c r="O19" s="1270"/>
      <c r="P19" s="595"/>
      <c r="Q19" s="1279"/>
      <c r="R19" s="596"/>
      <c r="S19" s="1270"/>
      <c r="T19" s="1281"/>
      <c r="AA19" s="1281"/>
    </row>
    <row r="20" spans="1:27" s="1256" customFormat="1" x14ac:dyDescent="0.35">
      <c r="A20" s="9168"/>
      <c r="B20" s="1299"/>
      <c r="C20" s="1305" t="s">
        <v>3282</v>
      </c>
      <c r="D20" s="1269"/>
      <c r="E20" s="1270"/>
      <c r="F20" s="1270"/>
      <c r="G20" s="595">
        <v>4442</v>
      </c>
      <c r="H20" s="594">
        <v>3150.7358519999998</v>
      </c>
      <c r="I20" s="1309"/>
      <c r="J20" s="476"/>
      <c r="K20" s="1270"/>
      <c r="L20" s="595">
        <v>5355</v>
      </c>
      <c r="M20" s="1279"/>
      <c r="N20" s="596">
        <v>3311.0913959999998</v>
      </c>
      <c r="O20" s="1270"/>
      <c r="P20" s="595">
        <v>1560</v>
      </c>
      <c r="Q20" s="1279"/>
      <c r="R20" s="596">
        <v>2617.062191</v>
      </c>
      <c r="S20" s="1270"/>
      <c r="T20" s="1281"/>
      <c r="AA20" s="1281"/>
    </row>
    <row r="21" spans="1:27" s="1256" customFormat="1" x14ac:dyDescent="0.35">
      <c r="A21" s="9168"/>
      <c r="B21" s="1299"/>
      <c r="C21" s="1305" t="s">
        <v>3285</v>
      </c>
      <c r="D21" s="1269"/>
      <c r="E21" s="1270"/>
      <c r="F21" s="1270"/>
      <c r="G21" s="595"/>
      <c r="H21" s="594"/>
      <c r="I21" s="1303"/>
      <c r="J21" s="476"/>
      <c r="K21" s="1270"/>
      <c r="L21" s="595"/>
      <c r="M21" s="1279"/>
      <c r="N21" s="596"/>
      <c r="O21" s="1270"/>
      <c r="P21" s="595"/>
      <c r="Q21" s="1279"/>
      <c r="R21" s="596"/>
      <c r="S21" s="1270"/>
      <c r="T21" s="1281"/>
      <c r="AA21" s="1281"/>
    </row>
    <row r="22" spans="1:27" s="1256" customFormat="1" x14ac:dyDescent="0.35">
      <c r="A22" s="9168"/>
      <c r="B22" s="1310"/>
      <c r="C22" s="1311" t="s">
        <v>479</v>
      </c>
      <c r="D22" s="1289"/>
      <c r="E22" s="1270"/>
      <c r="F22" s="1270"/>
      <c r="G22" s="7314">
        <f t="shared" ref="G22:H22" si="1">SUM(G17:G21)</f>
        <v>138670</v>
      </c>
      <c r="H22" s="4674">
        <f t="shared" si="1"/>
        <v>127638.69055499999</v>
      </c>
      <c r="I22" s="1315"/>
      <c r="J22" s="476"/>
      <c r="K22" s="1270"/>
      <c r="L22" s="7314">
        <f>SUM(L17:L21)</f>
        <v>160140</v>
      </c>
      <c r="M22" s="1315"/>
      <c r="N22" s="7315">
        <f>SUM(N17:N21)</f>
        <v>117914.9716</v>
      </c>
      <c r="O22" s="1270"/>
      <c r="P22" s="7314">
        <f>SUM(P17:P21)</f>
        <v>124357</v>
      </c>
      <c r="Q22" s="1315"/>
      <c r="R22" s="7315">
        <f>SUM(R17:R21)</f>
        <v>109011.673289</v>
      </c>
      <c r="S22" s="1270"/>
      <c r="T22" s="1297"/>
      <c r="AA22" s="1297"/>
    </row>
    <row r="23" spans="1:27" s="1256" customFormat="1" x14ac:dyDescent="0.35">
      <c r="A23" s="9168"/>
      <c r="B23" s="1316" t="s">
        <v>480</v>
      </c>
      <c r="C23" s="1317"/>
      <c r="D23" s="1318"/>
      <c r="E23" s="1319"/>
      <c r="F23" s="1319"/>
      <c r="G23" s="1326"/>
      <c r="H23" s="1127"/>
      <c r="I23" s="1126"/>
      <c r="J23" s="7009"/>
      <c r="K23" s="1319"/>
      <c r="L23" s="1326"/>
      <c r="M23" s="7309"/>
      <c r="N23" s="1325"/>
      <c r="O23" s="1319"/>
      <c r="P23" s="1326"/>
      <c r="Q23" s="7309"/>
      <c r="R23" s="1325"/>
      <c r="S23" s="1319"/>
      <c r="T23" s="1266"/>
      <c r="AA23" s="1266"/>
    </row>
    <row r="24" spans="1:27" s="1256" customFormat="1" x14ac:dyDescent="0.35">
      <c r="A24" s="9168"/>
      <c r="B24" s="1299"/>
      <c r="C24" s="1300" t="s">
        <v>483</v>
      </c>
      <c r="D24" s="1269"/>
      <c r="E24" s="1270"/>
      <c r="F24" s="1270"/>
      <c r="G24" s="607">
        <v>43314</v>
      </c>
      <c r="H24" s="594">
        <v>40419.616738999997</v>
      </c>
      <c r="I24" s="1309" t="s">
        <v>4539</v>
      </c>
      <c r="J24" s="476"/>
      <c r="K24" s="1270"/>
      <c r="L24" s="607">
        <v>50645</v>
      </c>
      <c r="M24" s="1309" t="s">
        <v>4540</v>
      </c>
      <c r="N24" s="596">
        <v>43506.554811000002</v>
      </c>
      <c r="O24" s="1270"/>
      <c r="P24" s="607">
        <v>44647.5</v>
      </c>
      <c r="Q24" s="1309" t="s">
        <v>4541</v>
      </c>
      <c r="R24" s="596">
        <v>44952.231897999998</v>
      </c>
      <c r="S24" s="1270"/>
      <c r="T24" s="1281"/>
      <c r="AA24" s="1281"/>
    </row>
    <row r="25" spans="1:27" s="1256" customFormat="1" x14ac:dyDescent="0.35">
      <c r="A25" s="9168"/>
      <c r="B25" s="1299"/>
      <c r="C25" s="1300" t="s">
        <v>489</v>
      </c>
      <c r="D25" s="1269"/>
      <c r="E25" s="1270"/>
      <c r="F25" s="1270"/>
      <c r="G25" s="607"/>
      <c r="H25" s="594"/>
      <c r="I25" s="1309"/>
      <c r="J25" s="476"/>
      <c r="K25" s="1270"/>
      <c r="L25" s="607"/>
      <c r="M25" s="1309"/>
      <c r="N25" s="596"/>
      <c r="O25" s="1270"/>
      <c r="P25" s="607"/>
      <c r="Q25" s="1309"/>
      <c r="R25" s="596"/>
      <c r="S25" s="1270"/>
      <c r="T25" s="1281"/>
      <c r="AA25" s="1281"/>
    </row>
    <row r="26" spans="1:27" s="1256" customFormat="1" x14ac:dyDescent="0.35">
      <c r="A26" s="9168"/>
      <c r="B26" s="1299"/>
      <c r="C26" s="1300" t="s">
        <v>490</v>
      </c>
      <c r="D26" s="1269">
        <v>2</v>
      </c>
      <c r="E26" s="1270"/>
      <c r="F26" s="1270"/>
      <c r="G26" s="607">
        <v>600</v>
      </c>
      <c r="H26" s="594">
        <v>612.26226799999995</v>
      </c>
      <c r="I26" s="1309" t="s">
        <v>4543</v>
      </c>
      <c r="J26" s="476"/>
      <c r="K26" s="1270"/>
      <c r="L26" s="607">
        <v>640</v>
      </c>
      <c r="M26" s="1309" t="s">
        <v>4544</v>
      </c>
      <c r="N26" s="596">
        <v>619.46731499999999</v>
      </c>
      <c r="O26" s="1270"/>
      <c r="P26" s="607">
        <v>610</v>
      </c>
      <c r="Q26" s="1309" t="s">
        <v>4545</v>
      </c>
      <c r="R26" s="596">
        <v>659.30663300000003</v>
      </c>
      <c r="S26" s="1270"/>
      <c r="T26" s="1281"/>
      <c r="AA26" s="1281"/>
    </row>
    <row r="27" spans="1:27" s="1256" customFormat="1" x14ac:dyDescent="0.35">
      <c r="A27" s="9168"/>
      <c r="B27" s="1299"/>
      <c r="C27" s="1333" t="s">
        <v>497</v>
      </c>
      <c r="D27" s="1334"/>
      <c r="E27" s="1270"/>
      <c r="F27" s="1270"/>
      <c r="G27" s="607"/>
      <c r="H27" s="613"/>
      <c r="I27" s="645"/>
      <c r="J27" s="476"/>
      <c r="K27" s="1270"/>
      <c r="L27" s="607"/>
      <c r="M27" s="645"/>
      <c r="N27" s="596"/>
      <c r="O27" s="1270"/>
      <c r="P27" s="607"/>
      <c r="Q27" s="645"/>
      <c r="R27" s="596"/>
      <c r="S27" s="1270"/>
      <c r="T27" s="1281"/>
      <c r="AA27" s="1281"/>
    </row>
    <row r="28" spans="1:27" x14ac:dyDescent="0.35">
      <c r="A28" s="9168"/>
      <c r="B28" s="128"/>
      <c r="C28" s="129" t="s">
        <v>499</v>
      </c>
      <c r="D28" s="209"/>
      <c r="F28" s="176"/>
      <c r="G28" s="6564">
        <f t="shared" ref="G28:H28" si="2">G26/G24</f>
        <v>1.3852334118298934E-2</v>
      </c>
      <c r="H28" s="6127">
        <f t="shared" si="2"/>
        <v>1.5147651496884225E-2</v>
      </c>
      <c r="I28" s="497"/>
      <c r="J28" s="7011"/>
      <c r="K28" s="1338"/>
      <c r="L28" s="6564">
        <f>L26/L24</f>
        <v>1.2636982920327772E-2</v>
      </c>
      <c r="M28" s="497"/>
      <c r="N28" s="496">
        <f>N26/N24</f>
        <v>1.4238482400895064E-2</v>
      </c>
      <c r="O28" s="176"/>
      <c r="P28" s="1339">
        <f>P26/P24</f>
        <v>1.3662579091774455E-2</v>
      </c>
      <c r="Q28" s="177"/>
      <c r="R28" s="175">
        <f>R26/R24</f>
        <v>1.4666827544759434E-2</v>
      </c>
      <c r="S28" s="176"/>
      <c r="T28" s="24"/>
      <c r="AA28" s="24"/>
    </row>
    <row r="29" spans="1:27" x14ac:dyDescent="0.35">
      <c r="A29" s="9168"/>
      <c r="B29" s="139" t="s">
        <v>501</v>
      </c>
      <c r="C29" s="49"/>
      <c r="D29" s="184"/>
      <c r="G29" s="3364"/>
      <c r="H29" s="839"/>
      <c r="I29" s="839"/>
      <c r="J29" s="840"/>
      <c r="K29" s="170"/>
      <c r="L29" s="3364"/>
      <c r="M29" s="839"/>
      <c r="N29" s="1342"/>
      <c r="P29" s="192"/>
      <c r="Q29" s="190"/>
      <c r="R29" s="1342"/>
      <c r="T29" s="617"/>
      <c r="AA29" s="617"/>
    </row>
    <row r="30" spans="1:27" x14ac:dyDescent="0.35">
      <c r="A30" s="9168"/>
      <c r="B30" s="196"/>
      <c r="C30" s="121" t="s">
        <v>470</v>
      </c>
      <c r="D30" s="197"/>
      <c r="G30" s="117"/>
      <c r="H30" s="201"/>
      <c r="I30" s="3368"/>
      <c r="J30" s="835"/>
      <c r="K30" s="170"/>
      <c r="L30" s="117"/>
      <c r="M30" s="3368"/>
      <c r="N30" s="1344"/>
      <c r="P30" s="117"/>
      <c r="Q30" s="1343"/>
      <c r="R30" s="1344"/>
      <c r="T30" s="625"/>
      <c r="AA30" s="625"/>
    </row>
    <row r="31" spans="1:27" x14ac:dyDescent="0.35">
      <c r="A31" s="9169"/>
      <c r="B31" s="207"/>
      <c r="C31" s="208" t="s">
        <v>1116</v>
      </c>
      <c r="D31" s="209"/>
      <c r="G31" s="217"/>
      <c r="H31" s="215"/>
      <c r="I31" s="1159"/>
      <c r="J31" s="484"/>
      <c r="L31" s="217"/>
      <c r="M31" s="1159"/>
      <c r="N31" s="1346"/>
      <c r="P31" s="217"/>
      <c r="Q31" s="1159"/>
      <c r="R31" s="1346"/>
      <c r="T31" s="625"/>
      <c r="AA31" s="625"/>
    </row>
    <row r="32" spans="1:27" x14ac:dyDescent="0.35">
      <c r="A32" s="220"/>
      <c r="B32" s="220"/>
      <c r="G32" s="106"/>
      <c r="H32" s="106"/>
      <c r="I32" s="106"/>
      <c r="J32" s="221"/>
      <c r="L32" s="106"/>
      <c r="M32" s="106"/>
      <c r="P32" s="106"/>
      <c r="Q32" s="106"/>
    </row>
    <row r="33" spans="1:27" ht="27.75" customHeight="1" x14ac:dyDescent="0.35">
      <c r="A33" s="9167" t="s">
        <v>503</v>
      </c>
      <c r="B33" s="27"/>
      <c r="C33" s="28" t="s">
        <v>427</v>
      </c>
      <c r="D33" s="585" t="s">
        <v>428</v>
      </c>
      <c r="E33" s="30"/>
      <c r="F33" s="30"/>
      <c r="G33" s="36"/>
      <c r="H33" s="36"/>
      <c r="I33" s="4645"/>
      <c r="J33" s="1347"/>
      <c r="K33" s="223"/>
      <c r="L33" s="36"/>
      <c r="M33" s="4645"/>
      <c r="N33" s="1348"/>
      <c r="O33" s="30"/>
      <c r="P33" s="36"/>
      <c r="Q33" s="225"/>
      <c r="R33" s="1348"/>
      <c r="S33" s="30"/>
      <c r="T33" s="39"/>
      <c r="V33" t="s">
        <v>4546</v>
      </c>
      <c r="AA33" s="39"/>
    </row>
    <row r="34" spans="1:27" x14ac:dyDescent="0.35">
      <c r="A34" s="9168"/>
      <c r="B34" s="141" t="s">
        <v>514</v>
      </c>
      <c r="C34"/>
      <c r="D34" s="184"/>
      <c r="E34" s="143"/>
      <c r="F34" s="143"/>
      <c r="G34" s="230"/>
      <c r="H34" s="103"/>
      <c r="I34" s="231"/>
      <c r="J34" s="228"/>
      <c r="K34" s="143"/>
      <c r="L34" s="230"/>
      <c r="M34" s="231"/>
      <c r="N34" s="1349"/>
      <c r="O34" s="143"/>
      <c r="P34" s="230" t="s">
        <v>4547</v>
      </c>
      <c r="Q34" s="231"/>
      <c r="R34" s="1349"/>
      <c r="S34" s="143"/>
      <c r="T34" s="18"/>
      <c r="AA34" s="18"/>
    </row>
    <row r="35" spans="1:27" x14ac:dyDescent="0.35">
      <c r="A35" s="9168"/>
      <c r="B35" s="240"/>
      <c r="C35" s="240" t="s">
        <v>4548</v>
      </c>
      <c r="D35" s="197"/>
      <c r="G35" s="1353">
        <f>24572.02+(2459+18+942.372+3.6+5.4+8.35+86+60+110+378.5+430+1206+100+70+220.5+490+6)</f>
        <v>31165.741999999998</v>
      </c>
      <c r="H35" s="624">
        <f>23283.309159+(1378.294513+14.4+603.06321+2.15+45.727106+10.2+82.337842+52.938377+126.571227+375.647952+352.6988+688.029475+90.653295+58.90406+75.151906+393.222074+4.8)</f>
        <v>27638.098996000001</v>
      </c>
      <c r="I35" s="1161" t="s">
        <v>4549</v>
      </c>
      <c r="J35" s="7012"/>
      <c r="K35" s="1270"/>
      <c r="L35" s="1353">
        <f>(3139+2.45+166.35+21200+45.4+63.16+464.87+510.821+370.4+996.5+825.88+527.9+8.15+158.37+387.75+226.64+11.6+0)+(2584+18+942+3.6+5.4+17.52+100+84+120+397+430+1205.27+103+80+204+502.744+6.9+0)</f>
        <v>35908.675000000003</v>
      </c>
      <c r="M35" s="1161" t="s">
        <v>4550</v>
      </c>
      <c r="N35" s="623">
        <f>(2971.432975+0.961877+167.013537+159.462563+(21200-5170.406696)+43.004058+60.337424+428.100233+512.111351+338.755139+1029.552796+655.001188+536.528662+7.26953+147.039862+369.269464+222.602204+845.637671)+(2590.059196+12+829.750225+1.9+56.840615+11.64+58.697773+18.785043+121.690081+394.079045+433.772346+695.607802+102.289842+48.305123+79.608071+361.257497+4.4)</f>
        <v>30344.356497000001</v>
      </c>
      <c r="P35" s="1353">
        <f>(3378.5+1.759+166+162+20180+45.88+61.5+478.2+534+401.6+1085.5+856.4+566.5+7.4+157.9+402+238.5+959.7+10.64)+(1884.2+18+693+3+5.4+18+100+70+120+400+315+1003.6+105+100+163+360+6)</f>
        <v>35058.179000000004</v>
      </c>
      <c r="Q35" s="1161" t="s">
        <v>4551</v>
      </c>
      <c r="R35" s="623">
        <f>(3752.50407+1.032604+233.75018+215.464098+18732.788573+56.305727+79.854594+540.952878+603.297753+434.981907+1136.760512+786.403219+635.057851+5.803536+303.497593+437.945641+229.078852+943.67419+6.86726)+(929.831858+9.284+273.200574+1.45+19.773+10.19+72.214+30.66542+324.507664+118.608272+719.756708+57.01182+31.662188+32.897852+131.82878+2.8)</f>
        <v>31901.703173999998</v>
      </c>
      <c r="T35" s="26"/>
      <c r="V35" t="s">
        <v>4552</v>
      </c>
      <c r="AA35" s="26"/>
    </row>
    <row r="36" spans="1:27" x14ac:dyDescent="0.35">
      <c r="A36" s="9168"/>
      <c r="B36" s="240"/>
      <c r="C36" s="240" t="s">
        <v>4553</v>
      </c>
      <c r="D36" s="197"/>
      <c r="G36" s="1353">
        <v>17742.5</v>
      </c>
      <c r="H36" s="624">
        <v>13273.417228</v>
      </c>
      <c r="I36" s="1161" t="s">
        <v>4554</v>
      </c>
      <c r="J36" s="7018"/>
      <c r="K36" s="1270"/>
      <c r="L36" s="1353">
        <v>15466.9</v>
      </c>
      <c r="M36" s="1161" t="s">
        <v>4555</v>
      </c>
      <c r="N36" s="623">
        <v>10465.353138</v>
      </c>
      <c r="P36" s="1353">
        <f>5+1315.424+100+120+28+448+590+5+136.67+24.5+4950.4+70+627.25+333.4+6+350+40+100+1105.6+1950+21+36+26+5+16+65+868+668+806.776+2620+125+45+5+55+52+139+165.5+392.8+36</f>
        <v>18452.319999999996</v>
      </c>
      <c r="Q36" s="1161" t="s">
        <v>4556</v>
      </c>
      <c r="R36" s="623">
        <f>1421.431436+94.888885+113.436664+1216.16311+370.519323+0.5+16.535+4338.789994+554.648188+12.324438+110.749775+30+687.152768+1250.529585+19.95+16.65+15.583369+70.423125+681.967459+481.343813+726.358233+2381.887017+213.97922+43.875224+4.669371+5.153+7.57636+11.94085+254.295744</f>
        <v>15153.321950999998</v>
      </c>
      <c r="T36" s="26"/>
      <c r="V36" t="s">
        <v>4557</v>
      </c>
      <c r="AA36" s="26"/>
    </row>
    <row r="37" spans="1:27" x14ac:dyDescent="0.35">
      <c r="A37" s="9168"/>
      <c r="B37" s="241"/>
      <c r="C37" s="639"/>
      <c r="D37" s="197"/>
      <c r="G37" s="1154"/>
      <c r="H37" s="1358"/>
      <c r="I37"/>
      <c r="J37" s="7018"/>
      <c r="K37" s="1270"/>
      <c r="L37" s="1154"/>
      <c r="N37" s="608"/>
      <c r="P37" s="1154"/>
      <c r="R37" s="608"/>
      <c r="T37" s="26"/>
      <c r="V37" t="s">
        <v>4558</v>
      </c>
      <c r="AA37" s="26"/>
    </row>
    <row r="38" spans="1:27" x14ac:dyDescent="0.35">
      <c r="A38" s="9168"/>
      <c r="B38" s="241"/>
      <c r="C38" s="639"/>
      <c r="D38" s="197"/>
      <c r="G38" s="612"/>
      <c r="H38" s="1358"/>
      <c r="I38" s="645"/>
      <c r="J38" s="7018"/>
      <c r="K38" s="1270"/>
      <c r="L38" s="612"/>
      <c r="M38" s="645"/>
      <c r="N38" s="614"/>
      <c r="P38" s="612"/>
      <c r="Q38" s="645"/>
      <c r="R38" s="614"/>
      <c r="T38" s="26"/>
      <c r="V38" t="s">
        <v>4559</v>
      </c>
      <c r="AA38" s="26"/>
    </row>
    <row r="39" spans="1:27" x14ac:dyDescent="0.35">
      <c r="A39" s="9168"/>
      <c r="B39" s="141" t="s">
        <v>531</v>
      </c>
      <c r="C39"/>
      <c r="D39" s="197"/>
      <c r="E39" s="143"/>
      <c r="F39" s="143"/>
      <c r="G39" s="1361"/>
      <c r="H39" s="645"/>
      <c r="I39" s="645"/>
      <c r="J39" s="1363"/>
      <c r="K39" s="1321"/>
      <c r="L39" s="1361"/>
      <c r="M39" s="645"/>
      <c r="N39" s="619"/>
      <c r="O39" s="143"/>
      <c r="P39" s="1361"/>
      <c r="Q39" s="645"/>
      <c r="R39" s="619"/>
      <c r="S39" s="143"/>
      <c r="T39" s="18"/>
      <c r="V39" t="s">
        <v>4560</v>
      </c>
      <c r="AA39" s="18"/>
    </row>
    <row r="40" spans="1:27" x14ac:dyDescent="0.35">
      <c r="A40" s="9168"/>
      <c r="B40" s="240"/>
      <c r="C40" s="240" t="s">
        <v>532</v>
      </c>
      <c r="D40" s="197"/>
      <c r="G40" s="1353"/>
      <c r="H40" s="624"/>
      <c r="I40" s="645"/>
      <c r="J40" s="7013"/>
      <c r="K40" s="1270"/>
      <c r="L40" s="1353"/>
      <c r="M40" s="645"/>
      <c r="N40" s="623"/>
      <c r="P40" s="1353"/>
      <c r="Q40" s="645"/>
      <c r="R40" s="623"/>
      <c r="T40" s="26"/>
      <c r="V40" t="s">
        <v>4561</v>
      </c>
      <c r="AA40" s="26"/>
    </row>
    <row r="41" spans="1:27" x14ac:dyDescent="0.35">
      <c r="A41" s="9168"/>
      <c r="B41" s="240"/>
      <c r="C41" s="240" t="s">
        <v>533</v>
      </c>
      <c r="D41" s="197"/>
      <c r="G41" s="1154"/>
      <c r="H41" s="624"/>
      <c r="I41" s="645"/>
      <c r="J41" s="7013"/>
      <c r="K41" s="1270"/>
      <c r="L41" s="1154"/>
      <c r="M41" s="645"/>
      <c r="N41" s="608"/>
      <c r="P41" s="1154"/>
      <c r="Q41" s="645"/>
      <c r="R41" s="608"/>
      <c r="T41" s="26"/>
      <c r="V41" t="s">
        <v>4562</v>
      </c>
      <c r="AA41" s="26"/>
    </row>
    <row r="42" spans="1:27" x14ac:dyDescent="0.35">
      <c r="A42" s="9168"/>
      <c r="B42" s="250"/>
      <c r="C42" s="250" t="s">
        <v>534</v>
      </c>
      <c r="D42" s="209"/>
      <c r="G42" s="1156"/>
      <c r="H42" s="605"/>
      <c r="I42" s="1200"/>
      <c r="J42" s="7014"/>
      <c r="K42" s="1270"/>
      <c r="L42" s="1156"/>
      <c r="M42" s="1200"/>
      <c r="N42" s="604"/>
      <c r="P42" s="1156"/>
      <c r="Q42" s="1200"/>
      <c r="R42" s="604"/>
      <c r="T42" s="24"/>
      <c r="V42" t="s">
        <v>4563</v>
      </c>
      <c r="AA42" s="24"/>
    </row>
    <row r="43" spans="1:27" x14ac:dyDescent="0.35">
      <c r="A43" s="9168"/>
      <c r="B43" s="141" t="s">
        <v>535</v>
      </c>
      <c r="C43" s="141"/>
      <c r="D43" s="197"/>
      <c r="E43" s="143"/>
      <c r="F43" s="143"/>
      <c r="G43" s="1368"/>
      <c r="H43" s="653"/>
      <c r="I43" s="7016" t="s">
        <v>4564</v>
      </c>
      <c r="J43" s="7015"/>
      <c r="K43" s="1321"/>
      <c r="L43" s="1368"/>
      <c r="M43" s="1425" t="s">
        <v>4565</v>
      </c>
      <c r="N43" s="1370"/>
      <c r="O43" s="143"/>
      <c r="P43" s="1368"/>
      <c r="Q43" s="1425" t="s">
        <v>4566</v>
      </c>
      <c r="R43" s="1370"/>
      <c r="S43" s="143"/>
      <c r="T43" s="26"/>
      <c r="V43" t="s">
        <v>4567</v>
      </c>
      <c r="AA43" s="26"/>
    </row>
    <row r="44" spans="1:27" ht="24.75" customHeight="1" x14ac:dyDescent="0.35">
      <c r="A44" s="9168"/>
      <c r="B44" s="240"/>
      <c r="C44" s="240" t="s">
        <v>532</v>
      </c>
      <c r="D44" s="197"/>
      <c r="G44" s="1353">
        <f>(252+13.516+194.085)+(15+11.6+12+86)</f>
        <v>584.20100000000002</v>
      </c>
      <c r="H44" s="624">
        <f>(234.032958+0+190.709741)+(46.053398+29.44874+3.329685+85.805348)</f>
        <v>589.37986999999998</v>
      </c>
      <c r="I44" s="1161" t="s">
        <v>4566</v>
      </c>
      <c r="J44" s="7013"/>
      <c r="K44" s="1270"/>
      <c r="L44" s="1353">
        <f>(241.57+45.37+199.61)+(22.261+16+12+86)</f>
        <v>622.81100000000004</v>
      </c>
      <c r="M44" s="1161" t="s">
        <v>4566</v>
      </c>
      <c r="N44" s="623">
        <f>(262.034207+199.236541)+(61.536674+28.197866+30.229818+129.930142)</f>
        <v>711.16524800000002</v>
      </c>
      <c r="P44" s="1353">
        <f>(297.813+30.704+105.063)+(47.235+41.2+14+36+90.3)</f>
        <v>662.31500000000005</v>
      </c>
      <c r="Q44" s="1161" t="s">
        <v>4551</v>
      </c>
      <c r="R44" s="623">
        <f>(331.48107+158.215347)+(44.28887+18.737006+21.291186+37.154876)</f>
        <v>611.16835500000002</v>
      </c>
      <c r="T44" s="257"/>
      <c r="V44" t="s">
        <v>4568</v>
      </c>
      <c r="AA44" s="257"/>
    </row>
    <row r="45" spans="1:27" x14ac:dyDescent="0.35">
      <c r="A45" s="9168"/>
      <c r="B45" s="240"/>
      <c r="C45" s="240" t="s">
        <v>533</v>
      </c>
      <c r="D45" s="197"/>
      <c r="G45" s="1353"/>
      <c r="H45" s="624"/>
      <c r="I45" s="1161"/>
      <c r="J45" s="7013"/>
      <c r="K45" s="1270"/>
      <c r="L45" s="1353"/>
      <c r="M45" s="1161"/>
      <c r="N45" s="623"/>
      <c r="P45" s="1353">
        <f>120+93+75+200</f>
        <v>488</v>
      </c>
      <c r="Q45" s="1161" t="s">
        <v>4569</v>
      </c>
      <c r="R45" s="623">
        <f>12.379202+6.88+23.836969+159.783726</f>
        <v>202.879897</v>
      </c>
      <c r="T45" s="26"/>
      <c r="V45" t="s">
        <v>4570</v>
      </c>
      <c r="AA45" s="26"/>
    </row>
    <row r="46" spans="1:27" x14ac:dyDescent="0.35">
      <c r="A46" s="9168"/>
      <c r="B46" s="240"/>
      <c r="C46" s="240" t="s">
        <v>534</v>
      </c>
      <c r="D46" s="197"/>
      <c r="G46" s="1353"/>
      <c r="H46" s="624"/>
      <c r="I46" s="1161"/>
      <c r="J46" s="7013"/>
      <c r="K46" s="1270"/>
      <c r="L46" s="1353"/>
      <c r="M46" s="1161"/>
      <c r="N46" s="623"/>
      <c r="P46" s="1353"/>
      <c r="Q46" s="1161"/>
      <c r="R46" s="623"/>
      <c r="T46" s="26"/>
      <c r="V46" t="s">
        <v>4571</v>
      </c>
      <c r="AA46" s="26"/>
    </row>
    <row r="47" spans="1:27" x14ac:dyDescent="0.35">
      <c r="A47" s="9168"/>
      <c r="B47" s="240"/>
      <c r="C47" s="240" t="s">
        <v>536</v>
      </c>
      <c r="D47" s="197"/>
      <c r="G47" s="1353"/>
      <c r="H47" s="624"/>
      <c r="I47" s="1161"/>
      <c r="J47" s="7013"/>
      <c r="K47" s="1270"/>
      <c r="L47" s="1353"/>
      <c r="M47" s="1161"/>
      <c r="N47" s="623"/>
      <c r="P47" s="1353"/>
      <c r="Q47" s="1161"/>
      <c r="R47" s="623"/>
      <c r="T47" s="26"/>
      <c r="V47" t="s">
        <v>4572</v>
      </c>
      <c r="AA47" s="26"/>
    </row>
    <row r="48" spans="1:27" x14ac:dyDescent="0.35">
      <c r="A48" s="9168"/>
      <c r="B48" s="240"/>
      <c r="C48" s="240" t="s">
        <v>537</v>
      </c>
      <c r="D48" s="197"/>
      <c r="G48" s="1353"/>
      <c r="H48" s="624"/>
      <c r="I48" s="1161"/>
      <c r="J48" s="7013"/>
      <c r="K48" s="1270"/>
      <c r="L48" s="1353"/>
      <c r="M48" s="1161"/>
      <c r="N48" s="623"/>
      <c r="P48" s="1353"/>
      <c r="Q48" s="1161"/>
      <c r="R48" s="623"/>
      <c r="T48" s="26"/>
      <c r="V48" t="s">
        <v>4573</v>
      </c>
      <c r="AA48" s="26"/>
    </row>
    <row r="49" spans="1:27" x14ac:dyDescent="0.35">
      <c r="A49" s="9168"/>
      <c r="B49" s="240"/>
      <c r="C49" s="240" t="s">
        <v>538</v>
      </c>
      <c r="D49" s="197"/>
      <c r="G49" s="1373"/>
      <c r="H49" s="624"/>
      <c r="I49" s="645"/>
      <c r="J49" s="7013"/>
      <c r="K49" s="1270"/>
      <c r="L49" s="1373"/>
      <c r="M49" s="645"/>
      <c r="N49" s="1374"/>
      <c r="P49" s="1373"/>
      <c r="Q49" s="645"/>
      <c r="R49" s="1374"/>
      <c r="T49" s="26"/>
      <c r="V49" t="s">
        <v>4574</v>
      </c>
      <c r="AA49" s="26"/>
    </row>
    <row r="50" spans="1:27" x14ac:dyDescent="0.35">
      <c r="A50" s="9168"/>
      <c r="B50" s="241"/>
      <c r="C50" s="241" t="s">
        <v>539</v>
      </c>
      <c r="D50" s="209"/>
      <c r="G50" s="612"/>
      <c r="H50" s="624"/>
      <c r="I50" s="1200"/>
      <c r="J50" s="7013"/>
      <c r="K50" s="1270"/>
      <c r="L50" s="612"/>
      <c r="M50" s="1200"/>
      <c r="N50" s="614"/>
      <c r="P50" s="612"/>
      <c r="Q50" s="1200"/>
      <c r="R50" s="614"/>
      <c r="T50" s="26"/>
      <c r="V50" t="s">
        <v>4575</v>
      </c>
      <c r="AA50" s="26"/>
    </row>
    <row r="51" spans="1:27" x14ac:dyDescent="0.35">
      <c r="A51" s="9168"/>
      <c r="B51" s="271" t="s">
        <v>540</v>
      </c>
      <c r="C51" s="271"/>
      <c r="D51" s="184"/>
      <c r="E51" s="141"/>
      <c r="F51" s="141"/>
      <c r="G51" s="1375"/>
      <c r="H51" s="653"/>
      <c r="I51" s="645"/>
      <c r="J51" s="7017"/>
      <c r="K51" s="1319"/>
      <c r="L51" s="1375"/>
      <c r="M51" s="645"/>
      <c r="N51" s="1377"/>
      <c r="O51" s="141"/>
      <c r="P51" s="1375"/>
      <c r="Q51" s="645"/>
      <c r="R51" s="1377"/>
      <c r="S51" s="141"/>
      <c r="T51" s="18"/>
      <c r="V51" t="s">
        <v>4576</v>
      </c>
      <c r="AA51" s="18"/>
    </row>
    <row r="52" spans="1:27" x14ac:dyDescent="0.35">
      <c r="A52" s="9168"/>
      <c r="B52" s="240"/>
      <c r="C52" s="240" t="s">
        <v>532</v>
      </c>
      <c r="D52" s="197"/>
      <c r="G52" s="1353">
        <f>24572.02</f>
        <v>24572.02</v>
      </c>
      <c r="H52" s="624">
        <f>23283.309159</f>
        <v>23283.309159</v>
      </c>
      <c r="I52" s="1161" t="s">
        <v>4543</v>
      </c>
      <c r="J52" s="7018"/>
      <c r="K52" s="1270"/>
      <c r="L52" s="1353">
        <f>(3139+2.45+166.35+21200+45.4+63.16+464.87+510.821+370.4+996.5+825.88+527.9+8.15+158.37+387.75+226.64+11.6+0)</f>
        <v>29105.241000000002</v>
      </c>
      <c r="M52" s="1161"/>
      <c r="N52" s="623">
        <f>(2971.432975+0.961877+167.013537+159.462563+(21200-5170.406696)+43.004058+60.337424+428.100233+512.111351+338.755139+1029.552796+655.001188+536.528662+7.26953+147.039862+369.269464+222.602204+845.637671)</f>
        <v>24523.673838000002</v>
      </c>
      <c r="P52" s="1353">
        <f>(3378.5+1.759+166+162+20180+45.88+61.5+478.2+534+401.6+1085.5+856.4+566.5+7.4+157.9+402+238.5+959.7+10.64)</f>
        <v>29693.979000000003</v>
      </c>
      <c r="Q52" s="1161" t="s">
        <v>911</v>
      </c>
      <c r="R52" s="623">
        <f>(3752.50407+1.032604+233.75018+215.464098+18732.788573+56.305727+79.854594+540.952878+603.297753+434.981907+1136.760512+786.403219+635.057851+5.803536+303.497593+437.945641+229.078852+943.67419+6.86726)</f>
        <v>29136.021037999999</v>
      </c>
      <c r="T52" s="26"/>
      <c r="V52" t="s">
        <v>4577</v>
      </c>
      <c r="AA52" s="26"/>
    </row>
    <row r="53" spans="1:27" x14ac:dyDescent="0.35">
      <c r="A53" s="9168"/>
      <c r="B53" s="240"/>
      <c r="C53" s="240" t="s">
        <v>533</v>
      </c>
      <c r="D53" s="197"/>
      <c r="G53" s="1154">
        <f>(252+13.516+194.085)</f>
        <v>459.601</v>
      </c>
      <c r="H53" s="624">
        <f>(234.032958+0+190.709741)</f>
        <v>424.74269900000002</v>
      </c>
      <c r="I53" s="1161" t="s">
        <v>4578</v>
      </c>
      <c r="J53" s="7013"/>
      <c r="K53" s="1270"/>
      <c r="L53" s="1154">
        <f>(241.57+45.37+199.61)</f>
        <v>486.55</v>
      </c>
      <c r="M53" s="645"/>
      <c r="N53" s="608">
        <f>(262.034207+199.236541)</f>
        <v>461.27074799999997</v>
      </c>
      <c r="P53" s="1154">
        <f>(297.813+30.704+105.063)</f>
        <v>433.58</v>
      </c>
      <c r="Q53" s="645" t="s">
        <v>911</v>
      </c>
      <c r="R53" s="608">
        <f>(331.48107+158.215347)</f>
        <v>489.696417</v>
      </c>
      <c r="T53" s="26" t="s">
        <v>4579</v>
      </c>
      <c r="V53" t="s">
        <v>4580</v>
      </c>
      <c r="AA53" s="26" t="s">
        <v>4579</v>
      </c>
    </row>
    <row r="54" spans="1:27" x14ac:dyDescent="0.35">
      <c r="A54" s="9168"/>
      <c r="B54" s="240"/>
      <c r="C54" s="240" t="s">
        <v>534</v>
      </c>
      <c r="D54" s="197"/>
      <c r="G54" s="612"/>
      <c r="H54" s="624"/>
      <c r="I54" s="645"/>
      <c r="J54" s="7013"/>
      <c r="K54" s="1270"/>
      <c r="L54" s="612"/>
      <c r="M54" s="645"/>
      <c r="N54" s="614"/>
      <c r="P54" s="612"/>
      <c r="Q54" s="645"/>
      <c r="R54" s="614"/>
      <c r="T54" s="26"/>
      <c r="V54" t="s">
        <v>4581</v>
      </c>
      <c r="AA54" s="26"/>
    </row>
    <row r="55" spans="1:27" x14ac:dyDescent="0.35">
      <c r="A55" s="9168"/>
      <c r="B55" s="240"/>
      <c r="C55" s="240" t="s">
        <v>536</v>
      </c>
      <c r="D55" s="197"/>
      <c r="G55" s="612"/>
      <c r="H55" s="624"/>
      <c r="I55" s="1161"/>
      <c r="J55" s="7013"/>
      <c r="K55" s="1270"/>
      <c r="L55" s="612"/>
      <c r="M55" s="1161"/>
      <c r="N55" s="614"/>
      <c r="P55" s="612"/>
      <c r="Q55" s="1161"/>
      <c r="R55" s="614"/>
      <c r="T55" s="26"/>
      <c r="AA55" s="26"/>
    </row>
    <row r="56" spans="1:27" x14ac:dyDescent="0.35">
      <c r="A56" s="9168"/>
      <c r="B56" s="240"/>
      <c r="C56" s="240" t="s">
        <v>537</v>
      </c>
      <c r="D56" s="197"/>
      <c r="G56" s="612"/>
      <c r="H56" s="624"/>
      <c r="I56" s="1161"/>
      <c r="J56" s="7013"/>
      <c r="K56" s="1270"/>
      <c r="L56" s="612"/>
      <c r="M56" s="1161"/>
      <c r="N56" s="614"/>
      <c r="P56" s="612"/>
      <c r="Q56" s="1161"/>
      <c r="R56" s="614"/>
      <c r="T56" s="26"/>
      <c r="AA56" s="26"/>
    </row>
    <row r="57" spans="1:27" x14ac:dyDescent="0.35">
      <c r="A57" s="9168"/>
      <c r="B57" s="240"/>
      <c r="C57" s="240" t="s">
        <v>538</v>
      </c>
      <c r="D57" s="197"/>
      <c r="G57" s="612"/>
      <c r="H57" s="624"/>
      <c r="I57" s="645"/>
      <c r="J57" s="7013"/>
      <c r="K57" s="1270"/>
      <c r="L57" s="612"/>
      <c r="M57" s="645"/>
      <c r="N57" s="614"/>
      <c r="P57" s="612"/>
      <c r="Q57" s="645"/>
      <c r="R57" s="614"/>
      <c r="T57" s="26"/>
      <c r="AA57" s="26"/>
    </row>
    <row r="58" spans="1:27" x14ac:dyDescent="0.35">
      <c r="A58" s="9168"/>
      <c r="B58" s="240"/>
      <c r="C58" s="240" t="s">
        <v>539</v>
      </c>
      <c r="D58" s="197"/>
      <c r="G58" s="612"/>
      <c r="H58" s="624"/>
      <c r="I58" s="645"/>
      <c r="J58" s="7013"/>
      <c r="K58" s="1270"/>
      <c r="L58" s="612"/>
      <c r="M58" s="645"/>
      <c r="N58" s="614"/>
      <c r="P58" s="612"/>
      <c r="Q58" s="645"/>
      <c r="R58" s="614"/>
      <c r="T58" s="26"/>
      <c r="AA58" s="26"/>
    </row>
    <row r="59" spans="1:27" x14ac:dyDescent="0.35">
      <c r="A59" s="9168"/>
      <c r="B59" s="250"/>
      <c r="C59" s="250" t="s">
        <v>704</v>
      </c>
      <c r="D59" s="209"/>
      <c r="G59" s="612"/>
      <c r="H59" s="624"/>
      <c r="I59" s="1200"/>
      <c r="J59" s="7014"/>
      <c r="K59" s="1270"/>
      <c r="L59" s="612"/>
      <c r="M59" s="1200"/>
      <c r="N59" s="614"/>
      <c r="P59" s="612"/>
      <c r="Q59" s="1200"/>
      <c r="R59" s="614"/>
      <c r="T59" s="24"/>
      <c r="AA59" s="24"/>
    </row>
    <row r="60" spans="1:27" x14ac:dyDescent="0.35">
      <c r="A60" s="9168"/>
      <c r="B60" s="271" t="s">
        <v>552</v>
      </c>
      <c r="C60" s="271"/>
      <c r="D60" s="184"/>
      <c r="E60" s="143"/>
      <c r="F60" s="143"/>
      <c r="G60" s="1375"/>
      <c r="H60" s="653"/>
      <c r="I60" s="645"/>
      <c r="J60" s="1379"/>
      <c r="K60" s="1321"/>
      <c r="L60" s="1375"/>
      <c r="M60" s="645"/>
      <c r="N60" s="1377"/>
      <c r="O60" s="143"/>
      <c r="P60" s="1375"/>
      <c r="Q60" s="645"/>
      <c r="R60" s="1377"/>
      <c r="S60" s="143"/>
      <c r="T60" s="18"/>
      <c r="AA60" s="18"/>
    </row>
    <row r="61" spans="1:27" x14ac:dyDescent="0.35">
      <c r="A61" s="9168"/>
      <c r="B61" s="272"/>
      <c r="C61" s="272" t="s">
        <v>980</v>
      </c>
      <c r="D61" s="197"/>
      <c r="G61" s="1154"/>
      <c r="H61" s="624"/>
      <c r="I61" s="1256"/>
      <c r="J61" s="7019"/>
      <c r="K61" s="1270"/>
      <c r="L61" s="1154"/>
      <c r="M61" s="1256"/>
      <c r="N61" s="608"/>
      <c r="P61" s="1154"/>
      <c r="Q61" s="1256"/>
      <c r="R61" s="608"/>
      <c r="T61" s="26"/>
      <c r="AA61" s="26"/>
    </row>
    <row r="62" spans="1:27" x14ac:dyDescent="0.35">
      <c r="A62" s="9168"/>
      <c r="B62" s="274"/>
      <c r="C62" s="275" t="s">
        <v>11</v>
      </c>
      <c r="D62" s="197"/>
      <c r="G62" s="1154"/>
      <c r="H62" s="624"/>
      <c r="I62" s="645"/>
      <c r="J62" s="7013"/>
      <c r="K62" s="1270"/>
      <c r="L62" s="1154"/>
      <c r="M62" s="645"/>
      <c r="N62" s="608"/>
      <c r="P62" s="1154"/>
      <c r="Q62" s="645"/>
      <c r="R62" s="608"/>
      <c r="T62" s="26"/>
      <c r="AA62" s="26"/>
    </row>
    <row r="63" spans="1:27" x14ac:dyDescent="0.35">
      <c r="A63" s="9168"/>
      <c r="B63" s="274"/>
      <c r="C63" s="275" t="s">
        <v>1116</v>
      </c>
      <c r="D63" s="197"/>
      <c r="G63" s="612"/>
      <c r="H63" s="624"/>
      <c r="I63" s="645"/>
      <c r="J63" s="7013"/>
      <c r="K63" s="1270"/>
      <c r="L63" s="612"/>
      <c r="M63" s="645"/>
      <c r="N63" s="614"/>
      <c r="P63" s="612"/>
      <c r="Q63" s="645"/>
      <c r="R63" s="614"/>
      <c r="T63" s="26"/>
      <c r="AA63" s="26"/>
    </row>
    <row r="64" spans="1:27" x14ac:dyDescent="0.35">
      <c r="A64" s="9168"/>
      <c r="B64" s="277"/>
      <c r="C64" s="277" t="s">
        <v>555</v>
      </c>
      <c r="D64" s="209"/>
      <c r="G64" s="1383"/>
      <c r="H64" s="605"/>
      <c r="I64" s="7020"/>
      <c r="J64" s="7014"/>
      <c r="K64" s="1270"/>
      <c r="L64" s="1383"/>
      <c r="M64" s="7020"/>
      <c r="N64" s="1386"/>
      <c r="P64" s="1383"/>
      <c r="Q64" s="1385"/>
      <c r="R64" s="1386"/>
      <c r="T64" s="24"/>
      <c r="AA64" s="24"/>
    </row>
    <row r="65" spans="1:27" ht="15.25" customHeight="1" x14ac:dyDescent="0.35">
      <c r="A65" s="9168"/>
      <c r="B65" s="139" t="s">
        <v>556</v>
      </c>
      <c r="C65" s="908"/>
      <c r="D65" s="184"/>
      <c r="E65" s="143"/>
      <c r="F65" s="143"/>
      <c r="G65" s="1389"/>
      <c r="H65" s="1391"/>
      <c r="I65" s="645"/>
      <c r="J65" s="1392"/>
      <c r="K65" s="1270"/>
      <c r="L65" s="1389"/>
      <c r="M65" s="645"/>
      <c r="N65" s="645"/>
      <c r="O65" s="143"/>
      <c r="P65" s="1389"/>
      <c r="Q65" s="645"/>
      <c r="R65" s="645"/>
      <c r="S65" s="143"/>
      <c r="T65" s="18"/>
      <c r="AA65" s="18"/>
    </row>
    <row r="66" spans="1:27" x14ac:dyDescent="0.35">
      <c r="A66" s="9168"/>
      <c r="B66" s="1395"/>
      <c r="C66" s="1396" t="s">
        <v>532</v>
      </c>
      <c r="D66" s="197"/>
      <c r="G66" s="1277"/>
      <c r="H66" s="1406"/>
      <c r="I66" s="1404"/>
      <c r="J66" s="7021"/>
      <c r="K66" s="1270"/>
      <c r="L66" s="1277"/>
      <c r="M66" s="1404"/>
      <c r="N66" s="1407"/>
      <c r="P66" s="1277"/>
      <c r="Q66" s="1404"/>
      <c r="R66" s="1407"/>
      <c r="T66" s="26"/>
      <c r="AA66" s="26"/>
    </row>
    <row r="67" spans="1:27" x14ac:dyDescent="0.35">
      <c r="A67" s="9168"/>
      <c r="B67" s="1395"/>
      <c r="C67" s="1396" t="s">
        <v>533</v>
      </c>
      <c r="D67" s="197"/>
      <c r="G67" s="1412"/>
      <c r="H67" s="1402"/>
      <c r="I67" s="645"/>
      <c r="J67" s="7021"/>
      <c r="K67" s="1270"/>
      <c r="L67" s="1412"/>
      <c r="M67" s="645"/>
      <c r="N67" s="1413"/>
      <c r="P67" s="1412"/>
      <c r="Q67" s="645"/>
      <c r="R67" s="1413"/>
      <c r="T67" s="26"/>
      <c r="AA67" s="26"/>
    </row>
    <row r="68" spans="1:27" x14ac:dyDescent="0.35">
      <c r="A68" s="9168"/>
      <c r="B68" s="1414"/>
      <c r="C68" s="1396" t="s">
        <v>534</v>
      </c>
      <c r="D68" s="197"/>
      <c r="G68" s="1412"/>
      <c r="H68" s="1402"/>
      <c r="I68" s="645"/>
      <c r="J68" s="7021"/>
      <c r="K68" s="1270"/>
      <c r="L68" s="1412"/>
      <c r="M68" s="645"/>
      <c r="N68" s="1413"/>
      <c r="P68" s="1412"/>
      <c r="Q68" s="645"/>
      <c r="R68" s="1413"/>
      <c r="T68" s="26"/>
      <c r="AA68" s="26"/>
    </row>
    <row r="69" spans="1:27" x14ac:dyDescent="0.35">
      <c r="A69" s="9169"/>
      <c r="B69" s="1415"/>
      <c r="C69" s="1416" t="s">
        <v>536</v>
      </c>
      <c r="D69" s="209"/>
      <c r="G69" s="1293"/>
      <c r="H69" s="1420"/>
      <c r="I69" s="1200"/>
      <c r="J69" s="7022"/>
      <c r="K69" s="1270"/>
      <c r="L69" s="1293"/>
      <c r="M69" s="1200"/>
      <c r="N69" s="1422"/>
      <c r="P69" s="1293"/>
      <c r="Q69" s="1200"/>
      <c r="R69" s="1422"/>
      <c r="T69" s="24"/>
      <c r="AA69" s="24"/>
    </row>
    <row r="70" spans="1:27" x14ac:dyDescent="0.35">
      <c r="A70" s="310"/>
      <c r="B70" s="310"/>
      <c r="F70" s="645"/>
      <c r="G70" s="1425"/>
      <c r="H70" s="645"/>
      <c r="I70" s="645"/>
      <c r="J70" s="7023"/>
      <c r="K70" s="1270"/>
      <c r="L70" s="1425"/>
      <c r="M70" s="645"/>
      <c r="N70" s="645"/>
      <c r="O70" s="645"/>
      <c r="P70" s="1425"/>
      <c r="Q70" s="645"/>
      <c r="R70" s="645"/>
      <c r="S70" s="645"/>
    </row>
    <row r="71" spans="1:27" x14ac:dyDescent="0.35">
      <c r="A71" s="9226" t="s">
        <v>1114</v>
      </c>
      <c r="B71" s="317"/>
      <c r="C71" s="315" t="s">
        <v>3351</v>
      </c>
      <c r="D71" s="184"/>
      <c r="G71" s="320"/>
      <c r="H71" s="321"/>
      <c r="I71" s="1431"/>
      <c r="J71" s="7024"/>
      <c r="K71" s="1270"/>
      <c r="L71" s="320"/>
      <c r="M71" s="1431"/>
      <c r="N71" s="7316"/>
      <c r="P71" s="320"/>
      <c r="Q71" s="1431"/>
      <c r="R71" s="7316"/>
    </row>
    <row r="72" spans="1:27" x14ac:dyDescent="0.35">
      <c r="A72" s="9227"/>
      <c r="B72" s="325"/>
      <c r="C72" s="326" t="s">
        <v>3353</v>
      </c>
      <c r="D72" s="197"/>
      <c r="G72" s="1436"/>
      <c r="H72" s="340"/>
      <c r="I72" s="1161"/>
      <c r="J72" s="7317"/>
      <c r="K72" s="1270"/>
      <c r="L72" s="1436"/>
      <c r="M72" s="1161"/>
      <c r="N72" s="7318"/>
      <c r="P72" s="1436"/>
      <c r="Q72" s="1161"/>
      <c r="R72" s="7318"/>
    </row>
    <row r="73" spans="1:27" x14ac:dyDescent="0.35">
      <c r="A73" s="9227"/>
      <c r="B73" s="330"/>
      <c r="C73" s="326"/>
      <c r="D73" s="197"/>
      <c r="G73" s="1436"/>
      <c r="H73" s="340"/>
      <c r="I73" s="645"/>
      <c r="J73" s="7028"/>
      <c r="K73" s="1270"/>
      <c r="L73" s="1436"/>
      <c r="M73" s="645"/>
      <c r="N73" s="7318"/>
      <c r="P73" s="1436"/>
      <c r="Q73" s="645"/>
      <c r="R73" s="7318"/>
    </row>
    <row r="74" spans="1:27" x14ac:dyDescent="0.35">
      <c r="A74" s="9227"/>
      <c r="B74" s="330"/>
      <c r="C74" s="326" t="s">
        <v>3354</v>
      </c>
      <c r="D74" s="197"/>
      <c r="G74" s="1436"/>
      <c r="H74" s="340"/>
      <c r="I74" s="645"/>
      <c r="J74" s="7028"/>
      <c r="K74" s="1270"/>
      <c r="L74" s="1436"/>
      <c r="M74" s="645"/>
      <c r="N74" s="7318"/>
      <c r="P74" s="1436"/>
      <c r="Q74" s="645"/>
      <c r="R74" s="7318"/>
    </row>
    <row r="75" spans="1:27" x14ac:dyDescent="0.35">
      <c r="A75" s="9227"/>
      <c r="B75" s="330"/>
      <c r="C75" s="326" t="s">
        <v>3355</v>
      </c>
      <c r="D75" s="197"/>
      <c r="G75" s="1441"/>
      <c r="H75" s="340"/>
      <c r="I75" s="1440"/>
      <c r="J75" s="7028"/>
      <c r="K75" s="1270"/>
      <c r="L75" s="1436"/>
      <c r="M75" s="1440"/>
      <c r="N75" s="7318"/>
      <c r="P75" s="1436"/>
      <c r="Q75" s="1440"/>
      <c r="R75" s="7318"/>
    </row>
    <row r="76" spans="1:27" x14ac:dyDescent="0.35">
      <c r="A76" s="9227"/>
      <c r="B76" s="330"/>
      <c r="C76" s="326"/>
      <c r="D76" s="197"/>
      <c r="G76" s="1436"/>
      <c r="H76" s="340"/>
      <c r="I76" s="1440"/>
      <c r="J76" s="7028"/>
      <c r="K76" s="1270"/>
      <c r="L76" s="1436"/>
      <c r="M76" s="1440"/>
      <c r="N76" s="7318"/>
      <c r="P76" s="1436"/>
      <c r="Q76" s="1440"/>
      <c r="R76" s="7318"/>
    </row>
    <row r="77" spans="1:27" x14ac:dyDescent="0.35">
      <c r="A77" s="9227"/>
      <c r="B77" s="330"/>
      <c r="C77" s="326"/>
      <c r="D77" s="197"/>
      <c r="G77" s="1436"/>
      <c r="H77" s="340"/>
      <c r="I77" s="645"/>
      <c r="J77" s="7021"/>
      <c r="K77" s="1270"/>
      <c r="L77" s="1436"/>
      <c r="M77" s="645"/>
      <c r="N77" s="7318"/>
      <c r="P77" s="1436"/>
      <c r="Q77" s="645"/>
      <c r="R77" s="7318"/>
    </row>
    <row r="78" spans="1:27" x14ac:dyDescent="0.35">
      <c r="A78" s="9227"/>
      <c r="B78" s="330"/>
      <c r="C78" s="326"/>
      <c r="D78" s="197"/>
      <c r="G78" s="1436"/>
      <c r="H78" s="340"/>
      <c r="I78" s="645"/>
      <c r="J78" s="7021"/>
      <c r="K78" s="1270"/>
      <c r="L78" s="1436"/>
      <c r="M78" s="645"/>
      <c r="N78" s="7318"/>
      <c r="P78" s="1436"/>
      <c r="Q78" s="645"/>
      <c r="R78" s="7318"/>
    </row>
    <row r="79" spans="1:27" x14ac:dyDescent="0.35">
      <c r="A79" s="9227"/>
      <c r="B79" s="330"/>
      <c r="C79" s="337"/>
      <c r="D79" s="197"/>
      <c r="G79" s="1436"/>
      <c r="H79" s="340"/>
      <c r="I79" s="645"/>
      <c r="J79" s="7021"/>
      <c r="K79" s="1270"/>
      <c r="L79" s="1436"/>
      <c r="M79" s="645"/>
      <c r="N79" s="7318"/>
      <c r="P79" s="1436"/>
      <c r="Q79" s="645"/>
      <c r="R79" s="7318"/>
    </row>
    <row r="80" spans="1:27" x14ac:dyDescent="0.35">
      <c r="A80" s="9228"/>
      <c r="B80" s="341"/>
      <c r="C80" s="342"/>
      <c r="D80" s="209"/>
      <c r="G80" s="1444"/>
      <c r="H80" s="346"/>
      <c r="I80" s="1200"/>
      <c r="J80" s="7022"/>
      <c r="K80" s="1270"/>
      <c r="L80" s="1444"/>
      <c r="M80" s="1200"/>
      <c r="N80" s="7319"/>
      <c r="P80" s="1444"/>
      <c r="Q80" s="1200"/>
      <c r="R80" s="7319"/>
    </row>
    <row r="81" spans="1:19" x14ac:dyDescent="0.35">
      <c r="A81" s="310"/>
      <c r="B81" s="310"/>
      <c r="G81" s="645"/>
      <c r="H81" s="645"/>
      <c r="I81" s="645"/>
      <c r="J81" s="7023"/>
      <c r="K81" s="1270"/>
      <c r="L81" s="645"/>
      <c r="M81" s="645"/>
      <c r="N81" s="1423"/>
      <c r="P81" s="645"/>
      <c r="Q81" s="645"/>
      <c r="R81" s="1423"/>
    </row>
    <row r="82" spans="1:19" x14ac:dyDescent="0.35">
      <c r="A82" s="9167" t="s">
        <v>566</v>
      </c>
      <c r="B82" s="139" t="s">
        <v>567</v>
      </c>
      <c r="C82" s="348"/>
      <c r="D82" s="49"/>
      <c r="E82" s="141"/>
      <c r="F82" s="141"/>
      <c r="G82" s="1375"/>
      <c r="H82" s="653"/>
      <c r="I82" s="653"/>
      <c r="J82" s="1379"/>
      <c r="K82" s="1319"/>
      <c r="L82" s="1375"/>
      <c r="M82" s="653"/>
      <c r="N82" s="1317"/>
      <c r="O82" s="141"/>
      <c r="P82" s="1375"/>
      <c r="Q82" s="653"/>
      <c r="R82" s="1317"/>
      <c r="S82" s="141"/>
    </row>
    <row r="83" spans="1:19" x14ac:dyDescent="0.35">
      <c r="A83" s="9168"/>
      <c r="B83" s="6082"/>
      <c r="C83"/>
      <c r="D83" s="110" t="s">
        <v>568</v>
      </c>
      <c r="G83" s="354">
        <f t="shared" ref="G83:H83" si="3">SUM(G35:G38)-SUM(G40:G42)</f>
        <v>48908.241999999998</v>
      </c>
      <c r="H83" s="355">
        <f t="shared" si="3"/>
        <v>40911.516223999999</v>
      </c>
      <c r="I83" s="355"/>
      <c r="J83" s="1363"/>
      <c r="K83" s="1446"/>
      <c r="L83" s="354">
        <f>SUM(L35:L38)-SUM(L40:L42)</f>
        <v>51375.575000000004</v>
      </c>
      <c r="M83" s="355"/>
      <c r="N83" s="1201">
        <f>SUM(N35:N38)-SUM(N40:N42)</f>
        <v>40809.709634999999</v>
      </c>
      <c r="P83" s="354">
        <f>SUM(P35:P38)-SUM(P40:P42)</f>
        <v>53510.498999999996</v>
      </c>
      <c r="Q83" s="355"/>
      <c r="R83" s="1201">
        <f>SUM(R35:R38)-SUM(R40:R42)</f>
        <v>47055.025125</v>
      </c>
    </row>
    <row r="84" spans="1:19" x14ac:dyDescent="0.35">
      <c r="A84" s="9168"/>
      <c r="B84" s="6082"/>
      <c r="C84"/>
      <c r="D84" s="110" t="s">
        <v>569</v>
      </c>
      <c r="G84" s="354">
        <f t="shared" ref="G84:H84" si="4">SUM(G44:G50)</f>
        <v>584.20100000000002</v>
      </c>
      <c r="H84" s="355">
        <f t="shared" si="4"/>
        <v>589.37986999999998</v>
      </c>
      <c r="I84" s="355"/>
      <c r="J84" s="1363"/>
      <c r="K84" s="1446"/>
      <c r="L84" s="354">
        <f>SUM(L44:L50)</f>
        <v>622.81100000000004</v>
      </c>
      <c r="M84" s="355"/>
      <c r="N84" s="1201">
        <f>SUM(N44:N50)</f>
        <v>711.16524800000002</v>
      </c>
      <c r="P84" s="354">
        <f>SUM(P44:P50)</f>
        <v>1150.3150000000001</v>
      </c>
      <c r="Q84" s="355"/>
      <c r="R84" s="1201">
        <f>SUM(R44:R50)</f>
        <v>814.04825200000005</v>
      </c>
    </row>
    <row r="85" spans="1:19" x14ac:dyDescent="0.35">
      <c r="A85" s="9168"/>
      <c r="B85" s="6082"/>
      <c r="C85"/>
      <c r="D85" s="110" t="s">
        <v>570</v>
      </c>
      <c r="G85" s="354">
        <f t="shared" ref="G85:H85" si="5">SUM(G52:G59)*G28</f>
        <v>346.74637761462805</v>
      </c>
      <c r="H85" s="355">
        <f t="shared" si="5"/>
        <v>359.12130721504252</v>
      </c>
      <c r="I85" s="355"/>
      <c r="J85" s="1363"/>
      <c r="K85" s="1446"/>
      <c r="L85" s="354">
        <f>SUM(L52:L59)*L28</f>
        <v>373.95095744890909</v>
      </c>
      <c r="M85" s="355"/>
      <c r="N85" s="1201">
        <f>SUM(N52:N59)*N28</f>
        <v>355.74769377509944</v>
      </c>
      <c r="P85" s="354">
        <f>SUM(P52:P59)*P28</f>
        <v>411.62015767960139</v>
      </c>
      <c r="Q85" s="355"/>
      <c r="R85" s="1201">
        <f>SUM(R52:R59)*R28</f>
        <v>434.51528880225436</v>
      </c>
    </row>
    <row r="86" spans="1:19" x14ac:dyDescent="0.35">
      <c r="A86" s="9168"/>
      <c r="B86" s="6082"/>
      <c r="C86"/>
      <c r="D86" s="110" t="s">
        <v>552</v>
      </c>
      <c r="G86" s="354">
        <f t="shared" ref="G86:H86" si="6">G61</f>
        <v>0</v>
      </c>
      <c r="H86" s="355">
        <f t="shared" si="6"/>
        <v>0</v>
      </c>
      <c r="I86" s="355"/>
      <c r="J86" s="1363"/>
      <c r="K86" s="1446"/>
      <c r="L86" s="354">
        <f>L61</f>
        <v>0</v>
      </c>
      <c r="M86" s="355"/>
      <c r="N86" s="1201">
        <f>N61</f>
        <v>0</v>
      </c>
      <c r="P86" s="354">
        <f>P61</f>
        <v>0</v>
      </c>
      <c r="Q86" s="355"/>
      <c r="R86" s="1201">
        <f>R61</f>
        <v>0</v>
      </c>
    </row>
    <row r="87" spans="1:19" x14ac:dyDescent="0.35">
      <c r="A87" s="9168"/>
      <c r="B87" s="6082"/>
      <c r="C87"/>
      <c r="D87" s="356" t="s">
        <v>571</v>
      </c>
      <c r="E87" s="143"/>
      <c r="F87" s="143"/>
      <c r="G87" s="363">
        <f t="shared" ref="G87:H87" si="7">SUM(G83:G86)</f>
        <v>49839.189377614624</v>
      </c>
      <c r="H87" s="364">
        <f t="shared" si="7"/>
        <v>41860.017401215038</v>
      </c>
      <c r="I87" s="364"/>
      <c r="J87" s="1447"/>
      <c r="K87" s="1448"/>
      <c r="L87" s="363">
        <f>SUM(L83:L86)</f>
        <v>52372.336957448912</v>
      </c>
      <c r="M87" s="364"/>
      <c r="N87" s="1202">
        <f>SUM(N83:N86)</f>
        <v>41876.622576775095</v>
      </c>
      <c r="O87" s="143"/>
      <c r="P87" s="363">
        <f>SUM(P83:P86)</f>
        <v>55072.4341576796</v>
      </c>
      <c r="Q87" s="364"/>
      <c r="R87" s="1202">
        <f>SUM(R83:R86)</f>
        <v>48303.588665802257</v>
      </c>
      <c r="S87" s="143"/>
    </row>
    <row r="88" spans="1:19" ht="15.5" x14ac:dyDescent="0.35">
      <c r="A88" s="9168"/>
      <c r="B88" s="6082"/>
      <c r="C88"/>
      <c r="D88" s="356" t="s">
        <v>572</v>
      </c>
      <c r="G88" s="561">
        <f t="shared" ref="G88:H88" si="8">G87/(G17+G18+G19)</f>
        <v>0.37130248068670191</v>
      </c>
      <c r="H88" s="562">
        <f t="shared" si="8"/>
        <v>0.3362575720766201</v>
      </c>
      <c r="I88" s="562"/>
      <c r="J88" s="563"/>
      <c r="K88" s="560"/>
      <c r="L88" s="561">
        <f>L87/(L17+L18+L19)</f>
        <v>0.33835537653809422</v>
      </c>
      <c r="M88" s="562"/>
      <c r="N88" s="563">
        <f>N87/(N17+N18+N19)</f>
        <v>0.36540318270404848</v>
      </c>
      <c r="P88" s="368">
        <f>P87/(P17+P18+P19)</f>
        <v>0.448483547299035</v>
      </c>
      <c r="Q88" s="369"/>
      <c r="R88" s="370">
        <f>R87/(R17+R18+R19)</f>
        <v>0.45400409068942277</v>
      </c>
    </row>
    <row r="89" spans="1:19" x14ac:dyDescent="0.35">
      <c r="A89" s="9168"/>
      <c r="B89" s="1449"/>
      <c r="C89" s="1450"/>
      <c r="D89" s="1451" t="s">
        <v>573</v>
      </c>
      <c r="E89" s="374"/>
      <c r="G89" s="1458">
        <f t="shared" ref="G89:H89" si="9">G35+G44+G85</f>
        <v>32096.689377614628</v>
      </c>
      <c r="H89" s="1459">
        <f t="shared" si="9"/>
        <v>28586.600173215043</v>
      </c>
      <c r="I89" s="956"/>
      <c r="J89" s="955"/>
      <c r="K89" s="954"/>
      <c r="L89" s="1460">
        <f>L35+L44+L85</f>
        <v>36905.43695744891</v>
      </c>
      <c r="M89" s="956"/>
      <c r="N89" s="1462">
        <f>N35+N44+N85</f>
        <v>31411.2694387751</v>
      </c>
      <c r="P89" s="1460">
        <f>P35+P44+P85</f>
        <v>36132.114157679607</v>
      </c>
      <c r="Q89" s="383"/>
      <c r="R89" s="1462">
        <f>R35+R44+R85</f>
        <v>32947.386817802253</v>
      </c>
    </row>
    <row r="90" spans="1:19" s="972" customFormat="1" x14ac:dyDescent="0.35">
      <c r="A90" s="9168"/>
      <c r="B90" s="1463"/>
      <c r="C90" s="7320"/>
      <c r="D90" s="7321" t="s">
        <v>574</v>
      </c>
      <c r="E90" s="7322"/>
      <c r="F90" s="1732"/>
      <c r="G90" s="7323">
        <f t="shared" ref="G90:H90" si="10">SUM(G36:G38)</f>
        <v>17742.5</v>
      </c>
      <c r="H90" s="7324">
        <f t="shared" si="10"/>
        <v>13273.417228</v>
      </c>
      <c r="I90" s="7235"/>
      <c r="J90" s="7236"/>
      <c r="K90" s="7325"/>
      <c r="L90" s="7326">
        <f>SUM(L36:L38)</f>
        <v>15466.9</v>
      </c>
      <c r="M90" s="7327"/>
      <c r="N90" s="7328">
        <f>SUM(N36:N38)</f>
        <v>10465.353138</v>
      </c>
      <c r="O90" s="5415"/>
      <c r="P90" s="7326">
        <f>SUM(P36:P38)</f>
        <v>18452.319999999996</v>
      </c>
      <c r="Q90" s="8119"/>
      <c r="R90" s="7328">
        <f>SUM(R36:R38)</f>
        <v>15153.321950999998</v>
      </c>
      <c r="S90" s="1477"/>
    </row>
    <row r="91" spans="1:19" x14ac:dyDescent="0.35">
      <c r="A91" s="9168"/>
      <c r="B91" s="1478"/>
      <c r="C91" s="1479"/>
      <c r="D91" s="1451" t="s">
        <v>575</v>
      </c>
      <c r="E91" s="392"/>
      <c r="G91" s="1481">
        <f t="shared" ref="G91:H91" si="11">(G87-G89)/(G18+G19)</f>
        <v>0.24942362302133997</v>
      </c>
      <c r="H91" s="1482">
        <f t="shared" si="11"/>
        <v>0.19988760974039377</v>
      </c>
      <c r="I91" s="1661"/>
      <c r="J91" s="909"/>
      <c r="K91" s="7037"/>
      <c r="L91" s="1484">
        <f>(L87-L89)/(L18+L19)</f>
        <v>0.20208924021689426</v>
      </c>
      <c r="M91" s="1661"/>
      <c r="N91" s="1488">
        <f>(N87-N89)/(N18+N19)</f>
        <v>0.21284396334676126</v>
      </c>
      <c r="P91" s="1484">
        <f>(P87-P89)/(P18+P19)</f>
        <v>0.33547034130962278</v>
      </c>
      <c r="Q91" s="1486"/>
      <c r="R91" s="1488">
        <f>(R87-R89)/(R18+R19)</f>
        <v>0.33552536615749656</v>
      </c>
    </row>
    <row r="92" spans="1:19" x14ac:dyDescent="0.35">
      <c r="A92" s="9168"/>
      <c r="B92" s="1478"/>
      <c r="C92" s="1479"/>
      <c r="D92" s="1451" t="s">
        <v>576</v>
      </c>
      <c r="E92" s="392"/>
      <c r="G92" s="1481">
        <f t="shared" ref="G92:H92" si="12">G89/G17</f>
        <v>0.5087122290172541</v>
      </c>
      <c r="H92" s="1482">
        <f t="shared" si="12"/>
        <v>0.49216342547049419</v>
      </c>
      <c r="I92" s="1661"/>
      <c r="J92" s="909"/>
      <c r="K92" s="7037"/>
      <c r="L92" s="1484">
        <f>L89/L17</f>
        <v>0.47163497709199886</v>
      </c>
      <c r="M92" s="1661"/>
      <c r="N92" s="1488">
        <f>N89/N17</f>
        <v>0.48003959321071832</v>
      </c>
      <c r="P92" s="1484">
        <f>P89/P17</f>
        <v>0.54466692028218533</v>
      </c>
      <c r="Q92" s="1486"/>
      <c r="R92" s="1488">
        <f>R89/R17</f>
        <v>0.54344431960813122</v>
      </c>
    </row>
    <row r="93" spans="1:19" x14ac:dyDescent="0.35">
      <c r="A93" s="9168"/>
      <c r="B93" s="1478"/>
      <c r="C93" s="1479"/>
      <c r="D93" s="1451"/>
      <c r="E93" s="392"/>
      <c r="G93" s="1494"/>
      <c r="H93" s="1490"/>
      <c r="I93" s="1485"/>
      <c r="J93" s="1491"/>
      <c r="K93" s="1492"/>
      <c r="L93" s="1493"/>
      <c r="M93" s="1485"/>
      <c r="N93" s="1496"/>
      <c r="P93" s="1493"/>
      <c r="Q93" s="1485"/>
      <c r="R93" s="1496"/>
    </row>
    <row r="94" spans="1:19" x14ac:dyDescent="0.35">
      <c r="A94" s="9168"/>
      <c r="B94" s="1478"/>
      <c r="C94" s="1479"/>
      <c r="D94" s="1451" t="s">
        <v>577</v>
      </c>
      <c r="E94" s="392"/>
      <c r="G94" s="1481">
        <f t="shared" ref="G94:H94" si="13">G87/G12</f>
        <v>0.43611967389911355</v>
      </c>
      <c r="H94" s="1482">
        <f t="shared" si="13"/>
        <v>0.34906515326965537</v>
      </c>
      <c r="I94" s="1661"/>
      <c r="J94" s="909"/>
      <c r="K94" s="7037"/>
      <c r="L94" s="1484">
        <f>L87/L12</f>
        <v>0.38589655572997222</v>
      </c>
      <c r="M94" s="1661"/>
      <c r="N94" s="1488">
        <f>N87/N12</f>
        <v>0.36294313591898048</v>
      </c>
      <c r="P94" s="1484">
        <f>P87/P12</f>
        <v>0.45814664834560048</v>
      </c>
      <c r="Q94" s="1486"/>
      <c r="R94" s="1488">
        <f>R87/R12</f>
        <v>0.35899805849902583</v>
      </c>
    </row>
    <row r="95" spans="1:19" x14ac:dyDescent="0.35">
      <c r="A95" s="9168"/>
      <c r="B95" s="1478"/>
      <c r="C95" s="1479"/>
      <c r="D95" s="1396" t="s">
        <v>578</v>
      </c>
      <c r="E95" s="392"/>
      <c r="G95" s="1503"/>
      <c r="H95" s="1504"/>
      <c r="I95" s="847"/>
      <c r="J95" s="890"/>
      <c r="K95" s="1505"/>
      <c r="L95" s="1506"/>
      <c r="M95" s="847"/>
      <c r="N95" s="1508"/>
      <c r="P95" s="1506"/>
      <c r="Q95" s="847"/>
      <c r="R95" s="1508"/>
    </row>
    <row r="96" spans="1:19" x14ac:dyDescent="0.35">
      <c r="A96" s="9168"/>
      <c r="B96" s="1478"/>
      <c r="C96" s="1479"/>
      <c r="D96" s="1451" t="s">
        <v>579</v>
      </c>
      <c r="E96" s="392"/>
      <c r="G96" s="1481"/>
      <c r="H96" s="1482"/>
      <c r="I96" s="1661"/>
      <c r="J96" s="909"/>
      <c r="K96" s="7037"/>
      <c r="L96" s="1484"/>
      <c r="M96" s="1661"/>
      <c r="N96" s="1488"/>
      <c r="P96" s="1484"/>
      <c r="Q96" s="1486"/>
      <c r="R96" s="1488"/>
    </row>
    <row r="97" spans="1:27" x14ac:dyDescent="0.35">
      <c r="A97" s="9168"/>
      <c r="B97" s="1478"/>
      <c r="C97" s="1479"/>
      <c r="D97" s="1451"/>
      <c r="E97" s="392"/>
      <c r="G97" s="1481"/>
      <c r="H97" s="1482"/>
      <c r="I97" s="1661"/>
      <c r="J97" s="909"/>
      <c r="K97" s="7037"/>
      <c r="L97" s="1484"/>
      <c r="M97" s="1661"/>
      <c r="N97" s="1488"/>
      <c r="P97" s="1484"/>
      <c r="Q97" s="1486"/>
      <c r="R97" s="1488"/>
    </row>
    <row r="98" spans="1:27" x14ac:dyDescent="0.35">
      <c r="A98" s="9168"/>
      <c r="B98" s="1478"/>
      <c r="C98" s="1479"/>
      <c r="D98" s="1510" t="s">
        <v>580</v>
      </c>
      <c r="E98" s="424"/>
      <c r="G98" s="1481"/>
      <c r="H98" s="1482"/>
      <c r="I98" s="1661"/>
      <c r="J98" s="909"/>
      <c r="K98" s="7037"/>
      <c r="L98" s="1484"/>
      <c r="M98" s="1661"/>
      <c r="N98" s="1488"/>
      <c r="P98" s="1484"/>
      <c r="Q98" s="1486"/>
      <c r="R98" s="1488"/>
    </row>
    <row r="99" spans="1:27" x14ac:dyDescent="0.35">
      <c r="A99" s="9169"/>
      <c r="B99" s="1518"/>
      <c r="C99" s="1519"/>
      <c r="D99" s="1416" t="s">
        <v>581</v>
      </c>
      <c r="E99" s="274"/>
      <c r="G99" s="1531"/>
      <c r="H99" s="1532"/>
      <c r="I99" s="4741"/>
      <c r="J99" s="5660"/>
      <c r="K99" s="4740"/>
      <c r="L99" s="1533"/>
      <c r="M99" s="3347"/>
      <c r="N99" s="1535"/>
      <c r="P99" s="1533"/>
      <c r="Q99" s="1534"/>
      <c r="R99" s="1535"/>
    </row>
    <row r="100" spans="1:27" s="449" customFormat="1" ht="15.5" x14ac:dyDescent="0.35">
      <c r="C100" s="450"/>
      <c r="D100" s="450"/>
      <c r="E100" s="450"/>
      <c r="F100" s="1536"/>
      <c r="G100" s="451">
        <f>((G87-G89)/G87)</f>
        <v>0.35599495540690068</v>
      </c>
      <c r="H100" s="451">
        <f>((H87-H89)/H87)</f>
        <v>0.31709058075104185</v>
      </c>
      <c r="I100" s="454"/>
      <c r="J100" s="454"/>
      <c r="K100" s="454"/>
      <c r="L100" s="451">
        <f>((L87-L89)/L87)</f>
        <v>0.29532575589602644</v>
      </c>
      <c r="M100" s="454"/>
      <c r="N100" s="451">
        <f>((N87-N89)/N87)</f>
        <v>0.24990919740036802</v>
      </c>
      <c r="O100" s="1536"/>
      <c r="P100" s="451">
        <f>((P87-P89)/P87)</f>
        <v>0.34391652175335802</v>
      </c>
      <c r="Q100" s="454"/>
      <c r="R100" s="451">
        <f>((R87-R89)/R87)</f>
        <v>0.31791016510687981</v>
      </c>
      <c r="S100" s="1536"/>
    </row>
    <row r="101" spans="1:27" s="462" customFormat="1" ht="15.25" customHeight="1" x14ac:dyDescent="0.35">
      <c r="A101" s="455" t="s">
        <v>582</v>
      </c>
      <c r="B101" s="455"/>
      <c r="C101" s="456"/>
      <c r="D101" s="456"/>
      <c r="E101" s="457"/>
      <c r="F101" s="461"/>
      <c r="G101" s="458" t="str">
        <f>IF(G89+G90=G87,"ok","erreur total")</f>
        <v>ok</v>
      </c>
      <c r="H101" s="458" t="str">
        <f>IF(H89+H90=H87,"ok","erreur total")</f>
        <v>ok</v>
      </c>
      <c r="I101" s="461"/>
      <c r="J101" s="461"/>
      <c r="K101" s="461"/>
      <c r="L101" s="458" t="str">
        <f>IF(L89+L90=L87,"ok","erreur total")</f>
        <v>ok</v>
      </c>
      <c r="M101" s="458"/>
      <c r="N101" s="458" t="str">
        <f>IF(N89+N90=N87,"ok","erreur total")</f>
        <v>ok</v>
      </c>
      <c r="O101" s="461"/>
      <c r="P101" s="458" t="str">
        <f>IF(P89+P90=P87,"ok","erreur total")</f>
        <v>erreur total</v>
      </c>
      <c r="Q101" s="458"/>
      <c r="R101" s="458" t="str">
        <f>IF(R89+R90=R87,"ok","erreur total")</f>
        <v>erreur total</v>
      </c>
      <c r="S101" s="461"/>
      <c r="T101"/>
      <c r="AA101"/>
    </row>
    <row r="102" spans="1:27" s="462" customFormat="1" ht="12" customHeight="1" x14ac:dyDescent="0.3">
      <c r="A102" s="463">
        <v>1</v>
      </c>
      <c r="B102" s="464">
        <f>AA12</f>
        <v>0</v>
      </c>
      <c r="D102" s="709"/>
      <c r="E102" s="466"/>
      <c r="F102" s="456"/>
      <c r="G102" s="466"/>
      <c r="H102" s="466"/>
      <c r="I102" s="466"/>
      <c r="J102" s="467"/>
      <c r="K102" s="466"/>
      <c r="L102" s="466"/>
      <c r="M102" s="466"/>
      <c r="N102" s="466"/>
      <c r="O102" s="456"/>
      <c r="P102" s="466"/>
      <c r="Q102" s="466"/>
      <c r="R102" s="466"/>
      <c r="S102" s="456"/>
      <c r="T102" s="577"/>
      <c r="AA102" s="577"/>
    </row>
    <row r="103" spans="1:27" s="462" customFormat="1" ht="12" x14ac:dyDescent="0.3">
      <c r="A103" s="468">
        <v>2</v>
      </c>
      <c r="B103" s="469">
        <f>AA26</f>
        <v>0</v>
      </c>
      <c r="D103" s="2"/>
      <c r="E103" s="456"/>
      <c r="F103" s="456"/>
      <c r="G103" s="459"/>
      <c r="H103" s="459"/>
      <c r="I103" s="459"/>
      <c r="J103" s="7"/>
      <c r="K103" s="456"/>
      <c r="O103" s="456"/>
      <c r="S103" s="456"/>
      <c r="T103" s="577"/>
      <c r="AA103" s="577"/>
    </row>
    <row r="104" spans="1:27" s="462" customFormat="1" ht="12" x14ac:dyDescent="0.3">
      <c r="A104" s="468"/>
      <c r="B104" s="469"/>
      <c r="D104" s="2"/>
      <c r="E104" s="456"/>
      <c r="F104" s="456"/>
      <c r="G104" s="459"/>
      <c r="H104" s="459"/>
      <c r="I104" s="459"/>
      <c r="J104" s="7"/>
      <c r="K104" s="456"/>
      <c r="O104" s="456"/>
      <c r="S104" s="456"/>
      <c r="T104" s="577"/>
      <c r="AA104" s="577"/>
    </row>
    <row r="105" spans="1:27" s="462" customFormat="1" ht="12" x14ac:dyDescent="0.3">
      <c r="A105" s="468"/>
      <c r="B105" s="469"/>
      <c r="D105" s="2"/>
      <c r="E105" s="456"/>
      <c r="F105" s="456"/>
      <c r="G105" s="459"/>
      <c r="H105" s="459"/>
      <c r="I105" s="459"/>
      <c r="J105" s="7"/>
      <c r="K105" s="456"/>
      <c r="O105" s="456"/>
      <c r="S105" s="456"/>
      <c r="T105" s="577"/>
      <c r="AA105" s="577"/>
    </row>
    <row r="106" spans="1:27" s="462" customFormat="1" ht="12" x14ac:dyDescent="0.3">
      <c r="A106" s="468"/>
      <c r="B106" s="469"/>
      <c r="D106" s="2"/>
      <c r="E106" s="456"/>
      <c r="F106" s="456"/>
      <c r="O106" s="456"/>
      <c r="S106" s="456"/>
      <c r="T106" s="577"/>
      <c r="AA106" s="577"/>
    </row>
    <row r="107" spans="1:27" s="462" customFormat="1" ht="12" x14ac:dyDescent="0.3">
      <c r="A107" s="468"/>
      <c r="B107" s="469"/>
      <c r="D107" s="2"/>
      <c r="E107" s="456"/>
      <c r="F107" s="456"/>
      <c r="O107" s="456"/>
      <c r="S107" s="456"/>
      <c r="T107" s="577"/>
      <c r="AA107" s="577"/>
    </row>
    <row r="108" spans="1:27" s="462" customFormat="1" ht="12" x14ac:dyDescent="0.3">
      <c r="A108" s="468"/>
      <c r="B108" s="469"/>
      <c r="D108" s="2"/>
      <c r="E108" s="456"/>
      <c r="F108" s="456"/>
      <c r="O108" s="456"/>
      <c r="S108" s="456"/>
      <c r="T108" s="577"/>
      <c r="AA108" s="577"/>
    </row>
    <row r="109" spans="1:27" s="462" customFormat="1" ht="12" x14ac:dyDescent="0.3">
      <c r="A109" s="468"/>
      <c r="B109" s="469"/>
      <c r="D109" s="2"/>
      <c r="E109" s="456"/>
      <c r="F109" s="456"/>
      <c r="O109" s="456"/>
      <c r="S109" s="456"/>
      <c r="T109" s="577"/>
      <c r="AA109" s="577"/>
    </row>
    <row r="110" spans="1:27" s="462" customFormat="1" ht="12" x14ac:dyDescent="0.3">
      <c r="A110" s="468"/>
      <c r="B110" s="469"/>
      <c r="D110" s="2"/>
      <c r="E110" s="456"/>
      <c r="F110" s="456"/>
      <c r="O110" s="456"/>
      <c r="S110" s="456"/>
      <c r="T110" s="577"/>
      <c r="AA110" s="577"/>
    </row>
    <row r="111" spans="1:27" s="462" customFormat="1" ht="12" x14ac:dyDescent="0.3">
      <c r="A111" s="468"/>
      <c r="B111" s="469"/>
      <c r="D111" s="2"/>
      <c r="E111" s="456"/>
      <c r="F111" s="456"/>
      <c r="O111" s="456"/>
      <c r="S111" s="456"/>
      <c r="T111" s="577"/>
      <c r="AA111" s="577"/>
    </row>
    <row r="112" spans="1:27" s="462" customFormat="1" ht="12" x14ac:dyDescent="0.3">
      <c r="A112" s="468"/>
      <c r="B112" s="469"/>
      <c r="D112" s="2"/>
      <c r="E112" s="456"/>
      <c r="F112" s="456"/>
      <c r="O112" s="456"/>
      <c r="S112" s="456"/>
      <c r="T112" s="577"/>
      <c r="AA112" s="577"/>
    </row>
    <row r="113" spans="1:27" s="462" customFormat="1" ht="12" x14ac:dyDescent="0.3">
      <c r="A113" s="468"/>
      <c r="B113" s="469"/>
      <c r="D113" s="2"/>
      <c r="E113" s="456"/>
      <c r="F113" s="456"/>
      <c r="G113" s="459"/>
      <c r="H113" s="459"/>
      <c r="I113" s="459"/>
      <c r="J113" s="7"/>
      <c r="K113" s="456"/>
      <c r="O113" s="456"/>
      <c r="S113" s="456"/>
      <c r="T113" s="577"/>
      <c r="AA113" s="577"/>
    </row>
    <row r="114" spans="1:27" s="462" customFormat="1" ht="12" x14ac:dyDescent="0.3">
      <c r="A114" s="468"/>
      <c r="B114" s="469"/>
      <c r="D114" s="2"/>
      <c r="E114" s="456"/>
      <c r="F114" s="456"/>
      <c r="G114" s="459"/>
      <c r="H114" s="459"/>
      <c r="I114" s="459"/>
      <c r="J114" s="7"/>
      <c r="K114" s="456"/>
      <c r="O114" s="456"/>
      <c r="S114" s="456"/>
      <c r="T114" s="577"/>
      <c r="AA114" s="577"/>
    </row>
    <row r="115" spans="1:27" s="462" customFormat="1" ht="12" x14ac:dyDescent="0.3">
      <c r="A115" s="468"/>
      <c r="B115" s="469"/>
      <c r="D115" s="2"/>
      <c r="E115" s="456"/>
      <c r="F115" s="456"/>
      <c r="G115" s="459"/>
      <c r="H115" s="459"/>
      <c r="I115" s="459"/>
      <c r="J115" s="7"/>
      <c r="K115" s="456"/>
      <c r="O115" s="456"/>
      <c r="S115" s="456"/>
      <c r="T115" s="577"/>
      <c r="AA115" s="577"/>
    </row>
    <row r="116" spans="1:27" s="462" customFormat="1" x14ac:dyDescent="0.35">
      <c r="A116" s="455" t="s">
        <v>583</v>
      </c>
      <c r="B116" s="455"/>
      <c r="C116" s="456"/>
      <c r="D116" s="2"/>
      <c r="E116" s="456"/>
      <c r="F116" s="456"/>
      <c r="G116" s="6"/>
      <c r="H116" s="6"/>
      <c r="I116" s="6"/>
      <c r="J116" s="7"/>
      <c r="K116" s="1"/>
      <c r="L116"/>
      <c r="M116"/>
      <c r="N116"/>
      <c r="O116" s="456"/>
      <c r="P116"/>
      <c r="Q116"/>
      <c r="R116"/>
      <c r="S116" s="456"/>
      <c r="T116" s="577"/>
      <c r="AA116" s="577"/>
    </row>
    <row r="117" spans="1:27" s="462" customFormat="1" ht="93" customHeight="1" x14ac:dyDescent="0.35">
      <c r="A117" s="9170" t="s">
        <v>3360</v>
      </c>
      <c r="B117" s="9171"/>
      <c r="C117" s="9171"/>
      <c r="D117" s="9171"/>
      <c r="E117" s="9171"/>
      <c r="F117" s="456"/>
      <c r="G117" s="6"/>
      <c r="H117" s="6"/>
      <c r="I117" s="6"/>
      <c r="J117" s="7"/>
      <c r="K117" s="1"/>
      <c r="L117"/>
      <c r="M117"/>
      <c r="N117"/>
      <c r="O117" s="456"/>
      <c r="P117"/>
      <c r="Q117"/>
      <c r="R117"/>
      <c r="S117" s="456"/>
      <c r="T117" s="577"/>
      <c r="AA117" s="577"/>
    </row>
  </sheetData>
  <mergeCells count="20">
    <mergeCell ref="G1:N1"/>
    <mergeCell ref="G4:J4"/>
    <mergeCell ref="L4:N4"/>
    <mergeCell ref="A71:A80"/>
    <mergeCell ref="AA4:AA5"/>
    <mergeCell ref="G5:J5"/>
    <mergeCell ref="L5:N5"/>
    <mergeCell ref="L7:N7"/>
    <mergeCell ref="A10:A31"/>
    <mergeCell ref="G10:H10"/>
    <mergeCell ref="P1:R1"/>
    <mergeCell ref="P4:R4"/>
    <mergeCell ref="T4:T5"/>
    <mergeCell ref="P5:R5"/>
    <mergeCell ref="P7:R7"/>
    <mergeCell ref="A82:A99"/>
    <mergeCell ref="A117:E117"/>
    <mergeCell ref="G7:H7"/>
    <mergeCell ref="J7:J8"/>
    <mergeCell ref="A33:A69"/>
  </mergeCells>
  <hyperlinks>
    <hyperlink ref="Q10" r:id="rId1" xr:uid="{4340580E-46F7-42FF-A5A0-E6AE3A28EFF0}"/>
  </hyperlinks>
  <pageMargins left="0.23622047244094491" right="0.23622047244094491" top="0.35433070866141736" bottom="0.35433070866141736" header="0.31496062992125984" footer="0.31496062992125984"/>
  <pageSetup paperSize="9" scale="43" orientation="portrait" horizontalDpi="4294967293" verticalDpi="4294967293"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6930-7016-4AB1-8870-6E979B53C932}">
  <sheetPr>
    <pageSetUpPr fitToPage="1"/>
  </sheetPr>
  <dimension ref="A1:Z177"/>
  <sheetViews>
    <sheetView zoomScale="74" zoomScaleNormal="83" zoomScalePageLayoutView="93" workbookViewId="0">
      <selection activeCell="P19" sqref="P19"/>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6" width="1.6328125" style="1" customWidth="1"/>
    <col min="7" max="9" width="21.6328125" style="6" customWidth="1"/>
    <col min="10" max="10" width="8.6328125" style="7" customWidth="1"/>
    <col min="11" max="11" width="1.6328125" style="1" customWidth="1"/>
    <col min="12" max="12" width="21.6328125" customWidth="1"/>
    <col min="13" max="13" width="23" customWidth="1"/>
    <col min="14" max="14" width="21.6328125" customWidth="1"/>
    <col min="15" max="15" width="1.6328125" style="1" customWidth="1"/>
    <col min="16" max="18" width="21.6328125" style="6" customWidth="1"/>
    <col min="19" max="19" width="8.6328125" style="7" customWidth="1"/>
    <col min="20" max="20" width="1.6328125" style="1" customWidth="1"/>
    <col min="21" max="21" width="21.6328125" customWidth="1"/>
    <col min="22" max="22" width="23" customWidth="1"/>
    <col min="23" max="23" width="21.6328125" customWidth="1"/>
    <col min="24" max="24" width="1.6328125" style="1" customWidth="1"/>
    <col min="25" max="26" width="55" customWidth="1"/>
  </cols>
  <sheetData>
    <row r="1" spans="1:26" ht="31" x14ac:dyDescent="0.7">
      <c r="F1"/>
      <c r="G1" s="9471" t="s">
        <v>398</v>
      </c>
      <c r="H1" s="9472"/>
      <c r="I1" s="9472"/>
      <c r="J1" s="9472"/>
      <c r="K1" s="9472"/>
      <c r="L1" s="9472"/>
      <c r="M1" s="9472"/>
      <c r="N1" s="9473"/>
      <c r="O1"/>
      <c r="P1" s="9115" t="s">
        <v>399</v>
      </c>
      <c r="Q1" s="9116"/>
      <c r="R1" s="9116"/>
      <c r="S1" s="9116"/>
      <c r="T1" s="9116"/>
      <c r="U1" s="9116"/>
      <c r="V1" s="9116"/>
      <c r="W1" s="9117"/>
      <c r="X1"/>
    </row>
    <row r="2" spans="1:26" ht="21" x14ac:dyDescent="0.5">
      <c r="B2" s="1" t="s">
        <v>9</v>
      </c>
      <c r="C2" s="578" t="s">
        <v>4582</v>
      </c>
    </row>
    <row r="3" spans="1:26" ht="21" x14ac:dyDescent="0.5">
      <c r="C3" s="578" t="s">
        <v>290</v>
      </c>
    </row>
    <row r="4" spans="1:26" s="8" customFormat="1" ht="15.25" customHeight="1" x14ac:dyDescent="0.35">
      <c r="D4" s="579"/>
      <c r="G4" s="9130" t="s">
        <v>4526</v>
      </c>
      <c r="H4" s="9131"/>
      <c r="I4" s="9131"/>
      <c r="J4" s="9132"/>
      <c r="L4" s="9130" t="s">
        <v>402</v>
      </c>
      <c r="M4" s="9131"/>
      <c r="N4" s="9132"/>
      <c r="P4" s="9130" t="s">
        <v>4526</v>
      </c>
      <c r="Q4" s="9131"/>
      <c r="R4" s="9131"/>
      <c r="S4" s="9132"/>
      <c r="U4" s="9130" t="s">
        <v>402</v>
      </c>
      <c r="V4" s="9131"/>
      <c r="W4" s="9132"/>
      <c r="Y4" s="9180" t="s">
        <v>404</v>
      </c>
      <c r="Z4" s="9180" t="s">
        <v>404</v>
      </c>
    </row>
    <row r="5" spans="1:26" x14ac:dyDescent="0.35">
      <c r="B5" s="1" t="s">
        <v>406</v>
      </c>
      <c r="C5" s="11">
        <v>2012</v>
      </c>
      <c r="G5" s="9138">
        <v>2018</v>
      </c>
      <c r="H5" s="9139"/>
      <c r="I5" s="9139"/>
      <c r="J5" s="9140"/>
      <c r="K5" s="12"/>
      <c r="L5" s="9138">
        <v>2019</v>
      </c>
      <c r="M5" s="9139"/>
      <c r="N5" s="9140"/>
      <c r="P5" s="9138">
        <v>2019</v>
      </c>
      <c r="Q5" s="9139"/>
      <c r="R5" s="9139"/>
      <c r="S5" s="9140"/>
      <c r="T5" s="12"/>
      <c r="U5" s="9138">
        <v>2020</v>
      </c>
      <c r="V5" s="9139"/>
      <c r="W5" s="9140"/>
      <c r="Y5" s="9181"/>
      <c r="Z5" s="9181"/>
    </row>
    <row r="6" spans="1:26" x14ac:dyDescent="0.35">
      <c r="C6"/>
      <c r="L6" s="14"/>
      <c r="M6" s="14"/>
      <c r="U6" s="14"/>
      <c r="V6" s="14"/>
      <c r="Y6" s="6"/>
      <c r="Z6" s="6"/>
    </row>
    <row r="7" spans="1:26" ht="12.75" customHeight="1" x14ac:dyDescent="0.35">
      <c r="B7" s="1" t="s">
        <v>101</v>
      </c>
      <c r="C7" s="15" t="s">
        <v>4527</v>
      </c>
      <c r="D7" s="2" t="s">
        <v>417</v>
      </c>
      <c r="G7" s="9173" t="s">
        <v>1914</v>
      </c>
      <c r="H7" s="9173"/>
      <c r="I7" s="16"/>
      <c r="J7" s="9147" t="s">
        <v>419</v>
      </c>
      <c r="L7" s="9149" t="s">
        <v>1914</v>
      </c>
      <c r="M7" s="9150"/>
      <c r="N7" s="9151"/>
      <c r="P7" s="9173" t="s">
        <v>1914</v>
      </c>
      <c r="Q7" s="9173"/>
      <c r="R7" s="16"/>
      <c r="S7" s="9147" t="s">
        <v>419</v>
      </c>
      <c r="U7" s="9149" t="s">
        <v>1914</v>
      </c>
      <c r="V7" s="9150"/>
      <c r="W7" s="9151"/>
      <c r="Y7" s="18"/>
      <c r="Z7" s="18"/>
    </row>
    <row r="8" spans="1:26" x14ac:dyDescent="0.35">
      <c r="B8" s="1" t="s">
        <v>420</v>
      </c>
      <c r="C8" s="19" t="s">
        <v>589</v>
      </c>
      <c r="G8" s="20" t="s">
        <v>424</v>
      </c>
      <c r="H8" s="20" t="s">
        <v>96</v>
      </c>
      <c r="I8" s="22" t="s">
        <v>425</v>
      </c>
      <c r="J8" s="9148"/>
      <c r="L8" s="21" t="s">
        <v>748</v>
      </c>
      <c r="M8" s="22" t="s">
        <v>425</v>
      </c>
      <c r="N8" s="20" t="s">
        <v>96</v>
      </c>
      <c r="P8" s="20" t="s">
        <v>424</v>
      </c>
      <c r="Q8" s="20" t="s">
        <v>96</v>
      </c>
      <c r="R8" s="22" t="s">
        <v>425</v>
      </c>
      <c r="S8" s="9148"/>
      <c r="U8" s="21" t="s">
        <v>4583</v>
      </c>
      <c r="V8" s="22" t="s">
        <v>425</v>
      </c>
      <c r="W8" s="20" t="s">
        <v>96</v>
      </c>
      <c r="Y8" s="24"/>
      <c r="Z8" s="24"/>
    </row>
    <row r="9" spans="1:26" x14ac:dyDescent="0.35">
      <c r="C9"/>
      <c r="E9"/>
      <c r="F9"/>
      <c r="G9"/>
      <c r="H9"/>
      <c r="I9"/>
      <c r="J9" s="25"/>
      <c r="K9"/>
      <c r="O9"/>
      <c r="P9"/>
      <c r="Q9"/>
      <c r="R9"/>
      <c r="S9" s="25"/>
      <c r="T9"/>
      <c r="X9"/>
    </row>
    <row r="10" spans="1:26" ht="44.75" customHeight="1" x14ac:dyDescent="0.35">
      <c r="A10" s="9167" t="s">
        <v>426</v>
      </c>
      <c r="B10" s="27"/>
      <c r="C10" s="28" t="s">
        <v>427</v>
      </c>
      <c r="D10" s="580" t="s">
        <v>428</v>
      </c>
      <c r="E10" s="30"/>
      <c r="F10" s="33"/>
      <c r="G10" s="9155" t="s">
        <v>4584</v>
      </c>
      <c r="H10" s="9156"/>
      <c r="I10" s="3375" t="s">
        <v>4585</v>
      </c>
      <c r="J10" s="32"/>
      <c r="K10" s="33"/>
      <c r="L10" s="850" t="s">
        <v>4586</v>
      </c>
      <c r="M10" s="3375" t="s">
        <v>4585</v>
      </c>
      <c r="N10" s="850" t="s">
        <v>4530</v>
      </c>
      <c r="O10" s="33"/>
      <c r="P10" s="9155" t="s">
        <v>4586</v>
      </c>
      <c r="Q10" s="9156"/>
      <c r="R10" s="35" t="s">
        <v>4585</v>
      </c>
      <c r="S10" s="32"/>
      <c r="T10" s="33"/>
      <c r="U10" s="850" t="s">
        <v>4587</v>
      </c>
      <c r="V10" s="35" t="s">
        <v>4585</v>
      </c>
      <c r="W10" s="850"/>
      <c r="X10" s="33"/>
      <c r="Y10" s="39"/>
      <c r="Z10" s="39"/>
    </row>
    <row r="11" spans="1:26" s="1256" customFormat="1" ht="12.75" customHeight="1" x14ac:dyDescent="0.35">
      <c r="A11" s="9168"/>
      <c r="B11" s="7305" t="s">
        <v>451</v>
      </c>
      <c r="C11" s="7306"/>
      <c r="D11" s="1253"/>
      <c r="E11" s="1254"/>
      <c r="F11" s="1261"/>
      <c r="G11" s="7307" t="s">
        <v>4588</v>
      </c>
      <c r="H11" s="7308" t="s">
        <v>4589</v>
      </c>
      <c r="I11" s="1126" t="s">
        <v>4590</v>
      </c>
      <c r="J11" s="1259"/>
      <c r="K11" s="1260"/>
      <c r="L11" s="7307"/>
      <c r="M11" s="7309" t="s">
        <v>4591</v>
      </c>
      <c r="N11" s="7308"/>
      <c r="O11" s="1261"/>
      <c r="P11" s="7307" t="s">
        <v>424</v>
      </c>
      <c r="Q11" s="7308" t="s">
        <v>4589</v>
      </c>
      <c r="R11" s="1126" t="s">
        <v>4591</v>
      </c>
      <c r="S11" s="1259"/>
      <c r="T11" s="1260"/>
      <c r="U11" s="7307"/>
      <c r="V11" s="7309" t="s">
        <v>1936</v>
      </c>
      <c r="W11" s="7308"/>
      <c r="X11" s="1261"/>
      <c r="Y11" s="1266"/>
      <c r="Z11" s="1266"/>
    </row>
    <row r="12" spans="1:26" s="1256" customFormat="1" x14ac:dyDescent="0.35">
      <c r="A12" s="9168"/>
      <c r="B12" s="1267"/>
      <c r="C12" s="1268" t="s">
        <v>456</v>
      </c>
      <c r="D12" s="1269">
        <v>1</v>
      </c>
      <c r="E12" s="1270"/>
      <c r="F12" s="1276"/>
      <c r="G12" s="1272">
        <f>G15-G13-G14</f>
        <v>121025.47100000001</v>
      </c>
      <c r="H12" s="1273">
        <f>H15-H13-H14</f>
        <v>92006.19</v>
      </c>
      <c r="I12" s="7310"/>
      <c r="J12" s="476"/>
      <c r="K12" s="1275"/>
      <c r="L12" s="1277">
        <v>122216.931</v>
      </c>
      <c r="M12" s="7310"/>
      <c r="N12" s="1278">
        <v>123617.13</v>
      </c>
      <c r="O12" s="1276"/>
      <c r="P12" s="1272">
        <f>P15-P13</f>
        <v>108115.07399999999</v>
      </c>
      <c r="Q12" s="1273">
        <f>Q15-Q13</f>
        <v>110121.93800000001</v>
      </c>
      <c r="R12" s="7310" t="s">
        <v>4592</v>
      </c>
      <c r="S12" s="64"/>
      <c r="T12" s="1275"/>
      <c r="U12" s="1277">
        <v>120574.62539099999</v>
      </c>
      <c r="V12" s="7310"/>
      <c r="W12" s="1278"/>
      <c r="X12" s="1276"/>
      <c r="Y12" s="1281"/>
      <c r="Z12" s="1281"/>
    </row>
    <row r="13" spans="1:26" s="1256" customFormat="1" x14ac:dyDescent="0.35">
      <c r="A13" s="9168"/>
      <c r="B13" s="1267"/>
      <c r="C13" s="1282" t="s">
        <v>462</v>
      </c>
      <c r="D13" s="1269"/>
      <c r="E13" s="1270"/>
      <c r="F13" s="1276"/>
      <c r="G13" s="1272">
        <v>9563.2990000000009</v>
      </c>
      <c r="H13" s="1273">
        <v>405.78399999999999</v>
      </c>
      <c r="I13" s="7310" t="s">
        <v>4593</v>
      </c>
      <c r="J13" s="476"/>
      <c r="K13" s="1275"/>
      <c r="L13" s="1277"/>
      <c r="M13" s="7310"/>
      <c r="N13" s="1278"/>
      <c r="O13" s="1276"/>
      <c r="P13" s="1272">
        <v>14101.857</v>
      </c>
      <c r="Q13" s="1273">
        <v>13495.191999999999</v>
      </c>
      <c r="R13" s="7310" t="s">
        <v>4593</v>
      </c>
      <c r="S13" s="64"/>
      <c r="T13" s="1275"/>
      <c r="U13" s="1277"/>
      <c r="V13" s="7310"/>
      <c r="W13" s="1278"/>
      <c r="X13" s="1276"/>
      <c r="Y13" s="1281"/>
      <c r="Z13" s="1281"/>
    </row>
    <row r="14" spans="1:26" s="1256" customFormat="1" x14ac:dyDescent="0.35">
      <c r="A14" s="9168"/>
      <c r="B14" s="1283"/>
      <c r="C14" s="1284" t="s">
        <v>3267</v>
      </c>
      <c r="D14" s="1269"/>
      <c r="E14" s="1270"/>
      <c r="F14" s="1276"/>
      <c r="G14" s="1272"/>
      <c r="H14" s="1273"/>
      <c r="I14" s="7310"/>
      <c r="J14" s="476"/>
      <c r="K14" s="1275"/>
      <c r="L14" s="1272"/>
      <c r="M14" s="7310"/>
      <c r="N14" s="1278"/>
      <c r="O14" s="1276"/>
      <c r="P14" s="1272"/>
      <c r="Q14" s="1273"/>
      <c r="R14" s="7310"/>
      <c r="S14" s="64"/>
      <c r="T14" s="1275"/>
      <c r="U14" s="1272"/>
      <c r="V14" s="7310"/>
      <c r="W14" s="1278"/>
      <c r="X14" s="1276"/>
      <c r="Y14" s="1281"/>
      <c r="Z14" s="1281"/>
    </row>
    <row r="15" spans="1:26" s="1256" customFormat="1" x14ac:dyDescent="0.35">
      <c r="A15" s="9168"/>
      <c r="B15" s="1287"/>
      <c r="C15" s="1288" t="s">
        <v>466</v>
      </c>
      <c r="D15" s="1289"/>
      <c r="E15" s="1270"/>
      <c r="F15" s="1276"/>
      <c r="G15" s="7311">
        <v>130588.77</v>
      </c>
      <c r="H15" s="7312">
        <v>92411.974000000002</v>
      </c>
      <c r="I15" s="3000" t="s">
        <v>4594</v>
      </c>
      <c r="J15" s="476"/>
      <c r="K15" s="1286"/>
      <c r="L15" s="7311"/>
      <c r="M15" s="3000"/>
      <c r="N15" s="7313"/>
      <c r="O15" s="1276"/>
      <c r="P15" s="7311">
        <v>122216.931</v>
      </c>
      <c r="Q15" s="7312">
        <v>123617.13</v>
      </c>
      <c r="R15" s="3000" t="s">
        <v>4594</v>
      </c>
      <c r="S15" s="64"/>
      <c r="T15" s="1286"/>
      <c r="U15" s="7311"/>
      <c r="V15" s="3000"/>
      <c r="W15" s="7313"/>
      <c r="X15" s="1276"/>
      <c r="Y15" s="1297"/>
      <c r="Z15" s="1297"/>
    </row>
    <row r="16" spans="1:26" x14ac:dyDescent="0.35">
      <c r="A16" s="9168"/>
      <c r="B16" s="100" t="s">
        <v>468</v>
      </c>
      <c r="C16" s="49"/>
      <c r="D16" s="585"/>
      <c r="E16" s="43"/>
      <c r="F16" s="43"/>
      <c r="G16" s="107"/>
      <c r="H16" s="106"/>
      <c r="I16" s="1126" t="s">
        <v>4595</v>
      </c>
      <c r="J16" s="104"/>
      <c r="K16" s="43"/>
      <c r="L16" s="107"/>
      <c r="M16" s="7309" t="s">
        <v>4591</v>
      </c>
      <c r="N16" s="105"/>
      <c r="O16" s="43"/>
      <c r="P16" s="107"/>
      <c r="Q16" s="106"/>
      <c r="R16" s="1126" t="s">
        <v>4591</v>
      </c>
      <c r="S16" s="104"/>
      <c r="T16" s="43"/>
      <c r="U16" s="107"/>
      <c r="V16" s="7309" t="s">
        <v>1936</v>
      </c>
      <c r="W16" s="105"/>
      <c r="X16" s="43"/>
      <c r="Y16" s="18"/>
      <c r="Z16" s="18"/>
    </row>
    <row r="17" spans="1:26" s="1256" customFormat="1" x14ac:dyDescent="0.35">
      <c r="A17" s="9168"/>
      <c r="B17" s="1299"/>
      <c r="C17" s="1300" t="s">
        <v>470</v>
      </c>
      <c r="D17" s="1269"/>
      <c r="E17" s="1270"/>
      <c r="F17" s="1270"/>
      <c r="G17" s="595">
        <f>89383.249-G20</f>
        <v>86889.971999999994</v>
      </c>
      <c r="H17" s="594">
        <f>63810.77-H20</f>
        <v>61350.262999999999</v>
      </c>
      <c r="I17" s="1279" t="s">
        <v>4596</v>
      </c>
      <c r="J17" s="476">
        <f>H17/G17</f>
        <v>0.70606839417556722</v>
      </c>
      <c r="K17" s="1270"/>
      <c r="L17" s="595">
        <f>86795.528-L20-L21</f>
        <v>82393.450856859999</v>
      </c>
      <c r="M17" s="1279"/>
      <c r="N17" s="596">
        <f>84007.903-N20</f>
        <v>80882.957000000009</v>
      </c>
      <c r="O17" s="1270"/>
      <c r="P17" s="595">
        <f>86795.528-P20-P21</f>
        <v>82393.450856859999</v>
      </c>
      <c r="Q17" s="594">
        <f>84007.903-Q20</f>
        <v>80882.957000000009</v>
      </c>
      <c r="R17" s="1279" t="s">
        <v>4596</v>
      </c>
      <c r="S17" s="64">
        <f>Q17/P17</f>
        <v>0.98166730679257341</v>
      </c>
      <c r="T17" s="1270"/>
      <c r="U17" s="595">
        <f>75145.220027-U20</f>
        <v>73895.220027000003</v>
      </c>
      <c r="V17" s="1279"/>
      <c r="W17" s="596"/>
      <c r="X17" s="1270"/>
      <c r="Y17" s="1281"/>
      <c r="Z17" s="1281"/>
    </row>
    <row r="18" spans="1:26" s="1256" customFormat="1" x14ac:dyDescent="0.35">
      <c r="A18" s="9168"/>
      <c r="B18" s="1299"/>
      <c r="C18" s="1305" t="s">
        <v>630</v>
      </c>
      <c r="D18" s="1269"/>
      <c r="E18" s="1270"/>
      <c r="F18" s="1270"/>
      <c r="G18" s="595">
        <v>164433.28700000001</v>
      </c>
      <c r="H18" s="594">
        <v>62586.601000000002</v>
      </c>
      <c r="I18" s="1279" t="s">
        <v>4597</v>
      </c>
      <c r="J18" s="476">
        <f t="shared" ref="J18:J20" si="0">H18/G18</f>
        <v>0.38062002008145712</v>
      </c>
      <c r="K18" s="1270"/>
      <c r="L18" s="595">
        <f>70040.585+57854.843+3224.037+21.216453</f>
        <v>131140.68145300003</v>
      </c>
      <c r="M18" s="1279"/>
      <c r="N18" s="596">
        <f>68310.046+56425.385+3144.379+20692.245</f>
        <v>148572.05500000002</v>
      </c>
      <c r="O18" s="1270"/>
      <c r="P18" s="595">
        <f>70040.585+57854.843+3224.037+21.216453</f>
        <v>131140.68145300003</v>
      </c>
      <c r="Q18" s="594">
        <f>68310.046+56425.385+3144.379+20692.245</f>
        <v>148572.05500000002</v>
      </c>
      <c r="R18" s="1279" t="s">
        <v>4597</v>
      </c>
      <c r="S18" s="64">
        <f t="shared" ref="S18" si="1">Q18/P18</f>
        <v>1.1329211755945259</v>
      </c>
      <c r="T18" s="1270"/>
      <c r="U18" s="595">
        <v>184105.59970600001</v>
      </c>
      <c r="V18" s="1279"/>
      <c r="W18" s="596"/>
      <c r="X18" s="1270"/>
      <c r="Y18" s="1281"/>
      <c r="Z18" s="1281"/>
    </row>
    <row r="19" spans="1:26" s="1256" customFormat="1" x14ac:dyDescent="0.35">
      <c r="A19" s="9168"/>
      <c r="B19" s="1299"/>
      <c r="C19" s="1305" t="s">
        <v>632</v>
      </c>
      <c r="D19" s="1269"/>
      <c r="E19" s="1270"/>
      <c r="F19" s="1270"/>
      <c r="G19" s="595"/>
      <c r="H19" s="594"/>
      <c r="I19" s="1279"/>
      <c r="J19" s="476"/>
      <c r="K19" s="1270"/>
      <c r="L19" s="595"/>
      <c r="M19" s="1279"/>
      <c r="N19" s="596"/>
      <c r="O19" s="1270"/>
      <c r="P19" s="595"/>
      <c r="Q19" s="594"/>
      <c r="R19" s="1279"/>
      <c r="S19" s="64"/>
      <c r="T19" s="1270"/>
      <c r="U19" s="595"/>
      <c r="V19" s="1279"/>
      <c r="W19" s="596"/>
      <c r="X19" s="1270"/>
      <c r="Y19" s="1281"/>
      <c r="Z19" s="1281"/>
    </row>
    <row r="20" spans="1:26" s="1256" customFormat="1" x14ac:dyDescent="0.35">
      <c r="A20" s="9168"/>
      <c r="B20" s="1299"/>
      <c r="C20" s="1305" t="s">
        <v>3282</v>
      </c>
      <c r="D20" s="1269"/>
      <c r="E20" s="1270"/>
      <c r="F20" s="1270"/>
      <c r="G20" s="595">
        <v>2493.277</v>
      </c>
      <c r="H20" s="594">
        <v>2460.5070000000001</v>
      </c>
      <c r="I20" s="1309" t="s">
        <v>4598</v>
      </c>
      <c r="J20" s="476">
        <f t="shared" si="0"/>
        <v>0.98685665491640118</v>
      </c>
      <c r="K20" s="1270"/>
      <c r="L20" s="595">
        <v>0</v>
      </c>
      <c r="M20" s="1279"/>
      <c r="N20" s="596">
        <v>3124.9459999999999</v>
      </c>
      <c r="O20" s="1270"/>
      <c r="P20" s="595">
        <v>0</v>
      </c>
      <c r="Q20" s="594">
        <v>3124.9459999999999</v>
      </c>
      <c r="R20" s="1309" t="s">
        <v>4598</v>
      </c>
      <c r="S20" s="64" t="e">
        <f t="shared" ref="S20" si="2">Q20/P20</f>
        <v>#DIV/0!</v>
      </c>
      <c r="T20" s="1270"/>
      <c r="U20" s="595">
        <v>1250</v>
      </c>
      <c r="V20" s="1279"/>
      <c r="W20" s="596"/>
      <c r="X20" s="1270"/>
      <c r="Y20" s="1281"/>
      <c r="Z20" s="1281"/>
    </row>
    <row r="21" spans="1:26" s="1256" customFormat="1" x14ac:dyDescent="0.35">
      <c r="A21" s="9168"/>
      <c r="B21" s="1299"/>
      <c r="C21" s="1305" t="s">
        <v>3285</v>
      </c>
      <c r="D21" s="1269"/>
      <c r="E21" s="1270"/>
      <c r="F21" s="1270"/>
      <c r="G21" s="595"/>
      <c r="H21" s="594"/>
      <c r="I21" s="1303"/>
      <c r="J21" s="476"/>
      <c r="K21" s="1270"/>
      <c r="L21" s="595">
        <f>2205.92382621+2196.15331693</f>
        <v>4402.0771431399999</v>
      </c>
      <c r="M21" s="1279"/>
      <c r="N21" s="596"/>
      <c r="O21" s="1270"/>
      <c r="P21" s="595">
        <f>2205.92382621+2196.15331693</f>
        <v>4402.0771431399999</v>
      </c>
      <c r="Q21" s="594"/>
      <c r="R21" s="1303"/>
      <c r="S21" s="64"/>
      <c r="T21" s="1270"/>
      <c r="U21" s="595"/>
      <c r="V21" s="1279"/>
      <c r="W21" s="596"/>
      <c r="X21" s="1270"/>
      <c r="Y21" s="1281"/>
      <c r="Z21" s="1281"/>
    </row>
    <row r="22" spans="1:26" s="1256" customFormat="1" x14ac:dyDescent="0.35">
      <c r="A22" s="9168"/>
      <c r="B22" s="1310"/>
      <c r="C22" s="1311" t="s">
        <v>479</v>
      </c>
      <c r="D22" s="1289"/>
      <c r="E22" s="1270"/>
      <c r="F22" s="1270"/>
      <c r="G22" s="7314">
        <f>SUM(G17:G21)</f>
        <v>253816.53600000002</v>
      </c>
      <c r="H22" s="4674">
        <f>SUM(H17:H21)</f>
        <v>126397.371</v>
      </c>
      <c r="I22" s="1315"/>
      <c r="J22" s="476"/>
      <c r="K22" s="1270"/>
      <c r="L22" s="7314">
        <f>SUM(L17:L21)</f>
        <v>217936.20945300002</v>
      </c>
      <c r="M22" s="1315"/>
      <c r="N22" s="7315">
        <f>SUM(N17:N21)</f>
        <v>232579.95800000004</v>
      </c>
      <c r="O22" s="1270"/>
      <c r="P22" s="7314">
        <f>SUM(P17:P21)</f>
        <v>217936.20945300002</v>
      </c>
      <c r="Q22" s="4674">
        <f>SUM(Q17:Q21)</f>
        <v>232579.95800000004</v>
      </c>
      <c r="R22" s="1315"/>
      <c r="S22" s="64"/>
      <c r="T22" s="1270"/>
      <c r="U22" s="7314">
        <f>SUM(U17:U21)</f>
        <v>259250.81973300001</v>
      </c>
      <c r="V22" s="1315"/>
      <c r="W22" s="7315"/>
      <c r="X22" s="1270"/>
      <c r="Y22" s="1297"/>
      <c r="Z22" s="1297"/>
    </row>
    <row r="23" spans="1:26" s="1256" customFormat="1" x14ac:dyDescent="0.35">
      <c r="A23" s="9168"/>
      <c r="B23" s="1316" t="s">
        <v>480</v>
      </c>
      <c r="C23" s="1317"/>
      <c r="D23" s="1318"/>
      <c r="E23" s="1319"/>
      <c r="F23" s="1319"/>
      <c r="G23" s="1326"/>
      <c r="H23" s="1127"/>
      <c r="I23" s="1126"/>
      <c r="J23" s="7009"/>
      <c r="K23" s="1319"/>
      <c r="L23" s="1326"/>
      <c r="M23" s="7309"/>
      <c r="N23" s="1325"/>
      <c r="O23" s="1319"/>
      <c r="P23" s="1326"/>
      <c r="Q23" s="1127"/>
      <c r="R23" s="1126"/>
      <c r="S23" s="1323"/>
      <c r="T23" s="1319"/>
      <c r="U23" s="1326"/>
      <c r="V23" s="7309"/>
      <c r="W23" s="1325"/>
      <c r="X23" s="1319"/>
      <c r="Y23" s="1266"/>
      <c r="Z23" s="1266"/>
    </row>
    <row r="24" spans="1:26" s="1256" customFormat="1" x14ac:dyDescent="0.35">
      <c r="A24" s="9168"/>
      <c r="B24" s="1299"/>
      <c r="C24" s="1300" t="s">
        <v>483</v>
      </c>
      <c r="D24" s="1269"/>
      <c r="E24" s="1270"/>
      <c r="F24" s="1270"/>
      <c r="G24" s="595">
        <v>42373.830357040002</v>
      </c>
      <c r="H24" s="594">
        <v>29154.67411494</v>
      </c>
      <c r="I24" s="1161" t="s">
        <v>4599</v>
      </c>
      <c r="J24" s="476">
        <f t="shared" ref="J24:J27" si="3">H24/G24</f>
        <v>0.68803489958977082</v>
      </c>
      <c r="K24" s="1270"/>
      <c r="L24" s="607">
        <v>38063.108999999997</v>
      </c>
      <c r="M24" s="1309"/>
      <c r="N24" s="596">
        <v>34243.163999999997</v>
      </c>
      <c r="O24" s="1270"/>
      <c r="P24" s="595">
        <v>38063.108999999997</v>
      </c>
      <c r="Q24" s="594">
        <v>34243.163999999997</v>
      </c>
      <c r="R24" s="1161" t="s">
        <v>4591</v>
      </c>
      <c r="S24" s="64">
        <f t="shared" ref="S24" si="4">Q24/P24</f>
        <v>0.89964180277549055</v>
      </c>
      <c r="T24" s="1270"/>
      <c r="U24" s="607">
        <v>36304.477585000001</v>
      </c>
      <c r="V24" s="1309" t="s">
        <v>1936</v>
      </c>
      <c r="W24" s="596"/>
      <c r="X24" s="1270"/>
      <c r="Y24" s="1281"/>
      <c r="Z24" s="1281"/>
    </row>
    <row r="25" spans="1:26" s="1256" customFormat="1" x14ac:dyDescent="0.35">
      <c r="A25" s="9168"/>
      <c r="B25" s="1299"/>
      <c r="C25" s="1300" t="s">
        <v>489</v>
      </c>
      <c r="D25" s="1269"/>
      <c r="E25" s="1270"/>
      <c r="F25" s="1270"/>
      <c r="G25" s="607"/>
      <c r="H25" s="594"/>
      <c r="I25" s="1309"/>
      <c r="J25" s="476"/>
      <c r="K25" s="1270"/>
      <c r="L25" s="607"/>
      <c r="M25" s="1309"/>
      <c r="N25" s="596"/>
      <c r="O25" s="1270"/>
      <c r="P25" s="607"/>
      <c r="Q25" s="594"/>
      <c r="R25" s="1309"/>
      <c r="S25" s="64"/>
      <c r="T25" s="1270"/>
      <c r="U25" s="607"/>
      <c r="V25" s="1309"/>
      <c r="W25" s="596"/>
      <c r="X25" s="1270"/>
      <c r="Y25" s="1281"/>
      <c r="Z25" s="1281"/>
    </row>
    <row r="26" spans="1:26" s="1256" customFormat="1" x14ac:dyDescent="0.35">
      <c r="A26" s="9168"/>
      <c r="B26" s="1299"/>
      <c r="C26" s="1300" t="s">
        <v>490</v>
      </c>
      <c r="D26" s="1269">
        <v>2</v>
      </c>
      <c r="E26" s="1270"/>
      <c r="F26" s="1270"/>
      <c r="G26" s="607">
        <v>5550</v>
      </c>
      <c r="H26" s="594">
        <v>5520.31499429</v>
      </c>
      <c r="I26" s="1309" t="s">
        <v>4600</v>
      </c>
      <c r="J26" s="476">
        <f t="shared" si="3"/>
        <v>0.9946513503225225</v>
      </c>
      <c r="K26" s="1270"/>
      <c r="L26" s="607">
        <v>5499.9999991699997</v>
      </c>
      <c r="M26" s="1309" t="s">
        <v>4601</v>
      </c>
      <c r="N26" s="596"/>
      <c r="O26" s="1270"/>
      <c r="P26" s="607">
        <v>5499.9999991699997</v>
      </c>
      <c r="Q26" s="594"/>
      <c r="R26" s="1309" t="s">
        <v>4601</v>
      </c>
      <c r="S26" s="64">
        <f t="shared" ref="S26:S27" si="5">Q26/P26</f>
        <v>0</v>
      </c>
      <c r="T26" s="1270"/>
      <c r="U26" s="607">
        <v>4800</v>
      </c>
      <c r="V26" s="1309" t="s">
        <v>4601</v>
      </c>
      <c r="W26" s="596"/>
      <c r="X26" s="1270"/>
      <c r="Y26" s="1281"/>
      <c r="Z26" s="1281"/>
    </row>
    <row r="27" spans="1:26" s="1256" customFormat="1" x14ac:dyDescent="0.35">
      <c r="A27" s="9168"/>
      <c r="B27" s="1299"/>
      <c r="C27" s="1333" t="s">
        <v>497</v>
      </c>
      <c r="D27" s="1334"/>
      <c r="E27" s="1270"/>
      <c r="F27" s="1270"/>
      <c r="G27" s="607">
        <v>2812.3843403199999</v>
      </c>
      <c r="H27" s="613">
        <v>946.46450999000001</v>
      </c>
      <c r="I27" s="1161" t="s">
        <v>4600</v>
      </c>
      <c r="J27" s="476">
        <f t="shared" si="3"/>
        <v>0.3365345541222538</v>
      </c>
      <c r="K27" s="1270"/>
      <c r="L27" s="607">
        <v>1858.2183035600001</v>
      </c>
      <c r="M27" s="1309" t="s">
        <v>4602</v>
      </c>
      <c r="N27" s="596"/>
      <c r="O27" s="1270"/>
      <c r="P27" s="607">
        <v>1858.2183035600001</v>
      </c>
      <c r="Q27" s="613"/>
      <c r="R27" s="1161" t="s">
        <v>4602</v>
      </c>
      <c r="S27" s="64">
        <f t="shared" si="5"/>
        <v>0</v>
      </c>
      <c r="T27" s="1270"/>
      <c r="U27" s="607">
        <v>2300</v>
      </c>
      <c r="V27" s="1309" t="s">
        <v>4602</v>
      </c>
      <c r="W27" s="596"/>
      <c r="X27" s="1270"/>
      <c r="Y27" s="1281"/>
      <c r="Z27" s="1281"/>
    </row>
    <row r="28" spans="1:26" x14ac:dyDescent="0.35">
      <c r="A28" s="9168"/>
      <c r="B28" s="128"/>
      <c r="C28" s="129" t="s">
        <v>499</v>
      </c>
      <c r="D28" s="209"/>
      <c r="F28" s="176"/>
      <c r="G28" s="6564">
        <f>(G26-G27)/G24</f>
        <v>6.46062826186109E-2</v>
      </c>
      <c r="H28" s="6127">
        <f t="shared" ref="H28" si="6">(H26-H27)/H24</f>
        <v>0.15688223666187986</v>
      </c>
      <c r="I28" s="497"/>
      <c r="J28" s="7011"/>
      <c r="K28" s="1338"/>
      <c r="L28" s="6564">
        <f>(L26-L27)/L24</f>
        <v>9.5677462805521224E-2</v>
      </c>
      <c r="M28" s="497"/>
      <c r="N28" s="7329">
        <f>L28</f>
        <v>9.5677462805521224E-2</v>
      </c>
      <c r="O28" s="176"/>
      <c r="P28" s="1339">
        <f>(P26-P27)/P24</f>
        <v>9.5677462805521224E-2</v>
      </c>
      <c r="Q28" s="8120">
        <f>P28</f>
        <v>9.5677462805521224E-2</v>
      </c>
      <c r="R28" s="177"/>
      <c r="S28" s="1137"/>
      <c r="T28" s="1338"/>
      <c r="U28" s="1339">
        <f>(U26-U27)/U24</f>
        <v>6.8862029322601534E-2</v>
      </c>
      <c r="V28" s="177"/>
      <c r="W28" s="7329">
        <f>U28</f>
        <v>6.8862029322601534E-2</v>
      </c>
      <c r="X28" s="176"/>
      <c r="Y28" s="24"/>
      <c r="Z28" s="24"/>
    </row>
    <row r="29" spans="1:26" x14ac:dyDescent="0.35">
      <c r="A29" s="9168"/>
      <c r="B29" s="139" t="s">
        <v>501</v>
      </c>
      <c r="C29" s="49"/>
      <c r="D29" s="184"/>
      <c r="G29" s="3364"/>
      <c r="H29" s="839"/>
      <c r="I29" s="839"/>
      <c r="J29" s="840"/>
      <c r="K29" s="170"/>
      <c r="L29" s="3364"/>
      <c r="M29" s="839"/>
      <c r="N29" s="1342"/>
      <c r="P29" s="192"/>
      <c r="Q29" s="190"/>
      <c r="R29" s="190"/>
      <c r="S29" s="191"/>
      <c r="T29" s="170"/>
      <c r="U29" s="192"/>
      <c r="V29" s="190"/>
      <c r="W29" s="1342"/>
      <c r="Y29" s="617"/>
      <c r="Z29" s="617"/>
    </row>
    <row r="30" spans="1:26" x14ac:dyDescent="0.35">
      <c r="A30" s="9168"/>
      <c r="B30" s="196"/>
      <c r="C30" s="121" t="s">
        <v>470</v>
      </c>
      <c r="D30" s="197"/>
      <c r="G30" s="117"/>
      <c r="H30" s="201"/>
      <c r="I30" s="3368"/>
      <c r="J30" s="835"/>
      <c r="K30" s="170"/>
      <c r="L30" s="117"/>
      <c r="M30" s="3368"/>
      <c r="N30" s="623"/>
      <c r="P30" s="117"/>
      <c r="Q30" s="201"/>
      <c r="R30" s="1343"/>
      <c r="S30" s="203"/>
      <c r="T30" s="170"/>
      <c r="U30" s="117"/>
      <c r="V30" s="1343"/>
      <c r="W30" s="623"/>
      <c r="Y30" s="625"/>
      <c r="Z30" s="625"/>
    </row>
    <row r="31" spans="1:26" x14ac:dyDescent="0.35">
      <c r="A31" s="9169"/>
      <c r="B31" s="207"/>
      <c r="C31" s="208" t="s">
        <v>1116</v>
      </c>
      <c r="D31" s="209"/>
      <c r="G31" s="217"/>
      <c r="H31" s="215"/>
      <c r="I31" s="1159"/>
      <c r="J31" s="484"/>
      <c r="L31" s="217"/>
      <c r="M31" s="1159"/>
      <c r="N31" s="4643"/>
      <c r="P31" s="217"/>
      <c r="Q31" s="215"/>
      <c r="R31" s="1159"/>
      <c r="S31" s="133"/>
      <c r="U31" s="217"/>
      <c r="V31" s="1159"/>
      <c r="W31" s="4643"/>
      <c r="Y31" s="625"/>
      <c r="Z31" s="625"/>
    </row>
    <row r="32" spans="1:26" x14ac:dyDescent="0.35">
      <c r="A32" s="220"/>
      <c r="B32" s="220"/>
      <c r="G32" s="106"/>
      <c r="H32" s="106"/>
      <c r="I32" s="106"/>
      <c r="J32" s="221"/>
      <c r="L32" s="106"/>
      <c r="M32" s="106"/>
      <c r="P32" s="106"/>
      <c r="Q32" s="106"/>
      <c r="R32" s="106"/>
      <c r="S32" s="221"/>
      <c r="U32" s="106"/>
      <c r="V32" s="106"/>
    </row>
    <row r="33" spans="1:26" ht="27.75" customHeight="1" x14ac:dyDescent="0.35">
      <c r="A33" s="9167" t="s">
        <v>503</v>
      </c>
      <c r="B33" s="27"/>
      <c r="C33" s="28" t="s">
        <v>427</v>
      </c>
      <c r="D33" s="585" t="s">
        <v>428</v>
      </c>
      <c r="E33" s="30"/>
      <c r="F33" s="30"/>
      <c r="G33" s="36"/>
      <c r="H33" s="36"/>
      <c r="I33" s="4645"/>
      <c r="J33" s="1347"/>
      <c r="K33" s="223"/>
      <c r="L33" s="36" t="s">
        <v>4603</v>
      </c>
      <c r="M33" s="4645"/>
      <c r="N33" s="34" t="s">
        <v>3312</v>
      </c>
      <c r="O33" s="30"/>
      <c r="P33" s="36" t="s">
        <v>4604</v>
      </c>
      <c r="Q33" s="36" t="s">
        <v>4605</v>
      </c>
      <c r="R33" s="225"/>
      <c r="S33" s="1347"/>
      <c r="T33" s="223"/>
      <c r="U33" s="36" t="s">
        <v>4603</v>
      </c>
      <c r="V33" s="225"/>
      <c r="W33" s="34" t="s">
        <v>3312</v>
      </c>
      <c r="X33" s="30"/>
      <c r="Y33" s="39"/>
      <c r="Z33" s="39"/>
    </row>
    <row r="34" spans="1:26" x14ac:dyDescent="0.35">
      <c r="A34" s="9168"/>
      <c r="B34" s="141" t="s">
        <v>514</v>
      </c>
      <c r="C34"/>
      <c r="D34" s="184"/>
      <c r="E34" s="143"/>
      <c r="F34" s="143"/>
      <c r="G34" s="230"/>
      <c r="H34" s="103"/>
      <c r="I34" s="231"/>
      <c r="J34" s="228"/>
      <c r="K34" s="143"/>
      <c r="L34" s="230" t="s">
        <v>4606</v>
      </c>
      <c r="M34" s="231"/>
      <c r="N34" s="1349"/>
      <c r="O34" s="143"/>
      <c r="P34" s="230"/>
      <c r="Q34" s="103"/>
      <c r="R34" s="231"/>
      <c r="S34" s="228"/>
      <c r="T34" s="143"/>
      <c r="U34" s="230" t="s">
        <v>4606</v>
      </c>
      <c r="V34" s="231"/>
      <c r="W34" s="1349"/>
      <c r="X34" s="143"/>
      <c r="Y34" s="18"/>
      <c r="Z34" s="18"/>
    </row>
    <row r="35" spans="1:26" x14ac:dyDescent="0.35">
      <c r="A35" s="9168"/>
      <c r="B35" s="7330" t="s">
        <v>11</v>
      </c>
      <c r="C35" s="240"/>
      <c r="D35" s="197"/>
      <c r="G35" s="1353"/>
      <c r="H35" s="624"/>
      <c r="I35" s="1161"/>
      <c r="J35" s="7018"/>
      <c r="K35" s="1270"/>
      <c r="L35" s="1353"/>
      <c r="M35" s="1161"/>
      <c r="N35" s="619"/>
      <c r="P35" s="1353"/>
      <c r="Q35" s="624"/>
      <c r="R35" s="1161"/>
      <c r="S35" s="1355"/>
      <c r="T35" s="1270"/>
      <c r="U35" s="1353"/>
      <c r="V35" s="1161"/>
      <c r="W35" s="619"/>
      <c r="Y35" s="26"/>
      <c r="Z35" s="26"/>
    </row>
    <row r="36" spans="1:26" x14ac:dyDescent="0.35">
      <c r="A36" s="9168"/>
      <c r="B36" s="240"/>
      <c r="C36" s="240" t="s">
        <v>4607</v>
      </c>
      <c r="D36" s="197"/>
      <c r="G36" s="1353">
        <v>8873.3180757499995</v>
      </c>
      <c r="H36" s="624">
        <v>7768.73147634</v>
      </c>
      <c r="I36" s="1161" t="s">
        <v>4608</v>
      </c>
      <c r="J36" s="476">
        <f t="shared" ref="J36:J71" si="7">H36/G36</f>
        <v>0.87551594679911926</v>
      </c>
      <c r="K36" s="1270"/>
      <c r="L36" s="1353">
        <v>11011.98041341</v>
      </c>
      <c r="M36" s="1161" t="s">
        <v>4609</v>
      </c>
      <c r="N36" s="619">
        <f>L36*J36</f>
        <v>9641.1644577800125</v>
      </c>
      <c r="P36" s="1353">
        <v>11011.98041341</v>
      </c>
      <c r="Q36" s="624"/>
      <c r="R36" s="1161" t="s">
        <v>4608</v>
      </c>
      <c r="S36" s="64">
        <f t="shared" ref="S36:S62" si="8">Q36/P36</f>
        <v>0</v>
      </c>
      <c r="T36" s="1270"/>
      <c r="U36" s="1353">
        <v>7662.4651629999998</v>
      </c>
      <c r="V36" s="1161" t="s">
        <v>4609</v>
      </c>
      <c r="W36" s="619">
        <f>U36*S36</f>
        <v>0</v>
      </c>
      <c r="Y36" s="26"/>
      <c r="Z36" s="26"/>
    </row>
    <row r="37" spans="1:26" x14ac:dyDescent="0.35">
      <c r="A37" s="9168"/>
      <c r="B37" s="241"/>
      <c r="C37" s="240" t="s">
        <v>4610</v>
      </c>
      <c r="D37" s="197"/>
      <c r="G37" s="1353">
        <v>241.52942097241001</v>
      </c>
      <c r="H37" s="624">
        <v>220.72594115000001</v>
      </c>
      <c r="I37" s="1161" t="s">
        <v>4608</v>
      </c>
      <c r="J37" s="476">
        <f t="shared" si="7"/>
        <v>0.91386771955708701</v>
      </c>
      <c r="K37" s="1270"/>
      <c r="L37" s="1353">
        <v>197.50437618000001</v>
      </c>
      <c r="M37" s="1161" t="s">
        <v>4609</v>
      </c>
      <c r="N37" s="619">
        <f t="shared" ref="N37:N71" si="9">L37*J37</f>
        <v>180.49287386216167</v>
      </c>
      <c r="P37" s="1353">
        <v>197.50437618000001</v>
      </c>
      <c r="Q37" s="624"/>
      <c r="R37" s="1161" t="s">
        <v>4608</v>
      </c>
      <c r="S37" s="64">
        <f t="shared" si="8"/>
        <v>0</v>
      </c>
      <c r="T37" s="1270"/>
      <c r="U37" s="1353">
        <v>223.17683299999999</v>
      </c>
      <c r="V37" s="1161" t="s">
        <v>4609</v>
      </c>
      <c r="W37" s="619">
        <f t="shared" ref="W37:W62" si="10">U37*S37</f>
        <v>0</v>
      </c>
      <c r="Y37" s="26"/>
      <c r="Z37" s="26"/>
    </row>
    <row r="38" spans="1:26" x14ac:dyDescent="0.35">
      <c r="A38" s="9168"/>
      <c r="B38" s="241"/>
      <c r="C38" s="240" t="s">
        <v>4611</v>
      </c>
      <c r="D38" s="197"/>
      <c r="G38" s="1353">
        <v>42.823396379999998</v>
      </c>
      <c r="H38" s="624">
        <v>35.430062290000002</v>
      </c>
      <c r="I38" s="1161" t="s">
        <v>4612</v>
      </c>
      <c r="J38" s="476">
        <f t="shared" si="7"/>
        <v>0.82735292585403297</v>
      </c>
      <c r="K38" s="1270"/>
      <c r="L38" s="1154">
        <v>45.447131200000001</v>
      </c>
      <c r="M38" s="1161" t="s">
        <v>4613</v>
      </c>
      <c r="N38" s="619">
        <f t="shared" si="9"/>
        <v>37.60081696999211</v>
      </c>
      <c r="P38" s="1353">
        <v>45.447131200000001</v>
      </c>
      <c r="Q38" s="624"/>
      <c r="R38" s="1161" t="s">
        <v>4612</v>
      </c>
      <c r="S38" s="64">
        <f t="shared" si="8"/>
        <v>0</v>
      </c>
      <c r="T38" s="1270"/>
      <c r="U38" s="1154">
        <v>32.727390999999997</v>
      </c>
      <c r="V38" s="1161" t="s">
        <v>4613</v>
      </c>
      <c r="W38" s="619">
        <f t="shared" si="10"/>
        <v>0</v>
      </c>
      <c r="Y38" s="26"/>
      <c r="Z38" s="26"/>
    </row>
    <row r="39" spans="1:26" x14ac:dyDescent="0.35">
      <c r="A39" s="9168"/>
      <c r="B39" s="241"/>
      <c r="C39" s="240" t="s">
        <v>4614</v>
      </c>
      <c r="D39" s="197"/>
      <c r="G39" s="1353">
        <v>70</v>
      </c>
      <c r="H39" s="624">
        <v>65.102895790000005</v>
      </c>
      <c r="I39" s="1161" t="s">
        <v>4612</v>
      </c>
      <c r="J39" s="476">
        <f t="shared" si="7"/>
        <v>0.93004136842857155</v>
      </c>
      <c r="K39" s="1270"/>
      <c r="L39" s="612"/>
      <c r="M39" s="1161" t="s">
        <v>4613</v>
      </c>
      <c r="N39" s="619">
        <f t="shared" si="9"/>
        <v>0</v>
      </c>
      <c r="P39" s="1353"/>
      <c r="Q39" s="624"/>
      <c r="R39" s="1161" t="s">
        <v>4612</v>
      </c>
      <c r="S39" s="64" t="e">
        <f t="shared" si="8"/>
        <v>#DIV/0!</v>
      </c>
      <c r="T39" s="1270"/>
      <c r="U39" s="612"/>
      <c r="V39" s="1161" t="s">
        <v>4613</v>
      </c>
      <c r="W39" s="619" t="e">
        <f t="shared" si="10"/>
        <v>#DIV/0!</v>
      </c>
      <c r="Y39" s="26"/>
      <c r="Z39" s="26"/>
    </row>
    <row r="40" spans="1:26" x14ac:dyDescent="0.35">
      <c r="A40" s="9168"/>
      <c r="B40" s="241"/>
      <c r="C40" s="240" t="s">
        <v>4615</v>
      </c>
      <c r="D40" s="197"/>
      <c r="G40" s="1353">
        <v>1823.6139866999999</v>
      </c>
      <c r="H40" s="624">
        <v>1767.0929962099999</v>
      </c>
      <c r="I40" s="1161" t="s">
        <v>4616</v>
      </c>
      <c r="J40" s="476">
        <f t="shared" si="7"/>
        <v>0.96900605561142905</v>
      </c>
      <c r="K40" s="1270"/>
      <c r="L40" s="612">
        <v>1889.8643541500001</v>
      </c>
      <c r="M40" s="1161" t="s">
        <v>4613</v>
      </c>
      <c r="N40" s="619">
        <f t="shared" si="9"/>
        <v>1831.2900034555323</v>
      </c>
      <c r="P40" s="1353">
        <v>1889.8643541500001</v>
      </c>
      <c r="Q40" s="624"/>
      <c r="R40" s="1161" t="s">
        <v>4616</v>
      </c>
      <c r="S40" s="64">
        <f t="shared" si="8"/>
        <v>0</v>
      </c>
      <c r="T40" s="1270"/>
      <c r="U40" s="612">
        <v>1503.573596</v>
      </c>
      <c r="V40" s="1161" t="s">
        <v>4613</v>
      </c>
      <c r="W40" s="619">
        <f t="shared" si="10"/>
        <v>0</v>
      </c>
      <c r="Y40" s="26"/>
      <c r="Z40" s="26"/>
    </row>
    <row r="41" spans="1:26" x14ac:dyDescent="0.35">
      <c r="A41" s="9168"/>
      <c r="B41" s="241"/>
      <c r="C41" s="240" t="s">
        <v>4617</v>
      </c>
      <c r="D41" s="197"/>
      <c r="G41" s="1353">
        <v>1698.1837419999999</v>
      </c>
      <c r="H41" s="624">
        <v>1270.69774289</v>
      </c>
      <c r="I41" s="1161" t="s">
        <v>4618</v>
      </c>
      <c r="J41" s="476">
        <f t="shared" si="7"/>
        <v>0.74826870112032906</v>
      </c>
      <c r="K41" s="1270"/>
      <c r="L41" s="612">
        <v>1535.7000370999999</v>
      </c>
      <c r="M41" s="1161" t="s">
        <v>4613</v>
      </c>
      <c r="N41" s="619">
        <f t="shared" si="9"/>
        <v>1149.116272071258</v>
      </c>
      <c r="P41" s="1353">
        <v>1535.7000370999999</v>
      </c>
      <c r="Q41" s="624"/>
      <c r="R41" s="1161" t="s">
        <v>4618</v>
      </c>
      <c r="S41" s="64">
        <f t="shared" si="8"/>
        <v>0</v>
      </c>
      <c r="T41" s="1270"/>
      <c r="U41" s="612">
        <v>1625.2264</v>
      </c>
      <c r="V41" s="1161" t="s">
        <v>4613</v>
      </c>
      <c r="W41" s="619">
        <f t="shared" si="10"/>
        <v>0</v>
      </c>
      <c r="Y41" s="26"/>
      <c r="Z41" s="26"/>
    </row>
    <row r="42" spans="1:26" x14ac:dyDescent="0.35">
      <c r="A42" s="9168"/>
      <c r="B42" s="241"/>
      <c r="C42" s="240" t="s">
        <v>4619</v>
      </c>
      <c r="D42" s="197"/>
      <c r="G42" s="1353">
        <v>4452.3076058899996</v>
      </c>
      <c r="H42" s="624">
        <v>3772.4807120099999</v>
      </c>
      <c r="I42" s="1161" t="s">
        <v>4620</v>
      </c>
      <c r="J42" s="476">
        <f t="shared" si="7"/>
        <v>0.84730909136182542</v>
      </c>
      <c r="K42" s="1270"/>
      <c r="L42" s="612">
        <v>3423.2469579200001</v>
      </c>
      <c r="M42" s="1161" t="s">
        <v>4613</v>
      </c>
      <c r="N42" s="619">
        <f t="shared" si="9"/>
        <v>2900.5482694223283</v>
      </c>
      <c r="P42" s="1353">
        <v>3423.2469579200001</v>
      </c>
      <c r="Q42" s="624"/>
      <c r="R42" s="1161" t="s">
        <v>4620</v>
      </c>
      <c r="S42" s="64">
        <f t="shared" si="8"/>
        <v>0</v>
      </c>
      <c r="T42" s="1270"/>
      <c r="U42" s="612">
        <v>3853.3948820000001</v>
      </c>
      <c r="V42" s="1161" t="s">
        <v>4613</v>
      </c>
      <c r="W42" s="619">
        <f t="shared" si="10"/>
        <v>0</v>
      </c>
      <c r="Y42" s="26"/>
      <c r="Z42" s="26"/>
    </row>
    <row r="43" spans="1:26" x14ac:dyDescent="0.35">
      <c r="A43" s="9168"/>
      <c r="B43" s="241"/>
      <c r="C43" s="240" t="s">
        <v>4621</v>
      </c>
      <c r="D43" s="197"/>
      <c r="G43" s="1353">
        <v>133.25360036999999</v>
      </c>
      <c r="H43" s="624">
        <v>123.37299206</v>
      </c>
      <c r="I43" s="1161" t="s">
        <v>4620</v>
      </c>
      <c r="J43" s="476">
        <f t="shared" si="7"/>
        <v>0.92585109683667166</v>
      </c>
      <c r="K43" s="1270"/>
      <c r="L43" s="612">
        <v>152.59230367000001</v>
      </c>
      <c r="M43" s="1161" t="s">
        <v>4613</v>
      </c>
      <c r="N43" s="619">
        <f t="shared" si="9"/>
        <v>141.27775172170399</v>
      </c>
      <c r="P43" s="1353">
        <v>152.59230367000001</v>
      </c>
      <c r="Q43" s="624"/>
      <c r="R43" s="1161" t="s">
        <v>4620</v>
      </c>
      <c r="S43" s="64">
        <f t="shared" si="8"/>
        <v>0</v>
      </c>
      <c r="T43" s="1270"/>
      <c r="U43" s="612">
        <v>114.201719</v>
      </c>
      <c r="V43" s="1161" t="s">
        <v>4613</v>
      </c>
      <c r="W43" s="619">
        <f t="shared" si="10"/>
        <v>0</v>
      </c>
      <c r="Y43" s="26"/>
      <c r="Z43" s="26"/>
    </row>
    <row r="44" spans="1:26" x14ac:dyDescent="0.35">
      <c r="A44" s="9168"/>
      <c r="B44" s="241"/>
      <c r="C44" s="240" t="s">
        <v>4622</v>
      </c>
      <c r="D44" s="197"/>
      <c r="G44" s="1353">
        <v>157.03585654</v>
      </c>
      <c r="H44" s="624">
        <v>124.05249209999999</v>
      </c>
      <c r="I44" s="1161" t="s">
        <v>4623</v>
      </c>
      <c r="J44" s="476">
        <f t="shared" si="7"/>
        <v>0.78996284564093477</v>
      </c>
      <c r="K44" s="1270"/>
      <c r="L44" s="612">
        <v>70.673801900000001</v>
      </c>
      <c r="M44" s="1161" t="s">
        <v>4613</v>
      </c>
      <c r="N44" s="619">
        <f t="shared" si="9"/>
        <v>55.829677661187702</v>
      </c>
      <c r="P44" s="1353">
        <v>70.673801900000001</v>
      </c>
      <c r="Q44" s="624"/>
      <c r="R44" s="1161" t="s">
        <v>4623</v>
      </c>
      <c r="S44" s="64">
        <f t="shared" si="8"/>
        <v>0</v>
      </c>
      <c r="T44" s="1270"/>
      <c r="U44" s="612">
        <v>66.396685000000005</v>
      </c>
      <c r="V44" s="1161" t="s">
        <v>4613</v>
      </c>
      <c r="W44" s="619">
        <f t="shared" si="10"/>
        <v>0</v>
      </c>
      <c r="Y44" s="26"/>
      <c r="Z44" s="26"/>
    </row>
    <row r="45" spans="1:26" x14ac:dyDescent="0.35">
      <c r="A45" s="9168"/>
      <c r="B45" s="241"/>
      <c r="C45" s="240" t="s">
        <v>4624</v>
      </c>
      <c r="D45" s="197"/>
      <c r="G45" s="1353">
        <v>73.828980689999995</v>
      </c>
      <c r="H45" s="624">
        <v>49.936512360000002</v>
      </c>
      <c r="I45" s="1161" t="s">
        <v>4625</v>
      </c>
      <c r="J45" s="476">
        <f t="shared" si="7"/>
        <v>0.67638089938797996</v>
      </c>
      <c r="K45" s="1270"/>
      <c r="L45" s="612">
        <v>61.926743469999998</v>
      </c>
      <c r="M45" s="1161" t="s">
        <v>4613</v>
      </c>
      <c r="N45" s="619">
        <f t="shared" si="9"/>
        <v>41.886066444407312</v>
      </c>
      <c r="P45" s="1353">
        <v>61.926743469999998</v>
      </c>
      <c r="Q45" s="624"/>
      <c r="R45" s="1161" t="s">
        <v>4625</v>
      </c>
      <c r="S45" s="64">
        <f t="shared" si="8"/>
        <v>0</v>
      </c>
      <c r="T45" s="1270"/>
      <c r="U45" s="612">
        <v>99.794651000000002</v>
      </c>
      <c r="V45" s="1161" t="s">
        <v>4613</v>
      </c>
      <c r="W45" s="619">
        <f t="shared" si="10"/>
        <v>0</v>
      </c>
      <c r="Y45" s="26"/>
      <c r="Z45" s="26"/>
    </row>
    <row r="46" spans="1:26" x14ac:dyDescent="0.35">
      <c r="A46" s="9168"/>
      <c r="B46" s="241"/>
      <c r="C46" s="240" t="s">
        <v>4626</v>
      </c>
      <c r="D46" s="197"/>
      <c r="G46" s="1353">
        <v>76.796604360000003</v>
      </c>
      <c r="H46" s="624">
        <v>67.194636239999994</v>
      </c>
      <c r="I46" s="1161" t="s">
        <v>4627</v>
      </c>
      <c r="J46" s="476">
        <f t="shared" si="7"/>
        <v>0.87496884530221164</v>
      </c>
      <c r="K46" s="1270"/>
      <c r="L46" s="612">
        <v>66.135205529999993</v>
      </c>
      <c r="M46" s="1161" t="s">
        <v>4613</v>
      </c>
      <c r="N46" s="619">
        <f t="shared" si="9"/>
        <v>57.866244416408534</v>
      </c>
      <c r="P46" s="1353">
        <v>66.135205529999993</v>
      </c>
      <c r="Q46" s="624"/>
      <c r="R46" s="1161" t="s">
        <v>4627</v>
      </c>
      <c r="S46" s="64">
        <f t="shared" si="8"/>
        <v>0</v>
      </c>
      <c r="T46" s="1270"/>
      <c r="U46" s="612">
        <v>66.990155000000001</v>
      </c>
      <c r="V46" s="1161" t="s">
        <v>4613</v>
      </c>
      <c r="W46" s="619">
        <f t="shared" si="10"/>
        <v>0</v>
      </c>
      <c r="Y46" s="26"/>
      <c r="Z46" s="26"/>
    </row>
    <row r="47" spans="1:26" x14ac:dyDescent="0.35">
      <c r="A47" s="9168"/>
      <c r="B47" s="241"/>
      <c r="C47" s="240" t="s">
        <v>4628</v>
      </c>
      <c r="D47" s="197"/>
      <c r="G47" s="1353">
        <v>82.913405999999995</v>
      </c>
      <c r="H47" s="624">
        <v>70.336855540000002</v>
      </c>
      <c r="I47" s="1161" t="s">
        <v>4629</v>
      </c>
      <c r="J47" s="476">
        <f t="shared" si="7"/>
        <v>0.84831704465258617</v>
      </c>
      <c r="K47" s="1270"/>
      <c r="L47" s="612">
        <v>83.418567659999994</v>
      </c>
      <c r="M47" s="1161" t="s">
        <v>4613</v>
      </c>
      <c r="N47" s="619">
        <f t="shared" si="9"/>
        <v>70.765392786482991</v>
      </c>
      <c r="P47" s="1353">
        <v>83.418567659999994</v>
      </c>
      <c r="Q47" s="624"/>
      <c r="R47" s="1161" t="s">
        <v>4629</v>
      </c>
      <c r="S47" s="64">
        <f t="shared" si="8"/>
        <v>0</v>
      </c>
      <c r="T47" s="1270"/>
      <c r="U47" s="612">
        <v>70.102706999999995</v>
      </c>
      <c r="V47" s="1161" t="s">
        <v>4613</v>
      </c>
      <c r="W47" s="619">
        <f t="shared" si="10"/>
        <v>0</v>
      </c>
      <c r="Y47" s="26"/>
      <c r="Z47" s="26"/>
    </row>
    <row r="48" spans="1:26" x14ac:dyDescent="0.35">
      <c r="A48" s="9168"/>
      <c r="B48" s="241"/>
      <c r="C48" s="240" t="s">
        <v>4630</v>
      </c>
      <c r="D48" s="197"/>
      <c r="G48" s="1353">
        <v>73.783894040000007</v>
      </c>
      <c r="H48" s="624">
        <v>63.004626760000001</v>
      </c>
      <c r="I48" s="1161" t="s">
        <v>4629</v>
      </c>
      <c r="J48" s="476">
        <f t="shared" si="7"/>
        <v>0.85390758484288853</v>
      </c>
      <c r="K48" s="1270"/>
      <c r="L48" s="612">
        <v>77.242437359999997</v>
      </c>
      <c r="M48" s="1161" t="s">
        <v>4613</v>
      </c>
      <c r="N48" s="619">
        <f t="shared" si="9"/>
        <v>65.957903133455702</v>
      </c>
      <c r="P48" s="1353">
        <v>77.242437359999997</v>
      </c>
      <c r="Q48" s="624"/>
      <c r="R48" s="1161" t="s">
        <v>4629</v>
      </c>
      <c r="S48" s="64">
        <f t="shared" si="8"/>
        <v>0</v>
      </c>
      <c r="T48" s="1270"/>
      <c r="U48" s="612">
        <v>63.933314000000003</v>
      </c>
      <c r="V48" s="1161" t="s">
        <v>4613</v>
      </c>
      <c r="W48" s="619">
        <f t="shared" si="10"/>
        <v>0</v>
      </c>
      <c r="Y48" s="26"/>
      <c r="Z48" s="26"/>
    </row>
    <row r="49" spans="1:26" x14ac:dyDescent="0.35">
      <c r="A49" s="9168"/>
      <c r="B49" s="241"/>
      <c r="C49" s="240" t="s">
        <v>4631</v>
      </c>
      <c r="D49" s="197"/>
      <c r="G49" s="1353">
        <v>50.874508040000002</v>
      </c>
      <c r="H49" s="624">
        <v>49.959476350000003</v>
      </c>
      <c r="I49" s="1161" t="s">
        <v>4632</v>
      </c>
      <c r="J49" s="476">
        <f t="shared" si="7"/>
        <v>0.98201394519077101</v>
      </c>
      <c r="K49" s="1270"/>
      <c r="L49" s="612">
        <v>53.197475959999998</v>
      </c>
      <c r="M49" s="1161" t="s">
        <v>4633</v>
      </c>
      <c r="N49" s="619">
        <f t="shared" si="9"/>
        <v>52.240663241670795</v>
      </c>
      <c r="P49" s="1353">
        <v>53.197475959999998</v>
      </c>
      <c r="Q49" s="624"/>
      <c r="R49" s="1161" t="s">
        <v>4632</v>
      </c>
      <c r="S49" s="64">
        <f t="shared" si="8"/>
        <v>0</v>
      </c>
      <c r="T49" s="1270"/>
      <c r="U49" s="612">
        <v>40.728574999999999</v>
      </c>
      <c r="V49" s="1161" t="s">
        <v>4633</v>
      </c>
      <c r="W49" s="619">
        <f t="shared" si="10"/>
        <v>0</v>
      </c>
      <c r="Y49" s="26"/>
      <c r="Z49" s="26"/>
    </row>
    <row r="50" spans="1:26" x14ac:dyDescent="0.35">
      <c r="A50" s="9168"/>
      <c r="B50" s="241"/>
      <c r="C50" s="240" t="s">
        <v>4634</v>
      </c>
      <c r="D50" s="197"/>
      <c r="G50" s="1353">
        <v>34.721082600000003</v>
      </c>
      <c r="H50" s="624">
        <v>21</v>
      </c>
      <c r="I50" s="1161" t="s">
        <v>4632</v>
      </c>
      <c r="J50" s="476">
        <f t="shared" si="7"/>
        <v>0.60481985086490353</v>
      </c>
      <c r="K50" s="1270"/>
      <c r="L50" s="612">
        <v>37.822773929999997</v>
      </c>
      <c r="M50" s="1161" t="s">
        <v>4633</v>
      </c>
      <c r="N50" s="619">
        <f t="shared" si="9"/>
        <v>22.87596448763956</v>
      </c>
      <c r="P50" s="1353">
        <v>37.822773929999997</v>
      </c>
      <c r="Q50" s="624"/>
      <c r="R50" s="1161" t="s">
        <v>4632</v>
      </c>
      <c r="S50" s="64">
        <f t="shared" si="8"/>
        <v>0</v>
      </c>
      <c r="T50" s="1270"/>
      <c r="U50" s="612">
        <v>30.965633</v>
      </c>
      <c r="V50" s="1161" t="s">
        <v>4633</v>
      </c>
      <c r="W50" s="619">
        <f t="shared" si="10"/>
        <v>0</v>
      </c>
      <c r="Y50" s="26"/>
      <c r="Z50" s="26"/>
    </row>
    <row r="51" spans="1:26" x14ac:dyDescent="0.35">
      <c r="A51" s="9168"/>
      <c r="B51" s="241"/>
      <c r="C51" s="240" t="s">
        <v>4635</v>
      </c>
      <c r="D51" s="197"/>
      <c r="G51" s="1353">
        <v>134.18611794</v>
      </c>
      <c r="H51" s="624">
        <v>80.468534270000006</v>
      </c>
      <c r="I51" s="1161" t="s">
        <v>4636</v>
      </c>
      <c r="J51" s="476">
        <f t="shared" si="7"/>
        <v>0.59967853236488078</v>
      </c>
      <c r="K51" s="1270"/>
      <c r="L51" s="612">
        <v>105.19466222</v>
      </c>
      <c r="M51" s="1161" t="s">
        <v>4633</v>
      </c>
      <c r="N51" s="619">
        <f t="shared" si="9"/>
        <v>63.082980652708969</v>
      </c>
      <c r="P51" s="1353">
        <v>105.19466222</v>
      </c>
      <c r="Q51" s="624"/>
      <c r="R51" s="1161" t="s">
        <v>4636</v>
      </c>
      <c r="S51" s="64">
        <f t="shared" si="8"/>
        <v>0</v>
      </c>
      <c r="T51" s="1270"/>
      <c r="U51" s="612">
        <v>68.536135000000002</v>
      </c>
      <c r="V51" s="1161" t="s">
        <v>4633</v>
      </c>
      <c r="W51" s="619">
        <f t="shared" si="10"/>
        <v>0</v>
      </c>
      <c r="Y51" s="26"/>
      <c r="Z51" s="26"/>
    </row>
    <row r="52" spans="1:26" x14ac:dyDescent="0.35">
      <c r="A52" s="9168"/>
      <c r="B52" s="241"/>
      <c r="C52" s="240" t="s">
        <v>4637</v>
      </c>
      <c r="D52" s="197"/>
      <c r="G52" s="1353">
        <v>31.945972279999999</v>
      </c>
      <c r="H52" s="624">
        <v>21.515504979999999</v>
      </c>
      <c r="I52" s="1161" t="s">
        <v>4638</v>
      </c>
      <c r="J52" s="476">
        <f t="shared" si="7"/>
        <v>0.67349663962082418</v>
      </c>
      <c r="K52" s="1270"/>
      <c r="L52" s="612">
        <v>31.035173220000001</v>
      </c>
      <c r="M52" s="1161" t="s">
        <v>4633</v>
      </c>
      <c r="N52" s="619">
        <f t="shared" si="9"/>
        <v>20.902084873720195</v>
      </c>
      <c r="P52" s="1353">
        <v>31.035173220000001</v>
      </c>
      <c r="Q52" s="624"/>
      <c r="R52" s="1161" t="s">
        <v>4638</v>
      </c>
      <c r="S52" s="64">
        <f t="shared" si="8"/>
        <v>0</v>
      </c>
      <c r="T52" s="1270"/>
      <c r="U52" s="612">
        <v>22.927619</v>
      </c>
      <c r="V52" s="1161" t="s">
        <v>4633</v>
      </c>
      <c r="W52" s="619">
        <f t="shared" si="10"/>
        <v>0</v>
      </c>
      <c r="Y52" s="26"/>
      <c r="Z52" s="26"/>
    </row>
    <row r="53" spans="1:26" x14ac:dyDescent="0.35">
      <c r="A53" s="9168"/>
      <c r="B53" s="241"/>
      <c r="C53" s="240" t="s">
        <v>4639</v>
      </c>
      <c r="D53" s="197"/>
      <c r="G53" s="1353">
        <f>76.79287686</f>
        <v>76.792876860000007</v>
      </c>
      <c r="H53" s="624">
        <v>58.888926769999998</v>
      </c>
      <c r="I53" s="1161" t="s">
        <v>4638</v>
      </c>
      <c r="J53" s="476">
        <f t="shared" si="7"/>
        <v>0.76685402576282635</v>
      </c>
      <c r="K53" s="1270"/>
      <c r="L53" s="612">
        <v>219.23327454</v>
      </c>
      <c r="M53" s="1161" t="s">
        <v>4633</v>
      </c>
      <c r="N53" s="619">
        <f t="shared" si="9"/>
        <v>168.11991916216593</v>
      </c>
      <c r="P53" s="1353">
        <v>219.23327454</v>
      </c>
      <c r="Q53" s="624"/>
      <c r="R53" s="1161" t="s">
        <v>4638</v>
      </c>
      <c r="S53" s="64">
        <f t="shared" si="8"/>
        <v>0</v>
      </c>
      <c r="T53" s="1270"/>
      <c r="U53" s="612">
        <v>104.979314</v>
      </c>
      <c r="V53" s="1161" t="s">
        <v>4633</v>
      </c>
      <c r="W53" s="619">
        <f t="shared" si="10"/>
        <v>0</v>
      </c>
      <c r="Y53" s="26"/>
      <c r="Z53" s="26"/>
    </row>
    <row r="54" spans="1:26" x14ac:dyDescent="0.35">
      <c r="A54" s="9168"/>
      <c r="B54" s="241"/>
      <c r="C54" s="240" t="s">
        <v>4640</v>
      </c>
      <c r="D54" s="197"/>
      <c r="G54" s="1353">
        <v>29</v>
      </c>
      <c r="H54" s="624">
        <v>26.845323830000002</v>
      </c>
      <c r="I54" s="1161" t="s">
        <v>4641</v>
      </c>
      <c r="J54" s="476">
        <f t="shared" si="7"/>
        <v>0.92570082172413803</v>
      </c>
      <c r="K54" s="1270"/>
      <c r="L54" s="612"/>
      <c r="M54" s="1161" t="s">
        <v>4633</v>
      </c>
      <c r="N54" s="619">
        <f t="shared" si="9"/>
        <v>0</v>
      </c>
      <c r="P54" s="1353"/>
      <c r="Q54" s="624"/>
      <c r="R54" s="1161" t="s">
        <v>4641</v>
      </c>
      <c r="S54" s="64" t="e">
        <f t="shared" si="8"/>
        <v>#DIV/0!</v>
      </c>
      <c r="T54" s="1270"/>
      <c r="U54" s="612"/>
      <c r="V54" s="1161" t="s">
        <v>4633</v>
      </c>
      <c r="W54" s="619" t="e">
        <f t="shared" si="10"/>
        <v>#DIV/0!</v>
      </c>
      <c r="Y54" s="26"/>
      <c r="Z54" s="26"/>
    </row>
    <row r="55" spans="1:26" x14ac:dyDescent="0.35">
      <c r="A55" s="9168"/>
      <c r="B55" s="241"/>
      <c r="C55" s="240" t="s">
        <v>4642</v>
      </c>
      <c r="D55" s="197"/>
      <c r="G55" s="1353">
        <v>63.443113670000002</v>
      </c>
      <c r="H55" s="624">
        <v>65.997672059999999</v>
      </c>
      <c r="I55" s="1161" t="s">
        <v>4643</v>
      </c>
      <c r="J55" s="476">
        <f t="shared" si="7"/>
        <v>1.040265337594992</v>
      </c>
      <c r="K55" s="1270"/>
      <c r="L55" s="612">
        <v>73.887935940000006</v>
      </c>
      <c r="M55" s="1161" t="s">
        <v>4633</v>
      </c>
      <c r="N55" s="619">
        <f t="shared" si="9"/>
        <v>76.86305862482125</v>
      </c>
      <c r="P55" s="1353">
        <v>73.887935940000006</v>
      </c>
      <c r="Q55" s="624"/>
      <c r="R55" s="1161" t="s">
        <v>4643</v>
      </c>
      <c r="S55" s="64">
        <f t="shared" si="8"/>
        <v>0</v>
      </c>
      <c r="T55" s="1270"/>
      <c r="U55" s="612">
        <v>52.045226999999997</v>
      </c>
      <c r="V55" s="1161" t="s">
        <v>4633</v>
      </c>
      <c r="W55" s="619">
        <f t="shared" si="10"/>
        <v>0</v>
      </c>
      <c r="Y55" s="26"/>
      <c r="Z55" s="26"/>
    </row>
    <row r="56" spans="1:26" x14ac:dyDescent="0.35">
      <c r="A56" s="9168"/>
      <c r="B56" s="241"/>
      <c r="C56" s="240" t="s">
        <v>4644</v>
      </c>
      <c r="D56" s="197"/>
      <c r="G56" s="1353">
        <v>52.476435930000001</v>
      </c>
      <c r="H56" s="624">
        <v>50.109073989999999</v>
      </c>
      <c r="I56" s="1161" t="s">
        <v>4643</v>
      </c>
      <c r="J56" s="476">
        <f t="shared" si="7"/>
        <v>0.95488714319017587</v>
      </c>
      <c r="K56" s="1270"/>
      <c r="L56" s="612">
        <v>68.402520350000003</v>
      </c>
      <c r="M56" s="1161" t="s">
        <v>4633</v>
      </c>
      <c r="N56" s="619">
        <f t="shared" si="9"/>
        <v>65.316687244019377</v>
      </c>
      <c r="P56" s="1353">
        <v>68.402520350000003</v>
      </c>
      <c r="Q56" s="624"/>
      <c r="R56" s="1161" t="s">
        <v>4643</v>
      </c>
      <c r="S56" s="64">
        <f t="shared" si="8"/>
        <v>0</v>
      </c>
      <c r="T56" s="1270"/>
      <c r="U56" s="612">
        <v>26.7502</v>
      </c>
      <c r="V56" s="1161" t="s">
        <v>4633</v>
      </c>
      <c r="W56" s="619">
        <f t="shared" si="10"/>
        <v>0</v>
      </c>
      <c r="Y56" s="26"/>
      <c r="Z56" s="26"/>
    </row>
    <row r="57" spans="1:26" x14ac:dyDescent="0.35">
      <c r="A57" s="9168"/>
      <c r="B57" s="241"/>
      <c r="C57" s="240" t="s">
        <v>4645</v>
      </c>
      <c r="D57" s="197"/>
      <c r="G57" s="1353">
        <v>48.52733568</v>
      </c>
      <c r="H57" s="624">
        <v>43.041091059999999</v>
      </c>
      <c r="I57" s="1161" t="s">
        <v>4646</v>
      </c>
      <c r="J57" s="476">
        <f t="shared" si="7"/>
        <v>0.88694527438766646</v>
      </c>
      <c r="K57" s="1270"/>
      <c r="L57" s="612">
        <v>44.602666110000001</v>
      </c>
      <c r="M57" s="1161" t="s">
        <v>4633</v>
      </c>
      <c r="N57" s="619">
        <f t="shared" si="9"/>
        <v>39.56012393135542</v>
      </c>
      <c r="P57" s="1353">
        <v>44.602666110000001</v>
      </c>
      <c r="Q57" s="624"/>
      <c r="R57" s="1161" t="s">
        <v>4646</v>
      </c>
      <c r="S57" s="64">
        <f t="shared" si="8"/>
        <v>0</v>
      </c>
      <c r="T57" s="1270"/>
      <c r="U57" s="612">
        <v>33.222050000000003</v>
      </c>
      <c r="V57" s="1161" t="s">
        <v>4633</v>
      </c>
      <c r="W57" s="619">
        <f t="shared" si="10"/>
        <v>0</v>
      </c>
      <c r="Y57" s="26"/>
      <c r="Z57" s="26"/>
    </row>
    <row r="58" spans="1:26" x14ac:dyDescent="0.35">
      <c r="A58" s="9168"/>
      <c r="B58" s="241"/>
      <c r="C58" s="240" t="s">
        <v>4647</v>
      </c>
      <c r="D58" s="197"/>
      <c r="G58" s="1353">
        <v>44.625816389999997</v>
      </c>
      <c r="H58" s="624">
        <v>37.099868579999999</v>
      </c>
      <c r="I58" s="1161" t="s">
        <v>4646</v>
      </c>
      <c r="J58" s="476">
        <f t="shared" si="7"/>
        <v>0.83135439485906071</v>
      </c>
      <c r="K58" s="1270"/>
      <c r="L58" s="612">
        <v>49.829887939999999</v>
      </c>
      <c r="M58" s="1161" t="s">
        <v>4633</v>
      </c>
      <c r="N58" s="619">
        <f t="shared" si="9"/>
        <v>41.426296334253507</v>
      </c>
      <c r="P58" s="1353">
        <v>49.829887939999999</v>
      </c>
      <c r="Q58" s="624"/>
      <c r="R58" s="1161" t="s">
        <v>4646</v>
      </c>
      <c r="S58" s="64">
        <f t="shared" si="8"/>
        <v>0</v>
      </c>
      <c r="T58" s="1270"/>
      <c r="U58" s="612">
        <v>34.171967000000002</v>
      </c>
      <c r="V58" s="1161" t="s">
        <v>4633</v>
      </c>
      <c r="W58" s="619">
        <f t="shared" si="10"/>
        <v>0</v>
      </c>
      <c r="Y58" s="26"/>
      <c r="Z58" s="26"/>
    </row>
    <row r="59" spans="1:26" x14ac:dyDescent="0.35">
      <c r="A59" s="9168"/>
      <c r="B59" s="241"/>
      <c r="C59" s="240" t="s">
        <v>4648</v>
      </c>
      <c r="D59" s="197"/>
      <c r="G59" s="1353">
        <v>35.399789949999999</v>
      </c>
      <c r="H59" s="624">
        <v>31.107089680000001</v>
      </c>
      <c r="I59" s="1161" t="s">
        <v>4649</v>
      </c>
      <c r="J59" s="476">
        <f t="shared" si="7"/>
        <v>0.87873656097781461</v>
      </c>
      <c r="K59" s="1270"/>
      <c r="L59" s="612">
        <v>32.903325240000001</v>
      </c>
      <c r="M59" s="1161" t="s">
        <v>4650</v>
      </c>
      <c r="N59" s="619">
        <f t="shared" si="9"/>
        <v>28.913354866132128</v>
      </c>
      <c r="P59" s="1353">
        <v>32.903325240000001</v>
      </c>
      <c r="Q59" s="624"/>
      <c r="R59" s="1161" t="s">
        <v>4649</v>
      </c>
      <c r="S59" s="64">
        <f t="shared" si="8"/>
        <v>0</v>
      </c>
      <c r="T59" s="1270"/>
      <c r="U59" s="612">
        <v>31.081122000000001</v>
      </c>
      <c r="V59" s="1161" t="s">
        <v>4650</v>
      </c>
      <c r="W59" s="619">
        <f t="shared" si="10"/>
        <v>0</v>
      </c>
      <c r="Y59" s="26"/>
      <c r="Z59" s="26"/>
    </row>
    <row r="60" spans="1:26" x14ac:dyDescent="0.35">
      <c r="A60" s="9168"/>
      <c r="B60" s="241"/>
      <c r="C60" s="240" t="s">
        <v>4651</v>
      </c>
      <c r="D60" s="197"/>
      <c r="G60" s="1353">
        <v>79.188173710000001</v>
      </c>
      <c r="H60" s="624">
        <v>67.196967540000003</v>
      </c>
      <c r="I60" s="1161" t="s">
        <v>4652</v>
      </c>
      <c r="J60" s="476">
        <f t="shared" si="7"/>
        <v>0.84857327037350616</v>
      </c>
      <c r="K60" s="1270"/>
      <c r="L60" s="612">
        <v>81.916074159999994</v>
      </c>
      <c r="M60" s="1161" t="s">
        <v>4650</v>
      </c>
      <c r="N60" s="619">
        <f t="shared" si="9"/>
        <v>69.511790946109855</v>
      </c>
      <c r="P60" s="1353">
        <v>81.916074159999994</v>
      </c>
      <c r="Q60" s="624"/>
      <c r="R60" s="1161" t="s">
        <v>4652</v>
      </c>
      <c r="S60" s="64">
        <f t="shared" si="8"/>
        <v>0</v>
      </c>
      <c r="T60" s="1270"/>
      <c r="U60" s="612">
        <v>65.490184999999997</v>
      </c>
      <c r="V60" s="1161" t="s">
        <v>4650</v>
      </c>
      <c r="W60" s="619">
        <f t="shared" si="10"/>
        <v>0</v>
      </c>
      <c r="Y60" s="26"/>
      <c r="Z60" s="26"/>
    </row>
    <row r="61" spans="1:26" x14ac:dyDescent="0.35">
      <c r="A61" s="9168"/>
      <c r="B61" s="241"/>
      <c r="C61" s="240" t="s">
        <v>4653</v>
      </c>
      <c r="D61" s="197"/>
      <c r="G61" s="1353">
        <v>1397.7750759999999</v>
      </c>
      <c r="H61" s="624">
        <v>326.11795586</v>
      </c>
      <c r="I61" s="1161" t="s">
        <v>4652</v>
      </c>
      <c r="J61" s="476">
        <f t="shared" si="7"/>
        <v>0.23331218409849513</v>
      </c>
      <c r="K61" s="1270"/>
      <c r="L61" s="612">
        <v>2706.4087938100001</v>
      </c>
      <c r="M61" s="1161" t="s">
        <v>4650</v>
      </c>
      <c r="N61" s="619">
        <f t="shared" si="9"/>
        <v>631.43814674718487</v>
      </c>
      <c r="P61" s="1353">
        <v>2706.4087938100001</v>
      </c>
      <c r="Q61" s="624"/>
      <c r="R61" s="1161" t="s">
        <v>4652</v>
      </c>
      <c r="S61" s="64">
        <f t="shared" si="8"/>
        <v>0</v>
      </c>
      <c r="T61" s="1270"/>
      <c r="U61" s="612">
        <v>4746.9976310000002</v>
      </c>
      <c r="V61" s="1161" t="s">
        <v>4650</v>
      </c>
      <c r="W61" s="619">
        <f t="shared" si="10"/>
        <v>0</v>
      </c>
      <c r="Y61" s="26"/>
      <c r="Z61" s="26"/>
    </row>
    <row r="62" spans="1:26" x14ac:dyDescent="0.35">
      <c r="A62" s="9168"/>
      <c r="B62" s="241"/>
      <c r="C62" s="240" t="s">
        <v>4654</v>
      </c>
      <c r="D62" s="197"/>
      <c r="G62" s="1353">
        <v>172.69357024999999</v>
      </c>
      <c r="H62" s="624">
        <v>24.784904000000001</v>
      </c>
      <c r="I62" s="1161" t="s">
        <v>4655</v>
      </c>
      <c r="J62" s="476">
        <f t="shared" si="7"/>
        <v>0.14351955295220381</v>
      </c>
      <c r="K62" s="1270"/>
      <c r="L62" s="612">
        <v>442.34944722</v>
      </c>
      <c r="M62" s="1161" t="s">
        <v>4650</v>
      </c>
      <c r="N62" s="619">
        <f t="shared" si="9"/>
        <v>63.485794913668876</v>
      </c>
      <c r="P62" s="1353">
        <v>442.34944722</v>
      </c>
      <c r="Q62" s="624"/>
      <c r="R62" s="1161" t="s">
        <v>4655</v>
      </c>
      <c r="S62" s="64">
        <f t="shared" si="8"/>
        <v>0</v>
      </c>
      <c r="T62" s="1270"/>
      <c r="U62" s="612">
        <v>297.84384</v>
      </c>
      <c r="V62" s="1161" t="s">
        <v>4650</v>
      </c>
      <c r="W62" s="619">
        <f t="shared" si="10"/>
        <v>0</v>
      </c>
      <c r="Y62" s="26"/>
      <c r="Z62" s="26"/>
    </row>
    <row r="63" spans="1:26" x14ac:dyDescent="0.35">
      <c r="A63" s="9168"/>
      <c r="B63" s="7331" t="s">
        <v>1116</v>
      </c>
      <c r="C63" s="639"/>
      <c r="D63" s="197"/>
      <c r="G63" s="1353"/>
      <c r="H63" s="624"/>
      <c r="I63"/>
      <c r="J63" s="476"/>
      <c r="K63" s="1270"/>
      <c r="L63" s="612"/>
      <c r="N63" s="619"/>
      <c r="P63" s="1353"/>
      <c r="Q63" s="624"/>
      <c r="R63"/>
      <c r="S63" s="64"/>
      <c r="T63" s="1270"/>
      <c r="U63" s="612"/>
      <c r="W63" s="619"/>
      <c r="Y63" s="26"/>
      <c r="Z63" s="26"/>
    </row>
    <row r="64" spans="1:26" x14ac:dyDescent="0.35">
      <c r="A64" s="9168"/>
      <c r="B64" s="241"/>
      <c r="C64" s="240" t="s">
        <v>4607</v>
      </c>
      <c r="D64" s="197"/>
      <c r="G64" s="1353">
        <v>17389.917257280002</v>
      </c>
      <c r="H64" s="624">
        <v>6486.5040551499997</v>
      </c>
      <c r="I64"/>
      <c r="J64" s="476">
        <f t="shared" si="7"/>
        <v>0.37300373309335511</v>
      </c>
      <c r="K64" s="1270"/>
      <c r="L64" s="612">
        <v>16063.10125577</v>
      </c>
      <c r="M64" t="s">
        <v>4656</v>
      </c>
      <c r="N64" s="619">
        <f t="shared" si="9"/>
        <v>5991.5967334587704</v>
      </c>
      <c r="P64" s="1353">
        <v>16063.10125577</v>
      </c>
      <c r="Q64" s="624"/>
      <c r="R64"/>
      <c r="S64" s="64">
        <f t="shared" ref="S64:S71" si="11">Q64/P64</f>
        <v>0</v>
      </c>
      <c r="T64" s="1270"/>
      <c r="U64" s="612">
        <v>22711.375749999999</v>
      </c>
      <c r="V64" t="s">
        <v>4656</v>
      </c>
      <c r="W64" s="619">
        <f t="shared" ref="W64:W71" si="12">U64*S64</f>
        <v>0</v>
      </c>
      <c r="Y64" s="26"/>
      <c r="Z64" s="26"/>
    </row>
    <row r="65" spans="1:26" x14ac:dyDescent="0.35">
      <c r="A65" s="9168"/>
      <c r="B65" s="241"/>
      <c r="C65" s="240" t="s">
        <v>4619</v>
      </c>
      <c r="D65" s="197"/>
      <c r="G65" s="1353">
        <v>2158.3219947799998</v>
      </c>
      <c r="H65" s="624">
        <v>107.27034983999999</v>
      </c>
      <c r="I65"/>
      <c r="J65" s="476">
        <f t="shared" si="7"/>
        <v>4.9700809285842536E-2</v>
      </c>
      <c r="K65" s="1270"/>
      <c r="L65" s="612">
        <v>8084.0711129299998</v>
      </c>
      <c r="M65" t="s">
        <v>4656</v>
      </c>
      <c r="N65" s="619">
        <f t="shared" si="9"/>
        <v>401.78487663692272</v>
      </c>
      <c r="P65" s="1353">
        <v>8084.0711129299998</v>
      </c>
      <c r="Q65" s="624"/>
      <c r="R65"/>
      <c r="S65" s="64">
        <f t="shared" si="11"/>
        <v>0</v>
      </c>
      <c r="T65" s="1270"/>
      <c r="U65" s="612">
        <v>10344.03937</v>
      </c>
      <c r="V65" t="s">
        <v>4656</v>
      </c>
      <c r="W65" s="619">
        <f t="shared" si="12"/>
        <v>0</v>
      </c>
      <c r="Y65" s="26"/>
      <c r="Z65" s="26"/>
    </row>
    <row r="66" spans="1:26" x14ac:dyDescent="0.35">
      <c r="A66" s="9168"/>
      <c r="B66" s="241"/>
      <c r="C66" s="240" t="s">
        <v>4617</v>
      </c>
      <c r="D66" s="197"/>
      <c r="G66" s="1353">
        <v>1596.4780948699999</v>
      </c>
      <c r="H66" s="624">
        <v>89.404685049999998</v>
      </c>
      <c r="I66"/>
      <c r="J66" s="476">
        <f t="shared" si="7"/>
        <v>5.6001197471663496E-2</v>
      </c>
      <c r="K66" s="1270"/>
      <c r="L66" s="612">
        <v>639.99014901999999</v>
      </c>
      <c r="M66" t="s">
        <v>4656</v>
      </c>
      <c r="N66" s="619">
        <f t="shared" si="9"/>
        <v>35.840214715188367</v>
      </c>
      <c r="P66" s="1353">
        <v>639.99014901999999</v>
      </c>
      <c r="Q66" s="624"/>
      <c r="R66"/>
      <c r="S66" s="64">
        <f t="shared" si="11"/>
        <v>0</v>
      </c>
      <c r="T66" s="1270"/>
      <c r="U66" s="612">
        <v>1024.3099990000001</v>
      </c>
      <c r="V66" t="s">
        <v>4656</v>
      </c>
      <c r="W66" s="619">
        <f t="shared" si="12"/>
        <v>0</v>
      </c>
      <c r="Y66" s="26"/>
      <c r="Z66" s="26"/>
    </row>
    <row r="67" spans="1:26" x14ac:dyDescent="0.35">
      <c r="A67" s="9168"/>
      <c r="B67" s="241"/>
      <c r="C67" s="240" t="s">
        <v>4611</v>
      </c>
      <c r="D67" s="197"/>
      <c r="G67" s="1353">
        <v>339.45499999999998</v>
      </c>
      <c r="H67" s="624">
        <v>0</v>
      </c>
      <c r="I67"/>
      <c r="J67" s="476">
        <f t="shared" si="7"/>
        <v>0</v>
      </c>
      <c r="K67" s="1270"/>
      <c r="L67" s="612">
        <v>169.95500061000001</v>
      </c>
      <c r="M67" t="s">
        <v>4656</v>
      </c>
      <c r="N67" s="619">
        <f t="shared" si="9"/>
        <v>0</v>
      </c>
      <c r="P67" s="1353">
        <v>169.95500061000001</v>
      </c>
      <c r="Q67" s="624"/>
      <c r="R67"/>
      <c r="S67" s="64">
        <f t="shared" si="11"/>
        <v>0</v>
      </c>
      <c r="T67" s="1270"/>
      <c r="U67" s="612">
        <v>89.954999999999998</v>
      </c>
      <c r="V67" t="s">
        <v>4656</v>
      </c>
      <c r="W67" s="619">
        <f t="shared" si="12"/>
        <v>0</v>
      </c>
      <c r="Y67" s="26"/>
      <c r="Z67" s="26"/>
    </row>
    <row r="68" spans="1:26" x14ac:dyDescent="0.35">
      <c r="A68" s="9168"/>
      <c r="B68" s="241"/>
      <c r="C68" s="240" t="s">
        <v>4653</v>
      </c>
      <c r="D68" s="197"/>
      <c r="G68" s="1353">
        <v>2</v>
      </c>
      <c r="H68" s="624">
        <v>0</v>
      </c>
      <c r="I68"/>
      <c r="J68" s="476">
        <f t="shared" si="7"/>
        <v>0</v>
      </c>
      <c r="K68" s="1270"/>
      <c r="L68" s="612">
        <v>1.9550000000000001</v>
      </c>
      <c r="M68" t="s">
        <v>4656</v>
      </c>
      <c r="N68" s="619">
        <f t="shared" si="9"/>
        <v>0</v>
      </c>
      <c r="P68" s="1353">
        <v>1.9550000000000001</v>
      </c>
      <c r="Q68" s="624"/>
      <c r="R68"/>
      <c r="S68" s="64">
        <f t="shared" si="11"/>
        <v>0</v>
      </c>
      <c r="T68" s="1270"/>
      <c r="U68" s="612">
        <v>0</v>
      </c>
      <c r="V68" t="s">
        <v>4656</v>
      </c>
      <c r="W68" s="619">
        <f t="shared" si="12"/>
        <v>0</v>
      </c>
      <c r="Y68" s="26"/>
      <c r="Z68" s="26"/>
    </row>
    <row r="69" spans="1:26" x14ac:dyDescent="0.35">
      <c r="A69" s="9168"/>
      <c r="B69" s="241"/>
      <c r="C69" s="240" t="s">
        <v>4654</v>
      </c>
      <c r="D69" s="197"/>
      <c r="G69" s="1353">
        <v>0.84599999999999997</v>
      </c>
      <c r="H69" s="624">
        <v>0</v>
      </c>
      <c r="I69"/>
      <c r="J69" s="476">
        <f t="shared" si="7"/>
        <v>0</v>
      </c>
      <c r="K69" s="1270"/>
      <c r="L69" s="612"/>
      <c r="M69" t="s">
        <v>4656</v>
      </c>
      <c r="N69" s="619">
        <f t="shared" si="9"/>
        <v>0</v>
      </c>
      <c r="P69" s="1353"/>
      <c r="Q69" s="624"/>
      <c r="R69"/>
      <c r="S69" s="64" t="e">
        <f t="shared" si="11"/>
        <v>#DIV/0!</v>
      </c>
      <c r="T69" s="1270"/>
      <c r="U69" s="612"/>
      <c r="V69" t="s">
        <v>4656</v>
      </c>
      <c r="W69" s="619" t="e">
        <f t="shared" si="12"/>
        <v>#DIV/0!</v>
      </c>
      <c r="Y69" s="26"/>
      <c r="Z69" s="26"/>
    </row>
    <row r="70" spans="1:26" x14ac:dyDescent="0.35">
      <c r="A70" s="9168"/>
      <c r="B70" s="241"/>
      <c r="C70" s="240" t="s">
        <v>4657</v>
      </c>
      <c r="D70" s="197"/>
      <c r="G70" s="1353">
        <v>6753.21906717</v>
      </c>
      <c r="H70" s="624">
        <v>0</v>
      </c>
      <c r="I70"/>
      <c r="J70" s="476">
        <f t="shared" si="7"/>
        <v>0</v>
      </c>
      <c r="K70" s="1270"/>
      <c r="L70" s="612">
        <v>19995.508273309999</v>
      </c>
      <c r="M70" t="s">
        <v>4656</v>
      </c>
      <c r="N70" s="619">
        <f t="shared" si="9"/>
        <v>0</v>
      </c>
      <c r="P70" s="1353">
        <v>19995.508273309999</v>
      </c>
      <c r="Q70" s="624"/>
      <c r="R70"/>
      <c r="S70" s="64">
        <f t="shared" si="11"/>
        <v>0</v>
      </c>
      <c r="T70" s="1270"/>
      <c r="U70" s="612">
        <v>10807.41625</v>
      </c>
      <c r="V70" t="s">
        <v>4656</v>
      </c>
      <c r="W70" s="619">
        <f t="shared" si="12"/>
        <v>0</v>
      </c>
      <c r="Y70" s="26"/>
      <c r="Z70" s="26"/>
    </row>
    <row r="71" spans="1:26" x14ac:dyDescent="0.35">
      <c r="A71" s="9168"/>
      <c r="B71" s="241"/>
      <c r="C71" s="240" t="s">
        <v>4615</v>
      </c>
      <c r="D71" s="197"/>
      <c r="G71" s="1353">
        <v>670.36392339999998</v>
      </c>
      <c r="H71" s="624">
        <v>22.9570264</v>
      </c>
      <c r="I71"/>
      <c r="J71" s="476">
        <f t="shared" si="7"/>
        <v>3.4245617341047981E-2</v>
      </c>
      <c r="K71" s="1270"/>
      <c r="L71" s="612">
        <v>921.01201473000003</v>
      </c>
      <c r="M71" t="s">
        <v>4656</v>
      </c>
      <c r="N71" s="619">
        <f t="shared" si="9"/>
        <v>31.540625022951229</v>
      </c>
      <c r="P71" s="1353">
        <v>921.01201473000003</v>
      </c>
      <c r="Q71" s="624"/>
      <c r="R71"/>
      <c r="S71" s="64">
        <f t="shared" si="11"/>
        <v>0</v>
      </c>
      <c r="T71" s="1270"/>
      <c r="U71" s="612">
        <v>177.24436600000001</v>
      </c>
      <c r="V71" t="s">
        <v>4656</v>
      </c>
      <c r="W71" s="619">
        <f t="shared" si="12"/>
        <v>0</v>
      </c>
      <c r="Y71" s="26"/>
      <c r="Z71" s="26"/>
    </row>
    <row r="72" spans="1:26" x14ac:dyDescent="0.35">
      <c r="A72" s="9168"/>
      <c r="B72" s="241"/>
      <c r="C72" s="639"/>
      <c r="D72" s="197"/>
      <c r="G72" s="1353"/>
      <c r="H72" s="624"/>
      <c r="I72" s="645"/>
      <c r="J72" s="7018"/>
      <c r="K72" s="1270"/>
      <c r="L72" s="612"/>
      <c r="M72" s="645"/>
      <c r="N72" s="619"/>
      <c r="P72" s="1353"/>
      <c r="Q72" s="624"/>
      <c r="R72" s="645"/>
      <c r="S72" s="1355"/>
      <c r="T72" s="1270"/>
      <c r="U72" s="612"/>
      <c r="V72" s="645"/>
      <c r="W72" s="619"/>
      <c r="Y72" s="26"/>
      <c r="Z72" s="26"/>
    </row>
    <row r="73" spans="1:26" x14ac:dyDescent="0.35">
      <c r="A73" s="9168"/>
      <c r="B73" s="141" t="s">
        <v>531</v>
      </c>
      <c r="C73"/>
      <c r="D73" s="197"/>
      <c r="E73" s="143"/>
      <c r="F73" s="143"/>
      <c r="G73" s="1361"/>
      <c r="H73" s="645"/>
      <c r="I73" s="645"/>
      <c r="J73" s="1363"/>
      <c r="K73" s="1321"/>
      <c r="L73" s="1361"/>
      <c r="M73" s="645"/>
      <c r="N73" s="619"/>
      <c r="O73" s="143"/>
      <c r="P73" s="1361"/>
      <c r="Q73" s="645"/>
      <c r="R73" s="645"/>
      <c r="S73" s="1363"/>
      <c r="T73" s="1321"/>
      <c r="U73" s="1361"/>
      <c r="V73" s="645"/>
      <c r="W73" s="619"/>
      <c r="X73" s="143"/>
      <c r="Y73" s="18"/>
      <c r="Z73" s="18"/>
    </row>
    <row r="74" spans="1:26" x14ac:dyDescent="0.35">
      <c r="A74" s="9168"/>
      <c r="B74" s="240"/>
      <c r="C74" s="240" t="s">
        <v>532</v>
      </c>
      <c r="D74" s="197"/>
      <c r="G74" s="1353"/>
      <c r="H74" s="624"/>
      <c r="I74" s="645"/>
      <c r="J74" s="7013"/>
      <c r="K74" s="1270"/>
      <c r="L74" s="1353"/>
      <c r="M74" s="645"/>
      <c r="N74" s="619"/>
      <c r="P74" s="1353"/>
      <c r="Q74" s="624"/>
      <c r="R74" s="645"/>
      <c r="S74" s="1274"/>
      <c r="T74" s="1270"/>
      <c r="U74" s="1353"/>
      <c r="V74" s="645"/>
      <c r="W74" s="619"/>
      <c r="Y74" s="26"/>
      <c r="Z74" s="26"/>
    </row>
    <row r="75" spans="1:26" x14ac:dyDescent="0.35">
      <c r="A75" s="9168"/>
      <c r="B75" s="240"/>
      <c r="C75" s="240" t="s">
        <v>533</v>
      </c>
      <c r="D75" s="197"/>
      <c r="G75" s="1154"/>
      <c r="H75" s="624"/>
      <c r="I75" s="645"/>
      <c r="J75" s="7013"/>
      <c r="K75" s="1270"/>
      <c r="L75" s="1154"/>
      <c r="M75" s="645"/>
      <c r="N75" s="619"/>
      <c r="P75" s="1154"/>
      <c r="Q75" s="624"/>
      <c r="R75" s="645"/>
      <c r="S75" s="1274"/>
      <c r="T75" s="1270"/>
      <c r="U75" s="1154"/>
      <c r="V75" s="645"/>
      <c r="W75" s="619"/>
      <c r="Y75" s="26"/>
      <c r="Z75" s="26"/>
    </row>
    <row r="76" spans="1:26" x14ac:dyDescent="0.35">
      <c r="A76" s="9168"/>
      <c r="B76" s="250"/>
      <c r="C76" s="250" t="s">
        <v>534</v>
      </c>
      <c r="D76" s="209"/>
      <c r="G76" s="1156"/>
      <c r="H76" s="605"/>
      <c r="I76" s="1200"/>
      <c r="J76" s="7014"/>
      <c r="K76" s="1270"/>
      <c r="L76" s="1156"/>
      <c r="M76" s="1200"/>
      <c r="N76" s="628"/>
      <c r="P76" s="1156"/>
      <c r="Q76" s="605"/>
      <c r="R76" s="1200"/>
      <c r="S76" s="1313"/>
      <c r="T76" s="1270"/>
      <c r="U76" s="1156"/>
      <c r="V76" s="1200"/>
      <c r="W76" s="628"/>
      <c r="Y76" s="24"/>
      <c r="Z76" s="24"/>
    </row>
    <row r="77" spans="1:26" x14ac:dyDescent="0.35">
      <c r="A77" s="9168"/>
      <c r="B77" s="141" t="s">
        <v>535</v>
      </c>
      <c r="C77" s="141"/>
      <c r="D77" s="197"/>
      <c r="E77" s="143"/>
      <c r="F77" s="143"/>
      <c r="G77" s="1368"/>
      <c r="H77" s="653"/>
      <c r="I77" s="7016"/>
      <c r="J77" s="7015"/>
      <c r="K77" s="1321"/>
      <c r="L77" s="1368"/>
      <c r="M77" s="1425"/>
      <c r="N77" s="1370"/>
      <c r="O77" s="143"/>
      <c r="P77" s="1368"/>
      <c r="Q77" s="653"/>
      <c r="R77" s="7016"/>
      <c r="S77" s="1367"/>
      <c r="T77" s="1321"/>
      <c r="U77" s="1368"/>
      <c r="V77" s="1425"/>
      <c r="W77" s="1370"/>
      <c r="X77" s="143"/>
      <c r="Y77" s="26"/>
      <c r="Z77" s="26"/>
    </row>
    <row r="78" spans="1:26" ht="15.25" customHeight="1" x14ac:dyDescent="0.35">
      <c r="A78" s="9168"/>
      <c r="B78" s="240"/>
      <c r="C78" s="240"/>
      <c r="D78" s="197"/>
      <c r="G78" s="1353"/>
      <c r="H78" s="624"/>
      <c r="I78" s="1161"/>
      <c r="J78" s="7013"/>
      <c r="K78" s="1270"/>
      <c r="L78" s="1353"/>
      <c r="M78" s="1161"/>
      <c r="N78" s="619"/>
      <c r="P78" s="1353"/>
      <c r="Q78" s="624"/>
      <c r="R78" s="1161"/>
      <c r="S78" s="1274"/>
      <c r="T78" s="1270"/>
      <c r="U78" s="1353"/>
      <c r="V78" s="1161"/>
      <c r="W78" s="619"/>
      <c r="Y78" s="257"/>
      <c r="Z78" s="257"/>
    </row>
    <row r="79" spans="1:26" ht="15.25" customHeight="1" x14ac:dyDescent="0.35">
      <c r="A79" s="9168"/>
      <c r="B79" s="240"/>
      <c r="C79" s="240" t="s">
        <v>4658</v>
      </c>
      <c r="D79" s="197"/>
      <c r="G79" s="1353">
        <v>723.72879799999998</v>
      </c>
      <c r="H79" s="624">
        <v>614.41452835999996</v>
      </c>
      <c r="I79" s="1161" t="s">
        <v>4659</v>
      </c>
      <c r="J79" s="476">
        <f t="shared" ref="J79:J85" si="13">H79/G79</f>
        <v>0.84895686071621534</v>
      </c>
      <c r="K79" s="1270"/>
      <c r="L79" s="1353">
        <v>794.13804517000005</v>
      </c>
      <c r="M79" s="1161" t="s">
        <v>4660</v>
      </c>
      <c r="N79" s="619">
        <f t="shared" ref="N79:N85" si="14">L79*J79</f>
        <v>674.1889418028353</v>
      </c>
      <c r="P79" s="1353">
        <v>723.72879799999998</v>
      </c>
      <c r="Q79" s="624"/>
      <c r="R79" s="1161" t="s">
        <v>4659</v>
      </c>
      <c r="S79" s="64">
        <f t="shared" ref="S79:S81" si="15">Q79/P79</f>
        <v>0</v>
      </c>
      <c r="T79" s="1270"/>
      <c r="U79" s="1353">
        <v>632.82398599999999</v>
      </c>
      <c r="V79" s="1161" t="s">
        <v>4660</v>
      </c>
      <c r="W79" s="619">
        <f t="shared" ref="W79:W81" si="16">U79*S79</f>
        <v>0</v>
      </c>
      <c r="Y79" s="257"/>
      <c r="Z79" s="257"/>
    </row>
    <row r="80" spans="1:26" x14ac:dyDescent="0.35">
      <c r="A80" s="9168"/>
      <c r="B80" s="240"/>
      <c r="C80" s="240" t="s">
        <v>4661</v>
      </c>
      <c r="D80" s="197"/>
      <c r="G80" s="1353">
        <v>287.39392600000002</v>
      </c>
      <c r="H80" s="624">
        <v>234.58298128000001</v>
      </c>
      <c r="I80" s="1161" t="s">
        <v>4662</v>
      </c>
      <c r="J80" s="476">
        <f t="shared" si="13"/>
        <v>0.81624195940731192</v>
      </c>
      <c r="K80" s="1270"/>
      <c r="L80" s="1353"/>
      <c r="M80" s="1161"/>
      <c r="N80" s="619">
        <f t="shared" si="14"/>
        <v>0</v>
      </c>
      <c r="P80" s="1353">
        <v>287.39392600000002</v>
      </c>
      <c r="Q80" s="624"/>
      <c r="R80" s="1161" t="s">
        <v>4662</v>
      </c>
      <c r="S80" s="64">
        <f t="shared" si="15"/>
        <v>0</v>
      </c>
      <c r="T80" s="1270"/>
      <c r="U80" s="1353">
        <v>338.13365199999998</v>
      </c>
      <c r="V80" s="1161"/>
      <c r="W80" s="619">
        <f t="shared" si="16"/>
        <v>0</v>
      </c>
      <c r="Y80" s="26"/>
      <c r="Z80" s="26"/>
    </row>
    <row r="81" spans="1:26" x14ac:dyDescent="0.35">
      <c r="A81" s="9168"/>
      <c r="B81" s="240"/>
      <c r="C81" s="240" t="s">
        <v>4663</v>
      </c>
      <c r="D81" s="197"/>
      <c r="G81" s="1353">
        <v>159.741726</v>
      </c>
      <c r="H81" s="624">
        <v>105.05428818999999</v>
      </c>
      <c r="I81" s="1161" t="s">
        <v>4664</v>
      </c>
      <c r="J81" s="476">
        <f t="shared" si="13"/>
        <v>0.65765088947392492</v>
      </c>
      <c r="K81" s="1270"/>
      <c r="L81" s="1353">
        <v>396.44868355</v>
      </c>
      <c r="M81" s="1161"/>
      <c r="N81" s="619">
        <f t="shared" si="14"/>
        <v>260.72482936742409</v>
      </c>
      <c r="P81" s="1353">
        <v>159.741726</v>
      </c>
      <c r="Q81" s="624"/>
      <c r="R81" s="1161" t="s">
        <v>4664</v>
      </c>
      <c r="S81" s="64">
        <f t="shared" si="15"/>
        <v>0</v>
      </c>
      <c r="T81" s="1270"/>
      <c r="U81" s="1353">
        <v>396.44868355</v>
      </c>
      <c r="V81" s="1161"/>
      <c r="W81" s="619">
        <f t="shared" si="16"/>
        <v>0</v>
      </c>
      <c r="Y81" s="26"/>
      <c r="Z81" s="26"/>
    </row>
    <row r="82" spans="1:26" x14ac:dyDescent="0.35">
      <c r="A82" s="9168"/>
      <c r="B82" s="240"/>
      <c r="C82" s="240"/>
      <c r="D82" s="197"/>
      <c r="G82" s="1353"/>
      <c r="H82" s="624"/>
      <c r="I82" s="1161"/>
      <c r="J82" s="476"/>
      <c r="K82" s="1270"/>
      <c r="L82" s="1353"/>
      <c r="M82" s="1161"/>
      <c r="N82" s="619"/>
      <c r="P82" s="1353"/>
      <c r="Q82" s="624"/>
      <c r="R82" s="1161"/>
      <c r="S82" s="64"/>
      <c r="T82" s="1270"/>
      <c r="U82" s="1353"/>
      <c r="V82" s="1161"/>
      <c r="W82" s="619"/>
      <c r="Y82" s="26"/>
      <c r="Z82" s="26"/>
    </row>
    <row r="83" spans="1:26" x14ac:dyDescent="0.35">
      <c r="A83" s="9168"/>
      <c r="B83" s="240"/>
      <c r="C83" s="240" t="s">
        <v>4658</v>
      </c>
      <c r="D83" s="197"/>
      <c r="G83" s="1353">
        <v>113.80596178</v>
      </c>
      <c r="H83" s="624">
        <v>32.108781159999999</v>
      </c>
      <c r="I83" s="1161" t="s">
        <v>4665</v>
      </c>
      <c r="J83" s="476">
        <f t="shared" si="13"/>
        <v>0.2821361961868919</v>
      </c>
      <c r="K83" s="1270"/>
      <c r="L83" s="1353">
        <v>230.57823282999999</v>
      </c>
      <c r="M83" s="1161" t="s">
        <v>4666</v>
      </c>
      <c r="N83" s="619">
        <f t="shared" si="14"/>
        <v>65.054465534151717</v>
      </c>
      <c r="P83" s="1353">
        <v>113.80596178</v>
      </c>
      <c r="Q83" s="624"/>
      <c r="R83" s="1161" t="s">
        <v>4665</v>
      </c>
      <c r="S83" s="64">
        <f t="shared" ref="S83:S85" si="17">Q83/P83</f>
        <v>0</v>
      </c>
      <c r="T83" s="1270"/>
      <c r="U83" s="1353">
        <v>442.700266</v>
      </c>
      <c r="V83" s="1161" t="s">
        <v>4666</v>
      </c>
      <c r="W83" s="619">
        <f t="shared" ref="W83:W85" si="18">U83*S83</f>
        <v>0</v>
      </c>
      <c r="Y83" s="26"/>
      <c r="Z83" s="26"/>
    </row>
    <row r="84" spans="1:26" x14ac:dyDescent="0.35">
      <c r="A84" s="9168"/>
      <c r="B84" s="240"/>
      <c r="C84" s="240" t="s">
        <v>4661</v>
      </c>
      <c r="D84" s="197"/>
      <c r="G84" s="1353">
        <v>182.29861905000001</v>
      </c>
      <c r="H84" s="624">
        <v>0</v>
      </c>
      <c r="I84" s="1161" t="s">
        <v>4667</v>
      </c>
      <c r="J84" s="476">
        <f t="shared" si="13"/>
        <v>0</v>
      </c>
      <c r="K84" s="1270"/>
      <c r="L84" s="1353"/>
      <c r="M84" s="1161"/>
      <c r="N84" s="619">
        <f t="shared" si="14"/>
        <v>0</v>
      </c>
      <c r="P84" s="1353">
        <v>182.29861905000001</v>
      </c>
      <c r="Q84" s="624"/>
      <c r="R84" s="1161" t="s">
        <v>4667</v>
      </c>
      <c r="S84" s="64">
        <f t="shared" si="17"/>
        <v>0</v>
      </c>
      <c r="T84" s="1270"/>
      <c r="U84" s="1353">
        <v>998.88441599999999</v>
      </c>
      <c r="V84" s="1161"/>
      <c r="W84" s="619">
        <f t="shared" si="18"/>
        <v>0</v>
      </c>
      <c r="Y84" s="26"/>
      <c r="Z84" s="26"/>
    </row>
    <row r="85" spans="1:26" x14ac:dyDescent="0.35">
      <c r="A85" s="9168"/>
      <c r="B85" s="240"/>
      <c r="C85" s="240" t="s">
        <v>4663</v>
      </c>
      <c r="D85" s="197"/>
      <c r="G85" s="1353">
        <v>110.128</v>
      </c>
      <c r="H85" s="624">
        <v>10.217805179999999</v>
      </c>
      <c r="I85" s="1161" t="s">
        <v>4667</v>
      </c>
      <c r="J85" s="476">
        <f t="shared" si="13"/>
        <v>9.278117445154728E-2</v>
      </c>
      <c r="K85" s="1270"/>
      <c r="L85" s="1353">
        <v>242.96628544000001</v>
      </c>
      <c r="M85" s="1161" t="s">
        <v>4666</v>
      </c>
      <c r="N85" s="619">
        <f t="shared" si="14"/>
        <v>22.542697315253072</v>
      </c>
      <c r="P85" s="1353">
        <v>110.128</v>
      </c>
      <c r="Q85" s="624"/>
      <c r="R85" s="1161" t="s">
        <v>4667</v>
      </c>
      <c r="S85" s="64">
        <f t="shared" si="17"/>
        <v>0</v>
      </c>
      <c r="T85" s="1270"/>
      <c r="U85" s="1353"/>
      <c r="V85" s="1161"/>
      <c r="W85" s="619">
        <f t="shared" si="18"/>
        <v>0</v>
      </c>
      <c r="Y85" s="26"/>
      <c r="Z85" s="26"/>
    </row>
    <row r="86" spans="1:26" x14ac:dyDescent="0.35">
      <c r="A86" s="9168"/>
      <c r="B86" s="240"/>
      <c r="C86" s="240"/>
      <c r="D86" s="197"/>
      <c r="G86" s="1373"/>
      <c r="H86" s="624"/>
      <c r="I86" s="645"/>
      <c r="J86" s="7013"/>
      <c r="K86" s="1270"/>
      <c r="L86" s="1373"/>
      <c r="M86" s="645"/>
      <c r="N86" s="1344"/>
      <c r="P86" s="1373"/>
      <c r="Q86" s="624"/>
      <c r="R86" s="645"/>
      <c r="S86" s="1274"/>
      <c r="T86" s="1270"/>
      <c r="U86" s="1373"/>
      <c r="V86" s="645"/>
      <c r="W86" s="1344"/>
      <c r="Y86" s="26"/>
      <c r="Z86" s="26"/>
    </row>
    <row r="87" spans="1:26" x14ac:dyDescent="0.35">
      <c r="A87" s="9168"/>
      <c r="B87" s="241"/>
      <c r="C87" s="241"/>
      <c r="D87" s="209"/>
      <c r="G87" s="612"/>
      <c r="H87" s="624"/>
      <c r="I87" s="1200"/>
      <c r="J87" s="7013"/>
      <c r="K87" s="1270"/>
      <c r="L87" s="612"/>
      <c r="M87" s="1200"/>
      <c r="N87" s="628"/>
      <c r="P87" s="612"/>
      <c r="Q87" s="624"/>
      <c r="R87" s="1200"/>
      <c r="S87" s="1274"/>
      <c r="T87" s="1270"/>
      <c r="U87" s="612"/>
      <c r="V87" s="1200"/>
      <c r="W87" s="628"/>
      <c r="Y87" s="26"/>
      <c r="Z87" s="26"/>
    </row>
    <row r="88" spans="1:26" x14ac:dyDescent="0.35">
      <c r="A88" s="9168"/>
      <c r="B88" s="271" t="s">
        <v>540</v>
      </c>
      <c r="C88" s="271"/>
      <c r="D88" s="184"/>
      <c r="E88" s="141"/>
      <c r="F88" s="141"/>
      <c r="G88" s="1375"/>
      <c r="H88" s="653"/>
      <c r="I88" s="645"/>
      <c r="J88" s="7017"/>
      <c r="K88" s="1319"/>
      <c r="L88" s="1375"/>
      <c r="M88" s="645"/>
      <c r="N88" s="1377"/>
      <c r="O88" s="141"/>
      <c r="P88" s="1375"/>
      <c r="Q88" s="653"/>
      <c r="R88" s="645"/>
      <c r="S88" s="1376"/>
      <c r="T88" s="1319"/>
      <c r="U88" s="1375"/>
      <c r="V88" s="645"/>
      <c r="W88" s="1377"/>
      <c r="X88" s="141"/>
      <c r="Y88" s="18"/>
      <c r="Z88" s="18"/>
    </row>
    <row r="89" spans="1:26" x14ac:dyDescent="0.35">
      <c r="A89" s="9168"/>
      <c r="B89" s="240"/>
      <c r="C89" s="240" t="s">
        <v>4607</v>
      </c>
      <c r="D89" s="197"/>
      <c r="G89" s="595">
        <v>7820.2500870000003</v>
      </c>
      <c r="H89" s="594">
        <v>7385.7623100000001</v>
      </c>
      <c r="I89" s="1161" t="s">
        <v>4608</v>
      </c>
      <c r="J89" s="7018">
        <f t="shared" ref="J89:J119" si="19">H89/G89</f>
        <v>0.94444068000814052</v>
      </c>
      <c r="K89" s="1270"/>
      <c r="L89" s="1353">
        <v>9737.2959681600005</v>
      </c>
      <c r="M89" s="1161" t="s">
        <v>4609</v>
      </c>
      <c r="N89" s="619">
        <f t="shared" ref="N89:N119" si="20">L89*J89</f>
        <v>9196.2984256095551</v>
      </c>
      <c r="P89" s="595">
        <v>7820.2500870000003</v>
      </c>
      <c r="Q89" s="594"/>
      <c r="R89" s="1161" t="s">
        <v>4608</v>
      </c>
      <c r="S89" s="1355">
        <f t="shared" ref="S89:S115" si="21">Q89/P89</f>
        <v>0</v>
      </c>
      <c r="T89" s="1270"/>
      <c r="U89" s="1353">
        <v>6568.6302089999999</v>
      </c>
      <c r="V89" s="1161" t="s">
        <v>4609</v>
      </c>
      <c r="W89" s="619">
        <f t="shared" ref="W89:W115" si="22">U89*S89</f>
        <v>0</v>
      </c>
      <c r="Y89" s="26"/>
      <c r="Z89" s="26"/>
    </row>
    <row r="90" spans="1:26" x14ac:dyDescent="0.35">
      <c r="A90" s="9168"/>
      <c r="B90" s="240"/>
      <c r="C90" s="240" t="s">
        <v>4610</v>
      </c>
      <c r="D90" s="197"/>
      <c r="G90" s="1154">
        <v>70.140955070000004</v>
      </c>
      <c r="H90" s="624">
        <v>64.027339150000003</v>
      </c>
      <c r="I90" s="1161" t="s">
        <v>4608</v>
      </c>
      <c r="J90" s="7018">
        <f t="shared" si="19"/>
        <v>0.91283814265290986</v>
      </c>
      <c r="K90" s="1270"/>
      <c r="L90" s="1353">
        <v>67.873132170000005</v>
      </c>
      <c r="M90" s="1161" t="s">
        <v>4609</v>
      </c>
      <c r="N90" s="619">
        <f t="shared" si="20"/>
        <v>61.957183906098273</v>
      </c>
      <c r="P90" s="1154">
        <v>70.140955070000004</v>
      </c>
      <c r="Q90" s="624"/>
      <c r="R90" s="1161" t="s">
        <v>4608</v>
      </c>
      <c r="S90" s="1355">
        <f t="shared" si="21"/>
        <v>0</v>
      </c>
      <c r="T90" s="1270"/>
      <c r="U90" s="1353">
        <v>138.78773899999999</v>
      </c>
      <c r="V90" s="1161" t="s">
        <v>4609</v>
      </c>
      <c r="W90" s="619">
        <f t="shared" si="22"/>
        <v>0</v>
      </c>
      <c r="Y90" s="26"/>
      <c r="Z90" s="26"/>
    </row>
    <row r="91" spans="1:26" x14ac:dyDescent="0.35">
      <c r="A91" s="9168"/>
      <c r="B91" s="240"/>
      <c r="C91" s="240" t="s">
        <v>4611</v>
      </c>
      <c r="D91" s="197"/>
      <c r="G91" s="1154">
        <v>39.868123900000001</v>
      </c>
      <c r="H91" s="624">
        <v>32.74831786</v>
      </c>
      <c r="I91" s="1161" t="s">
        <v>4612</v>
      </c>
      <c r="J91" s="7018">
        <f t="shared" si="19"/>
        <v>0.82141607521190629</v>
      </c>
      <c r="K91" s="1270"/>
      <c r="L91" s="1353">
        <v>41.259408090000001</v>
      </c>
      <c r="M91" s="1161" t="s">
        <v>4613</v>
      </c>
      <c r="N91" s="619">
        <f t="shared" si="20"/>
        <v>33.891141058854174</v>
      </c>
      <c r="P91" s="1154">
        <v>39.868123900000001</v>
      </c>
      <c r="Q91" s="624"/>
      <c r="R91" s="1161" t="s">
        <v>4612</v>
      </c>
      <c r="S91" s="1355">
        <f t="shared" si="21"/>
        <v>0</v>
      </c>
      <c r="T91" s="1270"/>
      <c r="U91" s="1353">
        <v>30.737181</v>
      </c>
      <c r="V91" s="1161" t="s">
        <v>4613</v>
      </c>
      <c r="W91" s="619">
        <f t="shared" si="22"/>
        <v>0</v>
      </c>
      <c r="Y91" s="26"/>
      <c r="Z91" s="26"/>
    </row>
    <row r="92" spans="1:26" x14ac:dyDescent="0.35">
      <c r="A92" s="9168"/>
      <c r="B92" s="240"/>
      <c r="C92" s="240" t="s">
        <v>4614</v>
      </c>
      <c r="D92" s="197"/>
      <c r="G92" s="1154">
        <v>68.7</v>
      </c>
      <c r="H92" s="624">
        <v>67.052008799999996</v>
      </c>
      <c r="I92" s="1161" t="s">
        <v>4612</v>
      </c>
      <c r="J92" s="7018">
        <f t="shared" si="19"/>
        <v>0.97601177292576413</v>
      </c>
      <c r="K92" s="1270"/>
      <c r="L92" s="1353"/>
      <c r="M92" s="1161" t="s">
        <v>4613</v>
      </c>
      <c r="N92" s="619">
        <f t="shared" si="20"/>
        <v>0</v>
      </c>
      <c r="P92" s="1154">
        <v>68.7</v>
      </c>
      <c r="Q92" s="624"/>
      <c r="R92" s="1161" t="s">
        <v>4612</v>
      </c>
      <c r="S92" s="1355">
        <f t="shared" si="21"/>
        <v>0</v>
      </c>
      <c r="T92" s="1270"/>
      <c r="U92" s="1353"/>
      <c r="V92" s="1161" t="s">
        <v>4613</v>
      </c>
      <c r="W92" s="619">
        <f t="shared" si="22"/>
        <v>0</v>
      </c>
      <c r="Y92" s="26"/>
      <c r="Z92" s="26"/>
    </row>
    <row r="93" spans="1:26" x14ac:dyDescent="0.35">
      <c r="A93" s="9168"/>
      <c r="B93" s="240"/>
      <c r="C93" s="240" t="s">
        <v>4615</v>
      </c>
      <c r="D93" s="197"/>
      <c r="G93" s="1154">
        <v>1333.7295382100001</v>
      </c>
      <c r="H93" s="624">
        <v>1384.9610663999999</v>
      </c>
      <c r="I93" s="1161" t="s">
        <v>4616</v>
      </c>
      <c r="J93" s="7018">
        <f t="shared" si="19"/>
        <v>1.0384122318073257</v>
      </c>
      <c r="K93" s="1270"/>
      <c r="L93" s="1353">
        <v>1363.9798199500001</v>
      </c>
      <c r="M93" s="1161" t="s">
        <v>4613</v>
      </c>
      <c r="N93" s="619">
        <f t="shared" si="20"/>
        <v>1416.3733289744339</v>
      </c>
      <c r="P93" s="1154">
        <v>1333.7295382100001</v>
      </c>
      <c r="Q93" s="624"/>
      <c r="R93" s="1161" t="s">
        <v>4616</v>
      </c>
      <c r="S93" s="1355">
        <f t="shared" si="21"/>
        <v>0</v>
      </c>
      <c r="T93" s="1270"/>
      <c r="U93" s="1353">
        <v>1263.0794020000001</v>
      </c>
      <c r="V93" s="1161" t="s">
        <v>4613</v>
      </c>
      <c r="W93" s="619">
        <f t="shared" si="22"/>
        <v>0</v>
      </c>
      <c r="Y93" s="26"/>
      <c r="Z93" s="26"/>
    </row>
    <row r="94" spans="1:26" x14ac:dyDescent="0.35">
      <c r="A94" s="9168"/>
      <c r="B94" s="240"/>
      <c r="C94" s="240" t="s">
        <v>4617</v>
      </c>
      <c r="D94" s="197"/>
      <c r="G94" s="1154">
        <v>1428.5605419999999</v>
      </c>
      <c r="H94" s="624">
        <v>1056.804815</v>
      </c>
      <c r="I94" s="1161" t="s">
        <v>4618</v>
      </c>
      <c r="J94" s="7018">
        <f t="shared" si="19"/>
        <v>0.73976900798370226</v>
      </c>
      <c r="K94" s="1270"/>
      <c r="L94" s="1353">
        <v>1235.44491543</v>
      </c>
      <c r="M94" s="1161" t="s">
        <v>4613</v>
      </c>
      <c r="N94" s="619">
        <f t="shared" si="20"/>
        <v>913.94385950616004</v>
      </c>
      <c r="P94" s="1154">
        <v>1428.5605419999999</v>
      </c>
      <c r="Q94" s="624"/>
      <c r="R94" s="1161" t="s">
        <v>4618</v>
      </c>
      <c r="S94" s="1355">
        <f t="shared" si="21"/>
        <v>0</v>
      </c>
      <c r="T94" s="1270"/>
      <c r="U94" s="1353">
        <v>1552.634712</v>
      </c>
      <c r="V94" s="1161" t="s">
        <v>4613</v>
      </c>
      <c r="W94" s="619">
        <f t="shared" si="22"/>
        <v>0</v>
      </c>
      <c r="Y94" s="26"/>
      <c r="Z94" s="26"/>
    </row>
    <row r="95" spans="1:26" x14ac:dyDescent="0.35">
      <c r="A95" s="9168"/>
      <c r="B95" s="240"/>
      <c r="C95" s="240" t="s">
        <v>4619</v>
      </c>
      <c r="D95" s="197"/>
      <c r="G95" s="1154">
        <v>3830.5083896400001</v>
      </c>
      <c r="H95" s="624">
        <v>3209.31566613</v>
      </c>
      <c r="I95" s="1161" t="s">
        <v>4620</v>
      </c>
      <c r="J95" s="7018">
        <f t="shared" si="19"/>
        <v>0.83783021460282425</v>
      </c>
      <c r="K95" s="1270"/>
      <c r="L95" s="1353">
        <v>2869.1364633600001</v>
      </c>
      <c r="M95" s="1161" t="s">
        <v>4613</v>
      </c>
      <c r="N95" s="619">
        <f t="shared" si="20"/>
        <v>2403.8492188216969</v>
      </c>
      <c r="P95" s="1154">
        <v>3830.5083896400001</v>
      </c>
      <c r="Q95" s="624"/>
      <c r="R95" s="1161" t="s">
        <v>4620</v>
      </c>
      <c r="S95" s="1355">
        <f t="shared" si="21"/>
        <v>0</v>
      </c>
      <c r="T95" s="1270"/>
      <c r="U95" s="1353">
        <v>3407.2307230000001</v>
      </c>
      <c r="V95" s="1161" t="s">
        <v>4613</v>
      </c>
      <c r="W95" s="619">
        <f t="shared" si="22"/>
        <v>0</v>
      </c>
      <c r="Y95" s="26"/>
      <c r="Z95" s="26"/>
    </row>
    <row r="96" spans="1:26" x14ac:dyDescent="0.35">
      <c r="A96" s="9168"/>
      <c r="B96" s="240"/>
      <c r="C96" s="240" t="s">
        <v>4621</v>
      </c>
      <c r="D96" s="197"/>
      <c r="G96" s="1154">
        <v>102.07110037</v>
      </c>
      <c r="H96" s="624">
        <v>95.881022060000006</v>
      </c>
      <c r="I96" s="1161" t="s">
        <v>4620</v>
      </c>
      <c r="J96" s="7018">
        <f t="shared" si="19"/>
        <v>0.93935523093646067</v>
      </c>
      <c r="K96" s="1270"/>
      <c r="L96" s="1353">
        <v>122.12367867</v>
      </c>
      <c r="M96" s="1161" t="s">
        <v>4613</v>
      </c>
      <c r="N96" s="619">
        <f t="shared" si="20"/>
        <v>114.71751637986797</v>
      </c>
      <c r="P96" s="1154">
        <v>102.07110037</v>
      </c>
      <c r="Q96" s="624"/>
      <c r="R96" s="1161" t="s">
        <v>4620</v>
      </c>
      <c r="S96" s="1355">
        <f t="shared" si="21"/>
        <v>0</v>
      </c>
      <c r="T96" s="1270"/>
      <c r="U96" s="1353">
        <v>83.733089000000007</v>
      </c>
      <c r="V96" s="1161" t="s">
        <v>4613</v>
      </c>
      <c r="W96" s="619">
        <f t="shared" si="22"/>
        <v>0</v>
      </c>
      <c r="Y96" s="26"/>
      <c r="Z96" s="26"/>
    </row>
    <row r="97" spans="1:26" x14ac:dyDescent="0.35">
      <c r="A97" s="9168"/>
      <c r="B97" s="240"/>
      <c r="C97" s="240" t="s">
        <v>4622</v>
      </c>
      <c r="D97" s="197"/>
      <c r="G97" s="1154">
        <v>68.826140210000005</v>
      </c>
      <c r="H97" s="624">
        <v>59.242070730000002</v>
      </c>
      <c r="I97" s="1161" t="s">
        <v>4623</v>
      </c>
      <c r="J97" s="7018">
        <f t="shared" si="19"/>
        <v>0.86074957202659608</v>
      </c>
      <c r="K97" s="1270"/>
      <c r="L97" s="1353">
        <v>63.773027069999998</v>
      </c>
      <c r="M97" s="1161" t="s">
        <v>4613</v>
      </c>
      <c r="N97" s="619">
        <f t="shared" si="20"/>
        <v>54.892605757343027</v>
      </c>
      <c r="P97" s="1154">
        <v>68.826140210000005</v>
      </c>
      <c r="Q97" s="624"/>
      <c r="R97" s="1161" t="s">
        <v>4623</v>
      </c>
      <c r="S97" s="1355">
        <f t="shared" si="21"/>
        <v>0</v>
      </c>
      <c r="T97" s="1270"/>
      <c r="U97" s="1353">
        <v>62.197685</v>
      </c>
      <c r="V97" s="1161" t="s">
        <v>4613</v>
      </c>
      <c r="W97" s="619">
        <f t="shared" si="22"/>
        <v>0</v>
      </c>
      <c r="Y97" s="26"/>
      <c r="Z97" s="26"/>
    </row>
    <row r="98" spans="1:26" x14ac:dyDescent="0.35">
      <c r="A98" s="9168"/>
      <c r="B98" s="240"/>
      <c r="C98" s="240" t="s">
        <v>4624</v>
      </c>
      <c r="D98" s="197"/>
      <c r="G98" s="1154">
        <v>70.173980689999993</v>
      </c>
      <c r="H98" s="624">
        <v>48.051747659999997</v>
      </c>
      <c r="I98" s="1161" t="s">
        <v>4625</v>
      </c>
      <c r="J98" s="7018">
        <f t="shared" si="19"/>
        <v>0.68475162998480887</v>
      </c>
      <c r="K98" s="1270"/>
      <c r="L98" s="1353">
        <v>59.550993470000002</v>
      </c>
      <c r="M98" s="1161" t="s">
        <v>4613</v>
      </c>
      <c r="N98" s="619">
        <f t="shared" si="20"/>
        <v>40.777639845797211</v>
      </c>
      <c r="P98" s="1154">
        <v>70.173980689999993</v>
      </c>
      <c r="Q98" s="624"/>
      <c r="R98" s="1161" t="s">
        <v>4625</v>
      </c>
      <c r="S98" s="1355">
        <f t="shared" si="21"/>
        <v>0</v>
      </c>
      <c r="T98" s="1270"/>
      <c r="U98" s="1353">
        <v>97.427401000000003</v>
      </c>
      <c r="V98" s="1161" t="s">
        <v>4613</v>
      </c>
      <c r="W98" s="619">
        <f t="shared" si="22"/>
        <v>0</v>
      </c>
      <c r="Y98" s="26"/>
      <c r="Z98" s="26"/>
    </row>
    <row r="99" spans="1:26" x14ac:dyDescent="0.35">
      <c r="A99" s="9168"/>
      <c r="B99" s="240"/>
      <c r="C99" s="240" t="s">
        <v>4626</v>
      </c>
      <c r="D99" s="197"/>
      <c r="G99" s="1154">
        <v>73.17920436</v>
      </c>
      <c r="H99" s="624">
        <v>65.478312239999994</v>
      </c>
      <c r="I99" s="1161" t="s">
        <v>4627</v>
      </c>
      <c r="J99" s="7018">
        <f t="shared" si="19"/>
        <v>0.89476665963576207</v>
      </c>
      <c r="K99" s="1270"/>
      <c r="L99" s="1353">
        <v>63.783895530000002</v>
      </c>
      <c r="M99" s="1161" t="s">
        <v>4613</v>
      </c>
      <c r="N99" s="619">
        <f t="shared" si="20"/>
        <v>57.07170314193452</v>
      </c>
      <c r="P99" s="1154">
        <v>73.17920436</v>
      </c>
      <c r="Q99" s="624"/>
      <c r="R99" s="1161" t="s">
        <v>4627</v>
      </c>
      <c r="S99" s="1355">
        <f t="shared" si="21"/>
        <v>0</v>
      </c>
      <c r="T99" s="1270"/>
      <c r="U99" s="1353">
        <v>63.033454999999996</v>
      </c>
      <c r="V99" s="1161" t="s">
        <v>4613</v>
      </c>
      <c r="W99" s="619">
        <f t="shared" si="22"/>
        <v>0</v>
      </c>
      <c r="Y99" s="26"/>
      <c r="Z99" s="26"/>
    </row>
    <row r="100" spans="1:26" x14ac:dyDescent="0.35">
      <c r="A100" s="9168"/>
      <c r="B100" s="240"/>
      <c r="C100" s="240" t="s">
        <v>4628</v>
      </c>
      <c r="D100" s="197"/>
      <c r="G100" s="1154">
        <v>79.247106000000002</v>
      </c>
      <c r="H100" s="624">
        <v>68.480933039999996</v>
      </c>
      <c r="I100" s="1161" t="s">
        <v>4629</v>
      </c>
      <c r="J100" s="7018">
        <f t="shared" si="19"/>
        <v>0.8641442760067477</v>
      </c>
      <c r="K100" s="1270"/>
      <c r="L100" s="1353">
        <v>79.911972660000004</v>
      </c>
      <c r="M100" s="1161" t="s">
        <v>4613</v>
      </c>
      <c r="N100" s="619">
        <f t="shared" si="20"/>
        <v>69.055473758546725</v>
      </c>
      <c r="P100" s="1154">
        <v>79.247106000000002</v>
      </c>
      <c r="Q100" s="624"/>
      <c r="R100" s="1161" t="s">
        <v>4629</v>
      </c>
      <c r="S100" s="1355">
        <f t="shared" si="21"/>
        <v>0</v>
      </c>
      <c r="T100" s="1270"/>
      <c r="U100" s="1353">
        <v>67.446906999999996</v>
      </c>
      <c r="V100" s="1161" t="s">
        <v>4613</v>
      </c>
      <c r="W100" s="619">
        <f t="shared" si="22"/>
        <v>0</v>
      </c>
      <c r="Y100" s="26"/>
      <c r="Z100" s="26"/>
    </row>
    <row r="101" spans="1:26" x14ac:dyDescent="0.35">
      <c r="A101" s="9168"/>
      <c r="B101" s="240"/>
      <c r="C101" s="240" t="s">
        <v>4630</v>
      </c>
      <c r="D101" s="197"/>
      <c r="G101" s="1154">
        <v>63.852694040000003</v>
      </c>
      <c r="H101" s="624">
        <v>61.149137379999999</v>
      </c>
      <c r="I101" s="1161" t="s">
        <v>4629</v>
      </c>
      <c r="J101" s="7018">
        <f t="shared" si="19"/>
        <v>0.95765947387738437</v>
      </c>
      <c r="K101" s="1270"/>
      <c r="L101" s="1353">
        <v>68.512157360000003</v>
      </c>
      <c r="M101" s="1161" t="s">
        <v>4613</v>
      </c>
      <c r="N101" s="619">
        <f t="shared" si="20"/>
        <v>65.611316571582165</v>
      </c>
      <c r="P101" s="1154">
        <v>63.852694040000003</v>
      </c>
      <c r="Q101" s="624"/>
      <c r="R101" s="1161" t="s">
        <v>4629</v>
      </c>
      <c r="S101" s="1355">
        <f t="shared" si="21"/>
        <v>0</v>
      </c>
      <c r="T101" s="1270"/>
      <c r="U101" s="1353">
        <v>55.222794</v>
      </c>
      <c r="V101" s="1161" t="s">
        <v>4613</v>
      </c>
      <c r="W101" s="619">
        <f t="shared" si="22"/>
        <v>0</v>
      </c>
      <c r="Y101" s="26"/>
      <c r="Z101" s="26"/>
    </row>
    <row r="102" spans="1:26" x14ac:dyDescent="0.35">
      <c r="A102" s="9168"/>
      <c r="B102" s="240"/>
      <c r="C102" s="240" t="s">
        <v>4631</v>
      </c>
      <c r="D102" s="197"/>
      <c r="G102" s="1154">
        <v>48.422508039999997</v>
      </c>
      <c r="H102" s="624">
        <v>48.370619499999997</v>
      </c>
      <c r="I102" s="1161" t="s">
        <v>4632</v>
      </c>
      <c r="J102" s="7018">
        <f t="shared" si="19"/>
        <v>0.99892842105664714</v>
      </c>
      <c r="K102" s="1270"/>
      <c r="L102" s="1353">
        <v>50.797675959999999</v>
      </c>
      <c r="M102" s="1161" t="s">
        <v>4633</v>
      </c>
      <c r="N102" s="619">
        <f t="shared" si="20"/>
        <v>50.743242240070003</v>
      </c>
      <c r="P102" s="1154">
        <v>48.422508039999997</v>
      </c>
      <c r="Q102" s="624"/>
      <c r="R102" s="1161" t="s">
        <v>4632</v>
      </c>
      <c r="S102" s="1355">
        <f t="shared" si="21"/>
        <v>0</v>
      </c>
      <c r="T102" s="1270"/>
      <c r="U102" s="1353">
        <v>38.344526000000002</v>
      </c>
      <c r="V102" s="1161" t="s">
        <v>4633</v>
      </c>
      <c r="W102" s="619">
        <f t="shared" si="22"/>
        <v>0</v>
      </c>
      <c r="Y102" s="26"/>
      <c r="Z102" s="26"/>
    </row>
    <row r="103" spans="1:26" x14ac:dyDescent="0.35">
      <c r="A103" s="9168"/>
      <c r="B103" s="240"/>
      <c r="C103" s="240" t="s">
        <v>4634</v>
      </c>
      <c r="D103" s="197"/>
      <c r="G103" s="1154">
        <v>30.9994759</v>
      </c>
      <c r="H103" s="624">
        <v>27.045222240000001</v>
      </c>
      <c r="I103" s="1161" t="s">
        <v>4632</v>
      </c>
      <c r="J103" s="7018">
        <f t="shared" si="19"/>
        <v>0.87244127375714764</v>
      </c>
      <c r="K103" s="1270"/>
      <c r="L103" s="1353">
        <v>35.40372996</v>
      </c>
      <c r="M103" s="1161" t="s">
        <v>4633</v>
      </c>
      <c r="N103" s="619">
        <f t="shared" si="20"/>
        <v>30.88767526205649</v>
      </c>
      <c r="P103" s="1154">
        <v>30.9994759</v>
      </c>
      <c r="Q103" s="624"/>
      <c r="R103" s="1161" t="s">
        <v>4632</v>
      </c>
      <c r="S103" s="1355">
        <f t="shared" si="21"/>
        <v>0</v>
      </c>
      <c r="T103" s="1270"/>
      <c r="U103" s="1353">
        <v>28.546607999999999</v>
      </c>
      <c r="V103" s="1161" t="s">
        <v>4633</v>
      </c>
      <c r="W103" s="619">
        <f t="shared" si="22"/>
        <v>0</v>
      </c>
      <c r="Y103" s="26"/>
      <c r="Z103" s="26"/>
    </row>
    <row r="104" spans="1:26" x14ac:dyDescent="0.35">
      <c r="A104" s="9168"/>
      <c r="B104" s="240"/>
      <c r="C104" s="240" t="s">
        <v>4635</v>
      </c>
      <c r="D104" s="197"/>
      <c r="G104" s="1154">
        <v>93.549489289999997</v>
      </c>
      <c r="H104" s="624">
        <v>78.695810269999996</v>
      </c>
      <c r="I104" s="1161" t="s">
        <v>4636</v>
      </c>
      <c r="J104" s="7018">
        <f t="shared" si="19"/>
        <v>0.84122116397713154</v>
      </c>
      <c r="K104" s="1270"/>
      <c r="L104" s="1353">
        <v>78.7808536</v>
      </c>
      <c r="M104" s="1161" t="s">
        <v>4633</v>
      </c>
      <c r="N104" s="619">
        <f t="shared" si="20"/>
        <v>66.272121364503988</v>
      </c>
      <c r="P104" s="1154">
        <v>93.549489289999997</v>
      </c>
      <c r="Q104" s="624"/>
      <c r="R104" s="1161" t="s">
        <v>4636</v>
      </c>
      <c r="S104" s="1355">
        <f t="shared" si="21"/>
        <v>0</v>
      </c>
      <c r="T104" s="1270"/>
      <c r="U104" s="1353">
        <v>66.080335000000005</v>
      </c>
      <c r="V104" s="1161" t="s">
        <v>4633</v>
      </c>
      <c r="W104" s="619">
        <f t="shared" si="22"/>
        <v>0</v>
      </c>
      <c r="Y104" s="26"/>
      <c r="Z104" s="26"/>
    </row>
    <row r="105" spans="1:26" x14ac:dyDescent="0.35">
      <c r="A105" s="9168"/>
      <c r="B105" s="240"/>
      <c r="C105" s="240" t="s">
        <v>4637</v>
      </c>
      <c r="D105" s="197"/>
      <c r="G105" s="1154">
        <v>28.24974228</v>
      </c>
      <c r="H105" s="624">
        <v>20.09561218</v>
      </c>
      <c r="I105" s="1161" t="s">
        <v>4638</v>
      </c>
      <c r="J105" s="7018">
        <f t="shared" si="19"/>
        <v>0.71135559329428333</v>
      </c>
      <c r="K105" s="1270"/>
      <c r="L105" s="1353">
        <v>28.632168719999999</v>
      </c>
      <c r="M105" s="1161" t="s">
        <v>4633</v>
      </c>
      <c r="N105" s="619">
        <f t="shared" si="20"/>
        <v>20.367653367117619</v>
      </c>
      <c r="P105" s="1154">
        <v>28.24974228</v>
      </c>
      <c r="Q105" s="624"/>
      <c r="R105" s="1161" t="s">
        <v>4638</v>
      </c>
      <c r="S105" s="1355">
        <f t="shared" si="21"/>
        <v>0</v>
      </c>
      <c r="T105" s="1270"/>
      <c r="U105" s="1353">
        <v>20.517517000000002</v>
      </c>
      <c r="V105" s="1161" t="s">
        <v>4633</v>
      </c>
      <c r="W105" s="619">
        <f t="shared" si="22"/>
        <v>0</v>
      </c>
      <c r="Y105" s="26"/>
      <c r="Z105" s="26"/>
    </row>
    <row r="106" spans="1:26" x14ac:dyDescent="0.35">
      <c r="A106" s="9168"/>
      <c r="B106" s="240"/>
      <c r="C106" s="240" t="s">
        <v>4639</v>
      </c>
      <c r="D106" s="197"/>
      <c r="G106" s="1154">
        <v>33.142198299999997</v>
      </c>
      <c r="H106" s="624">
        <v>29.486974010000001</v>
      </c>
      <c r="I106" s="1161" t="s">
        <v>4638</v>
      </c>
      <c r="J106" s="7018">
        <f t="shared" si="19"/>
        <v>0.88971086779116892</v>
      </c>
      <c r="K106" s="1270"/>
      <c r="L106" s="1353">
        <v>67.211096409999996</v>
      </c>
      <c r="M106" s="1161" t="s">
        <v>4633</v>
      </c>
      <c r="N106" s="619">
        <f t="shared" si="20"/>
        <v>59.798442912137013</v>
      </c>
      <c r="P106" s="1154">
        <v>33.142198299999997</v>
      </c>
      <c r="Q106" s="624"/>
      <c r="R106" s="1161" t="s">
        <v>4638</v>
      </c>
      <c r="S106" s="1355">
        <f t="shared" si="21"/>
        <v>0</v>
      </c>
      <c r="T106" s="1270"/>
      <c r="U106" s="1353">
        <v>18.074144</v>
      </c>
      <c r="V106" s="1161" t="s">
        <v>4633</v>
      </c>
      <c r="W106" s="619">
        <f t="shared" si="22"/>
        <v>0</v>
      </c>
      <c r="Y106" s="26"/>
      <c r="Z106" s="26"/>
    </row>
    <row r="107" spans="1:26" x14ac:dyDescent="0.35">
      <c r="A107" s="9168"/>
      <c r="B107" s="240"/>
      <c r="C107" s="240" t="s">
        <v>4640</v>
      </c>
      <c r="D107" s="197"/>
      <c r="G107" s="1154">
        <v>29</v>
      </c>
      <c r="H107" s="624">
        <v>26.845323830000002</v>
      </c>
      <c r="I107" s="1161" t="s">
        <v>4641</v>
      </c>
      <c r="J107" s="7018">
        <f t="shared" si="19"/>
        <v>0.92570082172413803</v>
      </c>
      <c r="K107" s="1270"/>
      <c r="L107" s="1353"/>
      <c r="M107" s="1161" t="s">
        <v>4633</v>
      </c>
      <c r="N107" s="619">
        <f t="shared" si="20"/>
        <v>0</v>
      </c>
      <c r="P107" s="1154">
        <v>29</v>
      </c>
      <c r="Q107" s="624"/>
      <c r="R107" s="1161" t="s">
        <v>4641</v>
      </c>
      <c r="S107" s="1355">
        <f t="shared" si="21"/>
        <v>0</v>
      </c>
      <c r="T107" s="1270"/>
      <c r="U107" s="1353"/>
      <c r="V107" s="1161" t="s">
        <v>4633</v>
      </c>
      <c r="W107" s="619">
        <f t="shared" si="22"/>
        <v>0</v>
      </c>
      <c r="Y107" s="26"/>
      <c r="Z107" s="26"/>
    </row>
    <row r="108" spans="1:26" x14ac:dyDescent="0.35">
      <c r="A108" s="9168"/>
      <c r="B108" s="240"/>
      <c r="C108" s="240" t="s">
        <v>4642</v>
      </c>
      <c r="D108" s="197"/>
      <c r="G108" s="1154">
        <v>63.058550779999997</v>
      </c>
      <c r="H108" s="624">
        <v>62.058550779999997</v>
      </c>
      <c r="I108" s="1161" t="s">
        <v>4643</v>
      </c>
      <c r="J108" s="7018">
        <f t="shared" si="19"/>
        <v>0.98414172245269604</v>
      </c>
      <c r="K108" s="1270"/>
      <c r="L108" s="1353">
        <v>70.738685939999996</v>
      </c>
      <c r="M108" s="1161" t="s">
        <v>4633</v>
      </c>
      <c r="N108" s="619">
        <f t="shared" si="20"/>
        <v>69.616892225031904</v>
      </c>
      <c r="P108" s="1154">
        <v>63.058550779999997</v>
      </c>
      <c r="Q108" s="624"/>
      <c r="R108" s="1161" t="s">
        <v>4643</v>
      </c>
      <c r="S108" s="1355">
        <f t="shared" si="21"/>
        <v>0</v>
      </c>
      <c r="T108" s="1270"/>
      <c r="U108" s="1353">
        <v>45.786226999999997</v>
      </c>
      <c r="V108" s="1161" t="s">
        <v>4633</v>
      </c>
      <c r="W108" s="619">
        <f t="shared" si="22"/>
        <v>0</v>
      </c>
      <c r="Y108" s="26"/>
      <c r="Z108" s="26"/>
    </row>
    <row r="109" spans="1:26" x14ac:dyDescent="0.35">
      <c r="A109" s="9168"/>
      <c r="B109" s="240"/>
      <c r="C109" s="240" t="s">
        <v>4644</v>
      </c>
      <c r="D109" s="197"/>
      <c r="G109" s="1154">
        <v>48.448535929999998</v>
      </c>
      <c r="H109" s="624">
        <v>48.108686990000002</v>
      </c>
      <c r="I109" s="1161" t="s">
        <v>4643</v>
      </c>
      <c r="J109" s="7018">
        <f t="shared" si="19"/>
        <v>0.99298536202433396</v>
      </c>
      <c r="K109" s="1270"/>
      <c r="L109" s="1353">
        <v>65.784385349999994</v>
      </c>
      <c r="M109" s="1161" t="s">
        <v>4633</v>
      </c>
      <c r="N109" s="619">
        <f t="shared" si="20"/>
        <v>65.32293170231803</v>
      </c>
      <c r="P109" s="1154">
        <v>48.448535929999998</v>
      </c>
      <c r="Q109" s="624"/>
      <c r="R109" s="1161" t="s">
        <v>4643</v>
      </c>
      <c r="S109" s="1355">
        <f t="shared" si="21"/>
        <v>0</v>
      </c>
      <c r="T109" s="1270"/>
      <c r="U109" s="1353">
        <v>24.132065000000001</v>
      </c>
      <c r="V109" s="1161" t="s">
        <v>4633</v>
      </c>
      <c r="W109" s="619">
        <f t="shared" si="22"/>
        <v>0</v>
      </c>
      <c r="Y109" s="26"/>
      <c r="Z109" s="26"/>
    </row>
    <row r="110" spans="1:26" x14ac:dyDescent="0.35">
      <c r="A110" s="9168"/>
      <c r="B110" s="240"/>
      <c r="C110" s="240" t="s">
        <v>4645</v>
      </c>
      <c r="D110" s="197"/>
      <c r="G110" s="1154">
        <v>42.695332960000002</v>
      </c>
      <c r="H110" s="624">
        <v>40.993701059999999</v>
      </c>
      <c r="I110" s="1161" t="s">
        <v>4646</v>
      </c>
      <c r="J110" s="7018">
        <f t="shared" si="19"/>
        <v>0.96014477972114165</v>
      </c>
      <c r="K110" s="1270"/>
      <c r="L110" s="1353">
        <v>40.81186434</v>
      </c>
      <c r="M110" s="1161" t="s">
        <v>4633</v>
      </c>
      <c r="N110" s="619">
        <f t="shared" si="20"/>
        <v>39.185298496738419</v>
      </c>
      <c r="P110" s="1154">
        <v>42.695332960000002</v>
      </c>
      <c r="Q110" s="624"/>
      <c r="R110" s="1161" t="s">
        <v>4646</v>
      </c>
      <c r="S110" s="1355">
        <f t="shared" si="21"/>
        <v>0</v>
      </c>
      <c r="T110" s="1270"/>
      <c r="U110" s="1353">
        <v>29.431249000000001</v>
      </c>
      <c r="V110" s="1161" t="s">
        <v>4633</v>
      </c>
      <c r="W110" s="619">
        <f t="shared" si="22"/>
        <v>0</v>
      </c>
      <c r="Y110" s="26"/>
      <c r="Z110" s="26"/>
    </row>
    <row r="111" spans="1:26" x14ac:dyDescent="0.35">
      <c r="A111" s="9168"/>
      <c r="B111" s="240"/>
      <c r="C111" s="240" t="s">
        <v>4647</v>
      </c>
      <c r="D111" s="197"/>
      <c r="G111" s="1154">
        <v>39.710416389999999</v>
      </c>
      <c r="H111" s="624">
        <v>35.655110579999999</v>
      </c>
      <c r="I111" s="1161" t="s">
        <v>4646</v>
      </c>
      <c r="J111" s="7018">
        <f t="shared" si="19"/>
        <v>0.89787803355743157</v>
      </c>
      <c r="K111" s="1270"/>
      <c r="L111" s="1353">
        <v>46.634877940000003</v>
      </c>
      <c r="M111" s="1161" t="s">
        <v>4633</v>
      </c>
      <c r="N111" s="619">
        <f t="shared" si="20"/>
        <v>41.872432499958045</v>
      </c>
      <c r="P111" s="1154">
        <v>39.710416389999999</v>
      </c>
      <c r="Q111" s="624"/>
      <c r="R111" s="1161" t="s">
        <v>4646</v>
      </c>
      <c r="S111" s="1355">
        <f t="shared" si="21"/>
        <v>0</v>
      </c>
      <c r="T111" s="1270"/>
      <c r="U111" s="1353">
        <v>31.773966999999999</v>
      </c>
      <c r="V111" s="1161" t="s">
        <v>4633</v>
      </c>
      <c r="W111" s="619">
        <f t="shared" si="22"/>
        <v>0</v>
      </c>
      <c r="Y111" s="26"/>
      <c r="Z111" s="26"/>
    </row>
    <row r="112" spans="1:26" x14ac:dyDescent="0.35">
      <c r="A112" s="9168"/>
      <c r="B112" s="240"/>
      <c r="C112" s="240" t="s">
        <v>4648</v>
      </c>
      <c r="D112" s="197"/>
      <c r="G112" s="1154">
        <v>35.399789949999999</v>
      </c>
      <c r="H112" s="624">
        <v>31.107089680000001</v>
      </c>
      <c r="I112" s="1161" t="s">
        <v>4649</v>
      </c>
      <c r="J112" s="7013">
        <f t="shared" si="19"/>
        <v>0.87873656097781461</v>
      </c>
      <c r="K112" s="1270"/>
      <c r="L112" s="1154">
        <v>30.544925240000001</v>
      </c>
      <c r="M112" s="1161" t="s">
        <v>4650</v>
      </c>
      <c r="N112" s="619">
        <f t="shared" si="20"/>
        <v>26.840942560722048</v>
      </c>
      <c r="P112" s="1154">
        <v>35.399789949999999</v>
      </c>
      <c r="Q112" s="624"/>
      <c r="R112" s="1161" t="s">
        <v>4649</v>
      </c>
      <c r="S112" s="1274">
        <f t="shared" si="21"/>
        <v>0</v>
      </c>
      <c r="T112" s="1270"/>
      <c r="U112" s="1154">
        <v>28.733422000000001</v>
      </c>
      <c r="V112" s="1161" t="s">
        <v>4650</v>
      </c>
      <c r="W112" s="619">
        <f t="shared" si="22"/>
        <v>0</v>
      </c>
      <c r="Y112" s="26"/>
      <c r="Z112" s="26"/>
    </row>
    <row r="113" spans="1:26" x14ac:dyDescent="0.35">
      <c r="A113" s="9168"/>
      <c r="B113" s="240"/>
      <c r="C113" s="240" t="s">
        <v>4651</v>
      </c>
      <c r="D113" s="197"/>
      <c r="G113" s="612">
        <v>75.532597730000006</v>
      </c>
      <c r="H113" s="624">
        <v>65.461638539999996</v>
      </c>
      <c r="I113" s="1161" t="s">
        <v>4652</v>
      </c>
      <c r="J113" s="7013">
        <f t="shared" si="19"/>
        <v>0.86666737948031636</v>
      </c>
      <c r="K113" s="1270"/>
      <c r="L113" s="612">
        <v>79.539949770000007</v>
      </c>
      <c r="M113" s="1161" t="s">
        <v>4650</v>
      </c>
      <c r="N113" s="619">
        <f t="shared" si="20"/>
        <v>68.934679831161901</v>
      </c>
      <c r="P113" s="612">
        <v>75.532597730000006</v>
      </c>
      <c r="Q113" s="624"/>
      <c r="R113" s="1161" t="s">
        <v>4652</v>
      </c>
      <c r="S113" s="1274">
        <f t="shared" si="21"/>
        <v>0</v>
      </c>
      <c r="T113" s="1270"/>
      <c r="U113" s="612">
        <v>63.109755</v>
      </c>
      <c r="V113" s="1161" t="s">
        <v>4650</v>
      </c>
      <c r="W113" s="619">
        <f t="shared" si="22"/>
        <v>0</v>
      </c>
      <c r="Y113" s="26"/>
      <c r="Z113" s="26"/>
    </row>
    <row r="114" spans="1:26" x14ac:dyDescent="0.35">
      <c r="A114" s="9168"/>
      <c r="B114" s="240"/>
      <c r="C114" s="240" t="s">
        <v>4653</v>
      </c>
      <c r="D114" s="197"/>
      <c r="G114" s="612">
        <v>23.98362114</v>
      </c>
      <c r="H114" s="624">
        <v>22.858001659999999</v>
      </c>
      <c r="I114" s="1161" t="s">
        <v>4652</v>
      </c>
      <c r="J114" s="7013">
        <f t="shared" si="19"/>
        <v>0.9530671588985915</v>
      </c>
      <c r="K114" s="1270"/>
      <c r="L114" s="612">
        <v>28.954994410000001</v>
      </c>
      <c r="M114" s="1161" t="s">
        <v>4650</v>
      </c>
      <c r="N114" s="619">
        <f t="shared" si="20"/>
        <v>27.596054258263301</v>
      </c>
      <c r="P114" s="612">
        <v>23.98362114</v>
      </c>
      <c r="Q114" s="624"/>
      <c r="R114" s="1161" t="s">
        <v>4652</v>
      </c>
      <c r="S114" s="1274">
        <f t="shared" si="21"/>
        <v>0</v>
      </c>
      <c r="T114" s="1270"/>
      <c r="U114" s="612">
        <v>17.134512999999998</v>
      </c>
      <c r="V114" s="1161" t="s">
        <v>4650</v>
      </c>
      <c r="W114" s="619">
        <f t="shared" si="22"/>
        <v>0</v>
      </c>
      <c r="Y114" s="26"/>
      <c r="Z114" s="26"/>
    </row>
    <row r="115" spans="1:26" x14ac:dyDescent="0.35">
      <c r="A115" s="9168"/>
      <c r="B115" s="240"/>
      <c r="C115" s="240" t="s">
        <v>4654</v>
      </c>
      <c r="D115" s="197"/>
      <c r="G115" s="612">
        <v>92.044092750000004</v>
      </c>
      <c r="H115" s="624">
        <v>12.038492979999999</v>
      </c>
      <c r="I115" s="1161" t="s">
        <v>4655</v>
      </c>
      <c r="J115" s="7013">
        <f t="shared" si="19"/>
        <v>0.1307905007298798</v>
      </c>
      <c r="K115" s="1270"/>
      <c r="L115" s="612">
        <v>65.719482220000003</v>
      </c>
      <c r="M115" s="1161" t="s">
        <v>4650</v>
      </c>
      <c r="N115" s="619">
        <f t="shared" si="20"/>
        <v>8.5954839872622326</v>
      </c>
      <c r="P115" s="612">
        <v>92.044092750000004</v>
      </c>
      <c r="Q115" s="624"/>
      <c r="R115" s="1161" t="s">
        <v>4655</v>
      </c>
      <c r="S115" s="1274">
        <f t="shared" si="21"/>
        <v>0</v>
      </c>
      <c r="T115" s="1270"/>
      <c r="U115" s="612">
        <v>83.595015000000004</v>
      </c>
      <c r="V115" s="1161" t="s">
        <v>4650</v>
      </c>
      <c r="W115" s="619">
        <f t="shared" si="22"/>
        <v>0</v>
      </c>
      <c r="Y115" s="26"/>
      <c r="Z115" s="26"/>
    </row>
    <row r="116" spans="1:26" x14ac:dyDescent="0.35">
      <c r="A116" s="9168"/>
      <c r="B116" s="240"/>
      <c r="C116" s="240"/>
      <c r="D116" s="197"/>
      <c r="G116" s="612"/>
      <c r="H116" s="624"/>
      <c r="I116" s="1161"/>
      <c r="J116" s="7013"/>
      <c r="K116" s="1270"/>
      <c r="L116" s="612"/>
      <c r="M116" s="1161"/>
      <c r="N116" s="619"/>
      <c r="P116" s="612"/>
      <c r="Q116" s="624"/>
      <c r="R116" s="1161"/>
      <c r="S116" s="1274"/>
      <c r="T116" s="1270"/>
      <c r="U116" s="612"/>
      <c r="V116" s="1161"/>
      <c r="W116" s="619"/>
      <c r="Y116" s="26"/>
      <c r="Z116" s="26"/>
    </row>
    <row r="117" spans="1:26" x14ac:dyDescent="0.35">
      <c r="A117" s="9168"/>
      <c r="B117" s="240"/>
      <c r="C117" s="240" t="s">
        <v>4658</v>
      </c>
      <c r="D117" s="197"/>
      <c r="G117" s="612">
        <v>573.872298</v>
      </c>
      <c r="H117" s="624">
        <v>477.69729710000001</v>
      </c>
      <c r="I117" s="1161" t="s">
        <v>4659</v>
      </c>
      <c r="J117" s="7013">
        <f t="shared" si="19"/>
        <v>0.83241044874412118</v>
      </c>
      <c r="K117" s="1270"/>
      <c r="L117" s="612">
        <v>481.26184791999998</v>
      </c>
      <c r="M117" s="1161" t="s">
        <v>4660</v>
      </c>
      <c r="N117" s="619">
        <f t="shared" si="20"/>
        <v>400.60739079051217</v>
      </c>
      <c r="P117" s="612">
        <v>573.872298</v>
      </c>
      <c r="Q117" s="624"/>
      <c r="R117" s="1161" t="s">
        <v>4659</v>
      </c>
      <c r="S117" s="1274">
        <f t="shared" ref="S117:S119" si="23">Q117/P117</f>
        <v>0</v>
      </c>
      <c r="T117" s="1270"/>
      <c r="U117" s="612">
        <v>515.56183399999998</v>
      </c>
      <c r="V117" s="1161" t="s">
        <v>4660</v>
      </c>
      <c r="W117" s="619">
        <f t="shared" ref="W117:W119" si="24">U117*S117</f>
        <v>0</v>
      </c>
      <c r="Y117" s="26"/>
      <c r="Z117" s="26"/>
    </row>
    <row r="118" spans="1:26" x14ac:dyDescent="0.35">
      <c r="A118" s="9168"/>
      <c r="B118" s="240"/>
      <c r="C118" s="240" t="s">
        <v>4661</v>
      </c>
      <c r="D118" s="197"/>
      <c r="G118" s="612">
        <v>226.82442599999999</v>
      </c>
      <c r="H118" s="624">
        <v>190.58477268999999</v>
      </c>
      <c r="I118" s="1161" t="s">
        <v>4662</v>
      </c>
      <c r="J118" s="7013">
        <f t="shared" si="19"/>
        <v>0.84023037576208837</v>
      </c>
      <c r="K118" s="1270"/>
      <c r="L118" s="612"/>
      <c r="M118" s="645"/>
      <c r="N118" s="619">
        <f t="shared" si="20"/>
        <v>0</v>
      </c>
      <c r="P118" s="612">
        <v>226.82442599999999</v>
      </c>
      <c r="Q118" s="624"/>
      <c r="R118" s="1161" t="s">
        <v>4662</v>
      </c>
      <c r="S118" s="1274">
        <f t="shared" si="23"/>
        <v>0</v>
      </c>
      <c r="T118" s="1270"/>
      <c r="U118" s="612"/>
      <c r="V118" s="645"/>
      <c r="W118" s="619">
        <f t="shared" si="24"/>
        <v>0</v>
      </c>
      <c r="Y118" s="26"/>
      <c r="Z118" s="26"/>
    </row>
    <row r="119" spans="1:26" x14ac:dyDescent="0.35">
      <c r="A119" s="9168"/>
      <c r="B119" s="250"/>
      <c r="C119" s="250" t="s">
        <v>4663</v>
      </c>
      <c r="D119" s="209"/>
      <c r="G119" s="612">
        <v>122.623226</v>
      </c>
      <c r="H119" s="624">
        <v>86.624608179999996</v>
      </c>
      <c r="I119" s="3965" t="s">
        <v>4664</v>
      </c>
      <c r="J119" s="7014">
        <f t="shared" si="19"/>
        <v>0.70642904289600073</v>
      </c>
      <c r="K119" s="1270"/>
      <c r="L119" s="612">
        <v>299.70268355000002</v>
      </c>
      <c r="M119" s="1200"/>
      <c r="N119" s="628">
        <f t="shared" si="20"/>
        <v>211.7186798935895</v>
      </c>
      <c r="P119" s="612">
        <v>122.623226</v>
      </c>
      <c r="Q119" s="624"/>
      <c r="R119" s="3965" t="s">
        <v>4664</v>
      </c>
      <c r="S119" s="1313">
        <f t="shared" si="23"/>
        <v>0</v>
      </c>
      <c r="T119" s="1270"/>
      <c r="U119" s="612">
        <v>296.17657700000001</v>
      </c>
      <c r="V119" s="1200"/>
      <c r="W119" s="628">
        <f t="shared" si="24"/>
        <v>0</v>
      </c>
      <c r="Y119" s="24"/>
      <c r="Z119" s="24"/>
    </row>
    <row r="120" spans="1:26" x14ac:dyDescent="0.35">
      <c r="A120" s="9168"/>
      <c r="B120" s="271" t="s">
        <v>552</v>
      </c>
      <c r="C120" s="271"/>
      <c r="D120" s="184"/>
      <c r="E120" s="143"/>
      <c r="F120" s="143"/>
      <c r="G120" s="1375"/>
      <c r="H120" s="653"/>
      <c r="I120" s="645"/>
      <c r="J120" s="1379"/>
      <c r="K120" s="1321"/>
      <c r="L120" s="1375"/>
      <c r="M120" s="645"/>
      <c r="N120" s="1377"/>
      <c r="O120" s="143"/>
      <c r="P120" s="1375"/>
      <c r="Q120" s="653"/>
      <c r="R120" s="645"/>
      <c r="S120" s="1379"/>
      <c r="T120" s="1321"/>
      <c r="U120" s="1375"/>
      <c r="V120" s="645"/>
      <c r="W120" s="1377"/>
      <c r="X120" s="143"/>
      <c r="Y120" s="18"/>
      <c r="Z120" s="18"/>
    </row>
    <row r="121" spans="1:26" x14ac:dyDescent="0.35">
      <c r="A121" s="9168"/>
      <c r="B121" s="272"/>
      <c r="C121" s="272" t="s">
        <v>980</v>
      </c>
      <c r="D121" s="197"/>
      <c r="G121" s="1154"/>
      <c r="H121" s="624"/>
      <c r="I121" s="1256"/>
      <c r="J121" s="7019"/>
      <c r="K121" s="1270"/>
      <c r="L121" s="1154"/>
      <c r="M121" s="1256"/>
      <c r="N121" s="608"/>
      <c r="P121" s="1154"/>
      <c r="Q121" s="624"/>
      <c r="R121" s="1256"/>
      <c r="S121" s="1380"/>
      <c r="T121" s="1270"/>
      <c r="U121" s="1154"/>
      <c r="V121" s="1256"/>
      <c r="W121" s="608"/>
      <c r="Y121" s="26"/>
      <c r="Z121" s="26"/>
    </row>
    <row r="122" spans="1:26" x14ac:dyDescent="0.35">
      <c r="A122" s="9168"/>
      <c r="B122" s="274"/>
      <c r="C122" s="275" t="s">
        <v>11</v>
      </c>
      <c r="D122" s="197"/>
      <c r="G122" s="1154"/>
      <c r="H122" s="624"/>
      <c r="I122" s="645"/>
      <c r="J122" s="7013"/>
      <c r="K122" s="1270"/>
      <c r="L122" s="1154"/>
      <c r="M122" s="645"/>
      <c r="N122" s="608"/>
      <c r="P122" s="1154"/>
      <c r="Q122" s="624"/>
      <c r="R122" s="645"/>
      <c r="S122" s="1274"/>
      <c r="T122" s="1270"/>
      <c r="U122" s="1154"/>
      <c r="V122" s="645"/>
      <c r="W122" s="608"/>
      <c r="Y122" s="26"/>
      <c r="Z122" s="26"/>
    </row>
    <row r="123" spans="1:26" x14ac:dyDescent="0.35">
      <c r="A123" s="9168"/>
      <c r="B123" s="274"/>
      <c r="C123" s="275" t="s">
        <v>1116</v>
      </c>
      <c r="D123" s="197"/>
      <c r="G123" s="612"/>
      <c r="H123" s="624"/>
      <c r="I123" s="645"/>
      <c r="J123" s="7013"/>
      <c r="K123" s="1270"/>
      <c r="L123" s="612"/>
      <c r="M123" s="645"/>
      <c r="N123" s="614"/>
      <c r="P123" s="612"/>
      <c r="Q123" s="624"/>
      <c r="R123" s="645"/>
      <c r="S123" s="1274"/>
      <c r="T123" s="1270"/>
      <c r="U123" s="612"/>
      <c r="V123" s="645"/>
      <c r="W123" s="614"/>
      <c r="Y123" s="26"/>
      <c r="Z123" s="26"/>
    </row>
    <row r="124" spans="1:26" x14ac:dyDescent="0.35">
      <c r="A124" s="9168"/>
      <c r="B124" s="277"/>
      <c r="C124" s="277" t="s">
        <v>555</v>
      </c>
      <c r="D124" s="209"/>
      <c r="G124" s="1383"/>
      <c r="H124" s="605"/>
      <c r="I124" s="7020"/>
      <c r="J124" s="7014"/>
      <c r="K124" s="1270"/>
      <c r="L124" s="1383"/>
      <c r="M124" s="7020"/>
      <c r="N124" s="1386"/>
      <c r="P124" s="1383"/>
      <c r="Q124" s="605"/>
      <c r="R124" s="1385"/>
      <c r="S124" s="1313"/>
      <c r="T124" s="1270"/>
      <c r="U124" s="1383"/>
      <c r="V124" s="1385"/>
      <c r="W124" s="1386"/>
      <c r="Y124" s="24"/>
      <c r="Z124" s="24"/>
    </row>
    <row r="125" spans="1:26" ht="15.25" customHeight="1" x14ac:dyDescent="0.35">
      <c r="A125" s="9168"/>
      <c r="B125" s="139" t="s">
        <v>556</v>
      </c>
      <c r="C125" s="908"/>
      <c r="D125" s="184"/>
      <c r="E125" s="143"/>
      <c r="F125" s="143"/>
      <c r="G125" s="1389"/>
      <c r="H125" s="1391"/>
      <c r="I125" s="645"/>
      <c r="J125" s="1392"/>
      <c r="K125" s="1270"/>
      <c r="L125" s="1389"/>
      <c r="M125" s="645"/>
      <c r="N125" s="645"/>
      <c r="O125" s="143"/>
      <c r="P125" s="1389"/>
      <c r="Q125" s="1391"/>
      <c r="R125" s="645"/>
      <c r="S125" s="1392"/>
      <c r="T125" s="1270"/>
      <c r="U125" s="1389"/>
      <c r="V125" s="645"/>
      <c r="W125" s="645"/>
      <c r="X125" s="143"/>
      <c r="Y125" s="18"/>
      <c r="Z125" s="18"/>
    </row>
    <row r="126" spans="1:26" x14ac:dyDescent="0.35">
      <c r="A126" s="9168"/>
      <c r="B126" s="1395"/>
      <c r="C126" s="1396" t="s">
        <v>532</v>
      </c>
      <c r="D126" s="197"/>
      <c r="G126" s="1277"/>
      <c r="H126" s="1406"/>
      <c r="I126" s="1404"/>
      <c r="J126" s="7021"/>
      <c r="K126" s="1270"/>
      <c r="L126" s="1277"/>
      <c r="M126" s="1404"/>
      <c r="N126" s="1407"/>
      <c r="P126" s="1277"/>
      <c r="Q126" s="1406"/>
      <c r="R126" s="1404"/>
      <c r="S126" s="1403"/>
      <c r="T126" s="1270"/>
      <c r="U126" s="1277"/>
      <c r="V126" s="1404"/>
      <c r="W126" s="1407"/>
      <c r="Y126" s="26"/>
      <c r="Z126" s="26"/>
    </row>
    <row r="127" spans="1:26" x14ac:dyDescent="0.35">
      <c r="A127" s="9168"/>
      <c r="B127" s="1395"/>
      <c r="C127" s="1396" t="s">
        <v>533</v>
      </c>
      <c r="D127" s="197"/>
      <c r="G127" s="1412"/>
      <c r="H127" s="1402"/>
      <c r="I127" s="645"/>
      <c r="J127" s="7021"/>
      <c r="K127" s="1270"/>
      <c r="L127" s="1412"/>
      <c r="M127" s="645"/>
      <c r="N127" s="1413"/>
      <c r="P127" s="1412"/>
      <c r="Q127" s="1402"/>
      <c r="R127" s="645"/>
      <c r="S127" s="1403"/>
      <c r="T127" s="1270"/>
      <c r="U127" s="1412"/>
      <c r="V127" s="645"/>
      <c r="W127" s="1413"/>
      <c r="Y127" s="26"/>
      <c r="Z127" s="26"/>
    </row>
    <row r="128" spans="1:26" x14ac:dyDescent="0.35">
      <c r="A128" s="9168"/>
      <c r="B128" s="1414"/>
      <c r="C128" s="1396" t="s">
        <v>534</v>
      </c>
      <c r="D128" s="197"/>
      <c r="G128" s="1412"/>
      <c r="H128" s="1402"/>
      <c r="I128" s="645"/>
      <c r="J128" s="7021"/>
      <c r="K128" s="1270"/>
      <c r="L128" s="1412"/>
      <c r="M128" s="645"/>
      <c r="N128" s="1413"/>
      <c r="P128" s="1412"/>
      <c r="Q128" s="1402"/>
      <c r="R128" s="645"/>
      <c r="S128" s="1403"/>
      <c r="T128" s="1270"/>
      <c r="U128" s="1412"/>
      <c r="V128" s="645"/>
      <c r="W128" s="1413"/>
      <c r="Y128" s="26"/>
      <c r="Z128" s="26"/>
    </row>
    <row r="129" spans="1:26" x14ac:dyDescent="0.35">
      <c r="A129" s="9169"/>
      <c r="B129" s="1415"/>
      <c r="C129" s="1416" t="s">
        <v>536</v>
      </c>
      <c r="D129" s="209"/>
      <c r="G129" s="1293"/>
      <c r="H129" s="1420"/>
      <c r="I129" s="1200"/>
      <c r="J129" s="7022"/>
      <c r="K129" s="1270"/>
      <c r="L129" s="1293"/>
      <c r="M129" s="1200"/>
      <c r="N129" s="1422"/>
      <c r="P129" s="1293"/>
      <c r="Q129" s="1420"/>
      <c r="R129" s="1200"/>
      <c r="S129" s="1421"/>
      <c r="T129" s="1270"/>
      <c r="U129" s="1293"/>
      <c r="V129" s="1200"/>
      <c r="W129" s="1422"/>
      <c r="Y129" s="24"/>
      <c r="Z129" s="24"/>
    </row>
    <row r="130" spans="1:26" x14ac:dyDescent="0.35">
      <c r="A130" s="310"/>
      <c r="B130" s="310"/>
      <c r="F130" s="645"/>
      <c r="G130" s="1425"/>
      <c r="H130" s="645"/>
      <c r="I130" s="645"/>
      <c r="J130" s="7023"/>
      <c r="K130" s="1270"/>
      <c r="L130" s="1425"/>
      <c r="M130" s="645"/>
      <c r="N130" s="645"/>
      <c r="O130" s="645"/>
      <c r="P130" s="1425"/>
      <c r="Q130" s="645"/>
      <c r="R130" s="645"/>
      <c r="S130" s="1424"/>
      <c r="T130" s="1270"/>
      <c r="U130" s="1425"/>
      <c r="V130" s="645"/>
      <c r="W130" s="645"/>
      <c r="X130" s="645"/>
    </row>
    <row r="131" spans="1:26" x14ac:dyDescent="0.35">
      <c r="A131" s="9226" t="s">
        <v>1114</v>
      </c>
      <c r="B131" s="317"/>
      <c r="C131" s="315" t="s">
        <v>3351</v>
      </c>
      <c r="D131" s="184"/>
      <c r="G131" s="320"/>
      <c r="H131" s="321"/>
      <c r="I131" s="1431"/>
      <c r="J131" s="7024"/>
      <c r="K131" s="1270"/>
      <c r="L131" s="320"/>
      <c r="M131" s="1431"/>
      <c r="N131" s="7316"/>
      <c r="P131" s="320"/>
      <c r="Q131" s="321"/>
      <c r="R131" s="1431"/>
      <c r="S131" s="1432"/>
      <c r="T131" s="1270"/>
      <c r="U131" s="320"/>
      <c r="V131" s="1431"/>
      <c r="W131" s="7316"/>
    </row>
    <row r="132" spans="1:26" x14ac:dyDescent="0.35">
      <c r="A132" s="9227"/>
      <c r="B132" s="325"/>
      <c r="C132" s="326" t="s">
        <v>3353</v>
      </c>
      <c r="D132" s="197"/>
      <c r="G132" s="1436"/>
      <c r="H132" s="340"/>
      <c r="I132" s="1161"/>
      <c r="J132" s="7317"/>
      <c r="K132" s="1270"/>
      <c r="L132" s="1436"/>
      <c r="M132" s="1161"/>
      <c r="N132" s="7318"/>
      <c r="P132" s="1436"/>
      <c r="Q132" s="340"/>
      <c r="R132" s="1161"/>
      <c r="S132" s="1438"/>
      <c r="T132" s="1270"/>
      <c r="U132" s="1436"/>
      <c r="V132" s="1161"/>
      <c r="W132" s="7318"/>
    </row>
    <row r="133" spans="1:26" x14ac:dyDescent="0.35">
      <c r="A133" s="9227"/>
      <c r="B133" s="330"/>
      <c r="C133" s="326"/>
      <c r="D133" s="197"/>
      <c r="G133" s="1436"/>
      <c r="H133" s="340"/>
      <c r="I133" s="645"/>
      <c r="J133" s="7028"/>
      <c r="K133" s="1270"/>
      <c r="L133" s="1436"/>
      <c r="M133" s="645"/>
      <c r="N133" s="7318"/>
      <c r="P133" s="1436"/>
      <c r="Q133" s="340"/>
      <c r="R133" s="645"/>
      <c r="S133" s="1439"/>
      <c r="T133" s="1270"/>
      <c r="U133" s="1436"/>
      <c r="V133" s="645"/>
      <c r="W133" s="7318"/>
    </row>
    <row r="134" spans="1:26" x14ac:dyDescent="0.35">
      <c r="A134" s="9227"/>
      <c r="B134" s="330"/>
      <c r="C134" s="326" t="s">
        <v>3354</v>
      </c>
      <c r="D134" s="197"/>
      <c r="G134" s="1436"/>
      <c r="H134" s="340"/>
      <c r="I134" s="645"/>
      <c r="J134" s="7028"/>
      <c r="K134" s="1270"/>
      <c r="L134" s="1436"/>
      <c r="M134" s="645"/>
      <c r="N134" s="7318"/>
      <c r="P134" s="1436"/>
      <c r="Q134" s="340"/>
      <c r="R134" s="645"/>
      <c r="S134" s="1439"/>
      <c r="T134" s="1270"/>
      <c r="U134" s="1436"/>
      <c r="V134" s="645"/>
      <c r="W134" s="7318"/>
    </row>
    <row r="135" spans="1:26" x14ac:dyDescent="0.35">
      <c r="A135" s="9227"/>
      <c r="B135" s="330"/>
      <c r="C135" s="326" t="s">
        <v>3355</v>
      </c>
      <c r="D135" s="197"/>
      <c r="G135" s="1441"/>
      <c r="H135" s="340"/>
      <c r="I135" s="1440"/>
      <c r="J135" s="7028"/>
      <c r="K135" s="1270"/>
      <c r="L135" s="1436"/>
      <c r="M135" s="1440"/>
      <c r="N135" s="7318"/>
      <c r="P135" s="1441"/>
      <c r="Q135" s="340"/>
      <c r="R135" s="1440"/>
      <c r="S135" s="1439"/>
      <c r="T135" s="1270"/>
      <c r="U135" s="1436"/>
      <c r="V135" s="1440"/>
      <c r="W135" s="7318"/>
    </row>
    <row r="136" spans="1:26" x14ac:dyDescent="0.35">
      <c r="A136" s="9227"/>
      <c r="B136" s="330"/>
      <c r="C136" s="326"/>
      <c r="D136" s="197"/>
      <c r="G136" s="1436"/>
      <c r="H136" s="340"/>
      <c r="I136" s="1440"/>
      <c r="J136" s="7028"/>
      <c r="K136" s="1270"/>
      <c r="L136" s="1436"/>
      <c r="M136" s="1440"/>
      <c r="N136" s="7318"/>
      <c r="P136" s="1436"/>
      <c r="Q136" s="340"/>
      <c r="R136" s="1440"/>
      <c r="S136" s="1439"/>
      <c r="T136" s="1270"/>
      <c r="U136" s="1436"/>
      <c r="V136" s="1440"/>
      <c r="W136" s="7318"/>
    </row>
    <row r="137" spans="1:26" x14ac:dyDescent="0.35">
      <c r="A137" s="9227"/>
      <c r="B137" s="330"/>
      <c r="C137" s="326"/>
      <c r="D137" s="197"/>
      <c r="G137" s="1436"/>
      <c r="H137" s="340"/>
      <c r="I137" s="645"/>
      <c r="J137" s="7021"/>
      <c r="K137" s="1270"/>
      <c r="L137" s="1436"/>
      <c r="M137" s="645"/>
      <c r="N137" s="7318"/>
      <c r="P137" s="1436"/>
      <c r="Q137" s="340"/>
      <c r="R137" s="645"/>
      <c r="S137" s="1403"/>
      <c r="T137" s="1270"/>
      <c r="U137" s="1436"/>
      <c r="V137" s="645"/>
      <c r="W137" s="7318"/>
    </row>
    <row r="138" spans="1:26" x14ac:dyDescent="0.35">
      <c r="A138" s="9227"/>
      <c r="B138" s="330"/>
      <c r="C138" s="326"/>
      <c r="D138" s="197"/>
      <c r="G138" s="1436"/>
      <c r="H138" s="340"/>
      <c r="I138" s="645"/>
      <c r="J138" s="7021"/>
      <c r="K138" s="1270"/>
      <c r="L138" s="1436"/>
      <c r="M138" s="645"/>
      <c r="N138" s="7318"/>
      <c r="P138" s="1436"/>
      <c r="Q138" s="340"/>
      <c r="R138" s="645"/>
      <c r="S138" s="1403"/>
      <c r="T138" s="1270"/>
      <c r="U138" s="1436"/>
      <c r="V138" s="645"/>
      <c r="W138" s="7318"/>
    </row>
    <row r="139" spans="1:26" x14ac:dyDescent="0.35">
      <c r="A139" s="9227"/>
      <c r="B139" s="330"/>
      <c r="C139" s="337"/>
      <c r="D139" s="197"/>
      <c r="G139" s="1436"/>
      <c r="H139" s="340"/>
      <c r="I139" s="645"/>
      <c r="J139" s="7021"/>
      <c r="K139" s="1270"/>
      <c r="L139" s="1436"/>
      <c r="M139" s="645"/>
      <c r="N139" s="7318"/>
      <c r="P139" s="1436"/>
      <c r="Q139" s="340"/>
      <c r="R139" s="645"/>
      <c r="S139" s="1403"/>
      <c r="T139" s="1270"/>
      <c r="U139" s="1436"/>
      <c r="V139" s="645"/>
      <c r="W139" s="7318"/>
    </row>
    <row r="140" spans="1:26" x14ac:dyDescent="0.35">
      <c r="A140" s="9228"/>
      <c r="B140" s="341"/>
      <c r="C140" s="342"/>
      <c r="D140" s="209"/>
      <c r="G140" s="1444"/>
      <c r="H140" s="346"/>
      <c r="I140" s="1200"/>
      <c r="J140" s="7022"/>
      <c r="K140" s="1270"/>
      <c r="L140" s="1444"/>
      <c r="M140" s="1200"/>
      <c r="N140" s="7319"/>
      <c r="P140" s="1444"/>
      <c r="Q140" s="346"/>
      <c r="R140" s="1200"/>
      <c r="S140" s="1421"/>
      <c r="T140" s="1270"/>
      <c r="U140" s="1444"/>
      <c r="V140" s="1200"/>
      <c r="W140" s="7319"/>
    </row>
    <row r="141" spans="1:26" x14ac:dyDescent="0.35">
      <c r="A141" s="310"/>
      <c r="B141" s="310"/>
      <c r="G141" s="645"/>
      <c r="H141" s="645"/>
      <c r="I141" s="645"/>
      <c r="J141" s="7023"/>
      <c r="K141" s="1270"/>
      <c r="L141" s="645"/>
      <c r="M141" s="645"/>
      <c r="N141" s="1423"/>
      <c r="P141" s="645"/>
      <c r="Q141" s="645"/>
      <c r="R141" s="645"/>
      <c r="S141" s="1424"/>
      <c r="T141" s="1270"/>
      <c r="U141" s="645"/>
      <c r="V141" s="645"/>
      <c r="W141" s="1423"/>
    </row>
    <row r="142" spans="1:26" x14ac:dyDescent="0.35">
      <c r="A142" s="9167" t="s">
        <v>566</v>
      </c>
      <c r="B142" s="139" t="s">
        <v>567</v>
      </c>
      <c r="C142" s="348"/>
      <c r="D142" s="49"/>
      <c r="E142" s="141"/>
      <c r="F142" s="141"/>
      <c r="G142" s="1375"/>
      <c r="H142" s="653"/>
      <c r="I142" s="653"/>
      <c r="J142" s="1379"/>
      <c r="K142" s="1319"/>
      <c r="L142" s="1375"/>
      <c r="M142" s="653"/>
      <c r="N142" s="1317"/>
      <c r="O142" s="141"/>
      <c r="P142" s="1375"/>
      <c r="Q142" s="653"/>
      <c r="R142" s="653"/>
      <c r="S142" s="1379"/>
      <c r="T142" s="1319"/>
      <c r="U142" s="1375"/>
      <c r="V142" s="653"/>
      <c r="W142" s="1317"/>
      <c r="X142" s="141"/>
    </row>
    <row r="143" spans="1:26" x14ac:dyDescent="0.35">
      <c r="A143" s="9168"/>
      <c r="B143" s="6082"/>
      <c r="C143"/>
      <c r="D143" s="110" t="s">
        <v>568</v>
      </c>
      <c r="G143" s="354">
        <f>SUM(G36:G72)-SUM(G74:G76)</f>
        <v>48961.639776492404</v>
      </c>
      <c r="H143" s="355">
        <f>SUM(H36:H72)-SUM(H74:H76)</f>
        <v>23008.42844715</v>
      </c>
      <c r="I143" s="355"/>
      <c r="J143" s="1363"/>
      <c r="K143" s="1446"/>
      <c r="L143" s="354">
        <f>SUM(L36:L72)-SUM(L74:L76)</f>
        <v>68438.109146560004</v>
      </c>
      <c r="M143" s="355"/>
      <c r="N143" s="1201">
        <f>SUM(N36:N72)-SUM(N74:N76)</f>
        <v>23978.295045584218</v>
      </c>
      <c r="P143" s="354">
        <f>SUM(P36:P72)-SUM(P74:P76)</f>
        <v>68438.109146560004</v>
      </c>
      <c r="Q143" s="355">
        <f>SUM(Q36:Q72)-SUM(Q74:Q76)</f>
        <v>0</v>
      </c>
      <c r="R143" s="355"/>
      <c r="S143" s="1363"/>
      <c r="T143" s="1446"/>
      <c r="U143" s="354">
        <f>SUM(U36:U72)-SUM(U74:U76)</f>
        <v>66092.063729000001</v>
      </c>
      <c r="V143" s="355"/>
      <c r="W143" s="1201" t="e">
        <f>SUM(W36:W72)-SUM(W74:W76)</f>
        <v>#DIV/0!</v>
      </c>
    </row>
    <row r="144" spans="1:26" x14ac:dyDescent="0.35">
      <c r="A144" s="9168"/>
      <c r="B144" s="6082"/>
      <c r="C144"/>
      <c r="D144" s="110" t="s">
        <v>569</v>
      </c>
      <c r="G144" s="354">
        <f>SUM(G78:G87)</f>
        <v>1577.09703083</v>
      </c>
      <c r="H144" s="355">
        <f>SUM(H78:H87)</f>
        <v>996.37838417</v>
      </c>
      <c r="I144" s="355"/>
      <c r="J144" s="1363"/>
      <c r="K144" s="1446"/>
      <c r="L144" s="354">
        <f>SUM(L78:L87)</f>
        <v>1664.1312469900001</v>
      </c>
      <c r="M144" s="355"/>
      <c r="N144" s="1201">
        <f>SUM(N78:N87)</f>
        <v>1022.5109340196643</v>
      </c>
      <c r="P144" s="354">
        <f>SUM(P78:P87)</f>
        <v>1577.09703083</v>
      </c>
      <c r="Q144" s="355">
        <f>SUM(Q78:Q87)</f>
        <v>0</v>
      </c>
      <c r="R144" s="355"/>
      <c r="S144" s="1363"/>
      <c r="T144" s="1446"/>
      <c r="U144" s="354">
        <f>SUM(U78:U87)</f>
        <v>2808.9910035500002</v>
      </c>
      <c r="V144" s="355"/>
      <c r="W144" s="1201">
        <f>SUM(W78:W87)</f>
        <v>0</v>
      </c>
    </row>
    <row r="145" spans="1:24" x14ac:dyDescent="0.35">
      <c r="A145" s="9168"/>
      <c r="B145" s="6082"/>
      <c r="C145"/>
      <c r="D145" s="110" t="s">
        <v>570</v>
      </c>
      <c r="G145" s="354">
        <f>SUM(G89:G119)*G28</f>
        <v>1076.1251523935434</v>
      </c>
      <c r="H145" s="355">
        <f>SUM(H89:H119)*H28</f>
        <v>2337.96612500931</v>
      </c>
      <c r="I145" s="355"/>
      <c r="J145" s="1363"/>
      <c r="K145" s="1446"/>
      <c r="L145" s="354">
        <f>SUM(L89:L119)*L28</f>
        <v>1649.782244760805</v>
      </c>
      <c r="M145" s="355"/>
      <c r="N145" s="1201">
        <f>SUM(N89:N119)*N28</f>
        <v>1494.1757374892784</v>
      </c>
      <c r="P145" s="354">
        <f>SUM(P89:P119)*P28</f>
        <v>1593.6673659127932</v>
      </c>
      <c r="Q145" s="355">
        <f>SUM(Q89:Q119)*Q28</f>
        <v>0</v>
      </c>
      <c r="R145" s="355"/>
      <c r="S145" s="1363"/>
      <c r="T145" s="1446"/>
      <c r="U145" s="354">
        <f>SUM(U89:U119)*U28</f>
        <v>1012.0761975289007</v>
      </c>
      <c r="V145" s="355"/>
      <c r="W145" s="1201">
        <f>SUM(W89:W119)*W28</f>
        <v>0</v>
      </c>
    </row>
    <row r="146" spans="1:24" x14ac:dyDescent="0.35">
      <c r="A146" s="9168"/>
      <c r="B146" s="6082"/>
      <c r="C146"/>
      <c r="D146" s="110" t="s">
        <v>552</v>
      </c>
      <c r="G146" s="354">
        <f t="shared" ref="G146:H146" si="25">G121</f>
        <v>0</v>
      </c>
      <c r="H146" s="355">
        <f t="shared" si="25"/>
        <v>0</v>
      </c>
      <c r="I146" s="355"/>
      <c r="J146" s="1363"/>
      <c r="K146" s="1446"/>
      <c r="L146" s="354">
        <f t="shared" ref="L146" si="26">L121</f>
        <v>0</v>
      </c>
      <c r="M146" s="355"/>
      <c r="N146" s="1201">
        <f t="shared" ref="N146" si="27">N121</f>
        <v>0</v>
      </c>
      <c r="P146" s="354">
        <f t="shared" ref="P146:Q146" si="28">P121</f>
        <v>0</v>
      </c>
      <c r="Q146" s="355">
        <f t="shared" si="28"/>
        <v>0</v>
      </c>
      <c r="R146" s="355"/>
      <c r="S146" s="1363"/>
      <c r="T146" s="1446"/>
      <c r="U146" s="354">
        <f t="shared" ref="U146" si="29">U121</f>
        <v>0</v>
      </c>
      <c r="V146" s="355"/>
      <c r="W146" s="1201">
        <f t="shared" ref="W146" si="30">W121</f>
        <v>0</v>
      </c>
    </row>
    <row r="147" spans="1:24" x14ac:dyDescent="0.35">
      <c r="A147" s="9168"/>
      <c r="B147" s="6082"/>
      <c r="C147"/>
      <c r="D147" s="356" t="s">
        <v>571</v>
      </c>
      <c r="E147" s="143"/>
      <c r="F147" s="143"/>
      <c r="G147" s="363">
        <f>SUM(G143:G146)</f>
        <v>51614.861959715949</v>
      </c>
      <c r="H147" s="364">
        <f t="shared" ref="H147" si="31">SUM(H143:H146)</f>
        <v>26342.772956329307</v>
      </c>
      <c r="I147" s="364"/>
      <c r="J147" s="1447"/>
      <c r="K147" s="1448"/>
      <c r="L147" s="363">
        <f t="shared" ref="L147" si="32">SUM(L143:L146)</f>
        <v>71752.022638310809</v>
      </c>
      <c r="M147" s="364"/>
      <c r="N147" s="1202">
        <f t="shared" ref="N147" si="33">SUM(N143:N146)</f>
        <v>26494.98171709316</v>
      </c>
      <c r="O147" s="143"/>
      <c r="P147" s="363">
        <f>SUM(P143:P146)</f>
        <v>71608.873543302805</v>
      </c>
      <c r="Q147" s="364">
        <f t="shared" ref="Q147" si="34">SUM(Q143:Q146)</f>
        <v>0</v>
      </c>
      <c r="R147" s="364"/>
      <c r="S147" s="1447"/>
      <c r="T147" s="1448"/>
      <c r="U147" s="363">
        <f t="shared" ref="U147" si="35">SUM(U143:U146)</f>
        <v>69913.130930078914</v>
      </c>
      <c r="V147" s="364"/>
      <c r="W147" s="1202" t="e">
        <f t="shared" ref="W147" si="36">SUM(W143:W146)</f>
        <v>#DIV/0!</v>
      </c>
      <c r="X147" s="143"/>
    </row>
    <row r="148" spans="1:24" ht="15.5" x14ac:dyDescent="0.35">
      <c r="A148" s="9168"/>
      <c r="B148" s="6082"/>
      <c r="C148"/>
      <c r="D148" s="356" t="s">
        <v>572</v>
      </c>
      <c r="G148" s="561">
        <f>G147/(G17+G18+G19)</f>
        <v>0.20537240430944731</v>
      </c>
      <c r="H148" s="562">
        <f>H147/(H17+H18+H19)</f>
        <v>0.21254993959125273</v>
      </c>
      <c r="I148" s="562"/>
      <c r="J148" s="563"/>
      <c r="K148" s="560"/>
      <c r="L148" s="561">
        <f>L147/(L17+L18+L19)</f>
        <v>0.33602132765449988</v>
      </c>
      <c r="M148" s="562"/>
      <c r="N148" s="563">
        <f>N147/(N17+N18+N19)</f>
        <v>0.1154691784073697</v>
      </c>
      <c r="P148" s="368">
        <f>P147/(P17+P18+P19)</f>
        <v>0.3353509472639763</v>
      </c>
      <c r="Q148" s="369">
        <f>Q147/(Q17+Q18+Q19)</f>
        <v>0</v>
      </c>
      <c r="R148" s="369"/>
      <c r="S148" s="370"/>
      <c r="T148" s="367"/>
      <c r="U148" s="368">
        <f>U147/(U17+U18+U19)</f>
        <v>0.27098026666128677</v>
      </c>
      <c r="V148" s="369"/>
      <c r="W148" s="370" t="e">
        <f>W147/(W17+W18+W19)</f>
        <v>#DIV/0!</v>
      </c>
    </row>
    <row r="149" spans="1:24" x14ac:dyDescent="0.35">
      <c r="A149" s="9168"/>
      <c r="B149" s="1449"/>
      <c r="C149" s="1450"/>
      <c r="D149" s="1451" t="s">
        <v>573</v>
      </c>
      <c r="E149" s="374"/>
      <c r="G149" s="1458">
        <f>SUM(G36:G62)+SUM(G78:G81)+G145</f>
        <v>22298.028041385947</v>
      </c>
      <c r="H149" s="1459">
        <f>SUM(H36:H62)+SUM(H78:H81)+H145</f>
        <v>19594.310253549305</v>
      </c>
      <c r="I149" s="956"/>
      <c r="J149" s="955"/>
      <c r="K149" s="954"/>
      <c r="L149" s="1460">
        <f>SUM(L36:L62)+SUM(L78:L81)+L145</f>
        <v>25402.885313670809</v>
      </c>
      <c r="M149" s="956"/>
      <c r="N149" s="1462">
        <f>SUM(N36:N62)+SUM(N78:N81)+N145</f>
        <v>19946.622104409922</v>
      </c>
      <c r="P149" s="1458">
        <f>SUM(P36:P62)+SUM(P78:P81)+P145</f>
        <v>25327.048156102795</v>
      </c>
      <c r="Q149" s="1459">
        <f>SUM(Q36:Q62)+SUM(Q78:Q81)+Q145</f>
        <v>0</v>
      </c>
      <c r="R149" s="383"/>
      <c r="S149" s="384"/>
      <c r="T149" s="385"/>
      <c r="U149" s="1460">
        <f>SUM(U36:U62)+SUM(U78:U81)+U145</f>
        <v>23317.205513078905</v>
      </c>
      <c r="V149" s="383"/>
      <c r="W149" s="1462" t="e">
        <f>SUM(W36:W62)+SUM(W78:W81)+W145</f>
        <v>#DIV/0!</v>
      </c>
    </row>
    <row r="150" spans="1:24" s="972" customFormat="1" x14ac:dyDescent="0.35">
      <c r="A150" s="9168"/>
      <c r="B150" s="1463"/>
      <c r="C150" s="7320"/>
      <c r="D150" s="7321" t="s">
        <v>574</v>
      </c>
      <c r="E150" s="7322"/>
      <c r="F150" s="1732"/>
      <c r="G150" s="7323">
        <f>SUM(G64:G72)+SUM(G83:G86)</f>
        <v>29316.833918330005</v>
      </c>
      <c r="H150" s="7324">
        <f>SUM(H64:H72)+SUM(H83:H86)</f>
        <v>6748.4627027799997</v>
      </c>
      <c r="I150" s="7235"/>
      <c r="J150" s="7236"/>
      <c r="K150" s="7325"/>
      <c r="L150" s="7326">
        <f>SUM(L64:L72)+SUM(L83:L86)</f>
        <v>46349.137324639989</v>
      </c>
      <c r="M150" s="7327"/>
      <c r="N150" s="7328">
        <f>SUM(N64:N72)+SUM(N83:N86)</f>
        <v>6548.3596126832372</v>
      </c>
      <c r="O150" s="5415"/>
      <c r="P150" s="7323">
        <f>SUM(P64:P72)+SUM(P83:P86)</f>
        <v>46281.825387199991</v>
      </c>
      <c r="Q150" s="7324">
        <f>SUM(Q64:Q72)+SUM(Q83:Q86)</f>
        <v>0</v>
      </c>
      <c r="R150" s="5264"/>
      <c r="S150" s="5265"/>
      <c r="T150" s="8121"/>
      <c r="U150" s="7326">
        <f>SUM(U64:U72)+SUM(U83:U86)</f>
        <v>46595.925416999999</v>
      </c>
      <c r="V150" s="8119"/>
      <c r="W150" s="7328" t="e">
        <f>SUM(W64:W72)+SUM(W83:W86)</f>
        <v>#DIV/0!</v>
      </c>
      <c r="X150" s="1477"/>
    </row>
    <row r="151" spans="1:24" x14ac:dyDescent="0.35">
      <c r="A151" s="9168"/>
      <c r="B151" s="1478"/>
      <c r="C151" s="1479"/>
      <c r="D151" s="1451" t="s">
        <v>575</v>
      </c>
      <c r="E151" s="392"/>
      <c r="G151" s="1481">
        <f>(G147-G149)/(G18+G19)</f>
        <v>0.17829014096355075</v>
      </c>
      <c r="H151" s="1482">
        <f>(H147-H149)/(H18+H19)</f>
        <v>0.10782599781668925</v>
      </c>
      <c r="I151" s="1661"/>
      <c r="J151" s="909"/>
      <c r="K151" s="7037"/>
      <c r="L151" s="1484">
        <f>(L147-L149)/(L18+L19)</f>
        <v>0.35343065790954603</v>
      </c>
      <c r="M151" s="1661"/>
      <c r="N151" s="1488">
        <f>(N147-N149)/(N18+N19)</f>
        <v>4.4075311556289888E-2</v>
      </c>
      <c r="P151" s="1481">
        <f>(P147-P149)/(P18+P19)</f>
        <v>0.35291737753999025</v>
      </c>
      <c r="Q151" s="1482">
        <f>(Q147-Q149)/(Q18+Q19)</f>
        <v>0</v>
      </c>
      <c r="R151" s="1486"/>
      <c r="S151" s="1048"/>
      <c r="T151" s="1483"/>
      <c r="U151" s="1484">
        <f>(U147-U149)/(U18+U19)</f>
        <v>0.25309347185207559</v>
      </c>
      <c r="V151" s="1486"/>
      <c r="W151" s="1488" t="e">
        <f>(W147-W149)/(W18+W19)</f>
        <v>#DIV/0!</v>
      </c>
    </row>
    <row r="152" spans="1:24" x14ac:dyDescent="0.35">
      <c r="A152" s="9168"/>
      <c r="B152" s="1478"/>
      <c r="C152" s="1479"/>
      <c r="D152" s="1451" t="s">
        <v>576</v>
      </c>
      <c r="E152" s="392"/>
      <c r="G152" s="1481">
        <f>G149/G17</f>
        <v>0.25662372225630303</v>
      </c>
      <c r="H152" s="1482">
        <f>H149/H17</f>
        <v>0.31938429104288119</v>
      </c>
      <c r="I152" s="1661"/>
      <c r="J152" s="909"/>
      <c r="K152" s="7037"/>
      <c r="L152" s="1484">
        <f>L149/L17</f>
        <v>0.30831194772752729</v>
      </c>
      <c r="M152" s="1661"/>
      <c r="N152" s="1488">
        <f>N149/N17</f>
        <v>0.24661094060161426</v>
      </c>
      <c r="P152" s="1481">
        <f>P149/P17</f>
        <v>0.30739152071810683</v>
      </c>
      <c r="Q152" s="1482">
        <f>Q149/Q17</f>
        <v>0</v>
      </c>
      <c r="R152" s="1486"/>
      <c r="S152" s="1048"/>
      <c r="T152" s="1483"/>
      <c r="U152" s="1484">
        <f>U149/U17</f>
        <v>0.31554416516466438</v>
      </c>
      <c r="V152" s="1486"/>
      <c r="W152" s="1488" t="e">
        <f>W149/W17</f>
        <v>#DIV/0!</v>
      </c>
    </row>
    <row r="153" spans="1:24" x14ac:dyDescent="0.35">
      <c r="A153" s="9168"/>
      <c r="B153" s="1478"/>
      <c r="C153" s="1479"/>
      <c r="D153" s="1451"/>
      <c r="E153" s="392"/>
      <c r="G153" s="1494"/>
      <c r="H153" s="1490"/>
      <c r="I153" s="1485"/>
      <c r="J153" s="1491"/>
      <c r="K153" s="1492"/>
      <c r="L153" s="1493"/>
      <c r="M153" s="1485"/>
      <c r="N153" s="1496"/>
      <c r="P153" s="1494"/>
      <c r="Q153" s="1490"/>
      <c r="R153" s="1485"/>
      <c r="S153" s="1491"/>
      <c r="T153" s="1492"/>
      <c r="U153" s="1493"/>
      <c r="V153" s="1485"/>
      <c r="W153" s="1496"/>
    </row>
    <row r="154" spans="1:24" x14ac:dyDescent="0.35">
      <c r="A154" s="9168"/>
      <c r="B154" s="1478"/>
      <c r="C154" s="1479"/>
      <c r="D154" s="1451" t="s">
        <v>577</v>
      </c>
      <c r="E154" s="392"/>
      <c r="G154" s="1481">
        <f>G147/G12</f>
        <v>0.4264793314435103</v>
      </c>
      <c r="H154" s="1482">
        <f>H147/H12</f>
        <v>0.28631522462053161</v>
      </c>
      <c r="I154" s="1661"/>
      <c r="J154" s="909"/>
      <c r="K154" s="7037"/>
      <c r="L154" s="1484">
        <f>L147/L12</f>
        <v>0.58708741948618237</v>
      </c>
      <c r="M154" s="1661"/>
      <c r="N154" s="1488">
        <f>N147/N12</f>
        <v>0.214330988893636</v>
      </c>
      <c r="P154" s="1481">
        <f>P147/P12</f>
        <v>0.66233940276730341</v>
      </c>
      <c r="Q154" s="1482">
        <f>Q147/Q12</f>
        <v>0</v>
      </c>
      <c r="R154" s="1486"/>
      <c r="S154" s="1048"/>
      <c r="T154" s="1483"/>
      <c r="U154" s="1484">
        <f>U147/U12</f>
        <v>0.57983286867667438</v>
      </c>
      <c r="V154" s="1486"/>
      <c r="W154" s="1488" t="e">
        <f>W147/W12</f>
        <v>#DIV/0!</v>
      </c>
    </row>
    <row r="155" spans="1:24" x14ac:dyDescent="0.35">
      <c r="A155" s="9168"/>
      <c r="B155" s="1478"/>
      <c r="C155" s="1479"/>
      <c r="D155" s="1396" t="s">
        <v>578</v>
      </c>
      <c r="E155" s="392"/>
      <c r="G155" s="1503"/>
      <c r="H155" s="1504"/>
      <c r="I155" s="847"/>
      <c r="J155" s="890"/>
      <c r="K155" s="1505"/>
      <c r="L155" s="1506"/>
      <c r="M155" s="847"/>
      <c r="N155" s="1508"/>
      <c r="P155" s="1503"/>
      <c r="Q155" s="1504"/>
      <c r="R155" s="847"/>
      <c r="S155" s="890"/>
      <c r="T155" s="1505"/>
      <c r="U155" s="1506"/>
      <c r="V155" s="847"/>
      <c r="W155" s="1508"/>
    </row>
    <row r="156" spans="1:24" x14ac:dyDescent="0.35">
      <c r="A156" s="9168"/>
      <c r="B156" s="1478"/>
      <c r="C156" s="1479"/>
      <c r="D156" s="1451" t="s">
        <v>579</v>
      </c>
      <c r="E156" s="392"/>
      <c r="G156" s="1481"/>
      <c r="H156" s="1482"/>
      <c r="I156" s="1661"/>
      <c r="J156" s="909"/>
      <c r="K156" s="7037"/>
      <c r="L156" s="1484"/>
      <c r="M156" s="1661"/>
      <c r="N156" s="1488"/>
      <c r="P156" s="1481"/>
      <c r="Q156" s="1482"/>
      <c r="R156" s="1486"/>
      <c r="S156" s="1048"/>
      <c r="T156" s="1483"/>
      <c r="U156" s="1484"/>
      <c r="V156" s="1486"/>
      <c r="W156" s="1488"/>
    </row>
    <row r="157" spans="1:24" x14ac:dyDescent="0.35">
      <c r="A157" s="9168"/>
      <c r="B157" s="1478"/>
      <c r="C157" s="1479"/>
      <c r="D157" s="1451"/>
      <c r="E157" s="392"/>
      <c r="G157" s="1481"/>
      <c r="H157" s="1482"/>
      <c r="I157" s="1661"/>
      <c r="J157" s="909"/>
      <c r="K157" s="7037"/>
      <c r="L157" s="1484"/>
      <c r="M157" s="1661"/>
      <c r="N157" s="1488"/>
      <c r="P157" s="1481"/>
      <c r="Q157" s="1482"/>
      <c r="R157" s="1486"/>
      <c r="S157" s="1048"/>
      <c r="T157" s="1483"/>
      <c r="U157" s="1484"/>
      <c r="V157" s="1486"/>
      <c r="W157" s="1488"/>
    </row>
    <row r="158" spans="1:24" x14ac:dyDescent="0.35">
      <c r="A158" s="9168"/>
      <c r="B158" s="1478"/>
      <c r="C158" s="1479"/>
      <c r="D158" s="1510" t="s">
        <v>580</v>
      </c>
      <c r="E158" s="424"/>
      <c r="G158" s="1481"/>
      <c r="H158" s="1482"/>
      <c r="I158" s="1661"/>
      <c r="J158" s="909"/>
      <c r="K158" s="7037"/>
      <c r="L158" s="1484"/>
      <c r="M158" s="1661"/>
      <c r="N158" s="1488"/>
      <c r="P158" s="1481"/>
      <c r="Q158" s="1482"/>
      <c r="R158" s="1486"/>
      <c r="S158" s="1048"/>
      <c r="T158" s="1483"/>
      <c r="U158" s="1484"/>
      <c r="V158" s="1486"/>
      <c r="W158" s="1488"/>
    </row>
    <row r="159" spans="1:24" x14ac:dyDescent="0.35">
      <c r="A159" s="9169"/>
      <c r="B159" s="1518"/>
      <c r="C159" s="1519"/>
      <c r="D159" s="1416" t="s">
        <v>581</v>
      </c>
      <c r="E159" s="274"/>
      <c r="G159" s="1531"/>
      <c r="H159" s="1532"/>
      <c r="I159" s="4741"/>
      <c r="J159" s="5660"/>
      <c r="K159" s="4740"/>
      <c r="L159" s="1533"/>
      <c r="M159" s="3347"/>
      <c r="N159" s="1535"/>
      <c r="P159" s="1531"/>
      <c r="Q159" s="1532"/>
      <c r="R159" s="443"/>
      <c r="S159" s="444"/>
      <c r="T159" s="445"/>
      <c r="U159" s="1533"/>
      <c r="V159" s="1534"/>
      <c r="W159" s="1535"/>
    </row>
    <row r="160" spans="1:24" s="449" customFormat="1" ht="15.5" x14ac:dyDescent="0.35">
      <c r="C160" s="450"/>
      <c r="D160" s="450"/>
      <c r="E160" s="450"/>
      <c r="F160" s="1536"/>
      <c r="G160" s="451">
        <f>((G147-G149)/G147)</f>
        <v>0.56799210160071767</v>
      </c>
      <c r="H160" s="451">
        <f>((H147-H149)/H147)</f>
        <v>0.2561789039433135</v>
      </c>
      <c r="I160" s="454"/>
      <c r="J160" s="454"/>
      <c r="K160" s="454"/>
      <c r="L160" s="451">
        <f>((L147-L149)/L147)</f>
        <v>0.64596279826532232</v>
      </c>
      <c r="M160" s="454"/>
      <c r="N160" s="451">
        <f>((N147-N149)/N147)</f>
        <v>0.24715471339459666</v>
      </c>
      <c r="O160" s="1536"/>
      <c r="P160" s="451">
        <f>((P147-P149)/P147)</f>
        <v>0.64631411020888063</v>
      </c>
      <c r="Q160" s="451" t="e">
        <f>((Q147-Q149)/Q147)</f>
        <v>#DIV/0!</v>
      </c>
      <c r="R160" s="454"/>
      <c r="S160" s="454"/>
      <c r="T160" s="454"/>
      <c r="U160" s="451">
        <f>((U147-U149)/U147)</f>
        <v>0.66648317414937741</v>
      </c>
      <c r="V160" s="454"/>
      <c r="W160" s="451" t="e">
        <f>((W147-W149)/W147)</f>
        <v>#DIV/0!</v>
      </c>
      <c r="X160" s="1536"/>
    </row>
    <row r="161" spans="1:26" s="462" customFormat="1" ht="15.25" customHeight="1" x14ac:dyDescent="0.35">
      <c r="A161" s="455" t="s">
        <v>582</v>
      </c>
      <c r="B161" s="455"/>
      <c r="C161" s="456"/>
      <c r="D161" s="456"/>
      <c r="E161" s="457"/>
      <c r="F161" s="461"/>
      <c r="G161" s="458" t="str">
        <f>IF(G149+G150-G147&lt;0.0001,"ok","erreur total")</f>
        <v>ok</v>
      </c>
      <c r="H161" s="458" t="str">
        <f>IF(H149+H150-H147&lt;0.0001,"ok","erreur total")</f>
        <v>ok</v>
      </c>
      <c r="I161" s="461"/>
      <c r="J161" s="461"/>
      <c r="K161" s="461"/>
      <c r="L161" s="458" t="str">
        <f>IF(L149+L150-L147&lt;0.0001,"ok","erreur total")</f>
        <v>ok</v>
      </c>
      <c r="M161" s="458"/>
      <c r="N161" s="458" t="str">
        <f>IF(N149+N150-N147&lt;0.0001,"ok","erreur total")</f>
        <v>ok</v>
      </c>
      <c r="O161" s="461"/>
      <c r="P161" s="458" t="str">
        <f>IF(P149+P150-P147&lt;0.0001,"ok","erreur total")</f>
        <v>ok</v>
      </c>
      <c r="Q161" s="458" t="str">
        <f>IF(Q149+Q150-Q147&lt;0.0001,"ok","erreur total")</f>
        <v>ok</v>
      </c>
      <c r="R161" s="461"/>
      <c r="S161" s="461"/>
      <c r="T161" s="461"/>
      <c r="U161" s="458" t="str">
        <f>IF(U149+U150-U147&lt;0.0001,"ok","erreur total")</f>
        <v>ok</v>
      </c>
      <c r="V161" s="458"/>
      <c r="W161" s="458" t="e">
        <f>IF(W149+W150-W147&lt;0.0001,"ok","erreur total")</f>
        <v>#DIV/0!</v>
      </c>
      <c r="X161" s="461"/>
      <c r="Y161"/>
      <c r="Z161"/>
    </row>
    <row r="162" spans="1:26" s="462" customFormat="1" ht="12" customHeight="1" x14ac:dyDescent="0.3">
      <c r="A162" s="463">
        <v>1</v>
      </c>
      <c r="B162" s="464">
        <f>Z12</f>
        <v>0</v>
      </c>
      <c r="D162" s="709"/>
      <c r="E162" s="466"/>
      <c r="F162" s="456"/>
      <c r="G162" s="466"/>
      <c r="H162" s="466"/>
      <c r="I162" s="466"/>
      <c r="J162" s="467"/>
      <c r="K162" s="466"/>
      <c r="L162" s="466"/>
      <c r="M162" s="466"/>
      <c r="N162" s="466"/>
      <c r="O162" s="456"/>
      <c r="P162" s="466"/>
      <c r="Q162" s="466"/>
      <c r="R162" s="466"/>
      <c r="S162" s="467"/>
      <c r="T162" s="466"/>
      <c r="U162" s="466"/>
      <c r="V162" s="466"/>
      <c r="W162" s="466"/>
      <c r="X162" s="456"/>
      <c r="Y162" s="577"/>
      <c r="Z162" s="577"/>
    </row>
    <row r="163" spans="1:26" s="462" customFormat="1" ht="12" x14ac:dyDescent="0.3">
      <c r="A163" s="468">
        <v>2</v>
      </c>
      <c r="B163" s="469">
        <f>Z26</f>
        <v>0</v>
      </c>
      <c r="D163" s="2"/>
      <c r="E163" s="456"/>
      <c r="F163" s="456"/>
      <c r="G163" s="459"/>
      <c r="H163" s="459"/>
      <c r="I163" s="459"/>
      <c r="J163" s="7"/>
      <c r="K163" s="456"/>
      <c r="O163" s="456"/>
      <c r="P163" s="459"/>
      <c r="Q163" s="459"/>
      <c r="R163" s="459"/>
      <c r="S163" s="7"/>
      <c r="T163" s="456"/>
      <c r="X163" s="456"/>
      <c r="Y163" s="577"/>
      <c r="Z163" s="577"/>
    </row>
    <row r="164" spans="1:26" s="462" customFormat="1" ht="12" x14ac:dyDescent="0.3">
      <c r="A164" s="468"/>
      <c r="B164" s="469"/>
      <c r="D164" s="2"/>
      <c r="E164" s="456"/>
      <c r="F164" s="456"/>
      <c r="G164" s="459"/>
      <c r="H164" s="459"/>
      <c r="I164" s="459"/>
      <c r="J164" s="7"/>
      <c r="K164" s="456"/>
      <c r="O164" s="456"/>
      <c r="P164" s="459"/>
      <c r="Q164" s="459"/>
      <c r="R164" s="459"/>
      <c r="S164" s="7"/>
      <c r="T164" s="456"/>
      <c r="X164" s="456"/>
      <c r="Y164" s="577"/>
      <c r="Z164" s="577"/>
    </row>
    <row r="165" spans="1:26" s="462" customFormat="1" ht="12" x14ac:dyDescent="0.3">
      <c r="A165" s="468"/>
      <c r="B165" s="469"/>
      <c r="D165" s="2"/>
      <c r="E165" s="456"/>
      <c r="F165" s="456"/>
      <c r="G165" s="459"/>
      <c r="H165" s="459"/>
      <c r="I165" s="459"/>
      <c r="J165" s="7"/>
      <c r="K165" s="456"/>
      <c r="O165" s="456"/>
      <c r="P165" s="459"/>
      <c r="Q165" s="459"/>
      <c r="R165" s="459"/>
      <c r="S165" s="7"/>
      <c r="T165" s="456"/>
      <c r="X165" s="456"/>
      <c r="Y165" s="577"/>
      <c r="Z165" s="577"/>
    </row>
    <row r="166" spans="1:26" s="462" customFormat="1" ht="12" x14ac:dyDescent="0.3">
      <c r="A166" s="468"/>
      <c r="B166" s="469"/>
      <c r="D166" s="2"/>
      <c r="E166" s="456"/>
      <c r="F166" s="456"/>
      <c r="O166" s="456"/>
      <c r="X166" s="456"/>
      <c r="Y166" s="577"/>
      <c r="Z166" s="577"/>
    </row>
    <row r="167" spans="1:26" s="462" customFormat="1" ht="12" x14ac:dyDescent="0.3">
      <c r="A167" s="468"/>
      <c r="B167" s="469"/>
      <c r="D167" s="2"/>
      <c r="E167" s="456"/>
      <c r="F167" s="456"/>
      <c r="O167" s="456"/>
      <c r="X167" s="456"/>
      <c r="Y167" s="577"/>
      <c r="Z167" s="577"/>
    </row>
    <row r="168" spans="1:26" s="462" customFormat="1" ht="12" x14ac:dyDescent="0.3">
      <c r="A168" s="468"/>
      <c r="B168" s="469"/>
      <c r="D168" s="2"/>
      <c r="E168" s="456"/>
      <c r="F168" s="456"/>
      <c r="O168" s="456"/>
      <c r="X168" s="456"/>
      <c r="Y168" s="577"/>
      <c r="Z168" s="577"/>
    </row>
    <row r="169" spans="1:26" s="462" customFormat="1" ht="12" x14ac:dyDescent="0.3">
      <c r="A169" s="468"/>
      <c r="B169" s="469"/>
      <c r="D169" s="2"/>
      <c r="E169" s="456"/>
      <c r="F169" s="456"/>
      <c r="O169" s="456"/>
      <c r="X169" s="456"/>
      <c r="Y169" s="577"/>
      <c r="Z169" s="577"/>
    </row>
    <row r="170" spans="1:26" s="462" customFormat="1" ht="12" x14ac:dyDescent="0.3">
      <c r="A170" s="468"/>
      <c r="B170" s="469"/>
      <c r="D170" s="2"/>
      <c r="E170" s="456"/>
      <c r="F170" s="456"/>
      <c r="O170" s="456"/>
      <c r="X170" s="456"/>
      <c r="Y170" s="577"/>
      <c r="Z170" s="577"/>
    </row>
    <row r="171" spans="1:26" s="462" customFormat="1" ht="12" x14ac:dyDescent="0.3">
      <c r="A171" s="468"/>
      <c r="B171" s="469"/>
      <c r="D171" s="2"/>
      <c r="E171" s="456"/>
      <c r="F171" s="456"/>
      <c r="O171" s="456"/>
      <c r="X171" s="456"/>
      <c r="Y171" s="577"/>
      <c r="Z171" s="577"/>
    </row>
    <row r="172" spans="1:26" s="462" customFormat="1" ht="12" x14ac:dyDescent="0.3">
      <c r="A172" s="468"/>
      <c r="B172" s="469"/>
      <c r="D172" s="2"/>
      <c r="E172" s="456"/>
      <c r="F172" s="456"/>
      <c r="O172" s="456"/>
      <c r="X172" s="456"/>
      <c r="Y172" s="577"/>
      <c r="Z172" s="577"/>
    </row>
    <row r="173" spans="1:26" s="462" customFormat="1" ht="12" x14ac:dyDescent="0.3">
      <c r="A173" s="468"/>
      <c r="B173" s="469"/>
      <c r="D173" s="2"/>
      <c r="E173" s="456"/>
      <c r="F173" s="456"/>
      <c r="G173" s="459"/>
      <c r="H173" s="459"/>
      <c r="I173" s="459"/>
      <c r="J173" s="7"/>
      <c r="K173" s="456"/>
      <c r="O173" s="456"/>
      <c r="P173" s="459"/>
      <c r="Q173" s="459"/>
      <c r="R173" s="459"/>
      <c r="S173" s="7"/>
      <c r="T173" s="456"/>
      <c r="X173" s="456"/>
      <c r="Y173" s="577"/>
      <c r="Z173" s="577"/>
    </row>
    <row r="174" spans="1:26" s="462" customFormat="1" ht="12" x14ac:dyDescent="0.3">
      <c r="A174" s="468"/>
      <c r="B174" s="469"/>
      <c r="D174" s="2"/>
      <c r="E174" s="456"/>
      <c r="F174" s="456"/>
      <c r="G174" s="459"/>
      <c r="H174" s="459"/>
      <c r="I174" s="459"/>
      <c r="J174" s="7"/>
      <c r="K174" s="456"/>
      <c r="O174" s="456"/>
      <c r="P174" s="459"/>
      <c r="Q174" s="459"/>
      <c r="R174" s="459"/>
      <c r="S174" s="7"/>
      <c r="T174" s="456"/>
      <c r="X174" s="456"/>
      <c r="Y174" s="577"/>
      <c r="Z174" s="577"/>
    </row>
    <row r="175" spans="1:26" s="462" customFormat="1" ht="12" x14ac:dyDescent="0.3">
      <c r="A175" s="468"/>
      <c r="B175" s="469"/>
      <c r="D175" s="2"/>
      <c r="E175" s="456"/>
      <c r="F175" s="456"/>
      <c r="G175" s="459"/>
      <c r="H175" s="459"/>
      <c r="I175" s="459"/>
      <c r="J175" s="7"/>
      <c r="K175" s="456"/>
      <c r="O175" s="456"/>
      <c r="P175" s="459"/>
      <c r="Q175" s="459"/>
      <c r="R175" s="459"/>
      <c r="S175" s="7"/>
      <c r="T175" s="456"/>
      <c r="X175" s="456"/>
      <c r="Y175" s="577"/>
      <c r="Z175" s="577"/>
    </row>
    <row r="176" spans="1:26" s="462" customFormat="1" x14ac:dyDescent="0.35">
      <c r="A176" s="455" t="s">
        <v>583</v>
      </c>
      <c r="B176" s="455"/>
      <c r="C176" s="456"/>
      <c r="D176" s="2"/>
      <c r="E176" s="456"/>
      <c r="F176" s="456"/>
      <c r="G176" s="6"/>
      <c r="H176" s="6"/>
      <c r="I176" s="6"/>
      <c r="J176" s="7"/>
      <c r="K176" s="1"/>
      <c r="L176"/>
      <c r="M176"/>
      <c r="N176"/>
      <c r="O176" s="456"/>
      <c r="P176" s="6"/>
      <c r="Q176" s="6"/>
      <c r="R176" s="6"/>
      <c r="S176" s="7"/>
      <c r="T176" s="1"/>
      <c r="U176"/>
      <c r="V176"/>
      <c r="W176"/>
      <c r="X176" s="456"/>
      <c r="Y176" s="577"/>
      <c r="Z176" s="577"/>
    </row>
    <row r="177" spans="1:26" s="462" customFormat="1" ht="93" customHeight="1" x14ac:dyDescent="0.35">
      <c r="A177" s="9170" t="s">
        <v>3360</v>
      </c>
      <c r="B177" s="9171"/>
      <c r="C177" s="9171"/>
      <c r="D177" s="9171"/>
      <c r="E177" s="9171"/>
      <c r="F177" s="456"/>
      <c r="G177" s="6"/>
      <c r="H177" s="6"/>
      <c r="I177" s="6"/>
      <c r="J177" s="7"/>
      <c r="K177" s="1"/>
      <c r="L177"/>
      <c r="M177"/>
      <c r="N177"/>
      <c r="O177" s="456"/>
      <c r="P177" s="6"/>
      <c r="Q177" s="6"/>
      <c r="R177" s="6"/>
      <c r="S177" s="7"/>
      <c r="T177" s="1"/>
      <c r="U177"/>
      <c r="V177"/>
      <c r="W177"/>
      <c r="X177" s="456"/>
      <c r="Y177" s="577"/>
      <c r="Z177" s="577"/>
    </row>
  </sheetData>
  <mergeCells count="25">
    <mergeCell ref="P1:W1"/>
    <mergeCell ref="P4:S4"/>
    <mergeCell ref="U4:W4"/>
    <mergeCell ref="Y4:Y5"/>
    <mergeCell ref="P5:S5"/>
    <mergeCell ref="U5:W5"/>
    <mergeCell ref="Z4:Z5"/>
    <mergeCell ref="G5:J5"/>
    <mergeCell ref="L5:N5"/>
    <mergeCell ref="L7:N7"/>
    <mergeCell ref="A10:A31"/>
    <mergeCell ref="G10:H10"/>
    <mergeCell ref="P7:Q7"/>
    <mergeCell ref="S7:S8"/>
    <mergeCell ref="U7:W7"/>
    <mergeCell ref="P10:Q10"/>
    <mergeCell ref="A177:E177"/>
    <mergeCell ref="G7:H7"/>
    <mergeCell ref="J7:J8"/>
    <mergeCell ref="A33:A129"/>
    <mergeCell ref="G1:N1"/>
    <mergeCell ref="G4:J4"/>
    <mergeCell ref="L4:N4"/>
    <mergeCell ref="A131:A140"/>
    <mergeCell ref="A142:A159"/>
  </mergeCells>
  <hyperlinks>
    <hyperlink ref="I10" r:id="rId1" xr:uid="{2251D343-41C4-4FE3-AC86-9CC296B879BA}"/>
    <hyperlink ref="M10" r:id="rId2" xr:uid="{48C8BC0B-AC68-4148-893C-E2B8F61D1357}"/>
    <hyperlink ref="R10" r:id="rId3" xr:uid="{4A4BC9AE-F7C8-4FEF-82C0-AF44E0682778}"/>
    <hyperlink ref="V10" r:id="rId4" xr:uid="{78901E8A-38E7-4C34-B44C-F82281F49FC7}"/>
  </hyperlinks>
  <pageMargins left="0.23622047244094491" right="0.23622047244094491" top="0.35433070866141736" bottom="0.35433070866141736" header="0.31496062992125984" footer="0.31496062992125984"/>
  <pageSetup paperSize="9" scale="29" orientation="portrait" horizontalDpi="4294967293" verticalDpi="4294967293"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A0B40-3AF3-426E-8EC1-B68B6BE6A834}">
  <sheetPr>
    <pageSetUpPr fitToPage="1"/>
  </sheetPr>
  <dimension ref="A1:AD112"/>
  <sheetViews>
    <sheetView topLeftCell="A20" zoomScale="68" zoomScaleNormal="83" zoomScalePageLayoutView="93" workbookViewId="0">
      <selection activeCell="W21" sqref="W21"/>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6" width="1.6328125" style="1" customWidth="1"/>
    <col min="7" max="9" width="21.6328125" style="6" customWidth="1"/>
    <col min="10" max="10" width="8.6328125" style="7" customWidth="1"/>
    <col min="11" max="11" width="1.6328125" style="1" customWidth="1"/>
    <col min="12" max="12" width="21.6328125" customWidth="1"/>
    <col min="13" max="13" width="23" customWidth="1"/>
    <col min="14" max="14" width="21.6328125" customWidth="1"/>
    <col min="15" max="15" width="1.6328125" style="1" customWidth="1"/>
    <col min="16" max="18" width="21.6328125" style="6" customWidth="1"/>
    <col min="19" max="19" width="8.6328125" style="7" customWidth="1"/>
    <col min="20" max="20" width="1.6328125" style="1" customWidth="1"/>
    <col min="21" max="21" width="21.6328125" customWidth="1"/>
    <col min="22" max="22" width="23" customWidth="1"/>
    <col min="23" max="23" width="21.6328125" customWidth="1"/>
    <col min="24" max="24" width="1.6328125" style="1" customWidth="1"/>
    <col min="25" max="25" width="55" customWidth="1"/>
  </cols>
  <sheetData>
    <row r="1" spans="1:25" ht="31" x14ac:dyDescent="0.7">
      <c r="F1"/>
      <c r="G1" s="9471" t="s">
        <v>398</v>
      </c>
      <c r="H1" s="9472"/>
      <c r="I1" s="9472"/>
      <c r="J1" s="9472"/>
      <c r="K1" s="9472"/>
      <c r="L1" s="9472"/>
      <c r="M1" s="9472"/>
      <c r="N1" s="9473"/>
      <c r="O1"/>
      <c r="P1" s="9474" t="s">
        <v>399</v>
      </c>
      <c r="Q1" s="9475"/>
      <c r="R1" s="9475"/>
      <c r="S1" s="9475"/>
      <c r="T1" s="9475"/>
      <c r="U1" s="9475"/>
      <c r="V1" s="9475"/>
      <c r="W1" s="9476"/>
      <c r="X1"/>
    </row>
    <row r="2" spans="1:25" ht="21" x14ac:dyDescent="0.5">
      <c r="B2" s="1" t="s">
        <v>9</v>
      </c>
      <c r="C2" s="578" t="s">
        <v>4668</v>
      </c>
    </row>
    <row r="3" spans="1:25" ht="21" x14ac:dyDescent="0.5">
      <c r="C3" s="578" t="s">
        <v>290</v>
      </c>
    </row>
    <row r="4" spans="1:25" s="8" customFormat="1" ht="15.25" customHeight="1" x14ac:dyDescent="0.35">
      <c r="D4" s="579"/>
      <c r="G4" s="9130" t="s">
        <v>4526</v>
      </c>
      <c r="H4" s="9131"/>
      <c r="I4" s="9131"/>
      <c r="J4" s="9132"/>
      <c r="L4" s="9130" t="s">
        <v>402</v>
      </c>
      <c r="M4" s="9131"/>
      <c r="N4" s="9132"/>
      <c r="P4" s="9130" t="s">
        <v>4526</v>
      </c>
      <c r="Q4" s="9131"/>
      <c r="R4" s="9131"/>
      <c r="S4" s="9132"/>
      <c r="U4" s="9130" t="s">
        <v>402</v>
      </c>
      <c r="V4" s="9131"/>
      <c r="W4" s="9132"/>
      <c r="Y4" s="9180" t="s">
        <v>404</v>
      </c>
    </row>
    <row r="5" spans="1:25" x14ac:dyDescent="0.35">
      <c r="B5" s="1" t="s">
        <v>406</v>
      </c>
      <c r="C5" s="11">
        <v>2012</v>
      </c>
      <c r="G5" s="9138">
        <v>2018</v>
      </c>
      <c r="H5" s="9139"/>
      <c r="I5" s="9139"/>
      <c r="J5" s="9140"/>
      <c r="K5" s="12"/>
      <c r="L5" s="9138">
        <v>2019</v>
      </c>
      <c r="M5" s="9139"/>
      <c r="N5" s="9140"/>
      <c r="P5" s="9138">
        <v>2019</v>
      </c>
      <c r="Q5" s="9139"/>
      <c r="R5" s="9139"/>
      <c r="S5" s="9140"/>
      <c r="T5" s="12"/>
      <c r="U5" s="9138">
        <v>2020</v>
      </c>
      <c r="V5" s="9139"/>
      <c r="W5" s="9140"/>
      <c r="Y5" s="9181"/>
    </row>
    <row r="6" spans="1:25" x14ac:dyDescent="0.35">
      <c r="C6"/>
      <c r="L6" s="14"/>
      <c r="M6" s="14"/>
      <c r="U6" s="14"/>
      <c r="V6" s="14"/>
      <c r="Y6" s="6"/>
    </row>
    <row r="7" spans="1:25" ht="12.75" customHeight="1" x14ac:dyDescent="0.35">
      <c r="B7" s="1" t="s">
        <v>101</v>
      </c>
      <c r="C7" s="15" t="s">
        <v>4527</v>
      </c>
      <c r="D7" s="2" t="s">
        <v>417</v>
      </c>
      <c r="G7" s="9173" t="s">
        <v>1914</v>
      </c>
      <c r="H7" s="9173"/>
      <c r="I7" s="16"/>
      <c r="J7" s="9147" t="s">
        <v>419</v>
      </c>
      <c r="L7" s="9149" t="s">
        <v>1914</v>
      </c>
      <c r="M7" s="9150"/>
      <c r="N7" s="9151"/>
      <c r="P7" s="9173" t="s">
        <v>1914</v>
      </c>
      <c r="Q7" s="9173"/>
      <c r="R7" s="16"/>
      <c r="S7" s="9147" t="s">
        <v>419</v>
      </c>
      <c r="U7" s="9149" t="s">
        <v>1914</v>
      </c>
      <c r="V7" s="9150"/>
      <c r="W7" s="9151"/>
      <c r="Y7" s="18"/>
    </row>
    <row r="8" spans="1:25" x14ac:dyDescent="0.35">
      <c r="B8" s="1" t="s">
        <v>420</v>
      </c>
      <c r="C8" s="19" t="s">
        <v>589</v>
      </c>
      <c r="G8" s="20" t="s">
        <v>424</v>
      </c>
      <c r="H8" s="20" t="s">
        <v>96</v>
      </c>
      <c r="I8" s="22" t="s">
        <v>425</v>
      </c>
      <c r="J8" s="9148"/>
      <c r="L8" s="21" t="s">
        <v>748</v>
      </c>
      <c r="M8" s="22" t="s">
        <v>425</v>
      </c>
      <c r="N8" s="20" t="s">
        <v>96</v>
      </c>
      <c r="P8" s="20" t="s">
        <v>424</v>
      </c>
      <c r="Q8" s="20" t="s">
        <v>96</v>
      </c>
      <c r="R8" s="22" t="s">
        <v>425</v>
      </c>
      <c r="S8" s="9148"/>
      <c r="U8" s="21" t="s">
        <v>748</v>
      </c>
      <c r="V8" s="22" t="s">
        <v>425</v>
      </c>
      <c r="W8" s="20" t="s">
        <v>96</v>
      </c>
      <c r="Y8" s="24"/>
    </row>
    <row r="9" spans="1:25" ht="18.5" x14ac:dyDescent="0.45">
      <c r="C9"/>
      <c r="E9"/>
      <c r="F9"/>
      <c r="G9"/>
      <c r="H9"/>
      <c r="I9"/>
      <c r="J9" s="25"/>
      <c r="K9"/>
      <c r="O9"/>
      <c r="P9"/>
      <c r="Q9"/>
      <c r="R9" s="8122" t="s">
        <v>4669</v>
      </c>
      <c r="S9" s="25"/>
      <c r="T9"/>
      <c r="X9"/>
    </row>
    <row r="10" spans="1:25" ht="44.75" customHeight="1" x14ac:dyDescent="0.35">
      <c r="A10" s="9167" t="s">
        <v>426</v>
      </c>
      <c r="B10" s="27"/>
      <c r="C10" s="28" t="s">
        <v>427</v>
      </c>
      <c r="D10" s="580" t="s">
        <v>428</v>
      </c>
      <c r="E10" s="30"/>
      <c r="F10" s="33"/>
      <c r="G10" s="9155" t="s">
        <v>4670</v>
      </c>
      <c r="H10" s="9156"/>
      <c r="I10" s="7089" t="s">
        <v>4671</v>
      </c>
      <c r="J10" s="32"/>
      <c r="K10" s="33"/>
      <c r="L10" s="850" t="s">
        <v>4672</v>
      </c>
      <c r="M10" s="3375" t="s">
        <v>4673</v>
      </c>
      <c r="N10" s="7332" t="s">
        <v>4674</v>
      </c>
      <c r="O10" s="33"/>
      <c r="P10" s="9155" t="s">
        <v>4675</v>
      </c>
      <c r="Q10" s="9156"/>
      <c r="R10" s="35" t="s">
        <v>4676</v>
      </c>
      <c r="S10" s="32"/>
      <c r="T10" s="33"/>
      <c r="U10" s="850" t="s">
        <v>4677</v>
      </c>
      <c r="V10" s="35" t="s">
        <v>4673</v>
      </c>
      <c r="W10" s="850" t="s">
        <v>4678</v>
      </c>
      <c r="X10" s="33"/>
      <c r="Y10" s="39"/>
    </row>
    <row r="11" spans="1:25" s="1256" customFormat="1" ht="12.75" customHeight="1" x14ac:dyDescent="0.35">
      <c r="A11" s="9168"/>
      <c r="B11" s="7305" t="s">
        <v>451</v>
      </c>
      <c r="C11" s="7306"/>
      <c r="D11" s="1253"/>
      <c r="E11" s="1254"/>
      <c r="F11" s="1261"/>
      <c r="G11" s="7307" t="s">
        <v>4679</v>
      </c>
      <c r="H11" s="7308" t="s">
        <v>1031</v>
      </c>
      <c r="I11" s="1126" t="s">
        <v>4680</v>
      </c>
      <c r="J11" s="1259"/>
      <c r="K11" s="1260"/>
      <c r="L11" s="7307"/>
      <c r="M11" s="7309" t="s">
        <v>4681</v>
      </c>
      <c r="N11" s="7333"/>
      <c r="O11" s="1261"/>
      <c r="P11" s="8123" t="s">
        <v>4682</v>
      </c>
      <c r="Q11" s="8124" t="s">
        <v>4683</v>
      </c>
      <c r="R11" s="1126" t="s">
        <v>4684</v>
      </c>
      <c r="S11" s="1259"/>
      <c r="T11" s="1260"/>
      <c r="U11" s="8123" t="s">
        <v>4682</v>
      </c>
      <c r="V11" s="7309" t="s">
        <v>4681</v>
      </c>
      <c r="W11" s="8125"/>
      <c r="X11" s="1261"/>
      <c r="Y11" s="1266"/>
    </row>
    <row r="12" spans="1:25" s="1256" customFormat="1" x14ac:dyDescent="0.35">
      <c r="A12" s="9168"/>
      <c r="B12" s="1267"/>
      <c r="C12" s="1268" t="s">
        <v>456</v>
      </c>
      <c r="D12" s="1269">
        <v>1</v>
      </c>
      <c r="E12" s="1270"/>
      <c r="F12" s="1276"/>
      <c r="G12" s="1272">
        <v>133857.32</v>
      </c>
      <c r="H12" s="1273">
        <v>150707.45300000001</v>
      </c>
      <c r="I12" s="7310"/>
      <c r="J12" s="476">
        <f>H12/G12</f>
        <v>1.1258812965925211</v>
      </c>
      <c r="K12" s="1275"/>
      <c r="L12" s="1277">
        <f>158662.668707-20000</f>
        <v>138662.668707</v>
      </c>
      <c r="M12" s="3000" t="s">
        <v>4685</v>
      </c>
      <c r="N12" s="619">
        <f>L12*J12</f>
        <v>156117.70523281637</v>
      </c>
      <c r="O12" s="1276"/>
      <c r="P12" s="1277">
        <f>158662.568+1925</f>
        <v>160587.568</v>
      </c>
      <c r="Q12" s="1273">
        <f>119552.41</f>
        <v>119552.41</v>
      </c>
      <c r="R12" s="7310" t="s">
        <v>4686</v>
      </c>
      <c r="S12" s="64">
        <f>Q12/P12</f>
        <v>0.74446865027559295</v>
      </c>
      <c r="T12" s="1275"/>
      <c r="U12" s="1277">
        <f>62582.804</f>
        <v>62582.803999999996</v>
      </c>
      <c r="V12" s="3000"/>
      <c r="W12" s="619">
        <f>U12*S12</f>
        <v>46590.935624341975</v>
      </c>
      <c r="X12" s="1276"/>
      <c r="Y12" s="1281"/>
    </row>
    <row r="13" spans="1:25" s="1256" customFormat="1" x14ac:dyDescent="0.35">
      <c r="A13" s="9168"/>
      <c r="B13" s="1267"/>
      <c r="C13" s="1282" t="s">
        <v>462</v>
      </c>
      <c r="D13" s="1269"/>
      <c r="E13" s="1270"/>
      <c r="F13" s="1276"/>
      <c r="G13" s="1272"/>
      <c r="H13" s="1273"/>
      <c r="I13" s="7310"/>
      <c r="J13" s="476"/>
      <c r="K13" s="1275"/>
      <c r="L13" s="1277">
        <v>31015.538157999999</v>
      </c>
      <c r="M13" s="3000"/>
      <c r="N13" s="619"/>
      <c r="O13" s="1276"/>
      <c r="P13" s="1277">
        <v>30835.613000000001</v>
      </c>
      <c r="Q13" s="1273">
        <v>10449.700000000001</v>
      </c>
      <c r="R13" s="7310" t="s">
        <v>4687</v>
      </c>
      <c r="S13" s="64">
        <f>Q13/P13</f>
        <v>0.33888413374496562</v>
      </c>
      <c r="T13" s="1275"/>
      <c r="U13" s="1277">
        <v>31289.883999999998</v>
      </c>
      <c r="V13" s="3000"/>
      <c r="W13" s="619">
        <f>U13*S13</f>
        <v>10603.64523432046</v>
      </c>
      <c r="X13" s="1276"/>
      <c r="Y13" s="1281"/>
    </row>
    <row r="14" spans="1:25" s="1256" customFormat="1" x14ac:dyDescent="0.35">
      <c r="A14" s="9168"/>
      <c r="B14" s="1283"/>
      <c r="C14" s="1284" t="s">
        <v>3267</v>
      </c>
      <c r="D14" s="1269"/>
      <c r="E14" s="1270"/>
      <c r="F14" s="1276"/>
      <c r="G14" s="1272"/>
      <c r="H14" s="1273"/>
      <c r="I14" s="7310"/>
      <c r="J14" s="476"/>
      <c r="K14" s="1275"/>
      <c r="L14" s="1272"/>
      <c r="M14" s="3000"/>
      <c r="N14" s="619"/>
      <c r="O14" s="1276"/>
      <c r="P14" s="1272"/>
      <c r="Q14" s="1273"/>
      <c r="R14" s="7310"/>
      <c r="S14" s="64"/>
      <c r="T14" s="1275"/>
      <c r="U14" s="1272"/>
      <c r="V14" s="3000"/>
      <c r="W14" s="619"/>
      <c r="X14" s="1276"/>
      <c r="Y14" s="1281"/>
    </row>
    <row r="15" spans="1:25" s="1256" customFormat="1" x14ac:dyDescent="0.35">
      <c r="A15" s="9168"/>
      <c r="B15" s="1287"/>
      <c r="C15" s="1288" t="s">
        <v>466</v>
      </c>
      <c r="D15" s="1289"/>
      <c r="E15" s="1270"/>
      <c r="F15" s="1276"/>
      <c r="G15" s="7311">
        <f t="shared" ref="G15:H15" si="0">SUM(G12:G14)</f>
        <v>133857.32</v>
      </c>
      <c r="H15" s="7312">
        <f t="shared" si="0"/>
        <v>150707.45300000001</v>
      </c>
      <c r="I15" s="3000"/>
      <c r="J15" s="476">
        <f>H15/G15</f>
        <v>1.1258812965925211</v>
      </c>
      <c r="K15" s="1286"/>
      <c r="L15" s="7311">
        <f>SUM(L12:L14)</f>
        <v>169678.20686500001</v>
      </c>
      <c r="M15" s="3000"/>
      <c r="N15" s="6943">
        <f>SUM(N12:N14)</f>
        <v>156117.70523281637</v>
      </c>
      <c r="O15" s="1276"/>
      <c r="P15" s="7311">
        <f>SUM(P12:P14)</f>
        <v>191423.18100000001</v>
      </c>
      <c r="Q15" s="7312">
        <f t="shared" ref="Q15" si="1">SUM(Q12:Q14)</f>
        <v>130002.11</v>
      </c>
      <c r="R15" s="3000"/>
      <c r="S15" s="64">
        <f>Q15/P15</f>
        <v>0.67913462372146027</v>
      </c>
      <c r="T15" s="1286"/>
      <c r="U15" s="7311">
        <f>SUM(U12:U14)</f>
        <v>93872.687999999995</v>
      </c>
      <c r="V15" s="3000"/>
      <c r="W15" s="6943">
        <f>SUM(W12:W14)</f>
        <v>57194.580858662433</v>
      </c>
      <c r="X15" s="1276"/>
      <c r="Y15" s="1297"/>
    </row>
    <row r="16" spans="1:25" x14ac:dyDescent="0.35">
      <c r="A16" s="9168"/>
      <c r="B16" s="100" t="s">
        <v>468</v>
      </c>
      <c r="C16" s="49"/>
      <c r="D16" s="585"/>
      <c r="E16" s="43"/>
      <c r="F16" s="43"/>
      <c r="G16" s="107"/>
      <c r="H16" s="106"/>
      <c r="I16" s="1126" t="s">
        <v>4680</v>
      </c>
      <c r="J16" s="104"/>
      <c r="K16" s="43"/>
      <c r="L16" s="107"/>
      <c r="M16" s="7309" t="s">
        <v>4688</v>
      </c>
      <c r="N16" s="105"/>
      <c r="O16" s="43"/>
      <c r="P16" s="107"/>
      <c r="Q16" s="106"/>
      <c r="R16" s="1126" t="s">
        <v>4684</v>
      </c>
      <c r="S16" s="104"/>
      <c r="T16" s="43"/>
      <c r="U16" s="107"/>
      <c r="V16" s="7309" t="s">
        <v>4689</v>
      </c>
      <c r="W16" s="105"/>
      <c r="X16" s="43"/>
      <c r="Y16" s="18"/>
    </row>
    <row r="17" spans="1:30" s="1256" customFormat="1" x14ac:dyDescent="0.35">
      <c r="A17" s="9168"/>
      <c r="B17" s="1299"/>
      <c r="C17" s="1300" t="s">
        <v>470</v>
      </c>
      <c r="D17" s="1269"/>
      <c r="E17" s="1270"/>
      <c r="F17" s="1270"/>
      <c r="G17" s="595">
        <f>61501.053+19478.36</f>
        <v>80979.413</v>
      </c>
      <c r="H17" s="594">
        <f>56067.902+22465.083+1232.549</f>
        <v>79765.534</v>
      </c>
      <c r="I17" s="1279" t="s">
        <v>4690</v>
      </c>
      <c r="J17" s="476">
        <f t="shared" ref="J17:J18" si="2">H17/G17</f>
        <v>0.98501002964790574</v>
      </c>
      <c r="K17" s="1270"/>
      <c r="L17" s="595">
        <v>86050.835496999993</v>
      </c>
      <c r="M17" s="1161" t="s">
        <v>4542</v>
      </c>
      <c r="N17" s="619">
        <f t="shared" ref="N17:N18" si="3">L17*J17</f>
        <v>84760.936024127019</v>
      </c>
      <c r="O17" s="1270"/>
      <c r="P17" s="595">
        <f>58237.149+27813.686</f>
        <v>86050.834999999992</v>
      </c>
      <c r="Q17" s="594">
        <f>58082.018+33741.964+1615.778</f>
        <v>93439.76</v>
      </c>
      <c r="R17" s="1279" t="s">
        <v>4690</v>
      </c>
      <c r="S17" s="64">
        <f t="shared" ref="S17:S18" si="4">Q17/P17</f>
        <v>1.0858669761891329</v>
      </c>
      <c r="T17" s="1270"/>
      <c r="U17" s="595">
        <f>62582.803+19750.072</f>
        <v>82332.875</v>
      </c>
      <c r="V17" s="1161" t="s">
        <v>4691</v>
      </c>
      <c r="W17" s="596">
        <f>57255.336+17993.469</f>
        <v>75248.805000000008</v>
      </c>
      <c r="X17" s="1270"/>
      <c r="Y17" s="1281"/>
    </row>
    <row r="18" spans="1:30" s="1256" customFormat="1" x14ac:dyDescent="0.35">
      <c r="A18" s="9168"/>
      <c r="B18" s="1299"/>
      <c r="C18" s="1305" t="s">
        <v>630</v>
      </c>
      <c r="D18" s="1269"/>
      <c r="E18" s="1270"/>
      <c r="F18" s="1270"/>
      <c r="G18" s="595">
        <v>163182.43799999999</v>
      </c>
      <c r="H18" s="594">
        <v>69869.286999999997</v>
      </c>
      <c r="I18" s="1279"/>
      <c r="J18" s="476">
        <f t="shared" si="2"/>
        <v>0.42816670627264436</v>
      </c>
      <c r="K18" s="1270"/>
      <c r="L18" s="595">
        <v>133920.14051299999</v>
      </c>
      <c r="M18" s="1161" t="s">
        <v>4692</v>
      </c>
      <c r="N18" s="619">
        <f t="shared" si="3"/>
        <v>57340.145467020928</v>
      </c>
      <c r="O18" s="1270"/>
      <c r="P18" s="595">
        <v>132473.141</v>
      </c>
      <c r="Q18" s="594">
        <v>31289.962</v>
      </c>
      <c r="R18" s="1279"/>
      <c r="S18" s="64">
        <f t="shared" si="4"/>
        <v>0.23619853627536466</v>
      </c>
      <c r="T18" s="1270"/>
      <c r="U18" s="595">
        <v>100215.518</v>
      </c>
      <c r="V18" s="1161" t="s">
        <v>4693</v>
      </c>
      <c r="W18" s="596">
        <v>17436.542000000001</v>
      </c>
      <c r="X18" s="1270"/>
      <c r="Y18" s="1281"/>
    </row>
    <row r="19" spans="1:30" s="1256" customFormat="1" x14ac:dyDescent="0.35">
      <c r="A19" s="9168"/>
      <c r="B19" s="1299"/>
      <c r="C19" s="1305" t="s">
        <v>632</v>
      </c>
      <c r="D19" s="1269"/>
      <c r="E19" s="1270"/>
      <c r="F19" s="1270"/>
      <c r="G19" s="595"/>
      <c r="H19" s="594"/>
      <c r="I19" s="1279"/>
      <c r="J19" s="476"/>
      <c r="K19" s="1270"/>
      <c r="L19" s="595"/>
      <c r="M19" s="1161"/>
      <c r="N19" s="619"/>
      <c r="O19" s="1270"/>
      <c r="P19" s="595"/>
      <c r="Q19" s="594"/>
      <c r="R19" s="1279"/>
      <c r="S19" s="64"/>
      <c r="T19" s="1270"/>
      <c r="U19" s="595"/>
      <c r="V19" s="1161"/>
      <c r="W19" s="596"/>
      <c r="X19" s="1270"/>
      <c r="Y19" s="1281"/>
    </row>
    <row r="20" spans="1:30" s="1256" customFormat="1" x14ac:dyDescent="0.35">
      <c r="A20" s="9168"/>
      <c r="B20" s="1299"/>
      <c r="C20" s="1305" t="s">
        <v>3282</v>
      </c>
      <c r="D20" s="1269"/>
      <c r="E20" s="1270"/>
      <c r="F20" s="1270"/>
      <c r="G20" s="595"/>
      <c r="H20" s="594"/>
      <c r="I20" s="1309"/>
      <c r="J20" s="476"/>
      <c r="K20" s="1270"/>
      <c r="L20" s="595"/>
      <c r="M20" s="1161"/>
      <c r="N20" s="619"/>
      <c r="O20" s="1270"/>
      <c r="P20" s="595"/>
      <c r="Q20" s="594"/>
      <c r="R20" s="1309"/>
      <c r="S20" s="64"/>
      <c r="T20" s="1270"/>
      <c r="U20" s="595"/>
      <c r="V20" s="1161"/>
      <c r="W20" s="596"/>
      <c r="X20" s="1270"/>
      <c r="Y20" s="1281"/>
    </row>
    <row r="21" spans="1:30" s="1256" customFormat="1" x14ac:dyDescent="0.35">
      <c r="A21" s="9168"/>
      <c r="B21" s="1299"/>
      <c r="C21" s="1305" t="s">
        <v>3285</v>
      </c>
      <c r="D21" s="1269"/>
      <c r="E21" s="1270"/>
      <c r="F21" s="1270"/>
      <c r="G21" s="595">
        <v>2447</v>
      </c>
      <c r="H21" s="594">
        <v>6081.38</v>
      </c>
      <c r="I21" s="1303" t="s">
        <v>4694</v>
      </c>
      <c r="J21" s="476">
        <f t="shared" ref="J21:J22" si="5">H21/G21</f>
        <v>2.485239068246833</v>
      </c>
      <c r="K21" s="1270"/>
      <c r="L21" s="595"/>
      <c r="M21" s="1161"/>
      <c r="N21" s="619"/>
      <c r="O21" s="619"/>
      <c r="P21" s="595">
        <v>1447</v>
      </c>
      <c r="Q21" s="594">
        <v>7008.4489999999996</v>
      </c>
      <c r="R21" s="1303" t="s">
        <v>4694</v>
      </c>
      <c r="S21" s="64">
        <f t="shared" ref="S21:S22" si="6">Q21/P21</f>
        <v>4.8434340013821702</v>
      </c>
      <c r="T21" s="1270"/>
      <c r="U21" s="8126">
        <v>2447</v>
      </c>
      <c r="V21" s="1161" t="s">
        <v>4681</v>
      </c>
      <c r="W21" s="596">
        <f t="shared" ref="W21" si="7">U21*S21</f>
        <v>11851.88300138217</v>
      </c>
      <c r="X21" s="1270"/>
      <c r="Y21" s="1281"/>
      <c r="Z21" s="619"/>
      <c r="AA21" s="619"/>
      <c r="AB21" s="619"/>
      <c r="AC21" s="619"/>
      <c r="AD21" s="619"/>
    </row>
    <row r="22" spans="1:30" s="1256" customFormat="1" x14ac:dyDescent="0.35">
      <c r="A22" s="9168"/>
      <c r="B22" s="1310"/>
      <c r="C22" s="1311" t="s">
        <v>479</v>
      </c>
      <c r="D22" s="1289"/>
      <c r="E22" s="1270"/>
      <c r="F22" s="1270"/>
      <c r="G22" s="7314">
        <f t="shared" ref="G22:H22" si="8">SUM(G17:G21)</f>
        <v>246608.851</v>
      </c>
      <c r="H22" s="4674">
        <f t="shared" si="8"/>
        <v>155716.201</v>
      </c>
      <c r="I22" s="1315"/>
      <c r="J22" s="476">
        <f t="shared" si="5"/>
        <v>0.63142989543388284</v>
      </c>
      <c r="K22" s="1270"/>
      <c r="L22" s="7314">
        <f>SUM(L17:L21)</f>
        <v>219970.97600999998</v>
      </c>
      <c r="M22" s="7334"/>
      <c r="N22" s="6943">
        <f>SUM(N17:N21)</f>
        <v>142101.08149114795</v>
      </c>
      <c r="O22" s="1270"/>
      <c r="P22" s="7314">
        <f t="shared" ref="P22:Q22" si="9">SUM(P17:P21)</f>
        <v>219970.976</v>
      </c>
      <c r="Q22" s="4674">
        <f t="shared" si="9"/>
        <v>131738.171</v>
      </c>
      <c r="R22" s="1315"/>
      <c r="S22" s="64">
        <f t="shared" si="6"/>
        <v>0.59888887795815393</v>
      </c>
      <c r="T22" s="1270"/>
      <c r="U22" s="7314">
        <f>SUM(U17:U21)</f>
        <v>184995.39299999998</v>
      </c>
      <c r="V22" s="7334"/>
      <c r="W22" s="7315">
        <f>SUM(W17:W21)</f>
        <v>104537.23000138218</v>
      </c>
      <c r="X22" s="1270"/>
      <c r="Y22" s="1297"/>
    </row>
    <row r="23" spans="1:30" s="1256" customFormat="1" x14ac:dyDescent="0.35">
      <c r="A23" s="9168"/>
      <c r="B23" s="1316" t="s">
        <v>480</v>
      </c>
      <c r="C23" s="1317"/>
      <c r="D23" s="1318"/>
      <c r="E23" s="1319"/>
      <c r="F23" s="1319"/>
      <c r="G23" s="1326"/>
      <c r="H23" s="1127"/>
      <c r="I23" s="1126"/>
      <c r="J23" s="7009"/>
      <c r="K23" s="1319"/>
      <c r="L23" s="1326"/>
      <c r="M23" s="7309"/>
      <c r="N23" s="1325"/>
      <c r="O23" s="1319"/>
      <c r="P23" s="1326"/>
      <c r="Q23" s="1127"/>
      <c r="R23" s="1126"/>
      <c r="S23" s="1323"/>
      <c r="T23" s="1319"/>
      <c r="U23" s="1326"/>
      <c r="V23" s="7309"/>
      <c r="W23" s="1325"/>
      <c r="X23" s="1319"/>
      <c r="Y23" s="1266"/>
    </row>
    <row r="24" spans="1:30" s="1256" customFormat="1" x14ac:dyDescent="0.35">
      <c r="A24" s="9168"/>
      <c r="B24" s="1299"/>
      <c r="C24" s="1300" t="s">
        <v>483</v>
      </c>
      <c r="D24" s="1269"/>
      <c r="E24" s="1270"/>
      <c r="F24" s="1270"/>
      <c r="G24" s="607">
        <v>61501.053</v>
      </c>
      <c r="H24" s="594">
        <v>56067.902000000002</v>
      </c>
      <c r="I24" s="1309"/>
      <c r="J24" s="476">
        <f>H24/G24</f>
        <v>0.91165759389518097</v>
      </c>
      <c r="K24" s="1270"/>
      <c r="L24" s="607">
        <v>58986.212800000001</v>
      </c>
      <c r="M24" s="7335" t="s">
        <v>4681</v>
      </c>
      <c r="N24" s="619">
        <f t="shared" ref="N24" si="10">L24*J24</f>
        <v>53775.228834237125</v>
      </c>
      <c r="O24" s="1270"/>
      <c r="P24" s="607">
        <v>58237.148999999998</v>
      </c>
      <c r="Q24" s="594">
        <v>58082.017999999996</v>
      </c>
      <c r="R24" s="1309"/>
      <c r="S24" s="64">
        <f>Q24/P24</f>
        <v>0.99733621918888915</v>
      </c>
      <c r="T24" s="1270"/>
      <c r="U24" s="607">
        <v>58986.212800000001</v>
      </c>
      <c r="V24" s="7335" t="s">
        <v>4695</v>
      </c>
      <c r="W24" s="596">
        <f>57255.336</f>
        <v>57255.336000000003</v>
      </c>
      <c r="X24" s="1270"/>
      <c r="Y24" s="1281"/>
    </row>
    <row r="25" spans="1:30" s="1256" customFormat="1" x14ac:dyDescent="0.35">
      <c r="A25" s="9168"/>
      <c r="B25" s="1299"/>
      <c r="C25" s="1300" t="s">
        <v>489</v>
      </c>
      <c r="D25" s="1269"/>
      <c r="E25" s="1270"/>
      <c r="F25" s="1270"/>
      <c r="G25" s="607"/>
      <c r="H25" s="594"/>
      <c r="I25" s="1309"/>
      <c r="J25" s="476"/>
      <c r="K25" s="1270"/>
      <c r="L25" s="607"/>
      <c r="M25" s="7335"/>
      <c r="N25" s="619"/>
      <c r="O25" s="1270"/>
      <c r="P25" s="607"/>
      <c r="Q25" s="594"/>
      <c r="R25" s="1309"/>
      <c r="S25" s="64"/>
      <c r="T25" s="1270"/>
      <c r="U25" s="607"/>
      <c r="V25" s="7335"/>
      <c r="W25" s="596"/>
      <c r="X25" s="1270"/>
      <c r="Y25" s="1281"/>
    </row>
    <row r="26" spans="1:30" s="1256" customFormat="1" x14ac:dyDescent="0.35">
      <c r="A26" s="9168"/>
      <c r="B26" s="1299"/>
      <c r="C26" s="1300" t="s">
        <v>490</v>
      </c>
      <c r="D26" s="1269">
        <v>2</v>
      </c>
      <c r="E26" s="1270"/>
      <c r="F26" s="1270"/>
      <c r="G26" s="607"/>
      <c r="H26" s="594"/>
      <c r="I26" s="1309" t="s">
        <v>4696</v>
      </c>
      <c r="J26" s="476"/>
      <c r="K26" s="1270"/>
      <c r="L26" s="607"/>
      <c r="M26" s="7335" t="s">
        <v>4544</v>
      </c>
      <c r="N26" s="619"/>
      <c r="O26" s="1270"/>
      <c r="P26" s="607"/>
      <c r="Q26" s="594"/>
      <c r="R26" s="1309" t="s">
        <v>4696</v>
      </c>
      <c r="S26" s="64"/>
      <c r="T26" s="1270"/>
      <c r="U26" s="607"/>
      <c r="V26" s="7335" t="s">
        <v>4544</v>
      </c>
      <c r="W26" s="596"/>
      <c r="X26" s="1270"/>
      <c r="Y26" s="1281"/>
    </row>
    <row r="27" spans="1:30" s="1256" customFormat="1" x14ac:dyDescent="0.35">
      <c r="A27" s="9168"/>
      <c r="B27" s="1299"/>
      <c r="C27" s="1333" t="s">
        <v>497</v>
      </c>
      <c r="D27" s="1334"/>
      <c r="E27" s="1270"/>
      <c r="F27" s="1270"/>
      <c r="G27" s="607"/>
      <c r="H27" s="613"/>
      <c r="I27" s="645"/>
      <c r="J27" s="476"/>
      <c r="K27" s="1270"/>
      <c r="L27" s="607"/>
      <c r="M27" s="645"/>
      <c r="N27" s="619"/>
      <c r="O27" s="1270"/>
      <c r="P27" s="607"/>
      <c r="Q27" s="613"/>
      <c r="R27" s="645"/>
      <c r="S27" s="64"/>
      <c r="T27" s="1270"/>
      <c r="U27" s="607"/>
      <c r="V27" s="645"/>
      <c r="W27" s="596"/>
      <c r="X27" s="1270"/>
      <c r="Y27" s="1281"/>
    </row>
    <row r="28" spans="1:30" x14ac:dyDescent="0.35">
      <c r="A28" s="9168"/>
      <c r="B28" s="128"/>
      <c r="C28" s="129" t="s">
        <v>499</v>
      </c>
      <c r="D28" s="209"/>
      <c r="F28" s="176"/>
      <c r="G28" s="6564">
        <f t="shared" ref="G28:H28" si="11">G26/G24</f>
        <v>0</v>
      </c>
      <c r="H28" s="6127">
        <f t="shared" si="11"/>
        <v>0</v>
      </c>
      <c r="I28" s="497"/>
      <c r="J28" s="7011"/>
      <c r="K28" s="1338"/>
      <c r="L28" s="6564">
        <f>L26/L24</f>
        <v>0</v>
      </c>
      <c r="M28" s="497"/>
      <c r="N28" s="496">
        <f>N26/N24</f>
        <v>0</v>
      </c>
      <c r="O28" s="176"/>
      <c r="P28" s="1339">
        <f t="shared" ref="P28:Q28" si="12">P26/P24</f>
        <v>0</v>
      </c>
      <c r="Q28" s="1340">
        <f t="shared" si="12"/>
        <v>0</v>
      </c>
      <c r="R28" s="177"/>
      <c r="S28" s="1137"/>
      <c r="T28" s="1338"/>
      <c r="U28" s="1339">
        <f>U26/U24</f>
        <v>0</v>
      </c>
      <c r="V28" s="177"/>
      <c r="W28" s="175">
        <f>W26/W24</f>
        <v>0</v>
      </c>
      <c r="X28" s="176"/>
      <c r="Y28" s="24"/>
    </row>
    <row r="29" spans="1:30" x14ac:dyDescent="0.35">
      <c r="A29" s="9168"/>
      <c r="B29" s="139" t="s">
        <v>501</v>
      </c>
      <c r="C29" s="49"/>
      <c r="D29" s="184"/>
      <c r="G29" s="3364"/>
      <c r="H29" s="839"/>
      <c r="I29" s="839"/>
      <c r="J29" s="840"/>
      <c r="K29" s="170"/>
      <c r="L29" s="3364"/>
      <c r="M29" s="839"/>
      <c r="N29" s="7336"/>
      <c r="P29" s="192"/>
      <c r="Q29" s="190"/>
      <c r="R29" s="190"/>
      <c r="S29" s="191"/>
      <c r="T29" s="170"/>
      <c r="U29" s="192"/>
      <c r="V29" s="190"/>
      <c r="W29" s="7336"/>
      <c r="Y29" s="617"/>
    </row>
    <row r="30" spans="1:30" x14ac:dyDescent="0.35">
      <c r="A30" s="9168"/>
      <c r="B30" s="196"/>
      <c r="C30" s="121" t="s">
        <v>470</v>
      </c>
      <c r="D30" s="197"/>
      <c r="G30" s="117"/>
      <c r="H30" s="201"/>
      <c r="I30" s="3368"/>
      <c r="J30" s="835"/>
      <c r="K30" s="170"/>
      <c r="L30" s="117"/>
      <c r="M30" s="3368"/>
      <c r="N30" s="1344"/>
      <c r="P30" s="117"/>
      <c r="Q30" s="201"/>
      <c r="R30" s="1343"/>
      <c r="S30" s="203"/>
      <c r="T30" s="170"/>
      <c r="U30" s="117"/>
      <c r="V30" s="1343"/>
      <c r="W30" s="596"/>
      <c r="Y30" s="625"/>
    </row>
    <row r="31" spans="1:30" x14ac:dyDescent="0.35">
      <c r="A31" s="9169"/>
      <c r="B31" s="207"/>
      <c r="C31" s="208" t="s">
        <v>1116</v>
      </c>
      <c r="D31" s="209"/>
      <c r="G31" s="217"/>
      <c r="H31" s="215"/>
      <c r="I31" s="1159"/>
      <c r="J31" s="484"/>
      <c r="L31" s="217"/>
      <c r="M31" s="1159"/>
      <c r="N31" s="1346"/>
      <c r="P31" s="217"/>
      <c r="Q31" s="215"/>
      <c r="R31" s="1159"/>
      <c r="S31" s="133"/>
      <c r="U31" s="217"/>
      <c r="V31" s="1159"/>
      <c r="W31" s="7315"/>
      <c r="Y31" s="625"/>
    </row>
    <row r="32" spans="1:30" x14ac:dyDescent="0.35">
      <c r="A32" s="220"/>
      <c r="B32" s="220"/>
      <c r="G32" s="106"/>
      <c r="H32" s="106"/>
      <c r="I32" s="106"/>
      <c r="J32" s="221"/>
      <c r="L32" s="106"/>
      <c r="M32" s="106"/>
      <c r="P32" s="106"/>
      <c r="Q32" s="106"/>
      <c r="R32" s="106"/>
      <c r="S32" s="221"/>
      <c r="U32" s="106"/>
      <c r="V32" s="106"/>
    </row>
    <row r="33" spans="1:25" ht="27.75" customHeight="1" x14ac:dyDescent="0.35">
      <c r="A33" s="9167" t="s">
        <v>503</v>
      </c>
      <c r="B33" s="27"/>
      <c r="C33" s="28" t="s">
        <v>427</v>
      </c>
      <c r="D33" s="585" t="s">
        <v>428</v>
      </c>
      <c r="E33" s="30"/>
      <c r="F33" s="30"/>
      <c r="G33" s="36"/>
      <c r="H33" s="36"/>
      <c r="I33" s="4645"/>
      <c r="J33" s="1347"/>
      <c r="K33" s="223"/>
      <c r="L33" s="36"/>
      <c r="M33" s="4645"/>
      <c r="N33" s="7337"/>
      <c r="O33" s="30"/>
      <c r="P33" s="9155" t="s">
        <v>4678</v>
      </c>
      <c r="Q33" s="9156"/>
      <c r="R33" s="225"/>
      <c r="S33" s="1347"/>
      <c r="T33" s="223"/>
      <c r="U33" s="36"/>
      <c r="V33" s="225"/>
      <c r="W33" s="1348"/>
      <c r="X33" s="30"/>
      <c r="Y33" s="39"/>
    </row>
    <row r="34" spans="1:25" x14ac:dyDescent="0.35">
      <c r="A34" s="9168"/>
      <c r="B34" s="141" t="s">
        <v>514</v>
      </c>
      <c r="C34"/>
      <c r="D34" s="184"/>
      <c r="E34" s="143"/>
      <c r="F34" s="143"/>
      <c r="G34" s="230" t="s">
        <v>4697</v>
      </c>
      <c r="H34" s="103" t="s">
        <v>1031</v>
      </c>
      <c r="I34" s="231" t="s">
        <v>4698</v>
      </c>
      <c r="J34" s="228"/>
      <c r="K34" s="143"/>
      <c r="L34" s="230"/>
      <c r="M34" s="231"/>
      <c r="N34" s="1349"/>
      <c r="O34" s="143"/>
      <c r="P34" s="230"/>
      <c r="Q34" s="103" t="s">
        <v>1031</v>
      </c>
      <c r="R34" s="231" t="s">
        <v>4698</v>
      </c>
      <c r="S34" s="228"/>
      <c r="T34" s="143"/>
      <c r="U34" s="230" t="s">
        <v>4699</v>
      </c>
      <c r="V34" s="231"/>
      <c r="W34" s="596"/>
      <c r="X34" s="143"/>
      <c r="Y34" s="18"/>
    </row>
    <row r="35" spans="1:25" x14ac:dyDescent="0.35">
      <c r="A35" s="9168"/>
      <c r="B35" s="240"/>
      <c r="C35" s="240" t="s">
        <v>4548</v>
      </c>
      <c r="D35" s="197"/>
      <c r="G35" s="1353">
        <f>(501.681+273.128+761.223+406.555+680.68+3184.91+150.934+363.209+15802.268+15.13+2141.128+1703.23+2270.104+2909.846+311.938)+(40)+(20+5+80+44.5+80+300+9+100+1600+2000+200+450+150+250+20)</f>
        <v>36824.464</v>
      </c>
      <c r="H35" s="624">
        <f>(456.529+203.047+692.713+369.965+619.419+2898.268+137.35+330.52+14580.064+13.769+1948.606+1549.939+2065.795+2747.96+283.863)+(500.982)+(11.185+3.3+20.2+19.024+195.084+1.5+98.564+1599.308+1875.018+449.382+130)</f>
        <v>33801.353999999999</v>
      </c>
      <c r="I35" s="1161" t="s">
        <v>4700</v>
      </c>
      <c r="J35" s="7012">
        <f t="shared" ref="J35:J36" si="13">H35/G35</f>
        <v>0.91790484716899068</v>
      </c>
      <c r="K35" s="1270"/>
      <c r="L35" s="1353">
        <f>(501.680763+782.63)+(1720.193952+396.4603)+(300.835971+82.224447)+(14802.267718+1541.4)+(9.7354)+(225.344618+3.77)+(1931.44392+156.4)+(12)+(3565.742844+321.233511)+(149.691956+7)+(2270.104418+150)+(26.153469+72.01)+(792.248672+62.598)+(2644.06358+206.401625)+(360.286966+35.6)+(636.470563+480.4)</f>
        <v>34246.392692999994</v>
      </c>
      <c r="M35" s="1161" t="s">
        <v>4701</v>
      </c>
      <c r="N35" s="619">
        <f t="shared" ref="N35:N36" si="14">L35*J35</f>
        <v>31434.9298509574</v>
      </c>
      <c r="P35" s="1353">
        <f>(501.681+225.344+792.249+360.287+636.471+3565.743+149.692+300.835+14802.268+26.153+1931.443+1720.193+2270.104+2644.063+300.672)+(782.63+16+20+3.77+62.598+35.6+480.4+321.233+7+82.24+1541.4+72.01+156.4+396.46+150+206.401+15.79+12)</f>
        <v>34589.129999999997</v>
      </c>
      <c r="Q35" s="624">
        <f>(466.253+239.023+865.032+456.984+681.273+148.869+307.672+15295.213+26.859+2200.666+1796.282+2482.77+1544.346+359.838)+(671.564+4.8+2.7+13.281+1.5+595.211+1.5+93.308+2691.905+739.947+142.134+109.553+10.218+1.2)</f>
        <v>31949.901000000002</v>
      </c>
      <c r="R35" s="1161" t="s">
        <v>4702</v>
      </c>
      <c r="S35" s="1356">
        <f t="shared" ref="S35:S36" si="15">Q35/P35</f>
        <v>0.92369773394127008</v>
      </c>
      <c r="T35" s="1270"/>
      <c r="U35" s="1353">
        <f>(443.496+225.964+735.282+444.9+678.7+3843.623+156.95+288.027+15630.798+25.031+2118.298+1979.67+2368.825+2049.274+352.283+19.292)+(709.63+16+20+3.77+49.598+35.6+451.055+485.754+7+71.224+841.4+72.01+119.4+348.71+135+206.402+15.79+12+50)</f>
        <v>35010.756000000001</v>
      </c>
      <c r="V35" s="1161" t="s">
        <v>4703</v>
      </c>
      <c r="W35" s="596">
        <f>(377.386+7.2+220.938+743.425+403.553+611.13+2562.415+148.353+148.353+271.042+14903.489+24.538+2050.623+1879.553+2288.968+2015.679+334.51+13.876)+(192.767+0.8+0.2+0.3+62.784+136.667+6.037+167.038+161.034+12.802+0.1+214.448+162.265+2.8+47.363)</f>
        <v>30172.435999999998</v>
      </c>
      <c r="Y35" s="26"/>
    </row>
    <row r="36" spans="1:25" x14ac:dyDescent="0.35">
      <c r="A36" s="9168"/>
      <c r="B36" s="240"/>
      <c r="C36" s="240" t="s">
        <v>4553</v>
      </c>
      <c r="D36" s="197"/>
      <c r="G36" s="1353">
        <f>4644.781+431.51+193.044+358.085+5+170+4948.75+462+2909.509+508.767+440+2894.121+195</f>
        <v>18160.566999999999</v>
      </c>
      <c r="H36" s="624">
        <f>4132.38+19.024+3164.188+9.73+1028.982+501+502.791+410+100+129.135+75.79</f>
        <v>10073.02</v>
      </c>
      <c r="I36" s="1161" t="s">
        <v>4704</v>
      </c>
      <c r="J36" s="7018">
        <f t="shared" si="13"/>
        <v>0.55466440007076878</v>
      </c>
      <c r="K36" s="1270"/>
      <c r="L36" s="1353">
        <f>3901.856351+276.784+2023.04181+274.6+11.535+162.157543+283+138.6+2878+119.25+396.53+956.018232+342.7914+1202.855824+320+2214.53</f>
        <v>15501.550160000003</v>
      </c>
      <c r="M36" s="1161" t="s">
        <v>4705</v>
      </c>
      <c r="N36" s="619">
        <f t="shared" si="14"/>
        <v>8598.1580196633313</v>
      </c>
      <c r="P36" s="1353">
        <v>16143.044</v>
      </c>
      <c r="Q36" s="624">
        <v>2011.8620000000001</v>
      </c>
      <c r="R36" s="1161" t="s">
        <v>4706</v>
      </c>
      <c r="S36" s="1355">
        <f t="shared" si="15"/>
        <v>0.12462717688188177</v>
      </c>
      <c r="T36" s="1270"/>
      <c r="U36" s="1353">
        <f>1035.692+16+75+101.204+125+75+586.522+1110.367+70.581+1148.438+1252.45+1096.512+77+454.375+48+695.062+40+37+157.5</f>
        <v>8201.7029999999995</v>
      </c>
      <c r="V36" s="1161" t="s">
        <v>4707</v>
      </c>
      <c r="W36" s="596">
        <f>135.652+2.154</f>
        <v>137.80599999999998</v>
      </c>
      <c r="Y36" s="26"/>
    </row>
    <row r="37" spans="1:25" x14ac:dyDescent="0.35">
      <c r="A37" s="9168"/>
      <c r="B37" s="241"/>
      <c r="C37" s="639"/>
      <c r="D37" s="197"/>
      <c r="G37" s="1154"/>
      <c r="H37" s="1358"/>
      <c r="I37"/>
      <c r="J37" s="7018"/>
      <c r="K37" s="1270"/>
      <c r="L37" s="1154"/>
      <c r="N37" s="619"/>
      <c r="P37" s="1154"/>
      <c r="Q37" s="1358"/>
      <c r="R37"/>
      <c r="S37" s="1355"/>
      <c r="T37" s="1270"/>
      <c r="U37" s="1154"/>
      <c r="W37" s="596"/>
      <c r="Y37" s="26"/>
    </row>
    <row r="38" spans="1:25" x14ac:dyDescent="0.35">
      <c r="A38" s="9168"/>
      <c r="B38" s="241"/>
      <c r="C38" s="639"/>
      <c r="D38" s="197"/>
      <c r="G38" s="612"/>
      <c r="H38" s="1358"/>
      <c r="I38" s="645"/>
      <c r="J38" s="7018"/>
      <c r="K38" s="1270"/>
      <c r="L38" s="612"/>
      <c r="M38" s="645"/>
      <c r="N38" s="619"/>
      <c r="P38" s="612"/>
      <c r="Q38" s="1358"/>
      <c r="R38" s="645"/>
      <c r="S38" s="1355"/>
      <c r="T38" s="1270"/>
      <c r="U38" s="612"/>
      <c r="V38" s="645"/>
      <c r="W38" s="596"/>
      <c r="Y38" s="26"/>
    </row>
    <row r="39" spans="1:25" x14ac:dyDescent="0.35">
      <c r="A39" s="9168"/>
      <c r="B39" s="141" t="s">
        <v>531</v>
      </c>
      <c r="C39"/>
      <c r="D39" s="197"/>
      <c r="E39" s="143"/>
      <c r="F39" s="143"/>
      <c r="G39" s="1361"/>
      <c r="H39" s="645"/>
      <c r="I39" s="645"/>
      <c r="J39" s="1363"/>
      <c r="K39" s="1321"/>
      <c r="L39" s="1361"/>
      <c r="M39" s="645"/>
      <c r="N39" s="619"/>
      <c r="O39" s="143"/>
      <c r="P39" s="1361"/>
      <c r="Q39" s="645"/>
      <c r="R39" s="645"/>
      <c r="S39" s="1363"/>
      <c r="T39" s="1321"/>
      <c r="U39" s="1361"/>
      <c r="V39" s="645"/>
      <c r="W39" s="619"/>
      <c r="X39" s="143"/>
      <c r="Y39" s="18"/>
    </row>
    <row r="40" spans="1:25" x14ac:dyDescent="0.35">
      <c r="A40" s="9168"/>
      <c r="B40" s="240"/>
      <c r="C40" s="240" t="s">
        <v>4708</v>
      </c>
      <c r="D40" s="197"/>
      <c r="G40" s="1353"/>
      <c r="H40" s="624"/>
      <c r="I40" s="645"/>
      <c r="J40" s="7013"/>
      <c r="K40" s="1270"/>
      <c r="L40" s="1353"/>
      <c r="M40" s="645"/>
      <c r="N40" s="619"/>
      <c r="P40" s="1353"/>
      <c r="Q40" s="624"/>
      <c r="R40" s="645"/>
      <c r="S40" s="1274"/>
      <c r="T40" s="1270"/>
      <c r="U40" s="1353"/>
      <c r="V40" s="645"/>
      <c r="W40" s="596"/>
      <c r="Y40" s="26"/>
    </row>
    <row r="41" spans="1:25" x14ac:dyDescent="0.35">
      <c r="A41" s="9168"/>
      <c r="B41" s="240"/>
      <c r="C41" s="240" t="s">
        <v>533</v>
      </c>
      <c r="D41" s="197"/>
      <c r="G41" s="1154"/>
      <c r="H41" s="624"/>
      <c r="I41" s="645"/>
      <c r="J41" s="7013"/>
      <c r="K41" s="1270"/>
      <c r="L41" s="1154"/>
      <c r="M41" s="645"/>
      <c r="N41" s="619"/>
      <c r="P41" s="1154"/>
      <c r="Q41" s="624"/>
      <c r="R41" s="645"/>
      <c r="S41" s="1274"/>
      <c r="T41" s="1270"/>
      <c r="U41" s="1154"/>
      <c r="V41" s="645"/>
      <c r="W41" s="596"/>
      <c r="Y41" s="26"/>
    </row>
    <row r="42" spans="1:25" x14ac:dyDescent="0.35">
      <c r="A42" s="9168"/>
      <c r="B42" s="250"/>
      <c r="C42" s="250" t="s">
        <v>534</v>
      </c>
      <c r="D42" s="209"/>
      <c r="G42" s="1156"/>
      <c r="H42" s="605"/>
      <c r="I42" s="1200"/>
      <c r="J42" s="7014"/>
      <c r="K42" s="1270"/>
      <c r="L42" s="1156"/>
      <c r="M42" s="1200"/>
      <c r="N42" s="628"/>
      <c r="P42" s="1156"/>
      <c r="Q42" s="605"/>
      <c r="R42" s="1200"/>
      <c r="S42" s="1313"/>
      <c r="T42" s="1270"/>
      <c r="U42" s="1156"/>
      <c r="V42" s="1200"/>
      <c r="W42" s="7315"/>
      <c r="Y42" s="24"/>
    </row>
    <row r="43" spans="1:25" x14ac:dyDescent="0.35">
      <c r="A43" s="9168"/>
      <c r="B43" s="141" t="s">
        <v>535</v>
      </c>
      <c r="C43" s="141"/>
      <c r="D43" s="197"/>
      <c r="E43" s="143"/>
      <c r="F43" s="143"/>
      <c r="G43" s="1368"/>
      <c r="H43" s="653"/>
      <c r="I43" s="7016" t="s">
        <v>4709</v>
      </c>
      <c r="J43" s="7015"/>
      <c r="K43" s="1321"/>
      <c r="L43" s="1368"/>
      <c r="M43" s="1425"/>
      <c r="N43" s="1370"/>
      <c r="O43" s="143"/>
      <c r="P43" s="1368"/>
      <c r="Q43" s="653"/>
      <c r="R43" s="7016" t="s">
        <v>4710</v>
      </c>
      <c r="S43" s="1367"/>
      <c r="T43" s="1321"/>
      <c r="U43" s="1368"/>
      <c r="V43" s="1425"/>
      <c r="W43" s="1370"/>
      <c r="X43" s="143"/>
      <c r="Y43" s="26"/>
    </row>
    <row r="44" spans="1:25" ht="14.5" customHeight="1" x14ac:dyDescent="0.35">
      <c r="A44" s="9168"/>
      <c r="B44" s="240"/>
      <c r="C44" s="240" t="s">
        <v>532</v>
      </c>
      <c r="D44" s="197"/>
      <c r="G44" s="1353">
        <f>(273.694)+(10+10+10+10+10)</f>
        <v>323.69400000000002</v>
      </c>
      <c r="H44" s="624">
        <f>(249.061)+(0)</f>
        <v>249.06100000000001</v>
      </c>
      <c r="I44" s="1161" t="s">
        <v>4700</v>
      </c>
      <c r="J44" s="7018">
        <f t="shared" ref="J44:J45" si="16">H44/G44</f>
        <v>0.76943347729645895</v>
      </c>
      <c r="K44" s="1270"/>
      <c r="L44" s="1353">
        <f>(203.587098+28.5)+(81.349389+52.4)+9.5+9.25+9.5</f>
        <v>394.08648700000003</v>
      </c>
      <c r="M44" s="1161" t="s">
        <v>4711</v>
      </c>
      <c r="N44" s="619">
        <f t="shared" ref="N44" si="17">L44*J44</f>
        <v>303.2233360479558</v>
      </c>
      <c r="P44" s="1353">
        <f>(203.587098+81.349389)+(9.5+9.5+9.25+52.4+28.5)</f>
        <v>394.08648700000003</v>
      </c>
      <c r="Q44" s="624">
        <f>(249.061)+(0)</f>
        <v>249.06100000000001</v>
      </c>
      <c r="R44" s="1161" t="s">
        <v>4702</v>
      </c>
      <c r="S44" s="1355">
        <f t="shared" ref="S44" si="18">Q44/P44</f>
        <v>0.63199578827477021</v>
      </c>
      <c r="T44" s="1270"/>
      <c r="U44" s="1353">
        <f>(173.484+83.213+60.672+11.749+24.964)+(9.5+9.5+9.05+19.2+18.9+25.7+15.9+24.7+16.2+21.7+24.5)</f>
        <v>548.93200000000002</v>
      </c>
      <c r="V44" s="1161" t="s">
        <v>4712</v>
      </c>
      <c r="W44" s="596">
        <f>(159.098+81.903+58.342+11.748+33.485)+(0.2+0.2+0.2+0.2+0.2+0.2+0.2+0.1+0.2+0.2)</f>
        <v>346.476</v>
      </c>
      <c r="Y44" s="257"/>
    </row>
    <row r="45" spans="1:25" x14ac:dyDescent="0.35">
      <c r="A45" s="9168"/>
      <c r="B45" s="240"/>
      <c r="C45" s="240" t="s">
        <v>533</v>
      </c>
      <c r="D45" s="197"/>
      <c r="G45" s="1353">
        <f>98.988+110+50</f>
        <v>258.988</v>
      </c>
      <c r="H45" s="624">
        <v>0</v>
      </c>
      <c r="I45" s="1161" t="s">
        <v>4704</v>
      </c>
      <c r="J45" s="7018">
        <f t="shared" si="16"/>
        <v>0</v>
      </c>
      <c r="K45" s="1270"/>
      <c r="L45" s="1353"/>
      <c r="M45" s="1161"/>
      <c r="N45" s="619"/>
      <c r="P45" s="1353">
        <f>50</f>
        <v>50</v>
      </c>
      <c r="Q45" s="624">
        <f>5.23+10.81545</f>
        <v>16.045450000000002</v>
      </c>
      <c r="R45" s="1161" t="s">
        <v>4713</v>
      </c>
      <c r="S45" s="1355"/>
      <c r="T45" s="1270"/>
      <c r="U45" s="1353">
        <f>20</f>
        <v>20</v>
      </c>
      <c r="V45" s="1161" t="s">
        <v>4714</v>
      </c>
      <c r="W45" s="596">
        <v>0</v>
      </c>
      <c r="Y45" s="26"/>
    </row>
    <row r="46" spans="1:25" x14ac:dyDescent="0.35">
      <c r="A46" s="9168"/>
      <c r="B46" s="240"/>
      <c r="C46" s="240" t="s">
        <v>534</v>
      </c>
      <c r="D46" s="197"/>
      <c r="G46" s="1353"/>
      <c r="H46" s="624"/>
      <c r="I46" s="1161"/>
      <c r="J46" s="7013"/>
      <c r="K46" s="1270"/>
      <c r="L46" s="1353"/>
      <c r="M46" s="1161"/>
      <c r="N46" s="619"/>
      <c r="P46" s="1353"/>
      <c r="Q46" s="624"/>
      <c r="R46" s="1161"/>
      <c r="S46" s="1274"/>
      <c r="T46" s="1270"/>
      <c r="U46" s="1353"/>
      <c r="V46" s="1161"/>
      <c r="W46" s="596"/>
      <c r="Y46" s="26"/>
    </row>
    <row r="47" spans="1:25" x14ac:dyDescent="0.35">
      <c r="A47" s="9168"/>
      <c r="B47" s="240"/>
      <c r="C47" s="240" t="s">
        <v>536</v>
      </c>
      <c r="D47" s="197"/>
      <c r="G47" s="1353"/>
      <c r="H47" s="624"/>
      <c r="I47" s="1161"/>
      <c r="J47" s="7013"/>
      <c r="K47" s="1270"/>
      <c r="L47" s="1353"/>
      <c r="M47" s="1161"/>
      <c r="N47" s="619"/>
      <c r="P47" s="1353"/>
      <c r="Q47" s="624"/>
      <c r="R47" s="1161"/>
      <c r="S47" s="1274"/>
      <c r="T47" s="1270"/>
      <c r="U47" s="1353"/>
      <c r="V47" s="1161"/>
      <c r="W47" s="596"/>
      <c r="Y47" s="26"/>
    </row>
    <row r="48" spans="1:25" x14ac:dyDescent="0.35">
      <c r="A48" s="9168"/>
      <c r="B48" s="240"/>
      <c r="C48" s="240" t="s">
        <v>537</v>
      </c>
      <c r="D48" s="197"/>
      <c r="G48" s="1353"/>
      <c r="H48" s="624"/>
      <c r="I48" s="1161"/>
      <c r="J48" s="7013"/>
      <c r="K48" s="1270"/>
      <c r="L48" s="1353"/>
      <c r="M48" s="1161"/>
      <c r="N48" s="619"/>
      <c r="P48" s="1353"/>
      <c r="Q48" s="624"/>
      <c r="R48" s="1161"/>
      <c r="S48" s="1274"/>
      <c r="T48" s="1270"/>
      <c r="U48" s="1353"/>
      <c r="V48" s="1161"/>
      <c r="W48" s="596"/>
      <c r="Y48" s="26"/>
    </row>
    <row r="49" spans="1:25" x14ac:dyDescent="0.35">
      <c r="A49" s="9168"/>
      <c r="B49" s="240"/>
      <c r="C49" s="240" t="s">
        <v>538</v>
      </c>
      <c r="D49" s="197"/>
      <c r="G49" s="1373"/>
      <c r="H49" s="624"/>
      <c r="I49" s="645"/>
      <c r="J49" s="7013"/>
      <c r="K49" s="1270"/>
      <c r="L49" s="1373"/>
      <c r="M49" s="645"/>
      <c r="N49" s="619"/>
      <c r="P49" s="1373"/>
      <c r="Q49" s="624"/>
      <c r="R49" s="645"/>
      <c r="S49" s="1274"/>
      <c r="T49" s="1270"/>
      <c r="U49" s="1373"/>
      <c r="V49" s="645"/>
      <c r="W49" s="596"/>
      <c r="Y49" s="26"/>
    </row>
    <row r="50" spans="1:25" x14ac:dyDescent="0.35">
      <c r="A50" s="9168"/>
      <c r="B50" s="241"/>
      <c r="C50" s="241" t="s">
        <v>539</v>
      </c>
      <c r="D50" s="209"/>
      <c r="G50" s="612"/>
      <c r="H50" s="624"/>
      <c r="I50" s="1200"/>
      <c r="J50" s="7013"/>
      <c r="K50" s="1270"/>
      <c r="L50" s="612"/>
      <c r="M50" s="1200"/>
      <c r="N50" s="628"/>
      <c r="P50" s="612"/>
      <c r="Q50" s="624"/>
      <c r="R50" s="1200"/>
      <c r="S50" s="1274"/>
      <c r="T50" s="1270"/>
      <c r="U50" s="612"/>
      <c r="V50" s="1200"/>
      <c r="W50" s="7315"/>
      <c r="Y50" s="26"/>
    </row>
    <row r="51" spans="1:25" x14ac:dyDescent="0.35">
      <c r="A51" s="9168"/>
      <c r="B51" s="271" t="s">
        <v>540</v>
      </c>
      <c r="C51" s="271"/>
      <c r="D51" s="184"/>
      <c r="E51" s="141"/>
      <c r="F51" s="141"/>
      <c r="G51" s="1375"/>
      <c r="H51" s="653"/>
      <c r="I51" s="645"/>
      <c r="J51" s="7017"/>
      <c r="K51" s="1319"/>
      <c r="L51" s="1375"/>
      <c r="M51" s="645"/>
      <c r="N51" s="1377"/>
      <c r="O51" s="141"/>
      <c r="P51" s="1375"/>
      <c r="Q51" s="653"/>
      <c r="R51" s="645"/>
      <c r="S51" s="1376"/>
      <c r="T51" s="1319"/>
      <c r="U51" s="1375"/>
      <c r="V51" s="645"/>
      <c r="W51" s="1377"/>
      <c r="X51" s="141"/>
      <c r="Y51" s="18"/>
    </row>
    <row r="52" spans="1:25" x14ac:dyDescent="0.35">
      <c r="A52" s="9168"/>
      <c r="B52" s="240"/>
      <c r="C52" s="240" t="s">
        <v>4715</v>
      </c>
      <c r="D52" s="197"/>
      <c r="G52" s="1353">
        <f>(501.681+273.128+761.223+406.555+680.68+3184.91+150.934+363.209+15802.268+15.13+2141.128+1703.23+2270.104+2909.846+311.938)</f>
        <v>31475.964</v>
      </c>
      <c r="H52" s="624">
        <f>(456.529+203.047+692.713+369.965+619.419+2898.268+137.35+330.52+14580.064+13.769+1948.606+1549.939+2065.795+2747.96+283.863)</f>
        <v>28897.806999999997</v>
      </c>
      <c r="I52" s="1161" t="s">
        <v>4543</v>
      </c>
      <c r="J52" s="7018">
        <f t="shared" ref="J52:J53" si="19">H52/G52</f>
        <v>0.91809124575183776</v>
      </c>
      <c r="K52" s="1270"/>
      <c r="L52" s="1353">
        <f>(501.680763)+(1720.193952)+(300.835971)+(14802.267718)+(0)+(225.344618)+(1931.44392)+(0)+(3565.742844)+(149.691956)+(2270.104418)+(26.153469)+(792.248672)+(2644.06358)+(360.286966)+(636.470563)</f>
        <v>29926.529409999999</v>
      </c>
      <c r="M52" s="1161" t="s">
        <v>4701</v>
      </c>
      <c r="N52" s="619">
        <f t="shared" ref="N52:N53" si="20">L52*J52</f>
        <v>27475.284667055908</v>
      </c>
      <c r="P52" s="1353">
        <f>(501.681+225.344+792.249+360.287+636.471+3565.743+149.692+300.835+14802.268+26.153+1931.443+1720.193+2270.104+2644.063+300.672)</f>
        <v>30227.197999999997</v>
      </c>
      <c r="Q52" s="624">
        <f>(466.253+239.023+865.032+456.984+681.273+148.869+307.672+15295.213+26.859+2200.666+1796.282+2482.77+1544.346+359.838)</f>
        <v>26871.08</v>
      </c>
      <c r="R52" s="1161"/>
      <c r="S52" s="1355">
        <f t="shared" ref="S52:S53" si="21">Q52/P52</f>
        <v>0.88897025784526917</v>
      </c>
      <c r="T52" s="1270"/>
      <c r="U52" s="1353">
        <f>(443.496+225.964+735.282+444.9+678.7+3843.623+156.95+288.027+15630.798+25.031+2118.298+1979.67+2368.825+2049.274+352.283+19.292)</f>
        <v>31360.413000000004</v>
      </c>
      <c r="V52" s="1161"/>
      <c r="W52" s="596">
        <f>(377.386+7.2+220.938+743.425+403.553+611.13+2562.415+148.353+148.353+271.042+14903.489+24.538+2050.623+1879.553+2288.968+2015.679+334.51+13.876)</f>
        <v>29005.030999999999</v>
      </c>
      <c r="Y52" s="26"/>
    </row>
    <row r="53" spans="1:25" x14ac:dyDescent="0.35">
      <c r="A53" s="9168"/>
      <c r="B53" s="240"/>
      <c r="C53" s="240" t="s">
        <v>4275</v>
      </c>
      <c r="D53" s="197"/>
      <c r="G53" s="1154">
        <f>(273.694)</f>
        <v>273.69400000000002</v>
      </c>
      <c r="H53" s="624">
        <f>(249.061)</f>
        <v>249.06100000000001</v>
      </c>
      <c r="I53" s="1161" t="s">
        <v>4578</v>
      </c>
      <c r="J53" s="7013">
        <f t="shared" si="19"/>
        <v>0.90999802699364984</v>
      </c>
      <c r="K53" s="1270"/>
      <c r="L53" s="1154">
        <f>(203.587098)+(81.349389)</f>
        <v>284.936487</v>
      </c>
      <c r="M53" s="645"/>
      <c r="N53" s="619">
        <f t="shared" si="20"/>
        <v>259.29164098850174</v>
      </c>
      <c r="P53" s="1154">
        <f>(203.587098+81.349389)</f>
        <v>284.936487</v>
      </c>
      <c r="Q53" s="624">
        <v>249.06100000000001</v>
      </c>
      <c r="R53" s="1161"/>
      <c r="S53" s="1274">
        <f t="shared" si="21"/>
        <v>0.87409303954814321</v>
      </c>
      <c r="T53" s="1270"/>
      <c r="U53" s="1154">
        <f>(173.484+83.213+60.672+11.749+24.964)</f>
        <v>354.08200000000005</v>
      </c>
      <c r="V53" s="645"/>
      <c r="W53" s="596">
        <f>(159.098+81.903+58.342+11.748+33.485)</f>
        <v>344.57600000000002</v>
      </c>
      <c r="Y53" s="26"/>
    </row>
    <row r="54" spans="1:25" x14ac:dyDescent="0.35">
      <c r="A54" s="9168"/>
      <c r="B54" s="240"/>
      <c r="C54" s="240" t="s">
        <v>534</v>
      </c>
      <c r="D54" s="197"/>
      <c r="G54" s="612"/>
      <c r="H54" s="624"/>
      <c r="I54" s="645"/>
      <c r="J54" s="7013"/>
      <c r="K54" s="1270"/>
      <c r="L54" s="612"/>
      <c r="M54" s="645"/>
      <c r="N54" s="619"/>
      <c r="P54" s="612"/>
      <c r="Q54" s="624"/>
      <c r="R54" s="645"/>
      <c r="S54" s="1274"/>
      <c r="T54" s="1270"/>
      <c r="U54" s="612"/>
      <c r="V54" s="645"/>
      <c r="W54" s="596"/>
      <c r="Y54" s="26"/>
    </row>
    <row r="55" spans="1:25" x14ac:dyDescent="0.35">
      <c r="A55" s="9168"/>
      <c r="B55" s="240"/>
      <c r="C55" s="240" t="s">
        <v>536</v>
      </c>
      <c r="D55" s="197"/>
      <c r="G55" s="612"/>
      <c r="H55" s="624"/>
      <c r="I55" s="1161"/>
      <c r="J55" s="7013"/>
      <c r="K55" s="1270"/>
      <c r="L55" s="612"/>
      <c r="M55" s="1161"/>
      <c r="N55" s="619"/>
      <c r="P55" s="612"/>
      <c r="Q55" s="624"/>
      <c r="R55" s="1161"/>
      <c r="S55" s="1274"/>
      <c r="T55" s="1270"/>
      <c r="U55" s="612"/>
      <c r="V55" s="1161"/>
      <c r="W55" s="596"/>
      <c r="Y55" s="26"/>
    </row>
    <row r="56" spans="1:25" x14ac:dyDescent="0.35">
      <c r="A56" s="9168"/>
      <c r="B56" s="240"/>
      <c r="C56" s="240" t="s">
        <v>537</v>
      </c>
      <c r="D56" s="197"/>
      <c r="G56" s="612"/>
      <c r="H56" s="624"/>
      <c r="I56" s="1161"/>
      <c r="J56" s="7013"/>
      <c r="K56" s="1270"/>
      <c r="L56" s="612"/>
      <c r="M56" s="1161"/>
      <c r="N56" s="619"/>
      <c r="P56" s="612"/>
      <c r="Q56" s="624"/>
      <c r="R56" s="1161"/>
      <c r="S56" s="1274"/>
      <c r="T56" s="1270"/>
      <c r="U56" s="612"/>
      <c r="V56" s="1161"/>
      <c r="W56" s="596"/>
      <c r="Y56" s="26"/>
    </row>
    <row r="57" spans="1:25" x14ac:dyDescent="0.35">
      <c r="A57" s="9168"/>
      <c r="B57" s="240"/>
      <c r="C57" s="240" t="s">
        <v>538</v>
      </c>
      <c r="D57" s="197"/>
      <c r="G57" s="612"/>
      <c r="H57" s="624"/>
      <c r="I57" s="645"/>
      <c r="J57" s="7013"/>
      <c r="K57" s="1270"/>
      <c r="L57" s="612"/>
      <c r="M57" s="645"/>
      <c r="N57" s="619"/>
      <c r="P57" s="612"/>
      <c r="Q57" s="624"/>
      <c r="R57" s="645"/>
      <c r="S57" s="1274"/>
      <c r="T57" s="1270"/>
      <c r="U57" s="612"/>
      <c r="V57" s="645"/>
      <c r="W57" s="596"/>
      <c r="Y57" s="26"/>
    </row>
    <row r="58" spans="1:25" x14ac:dyDescent="0.35">
      <c r="A58" s="9168"/>
      <c r="B58" s="240"/>
      <c r="C58" s="240" t="s">
        <v>539</v>
      </c>
      <c r="D58" s="197"/>
      <c r="G58" s="612"/>
      <c r="H58" s="624"/>
      <c r="I58" s="645"/>
      <c r="J58" s="7013"/>
      <c r="K58" s="1270"/>
      <c r="L58" s="612"/>
      <c r="M58" s="645"/>
      <c r="N58" s="619"/>
      <c r="P58" s="612"/>
      <c r="Q58" s="624"/>
      <c r="R58" s="645"/>
      <c r="S58" s="1274"/>
      <c r="T58" s="1270"/>
      <c r="U58" s="612"/>
      <c r="V58" s="645"/>
      <c r="W58" s="596"/>
      <c r="Y58" s="26"/>
    </row>
    <row r="59" spans="1:25" x14ac:dyDescent="0.35">
      <c r="A59" s="9168"/>
      <c r="B59" s="250"/>
      <c r="C59" s="250" t="s">
        <v>704</v>
      </c>
      <c r="D59" s="209"/>
      <c r="G59" s="612"/>
      <c r="H59" s="624"/>
      <c r="I59" s="1200"/>
      <c r="J59" s="7014"/>
      <c r="K59" s="1270"/>
      <c r="L59" s="612"/>
      <c r="M59" s="1200"/>
      <c r="N59" s="628"/>
      <c r="P59" s="612"/>
      <c r="Q59" s="624"/>
      <c r="R59" s="1200"/>
      <c r="S59" s="1313"/>
      <c r="T59" s="1270"/>
      <c r="U59" s="612"/>
      <c r="V59" s="1200"/>
      <c r="W59" s="7315"/>
      <c r="Y59" s="24"/>
    </row>
    <row r="60" spans="1:25" x14ac:dyDescent="0.35">
      <c r="A60" s="9168"/>
      <c r="B60" s="271" t="s">
        <v>552</v>
      </c>
      <c r="C60" s="271"/>
      <c r="D60" s="184"/>
      <c r="E60" s="143"/>
      <c r="F60" s="143"/>
      <c r="G60" s="1375"/>
      <c r="H60" s="653"/>
      <c r="I60" s="645"/>
      <c r="J60" s="1379"/>
      <c r="K60" s="1321"/>
      <c r="L60" s="1375"/>
      <c r="M60" s="645"/>
      <c r="N60" s="1377"/>
      <c r="O60" s="143"/>
      <c r="P60" s="1375"/>
      <c r="Q60" s="653"/>
      <c r="R60" s="645"/>
      <c r="S60" s="1379"/>
      <c r="T60" s="1321"/>
      <c r="U60" s="1375"/>
      <c r="V60" s="645"/>
      <c r="W60" s="1377"/>
      <c r="X60" s="143"/>
      <c r="Y60" s="18"/>
    </row>
    <row r="61" spans="1:25" x14ac:dyDescent="0.35">
      <c r="A61" s="9168"/>
      <c r="B61" s="272"/>
      <c r="C61" s="272" t="s">
        <v>980</v>
      </c>
      <c r="D61" s="197"/>
      <c r="G61" s="1154"/>
      <c r="H61" s="624"/>
      <c r="I61" s="1256"/>
      <c r="J61" s="7019"/>
      <c r="K61" s="1270"/>
      <c r="L61" s="1154"/>
      <c r="M61" s="1256"/>
      <c r="N61" s="608"/>
      <c r="P61" s="1154"/>
      <c r="Q61" s="624"/>
      <c r="R61" s="1256"/>
      <c r="S61" s="1380"/>
      <c r="T61" s="1270"/>
      <c r="U61" s="1154"/>
      <c r="V61" s="1256"/>
      <c r="W61" s="608"/>
      <c r="Y61" s="26"/>
    </row>
    <row r="62" spans="1:25" x14ac:dyDescent="0.35">
      <c r="A62" s="9168"/>
      <c r="B62" s="274"/>
      <c r="C62" s="275" t="s">
        <v>11</v>
      </c>
      <c r="D62" s="197"/>
      <c r="G62" s="1154"/>
      <c r="H62" s="624"/>
      <c r="I62" s="645"/>
      <c r="J62" s="7013"/>
      <c r="K62" s="1270"/>
      <c r="L62" s="1154"/>
      <c r="M62" s="645"/>
      <c r="N62" s="608"/>
      <c r="P62" s="1154"/>
      <c r="Q62" s="624"/>
      <c r="R62" s="645"/>
      <c r="S62" s="1274"/>
      <c r="T62" s="1270"/>
      <c r="U62" s="1154"/>
      <c r="V62" s="645"/>
      <c r="W62" s="608"/>
      <c r="Y62" s="26"/>
    </row>
    <row r="63" spans="1:25" x14ac:dyDescent="0.35">
      <c r="A63" s="9168"/>
      <c r="B63" s="274"/>
      <c r="C63" s="275" t="s">
        <v>1116</v>
      </c>
      <c r="D63" s="197"/>
      <c r="G63" s="612"/>
      <c r="H63" s="624"/>
      <c r="I63" s="645"/>
      <c r="J63" s="7013"/>
      <c r="K63" s="1270"/>
      <c r="L63" s="612"/>
      <c r="M63" s="645"/>
      <c r="N63" s="614"/>
      <c r="P63" s="612"/>
      <c r="Q63" s="624"/>
      <c r="R63" s="645"/>
      <c r="S63" s="1274"/>
      <c r="T63" s="1270"/>
      <c r="U63" s="612"/>
      <c r="V63" s="645"/>
      <c r="W63" s="614"/>
      <c r="Y63" s="26"/>
    </row>
    <row r="64" spans="1:25" x14ac:dyDescent="0.35">
      <c r="A64" s="9168"/>
      <c r="B64" s="277"/>
      <c r="C64" s="277" t="s">
        <v>555</v>
      </c>
      <c r="D64" s="209"/>
      <c r="G64" s="1383"/>
      <c r="H64" s="605"/>
      <c r="I64" s="7020"/>
      <c r="J64" s="7014"/>
      <c r="K64" s="1270"/>
      <c r="L64" s="1383"/>
      <c r="M64" s="7020"/>
      <c r="N64" s="1386"/>
      <c r="P64" s="1383"/>
      <c r="Q64" s="605"/>
      <c r="R64" s="1385"/>
      <c r="S64" s="1313"/>
      <c r="T64" s="1270"/>
      <c r="U64" s="1383"/>
      <c r="V64" s="1385"/>
      <c r="W64" s="1386"/>
      <c r="Y64" s="24"/>
    </row>
    <row r="65" spans="1:25" ht="15.25" customHeight="1" x14ac:dyDescent="0.35">
      <c r="A65" s="9168"/>
      <c r="B65" s="139" t="s">
        <v>556</v>
      </c>
      <c r="C65" s="908"/>
      <c r="D65" s="184"/>
      <c r="E65" s="143"/>
      <c r="F65" s="143"/>
      <c r="G65" s="1389"/>
      <c r="H65" s="1391"/>
      <c r="I65" s="645"/>
      <c r="J65" s="1392"/>
      <c r="K65" s="1270"/>
      <c r="L65" s="1389"/>
      <c r="M65" s="645"/>
      <c r="N65" s="645"/>
      <c r="O65" s="143"/>
      <c r="P65" s="1389"/>
      <c r="Q65" s="1391"/>
      <c r="R65" s="645"/>
      <c r="S65" s="1392"/>
      <c r="T65" s="1270"/>
      <c r="U65" s="1389"/>
      <c r="V65" s="645"/>
      <c r="W65" s="645"/>
      <c r="X65" s="143"/>
      <c r="Y65" s="18"/>
    </row>
    <row r="66" spans="1:25" x14ac:dyDescent="0.35">
      <c r="A66" s="9168"/>
      <c r="B66" s="1395"/>
      <c r="C66" s="1396" t="s">
        <v>532</v>
      </c>
      <c r="D66" s="197"/>
      <c r="G66" s="1277"/>
      <c r="H66" s="1406"/>
      <c r="I66" s="1404"/>
      <c r="J66" s="7021"/>
      <c r="K66" s="1270"/>
      <c r="L66" s="1277"/>
      <c r="M66" s="1404"/>
      <c r="N66" s="1407"/>
      <c r="P66" s="1277"/>
      <c r="Q66" s="1406"/>
      <c r="R66" s="1404"/>
      <c r="S66" s="1403"/>
      <c r="T66" s="1270"/>
      <c r="U66" s="1277"/>
      <c r="V66" s="1404"/>
      <c r="W66" s="1407"/>
      <c r="Y66" s="26"/>
    </row>
    <row r="67" spans="1:25" x14ac:dyDescent="0.35">
      <c r="A67" s="9168"/>
      <c r="B67" s="1395"/>
      <c r="C67" s="1396" t="s">
        <v>533</v>
      </c>
      <c r="D67" s="197"/>
      <c r="G67" s="1412"/>
      <c r="H67" s="1402"/>
      <c r="I67" s="645"/>
      <c r="J67" s="7021"/>
      <c r="K67" s="1270"/>
      <c r="L67" s="1412"/>
      <c r="M67" s="645"/>
      <c r="N67" s="1413"/>
      <c r="P67" s="1412"/>
      <c r="Q67" s="1402"/>
      <c r="R67" s="645"/>
      <c r="S67" s="1403"/>
      <c r="T67" s="1270"/>
      <c r="U67" s="1412"/>
      <c r="V67" s="645"/>
      <c r="W67" s="1413"/>
      <c r="Y67" s="26"/>
    </row>
    <row r="68" spans="1:25" x14ac:dyDescent="0.35">
      <c r="A68" s="9168"/>
      <c r="B68" s="1414"/>
      <c r="C68" s="1396" t="s">
        <v>534</v>
      </c>
      <c r="D68" s="197"/>
      <c r="G68" s="1412"/>
      <c r="H68" s="1402"/>
      <c r="I68" s="645"/>
      <c r="J68" s="7021"/>
      <c r="K68" s="1270"/>
      <c r="L68" s="1412"/>
      <c r="M68" s="645"/>
      <c r="N68" s="1413"/>
      <c r="P68" s="1412"/>
      <c r="Q68" s="1402"/>
      <c r="R68" s="645"/>
      <c r="S68" s="1403"/>
      <c r="T68" s="1270"/>
      <c r="U68" s="1412"/>
      <c r="V68" s="645"/>
      <c r="W68" s="1413"/>
      <c r="Y68" s="26"/>
    </row>
    <row r="69" spans="1:25" x14ac:dyDescent="0.35">
      <c r="A69" s="9169"/>
      <c r="B69" s="1415"/>
      <c r="C69" s="1416" t="s">
        <v>536</v>
      </c>
      <c r="D69" s="209"/>
      <c r="G69" s="1293"/>
      <c r="H69" s="1420"/>
      <c r="I69" s="1200"/>
      <c r="J69" s="7022"/>
      <c r="K69" s="1270"/>
      <c r="L69" s="1293"/>
      <c r="M69" s="1200"/>
      <c r="N69" s="1422"/>
      <c r="P69" s="1293"/>
      <c r="Q69" s="1420"/>
      <c r="R69" s="1200"/>
      <c r="S69" s="1421"/>
      <c r="T69" s="1270"/>
      <c r="U69" s="1293"/>
      <c r="V69" s="1200"/>
      <c r="W69" s="1422"/>
      <c r="Y69" s="24"/>
    </row>
    <row r="70" spans="1:25" x14ac:dyDescent="0.35">
      <c r="A70" s="310"/>
      <c r="B70" s="310"/>
      <c r="F70" s="645"/>
      <c r="G70" s="1425"/>
      <c r="H70" s="645"/>
      <c r="I70" s="645"/>
      <c r="J70" s="7023"/>
      <c r="K70" s="1270"/>
      <c r="L70" s="1425"/>
      <c r="M70" s="645"/>
      <c r="N70" s="645"/>
      <c r="O70" s="645"/>
      <c r="P70" s="1425"/>
      <c r="Q70" s="645"/>
      <c r="R70" s="645"/>
      <c r="S70" s="1424"/>
      <c r="T70" s="1270"/>
      <c r="U70" s="1425"/>
      <c r="V70" s="645"/>
      <c r="W70" s="645"/>
      <c r="X70" s="645"/>
    </row>
    <row r="71" spans="1:25" x14ac:dyDescent="0.35">
      <c r="A71" s="9226" t="s">
        <v>1114</v>
      </c>
      <c r="B71" s="317"/>
      <c r="C71" s="315" t="s">
        <v>3351</v>
      </c>
      <c r="D71" s="184"/>
      <c r="G71" s="320"/>
      <c r="H71" s="321"/>
      <c r="I71" s="1431"/>
      <c r="J71" s="7024"/>
      <c r="K71" s="1270"/>
      <c r="L71" s="320"/>
      <c r="M71" s="1431"/>
      <c r="N71" s="7316"/>
      <c r="P71" s="320"/>
      <c r="Q71" s="321"/>
      <c r="R71" s="1431"/>
      <c r="S71" s="1432"/>
      <c r="T71" s="1270"/>
      <c r="U71" s="320"/>
      <c r="V71" s="1431"/>
      <c r="W71" s="7316"/>
    </row>
    <row r="72" spans="1:25" x14ac:dyDescent="0.35">
      <c r="A72" s="9227"/>
      <c r="B72" s="325"/>
      <c r="C72" s="326" t="s">
        <v>3353</v>
      </c>
      <c r="D72" s="197"/>
      <c r="G72" s="1436"/>
      <c r="H72" s="340"/>
      <c r="I72" s="1161"/>
      <c r="J72" s="7317"/>
      <c r="K72" s="1270"/>
      <c r="L72" s="1436"/>
      <c r="M72" s="1161"/>
      <c r="N72" s="7318"/>
      <c r="P72" s="1436"/>
      <c r="Q72" s="340"/>
      <c r="R72" s="1161"/>
      <c r="S72" s="1438"/>
      <c r="T72" s="1270"/>
      <c r="U72" s="1436"/>
      <c r="V72" s="1161"/>
      <c r="W72" s="7318"/>
    </row>
    <row r="73" spans="1:25" x14ac:dyDescent="0.35">
      <c r="A73" s="9227"/>
      <c r="B73" s="330"/>
      <c r="C73" s="326"/>
      <c r="D73" s="197"/>
      <c r="G73" s="1436"/>
      <c r="H73" s="340"/>
      <c r="I73" s="645"/>
      <c r="J73" s="7028"/>
      <c r="K73" s="1270"/>
      <c r="L73" s="1436"/>
      <c r="M73" s="645"/>
      <c r="N73" s="7318"/>
      <c r="P73" s="1436"/>
      <c r="Q73" s="340"/>
      <c r="R73" s="645"/>
      <c r="S73" s="1439"/>
      <c r="T73" s="1270"/>
      <c r="U73" s="1436"/>
      <c r="V73" s="645"/>
      <c r="W73" s="7318"/>
    </row>
    <row r="74" spans="1:25" x14ac:dyDescent="0.35">
      <c r="A74" s="9227"/>
      <c r="B74" s="330"/>
      <c r="C74" s="326" t="s">
        <v>3354</v>
      </c>
      <c r="D74" s="197"/>
      <c r="G74" s="1436"/>
      <c r="H74" s="340"/>
      <c r="I74" s="645"/>
      <c r="J74" s="7028"/>
      <c r="K74" s="1270"/>
      <c r="L74" s="1436"/>
      <c r="M74" s="645"/>
      <c r="N74" s="7318"/>
      <c r="P74" s="1436"/>
      <c r="Q74" s="340"/>
      <c r="R74" s="645"/>
      <c r="S74" s="1439"/>
      <c r="T74" s="1270"/>
      <c r="U74" s="1436"/>
      <c r="V74" s="645"/>
      <c r="W74" s="7318"/>
    </row>
    <row r="75" spans="1:25" x14ac:dyDescent="0.35">
      <c r="A75" s="9227"/>
      <c r="B75" s="330"/>
      <c r="C75" s="326" t="s">
        <v>3355</v>
      </c>
      <c r="D75" s="197"/>
      <c r="G75" s="1441"/>
      <c r="H75" s="340"/>
      <c r="I75" s="1440"/>
      <c r="J75" s="7028"/>
      <c r="K75" s="1270"/>
      <c r="L75" s="1436"/>
      <c r="M75" s="1440"/>
      <c r="N75" s="7318"/>
      <c r="P75" s="1441"/>
      <c r="Q75" s="340"/>
      <c r="R75" s="1440"/>
      <c r="S75" s="1439"/>
      <c r="T75" s="1270"/>
      <c r="U75" s="1436"/>
      <c r="V75" s="1440"/>
      <c r="W75" s="7318"/>
    </row>
    <row r="76" spans="1:25" x14ac:dyDescent="0.35">
      <c r="A76" s="9227"/>
      <c r="B76" s="330"/>
      <c r="C76" s="326"/>
      <c r="D76" s="197"/>
      <c r="G76" s="1436"/>
      <c r="H76" s="340"/>
      <c r="I76" s="1440"/>
      <c r="J76" s="7028"/>
      <c r="K76" s="1270"/>
      <c r="L76" s="1436"/>
      <c r="M76" s="1440"/>
      <c r="N76" s="7318"/>
      <c r="P76" s="1436"/>
      <c r="Q76" s="340"/>
      <c r="R76" s="1440"/>
      <c r="S76" s="1439"/>
      <c r="T76" s="1270"/>
      <c r="U76" s="1436"/>
      <c r="V76" s="1440"/>
      <c r="W76" s="7318"/>
    </row>
    <row r="77" spans="1:25" x14ac:dyDescent="0.35">
      <c r="A77" s="9227"/>
      <c r="B77" s="330"/>
      <c r="C77" s="326"/>
      <c r="D77" s="197"/>
      <c r="G77" s="1436"/>
      <c r="H77" s="340"/>
      <c r="I77" s="645"/>
      <c r="J77" s="7021"/>
      <c r="K77" s="1270"/>
      <c r="L77" s="1436"/>
      <c r="M77" s="645"/>
      <c r="N77" s="7318"/>
      <c r="P77" s="1436"/>
      <c r="Q77" s="340"/>
      <c r="R77" s="645"/>
      <c r="S77" s="1403"/>
      <c r="T77" s="1270"/>
      <c r="U77" s="1436"/>
      <c r="V77" s="645"/>
      <c r="W77" s="7318"/>
    </row>
    <row r="78" spans="1:25" x14ac:dyDescent="0.35">
      <c r="A78" s="9227"/>
      <c r="B78" s="330"/>
      <c r="C78" s="326"/>
      <c r="D78" s="197"/>
      <c r="G78" s="1436"/>
      <c r="H78" s="340"/>
      <c r="I78" s="645"/>
      <c r="J78" s="7021"/>
      <c r="K78" s="1270"/>
      <c r="L78" s="1436"/>
      <c r="M78" s="645"/>
      <c r="N78" s="7318"/>
      <c r="P78" s="1436"/>
      <c r="Q78" s="340"/>
      <c r="R78" s="645"/>
      <c r="S78" s="1403"/>
      <c r="T78" s="1270"/>
      <c r="U78" s="1436"/>
      <c r="V78" s="645"/>
      <c r="W78" s="7318"/>
    </row>
    <row r="79" spans="1:25" x14ac:dyDescent="0.35">
      <c r="A79" s="9227"/>
      <c r="B79" s="330"/>
      <c r="C79" s="337"/>
      <c r="D79" s="197"/>
      <c r="G79" s="1436"/>
      <c r="H79" s="340"/>
      <c r="I79" s="645"/>
      <c r="J79" s="7021"/>
      <c r="K79" s="1270"/>
      <c r="L79" s="1436"/>
      <c r="M79" s="645"/>
      <c r="N79" s="7318"/>
      <c r="P79" s="1436"/>
      <c r="Q79" s="340"/>
      <c r="R79" s="645"/>
      <c r="S79" s="1403"/>
      <c r="T79" s="1270"/>
      <c r="U79" s="1436"/>
      <c r="V79" s="645"/>
      <c r="W79" s="7318"/>
    </row>
    <row r="80" spans="1:25" x14ac:dyDescent="0.35">
      <c r="A80" s="9228"/>
      <c r="B80" s="341"/>
      <c r="C80" s="342"/>
      <c r="D80" s="209"/>
      <c r="G80" s="1444"/>
      <c r="H80" s="346"/>
      <c r="I80" s="1200"/>
      <c r="J80" s="7022"/>
      <c r="K80" s="1270"/>
      <c r="L80" s="1444"/>
      <c r="M80" s="1200"/>
      <c r="N80" s="7319"/>
      <c r="P80" s="1444"/>
      <c r="Q80" s="346"/>
      <c r="R80" s="1200"/>
      <c r="S80" s="1421"/>
      <c r="T80" s="1270"/>
      <c r="U80" s="1444"/>
      <c r="V80" s="1200"/>
      <c r="W80" s="7319"/>
    </row>
    <row r="81" spans="1:24" x14ac:dyDescent="0.35">
      <c r="A81" s="310"/>
      <c r="B81" s="310"/>
      <c r="G81" s="645"/>
      <c r="H81" s="645"/>
      <c r="I81" s="645"/>
      <c r="J81" s="7023"/>
      <c r="K81" s="1270"/>
      <c r="L81" s="645"/>
      <c r="M81" s="645"/>
      <c r="N81" s="1423"/>
      <c r="P81" s="645"/>
      <c r="Q81" s="645"/>
      <c r="R81" s="645"/>
      <c r="S81" s="1424"/>
      <c r="T81" s="1270"/>
      <c r="U81" s="645"/>
      <c r="V81" s="645"/>
      <c r="W81" s="1423"/>
    </row>
    <row r="82" spans="1:24" x14ac:dyDescent="0.35">
      <c r="A82" s="9167" t="s">
        <v>566</v>
      </c>
      <c r="B82" s="139" t="s">
        <v>567</v>
      </c>
      <c r="C82" s="348"/>
      <c r="D82" s="49"/>
      <c r="E82" s="141"/>
      <c r="F82" s="141"/>
      <c r="G82" s="1375"/>
      <c r="H82" s="653"/>
      <c r="I82" s="653"/>
      <c r="J82" s="1379"/>
      <c r="K82" s="1319"/>
      <c r="L82" s="1375"/>
      <c r="M82" s="653"/>
      <c r="N82" s="1317"/>
      <c r="O82" s="141"/>
      <c r="P82" s="1375"/>
      <c r="Q82" s="653"/>
      <c r="R82" s="653"/>
      <c r="S82" s="1379"/>
      <c r="T82" s="1319"/>
      <c r="U82" s="1375"/>
      <c r="V82" s="653"/>
      <c r="W82" s="1317"/>
      <c r="X82" s="141"/>
    </row>
    <row r="83" spans="1:24" x14ac:dyDescent="0.35">
      <c r="A83" s="9168"/>
      <c r="B83" s="6082"/>
      <c r="C83"/>
      <c r="D83" s="110" t="s">
        <v>568</v>
      </c>
      <c r="G83" s="354">
        <f t="shared" ref="G83:H83" si="22">SUM(G35:G38)-SUM(G40:G42)</f>
        <v>54985.031000000003</v>
      </c>
      <c r="H83" s="355">
        <f t="shared" si="22"/>
        <v>43874.373999999996</v>
      </c>
      <c r="I83" s="355"/>
      <c r="J83" s="1363"/>
      <c r="K83" s="1446"/>
      <c r="L83" s="354">
        <f>SUM(L35:L38)-SUM(L40:L42)</f>
        <v>49747.942853</v>
      </c>
      <c r="M83" s="355"/>
      <c r="N83" s="1201">
        <f>SUM(N35:N38)-SUM(N40:N42)</f>
        <v>40033.08787062073</v>
      </c>
      <c r="P83" s="354">
        <f t="shared" ref="P83:Q83" si="23">SUM(P35:P38)-SUM(P40:P42)</f>
        <v>50732.173999999999</v>
      </c>
      <c r="Q83" s="355">
        <f t="shared" si="23"/>
        <v>33961.762999999999</v>
      </c>
      <c r="R83" s="355"/>
      <c r="S83" s="1363"/>
      <c r="T83" s="1446"/>
      <c r="U83" s="354">
        <f>SUM(U35:U38)-SUM(U40:U42)</f>
        <v>43212.459000000003</v>
      </c>
      <c r="V83" s="355"/>
      <c r="W83" s="1201">
        <f>SUM(W35:W38)-SUM(W40:W42)</f>
        <v>30310.241999999998</v>
      </c>
    </row>
    <row r="84" spans="1:24" x14ac:dyDescent="0.35">
      <c r="A84" s="9168"/>
      <c r="B84" s="6082"/>
      <c r="C84"/>
      <c r="D84" s="110" t="s">
        <v>569</v>
      </c>
      <c r="G84" s="354">
        <f t="shared" ref="G84:H84" si="24">SUM(G44:G50)</f>
        <v>582.68200000000002</v>
      </c>
      <c r="H84" s="355">
        <f t="shared" si="24"/>
        <v>249.06100000000001</v>
      </c>
      <c r="I84" s="355"/>
      <c r="J84" s="1363"/>
      <c r="K84" s="1446"/>
      <c r="L84" s="354">
        <f>SUM(L44:L50)</f>
        <v>394.08648700000003</v>
      </c>
      <c r="M84" s="355"/>
      <c r="N84" s="1201">
        <f>SUM(N44:N50)</f>
        <v>303.2233360479558</v>
      </c>
      <c r="P84" s="354">
        <f t="shared" ref="P84:Q84" si="25">SUM(P44:P50)</f>
        <v>444.08648700000003</v>
      </c>
      <c r="Q84" s="355">
        <f t="shared" si="25"/>
        <v>265.10645</v>
      </c>
      <c r="R84" s="355"/>
      <c r="S84" s="1363"/>
      <c r="T84" s="1446"/>
      <c r="U84" s="354">
        <f>SUM(U44:U50)</f>
        <v>568.93200000000002</v>
      </c>
      <c r="V84" s="355"/>
      <c r="W84" s="1201">
        <f>SUM(W44:W50)</f>
        <v>346.476</v>
      </c>
    </row>
    <row r="85" spans="1:24" x14ac:dyDescent="0.35">
      <c r="A85" s="9168"/>
      <c r="B85" s="6082"/>
      <c r="C85"/>
      <c r="D85" s="110" t="s">
        <v>570</v>
      </c>
      <c r="G85" s="354">
        <f t="shared" ref="G85:H85" si="26">SUM(G52:G59)*G28</f>
        <v>0</v>
      </c>
      <c r="H85" s="355">
        <f t="shared" si="26"/>
        <v>0</v>
      </c>
      <c r="I85" s="355"/>
      <c r="J85" s="1363"/>
      <c r="K85" s="1446"/>
      <c r="L85" s="354">
        <f>SUM(L52:L59)*L28</f>
        <v>0</v>
      </c>
      <c r="M85" s="355"/>
      <c r="N85" s="1201">
        <f>SUM(N52:N59)*N28</f>
        <v>0</v>
      </c>
      <c r="P85" s="354">
        <f t="shared" ref="P85:Q85" si="27">SUM(P52:P59)*P28</f>
        <v>0</v>
      </c>
      <c r="Q85" s="355">
        <f t="shared" si="27"/>
        <v>0</v>
      </c>
      <c r="R85" s="355"/>
      <c r="S85" s="1363"/>
      <c r="T85" s="1446"/>
      <c r="U85" s="354">
        <f>SUM(U52:U59)*U28</f>
        <v>0</v>
      </c>
      <c r="V85" s="355"/>
      <c r="W85" s="1201">
        <f>SUM(W52:W59)*W28</f>
        <v>0</v>
      </c>
    </row>
    <row r="86" spans="1:24" x14ac:dyDescent="0.35">
      <c r="A86" s="9168"/>
      <c r="B86" s="6082"/>
      <c r="C86"/>
      <c r="D86" s="110" t="s">
        <v>552</v>
      </c>
      <c r="G86" s="354">
        <f t="shared" ref="G86:H86" si="28">G61</f>
        <v>0</v>
      </c>
      <c r="H86" s="355">
        <f t="shared" si="28"/>
        <v>0</v>
      </c>
      <c r="I86" s="355"/>
      <c r="J86" s="1363"/>
      <c r="K86" s="1446"/>
      <c r="L86" s="354">
        <f>L61</f>
        <v>0</v>
      </c>
      <c r="M86" s="355"/>
      <c r="N86" s="1201">
        <f>N61</f>
        <v>0</v>
      </c>
      <c r="P86" s="354">
        <f t="shared" ref="P86:Q86" si="29">P61</f>
        <v>0</v>
      </c>
      <c r="Q86" s="355">
        <f t="shared" si="29"/>
        <v>0</v>
      </c>
      <c r="R86" s="355"/>
      <c r="S86" s="1363"/>
      <c r="T86" s="1446"/>
      <c r="U86" s="354">
        <f>U61</f>
        <v>0</v>
      </c>
      <c r="V86" s="355"/>
      <c r="W86" s="1201">
        <f>W61</f>
        <v>0</v>
      </c>
    </row>
    <row r="87" spans="1:24" x14ac:dyDescent="0.35">
      <c r="A87" s="9168"/>
      <c r="B87" s="6082"/>
      <c r="C87"/>
      <c r="D87" s="356" t="s">
        <v>571</v>
      </c>
      <c r="E87" s="143"/>
      <c r="F87" s="143"/>
      <c r="G87" s="363">
        <f t="shared" ref="G87:H87" si="30">SUM(G83:G86)</f>
        <v>55567.713000000003</v>
      </c>
      <c r="H87" s="364">
        <f t="shared" si="30"/>
        <v>44123.434999999998</v>
      </c>
      <c r="I87" s="364"/>
      <c r="J87" s="1447"/>
      <c r="K87" s="1448"/>
      <c r="L87" s="363">
        <f>SUM(L83:L86)</f>
        <v>50142.029340000001</v>
      </c>
      <c r="M87" s="364"/>
      <c r="N87" s="1202">
        <f>SUM(N83:N86)</f>
        <v>40336.311206668688</v>
      </c>
      <c r="O87" s="143"/>
      <c r="P87" s="363">
        <f t="shared" ref="P87:Q87" si="31">SUM(P83:P86)</f>
        <v>51176.260487</v>
      </c>
      <c r="Q87" s="364">
        <f t="shared" si="31"/>
        <v>34226.869449999998</v>
      </c>
      <c r="R87" s="364"/>
      <c r="S87" s="1447"/>
      <c r="T87" s="1448"/>
      <c r="U87" s="363">
        <f>SUM(U83:U86)</f>
        <v>43781.391000000003</v>
      </c>
      <c r="V87" s="364"/>
      <c r="W87" s="1202">
        <f>SUM(W83:W86)</f>
        <v>30656.717999999997</v>
      </c>
      <c r="X87" s="143"/>
    </row>
    <row r="88" spans="1:24" ht="15.5" x14ac:dyDescent="0.35">
      <c r="A88" s="9168"/>
      <c r="B88" s="6082"/>
      <c r="C88"/>
      <c r="D88" s="356" t="s">
        <v>572</v>
      </c>
      <c r="G88" s="561">
        <f t="shared" ref="G88:H88" si="32">G87/(G17+G18+G19)</f>
        <v>0.2275855657729266</v>
      </c>
      <c r="H88" s="562">
        <f t="shared" si="32"/>
        <v>0.29487411222284954</v>
      </c>
      <c r="I88" s="562"/>
      <c r="J88" s="563"/>
      <c r="K88" s="560"/>
      <c r="L88" s="561">
        <f>L87/(L17+L18+L19)</f>
        <v>0.22794838778057938</v>
      </c>
      <c r="M88" s="562"/>
      <c r="N88" s="563">
        <f>N87/(N17+N18+N19)</f>
        <v>0.28385646881358462</v>
      </c>
      <c r="P88" s="368">
        <f t="shared" ref="P88:Q88" si="33">P87/(P17+P18+P19)</f>
        <v>0.23419059740611711</v>
      </c>
      <c r="Q88" s="369">
        <f t="shared" si="33"/>
        <v>0.27440828778564902</v>
      </c>
      <c r="R88" s="369"/>
      <c r="S88" s="370"/>
      <c r="T88" s="367"/>
      <c r="U88" s="368">
        <f>U87/(U17+U18+U19)</f>
        <v>0.2398344366690755</v>
      </c>
      <c r="V88" s="369"/>
      <c r="W88" s="370">
        <f>W87/(W17+W18+W19)</f>
        <v>0.33076121514655377</v>
      </c>
    </row>
    <row r="89" spans="1:24" x14ac:dyDescent="0.35">
      <c r="A89" s="9168"/>
      <c r="B89" s="1449"/>
      <c r="C89" s="1450"/>
      <c r="D89" s="1451" t="s">
        <v>573</v>
      </c>
      <c r="E89" s="374"/>
      <c r="G89" s="1458">
        <f t="shared" ref="G89:H89" si="34">G35+G44+G85</f>
        <v>37148.158000000003</v>
      </c>
      <c r="H89" s="1459">
        <f t="shared" si="34"/>
        <v>34050.415000000001</v>
      </c>
      <c r="I89" s="956"/>
      <c r="J89" s="955"/>
      <c r="K89" s="954"/>
      <c r="L89" s="1460">
        <f>L35+L44+L85</f>
        <v>34640.479179999995</v>
      </c>
      <c r="M89" s="956"/>
      <c r="N89" s="1462">
        <f>N35+N44+N85</f>
        <v>31738.153187005355</v>
      </c>
      <c r="P89" s="1458">
        <f t="shared" ref="P89:Q89" si="35">P35+P44+P85</f>
        <v>34983.216486999998</v>
      </c>
      <c r="Q89" s="1459">
        <f t="shared" si="35"/>
        <v>32198.962000000003</v>
      </c>
      <c r="R89" s="383"/>
      <c r="S89" s="384"/>
      <c r="T89" s="385"/>
      <c r="U89" s="1460">
        <f>U35+U44+U85</f>
        <v>35559.688000000002</v>
      </c>
      <c r="V89" s="383"/>
      <c r="W89" s="1461">
        <f>W35+W44+W85</f>
        <v>30518.911999999997</v>
      </c>
    </row>
    <row r="90" spans="1:24" s="972" customFormat="1" x14ac:dyDescent="0.35">
      <c r="A90" s="9168"/>
      <c r="B90" s="1463"/>
      <c r="C90" s="7320"/>
      <c r="D90" s="7321" t="s">
        <v>574</v>
      </c>
      <c r="E90" s="7322"/>
      <c r="F90" s="1732"/>
      <c r="G90" s="7323">
        <f t="shared" ref="G90:H90" si="36">SUM(G36:G38)</f>
        <v>18160.566999999999</v>
      </c>
      <c r="H90" s="7324">
        <f t="shared" si="36"/>
        <v>10073.02</v>
      </c>
      <c r="I90" s="7235"/>
      <c r="J90" s="7236"/>
      <c r="K90" s="7325"/>
      <c r="L90" s="7326">
        <f>SUM(L36:L38)</f>
        <v>15501.550160000003</v>
      </c>
      <c r="M90" s="7327"/>
      <c r="N90" s="7328">
        <f>SUM(N36:N38)</f>
        <v>8598.1580196633313</v>
      </c>
      <c r="O90" s="5415"/>
      <c r="P90" s="7323">
        <f>P36+P45</f>
        <v>16193.044</v>
      </c>
      <c r="Q90" s="7324">
        <f>Q36+Q45</f>
        <v>2027.9074500000002</v>
      </c>
      <c r="R90" s="5264"/>
      <c r="S90" s="5265"/>
      <c r="T90" s="8121"/>
      <c r="U90" s="7326">
        <f>U36+U45</f>
        <v>8221.7029999999995</v>
      </c>
      <c r="V90" s="8119"/>
      <c r="W90" s="7328">
        <f>W36+W45</f>
        <v>137.80599999999998</v>
      </c>
      <c r="X90" s="1477"/>
    </row>
    <row r="91" spans="1:24" x14ac:dyDescent="0.35">
      <c r="A91" s="9168"/>
      <c r="B91" s="1478"/>
      <c r="C91" s="1479"/>
      <c r="D91" s="1451" t="s">
        <v>575</v>
      </c>
      <c r="E91" s="392"/>
      <c r="G91" s="1481">
        <f t="shared" ref="G91:H91" si="37">(G87-G89)/(G18+G19)</f>
        <v>0.11287706707752461</v>
      </c>
      <c r="H91" s="1482">
        <f t="shared" si="37"/>
        <v>0.14416949753616345</v>
      </c>
      <c r="I91" s="1661"/>
      <c r="J91" s="909"/>
      <c r="K91" s="7037"/>
      <c r="L91" s="1484">
        <f>(L87-L89)/(L18+L19)</f>
        <v>0.11575219455878057</v>
      </c>
      <c r="M91" s="1661"/>
      <c r="N91" s="1488">
        <f>(N87-N89)/(N18+N19)</f>
        <v>0.14995005592737023</v>
      </c>
      <c r="P91" s="1481">
        <f t="shared" ref="P91:Q91" si="38">(P87-P89)/(P18+P19)</f>
        <v>0.1222364313079887</v>
      </c>
      <c r="Q91" s="1482">
        <f t="shared" si="38"/>
        <v>6.4810160204093414E-2</v>
      </c>
      <c r="R91" s="1486"/>
      <c r="S91" s="1048"/>
      <c r="T91" s="1483"/>
      <c r="U91" s="1484">
        <f>(U87-U89)/(U18+U19)</f>
        <v>8.2040218561760081E-2</v>
      </c>
      <c r="V91" s="1486"/>
      <c r="W91" s="1487">
        <f>(W87-W89)/(W18+W19)</f>
        <v>7.9032872458312253E-3</v>
      </c>
    </row>
    <row r="92" spans="1:24" x14ac:dyDescent="0.35">
      <c r="A92" s="9168"/>
      <c r="B92" s="1478"/>
      <c r="C92" s="1479"/>
      <c r="D92" s="1451" t="s">
        <v>576</v>
      </c>
      <c r="E92" s="392"/>
      <c r="G92" s="1481">
        <f t="shared" ref="G92:H92" si="39">G89/G17</f>
        <v>0.45873582709225125</v>
      </c>
      <c r="H92" s="1482">
        <f t="shared" si="39"/>
        <v>0.42688130189161649</v>
      </c>
      <c r="I92" s="1661"/>
      <c r="J92" s="909"/>
      <c r="K92" s="7037"/>
      <c r="L92" s="1484">
        <f>L89/L17</f>
        <v>0.40255831311722329</v>
      </c>
      <c r="M92" s="1661"/>
      <c r="N92" s="1488">
        <f>N89/N17</f>
        <v>0.37444316539839956</v>
      </c>
      <c r="P92" s="1481">
        <f t="shared" ref="P92:Q92" si="40">P89/P17</f>
        <v>0.40654127861745909</v>
      </c>
      <c r="Q92" s="1482">
        <f t="shared" si="40"/>
        <v>0.34459594074299854</v>
      </c>
      <c r="R92" s="1486"/>
      <c r="S92" s="1048"/>
      <c r="T92" s="1483"/>
      <c r="U92" s="1484">
        <f>U89/U17</f>
        <v>0.43190144884409781</v>
      </c>
      <c r="V92" s="1486"/>
      <c r="W92" s="1487">
        <f>W89/W17</f>
        <v>0.40557337754400213</v>
      </c>
    </row>
    <row r="93" spans="1:24" x14ac:dyDescent="0.35">
      <c r="A93" s="9168"/>
      <c r="B93" s="1478"/>
      <c r="C93" s="1479"/>
      <c r="D93" s="1451"/>
      <c r="E93" s="392"/>
      <c r="G93" s="1494"/>
      <c r="H93" s="1490"/>
      <c r="I93" s="1485"/>
      <c r="J93" s="1491"/>
      <c r="K93" s="1492"/>
      <c r="L93" s="1493"/>
      <c r="M93" s="1485"/>
      <c r="N93" s="1496"/>
      <c r="P93" s="1494"/>
      <c r="Q93" s="1490"/>
      <c r="R93" s="1485"/>
      <c r="S93" s="1491"/>
      <c r="T93" s="1492"/>
      <c r="U93" s="1493"/>
      <c r="V93" s="1485"/>
      <c r="W93" s="1495"/>
    </row>
    <row r="94" spans="1:24" x14ac:dyDescent="0.35">
      <c r="A94" s="9168"/>
      <c r="B94" s="1478"/>
      <c r="C94" s="1479"/>
      <c r="D94" s="1451" t="s">
        <v>577</v>
      </c>
      <c r="E94" s="392"/>
      <c r="G94" s="1481">
        <f t="shared" ref="G94:H94" si="41">G87/G12</f>
        <v>0.41512644209521005</v>
      </c>
      <c r="H94" s="1482">
        <f t="shared" si="41"/>
        <v>0.29277540109446343</v>
      </c>
      <c r="I94" s="1661"/>
      <c r="J94" s="909"/>
      <c r="K94" s="7037"/>
      <c r="L94" s="1484">
        <f>L87/L12</f>
        <v>0.36161159890808242</v>
      </c>
      <c r="M94" s="1661"/>
      <c r="N94" s="1488">
        <f>N87/N12</f>
        <v>0.258371151090875</v>
      </c>
      <c r="P94" s="1481">
        <f t="shared" ref="P94:Q94" si="42">P87/P12</f>
        <v>0.31868133457877634</v>
      </c>
      <c r="Q94" s="1482">
        <f t="shared" si="42"/>
        <v>0.28629175647734745</v>
      </c>
      <c r="R94" s="1486"/>
      <c r="S94" s="1048"/>
      <c r="T94" s="1483"/>
      <c r="U94" s="1484">
        <f>U87/U12</f>
        <v>0.69957541371907861</v>
      </c>
      <c r="V94" s="1486"/>
      <c r="W94" s="1487">
        <f>W87/W12</f>
        <v>0.65799747502780426</v>
      </c>
    </row>
    <row r="95" spans="1:24" x14ac:dyDescent="0.35">
      <c r="A95" s="9168"/>
      <c r="B95" s="1478"/>
      <c r="C95" s="1479"/>
      <c r="D95" s="1396" t="s">
        <v>578</v>
      </c>
      <c r="E95" s="392"/>
      <c r="G95" s="1503"/>
      <c r="H95" s="1504"/>
      <c r="I95" s="847"/>
      <c r="J95" s="890"/>
      <c r="K95" s="1505"/>
      <c r="L95" s="1506"/>
      <c r="M95" s="847"/>
      <c r="N95" s="1508"/>
      <c r="P95" s="1503"/>
      <c r="Q95" s="1504"/>
      <c r="R95" s="847"/>
      <c r="S95" s="890"/>
      <c r="T95" s="1505"/>
      <c r="U95" s="1506"/>
      <c r="V95" s="847"/>
      <c r="W95" s="1507"/>
    </row>
    <row r="96" spans="1:24" x14ac:dyDescent="0.35">
      <c r="A96" s="9168"/>
      <c r="B96" s="1478"/>
      <c r="C96" s="1479"/>
      <c r="D96" s="1451" t="s">
        <v>579</v>
      </c>
      <c r="E96" s="392"/>
      <c r="G96" s="1481"/>
      <c r="H96" s="1482"/>
      <c r="I96" s="1661"/>
      <c r="J96" s="909"/>
      <c r="K96" s="7037"/>
      <c r="L96" s="1484"/>
      <c r="M96" s="1661"/>
      <c r="N96" s="1488"/>
      <c r="P96" s="1481"/>
      <c r="Q96" s="1482"/>
      <c r="R96" s="1486"/>
      <c r="S96" s="1048"/>
      <c r="T96" s="1483"/>
      <c r="U96" s="1484"/>
      <c r="V96" s="1486"/>
      <c r="W96" s="1487"/>
    </row>
    <row r="97" spans="1:25" x14ac:dyDescent="0.35">
      <c r="A97" s="9168"/>
      <c r="B97" s="1478"/>
      <c r="C97" s="1479"/>
      <c r="D97" s="1451"/>
      <c r="E97" s="392"/>
      <c r="G97" s="1481"/>
      <c r="H97" s="1482"/>
      <c r="I97" s="1661"/>
      <c r="J97" s="909"/>
      <c r="K97" s="7037"/>
      <c r="L97" s="1484"/>
      <c r="M97" s="1661"/>
      <c r="N97" s="1488"/>
      <c r="P97" s="1481"/>
      <c r="Q97" s="1482"/>
      <c r="R97" s="1486"/>
      <c r="S97" s="1048"/>
      <c r="T97" s="1483"/>
      <c r="U97" s="1484"/>
      <c r="V97" s="1486"/>
      <c r="W97" s="1487"/>
    </row>
    <row r="98" spans="1:25" x14ac:dyDescent="0.35">
      <c r="A98" s="9168"/>
      <c r="B98" s="1478"/>
      <c r="C98" s="1479"/>
      <c r="D98" s="1510" t="s">
        <v>580</v>
      </c>
      <c r="E98" s="424"/>
      <c r="G98" s="1481"/>
      <c r="H98" s="1482"/>
      <c r="I98" s="1661"/>
      <c r="J98" s="909"/>
      <c r="K98" s="7037"/>
      <c r="L98" s="1484"/>
      <c r="M98" s="1661"/>
      <c r="N98" s="1488"/>
      <c r="P98" s="1481"/>
      <c r="Q98" s="1482"/>
      <c r="R98" s="1486"/>
      <c r="S98" s="1048"/>
      <c r="T98" s="1483"/>
      <c r="U98" s="1484"/>
      <c r="V98" s="1486"/>
      <c r="W98" s="1487"/>
    </row>
    <row r="99" spans="1:25" x14ac:dyDescent="0.35">
      <c r="A99" s="9169"/>
      <c r="B99" s="1518"/>
      <c r="C99" s="1519"/>
      <c r="D99" s="1416" t="s">
        <v>581</v>
      </c>
      <c r="E99" s="274"/>
      <c r="G99" s="1531"/>
      <c r="H99" s="1532"/>
      <c r="I99" s="4741"/>
      <c r="J99" s="5660"/>
      <c r="K99" s="4740"/>
      <c r="L99" s="1533"/>
      <c r="M99" s="3347"/>
      <c r="N99" s="1535"/>
      <c r="P99" s="1531"/>
      <c r="Q99" s="1532"/>
      <c r="R99" s="443"/>
      <c r="S99" s="444"/>
      <c r="T99" s="445"/>
      <c r="U99" s="1533"/>
      <c r="V99" s="1534"/>
      <c r="W99" s="8127"/>
    </row>
    <row r="100" spans="1:25" s="449" customFormat="1" ht="15.5" x14ac:dyDescent="0.35">
      <c r="C100" s="450"/>
      <c r="D100" s="450"/>
      <c r="E100" s="450"/>
      <c r="F100" s="1536"/>
      <c r="G100" s="451">
        <f>((G87-G89)/G87)</f>
        <v>0.33147945102581422</v>
      </c>
      <c r="H100" s="451">
        <f>((H87-H89)/H87)</f>
        <v>0.22829183629968966</v>
      </c>
      <c r="I100" s="454"/>
      <c r="J100" s="454"/>
      <c r="K100" s="454"/>
      <c r="L100" s="451">
        <f>((L87-L89)/L87)</f>
        <v>0.30915282775828723</v>
      </c>
      <c r="M100" s="454"/>
      <c r="N100" s="451">
        <f>((N87-N89)/N87)</f>
        <v>0.21316173349638934</v>
      </c>
      <c r="O100" s="1536"/>
      <c r="P100" s="451">
        <f>((P87-P89)/P87)</f>
        <v>0.31641710132598344</v>
      </c>
      <c r="Q100" s="451">
        <f>((Q87-Q89)/Q87)</f>
        <v>5.9248990123459723E-2</v>
      </c>
      <c r="R100" s="454"/>
      <c r="S100" s="454"/>
      <c r="T100" s="454"/>
      <c r="U100" s="451">
        <f>((U87-U89)/U87)</f>
        <v>0.18778989913774097</v>
      </c>
      <c r="V100" s="454"/>
      <c r="W100" s="451">
        <f>((W87-W89)/W87)</f>
        <v>4.49513219255892E-3</v>
      </c>
      <c r="X100" s="1536"/>
    </row>
    <row r="101" spans="1:25" s="462" customFormat="1" ht="15.25" customHeight="1" x14ac:dyDescent="0.35">
      <c r="A101" s="455" t="s">
        <v>582</v>
      </c>
      <c r="B101" s="455"/>
      <c r="C101" s="456"/>
      <c r="D101" s="456"/>
      <c r="E101" s="457"/>
      <c r="F101" s="461"/>
      <c r="G101" s="458" t="str">
        <f>IF(G89+G90=G87,"ok","erreur total")</f>
        <v>erreur total</v>
      </c>
      <c r="H101" s="458" t="str">
        <f>IF(H89+H90=H87,"ok","erreur total")</f>
        <v>ok</v>
      </c>
      <c r="I101" s="461"/>
      <c r="J101" s="461"/>
      <c r="K101" s="461"/>
      <c r="L101" s="458" t="str">
        <f>IF(L89+L90=L87,"ok","erreur total")</f>
        <v>ok</v>
      </c>
      <c r="M101" s="458"/>
      <c r="N101" s="458" t="str">
        <f>IF(N89+N90=N87,"ok","erreur total")</f>
        <v>ok</v>
      </c>
      <c r="O101" s="461"/>
      <c r="P101" s="458" t="str">
        <f>IF(P89+P90=P87,"ok","erreur total")</f>
        <v>ok</v>
      </c>
      <c r="Q101" s="458" t="str">
        <f>IF(Q89+Q90=Q87,"ok","erreur total")</f>
        <v>ok</v>
      </c>
      <c r="R101" s="461"/>
      <c r="S101" s="461"/>
      <c r="T101" s="461"/>
      <c r="U101" s="458" t="str">
        <f>IF(U89+U90=U87,"ok","erreur total")</f>
        <v>ok</v>
      </c>
      <c r="V101" s="458"/>
      <c r="W101" s="458" t="str">
        <f>IF(W89+W90=W87,"ok","erreur total")</f>
        <v>ok</v>
      </c>
      <c r="X101" s="461"/>
      <c r="Y101"/>
    </row>
    <row r="102" spans="1:25" s="462" customFormat="1" ht="12" customHeight="1" x14ac:dyDescent="0.3">
      <c r="A102" s="463">
        <v>1</v>
      </c>
      <c r="B102" s="464" t="e">
        <f>#REF!</f>
        <v>#REF!</v>
      </c>
      <c r="D102" s="709"/>
      <c r="E102" s="466"/>
      <c r="F102" s="456"/>
      <c r="G102" s="466"/>
      <c r="H102" s="466"/>
      <c r="I102" s="466"/>
      <c r="J102" s="467"/>
      <c r="K102" s="466"/>
      <c r="L102" s="466"/>
      <c r="M102" s="466"/>
      <c r="N102" s="466"/>
      <c r="O102" s="456"/>
      <c r="P102" s="466"/>
      <c r="Q102" s="466"/>
      <c r="R102" s="466"/>
      <c r="S102" s="467"/>
      <c r="T102" s="466"/>
      <c r="U102" s="466"/>
      <c r="V102" s="466"/>
      <c r="W102" s="466"/>
      <c r="X102" s="456"/>
      <c r="Y102" s="577"/>
    </row>
    <row r="103" spans="1:25" s="462" customFormat="1" ht="12" x14ac:dyDescent="0.3">
      <c r="A103" s="468">
        <v>2</v>
      </c>
      <c r="B103" s="469" t="e">
        <f>#REF!</f>
        <v>#REF!</v>
      </c>
      <c r="D103" s="2"/>
      <c r="E103" s="456"/>
      <c r="F103" s="456"/>
      <c r="G103" s="459"/>
      <c r="H103" s="459"/>
      <c r="I103" s="459"/>
      <c r="J103" s="7"/>
      <c r="K103" s="456"/>
      <c r="O103" s="456"/>
      <c r="P103" s="459"/>
      <c r="Q103" s="459"/>
      <c r="R103" s="459"/>
      <c r="S103" s="7"/>
      <c r="T103" s="456"/>
      <c r="X103" s="456"/>
      <c r="Y103" s="577"/>
    </row>
    <row r="104" spans="1:25" s="462" customFormat="1" ht="12" x14ac:dyDescent="0.3">
      <c r="A104" s="468"/>
      <c r="B104" s="469"/>
      <c r="D104" s="2"/>
      <c r="E104" s="456"/>
      <c r="F104" s="456"/>
      <c r="G104" s="459"/>
      <c r="H104" s="459"/>
      <c r="I104" s="459"/>
      <c r="J104" s="7"/>
      <c r="K104" s="456"/>
      <c r="O104" s="456"/>
      <c r="P104" s="459"/>
      <c r="Q104" s="459"/>
      <c r="R104" s="459"/>
      <c r="S104" s="7"/>
      <c r="T104" s="456"/>
      <c r="X104" s="456"/>
      <c r="Y104" s="577"/>
    </row>
    <row r="105" spans="1:25" s="462" customFormat="1" ht="12" x14ac:dyDescent="0.3">
      <c r="A105" s="468"/>
      <c r="B105" s="469"/>
      <c r="D105" s="2"/>
      <c r="E105" s="456"/>
      <c r="F105" s="456"/>
      <c r="G105" s="459"/>
      <c r="H105" s="459"/>
      <c r="I105" s="459"/>
      <c r="J105" s="7"/>
      <c r="K105" s="456"/>
      <c r="O105" s="456"/>
      <c r="P105" s="459"/>
      <c r="Q105" s="459"/>
      <c r="R105" s="459"/>
      <c r="S105" s="7"/>
      <c r="T105" s="456"/>
      <c r="X105" s="456"/>
      <c r="Y105" s="577"/>
    </row>
    <row r="106" spans="1:25" s="462" customFormat="1" ht="12" x14ac:dyDescent="0.3">
      <c r="A106" s="468"/>
      <c r="B106" s="469"/>
      <c r="D106" s="2"/>
      <c r="E106" s="456"/>
      <c r="F106" s="456"/>
      <c r="O106" s="456"/>
      <c r="X106" s="456"/>
      <c r="Y106" s="577"/>
    </row>
    <row r="107" spans="1:25" s="462" customFormat="1" ht="12" x14ac:dyDescent="0.3">
      <c r="A107" s="468"/>
      <c r="B107" s="469"/>
      <c r="D107" s="2"/>
      <c r="E107" s="456"/>
      <c r="F107" s="456"/>
      <c r="O107" s="456"/>
      <c r="X107" s="456"/>
      <c r="Y107" s="577"/>
    </row>
    <row r="108" spans="1:25" s="462" customFormat="1" ht="12" x14ac:dyDescent="0.3">
      <c r="A108" s="468"/>
      <c r="B108" s="469"/>
      <c r="D108" s="2"/>
      <c r="E108" s="456"/>
      <c r="F108" s="456"/>
      <c r="O108" s="456"/>
      <c r="X108" s="456"/>
      <c r="Y108" s="577"/>
    </row>
    <row r="109" spans="1:25" s="462" customFormat="1" ht="12" x14ac:dyDescent="0.3">
      <c r="A109" s="468"/>
      <c r="B109" s="469"/>
      <c r="D109" s="2"/>
      <c r="E109" s="456"/>
      <c r="F109" s="456"/>
      <c r="O109" s="456"/>
      <c r="X109" s="456"/>
      <c r="Y109" s="577"/>
    </row>
    <row r="110" spans="1:25" s="462" customFormat="1" ht="12" x14ac:dyDescent="0.3">
      <c r="A110" s="468"/>
      <c r="B110" s="469"/>
      <c r="D110" s="2"/>
      <c r="E110" s="456"/>
      <c r="F110" s="456"/>
      <c r="O110" s="456"/>
      <c r="X110" s="456"/>
      <c r="Y110" s="577"/>
    </row>
    <row r="111" spans="1:25" s="462" customFormat="1" ht="12" x14ac:dyDescent="0.3">
      <c r="A111" s="468"/>
      <c r="B111" s="469"/>
      <c r="D111" s="2"/>
      <c r="E111" s="456"/>
      <c r="F111" s="456"/>
      <c r="O111" s="456"/>
      <c r="X111" s="456"/>
      <c r="Y111" s="577"/>
    </row>
    <row r="112" spans="1:25" s="462" customFormat="1" ht="12" x14ac:dyDescent="0.3">
      <c r="A112" s="468"/>
      <c r="B112" s="469"/>
      <c r="D112" s="2"/>
      <c r="E112" s="456"/>
      <c r="F112" s="456"/>
      <c r="O112" s="456"/>
      <c r="X112" s="456"/>
      <c r="Y112" s="577"/>
    </row>
  </sheetData>
  <mergeCells count="24">
    <mergeCell ref="P1:W1"/>
    <mergeCell ref="P4:S4"/>
    <mergeCell ref="U4:W4"/>
    <mergeCell ref="Y4:Y5"/>
    <mergeCell ref="P5:S5"/>
    <mergeCell ref="U5:W5"/>
    <mergeCell ref="G1:N1"/>
    <mergeCell ref="G4:J4"/>
    <mergeCell ref="L4:N4"/>
    <mergeCell ref="G5:J5"/>
    <mergeCell ref="L5:N5"/>
    <mergeCell ref="A71:A80"/>
    <mergeCell ref="A82:A99"/>
    <mergeCell ref="G7:H7"/>
    <mergeCell ref="J7:J8"/>
    <mergeCell ref="L7:N7"/>
    <mergeCell ref="A10:A31"/>
    <mergeCell ref="G10:H10"/>
    <mergeCell ref="A33:A69"/>
    <mergeCell ref="P7:Q7"/>
    <mergeCell ref="S7:S8"/>
    <mergeCell ref="U7:W7"/>
    <mergeCell ref="P10:Q10"/>
    <mergeCell ref="P33:Q33"/>
  </mergeCells>
  <hyperlinks>
    <hyperlink ref="I10" r:id="rId1" xr:uid="{DBF5D189-224C-4480-86E5-AD92308B12F4}"/>
    <hyperlink ref="M10" r:id="rId2" xr:uid="{640A06EB-C023-4BBF-86AF-FC3039B8DAEE}"/>
    <hyperlink ref="V10" r:id="rId3" xr:uid="{2585C8D5-FC3A-48A9-AAA9-923062A9714B}"/>
    <hyperlink ref="R10" r:id="rId4" xr:uid="{819713CB-3B8E-4E10-809C-451247001C8E}"/>
    <hyperlink ref="P11" r:id="rId5" xr:uid="{E5619284-D7FD-4182-8C69-5AA9F222D30C}"/>
    <hyperlink ref="Q11" r:id="rId6" xr:uid="{99536A12-9C9C-4DAD-B723-3880F513D367}"/>
    <hyperlink ref="U11" r:id="rId7" xr:uid="{FBD8C9C9-9ABB-4D52-A0F4-11972EC8615A}"/>
  </hyperlinks>
  <pageMargins left="0.23622047244094491" right="0.23622047244094491" top="0.35433070866141736" bottom="0.35433070866141736" header="0.31496062992125984" footer="0.31496062992125984"/>
  <pageSetup paperSize="9" scale="47" orientation="portrait" horizontalDpi="4294967293" verticalDpi="4294967293" r:id="rId8"/>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2DA7-4CDB-48C1-A85E-BCD0FD3C9AFC}">
  <sheetPr>
    <pageSetUpPr fitToPage="1"/>
  </sheetPr>
  <dimension ref="A1:Y117"/>
  <sheetViews>
    <sheetView topLeftCell="M1" zoomScale="80" zoomScaleNormal="80" zoomScalePageLayoutView="93" workbookViewId="0">
      <selection activeCell="Z1" sqref="Z1:Z1048576"/>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6" width="1.6328125" style="1" customWidth="1"/>
    <col min="7" max="9" width="21.6328125" style="6" customWidth="1"/>
    <col min="10" max="10" width="8.6328125" style="7" customWidth="1"/>
    <col min="11" max="11" width="1.6328125" style="1" customWidth="1"/>
    <col min="12" max="12" width="21.6328125" customWidth="1"/>
    <col min="13" max="13" width="23" customWidth="1"/>
    <col min="14" max="14" width="21.6328125" customWidth="1"/>
    <col min="15" max="15" width="1.6328125" style="1" customWidth="1"/>
    <col min="16" max="18" width="21.6328125" style="6" customWidth="1"/>
    <col min="19" max="19" width="8.6328125" style="7" customWidth="1"/>
    <col min="20" max="20" width="1.6328125" style="1" customWidth="1"/>
    <col min="21" max="21" width="21.6328125" customWidth="1"/>
    <col min="22" max="22" width="23" customWidth="1"/>
    <col min="23" max="23" width="21.6328125" customWidth="1"/>
    <col min="24" max="24" width="1.6328125" style="1" customWidth="1"/>
    <col min="25" max="25" width="55" customWidth="1"/>
  </cols>
  <sheetData>
    <row r="1" spans="1:25" ht="31" x14ac:dyDescent="0.7">
      <c r="F1"/>
      <c r="G1" s="9471" t="s">
        <v>398</v>
      </c>
      <c r="H1" s="9472"/>
      <c r="I1" s="9472"/>
      <c r="J1" s="9472"/>
      <c r="K1" s="9472"/>
      <c r="L1" s="9472"/>
      <c r="M1" s="9472"/>
      <c r="N1" s="9473"/>
      <c r="O1"/>
      <c r="P1" s="9115" t="s">
        <v>399</v>
      </c>
      <c r="Q1" s="9116"/>
      <c r="R1" s="9116"/>
      <c r="S1" s="9116"/>
      <c r="T1" s="9116"/>
      <c r="U1" s="9116"/>
      <c r="V1" s="9116"/>
      <c r="W1" s="9117"/>
      <c r="X1"/>
    </row>
    <row r="2" spans="1:25" ht="21" x14ac:dyDescent="0.5">
      <c r="B2" s="1" t="s">
        <v>9</v>
      </c>
      <c r="C2" s="578" t="s">
        <v>4716</v>
      </c>
    </row>
    <row r="3" spans="1:25" ht="21" x14ac:dyDescent="0.5">
      <c r="C3" s="578" t="s">
        <v>290</v>
      </c>
    </row>
    <row r="4" spans="1:25" s="8" customFormat="1" ht="15.25" customHeight="1" x14ac:dyDescent="0.35">
      <c r="D4" s="579"/>
      <c r="G4" s="9130" t="s">
        <v>4526</v>
      </c>
      <c r="H4" s="9131"/>
      <c r="I4" s="9131"/>
      <c r="J4" s="9132"/>
      <c r="L4" s="9130" t="s">
        <v>402</v>
      </c>
      <c r="M4" s="9131"/>
      <c r="N4" s="9132"/>
      <c r="P4" s="9130" t="s">
        <v>4526</v>
      </c>
      <c r="Q4" s="9131"/>
      <c r="R4" s="9131"/>
      <c r="S4" s="9132"/>
      <c r="U4" s="9130" t="s">
        <v>402</v>
      </c>
      <c r="V4" s="9131"/>
      <c r="W4" s="9132"/>
      <c r="Y4" s="9180" t="s">
        <v>404</v>
      </c>
    </row>
    <row r="5" spans="1:25" x14ac:dyDescent="0.35">
      <c r="B5" s="1" t="s">
        <v>406</v>
      </c>
      <c r="C5" s="11">
        <v>2012</v>
      </c>
      <c r="G5" s="9138">
        <v>2018</v>
      </c>
      <c r="H5" s="9139"/>
      <c r="I5" s="9139"/>
      <c r="J5" s="9140"/>
      <c r="K5" s="12"/>
      <c r="L5" s="9138">
        <v>2019</v>
      </c>
      <c r="M5" s="9139"/>
      <c r="N5" s="9140"/>
      <c r="P5" s="9138">
        <v>2019</v>
      </c>
      <c r="Q5" s="9139"/>
      <c r="R5" s="9139"/>
      <c r="S5" s="9140"/>
      <c r="T5" s="12"/>
      <c r="U5" s="9138">
        <v>2020</v>
      </c>
      <c r="V5" s="9139"/>
      <c r="W5" s="9140"/>
      <c r="Y5" s="9181"/>
    </row>
    <row r="6" spans="1:25" x14ac:dyDescent="0.35">
      <c r="C6"/>
      <c r="L6" s="14"/>
      <c r="M6" s="14"/>
      <c r="U6" s="14"/>
      <c r="V6" s="14"/>
      <c r="Y6" s="6"/>
    </row>
    <row r="7" spans="1:25" ht="12.75" customHeight="1" x14ac:dyDescent="0.35">
      <c r="B7" s="1" t="s">
        <v>101</v>
      </c>
      <c r="C7" s="15" t="s">
        <v>4527</v>
      </c>
      <c r="D7" s="2" t="s">
        <v>417</v>
      </c>
      <c r="G7" s="9173" t="s">
        <v>1914</v>
      </c>
      <c r="H7" s="9173"/>
      <c r="I7" s="16"/>
      <c r="J7" s="9147" t="s">
        <v>419</v>
      </c>
      <c r="L7" s="9149" t="s">
        <v>1914</v>
      </c>
      <c r="M7" s="9150"/>
      <c r="N7" s="9151"/>
      <c r="P7" s="9173" t="s">
        <v>1914</v>
      </c>
      <c r="Q7" s="9173"/>
      <c r="R7" s="16"/>
      <c r="S7" s="9147" t="s">
        <v>419</v>
      </c>
      <c r="U7" s="9149" t="s">
        <v>1914</v>
      </c>
      <c r="V7" s="9150"/>
      <c r="W7" s="9151"/>
      <c r="Y7" s="18"/>
    </row>
    <row r="8" spans="1:25" x14ac:dyDescent="0.35">
      <c r="B8" s="1" t="s">
        <v>420</v>
      </c>
      <c r="C8" s="19" t="s">
        <v>589</v>
      </c>
      <c r="G8" s="20" t="s">
        <v>424</v>
      </c>
      <c r="H8" s="20" t="s">
        <v>96</v>
      </c>
      <c r="I8" s="22" t="s">
        <v>425</v>
      </c>
      <c r="J8" s="9148"/>
      <c r="L8" s="21" t="s">
        <v>748</v>
      </c>
      <c r="M8" s="22" t="s">
        <v>425</v>
      </c>
      <c r="N8" s="20" t="s">
        <v>96</v>
      </c>
      <c r="P8" s="20" t="s">
        <v>424</v>
      </c>
      <c r="Q8" s="20" t="s">
        <v>96</v>
      </c>
      <c r="R8" s="22" t="s">
        <v>425</v>
      </c>
      <c r="S8" s="9148"/>
      <c r="U8" s="21" t="s">
        <v>748</v>
      </c>
      <c r="V8" s="22" t="s">
        <v>425</v>
      </c>
      <c r="W8" s="20" t="s">
        <v>96</v>
      </c>
      <c r="Y8" s="24"/>
    </row>
    <row r="9" spans="1:25" x14ac:dyDescent="0.35">
      <c r="C9"/>
      <c r="E9"/>
      <c r="F9"/>
      <c r="G9"/>
      <c r="H9"/>
      <c r="I9"/>
      <c r="J9" s="25"/>
      <c r="K9"/>
      <c r="O9"/>
      <c r="P9"/>
      <c r="Q9"/>
      <c r="R9"/>
      <c r="S9" s="25"/>
      <c r="T9"/>
      <c r="X9"/>
    </row>
    <row r="10" spans="1:25" ht="44.75" customHeight="1" x14ac:dyDescent="0.35">
      <c r="A10" s="9167" t="s">
        <v>426</v>
      </c>
      <c r="B10" s="27"/>
      <c r="C10" s="28" t="s">
        <v>427</v>
      </c>
      <c r="D10" s="580" t="s">
        <v>428</v>
      </c>
      <c r="E10" s="30"/>
      <c r="F10" s="33"/>
      <c r="G10" s="9155" t="s">
        <v>4717</v>
      </c>
      <c r="H10" s="9156"/>
      <c r="I10" s="3375" t="s">
        <v>4718</v>
      </c>
      <c r="J10" s="32"/>
      <c r="K10" s="33"/>
      <c r="L10" s="850" t="s">
        <v>4719</v>
      </c>
      <c r="M10" s="3375" t="s">
        <v>4718</v>
      </c>
      <c r="N10" s="850" t="s">
        <v>4720</v>
      </c>
      <c r="O10" s="33"/>
      <c r="P10" s="9155" t="s">
        <v>4721</v>
      </c>
      <c r="Q10" s="9156"/>
      <c r="R10" s="35" t="s">
        <v>4718</v>
      </c>
      <c r="S10" s="32"/>
      <c r="T10" s="33"/>
      <c r="U10" s="850" t="s">
        <v>4722</v>
      </c>
      <c r="V10" s="35" t="s">
        <v>4718</v>
      </c>
      <c r="W10" s="850" t="s">
        <v>4723</v>
      </c>
      <c r="X10" s="33"/>
      <c r="Y10" s="39"/>
    </row>
    <row r="11" spans="1:25" s="1256" customFormat="1" ht="12.75" customHeight="1" x14ac:dyDescent="0.35">
      <c r="A11" s="9168"/>
      <c r="B11" s="7305" t="s">
        <v>451</v>
      </c>
      <c r="C11" s="7306"/>
      <c r="D11" s="1253"/>
      <c r="E11" s="1254"/>
      <c r="F11" s="1261"/>
      <c r="G11" s="7307" t="s">
        <v>4724</v>
      </c>
      <c r="H11" s="7308"/>
      <c r="I11" s="7309"/>
      <c r="J11" s="1259"/>
      <c r="K11" s="1260"/>
      <c r="L11" s="7307"/>
      <c r="M11" s="7309"/>
      <c r="N11" s="7308" t="s">
        <v>4725</v>
      </c>
      <c r="O11" s="1261"/>
      <c r="P11" s="8128" t="s">
        <v>4679</v>
      </c>
      <c r="Q11" s="8129" t="s">
        <v>1031</v>
      </c>
      <c r="R11" s="7309"/>
      <c r="S11" s="1259"/>
      <c r="T11" s="1260"/>
      <c r="U11" s="7307" t="s">
        <v>4726</v>
      </c>
      <c r="V11" s="7309"/>
      <c r="W11" s="7308" t="s">
        <v>4725</v>
      </c>
      <c r="X11" s="1261"/>
      <c r="Y11" s="1266"/>
    </row>
    <row r="12" spans="1:25" s="1256" customFormat="1" x14ac:dyDescent="0.35">
      <c r="A12" s="9168"/>
      <c r="B12" s="1267"/>
      <c r="C12" s="1268" t="s">
        <v>456</v>
      </c>
      <c r="D12" s="1269">
        <v>1</v>
      </c>
      <c r="E12" s="1270"/>
      <c r="F12" s="1276"/>
      <c r="G12" s="1272" t="s">
        <v>4727</v>
      </c>
      <c r="H12" s="1273">
        <v>61857.482000000004</v>
      </c>
      <c r="I12" s="7310"/>
      <c r="J12" s="476"/>
      <c r="K12" s="1275"/>
      <c r="L12" s="1277">
        <f>138982.771486-L13</f>
        <v>136800.06393200002</v>
      </c>
      <c r="M12" s="7310"/>
      <c r="N12" s="1278">
        <f>65177.565062*12/9-N13</f>
        <v>85803.218385333326</v>
      </c>
      <c r="O12" s="1276"/>
      <c r="P12" s="1272">
        <v>113727.731503</v>
      </c>
      <c r="Q12" s="1273">
        <v>79012.293495999998</v>
      </c>
      <c r="R12" s="7310" t="s">
        <v>4728</v>
      </c>
      <c r="S12" s="64"/>
      <c r="T12" s="1275"/>
      <c r="U12" s="1277">
        <f>64904.787001+21042</f>
        <v>85946.78700099999</v>
      </c>
      <c r="V12" s="7310" t="s">
        <v>4729</v>
      </c>
      <c r="W12" s="1278">
        <f>(49133.691036+0)*12/9</f>
        <v>65511.588047999991</v>
      </c>
      <c r="X12" s="1276"/>
      <c r="Y12" s="1281"/>
    </row>
    <row r="13" spans="1:25" s="1256" customFormat="1" x14ac:dyDescent="0.35">
      <c r="A13" s="9168"/>
      <c r="B13" s="1267"/>
      <c r="C13" s="1282" t="s">
        <v>462</v>
      </c>
      <c r="D13" s="1269"/>
      <c r="E13" s="1270"/>
      <c r="F13" s="1276"/>
      <c r="G13" s="1272"/>
      <c r="H13" s="1273"/>
      <c r="I13" s="7310"/>
      <c r="J13" s="476"/>
      <c r="K13" s="1275"/>
      <c r="L13" s="1277">
        <v>2182.7075540000001</v>
      </c>
      <c r="M13" s="7310"/>
      <c r="N13" s="1278">
        <f>825.151273*12/9</f>
        <v>1100.2016973333332</v>
      </c>
      <c r="O13" s="1276"/>
      <c r="P13" s="1272"/>
      <c r="Q13" s="1273"/>
      <c r="R13" s="7310"/>
      <c r="S13" s="64"/>
      <c r="T13" s="1275"/>
      <c r="U13" s="1277">
        <v>12551.332082000001</v>
      </c>
      <c r="V13" s="7310" t="s">
        <v>2501</v>
      </c>
      <c r="W13" s="1278">
        <f>0*12/9</f>
        <v>0</v>
      </c>
      <c r="X13" s="1276"/>
      <c r="Y13" s="1281"/>
    </row>
    <row r="14" spans="1:25" s="1256" customFormat="1" x14ac:dyDescent="0.35">
      <c r="A14" s="9168"/>
      <c r="B14" s="1283"/>
      <c r="C14" s="1284" t="s">
        <v>3267</v>
      </c>
      <c r="D14" s="1269"/>
      <c r="E14" s="1270"/>
      <c r="F14" s="1276"/>
      <c r="G14" s="1272"/>
      <c r="H14" s="1273"/>
      <c r="I14" s="7310"/>
      <c r="J14" s="476"/>
      <c r="K14" s="1275"/>
      <c r="L14" s="1272"/>
      <c r="M14" s="7310"/>
      <c r="N14" s="1278"/>
      <c r="O14" s="1276"/>
      <c r="P14" s="1272"/>
      <c r="Q14" s="1273"/>
      <c r="R14" s="7310"/>
      <c r="S14" s="64"/>
      <c r="T14" s="1275"/>
      <c r="U14" s="1272"/>
      <c r="V14" s="7310"/>
      <c r="W14" s="1278"/>
      <c r="X14" s="1276"/>
      <c r="Y14" s="1281"/>
    </row>
    <row r="15" spans="1:25" s="1256" customFormat="1" x14ac:dyDescent="0.35">
      <c r="A15" s="9168"/>
      <c r="B15" s="1287"/>
      <c r="C15" s="1288" t="s">
        <v>466</v>
      </c>
      <c r="D15" s="1289"/>
      <c r="E15" s="1270"/>
      <c r="F15" s="1276"/>
      <c r="G15" s="7311">
        <f t="shared" ref="G15:H15" si="0">SUM(G12:G14)</f>
        <v>0</v>
      </c>
      <c r="H15" s="7312">
        <f t="shared" si="0"/>
        <v>61857.482000000004</v>
      </c>
      <c r="I15" s="3000"/>
      <c r="J15" s="476"/>
      <c r="K15" s="1286"/>
      <c r="L15" s="7311">
        <f>SUM(L12:L14)</f>
        <v>138982.77148600001</v>
      </c>
      <c r="M15" s="3000"/>
      <c r="N15" s="7313">
        <f>SUM(N12:N14)</f>
        <v>86903.420082666664</v>
      </c>
      <c r="O15" s="1276"/>
      <c r="P15" s="7311">
        <f t="shared" ref="P15:Q15" si="1">SUM(P12:P14)</f>
        <v>113727.731503</v>
      </c>
      <c r="Q15" s="7312">
        <f t="shared" si="1"/>
        <v>79012.293495999998</v>
      </c>
      <c r="R15" s="3000"/>
      <c r="S15" s="64"/>
      <c r="T15" s="1286"/>
      <c r="U15" s="7311">
        <f>SUM(U12:U14)</f>
        <v>98498.119082999998</v>
      </c>
      <c r="V15" s="3000" t="s">
        <v>4730</v>
      </c>
      <c r="W15" s="7313">
        <f>SUM(W12:W14)</f>
        <v>65511.588047999991</v>
      </c>
      <c r="X15" s="1276"/>
      <c r="Y15" s="1297"/>
    </row>
    <row r="16" spans="1:25" x14ac:dyDescent="0.35">
      <c r="A16" s="9168"/>
      <c r="B16" s="100" t="s">
        <v>468</v>
      </c>
      <c r="C16" s="49"/>
      <c r="D16" s="585"/>
      <c r="E16" s="43"/>
      <c r="F16" s="43"/>
      <c r="G16" s="107"/>
      <c r="H16" s="106"/>
      <c r="I16" s="7309"/>
      <c r="J16" s="104"/>
      <c r="K16" s="43"/>
      <c r="L16" s="107"/>
      <c r="M16" s="7309"/>
      <c r="N16" s="105"/>
      <c r="O16" s="43"/>
      <c r="P16" s="107"/>
      <c r="Q16" s="106"/>
      <c r="R16" s="7309"/>
      <c r="S16" s="104"/>
      <c r="T16" s="43"/>
      <c r="U16" s="107"/>
      <c r="V16" s="7309"/>
      <c r="W16" s="105"/>
      <c r="X16" s="43"/>
      <c r="Y16" s="18"/>
    </row>
    <row r="17" spans="1:25" s="1256" customFormat="1" x14ac:dyDescent="0.35">
      <c r="A17" s="9168"/>
      <c r="B17" s="1299"/>
      <c r="C17" s="1300" t="s">
        <v>470</v>
      </c>
      <c r="D17" s="1269"/>
      <c r="E17" s="1270"/>
      <c r="F17" s="1270"/>
      <c r="G17" s="595">
        <f>94685.558726-G20</f>
        <v>92635.558726000003</v>
      </c>
      <c r="H17" s="594">
        <v>33219.013555999998</v>
      </c>
      <c r="I17" s="7310"/>
      <c r="J17" s="476"/>
      <c r="K17" s="1270"/>
      <c r="L17" s="595">
        <v>71268.014435999998</v>
      </c>
      <c r="M17" s="1279"/>
      <c r="N17" s="596">
        <f>36708.395145*12/9</f>
        <v>48944.526860000005</v>
      </c>
      <c r="O17" s="1270"/>
      <c r="P17" s="595">
        <f>132210.492692-P21</f>
        <v>102790.492692</v>
      </c>
      <c r="Q17" s="594">
        <f>57378.987922-Q21</f>
        <v>42423.555834999999</v>
      </c>
      <c r="R17" s="7310" t="s">
        <v>4731</v>
      </c>
      <c r="S17" s="64"/>
      <c r="T17" s="1270"/>
      <c r="U17" s="595">
        <f>66884.171754-U20</f>
        <v>65333.667131999995</v>
      </c>
      <c r="V17" s="1279"/>
      <c r="W17" s="596">
        <f>(32522.903684-W20)*12/9</f>
        <v>43363.871578666665</v>
      </c>
      <c r="X17" s="1270"/>
      <c r="Y17" s="1281"/>
    </row>
    <row r="18" spans="1:25" s="1256" customFormat="1" x14ac:dyDescent="0.35">
      <c r="A18" s="9168"/>
      <c r="B18" s="1299"/>
      <c r="C18" s="1300" t="s">
        <v>4732</v>
      </c>
      <c r="D18" s="1269"/>
      <c r="E18" s="1270"/>
      <c r="F18" s="1270"/>
      <c r="G18" s="595">
        <v>152884.76556500001</v>
      </c>
      <c r="H18" s="594">
        <v>21883.418480820001</v>
      </c>
      <c r="I18" s="1279"/>
      <c r="J18" s="476"/>
      <c r="K18" s="1270"/>
      <c r="L18" s="595">
        <v>99054.727826999995</v>
      </c>
      <c r="M18" s="1279"/>
      <c r="N18" s="596">
        <f>11605.946785*12/9</f>
        <v>15474.595713333334</v>
      </c>
      <c r="O18" s="1270"/>
      <c r="P18" s="595">
        <v>113981.589137</v>
      </c>
      <c r="Q18" s="594">
        <v>37739.277732000002</v>
      </c>
      <c r="R18" s="1279" t="s">
        <v>4733</v>
      </c>
      <c r="S18" s="64"/>
      <c r="T18" s="1270"/>
      <c r="U18" s="595">
        <v>97510.226062999995</v>
      </c>
      <c r="V18" s="1279" t="s">
        <v>1831</v>
      </c>
      <c r="W18" s="596">
        <f>7298.326638*12/9</f>
        <v>9731.1021839999994</v>
      </c>
      <c r="X18" s="1270"/>
      <c r="Y18" s="1281"/>
    </row>
    <row r="19" spans="1:25" s="1256" customFormat="1" x14ac:dyDescent="0.35">
      <c r="A19" s="9168"/>
      <c r="B19" s="1299"/>
      <c r="C19" s="1305"/>
      <c r="D19" s="1269"/>
      <c r="E19" s="1270"/>
      <c r="F19" s="1270"/>
      <c r="G19" s="595"/>
      <c r="H19" s="594"/>
      <c r="I19" s="1279"/>
      <c r="J19" s="476"/>
      <c r="K19" s="1270"/>
      <c r="L19" s="595"/>
      <c r="M19" s="1279"/>
      <c r="N19" s="596"/>
      <c r="O19" s="1270"/>
      <c r="P19" s="595"/>
      <c r="Q19" s="594"/>
      <c r="R19" s="1279"/>
      <c r="S19" s="64"/>
      <c r="T19" s="1270"/>
      <c r="U19" s="595"/>
      <c r="V19" s="1279"/>
      <c r="W19" s="596"/>
      <c r="X19" s="1270"/>
      <c r="Y19" s="1281"/>
    </row>
    <row r="20" spans="1:25" s="1256" customFormat="1" x14ac:dyDescent="0.35">
      <c r="A20" s="9168"/>
      <c r="B20" s="1299"/>
      <c r="C20" s="1305" t="s">
        <v>3282</v>
      </c>
      <c r="D20" s="1269"/>
      <c r="E20" s="1270"/>
      <c r="F20" s="1270"/>
      <c r="G20" s="595">
        <v>2050</v>
      </c>
      <c r="H20" s="594"/>
      <c r="I20" s="1309"/>
      <c r="J20" s="476"/>
      <c r="K20" s="1270"/>
      <c r="L20" s="595"/>
      <c r="M20" s="1279"/>
      <c r="N20" s="596"/>
      <c r="O20" s="1270"/>
      <c r="P20" s="595"/>
      <c r="Q20" s="594"/>
      <c r="R20" s="1309"/>
      <c r="S20" s="64"/>
      <c r="T20" s="1270"/>
      <c r="U20" s="595">
        <v>1550.5046219999999</v>
      </c>
      <c r="V20" s="1279" t="s">
        <v>1831</v>
      </c>
      <c r="W20" s="596">
        <v>0</v>
      </c>
      <c r="X20" s="1270"/>
      <c r="Y20" s="1281"/>
    </row>
    <row r="21" spans="1:25" s="1256" customFormat="1" x14ac:dyDescent="0.35">
      <c r="A21" s="9168"/>
      <c r="B21" s="1299"/>
      <c r="C21" s="1305" t="s">
        <v>3285</v>
      </c>
      <c r="D21" s="1269"/>
      <c r="E21" s="1270"/>
      <c r="F21" s="1270"/>
      <c r="G21" s="595"/>
      <c r="H21" s="594"/>
      <c r="I21" s="1303"/>
      <c r="J21" s="476"/>
      <c r="K21" s="1270"/>
      <c r="L21" s="595"/>
      <c r="M21" s="1279"/>
      <c r="N21" s="596"/>
      <c r="O21" s="1270"/>
      <c r="P21" s="595">
        <f>6370+23050</f>
        <v>29420</v>
      </c>
      <c r="Q21" s="594">
        <f>230.743057+14724.68903</f>
        <v>14955.432086999999</v>
      </c>
      <c r="R21" s="1303" t="s">
        <v>4734</v>
      </c>
      <c r="S21" s="64"/>
      <c r="T21" s="1270"/>
      <c r="U21" s="595"/>
      <c r="V21" s="1279"/>
      <c r="W21" s="596"/>
      <c r="X21" s="1270"/>
      <c r="Y21" s="1281"/>
    </row>
    <row r="22" spans="1:25" s="1256" customFormat="1" x14ac:dyDescent="0.35">
      <c r="A22" s="9168"/>
      <c r="B22" s="1310"/>
      <c r="C22" s="1311" t="s">
        <v>479</v>
      </c>
      <c r="D22" s="1289"/>
      <c r="E22" s="1270"/>
      <c r="F22" s="1270"/>
      <c r="G22" s="7314">
        <f t="shared" ref="G22:H22" si="2">SUM(G17:G21)</f>
        <v>247570.32429100003</v>
      </c>
      <c r="H22" s="4674">
        <f t="shared" si="2"/>
        <v>55102.432036819999</v>
      </c>
      <c r="I22" s="1315"/>
      <c r="J22" s="476"/>
      <c r="K22" s="1270"/>
      <c r="L22" s="7314">
        <f>SUM(L17:L21)</f>
        <v>170322.74226299999</v>
      </c>
      <c r="M22" s="1315"/>
      <c r="N22" s="7315">
        <f>SUM(N17:N21)</f>
        <v>64419.122573333341</v>
      </c>
      <c r="O22" s="1270"/>
      <c r="P22" s="7314">
        <f t="shared" ref="P22:Q22" si="3">SUM(P17:P21)</f>
        <v>246192.081829</v>
      </c>
      <c r="Q22" s="4674">
        <f t="shared" si="3"/>
        <v>95118.265653999988</v>
      </c>
      <c r="R22" s="1315"/>
      <c r="S22" s="64"/>
      <c r="T22" s="1270"/>
      <c r="U22" s="7314">
        <f>SUM(U17:U21)</f>
        <v>164394.39781699999</v>
      </c>
      <c r="V22" s="1315" t="s">
        <v>784</v>
      </c>
      <c r="W22" s="7315">
        <f>SUM(W17:W21)</f>
        <v>53094.973762666661</v>
      </c>
      <c r="X22" s="1270"/>
      <c r="Y22" s="1297"/>
    </row>
    <row r="23" spans="1:25" s="1256" customFormat="1" x14ac:dyDescent="0.35">
      <c r="A23" s="9168"/>
      <c r="B23" s="1316" t="s">
        <v>480</v>
      </c>
      <c r="C23" s="1317"/>
      <c r="D23" s="1318"/>
      <c r="E23" s="1319"/>
      <c r="F23" s="1319"/>
      <c r="G23" s="1326"/>
      <c r="H23" s="1127"/>
      <c r="I23" s="1126"/>
      <c r="J23" s="7009"/>
      <c r="K23" s="1319"/>
      <c r="L23" s="1326"/>
      <c r="M23" s="7309"/>
      <c r="N23" s="1325"/>
      <c r="O23" s="1319"/>
      <c r="P23" s="1326"/>
      <c r="Q23" s="1127"/>
      <c r="R23" s="1126"/>
      <c r="S23" s="1323"/>
      <c r="T23" s="1319"/>
      <c r="U23" s="1326"/>
      <c r="V23" s="7309"/>
      <c r="W23" s="1325"/>
      <c r="X23" s="1319"/>
      <c r="Y23" s="1266"/>
    </row>
    <row r="24" spans="1:25" s="1256" customFormat="1" x14ac:dyDescent="0.35">
      <c r="A24" s="9168"/>
      <c r="B24" s="1299"/>
      <c r="C24" s="1300" t="s">
        <v>483</v>
      </c>
      <c r="D24" s="1269"/>
      <c r="E24" s="1270"/>
      <c r="F24" s="1270"/>
      <c r="G24" s="607">
        <v>28653.178981000001</v>
      </c>
      <c r="H24" s="594">
        <v>22211.243901000002</v>
      </c>
      <c r="I24" s="7310"/>
      <c r="J24" s="476"/>
      <c r="K24" s="1270"/>
      <c r="L24" s="607">
        <v>32006.136180000001</v>
      </c>
      <c r="M24" s="1309"/>
      <c r="N24" s="596">
        <f>20618.12891*12/9</f>
        <v>27490.838546666666</v>
      </c>
      <c r="O24" s="1270"/>
      <c r="P24" s="607">
        <v>39384.465005999999</v>
      </c>
      <c r="Q24" s="594">
        <v>30980.339957</v>
      </c>
      <c r="R24" s="7310" t="s">
        <v>4735</v>
      </c>
      <c r="S24" s="64"/>
      <c r="T24" s="1270"/>
      <c r="U24" s="607">
        <v>37722.960273999997</v>
      </c>
      <c r="V24" s="1309" t="s">
        <v>1935</v>
      </c>
      <c r="W24" s="596">
        <f>25051.388871*12/9</f>
        <v>33401.851827999999</v>
      </c>
      <c r="X24" s="1270"/>
      <c r="Y24" s="1281"/>
    </row>
    <row r="25" spans="1:25" s="1256" customFormat="1" x14ac:dyDescent="0.35">
      <c r="A25" s="9168"/>
      <c r="B25" s="1299"/>
      <c r="C25" s="1300" t="s">
        <v>489</v>
      </c>
      <c r="D25" s="1269"/>
      <c r="E25" s="1270"/>
      <c r="F25" s="1270"/>
      <c r="G25" s="607"/>
      <c r="H25" s="594"/>
      <c r="I25" s="1309"/>
      <c r="J25" s="476"/>
      <c r="K25" s="1270"/>
      <c r="L25" s="607"/>
      <c r="M25" s="1309"/>
      <c r="N25" s="596"/>
      <c r="O25" s="1270"/>
      <c r="P25" s="607"/>
      <c r="Q25" s="594"/>
      <c r="R25" s="1309"/>
      <c r="S25" s="64"/>
      <c r="T25" s="1270"/>
      <c r="U25" s="607"/>
      <c r="V25" s="1309"/>
      <c r="W25" s="596"/>
      <c r="X25" s="1270"/>
      <c r="Y25" s="1281"/>
    </row>
    <row r="26" spans="1:25" s="1256" customFormat="1" x14ac:dyDescent="0.35">
      <c r="A26" s="9168"/>
      <c r="B26" s="1299"/>
      <c r="C26" s="1300" t="s">
        <v>490</v>
      </c>
      <c r="D26" s="1269">
        <v>2</v>
      </c>
      <c r="E26" s="1270"/>
      <c r="F26" s="1270"/>
      <c r="G26" s="607">
        <v>7278.1288260000001</v>
      </c>
      <c r="H26" s="594">
        <v>2207.58889</v>
      </c>
      <c r="I26" s="1309"/>
      <c r="J26" s="476"/>
      <c r="K26" s="1270"/>
      <c r="L26" s="607">
        <v>7278.3288259999999</v>
      </c>
      <c r="M26" s="1309"/>
      <c r="N26" s="596">
        <f>1862.988477*12/9</f>
        <v>2483.9846360000001</v>
      </c>
      <c r="O26" s="1270"/>
      <c r="P26" s="607">
        <f>L26</f>
        <v>7278.3288259999999</v>
      </c>
      <c r="Q26" s="594">
        <v>2507.014917</v>
      </c>
      <c r="R26" s="1309" t="s">
        <v>4736</v>
      </c>
      <c r="S26" s="64"/>
      <c r="T26" s="1270"/>
      <c r="U26" s="607">
        <f>1531.668214+2900.967234</f>
        <v>4432.635448</v>
      </c>
      <c r="V26" s="1309" t="s">
        <v>4737</v>
      </c>
      <c r="W26" s="596">
        <f>(629.451413+1192.175895)*12/9</f>
        <v>2428.8364106666668</v>
      </c>
      <c r="X26" s="1270"/>
      <c r="Y26" s="1281"/>
    </row>
    <row r="27" spans="1:25" s="1256" customFormat="1" x14ac:dyDescent="0.35">
      <c r="A27" s="9168"/>
      <c r="B27" s="1299"/>
      <c r="C27" s="1333" t="s">
        <v>497</v>
      </c>
      <c r="D27" s="1334"/>
      <c r="E27" s="1270"/>
      <c r="F27" s="1270"/>
      <c r="G27" s="607"/>
      <c r="H27" s="613"/>
      <c r="I27" s="645"/>
      <c r="J27" s="476"/>
      <c r="K27" s="1270"/>
      <c r="L27" s="607"/>
      <c r="M27" s="645"/>
      <c r="N27" s="596"/>
      <c r="O27" s="1270"/>
      <c r="P27" s="607"/>
      <c r="Q27" s="613"/>
      <c r="R27" s="645"/>
      <c r="S27" s="64"/>
      <c r="T27" s="1270"/>
      <c r="U27" s="607"/>
      <c r="V27" s="645"/>
      <c r="W27" s="596"/>
      <c r="X27" s="1270"/>
      <c r="Y27" s="1281"/>
    </row>
    <row r="28" spans="1:25" x14ac:dyDescent="0.35">
      <c r="A28" s="9168"/>
      <c r="B28" s="128"/>
      <c r="C28" s="129" t="s">
        <v>499</v>
      </c>
      <c r="D28" s="209"/>
      <c r="F28" s="176"/>
      <c r="G28" s="6564">
        <f t="shared" ref="G28:H28" si="4">G26/G24</f>
        <v>0.25400772566374386</v>
      </c>
      <c r="H28" s="6127">
        <f t="shared" si="4"/>
        <v>9.9390601437707379E-2</v>
      </c>
      <c r="I28" s="497"/>
      <c r="J28" s="7011"/>
      <c r="K28" s="1338"/>
      <c r="L28" s="6564">
        <f>L26/L24</f>
        <v>0.22740416978379549</v>
      </c>
      <c r="M28" s="497"/>
      <c r="N28" s="496">
        <f>N26/N24</f>
        <v>9.0356815845516997E-2</v>
      </c>
      <c r="O28" s="176"/>
      <c r="P28" s="1339">
        <f t="shared" ref="P28:Q28" si="5">P26/P24</f>
        <v>0.18480202346004163</v>
      </c>
      <c r="Q28" s="1340">
        <f t="shared" si="5"/>
        <v>8.0922769746222256E-2</v>
      </c>
      <c r="R28" s="177"/>
      <c r="S28" s="1137"/>
      <c r="T28" s="1338"/>
      <c r="U28" s="1339">
        <f>U26/U24</f>
        <v>0.11750497351755106</v>
      </c>
      <c r="V28" s="177"/>
      <c r="W28" s="175">
        <f>W26/W24</f>
        <v>7.2715621372544059E-2</v>
      </c>
      <c r="X28" s="176"/>
      <c r="Y28" s="24"/>
    </row>
    <row r="29" spans="1:25" x14ac:dyDescent="0.35">
      <c r="A29" s="9168"/>
      <c r="B29" s="139" t="s">
        <v>501</v>
      </c>
      <c r="C29" s="49"/>
      <c r="D29" s="184"/>
      <c r="G29" s="3364"/>
      <c r="H29" s="839"/>
      <c r="I29" s="839"/>
      <c r="J29" s="840"/>
      <c r="K29" s="170"/>
      <c r="L29" s="3364"/>
      <c r="M29" s="839"/>
      <c r="N29" s="1342"/>
      <c r="P29" s="192"/>
      <c r="Q29" s="190"/>
      <c r="R29" s="190"/>
      <c r="S29" s="191"/>
      <c r="T29" s="170"/>
      <c r="U29" s="192"/>
      <c r="V29" s="190"/>
      <c r="W29" s="1342"/>
      <c r="Y29" s="617"/>
    </row>
    <row r="30" spans="1:25" x14ac:dyDescent="0.35">
      <c r="A30" s="9168"/>
      <c r="B30" s="196"/>
      <c r="C30" s="121" t="s">
        <v>470</v>
      </c>
      <c r="D30" s="197"/>
      <c r="G30" s="117"/>
      <c r="H30" s="201"/>
      <c r="I30" s="3368"/>
      <c r="J30" s="835"/>
      <c r="K30" s="170"/>
      <c r="L30" s="117"/>
      <c r="M30" s="3368"/>
      <c r="N30" s="1344"/>
      <c r="P30" s="117"/>
      <c r="Q30" s="201"/>
      <c r="R30" s="1343"/>
      <c r="S30" s="203"/>
      <c r="T30" s="170"/>
      <c r="U30" s="117"/>
      <c r="V30" s="1343"/>
      <c r="W30" s="1344"/>
      <c r="Y30" s="625"/>
    </row>
    <row r="31" spans="1:25" x14ac:dyDescent="0.35">
      <c r="A31" s="9169"/>
      <c r="B31" s="207"/>
      <c r="C31" s="208" t="s">
        <v>1116</v>
      </c>
      <c r="D31" s="209"/>
      <c r="G31" s="217"/>
      <c r="H31" s="215"/>
      <c r="I31" s="1159"/>
      <c r="J31" s="484"/>
      <c r="L31" s="217"/>
      <c r="M31" s="1159"/>
      <c r="N31" s="1346"/>
      <c r="P31" s="217"/>
      <c r="Q31" s="215"/>
      <c r="R31" s="1159"/>
      <c r="S31" s="133"/>
      <c r="U31" s="217"/>
      <c r="V31" s="1159"/>
      <c r="W31" s="1346"/>
      <c r="Y31" s="625"/>
    </row>
    <row r="32" spans="1:25" x14ac:dyDescent="0.35">
      <c r="A32" s="220"/>
      <c r="B32" s="220"/>
      <c r="G32" s="106"/>
      <c r="H32" s="106"/>
      <c r="I32" s="106"/>
      <c r="J32" s="221"/>
      <c r="L32" s="106"/>
      <c r="M32" s="106"/>
      <c r="P32" s="106"/>
      <c r="Q32" s="106"/>
      <c r="R32" s="106"/>
      <c r="S32" s="221"/>
      <c r="U32" s="106"/>
      <c r="V32" s="106"/>
    </row>
    <row r="33" spans="1:25" ht="27.75" customHeight="1" x14ac:dyDescent="0.35">
      <c r="A33" s="9167" t="s">
        <v>503</v>
      </c>
      <c r="B33" s="27"/>
      <c r="C33" s="28" t="s">
        <v>427</v>
      </c>
      <c r="D33" s="585" t="s">
        <v>428</v>
      </c>
      <c r="E33" s="30"/>
      <c r="F33" s="30"/>
      <c r="G33" s="36"/>
      <c r="H33" s="36"/>
      <c r="I33" s="4645"/>
      <c r="J33" s="1347"/>
      <c r="K33" s="223"/>
      <c r="L33" s="36"/>
      <c r="M33" s="4645"/>
      <c r="N33" s="1348"/>
      <c r="O33" s="30"/>
      <c r="P33" s="36"/>
      <c r="Q33" s="36"/>
      <c r="R33" s="225"/>
      <c r="S33" s="1347"/>
      <c r="T33" s="223"/>
      <c r="U33" s="36"/>
      <c r="V33" s="225"/>
      <c r="W33" s="1348"/>
      <c r="X33" s="30"/>
      <c r="Y33" s="39"/>
    </row>
    <row r="34" spans="1:25" x14ac:dyDescent="0.35">
      <c r="A34" s="9168"/>
      <c r="B34" s="141" t="s">
        <v>514</v>
      </c>
      <c r="C34"/>
      <c r="D34" s="184"/>
      <c r="E34" s="143"/>
      <c r="F34" s="143"/>
      <c r="G34" s="7338" t="s">
        <v>4738</v>
      </c>
      <c r="H34" s="103"/>
      <c r="I34" s="231"/>
      <c r="J34" s="228"/>
      <c r="K34" s="143"/>
      <c r="L34" s="230"/>
      <c r="M34" s="231"/>
      <c r="N34" s="1349"/>
      <c r="O34" s="143"/>
      <c r="P34" s="7338"/>
      <c r="Q34" s="103"/>
      <c r="R34" s="231"/>
      <c r="S34" s="228"/>
      <c r="T34" s="143"/>
      <c r="U34" s="230"/>
      <c r="V34" s="231"/>
      <c r="W34" s="1349"/>
      <c r="X34" s="143"/>
      <c r="Y34" s="18"/>
    </row>
    <row r="35" spans="1:25" x14ac:dyDescent="0.35">
      <c r="A35" s="9168"/>
      <c r="B35" s="240"/>
      <c r="C35" s="240" t="s">
        <v>4739</v>
      </c>
      <c r="D35" s="197"/>
      <c r="G35" s="1353">
        <f>G52+4370.6389</f>
        <v>15800.375953000001</v>
      </c>
      <c r="H35" s="624">
        <f>H52+426.39189</f>
        <v>9786.0851591300016</v>
      </c>
      <c r="I35" s="1161" t="s">
        <v>4740</v>
      </c>
      <c r="J35" s="7012"/>
      <c r="K35" s="1270"/>
      <c r="L35" s="1353">
        <f>470.866917+62.446397+1008.691061+2274.532838+206.215112+293.058469+32.42096+921.846511+389.181189+389.181189+3858.972585+98.952579+20.255156+318.898318+240.936607+230.459879+1160.853118+350.158698+57.986245+2386.6089+100+30+50+20+50+10+25.5+50+20+7.5+12+25+5+40+400+135+30+25</f>
        <v>15807.522727999996</v>
      </c>
      <c r="M35" s="1161" t="s">
        <v>4741</v>
      </c>
      <c r="N35" s="623">
        <f>((249.940599+0+12.630313+703.575701+1651.910878+0+160.671192+18.565757+555.71016+209.627151+262.826637+2706.707368+53.387848+13.142784+224.029947+180.702455+0+129.937829+709.194252+105.934882+107.436989+42.647071)+(5.40786+19.066765+24.6+80.193529+0+0+0+0.795+0+0+0+203.55912))*12/9</f>
        <v>11242.936116000001</v>
      </c>
      <c r="P35" s="1353">
        <f>P52+(4386.6089+20+50+7.5+25.5+25+135+200+564.100648+100+600+24.6+10+50+30+20+50+25+40+25+30)+(2386.608+24.6)</f>
        <v>22576.234241499998</v>
      </c>
      <c r="Q35" s="624">
        <f>Q52+(4.8)+(408.117369)</f>
        <v>12225.048374</v>
      </c>
      <c r="R35" s="1161" t="s">
        <v>4742</v>
      </c>
      <c r="S35" s="1356"/>
      <c r="T35" s="1270"/>
      <c r="U35" s="1353">
        <f>(5600.439045+4906.337055)+(1269.60872+311.6)</f>
        <v>12087.98482</v>
      </c>
      <c r="V35" s="1161" t="s">
        <v>4743</v>
      </c>
      <c r="W35" s="623">
        <f>((4488.974631+3320.657271)+(330.786871+20.57))*12/9</f>
        <v>10881.318363999999</v>
      </c>
      <c r="Y35" s="26"/>
    </row>
    <row r="36" spans="1:25" x14ac:dyDescent="0.35">
      <c r="A36" s="9168"/>
      <c r="B36" s="240"/>
      <c r="C36" s="240" t="s">
        <v>4744</v>
      </c>
      <c r="D36" s="197"/>
      <c r="G36" s="1353">
        <v>37594.562858999998</v>
      </c>
      <c r="H36" s="624">
        <v>4899.8159025000004</v>
      </c>
      <c r="I36" s="1161" t="s">
        <v>4745</v>
      </c>
      <c r="J36" s="7018"/>
      <c r="K36" s="1270"/>
      <c r="L36" s="1353">
        <v>28323.716564999999</v>
      </c>
      <c r="M36" s="1161"/>
      <c r="N36" s="623">
        <f>4342.501702*12/9</f>
        <v>5790.0022693333331</v>
      </c>
      <c r="P36" s="1353">
        <f>27198.24166+11489.823891</f>
        <v>38688.065551</v>
      </c>
      <c r="Q36" s="624">
        <f>7647.596857+647.586794</f>
        <v>8295.1836510000012</v>
      </c>
      <c r="R36" s="1161" t="s">
        <v>4746</v>
      </c>
      <c r="S36" s="1355"/>
      <c r="T36" s="1270"/>
      <c r="U36" s="1353">
        <f>15748.682807+5993.984732</f>
        <v>21742.667538999998</v>
      </c>
      <c r="V36" s="1161" t="s">
        <v>4747</v>
      </c>
      <c r="W36" s="623">
        <f>(2509.973688+466.396953)*12/9</f>
        <v>3968.4941880000001</v>
      </c>
      <c r="Y36" s="26"/>
    </row>
    <row r="37" spans="1:25" x14ac:dyDescent="0.35">
      <c r="A37" s="9168"/>
      <c r="B37" s="241"/>
      <c r="C37" s="639"/>
      <c r="D37" s="197"/>
      <c r="G37" s="1154"/>
      <c r="H37" s="1358"/>
      <c r="I37"/>
      <c r="J37" s="7018"/>
      <c r="K37" s="1270"/>
      <c r="L37" s="1353"/>
      <c r="N37" s="608"/>
      <c r="P37" s="1154"/>
      <c r="Q37" s="1358"/>
      <c r="R37"/>
      <c r="S37" s="1355"/>
      <c r="T37" s="1270"/>
      <c r="U37" s="1353"/>
      <c r="W37" s="608"/>
      <c r="Y37" s="26"/>
    </row>
    <row r="38" spans="1:25" x14ac:dyDescent="0.35">
      <c r="A38" s="9168"/>
      <c r="B38" s="241"/>
      <c r="C38" s="639"/>
      <c r="D38" s="197"/>
      <c r="G38" s="612"/>
      <c r="H38" s="1358"/>
      <c r="I38" s="645"/>
      <c r="J38" s="7018"/>
      <c r="K38" s="1270"/>
      <c r="L38" s="612"/>
      <c r="M38" s="645"/>
      <c r="N38" s="614"/>
      <c r="P38" s="612"/>
      <c r="Q38" s="1358"/>
      <c r="R38" s="645"/>
      <c r="S38" s="1355"/>
      <c r="T38" s="1270"/>
      <c r="U38" s="612"/>
      <c r="V38" s="645"/>
      <c r="W38" s="614"/>
      <c r="Y38" s="26"/>
    </row>
    <row r="39" spans="1:25" x14ac:dyDescent="0.35">
      <c r="A39" s="9168"/>
      <c r="B39" s="141" t="s">
        <v>531</v>
      </c>
      <c r="C39"/>
      <c r="D39" s="197"/>
      <c r="E39" s="143"/>
      <c r="F39" s="143"/>
      <c r="G39" s="1361"/>
      <c r="H39" s="645"/>
      <c r="I39" s="645"/>
      <c r="J39" s="1363"/>
      <c r="K39" s="1321"/>
      <c r="L39" s="1361"/>
      <c r="M39" s="645"/>
      <c r="N39" s="619"/>
      <c r="O39" s="143"/>
      <c r="P39" s="1361"/>
      <c r="Q39" s="645"/>
      <c r="R39" s="645"/>
      <c r="S39" s="1363"/>
      <c r="T39" s="1321"/>
      <c r="U39" s="1361"/>
      <c r="V39" s="645"/>
      <c r="W39" s="619"/>
      <c r="X39" s="143"/>
      <c r="Y39" s="18"/>
    </row>
    <row r="40" spans="1:25" x14ac:dyDescent="0.35">
      <c r="A40" s="9168"/>
      <c r="B40" s="240"/>
      <c r="C40" s="240" t="s">
        <v>532</v>
      </c>
      <c r="D40" s="197"/>
      <c r="G40" s="1353"/>
      <c r="H40" s="624"/>
      <c r="I40" s="645"/>
      <c r="J40" s="7013"/>
      <c r="K40" s="1270"/>
      <c r="L40" s="1353"/>
      <c r="M40" s="645"/>
      <c r="N40" s="623"/>
      <c r="P40" s="1353"/>
      <c r="Q40" s="624"/>
      <c r="R40" s="645"/>
      <c r="S40" s="1274"/>
      <c r="T40" s="1270"/>
      <c r="U40" s="1353"/>
      <c r="V40" s="645"/>
      <c r="W40" s="623"/>
      <c r="Y40" s="26"/>
    </row>
    <row r="41" spans="1:25" x14ac:dyDescent="0.35">
      <c r="A41" s="9168"/>
      <c r="B41" s="240"/>
      <c r="C41" s="240" t="s">
        <v>533</v>
      </c>
      <c r="D41" s="197"/>
      <c r="G41" s="1154"/>
      <c r="H41" s="624"/>
      <c r="I41" s="645"/>
      <c r="J41" s="7013"/>
      <c r="K41" s="1270"/>
      <c r="L41" s="1154"/>
      <c r="M41" s="645"/>
      <c r="N41" s="608"/>
      <c r="P41" s="1154"/>
      <c r="Q41" s="624"/>
      <c r="R41" s="645"/>
      <c r="S41" s="1274"/>
      <c r="T41" s="1270"/>
      <c r="U41" s="1154"/>
      <c r="V41" s="645"/>
      <c r="W41" s="608"/>
      <c r="Y41" s="26"/>
    </row>
    <row r="42" spans="1:25" x14ac:dyDescent="0.35">
      <c r="A42" s="9168"/>
      <c r="B42" s="250"/>
      <c r="C42" s="250" t="s">
        <v>534</v>
      </c>
      <c r="D42" s="209"/>
      <c r="G42" s="1156"/>
      <c r="H42" s="605"/>
      <c r="I42" s="1200"/>
      <c r="J42" s="7014"/>
      <c r="K42" s="1270"/>
      <c r="L42" s="1156"/>
      <c r="M42" s="1200"/>
      <c r="N42" s="604"/>
      <c r="P42" s="1156"/>
      <c r="Q42" s="605"/>
      <c r="R42" s="1200"/>
      <c r="S42" s="1313"/>
      <c r="T42" s="1270"/>
      <c r="U42" s="1156"/>
      <c r="V42" s="1200"/>
      <c r="W42" s="604"/>
      <c r="Y42" s="24"/>
    </row>
    <row r="43" spans="1:25" x14ac:dyDescent="0.35">
      <c r="A43" s="9168"/>
      <c r="B43" s="141" t="s">
        <v>535</v>
      </c>
      <c r="C43" s="141"/>
      <c r="D43" s="197"/>
      <c r="E43" s="143"/>
      <c r="F43" s="143"/>
      <c r="G43" s="1368"/>
      <c r="H43" s="653"/>
      <c r="I43" s="7016"/>
      <c r="J43" s="7015"/>
      <c r="K43" s="1321"/>
      <c r="L43" s="1368"/>
      <c r="M43" s="1425"/>
      <c r="N43" s="1370"/>
      <c r="O43" s="143"/>
      <c r="P43" s="1368"/>
      <c r="Q43" s="653"/>
      <c r="R43" s="7016"/>
      <c r="S43" s="1367"/>
      <c r="T43" s="1321"/>
      <c r="U43" s="1368"/>
      <c r="V43" s="1425"/>
      <c r="W43" s="1370"/>
      <c r="X43" s="143"/>
      <c r="Y43" s="26"/>
    </row>
    <row r="44" spans="1:25" ht="24.75" customHeight="1" x14ac:dyDescent="0.35">
      <c r="A44" s="9168"/>
      <c r="B44" s="240"/>
      <c r="C44" s="240" t="s">
        <v>532</v>
      </c>
      <c r="D44" s="197"/>
      <c r="G44" s="1353"/>
      <c r="H44" s="624"/>
      <c r="I44" s="1161"/>
      <c r="J44" s="7013"/>
      <c r="K44" s="1270"/>
      <c r="L44" s="1353"/>
      <c r="M44" s="1161"/>
      <c r="N44" s="623"/>
      <c r="P44" s="1353"/>
      <c r="Q44" s="624"/>
      <c r="R44" s="1161"/>
      <c r="S44" s="1274"/>
      <c r="T44" s="1270"/>
      <c r="U44" s="1353">
        <f>U54+50</f>
        <v>498.35125599999998</v>
      </c>
      <c r="V44" s="645" t="s">
        <v>4748</v>
      </c>
      <c r="W44" s="623">
        <f>W54+0</f>
        <v>335.33605599999999</v>
      </c>
      <c r="Y44" s="257"/>
    </row>
    <row r="45" spans="1:25" x14ac:dyDescent="0.35">
      <c r="A45" s="9168"/>
      <c r="B45" s="240"/>
      <c r="C45" s="240" t="s">
        <v>533</v>
      </c>
      <c r="D45" s="197"/>
      <c r="G45" s="1353"/>
      <c r="H45" s="624"/>
      <c r="I45" s="1161"/>
      <c r="J45" s="7013"/>
      <c r="K45" s="1270"/>
      <c r="L45" s="1353"/>
      <c r="M45" s="1161"/>
      <c r="N45" s="623"/>
      <c r="P45" s="1353"/>
      <c r="Q45" s="624"/>
      <c r="R45" s="1161"/>
      <c r="S45" s="1274"/>
      <c r="T45" s="1270"/>
      <c r="U45" s="1353"/>
      <c r="V45" s="1161"/>
      <c r="W45" s="623"/>
      <c r="Y45" s="26"/>
    </row>
    <row r="46" spans="1:25" x14ac:dyDescent="0.35">
      <c r="A46" s="9168"/>
      <c r="B46" s="240"/>
      <c r="C46" s="240" t="s">
        <v>534</v>
      </c>
      <c r="D46" s="197"/>
      <c r="G46" s="1353"/>
      <c r="H46" s="624"/>
      <c r="I46" s="1161"/>
      <c r="J46" s="7013"/>
      <c r="K46" s="1270"/>
      <c r="L46" s="1353"/>
      <c r="M46" s="1161"/>
      <c r="N46" s="623"/>
      <c r="P46" s="1353"/>
      <c r="Q46" s="624"/>
      <c r="R46" s="1161"/>
      <c r="S46" s="1274"/>
      <c r="T46" s="1270"/>
      <c r="U46" s="1353"/>
      <c r="V46" s="1161"/>
      <c r="W46" s="623"/>
      <c r="Y46" s="26"/>
    </row>
    <row r="47" spans="1:25" x14ac:dyDescent="0.35">
      <c r="A47" s="9168"/>
      <c r="B47" s="240"/>
      <c r="C47" s="240" t="s">
        <v>536</v>
      </c>
      <c r="D47" s="197"/>
      <c r="G47" s="1353"/>
      <c r="H47" s="624"/>
      <c r="I47" s="1161"/>
      <c r="J47" s="7013"/>
      <c r="K47" s="1270"/>
      <c r="L47" s="1353"/>
      <c r="M47" s="1161"/>
      <c r="N47" s="623"/>
      <c r="P47" s="1353"/>
      <c r="Q47" s="624"/>
      <c r="R47" s="1161"/>
      <c r="S47" s="1274"/>
      <c r="T47" s="1270"/>
      <c r="U47" s="1353"/>
      <c r="V47" s="1161"/>
      <c r="W47" s="623"/>
      <c r="Y47" s="26"/>
    </row>
    <row r="48" spans="1:25" x14ac:dyDescent="0.35">
      <c r="A48" s="9168"/>
      <c r="B48" s="240"/>
      <c r="C48" s="240" t="s">
        <v>537</v>
      </c>
      <c r="D48" s="197"/>
      <c r="G48" s="1353"/>
      <c r="H48" s="624"/>
      <c r="I48" s="1161"/>
      <c r="J48" s="7013"/>
      <c r="K48" s="1270"/>
      <c r="L48" s="1353"/>
      <c r="M48" s="1161"/>
      <c r="N48" s="623"/>
      <c r="P48" s="1353"/>
      <c r="Q48" s="624"/>
      <c r="R48" s="1161"/>
      <c r="S48" s="1274"/>
      <c r="T48" s="1270"/>
      <c r="U48" s="1353"/>
      <c r="V48" s="1161"/>
      <c r="W48" s="623"/>
      <c r="Y48" s="26"/>
    </row>
    <row r="49" spans="1:25" x14ac:dyDescent="0.35">
      <c r="A49" s="9168"/>
      <c r="B49" s="240"/>
      <c r="C49" s="240" t="s">
        <v>538</v>
      </c>
      <c r="D49" s="197"/>
      <c r="G49" s="1373"/>
      <c r="H49" s="624"/>
      <c r="I49" s="645"/>
      <c r="J49" s="7013"/>
      <c r="K49" s="1270"/>
      <c r="L49" s="1373"/>
      <c r="M49" s="645"/>
      <c r="N49" s="1374"/>
      <c r="P49" s="1373"/>
      <c r="Q49" s="624"/>
      <c r="R49" s="645"/>
      <c r="S49" s="1274"/>
      <c r="T49" s="1270"/>
      <c r="U49" s="1373"/>
      <c r="V49" s="645"/>
      <c r="W49" s="1374"/>
      <c r="Y49" s="26"/>
    </row>
    <row r="50" spans="1:25" x14ac:dyDescent="0.35">
      <c r="A50" s="9168"/>
      <c r="B50" s="241"/>
      <c r="C50" s="241" t="s">
        <v>539</v>
      </c>
      <c r="D50" s="209"/>
      <c r="G50" s="612"/>
      <c r="H50" s="624"/>
      <c r="I50" s="1200"/>
      <c r="J50" s="7013"/>
      <c r="K50" s="1270"/>
      <c r="L50" s="612"/>
      <c r="M50" s="1200"/>
      <c r="N50" s="614"/>
      <c r="P50" s="612"/>
      <c r="Q50" s="624"/>
      <c r="R50" s="1200"/>
      <c r="S50" s="1274"/>
      <c r="T50" s="1270"/>
      <c r="U50" s="612"/>
      <c r="V50" s="1200"/>
      <c r="W50" s="614"/>
      <c r="Y50" s="26"/>
    </row>
    <row r="51" spans="1:25" x14ac:dyDescent="0.35">
      <c r="A51" s="9168"/>
      <c r="B51" s="271" t="s">
        <v>540</v>
      </c>
      <c r="C51" s="271"/>
      <c r="D51" s="184"/>
      <c r="E51" s="141"/>
      <c r="F51" s="141"/>
      <c r="G51" s="7338" t="s">
        <v>4738</v>
      </c>
      <c r="H51" s="653"/>
      <c r="I51" s="645"/>
      <c r="J51" s="7017"/>
      <c r="K51" s="1319"/>
      <c r="L51" s="1375"/>
      <c r="M51" s="645"/>
      <c r="N51" s="1377"/>
      <c r="O51" s="141"/>
      <c r="P51" s="7338"/>
      <c r="Q51" s="653"/>
      <c r="R51" s="645"/>
      <c r="S51" s="1376"/>
      <c r="T51" s="1319"/>
      <c r="U51" s="1375"/>
      <c r="V51" s="645" t="s">
        <v>4749</v>
      </c>
      <c r="W51" s="1377"/>
      <c r="X51" s="141"/>
      <c r="Y51" s="18"/>
    </row>
    <row r="52" spans="1:25" x14ac:dyDescent="0.35">
      <c r="A52" s="9168"/>
      <c r="B52" s="240"/>
      <c r="C52" s="240" t="s">
        <v>532</v>
      </c>
      <c r="D52" s="197"/>
      <c r="G52" s="1353">
        <v>11429.737053000001</v>
      </c>
      <c r="H52" s="624">
        <v>9359.6932691300008</v>
      </c>
      <c r="I52" s="1161"/>
      <c r="J52" s="7018"/>
      <c r="K52" s="1270"/>
      <c r="L52" s="1353">
        <f>470.866917+62.446397+1008.691061+2274.532838+206.215112+293.058469+32.42096+921.846511+389.181189+389.181189+3858.972585+98.952579+20.255156+318.898318+240.936607+230.459879+1160.853118+350.158698+57.986245</f>
        <v>12385.913827999997</v>
      </c>
      <c r="M52" s="1161"/>
      <c r="N52" s="623">
        <f>(249.940599+0+12.630313+703.575701+1651.910878+0+160.671192+18.565757+555.71016+209.627151+262.826637+2706.707368+53.387848+13.142784+224.029947+180.702455+0+129.937829+709.194252+105.934882+107.436989+42.647071)*12/9</f>
        <v>10798.106417333333</v>
      </c>
      <c r="P52" s="1353">
        <f>(470.866917+3858.8972585+293.058469+921.846522+318.898318+105.934882+240.936607+764.100648+62.446397+1510.853118+18.120878+32.42096+2468.032868+1062.691061+206.215112+439.181189+58.986245+230.459879+332.010675+350.75869)</f>
        <v>13746.716693499999</v>
      </c>
      <c r="Q52" s="624">
        <f>(344.226638+3707.674777+264.329323+71.179336+842.71496+318.802209+16.370108+294.721287+788.743046+25.576276+946.104085+16.426611+24.779884+1961.023742+1025.73646+109.137934+358.047327+57.543898+222.635813+285.677275+130.680016)</f>
        <v>11812.131005000001</v>
      </c>
      <c r="R52" s="1161" t="s">
        <v>4750</v>
      </c>
      <c r="S52" s="1355"/>
      <c r="T52" s="1270"/>
      <c r="U52" s="1353">
        <v>5600.4390450000001</v>
      </c>
      <c r="V52" s="1161" t="s">
        <v>551</v>
      </c>
      <c r="W52" s="623">
        <f>4488.974631*12/9</f>
        <v>5985.2995080000001</v>
      </c>
      <c r="Y52" s="26"/>
    </row>
    <row r="53" spans="1:25" x14ac:dyDescent="0.35">
      <c r="A53" s="9168"/>
      <c r="B53" s="240"/>
      <c r="C53" s="240" t="s">
        <v>533</v>
      </c>
      <c r="D53" s="197"/>
      <c r="G53" s="1154"/>
      <c r="H53" s="624"/>
      <c r="I53" s="1161"/>
      <c r="J53" s="7013"/>
      <c r="K53" s="1270"/>
      <c r="L53" s="1154"/>
      <c r="M53" s="645"/>
      <c r="N53" s="608"/>
      <c r="P53" s="1154"/>
      <c r="Q53" s="624"/>
      <c r="R53" s="1161"/>
      <c r="S53" s="1274"/>
      <c r="T53" s="1270"/>
      <c r="U53" s="1154">
        <v>4906.337055</v>
      </c>
      <c r="V53" s="645" t="s">
        <v>4751</v>
      </c>
      <c r="W53" s="608">
        <f>3320.657271*12/9</f>
        <v>4427.543028</v>
      </c>
      <c r="Y53" s="26"/>
    </row>
    <row r="54" spans="1:25" x14ac:dyDescent="0.35">
      <c r="A54" s="9168"/>
      <c r="B54" s="240"/>
      <c r="C54" s="240" t="s">
        <v>534</v>
      </c>
      <c r="D54" s="197"/>
      <c r="G54" s="612"/>
      <c r="H54" s="624"/>
      <c r="I54" s="645"/>
      <c r="J54" s="7013"/>
      <c r="K54" s="1270"/>
      <c r="L54" s="612"/>
      <c r="M54" s="645"/>
      <c r="N54" s="614"/>
      <c r="P54" s="612"/>
      <c r="Q54" s="624"/>
      <c r="R54" s="645"/>
      <c r="S54" s="1274"/>
      <c r="T54" s="1270"/>
      <c r="U54" s="612">
        <v>448.35125599999998</v>
      </c>
      <c r="V54" s="645" t="s">
        <v>4752</v>
      </c>
      <c r="W54" s="614">
        <f>251.502042*12/9</f>
        <v>335.33605599999999</v>
      </c>
      <c r="Y54" s="26"/>
    </row>
    <row r="55" spans="1:25" x14ac:dyDescent="0.35">
      <c r="A55" s="9168"/>
      <c r="B55" s="240"/>
      <c r="C55" s="240" t="s">
        <v>536</v>
      </c>
      <c r="D55" s="197"/>
      <c r="G55" s="612"/>
      <c r="H55" s="624"/>
      <c r="I55" s="1161"/>
      <c r="J55" s="7013"/>
      <c r="K55" s="1270"/>
      <c r="L55" s="612"/>
      <c r="M55" s="1161"/>
      <c r="N55" s="614"/>
      <c r="P55" s="612"/>
      <c r="Q55" s="624"/>
      <c r="R55" s="1161"/>
      <c r="S55" s="1274"/>
      <c r="T55" s="1270"/>
      <c r="U55" s="612"/>
      <c r="V55" s="1161"/>
      <c r="W55" s="614"/>
      <c r="Y55" s="26"/>
    </row>
    <row r="56" spans="1:25" x14ac:dyDescent="0.35">
      <c r="A56" s="9168"/>
      <c r="B56" s="240"/>
      <c r="C56" s="240" t="s">
        <v>537</v>
      </c>
      <c r="D56" s="197"/>
      <c r="G56" s="612"/>
      <c r="H56" s="624"/>
      <c r="I56" s="1161"/>
      <c r="J56" s="7013"/>
      <c r="K56" s="1270"/>
      <c r="L56" s="612"/>
      <c r="M56" s="1161"/>
      <c r="N56" s="614"/>
      <c r="P56" s="612"/>
      <c r="Q56" s="624"/>
      <c r="R56" s="1161"/>
      <c r="S56" s="1274"/>
      <c r="T56" s="1270"/>
      <c r="U56" s="612"/>
      <c r="V56" s="1161"/>
      <c r="W56" s="614"/>
      <c r="Y56" s="26"/>
    </row>
    <row r="57" spans="1:25" x14ac:dyDescent="0.35">
      <c r="A57" s="9168"/>
      <c r="B57" s="240"/>
      <c r="C57" s="240" t="s">
        <v>538</v>
      </c>
      <c r="D57" s="197"/>
      <c r="G57" s="612"/>
      <c r="H57" s="624"/>
      <c r="I57" s="645"/>
      <c r="J57" s="7013"/>
      <c r="K57" s="1270"/>
      <c r="L57" s="612"/>
      <c r="M57" s="645"/>
      <c r="N57" s="614"/>
      <c r="P57" s="612"/>
      <c r="Q57" s="624"/>
      <c r="R57" s="645"/>
      <c r="S57" s="1274"/>
      <c r="T57" s="1270"/>
      <c r="U57" s="612"/>
      <c r="V57" s="645"/>
      <c r="W57" s="614"/>
      <c r="Y57" s="26"/>
    </row>
    <row r="58" spans="1:25" x14ac:dyDescent="0.35">
      <c r="A58" s="9168"/>
      <c r="B58" s="240"/>
      <c r="C58" s="240" t="s">
        <v>539</v>
      </c>
      <c r="D58" s="197"/>
      <c r="G58" s="612"/>
      <c r="H58" s="624"/>
      <c r="I58" s="645"/>
      <c r="J58" s="7013"/>
      <c r="K58" s="1270"/>
      <c r="L58" s="612"/>
      <c r="M58" s="645"/>
      <c r="N58" s="614"/>
      <c r="P58" s="612"/>
      <c r="Q58" s="624"/>
      <c r="R58" s="645"/>
      <c r="S58" s="1274"/>
      <c r="T58" s="1270"/>
      <c r="U58" s="612"/>
      <c r="V58" s="645"/>
      <c r="W58" s="614"/>
      <c r="Y58" s="26"/>
    </row>
    <row r="59" spans="1:25" x14ac:dyDescent="0.35">
      <c r="A59" s="9168"/>
      <c r="B59" s="250"/>
      <c r="C59" s="250" t="s">
        <v>704</v>
      </c>
      <c r="D59" s="209"/>
      <c r="G59" s="612"/>
      <c r="H59" s="624"/>
      <c r="I59" s="1200"/>
      <c r="J59" s="7014"/>
      <c r="K59" s="1270"/>
      <c r="L59" s="612"/>
      <c r="M59" s="1200"/>
      <c r="N59" s="614"/>
      <c r="P59" s="612"/>
      <c r="Q59" s="624"/>
      <c r="R59" s="1200"/>
      <c r="S59" s="1313"/>
      <c r="T59" s="1270"/>
      <c r="U59" s="612"/>
      <c r="V59" s="1200"/>
      <c r="W59" s="614"/>
      <c r="Y59" s="24"/>
    </row>
    <row r="60" spans="1:25" x14ac:dyDescent="0.35">
      <c r="A60" s="9168"/>
      <c r="B60" s="271" t="s">
        <v>552</v>
      </c>
      <c r="C60" s="271"/>
      <c r="D60" s="184"/>
      <c r="E60" s="143"/>
      <c r="F60" s="143"/>
      <c r="G60" s="1375"/>
      <c r="H60" s="653"/>
      <c r="I60" s="645"/>
      <c r="J60" s="1379"/>
      <c r="K60" s="1321"/>
      <c r="L60" s="1375"/>
      <c r="M60" s="645"/>
      <c r="N60" s="1377"/>
      <c r="O60" s="143"/>
      <c r="P60" s="1375"/>
      <c r="Q60" s="653"/>
      <c r="R60" s="645"/>
      <c r="S60" s="1379"/>
      <c r="T60" s="1321"/>
      <c r="U60" s="1375"/>
      <c r="V60" s="645"/>
      <c r="W60" s="1377"/>
      <c r="X60" s="143"/>
      <c r="Y60" s="18"/>
    </row>
    <row r="61" spans="1:25" x14ac:dyDescent="0.35">
      <c r="A61" s="9168"/>
      <c r="B61" s="272"/>
      <c r="C61" s="272" t="s">
        <v>980</v>
      </c>
      <c r="D61" s="197"/>
      <c r="G61" s="1154"/>
      <c r="H61" s="624"/>
      <c r="I61" s="1256"/>
      <c r="J61" s="7019"/>
      <c r="K61" s="1270"/>
      <c r="L61" s="1154"/>
      <c r="M61" s="1256"/>
      <c r="N61" s="608"/>
      <c r="P61" s="1154"/>
      <c r="Q61" s="624"/>
      <c r="R61" s="1256"/>
      <c r="S61" s="1380"/>
      <c r="T61" s="1270"/>
      <c r="U61" s="1154"/>
      <c r="V61" s="1256"/>
      <c r="W61" s="608"/>
      <c r="Y61" s="26"/>
    </row>
    <row r="62" spans="1:25" x14ac:dyDescent="0.35">
      <c r="A62" s="9168"/>
      <c r="B62" s="274"/>
      <c r="C62" s="275" t="s">
        <v>11</v>
      </c>
      <c r="D62" s="197"/>
      <c r="G62" s="1154"/>
      <c r="H62" s="624"/>
      <c r="I62" s="645"/>
      <c r="J62" s="7013"/>
      <c r="K62" s="1270"/>
      <c r="L62" s="1154"/>
      <c r="M62" s="645"/>
      <c r="N62" s="608"/>
      <c r="P62" s="1154"/>
      <c r="Q62" s="624"/>
      <c r="R62" s="645"/>
      <c r="S62" s="1274"/>
      <c r="T62" s="1270"/>
      <c r="U62" s="1154"/>
      <c r="V62" s="645"/>
      <c r="W62" s="608"/>
      <c r="Y62" s="26"/>
    </row>
    <row r="63" spans="1:25" x14ac:dyDescent="0.35">
      <c r="A63" s="9168"/>
      <c r="B63" s="274"/>
      <c r="C63" s="275" t="s">
        <v>1116</v>
      </c>
      <c r="D63" s="197"/>
      <c r="G63" s="612"/>
      <c r="H63" s="624"/>
      <c r="I63" s="645"/>
      <c r="J63" s="7013"/>
      <c r="K63" s="1270"/>
      <c r="L63" s="612"/>
      <c r="M63" s="645"/>
      <c r="N63" s="614"/>
      <c r="P63" s="612"/>
      <c r="Q63" s="624"/>
      <c r="R63" s="645"/>
      <c r="S63" s="1274"/>
      <c r="T63" s="1270"/>
      <c r="U63" s="612"/>
      <c r="V63" s="645"/>
      <c r="W63" s="614"/>
      <c r="Y63" s="26"/>
    </row>
    <row r="64" spans="1:25" x14ac:dyDescent="0.35">
      <c r="A64" s="9168"/>
      <c r="B64" s="277"/>
      <c r="C64" s="277" t="s">
        <v>555</v>
      </c>
      <c r="D64" s="209"/>
      <c r="G64" s="1383"/>
      <c r="H64" s="605"/>
      <c r="I64" s="7020"/>
      <c r="J64" s="7014"/>
      <c r="K64" s="1270"/>
      <c r="L64" s="1383"/>
      <c r="M64" s="7020"/>
      <c r="N64" s="1386"/>
      <c r="P64" s="1383"/>
      <c r="Q64" s="605"/>
      <c r="R64" s="1385"/>
      <c r="S64" s="1313"/>
      <c r="T64" s="1270"/>
      <c r="U64" s="1383"/>
      <c r="V64" s="1385"/>
      <c r="W64" s="1386"/>
      <c r="Y64" s="24"/>
    </row>
    <row r="65" spans="1:25" ht="15.25" customHeight="1" x14ac:dyDescent="0.35">
      <c r="A65" s="9168"/>
      <c r="B65" s="139" t="s">
        <v>556</v>
      </c>
      <c r="C65" s="908"/>
      <c r="D65" s="184"/>
      <c r="E65" s="143"/>
      <c r="F65" s="143"/>
      <c r="G65" s="1389"/>
      <c r="H65" s="1391"/>
      <c r="I65" s="645"/>
      <c r="J65" s="1392"/>
      <c r="K65" s="1270"/>
      <c r="L65" s="1389"/>
      <c r="M65" s="645"/>
      <c r="N65" s="645"/>
      <c r="O65" s="143"/>
      <c r="P65" s="1389"/>
      <c r="Q65" s="1391"/>
      <c r="R65" s="645"/>
      <c r="S65" s="1392"/>
      <c r="T65" s="1270"/>
      <c r="U65" s="1389"/>
      <c r="V65" s="645"/>
      <c r="W65" s="645"/>
      <c r="X65" s="143"/>
      <c r="Y65" s="18"/>
    </row>
    <row r="66" spans="1:25" x14ac:dyDescent="0.35">
      <c r="A66" s="9168"/>
      <c r="B66" s="1395"/>
      <c r="C66" s="1396" t="s">
        <v>532</v>
      </c>
      <c r="D66" s="197"/>
      <c r="G66" s="1277"/>
      <c r="H66" s="1406"/>
      <c r="I66" s="1404"/>
      <c r="J66" s="7021"/>
      <c r="K66" s="1270"/>
      <c r="L66" s="1277"/>
      <c r="M66" s="1404"/>
      <c r="N66" s="1407"/>
      <c r="P66" s="1277"/>
      <c r="Q66" s="1406"/>
      <c r="R66" s="1404"/>
      <c r="S66" s="1403"/>
      <c r="T66" s="1270"/>
      <c r="U66" s="1277"/>
      <c r="V66" s="1404"/>
      <c r="W66" s="1407"/>
      <c r="Y66" s="26"/>
    </row>
    <row r="67" spans="1:25" x14ac:dyDescent="0.35">
      <c r="A67" s="9168"/>
      <c r="B67" s="1395"/>
      <c r="C67" s="1396" t="s">
        <v>533</v>
      </c>
      <c r="D67" s="197"/>
      <c r="G67" s="1412"/>
      <c r="H67" s="1402"/>
      <c r="I67" s="645"/>
      <c r="J67" s="7021"/>
      <c r="K67" s="1270"/>
      <c r="L67" s="1412"/>
      <c r="M67" s="645"/>
      <c r="N67" s="1413"/>
      <c r="P67" s="1412"/>
      <c r="Q67" s="1402"/>
      <c r="R67" s="645"/>
      <c r="S67" s="1403"/>
      <c r="T67" s="1270"/>
      <c r="U67" s="1412"/>
      <c r="V67" s="645"/>
      <c r="W67" s="1413"/>
      <c r="Y67" s="26"/>
    </row>
    <row r="68" spans="1:25" x14ac:dyDescent="0.35">
      <c r="A68" s="9168"/>
      <c r="B68" s="1414"/>
      <c r="C68" s="1396" t="s">
        <v>534</v>
      </c>
      <c r="D68" s="197"/>
      <c r="G68" s="1412"/>
      <c r="H68" s="1402"/>
      <c r="I68" s="645"/>
      <c r="J68" s="7021"/>
      <c r="K68" s="1270"/>
      <c r="L68" s="1412"/>
      <c r="M68" s="645"/>
      <c r="N68" s="1413"/>
      <c r="P68" s="1412"/>
      <c r="Q68" s="1402"/>
      <c r="R68" s="645"/>
      <c r="S68" s="1403"/>
      <c r="T68" s="1270"/>
      <c r="U68" s="1412"/>
      <c r="V68" s="645"/>
      <c r="W68" s="1413"/>
      <c r="Y68" s="26"/>
    </row>
    <row r="69" spans="1:25" x14ac:dyDescent="0.35">
      <c r="A69" s="9169"/>
      <c r="B69" s="1415"/>
      <c r="C69" s="1416" t="s">
        <v>536</v>
      </c>
      <c r="D69" s="209"/>
      <c r="G69" s="1293"/>
      <c r="H69" s="1420"/>
      <c r="I69" s="1200"/>
      <c r="J69" s="7022"/>
      <c r="K69" s="1270"/>
      <c r="L69" s="1293"/>
      <c r="M69" s="1200"/>
      <c r="N69" s="1422"/>
      <c r="P69" s="1293"/>
      <c r="Q69" s="1420"/>
      <c r="R69" s="1200"/>
      <c r="S69" s="1421"/>
      <c r="T69" s="1270"/>
      <c r="U69" s="1293"/>
      <c r="V69" s="1200"/>
      <c r="W69" s="1422"/>
      <c r="Y69" s="24"/>
    </row>
    <row r="70" spans="1:25" x14ac:dyDescent="0.35">
      <c r="A70" s="310"/>
      <c r="B70" s="310"/>
      <c r="F70" s="645"/>
      <c r="G70" s="1425"/>
      <c r="H70" s="645"/>
      <c r="I70" s="645"/>
      <c r="J70" s="7023"/>
      <c r="K70" s="1270"/>
      <c r="L70" s="1425"/>
      <c r="M70" s="645"/>
      <c r="N70" s="645"/>
      <c r="O70" s="645"/>
      <c r="P70" s="1425"/>
      <c r="Q70" s="645"/>
      <c r="R70" s="645"/>
      <c r="S70" s="1424"/>
      <c r="T70" s="1270"/>
      <c r="U70" s="1425"/>
      <c r="V70" s="645"/>
      <c r="W70" s="645"/>
      <c r="X70" s="645"/>
    </row>
    <row r="71" spans="1:25" x14ac:dyDescent="0.35">
      <c r="A71" s="9226" t="s">
        <v>1114</v>
      </c>
      <c r="B71" s="317"/>
      <c r="C71" s="315" t="s">
        <v>3351</v>
      </c>
      <c r="D71" s="184"/>
      <c r="G71" s="320"/>
      <c r="H71" s="321"/>
      <c r="I71" s="1431"/>
      <c r="J71" s="7024"/>
      <c r="K71" s="1270"/>
      <c r="L71" s="320"/>
      <c r="M71" s="1431"/>
      <c r="N71" s="7316"/>
      <c r="P71" s="320"/>
      <c r="Q71" s="321"/>
      <c r="R71" s="1431"/>
      <c r="S71" s="1432"/>
      <c r="T71" s="1270"/>
      <c r="U71" s="320"/>
      <c r="V71" s="1431"/>
      <c r="W71" s="7316"/>
    </row>
    <row r="72" spans="1:25" x14ac:dyDescent="0.35">
      <c r="A72" s="9227"/>
      <c r="B72" s="325"/>
      <c r="C72" s="326" t="s">
        <v>3353</v>
      </c>
      <c r="D72" s="197"/>
      <c r="G72" s="1436"/>
      <c r="H72" s="340"/>
      <c r="I72" s="1161"/>
      <c r="J72" s="7317"/>
      <c r="K72" s="1270"/>
      <c r="L72" s="1436"/>
      <c r="M72" s="1161"/>
      <c r="N72" s="7318"/>
      <c r="P72" s="1436"/>
      <c r="Q72" s="340"/>
      <c r="R72" s="1161"/>
      <c r="S72" s="1438"/>
      <c r="T72" s="1270"/>
      <c r="U72" s="1436"/>
      <c r="V72" s="1161"/>
      <c r="W72" s="7318"/>
    </row>
    <row r="73" spans="1:25" x14ac:dyDescent="0.35">
      <c r="A73" s="9227"/>
      <c r="B73" s="330"/>
      <c r="C73" s="326"/>
      <c r="D73" s="197"/>
      <c r="G73" s="1436"/>
      <c r="H73" s="340"/>
      <c r="I73" s="645"/>
      <c r="J73" s="7028"/>
      <c r="K73" s="1270"/>
      <c r="L73" s="1436"/>
      <c r="M73" s="645"/>
      <c r="N73" s="7318"/>
      <c r="P73" s="1436"/>
      <c r="Q73" s="340"/>
      <c r="R73" s="645"/>
      <c r="S73" s="1439"/>
      <c r="T73" s="1270"/>
      <c r="U73" s="1436"/>
      <c r="V73" s="645"/>
      <c r="W73" s="7318"/>
    </row>
    <row r="74" spans="1:25" x14ac:dyDescent="0.35">
      <c r="A74" s="9227"/>
      <c r="B74" s="330"/>
      <c r="C74" s="326" t="s">
        <v>3354</v>
      </c>
      <c r="D74" s="197"/>
      <c r="G74" s="1436"/>
      <c r="H74" s="340"/>
      <c r="I74" s="645"/>
      <c r="J74" s="7028"/>
      <c r="K74" s="1270"/>
      <c r="L74" s="1436"/>
      <c r="M74" s="645"/>
      <c r="N74" s="7318"/>
      <c r="P74" s="1436"/>
      <c r="Q74" s="340"/>
      <c r="R74" s="645"/>
      <c r="S74" s="1439"/>
      <c r="T74" s="1270"/>
      <c r="U74" s="1436"/>
      <c r="V74" s="645"/>
      <c r="W74" s="7318"/>
    </row>
    <row r="75" spans="1:25" x14ac:dyDescent="0.35">
      <c r="A75" s="9227"/>
      <c r="B75" s="330"/>
      <c r="C75" s="326" t="s">
        <v>3355</v>
      </c>
      <c r="D75" s="197"/>
      <c r="G75" s="1441"/>
      <c r="H75" s="340"/>
      <c r="I75" s="1440"/>
      <c r="J75" s="7028"/>
      <c r="K75" s="1270"/>
      <c r="L75" s="1436"/>
      <c r="M75" s="1440"/>
      <c r="N75" s="7318"/>
      <c r="P75" s="1441"/>
      <c r="Q75" s="340"/>
      <c r="R75" s="1440"/>
      <c r="S75" s="1439"/>
      <c r="T75" s="1270"/>
      <c r="U75" s="1436"/>
      <c r="V75" s="1440"/>
      <c r="W75" s="7318"/>
    </row>
    <row r="76" spans="1:25" x14ac:dyDescent="0.35">
      <c r="A76" s="9227"/>
      <c r="B76" s="330"/>
      <c r="C76" s="326"/>
      <c r="D76" s="197"/>
      <c r="G76" s="1436"/>
      <c r="H76" s="340"/>
      <c r="I76" s="1440"/>
      <c r="J76" s="7028"/>
      <c r="K76" s="1270"/>
      <c r="L76" s="1436"/>
      <c r="M76" s="1440"/>
      <c r="N76" s="7318"/>
      <c r="P76" s="1436"/>
      <c r="Q76" s="340"/>
      <c r="R76" s="1440"/>
      <c r="S76" s="1439"/>
      <c r="T76" s="1270"/>
      <c r="U76" s="1436"/>
      <c r="V76" s="1440"/>
      <c r="W76" s="7318"/>
    </row>
    <row r="77" spans="1:25" x14ac:dyDescent="0.35">
      <c r="A77" s="9227"/>
      <c r="B77" s="330"/>
      <c r="C77" s="326"/>
      <c r="D77" s="197"/>
      <c r="G77" s="1436"/>
      <c r="H77" s="340"/>
      <c r="I77" s="645"/>
      <c r="J77" s="7021"/>
      <c r="K77" s="1270"/>
      <c r="L77" s="1436"/>
      <c r="M77" s="645"/>
      <c r="N77" s="7318"/>
      <c r="P77" s="1436"/>
      <c r="Q77" s="340"/>
      <c r="R77" s="645"/>
      <c r="S77" s="1403"/>
      <c r="T77" s="1270"/>
      <c r="U77" s="1436"/>
      <c r="V77" s="645"/>
      <c r="W77" s="7318"/>
    </row>
    <row r="78" spans="1:25" x14ac:dyDescent="0.35">
      <c r="A78" s="9227"/>
      <c r="B78" s="330"/>
      <c r="C78" s="326"/>
      <c r="D78" s="197"/>
      <c r="G78" s="1436"/>
      <c r="H78" s="340"/>
      <c r="I78" s="645"/>
      <c r="J78" s="7021"/>
      <c r="K78" s="1270"/>
      <c r="L78" s="1436"/>
      <c r="M78" s="645"/>
      <c r="N78" s="7318"/>
      <c r="P78" s="1436"/>
      <c r="Q78" s="340"/>
      <c r="R78" s="645"/>
      <c r="S78" s="1403"/>
      <c r="T78" s="1270"/>
      <c r="U78" s="1436"/>
      <c r="V78" s="645"/>
      <c r="W78" s="7318"/>
    </row>
    <row r="79" spans="1:25" x14ac:dyDescent="0.35">
      <c r="A79" s="9227"/>
      <c r="B79" s="330"/>
      <c r="C79" s="337"/>
      <c r="D79" s="197"/>
      <c r="G79" s="1436"/>
      <c r="H79" s="340"/>
      <c r="I79" s="645"/>
      <c r="J79" s="7021"/>
      <c r="K79" s="1270"/>
      <c r="L79" s="1436"/>
      <c r="M79" s="645"/>
      <c r="N79" s="7318"/>
      <c r="P79" s="1436"/>
      <c r="Q79" s="340"/>
      <c r="R79" s="645"/>
      <c r="S79" s="1403"/>
      <c r="T79" s="1270"/>
      <c r="U79" s="1436"/>
      <c r="V79" s="645"/>
      <c r="W79" s="7318"/>
    </row>
    <row r="80" spans="1:25" x14ac:dyDescent="0.35">
      <c r="A80" s="9228"/>
      <c r="B80" s="341"/>
      <c r="C80" s="342"/>
      <c r="D80" s="209"/>
      <c r="G80" s="1444"/>
      <c r="H80" s="346"/>
      <c r="I80" s="1200"/>
      <c r="J80" s="7022"/>
      <c r="K80" s="1270"/>
      <c r="L80" s="1444"/>
      <c r="M80" s="1200"/>
      <c r="N80" s="7319"/>
      <c r="P80" s="1444"/>
      <c r="Q80" s="346"/>
      <c r="R80" s="1200"/>
      <c r="S80" s="1421"/>
      <c r="T80" s="1270"/>
      <c r="U80" s="1444"/>
      <c r="V80" s="1200"/>
      <c r="W80" s="7319"/>
    </row>
    <row r="81" spans="1:24" x14ac:dyDescent="0.35">
      <c r="A81" s="310"/>
      <c r="B81" s="310"/>
      <c r="G81" s="645"/>
      <c r="H81" s="645"/>
      <c r="I81" s="645"/>
      <c r="J81" s="7023"/>
      <c r="K81" s="1270"/>
      <c r="L81" s="645"/>
      <c r="M81" s="645"/>
      <c r="N81" s="1423"/>
      <c r="P81" s="645"/>
      <c r="Q81" s="645"/>
      <c r="R81" s="645"/>
      <c r="S81" s="1424"/>
      <c r="T81" s="1270"/>
      <c r="U81" s="645"/>
      <c r="V81" s="645"/>
      <c r="W81" s="1423"/>
    </row>
    <row r="82" spans="1:24" x14ac:dyDescent="0.35">
      <c r="A82" s="9167" t="s">
        <v>566</v>
      </c>
      <c r="B82" s="139" t="s">
        <v>567</v>
      </c>
      <c r="C82" s="348"/>
      <c r="D82" s="49"/>
      <c r="E82" s="141"/>
      <c r="F82" s="141"/>
      <c r="G82" s="1375"/>
      <c r="H82" s="653"/>
      <c r="I82" s="653"/>
      <c r="J82" s="1379"/>
      <c r="K82" s="1319"/>
      <c r="L82" s="1375"/>
      <c r="M82" s="653"/>
      <c r="N82" s="1317"/>
      <c r="O82" s="141"/>
      <c r="P82" s="1375"/>
      <c r="Q82" s="653"/>
      <c r="R82" s="653"/>
      <c r="S82" s="1379"/>
      <c r="T82" s="1319"/>
      <c r="U82" s="1375"/>
      <c r="V82" s="653"/>
      <c r="W82" s="1317"/>
      <c r="X82" s="141"/>
    </row>
    <row r="83" spans="1:24" x14ac:dyDescent="0.35">
      <c r="A83" s="9168"/>
      <c r="B83" s="6082"/>
      <c r="C83"/>
      <c r="D83" s="110" t="s">
        <v>568</v>
      </c>
      <c r="G83" s="354">
        <f>SUM(G35:G38)-SUM(G40:G42)</f>
        <v>53394.938812</v>
      </c>
      <c r="H83" s="355">
        <f t="shared" ref="H83" si="6">SUM(H35:H38)-SUM(H40:H42)</f>
        <v>14685.901061630002</v>
      </c>
      <c r="I83" s="355"/>
      <c r="J83" s="1363"/>
      <c r="K83" s="1446"/>
      <c r="L83" s="354">
        <f>SUM(L35:L38)-SUM(L40:L42)</f>
        <v>44131.239292999991</v>
      </c>
      <c r="M83" s="355"/>
      <c r="N83" s="1201">
        <f>SUM(N35:N38)-SUM(N40:N42)</f>
        <v>17032.938385333335</v>
      </c>
      <c r="P83" s="354">
        <f>SUM(P35:P38)-SUM(P40:P42)</f>
        <v>61264.299792499995</v>
      </c>
      <c r="Q83" s="355">
        <f t="shared" ref="Q83" si="7">SUM(Q35:Q38)-SUM(Q40:Q42)</f>
        <v>20520.232025000001</v>
      </c>
      <c r="R83" s="355"/>
      <c r="S83" s="1363"/>
      <c r="T83" s="1446"/>
      <c r="U83" s="354">
        <f>SUM(U35:U38)-SUM(U40:U42)</f>
        <v>33830.652359</v>
      </c>
      <c r="V83" s="355"/>
      <c r="W83" s="1201">
        <f>SUM(W35:W38)-SUM(W40:W42)</f>
        <v>14849.812551999999</v>
      </c>
    </row>
    <row r="84" spans="1:24" x14ac:dyDescent="0.35">
      <c r="A84" s="9168"/>
      <c r="B84" s="6082"/>
      <c r="C84"/>
      <c r="D84" s="110" t="s">
        <v>569</v>
      </c>
      <c r="G84" s="354">
        <f>SUM(G44:G50)</f>
        <v>0</v>
      </c>
      <c r="H84" s="355">
        <f t="shared" ref="H84" si="8">SUM(H44:H50)</f>
        <v>0</v>
      </c>
      <c r="I84" s="355"/>
      <c r="J84" s="1363"/>
      <c r="K84" s="1446"/>
      <c r="L84" s="354">
        <f>SUM(L44:L50)</f>
        <v>0</v>
      </c>
      <c r="M84" s="355"/>
      <c r="N84" s="1201">
        <f>SUM(N44:N50)</f>
        <v>0</v>
      </c>
      <c r="P84" s="354">
        <f>SUM(P44:P50)</f>
        <v>0</v>
      </c>
      <c r="Q84" s="355">
        <f t="shared" ref="Q84" si="9">SUM(Q44:Q50)</f>
        <v>0</v>
      </c>
      <c r="R84" s="355"/>
      <c r="S84" s="1363"/>
      <c r="T84" s="1446"/>
      <c r="U84" s="354">
        <f>SUM(U44:U50)</f>
        <v>498.35125599999998</v>
      </c>
      <c r="V84" s="355"/>
      <c r="W84" s="1201">
        <f>SUM(W44:W50)</f>
        <v>335.33605599999999</v>
      </c>
    </row>
    <row r="85" spans="1:24" x14ac:dyDescent="0.35">
      <c r="A85" s="9168"/>
      <c r="B85" s="6082"/>
      <c r="C85"/>
      <c r="D85" s="110" t="s">
        <v>570</v>
      </c>
      <c r="G85" s="354">
        <f>SUM(G52:G59)*G28</f>
        <v>2903.2415137671524</v>
      </c>
      <c r="H85" s="355">
        <f t="shared" ref="H85" si="10">SUM(H52:H59)*H28</f>
        <v>930.26554329129237</v>
      </c>
      <c r="I85" s="355"/>
      <c r="J85" s="1363"/>
      <c r="K85" s="1446"/>
      <c r="L85" s="354">
        <f>SUM(L52:L59)*L28</f>
        <v>2816.6084510699716</v>
      </c>
      <c r="M85" s="355"/>
      <c r="N85" s="1201">
        <f>SUM(N52:N59)*N28</f>
        <v>975.68251303128318</v>
      </c>
      <c r="P85" s="354">
        <f>SUM(P52:P59)*P28</f>
        <v>2540.4210608907324</v>
      </c>
      <c r="Q85" s="355">
        <f t="shared" ref="Q85" si="11">SUM(Q52:Q59)*Q28</f>
        <v>955.87035752982797</v>
      </c>
      <c r="R85" s="355"/>
      <c r="S85" s="1363"/>
      <c r="T85" s="1446"/>
      <c r="U85" s="354">
        <f>SUM(U52:U59)*U28</f>
        <v>1287.281949848179</v>
      </c>
      <c r="V85" s="355"/>
      <c r="W85" s="1201">
        <f>SUM(W52:W59)*W28</f>
        <v>781.56048494035576</v>
      </c>
    </row>
    <row r="86" spans="1:24" x14ac:dyDescent="0.35">
      <c r="A86" s="9168"/>
      <c r="B86" s="6082"/>
      <c r="C86"/>
      <c r="D86" s="110" t="s">
        <v>552</v>
      </c>
      <c r="G86" s="354">
        <f>G61</f>
        <v>0</v>
      </c>
      <c r="H86" s="355">
        <f t="shared" ref="H86" si="12">H61</f>
        <v>0</v>
      </c>
      <c r="I86" s="355"/>
      <c r="J86" s="1363"/>
      <c r="K86" s="1446"/>
      <c r="L86" s="354">
        <f>L61</f>
        <v>0</v>
      </c>
      <c r="M86" s="355"/>
      <c r="N86" s="1201">
        <f>N61</f>
        <v>0</v>
      </c>
      <c r="P86" s="354">
        <f>P61</f>
        <v>0</v>
      </c>
      <c r="Q86" s="355">
        <f t="shared" ref="Q86" si="13">Q61</f>
        <v>0</v>
      </c>
      <c r="R86" s="355"/>
      <c r="S86" s="1363"/>
      <c r="T86" s="1446"/>
      <c r="U86" s="354">
        <f>U61</f>
        <v>0</v>
      </c>
      <c r="V86" s="355"/>
      <c r="W86" s="1201">
        <f>W61</f>
        <v>0</v>
      </c>
    </row>
    <row r="87" spans="1:24" x14ac:dyDescent="0.35">
      <c r="A87" s="9168"/>
      <c r="B87" s="6082"/>
      <c r="C87"/>
      <c r="D87" s="356" t="s">
        <v>571</v>
      </c>
      <c r="E87" s="143"/>
      <c r="F87" s="143"/>
      <c r="G87" s="363">
        <f>SUM(G83:G86)</f>
        <v>56298.180325767156</v>
      </c>
      <c r="H87" s="364">
        <f t="shared" ref="H87" si="14">SUM(H83:H86)</f>
        <v>15616.166604921294</v>
      </c>
      <c r="I87" s="364"/>
      <c r="J87" s="1447"/>
      <c r="K87" s="1448"/>
      <c r="L87" s="363">
        <f>SUM(L83:L86)</f>
        <v>46947.847744069964</v>
      </c>
      <c r="M87" s="364"/>
      <c r="N87" s="1202">
        <f>SUM(N83:N86)</f>
        <v>18008.620898364617</v>
      </c>
      <c r="O87" s="143"/>
      <c r="P87" s="363">
        <f>SUM(P83:P86)</f>
        <v>63804.720853390725</v>
      </c>
      <c r="Q87" s="364">
        <f t="shared" ref="Q87" si="15">SUM(Q83:Q86)</f>
        <v>21476.102382529829</v>
      </c>
      <c r="R87" s="364"/>
      <c r="S87" s="1447"/>
      <c r="T87" s="1448"/>
      <c r="U87" s="363">
        <f>SUM(U83:U86)</f>
        <v>35616.285564848178</v>
      </c>
      <c r="V87" s="364"/>
      <c r="W87" s="1202">
        <f>SUM(W83:W86)</f>
        <v>15966.709092940355</v>
      </c>
      <c r="X87" s="143"/>
    </row>
    <row r="88" spans="1:24" ht="15.5" x14ac:dyDescent="0.35">
      <c r="A88" s="9168"/>
      <c r="B88" s="6082"/>
      <c r="C88"/>
      <c r="D88" s="356" t="s">
        <v>572</v>
      </c>
      <c r="G88" s="561">
        <f>G87/(G17+G18+G19)</f>
        <v>0.22930150686441914</v>
      </c>
      <c r="H88" s="562">
        <f t="shared" ref="H88" si="16">H87/(H17+H18+H19)</f>
        <v>0.2834024929151297</v>
      </c>
      <c r="I88" s="562"/>
      <c r="J88" s="563"/>
      <c r="K88" s="560"/>
      <c r="L88" s="561">
        <f>L87/(L17+L18+L19)</f>
        <v>0.27564051118655963</v>
      </c>
      <c r="M88" s="562"/>
      <c r="N88" s="563">
        <f>N87/(N17+N18+N19)</f>
        <v>0.27955396129253379</v>
      </c>
      <c r="P88" s="368">
        <f>P87/(P17+P18+P19)</f>
        <v>0.2943401212695041</v>
      </c>
      <c r="Q88" s="369">
        <f t="shared" ref="Q88" si="17">Q87/(Q17+Q18+Q19)</f>
        <v>0.26790597870495847</v>
      </c>
      <c r="R88" s="369"/>
      <c r="S88" s="370"/>
      <c r="T88" s="367"/>
      <c r="U88" s="368">
        <f>U87/(U17+U18+U19)</f>
        <v>0.2187142843741699</v>
      </c>
      <c r="V88" s="369"/>
      <c r="W88" s="370">
        <f>W87/(W17+W18+W19)</f>
        <v>0.30071978497081825</v>
      </c>
    </row>
    <row r="89" spans="1:24" x14ac:dyDescent="0.35">
      <c r="A89" s="9168"/>
      <c r="B89" s="1449"/>
      <c r="C89" s="1450"/>
      <c r="D89" s="1451" t="s">
        <v>573</v>
      </c>
      <c r="E89" s="374"/>
      <c r="G89" s="1458">
        <f>G35+G44+G85</f>
        <v>18703.617466767151</v>
      </c>
      <c r="H89" s="1459">
        <f t="shared" ref="H89" si="18">H35+H44+H85</f>
        <v>10716.350702421294</v>
      </c>
      <c r="I89" s="956"/>
      <c r="J89" s="955"/>
      <c r="K89" s="954"/>
      <c r="L89" s="1460">
        <f>L35+L44+L85</f>
        <v>18624.131179069969</v>
      </c>
      <c r="M89" s="956"/>
      <c r="N89" s="1462">
        <f>N35+N44+N85</f>
        <v>12218.618629031283</v>
      </c>
      <c r="P89" s="1458">
        <f>P35+P44+P85</f>
        <v>25116.655302390733</v>
      </c>
      <c r="Q89" s="1459">
        <f t="shared" ref="Q89" si="19">Q35+Q44+Q85</f>
        <v>13180.918731529828</v>
      </c>
      <c r="R89" s="383"/>
      <c r="S89" s="384"/>
      <c r="T89" s="385"/>
      <c r="U89" s="1460">
        <f>U35+U44+U85</f>
        <v>13873.618025848178</v>
      </c>
      <c r="V89" s="383"/>
      <c r="W89" s="1462">
        <f>W35+W44+W85</f>
        <v>11998.214904940354</v>
      </c>
    </row>
    <row r="90" spans="1:24" s="972" customFormat="1" x14ac:dyDescent="0.35">
      <c r="A90" s="9168"/>
      <c r="B90" s="1463"/>
      <c r="C90" s="7320"/>
      <c r="D90" s="7321" t="s">
        <v>574</v>
      </c>
      <c r="E90" s="7322"/>
      <c r="F90" s="1732"/>
      <c r="G90" s="7323">
        <f>G87-G89</f>
        <v>37594.562859000005</v>
      </c>
      <c r="H90" s="7324">
        <f t="shared" ref="H90" si="20">SUM(H36:H38)</f>
        <v>4899.8159025000004</v>
      </c>
      <c r="I90" s="7235"/>
      <c r="J90" s="7236"/>
      <c r="K90" s="7325"/>
      <c r="L90" s="7326">
        <f>SUM(L36:L38)</f>
        <v>28323.716564999999</v>
      </c>
      <c r="M90" s="7327"/>
      <c r="N90" s="7328">
        <f>SUM(N36:N38)</f>
        <v>5790.0022693333331</v>
      </c>
      <c r="O90" s="5415"/>
      <c r="P90" s="7323">
        <f>P87-P89</f>
        <v>38688.065550999992</v>
      </c>
      <c r="Q90" s="7324">
        <f t="shared" ref="Q90" si="21">SUM(Q36:Q38)</f>
        <v>8295.1836510000012</v>
      </c>
      <c r="R90" s="5264"/>
      <c r="S90" s="5265"/>
      <c r="T90" s="8121"/>
      <c r="U90" s="7326">
        <f>SUM(U36:U38)</f>
        <v>21742.667538999998</v>
      </c>
      <c r="V90" s="8119"/>
      <c r="W90" s="7328">
        <f>SUM(W36:W38)</f>
        <v>3968.4941880000001</v>
      </c>
      <c r="X90" s="1477"/>
    </row>
    <row r="91" spans="1:24" x14ac:dyDescent="0.35">
      <c r="A91" s="9168"/>
      <c r="B91" s="1478"/>
      <c r="C91" s="1479"/>
      <c r="D91" s="1451" t="s">
        <v>575</v>
      </c>
      <c r="E91" s="392"/>
      <c r="G91" s="1481">
        <f>(G87-G89)/(G18+G19)</f>
        <v>0.2459013016768922</v>
      </c>
      <c r="H91" s="1482">
        <f t="shared" ref="H91" si="22">(H87-H89)/(H18+H19)</f>
        <v>0.22390541527113353</v>
      </c>
      <c r="I91" s="1661"/>
      <c r="J91" s="909"/>
      <c r="K91" s="7037"/>
      <c r="L91" s="1484">
        <f>(L87-L89)/(L18+L19)</f>
        <v>0.28594007763534146</v>
      </c>
      <c r="M91" s="1661"/>
      <c r="N91" s="1488">
        <f>(N87-N89)/(N18+N19)</f>
        <v>0.37416177951224339</v>
      </c>
      <c r="P91" s="1481">
        <f>(P87-P89)/(P18+P19)</f>
        <v>0.33942381259923415</v>
      </c>
      <c r="Q91" s="1482">
        <f t="shared" ref="Q91" si="23">(Q87-Q89)/(Q18+Q19)</f>
        <v>0.21980239552826217</v>
      </c>
      <c r="R91" s="1486"/>
      <c r="S91" s="1048"/>
      <c r="T91" s="1483"/>
      <c r="U91" s="1484">
        <f>(U87-U89)/(U18+U19)</f>
        <v>0.22297833177981116</v>
      </c>
      <c r="V91" s="1486"/>
      <c r="W91" s="1488">
        <f>(W87-W89)/(W18+W19)</f>
        <v>0.40781548821109376</v>
      </c>
    </row>
    <row r="92" spans="1:24" x14ac:dyDescent="0.35">
      <c r="A92" s="9168"/>
      <c r="B92" s="1478"/>
      <c r="C92" s="1479"/>
      <c r="D92" s="1451" t="s">
        <v>576</v>
      </c>
      <c r="E92" s="392"/>
      <c r="G92" s="1481">
        <f>G89/G17</f>
        <v>0.20190537763246211</v>
      </c>
      <c r="H92" s="1482">
        <f t="shared" ref="H92" si="24">H89/H17</f>
        <v>0.32259689723645368</v>
      </c>
      <c r="I92" s="1661"/>
      <c r="J92" s="909"/>
      <c r="K92" s="7037"/>
      <c r="L92" s="1484">
        <f>L89/L17</f>
        <v>0.26132524283800251</v>
      </c>
      <c r="M92" s="1661"/>
      <c r="N92" s="1488">
        <f>N89/N17</f>
        <v>0.24964218499815491</v>
      </c>
      <c r="P92" s="1481">
        <f>P89/P17</f>
        <v>0.24434803885656944</v>
      </c>
      <c r="Q92" s="1482">
        <f t="shared" ref="Q92" si="25">Q89/Q17</f>
        <v>0.31069811268991726</v>
      </c>
      <c r="R92" s="1486"/>
      <c r="S92" s="1048"/>
      <c r="T92" s="1483"/>
      <c r="U92" s="1484">
        <f>U89/U17</f>
        <v>0.21235021138210336</v>
      </c>
      <c r="V92" s="1486"/>
      <c r="W92" s="1488">
        <f>W89/W17</f>
        <v>0.2766868932164952</v>
      </c>
    </row>
    <row r="93" spans="1:24" x14ac:dyDescent="0.35">
      <c r="A93" s="9168"/>
      <c r="B93" s="1478"/>
      <c r="C93" s="1479"/>
      <c r="D93" s="1451"/>
      <c r="E93" s="392"/>
      <c r="G93" s="1494"/>
      <c r="H93" s="1490"/>
      <c r="I93" s="1485"/>
      <c r="J93" s="1491"/>
      <c r="K93" s="1492"/>
      <c r="L93" s="1493"/>
      <c r="M93" s="1485"/>
      <c r="N93" s="1496"/>
      <c r="P93" s="1494"/>
      <c r="Q93" s="1490"/>
      <c r="R93" s="1485"/>
      <c r="S93" s="1491"/>
      <c r="T93" s="1492"/>
      <c r="U93" s="1493"/>
      <c r="V93" s="1485"/>
      <c r="W93" s="1496"/>
    </row>
    <row r="94" spans="1:24" x14ac:dyDescent="0.35">
      <c r="A94" s="9168"/>
      <c r="B94" s="1478"/>
      <c r="C94" s="1479"/>
      <c r="D94" s="1451" t="s">
        <v>577</v>
      </c>
      <c r="E94" s="392"/>
      <c r="G94" s="1481"/>
      <c r="H94" s="1482">
        <f t="shared" ref="H94" si="26">H87/H12</f>
        <v>0.25245396514719581</v>
      </c>
      <c r="I94" s="1661"/>
      <c r="J94" s="909"/>
      <c r="K94" s="7037"/>
      <c r="L94" s="1484">
        <f>L87/L12</f>
        <v>0.34318586113677985</v>
      </c>
      <c r="M94" s="1661"/>
      <c r="N94" s="1488">
        <f>N87/N12</f>
        <v>0.20988281368992215</v>
      </c>
      <c r="P94" s="1481"/>
      <c r="Q94" s="1482">
        <f t="shared" ref="Q94" si="27">Q87/Q12</f>
        <v>0.27180710029151423</v>
      </c>
      <c r="R94" s="1486"/>
      <c r="S94" s="1048"/>
      <c r="T94" s="1483"/>
      <c r="U94" s="1484">
        <f>U87/U12</f>
        <v>0.41439926735636767</v>
      </c>
      <c r="V94" s="1486"/>
      <c r="W94" s="1488">
        <f>W87/W12</f>
        <v>0.24372343227646431</v>
      </c>
    </row>
    <row r="95" spans="1:24" x14ac:dyDescent="0.35">
      <c r="A95" s="9168"/>
      <c r="B95" s="1478"/>
      <c r="C95" s="1479"/>
      <c r="D95" s="1396" t="s">
        <v>578</v>
      </c>
      <c r="E95" s="392"/>
      <c r="G95" s="1503"/>
      <c r="H95" s="1504"/>
      <c r="I95" s="847"/>
      <c r="J95" s="890"/>
      <c r="K95" s="1505"/>
      <c r="L95" s="1506"/>
      <c r="M95" s="847"/>
      <c r="N95" s="1508"/>
      <c r="P95" s="1503"/>
      <c r="Q95" s="1504"/>
      <c r="R95" s="847"/>
      <c r="S95" s="890"/>
      <c r="T95" s="1505"/>
      <c r="U95" s="1506"/>
      <c r="V95" s="847"/>
      <c r="W95" s="1508"/>
    </row>
    <row r="96" spans="1:24" x14ac:dyDescent="0.35">
      <c r="A96" s="9168"/>
      <c r="B96" s="1478"/>
      <c r="C96" s="1479"/>
      <c r="D96" s="1451" t="s">
        <v>579</v>
      </c>
      <c r="E96" s="392"/>
      <c r="G96" s="1481"/>
      <c r="H96" s="1482"/>
      <c r="I96" s="1661"/>
      <c r="J96" s="909"/>
      <c r="K96" s="7037"/>
      <c r="L96" s="1484"/>
      <c r="M96" s="1661"/>
      <c r="N96" s="1488"/>
      <c r="P96" s="1481"/>
      <c r="Q96" s="1482"/>
      <c r="R96" s="1486"/>
      <c r="S96" s="1048"/>
      <c r="T96" s="1483"/>
      <c r="U96" s="1484"/>
      <c r="V96" s="1486"/>
      <c r="W96" s="1488"/>
    </row>
    <row r="97" spans="1:25" x14ac:dyDescent="0.35">
      <c r="A97" s="9168"/>
      <c r="B97" s="1478"/>
      <c r="C97" s="1479"/>
      <c r="D97" s="1451"/>
      <c r="E97" s="392"/>
      <c r="G97" s="1481"/>
      <c r="H97" s="1482"/>
      <c r="I97" s="1661"/>
      <c r="J97" s="909"/>
      <c r="K97" s="7037"/>
      <c r="L97" s="1484"/>
      <c r="M97" s="1661"/>
      <c r="N97" s="1488"/>
      <c r="P97" s="1481"/>
      <c r="Q97" s="1482"/>
      <c r="R97" s="1486"/>
      <c r="S97" s="1048"/>
      <c r="T97" s="1483"/>
      <c r="U97" s="1484"/>
      <c r="V97" s="1486"/>
      <c r="W97" s="1488"/>
    </row>
    <row r="98" spans="1:25" x14ac:dyDescent="0.35">
      <c r="A98" s="9168"/>
      <c r="B98" s="1478"/>
      <c r="C98" s="1479"/>
      <c r="D98" s="1510" t="s">
        <v>580</v>
      </c>
      <c r="E98" s="424"/>
      <c r="G98" s="1481"/>
      <c r="H98" s="1482"/>
      <c r="I98" s="1661"/>
      <c r="J98" s="909"/>
      <c r="K98" s="7037"/>
      <c r="L98" s="1484"/>
      <c r="M98" s="1661"/>
      <c r="N98" s="1488"/>
      <c r="P98" s="1481"/>
      <c r="Q98" s="1482"/>
      <c r="R98" s="1486"/>
      <c r="S98" s="1048"/>
      <c r="T98" s="1483"/>
      <c r="U98" s="1484"/>
      <c r="V98" s="1486"/>
      <c r="W98" s="1488"/>
    </row>
    <row r="99" spans="1:25" x14ac:dyDescent="0.35">
      <c r="A99" s="9169"/>
      <c r="B99" s="1518"/>
      <c r="C99" s="1519"/>
      <c r="D99" s="1416" t="s">
        <v>581</v>
      </c>
      <c r="E99" s="274"/>
      <c r="G99" s="1531"/>
      <c r="H99" s="1532"/>
      <c r="I99" s="4741"/>
      <c r="J99" s="5660"/>
      <c r="K99" s="4740"/>
      <c r="L99" s="1533"/>
      <c r="M99" s="3347"/>
      <c r="N99" s="1535"/>
      <c r="P99" s="1531"/>
      <c r="Q99" s="1532"/>
      <c r="R99" s="443"/>
      <c r="S99" s="444"/>
      <c r="T99" s="445"/>
      <c r="U99" s="1533"/>
      <c r="V99" s="1534"/>
      <c r="W99" s="1535"/>
    </row>
    <row r="100" spans="1:25" s="449" customFormat="1" ht="15.5" x14ac:dyDescent="0.35">
      <c r="C100" s="450"/>
      <c r="D100" s="450"/>
      <c r="E100" s="450"/>
      <c r="F100" s="1536"/>
      <c r="G100" s="451">
        <f>((G87-G89)/G87)</f>
        <v>0.66777580805384085</v>
      </c>
      <c r="H100" s="451">
        <f>((H87-H89)/H87)</f>
        <v>0.31376560115309399</v>
      </c>
      <c r="I100" s="454"/>
      <c r="J100" s="454"/>
      <c r="K100" s="454"/>
      <c r="L100" s="451">
        <f>((L87-L89)/L87)</f>
        <v>0.60330170446583664</v>
      </c>
      <c r="M100" s="454"/>
      <c r="N100" s="451">
        <f>((N87-N89)/N87)</f>
        <v>0.32151280778302854</v>
      </c>
      <c r="O100" s="1536"/>
      <c r="P100" s="451">
        <f>((P87-P89)/P87)</f>
        <v>0.6063511450805763</v>
      </c>
      <c r="Q100" s="451">
        <f>((Q87-Q89)/Q87)</f>
        <v>0.38625182089595023</v>
      </c>
      <c r="R100" s="454"/>
      <c r="S100" s="454"/>
      <c r="T100" s="454"/>
      <c r="U100" s="451">
        <f>((U87-U89)/U87)</f>
        <v>0.61046982284023266</v>
      </c>
      <c r="V100" s="454"/>
      <c r="W100" s="451">
        <f>((W87-W89)/W87)</f>
        <v>0.24854803609809997</v>
      </c>
      <c r="X100" s="1536"/>
    </row>
    <row r="101" spans="1:25" s="462" customFormat="1" ht="15.25" customHeight="1" x14ac:dyDescent="0.35">
      <c r="A101" s="455" t="s">
        <v>582</v>
      </c>
      <c r="B101" s="455"/>
      <c r="C101" s="456"/>
      <c r="D101" s="456"/>
      <c r="E101" s="457"/>
      <c r="F101" s="461"/>
      <c r="G101" s="458" t="str">
        <f>IF(G89+G90=G87,"ok","erreur total")</f>
        <v>ok</v>
      </c>
      <c r="H101" s="458" t="str">
        <f>IF(H89+H90=H87,"ok","erreur total")</f>
        <v>ok</v>
      </c>
      <c r="I101" s="461"/>
      <c r="J101" s="461"/>
      <c r="K101" s="461"/>
      <c r="L101" s="458" t="str">
        <f>IF(L89+L90=L87,"ok","erreur total")</f>
        <v>ok</v>
      </c>
      <c r="M101" s="458"/>
      <c r="N101" s="458" t="str">
        <f>IF(N89+N90=N87,"ok","erreur total")</f>
        <v>ok</v>
      </c>
      <c r="O101" s="461"/>
      <c r="P101" s="458" t="str">
        <f>IF(P89+P90=P87,"ok","erreur total")</f>
        <v>ok</v>
      </c>
      <c r="Q101" s="458" t="str">
        <f>IF(Q89+Q90=Q87,"ok","erreur total")</f>
        <v>ok</v>
      </c>
      <c r="R101" s="461"/>
      <c r="S101" s="461"/>
      <c r="T101" s="461"/>
      <c r="U101" s="458" t="str">
        <f>IF(U89+U90=U87,"ok","erreur total")</f>
        <v>ok</v>
      </c>
      <c r="V101" s="458"/>
      <c r="W101" s="458" t="str">
        <f>IF(W89+W90=W87,"ok","erreur total")</f>
        <v>ok</v>
      </c>
      <c r="X101" s="461"/>
      <c r="Y101"/>
    </row>
    <row r="102" spans="1:25" s="462" customFormat="1" ht="12" customHeight="1" x14ac:dyDescent="0.3">
      <c r="A102" s="463">
        <v>1</v>
      </c>
      <c r="B102" s="464" t="e">
        <f>#REF!</f>
        <v>#REF!</v>
      </c>
      <c r="D102" s="709"/>
      <c r="E102" s="466"/>
      <c r="F102" s="456"/>
      <c r="G102" s="466"/>
      <c r="H102" s="466"/>
      <c r="I102" s="466"/>
      <c r="J102" s="467"/>
      <c r="K102" s="466"/>
      <c r="L102" s="466"/>
      <c r="M102" s="466"/>
      <c r="N102" s="466"/>
      <c r="O102" s="456"/>
      <c r="P102" s="466"/>
      <c r="Q102" s="466"/>
      <c r="R102" s="466"/>
      <c r="S102" s="467"/>
      <c r="T102" s="466"/>
      <c r="U102" s="466"/>
      <c r="V102" s="466"/>
      <c r="W102" s="466"/>
      <c r="X102" s="456"/>
      <c r="Y102" s="577"/>
    </row>
    <row r="103" spans="1:25" s="462" customFormat="1" ht="12" x14ac:dyDescent="0.3">
      <c r="A103" s="468">
        <v>2</v>
      </c>
      <c r="B103" s="469" t="e">
        <f>#REF!</f>
        <v>#REF!</v>
      </c>
      <c r="D103" s="2"/>
      <c r="E103" s="456"/>
      <c r="F103" s="456"/>
      <c r="G103" s="459"/>
      <c r="H103" s="459"/>
      <c r="I103" s="459"/>
      <c r="J103" s="7"/>
      <c r="K103" s="456"/>
      <c r="O103" s="456"/>
      <c r="P103" s="459"/>
      <c r="Q103" s="459"/>
      <c r="R103" s="459"/>
      <c r="S103" s="7"/>
      <c r="T103" s="456"/>
      <c r="X103" s="456"/>
      <c r="Y103" s="577"/>
    </row>
    <row r="104" spans="1:25" s="462" customFormat="1" ht="12" x14ac:dyDescent="0.3">
      <c r="A104" s="468"/>
      <c r="B104" s="469"/>
      <c r="D104" s="2"/>
      <c r="E104" s="456"/>
      <c r="F104" s="456"/>
      <c r="G104" s="459"/>
      <c r="H104" s="459"/>
      <c r="I104" s="459"/>
      <c r="J104" s="7"/>
      <c r="K104" s="456"/>
      <c r="O104" s="456"/>
      <c r="P104" s="459"/>
      <c r="Q104" s="459"/>
      <c r="R104" s="459"/>
      <c r="S104" s="7"/>
      <c r="T104" s="456"/>
      <c r="X104" s="456"/>
      <c r="Y104" s="577"/>
    </row>
    <row r="105" spans="1:25" s="462" customFormat="1" ht="12" x14ac:dyDescent="0.3">
      <c r="A105" s="468"/>
      <c r="B105" s="469"/>
      <c r="D105" s="2"/>
      <c r="E105" s="456"/>
      <c r="F105" s="456"/>
      <c r="G105" s="459"/>
      <c r="H105" s="459"/>
      <c r="I105" s="459"/>
      <c r="J105" s="7"/>
      <c r="K105" s="456"/>
      <c r="O105" s="456"/>
      <c r="P105" s="459"/>
      <c r="Q105" s="459"/>
      <c r="R105" s="459"/>
      <c r="S105" s="7"/>
      <c r="T105" s="456"/>
      <c r="X105" s="456"/>
      <c r="Y105" s="577"/>
    </row>
    <row r="106" spans="1:25" s="462" customFormat="1" ht="12" x14ac:dyDescent="0.3">
      <c r="A106" s="468"/>
      <c r="B106" s="469"/>
      <c r="D106" s="2"/>
      <c r="E106" s="456"/>
      <c r="F106" s="456"/>
      <c r="O106" s="456"/>
      <c r="X106" s="456"/>
      <c r="Y106" s="577"/>
    </row>
    <row r="107" spans="1:25" s="462" customFormat="1" ht="12" x14ac:dyDescent="0.3">
      <c r="A107" s="468"/>
      <c r="B107" s="469"/>
      <c r="D107" s="2"/>
      <c r="E107" s="456"/>
      <c r="F107" s="456"/>
      <c r="O107" s="456"/>
      <c r="X107" s="456"/>
      <c r="Y107" s="577"/>
    </row>
    <row r="108" spans="1:25" s="462" customFormat="1" ht="12" x14ac:dyDescent="0.3">
      <c r="A108" s="468"/>
      <c r="B108" s="469"/>
      <c r="D108" s="2"/>
      <c r="E108" s="456"/>
      <c r="F108" s="456"/>
      <c r="O108" s="456"/>
      <c r="X108" s="456"/>
      <c r="Y108" s="577"/>
    </row>
    <row r="109" spans="1:25" s="462" customFormat="1" ht="12" x14ac:dyDescent="0.3">
      <c r="A109" s="468"/>
      <c r="B109" s="469"/>
      <c r="D109" s="2"/>
      <c r="E109" s="456"/>
      <c r="F109" s="456"/>
      <c r="O109" s="456"/>
      <c r="X109" s="456"/>
      <c r="Y109" s="577"/>
    </row>
    <row r="110" spans="1:25" s="462" customFormat="1" ht="12" x14ac:dyDescent="0.3">
      <c r="A110" s="468"/>
      <c r="B110" s="469"/>
      <c r="D110" s="2"/>
      <c r="E110" s="456"/>
      <c r="F110" s="456"/>
      <c r="O110" s="456"/>
      <c r="X110" s="456"/>
      <c r="Y110" s="577"/>
    </row>
    <row r="111" spans="1:25" s="462" customFormat="1" ht="12" x14ac:dyDescent="0.3">
      <c r="A111" s="468"/>
      <c r="B111" s="469"/>
      <c r="D111" s="2"/>
      <c r="E111" s="456"/>
      <c r="F111" s="456"/>
      <c r="O111" s="456"/>
      <c r="X111" s="456"/>
      <c r="Y111" s="577"/>
    </row>
    <row r="112" spans="1:25" s="462" customFormat="1" ht="12" x14ac:dyDescent="0.3">
      <c r="A112" s="468"/>
      <c r="B112" s="469"/>
      <c r="D112" s="2"/>
      <c r="E112" s="456"/>
      <c r="F112" s="456"/>
      <c r="O112" s="456"/>
      <c r="X112" s="456"/>
      <c r="Y112" s="577"/>
    </row>
    <row r="113" spans="1:25" s="462" customFormat="1" ht="12" x14ac:dyDescent="0.3">
      <c r="A113" s="468"/>
      <c r="B113" s="469"/>
      <c r="D113" s="2"/>
      <c r="E113" s="456"/>
      <c r="F113" s="456"/>
      <c r="G113" s="459"/>
      <c r="H113" s="459"/>
      <c r="I113" s="459"/>
      <c r="J113" s="7"/>
      <c r="K113" s="456"/>
      <c r="O113" s="456"/>
      <c r="P113" s="459"/>
      <c r="Q113" s="459"/>
      <c r="R113" s="459"/>
      <c r="S113" s="7"/>
      <c r="T113" s="456"/>
      <c r="X113" s="456"/>
      <c r="Y113" s="577"/>
    </row>
    <row r="114" spans="1:25" s="462" customFormat="1" ht="12" x14ac:dyDescent="0.3">
      <c r="A114" s="468"/>
      <c r="B114" s="469"/>
      <c r="D114" s="2"/>
      <c r="E114" s="456"/>
      <c r="F114" s="456"/>
      <c r="G114" s="459"/>
      <c r="H114" s="459"/>
      <c r="I114" s="459"/>
      <c r="J114" s="7"/>
      <c r="K114" s="456"/>
      <c r="O114" s="456"/>
      <c r="P114" s="459"/>
      <c r="Q114" s="459"/>
      <c r="R114" s="459"/>
      <c r="S114" s="7"/>
      <c r="T114" s="456"/>
      <c r="X114" s="456"/>
      <c r="Y114" s="577"/>
    </row>
    <row r="115" spans="1:25" s="462" customFormat="1" ht="12" x14ac:dyDescent="0.3">
      <c r="A115" s="468"/>
      <c r="B115" s="469"/>
      <c r="D115" s="2"/>
      <c r="E115" s="456"/>
      <c r="F115" s="456"/>
      <c r="G115" s="459"/>
      <c r="H115" s="459"/>
      <c r="I115" s="459"/>
      <c r="J115" s="7"/>
      <c r="K115" s="456"/>
      <c r="O115" s="456"/>
      <c r="P115" s="459"/>
      <c r="Q115" s="459"/>
      <c r="R115" s="459"/>
      <c r="S115" s="7"/>
      <c r="T115" s="456"/>
      <c r="X115" s="456"/>
      <c r="Y115" s="577"/>
    </row>
    <row r="116" spans="1:25" s="462" customFormat="1" x14ac:dyDescent="0.35">
      <c r="A116" s="455" t="s">
        <v>583</v>
      </c>
      <c r="B116" s="455"/>
      <c r="C116" s="456"/>
      <c r="D116" s="2"/>
      <c r="E116" s="456"/>
      <c r="F116" s="456"/>
      <c r="G116" s="6"/>
      <c r="H116" s="6"/>
      <c r="I116" s="6"/>
      <c r="J116" s="7"/>
      <c r="K116" s="1"/>
      <c r="L116"/>
      <c r="M116"/>
      <c r="N116"/>
      <c r="O116" s="456"/>
      <c r="P116" s="6"/>
      <c r="Q116" s="6"/>
      <c r="R116" s="6"/>
      <c r="S116" s="7"/>
      <c r="T116" s="1"/>
      <c r="U116"/>
      <c r="V116"/>
      <c r="W116"/>
      <c r="X116" s="456"/>
      <c r="Y116" s="577"/>
    </row>
    <row r="117" spans="1:25" s="462" customFormat="1" ht="93" customHeight="1" x14ac:dyDescent="0.35">
      <c r="A117" s="9170" t="s">
        <v>3360</v>
      </c>
      <c r="B117" s="9171"/>
      <c r="C117" s="9171"/>
      <c r="D117" s="9171"/>
      <c r="E117" s="9171"/>
      <c r="F117" s="456"/>
      <c r="G117" s="6"/>
      <c r="H117" s="6"/>
      <c r="I117" s="6"/>
      <c r="J117" s="7"/>
      <c r="K117" s="1"/>
      <c r="L117"/>
      <c r="M117"/>
      <c r="N117"/>
      <c r="O117" s="456"/>
      <c r="P117" s="6"/>
      <c r="Q117" s="6"/>
      <c r="R117" s="6"/>
      <c r="S117" s="7"/>
      <c r="T117" s="1"/>
      <c r="U117"/>
      <c r="V117"/>
      <c r="W117"/>
      <c r="X117" s="456"/>
      <c r="Y117" s="577"/>
    </row>
  </sheetData>
  <mergeCells count="24">
    <mergeCell ref="P1:W1"/>
    <mergeCell ref="P4:S4"/>
    <mergeCell ref="U4:W4"/>
    <mergeCell ref="Y4:Y5"/>
    <mergeCell ref="P5:S5"/>
    <mergeCell ref="U5:W5"/>
    <mergeCell ref="A117:E117"/>
    <mergeCell ref="G7:H7"/>
    <mergeCell ref="J7:J8"/>
    <mergeCell ref="A33:A69"/>
    <mergeCell ref="G1:N1"/>
    <mergeCell ref="G4:J4"/>
    <mergeCell ref="L4:N4"/>
    <mergeCell ref="A71:A80"/>
    <mergeCell ref="G5:J5"/>
    <mergeCell ref="L5:N5"/>
    <mergeCell ref="L7:N7"/>
    <mergeCell ref="A10:A31"/>
    <mergeCell ref="G10:H10"/>
    <mergeCell ref="P7:Q7"/>
    <mergeCell ref="S7:S8"/>
    <mergeCell ref="U7:W7"/>
    <mergeCell ref="P10:Q10"/>
    <mergeCell ref="A82:A99"/>
  </mergeCells>
  <hyperlinks>
    <hyperlink ref="M10" r:id="rId1" xr:uid="{712A6CB9-7BD3-4623-BC0B-174D8B6FC3E4}"/>
    <hyperlink ref="I10" r:id="rId2" xr:uid="{26315774-DAD0-463F-85D2-38EF51C0116C}"/>
    <hyperlink ref="V10" r:id="rId3" xr:uid="{960AA35B-4D7E-4620-83B0-58EFE37CAA44}"/>
    <hyperlink ref="R10" r:id="rId4" xr:uid="{4F7316C6-6A92-44B6-80B4-071F690227BD}"/>
  </hyperlinks>
  <pageMargins left="0.23622047244094491" right="0.23622047244094491" top="0.35433070866141736" bottom="0.35433070866141736" header="0.31496062992125984" footer="0.31496062992125984"/>
  <pageSetup paperSize="9" scale="43" orientation="portrait" horizontalDpi="4294967293" verticalDpi="4294967293"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H119"/>
  <sheetViews>
    <sheetView zoomScale="66" zoomScaleNormal="96" zoomScalePageLayoutView="64" workbookViewId="0">
      <pane xSplit="4" topLeftCell="AT1" activePane="topRight" state="frozen"/>
      <selection activeCell="A52" sqref="A52"/>
      <selection pane="topRight" activeCell="BF17" sqref="BF17"/>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 customWidth="1"/>
    <col min="22" max="22" width="21.6328125" customWidth="1"/>
    <col min="23" max="23" width="1.6328125" style="1" customWidth="1"/>
    <col min="24" max="26" width="21.6328125" style="6" customWidth="1"/>
    <col min="27" max="27" width="8.6328125" style="7" customWidth="1"/>
    <col min="28" max="28" width="1.6328125" style="1" customWidth="1"/>
    <col min="29" max="29" width="21.6328125" customWidth="1"/>
    <col min="30" max="30" width="23" customWidth="1"/>
    <col min="31" max="31" width="21.6328125" customWidth="1"/>
    <col min="32" max="32" width="1.6328125" style="1" customWidth="1"/>
    <col min="33" max="35" width="21.6328125" style="6" customWidth="1"/>
    <col min="36" max="36" width="8.6328125" style="7" customWidth="1"/>
    <col min="37" max="37" width="1.6328125" style="1" customWidth="1"/>
    <col min="38" max="38" width="21.6328125" customWidth="1"/>
    <col min="39" max="39" width="23" customWidth="1"/>
    <col min="40" max="40" width="21.6328125" customWidth="1"/>
    <col min="41" max="41" width="1.6328125" style="1" customWidth="1"/>
    <col min="42" max="44" width="21.6328125" style="6" customWidth="1"/>
    <col min="45" max="45" width="8.6328125" style="7" customWidth="1"/>
    <col min="46" max="46" width="1.6328125" style="1" customWidth="1"/>
    <col min="47" max="47" width="21.6328125" customWidth="1"/>
    <col min="48" max="48" width="23" customWidth="1"/>
    <col min="49" max="49" width="21.6328125" customWidth="1"/>
    <col min="50" max="50" width="1.6328125" style="1" customWidth="1"/>
    <col min="51" max="53" width="21.6328125" style="6" customWidth="1"/>
    <col min="54" max="54" width="8.6328125" style="7" customWidth="1"/>
    <col min="55" max="55" width="1.6328125" style="1" customWidth="1"/>
    <col min="56" max="56" width="21.6328125" customWidth="1"/>
    <col min="57" max="57" width="23" customWidth="1"/>
    <col min="58" max="58" width="21.6328125" customWidth="1"/>
    <col min="59" max="60" width="55" customWidth="1"/>
  </cols>
  <sheetData>
    <row r="1" spans="1:60" ht="31" x14ac:dyDescent="0.7">
      <c r="F1" s="9118" t="s">
        <v>4753</v>
      </c>
      <c r="G1" s="9119"/>
      <c r="H1" s="9119"/>
      <c r="I1" s="9119"/>
      <c r="J1" s="9119"/>
      <c r="K1" s="9119"/>
      <c r="L1" s="9119"/>
      <c r="M1" s="9120"/>
      <c r="O1" s="9121" t="s">
        <v>395</v>
      </c>
      <c r="P1" s="9122"/>
      <c r="Q1" s="9122"/>
      <c r="R1" s="9122"/>
      <c r="S1" s="9122"/>
      <c r="T1" s="9122"/>
      <c r="U1" s="9122"/>
      <c r="V1" s="9123"/>
      <c r="X1" s="9426" t="s">
        <v>396</v>
      </c>
      <c r="Y1" s="9427"/>
      <c r="Z1" s="9427"/>
      <c r="AA1" s="9427"/>
      <c r="AB1" s="9427"/>
      <c r="AC1" s="9427"/>
      <c r="AD1" s="9427"/>
      <c r="AE1" s="9428"/>
      <c r="AG1" s="9477" t="s">
        <v>397</v>
      </c>
      <c r="AH1" s="9478"/>
      <c r="AI1" s="9478"/>
      <c r="AJ1" s="9478"/>
      <c r="AK1" s="9478"/>
      <c r="AL1" s="9478"/>
      <c r="AM1" s="9478"/>
      <c r="AN1" s="9479"/>
      <c r="AP1" s="9164" t="s">
        <v>398</v>
      </c>
      <c r="AQ1" s="9165"/>
      <c r="AR1" s="9165"/>
      <c r="AS1" s="9165"/>
      <c r="AT1" s="9165"/>
      <c r="AU1" s="9165"/>
      <c r="AV1" s="9165"/>
      <c r="AW1" s="9166"/>
      <c r="AY1" s="9517" t="s">
        <v>399</v>
      </c>
      <c r="AZ1" s="9518"/>
      <c r="BA1" s="9518"/>
      <c r="BB1" s="9518"/>
      <c r="BC1" s="9518"/>
      <c r="BD1" s="9518"/>
      <c r="BE1" s="9518"/>
      <c r="BF1" s="9519"/>
    </row>
    <row r="2" spans="1:60" ht="21" x14ac:dyDescent="0.5">
      <c r="B2" s="1" t="s">
        <v>9</v>
      </c>
      <c r="C2" s="4" t="s">
        <v>4754</v>
      </c>
      <c r="H2"/>
    </row>
    <row r="4" spans="1:60"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G4" s="9130" t="s">
        <v>403</v>
      </c>
      <c r="AH4" s="9131"/>
      <c r="AI4" s="9131"/>
      <c r="AJ4" s="9132"/>
      <c r="AL4" s="9130" t="s">
        <v>402</v>
      </c>
      <c r="AM4" s="9131"/>
      <c r="AN4" s="9132"/>
      <c r="AP4" s="9130" t="s">
        <v>403</v>
      </c>
      <c r="AQ4" s="9131"/>
      <c r="AR4" s="9131"/>
      <c r="AS4" s="9132"/>
      <c r="AU4" s="9130" t="s">
        <v>402</v>
      </c>
      <c r="AV4" s="9131"/>
      <c r="AW4" s="9132"/>
      <c r="AY4" s="9130" t="s">
        <v>403</v>
      </c>
      <c r="AZ4" s="9131"/>
      <c r="BA4" s="9131"/>
      <c r="BB4" s="9132"/>
      <c r="BD4" s="9130" t="s">
        <v>402</v>
      </c>
      <c r="BE4" s="9131"/>
      <c r="BF4" s="9132"/>
      <c r="BG4" s="9180" t="s">
        <v>404</v>
      </c>
      <c r="BH4" s="9180" t="s">
        <v>404</v>
      </c>
    </row>
    <row r="5" spans="1:60" x14ac:dyDescent="0.35">
      <c r="B5" s="1" t="s">
        <v>406</v>
      </c>
      <c r="C5" s="11">
        <v>2012</v>
      </c>
      <c r="F5" s="8324" t="s">
        <v>3550</v>
      </c>
      <c r="G5" s="12"/>
      <c r="H5" s="9138" t="s">
        <v>736</v>
      </c>
      <c r="I5" s="9139"/>
      <c r="J5" s="9140"/>
      <c r="K5" s="12"/>
      <c r="L5" s="9138" t="s">
        <v>737</v>
      </c>
      <c r="M5" s="9140"/>
      <c r="O5" s="9138" t="s">
        <v>737</v>
      </c>
      <c r="P5" s="9139"/>
      <c r="Q5" s="9139"/>
      <c r="R5" s="9140"/>
      <c r="S5" s="12"/>
      <c r="T5" s="9138" t="s">
        <v>3242</v>
      </c>
      <c r="U5" s="9139"/>
      <c r="V5" s="9140"/>
      <c r="X5" s="9138" t="s">
        <v>3242</v>
      </c>
      <c r="Y5" s="9139"/>
      <c r="Z5" s="9139"/>
      <c r="AA5" s="9140"/>
      <c r="AB5" s="12"/>
      <c r="AC5" s="9138" t="s">
        <v>3243</v>
      </c>
      <c r="AD5" s="9139"/>
      <c r="AE5" s="9140"/>
      <c r="AG5" s="9138" t="s">
        <v>3243</v>
      </c>
      <c r="AH5" s="9139"/>
      <c r="AI5" s="9139"/>
      <c r="AJ5" s="9140"/>
      <c r="AK5" s="12"/>
      <c r="AL5" s="9138" t="s">
        <v>2111</v>
      </c>
      <c r="AM5" s="9139"/>
      <c r="AN5" s="9140"/>
      <c r="AP5" s="9138" t="s">
        <v>2111</v>
      </c>
      <c r="AQ5" s="9139"/>
      <c r="AR5" s="9139"/>
      <c r="AS5" s="9140"/>
      <c r="AT5" s="12"/>
      <c r="AU5" s="9138" t="s">
        <v>743</v>
      </c>
      <c r="AV5" s="9139"/>
      <c r="AW5" s="9140"/>
      <c r="AY5" s="9138" t="s">
        <v>743</v>
      </c>
      <c r="AZ5" s="9139"/>
      <c r="BA5" s="9139"/>
      <c r="BB5" s="9140"/>
      <c r="BC5" s="12"/>
      <c r="BD5" s="9138" t="s">
        <v>3078</v>
      </c>
      <c r="BE5" s="9139"/>
      <c r="BF5" s="9140"/>
      <c r="BG5" s="9181"/>
      <c r="BH5" s="9181"/>
    </row>
    <row r="6" spans="1:60" x14ac:dyDescent="0.35">
      <c r="C6"/>
      <c r="F6" s="6"/>
      <c r="L6" s="14"/>
      <c r="T6" s="14"/>
      <c r="U6" s="14"/>
      <c r="AC6" s="14"/>
      <c r="AD6" s="14"/>
      <c r="AL6" s="14"/>
      <c r="AM6" s="14"/>
      <c r="AU6" s="14"/>
      <c r="AV6" s="14"/>
      <c r="BD6" s="14"/>
      <c r="BE6" s="14"/>
      <c r="BG6" s="6"/>
      <c r="BH6" s="6"/>
    </row>
    <row r="7" spans="1:60" ht="12.75" customHeight="1" x14ac:dyDescent="0.35">
      <c r="B7" s="1" t="s">
        <v>101</v>
      </c>
      <c r="C7" s="15" t="s">
        <v>4755</v>
      </c>
      <c r="D7" s="2" t="s">
        <v>417</v>
      </c>
      <c r="F7" s="8322" t="s">
        <v>1914</v>
      </c>
      <c r="H7" s="9149" t="s">
        <v>1914</v>
      </c>
      <c r="I7" s="9151"/>
      <c r="J7" s="9147" t="s">
        <v>419</v>
      </c>
      <c r="L7" s="9149" t="s">
        <v>1914</v>
      </c>
      <c r="M7" s="9151"/>
      <c r="O7" s="9149" t="s">
        <v>1914</v>
      </c>
      <c r="P7" s="9151"/>
      <c r="Q7" s="16"/>
      <c r="R7" s="9147" t="s">
        <v>419</v>
      </c>
      <c r="T7" s="9149" t="s">
        <v>1914</v>
      </c>
      <c r="U7" s="9150"/>
      <c r="V7" s="9151"/>
      <c r="X7" s="9149" t="s">
        <v>1914</v>
      </c>
      <c r="Y7" s="9151"/>
      <c r="Z7" s="16"/>
      <c r="AA7" s="9147" t="s">
        <v>419</v>
      </c>
      <c r="AC7" s="9149" t="s">
        <v>1914</v>
      </c>
      <c r="AD7" s="9150"/>
      <c r="AE7" s="9151"/>
      <c r="AG7" s="9149" t="s">
        <v>1914</v>
      </c>
      <c r="AH7" s="9151"/>
      <c r="AI7" s="16"/>
      <c r="AJ7" s="9147" t="s">
        <v>419</v>
      </c>
      <c r="AL7" s="9149" t="s">
        <v>1914</v>
      </c>
      <c r="AM7" s="9150"/>
      <c r="AN7" s="9151"/>
      <c r="AP7" s="9149" t="s">
        <v>1914</v>
      </c>
      <c r="AQ7" s="9151"/>
      <c r="AR7" s="16"/>
      <c r="AS7" s="9147" t="s">
        <v>419</v>
      </c>
      <c r="AU7" s="9149" t="s">
        <v>1914</v>
      </c>
      <c r="AV7" s="9150"/>
      <c r="AW7" s="9151"/>
      <c r="AY7" s="9149" t="s">
        <v>1914</v>
      </c>
      <c r="AZ7" s="9151"/>
      <c r="BA7" s="16"/>
      <c r="BB7" s="9147" t="s">
        <v>419</v>
      </c>
      <c r="BD7" s="9149" t="s">
        <v>1914</v>
      </c>
      <c r="BE7" s="9150"/>
      <c r="BF7" s="9151"/>
      <c r="BG7" s="18"/>
      <c r="BH7" s="18"/>
    </row>
    <row r="8" spans="1:60" x14ac:dyDescent="0.35">
      <c r="B8" s="1" t="s">
        <v>420</v>
      </c>
      <c r="C8" s="19" t="s">
        <v>747</v>
      </c>
      <c r="F8" s="20" t="s">
        <v>96</v>
      </c>
      <c r="H8" s="20" t="s">
        <v>423</v>
      </c>
      <c r="I8" s="20" t="s">
        <v>96</v>
      </c>
      <c r="J8" s="9148"/>
      <c r="L8" s="21" t="s">
        <v>1298</v>
      </c>
      <c r="M8" s="20" t="s">
        <v>96</v>
      </c>
      <c r="O8" s="20" t="s">
        <v>748</v>
      </c>
      <c r="P8" s="20" t="s">
        <v>96</v>
      </c>
      <c r="Q8" s="22" t="s">
        <v>425</v>
      </c>
      <c r="R8" s="9148"/>
      <c r="T8" s="21" t="s">
        <v>424</v>
      </c>
      <c r="U8" s="22" t="s">
        <v>425</v>
      </c>
      <c r="V8" s="20" t="s">
        <v>96</v>
      </c>
      <c r="X8" s="20" t="s">
        <v>748</v>
      </c>
      <c r="Y8" s="20" t="s">
        <v>96</v>
      </c>
      <c r="Z8" s="22" t="s">
        <v>425</v>
      </c>
      <c r="AA8" s="9148"/>
      <c r="AC8" s="21" t="s">
        <v>748</v>
      </c>
      <c r="AD8" s="22" t="s">
        <v>425</v>
      </c>
      <c r="AE8" s="20" t="s">
        <v>96</v>
      </c>
      <c r="AG8" s="20" t="s">
        <v>748</v>
      </c>
      <c r="AH8" s="20" t="s">
        <v>96</v>
      </c>
      <c r="AI8" s="22" t="s">
        <v>425</v>
      </c>
      <c r="AJ8" s="9148"/>
      <c r="AL8" s="21" t="s">
        <v>748</v>
      </c>
      <c r="AM8" s="22" t="s">
        <v>425</v>
      </c>
      <c r="AN8" s="20" t="s">
        <v>96</v>
      </c>
      <c r="AP8" s="20" t="s">
        <v>424</v>
      </c>
      <c r="AQ8" s="20" t="s">
        <v>96</v>
      </c>
      <c r="AR8" s="22" t="s">
        <v>425</v>
      </c>
      <c r="AS8" s="9148"/>
      <c r="AU8" s="21" t="s">
        <v>424</v>
      </c>
      <c r="AV8" s="22" t="s">
        <v>425</v>
      </c>
      <c r="AW8" s="20" t="s">
        <v>96</v>
      </c>
      <c r="AY8" s="20" t="s">
        <v>424</v>
      </c>
      <c r="AZ8" s="20" t="s">
        <v>96</v>
      </c>
      <c r="BA8" s="22" t="s">
        <v>425</v>
      </c>
      <c r="BB8" s="9148"/>
      <c r="BD8" s="21" t="s">
        <v>424</v>
      </c>
      <c r="BE8" s="22" t="s">
        <v>425</v>
      </c>
      <c r="BF8" s="20" t="s">
        <v>96</v>
      </c>
      <c r="BG8" s="24"/>
      <c r="BH8" s="24"/>
    </row>
    <row r="9" spans="1:60" x14ac:dyDescent="0.35">
      <c r="C9"/>
      <c r="E9"/>
      <c r="F9"/>
      <c r="G9"/>
      <c r="H9"/>
      <c r="I9"/>
      <c r="J9" s="25"/>
      <c r="K9"/>
      <c r="N9"/>
      <c r="O9"/>
      <c r="P9"/>
      <c r="Q9"/>
      <c r="R9" s="25"/>
      <c r="S9"/>
      <c r="W9"/>
      <c r="X9"/>
      <c r="Y9"/>
      <c r="Z9"/>
      <c r="AA9" s="25"/>
      <c r="AB9"/>
      <c r="AF9"/>
      <c r="AG9"/>
      <c r="AH9"/>
      <c r="AI9"/>
      <c r="AJ9" s="25"/>
      <c r="AK9"/>
      <c r="AO9"/>
      <c r="AP9"/>
      <c r="AQ9"/>
      <c r="AR9"/>
      <c r="AS9" s="25"/>
      <c r="AT9"/>
      <c r="AX9"/>
      <c r="AY9"/>
      <c r="AZ9"/>
      <c r="BA9"/>
      <c r="BB9" s="25"/>
      <c r="BC9"/>
    </row>
    <row r="10" spans="1:60" ht="33.25" customHeight="1" x14ac:dyDescent="0.35">
      <c r="A10" s="9216" t="s">
        <v>426</v>
      </c>
      <c r="B10" s="27"/>
      <c r="C10" s="28" t="s">
        <v>427</v>
      </c>
      <c r="D10" s="580" t="s">
        <v>428</v>
      </c>
      <c r="E10" s="30"/>
      <c r="F10" s="31" t="s">
        <v>4756</v>
      </c>
      <c r="G10"/>
      <c r="H10" s="31" t="s">
        <v>4757</v>
      </c>
      <c r="I10" s="31"/>
      <c r="J10" s="32"/>
      <c r="K10" s="33"/>
      <c r="L10" s="31" t="s">
        <v>4758</v>
      </c>
      <c r="M10" s="34" t="s">
        <v>593</v>
      </c>
      <c r="N10" s="33"/>
      <c r="O10" s="8314" t="s">
        <v>4759</v>
      </c>
      <c r="P10" s="8315"/>
      <c r="Q10" s="581" t="s">
        <v>4760</v>
      </c>
      <c r="R10" s="32"/>
      <c r="S10" s="33"/>
      <c r="T10" s="31" t="s">
        <v>4759</v>
      </c>
      <c r="U10" s="581" t="s">
        <v>4760</v>
      </c>
      <c r="V10" s="36"/>
      <c r="W10" s="33"/>
      <c r="X10" s="8314" t="s">
        <v>4761</v>
      </c>
      <c r="Y10" s="8315" t="s">
        <v>4762</v>
      </c>
      <c r="Z10" s="581" t="s">
        <v>4760</v>
      </c>
      <c r="AA10" s="32"/>
      <c r="AB10" s="33"/>
      <c r="AC10" s="31" t="s">
        <v>4763</v>
      </c>
      <c r="AD10" s="581" t="s">
        <v>4760</v>
      </c>
      <c r="AE10" s="34" t="s">
        <v>4764</v>
      </c>
      <c r="AF10" s="33"/>
      <c r="AG10" s="31" t="s">
        <v>4763</v>
      </c>
      <c r="AH10" s="8315" t="s">
        <v>4765</v>
      </c>
      <c r="AI10" s="581" t="s">
        <v>4760</v>
      </c>
      <c r="AJ10" s="32"/>
      <c r="AK10" s="33"/>
      <c r="AL10" s="8315" t="s">
        <v>4765</v>
      </c>
      <c r="AM10" s="581" t="s">
        <v>4760</v>
      </c>
      <c r="AN10" s="34" t="s">
        <v>4764</v>
      </c>
      <c r="AO10" s="33"/>
      <c r="AP10" s="31" t="s">
        <v>4766</v>
      </c>
      <c r="AQ10" s="8315"/>
      <c r="AR10" s="473" t="s">
        <v>4760</v>
      </c>
      <c r="AS10" s="32"/>
      <c r="AT10" s="33"/>
      <c r="AU10" s="8315" t="s">
        <v>4765</v>
      </c>
      <c r="AV10" s="473" t="s">
        <v>4760</v>
      </c>
      <c r="AW10" s="34" t="s">
        <v>4764</v>
      </c>
      <c r="AX10" s="33"/>
      <c r="AY10" s="31" t="s">
        <v>4766</v>
      </c>
      <c r="AZ10" s="31" t="s">
        <v>4767</v>
      </c>
      <c r="BA10" s="581" t="s">
        <v>4768</v>
      </c>
      <c r="BB10" s="32"/>
      <c r="BC10" s="33"/>
      <c r="BD10" s="31" t="s">
        <v>4767</v>
      </c>
      <c r="BE10" s="581" t="s">
        <v>4760</v>
      </c>
      <c r="BF10" s="34" t="s">
        <v>4764</v>
      </c>
      <c r="BG10" s="39"/>
      <c r="BH10" s="39"/>
    </row>
    <row r="11" spans="1:60" ht="12.75" customHeight="1" x14ac:dyDescent="0.35">
      <c r="A11" s="9217"/>
      <c r="B11" s="40" t="s">
        <v>451</v>
      </c>
      <c r="C11" s="41"/>
      <c r="D11" s="585"/>
      <c r="E11" s="43"/>
      <c r="F11" s="44"/>
      <c r="G11"/>
      <c r="H11" s="45" t="s">
        <v>4769</v>
      </c>
      <c r="I11" s="46"/>
      <c r="J11" s="47"/>
      <c r="K11" s="48"/>
      <c r="L11" s="45" t="s">
        <v>4769</v>
      </c>
      <c r="M11" s="49"/>
      <c r="N11" s="50"/>
      <c r="O11" s="45"/>
      <c r="P11" s="46"/>
      <c r="Q11" s="474" t="s">
        <v>4770</v>
      </c>
      <c r="R11" s="47"/>
      <c r="S11" s="48"/>
      <c r="T11" s="45"/>
      <c r="U11" s="474" t="s">
        <v>4770</v>
      </c>
      <c r="V11" s="738"/>
      <c r="W11" s="50"/>
      <c r="X11" s="45" t="s">
        <v>4771</v>
      </c>
      <c r="Y11" s="1772" t="s">
        <v>4772</v>
      </c>
      <c r="Z11" s="474"/>
      <c r="AA11" s="47"/>
      <c r="AB11" s="48"/>
      <c r="AC11" s="45"/>
      <c r="AD11" s="474" t="s">
        <v>4773</v>
      </c>
      <c r="AE11" s="586"/>
      <c r="AF11" s="50"/>
      <c r="AG11" s="45"/>
      <c r="AH11" s="1772" t="s">
        <v>1327</v>
      </c>
      <c r="AI11" s="474" t="s">
        <v>4774</v>
      </c>
      <c r="AJ11" s="47"/>
      <c r="AK11" s="48"/>
      <c r="AL11" s="45"/>
      <c r="AM11" s="474" t="s">
        <v>4773</v>
      </c>
      <c r="AN11" s="586"/>
      <c r="AO11" s="50"/>
      <c r="AP11" s="154" t="s">
        <v>423</v>
      </c>
      <c r="AQ11" s="7339"/>
      <c r="AR11" s="474" t="s">
        <v>4775</v>
      </c>
      <c r="AS11" s="47"/>
      <c r="AT11" s="48"/>
      <c r="AU11" s="154"/>
      <c r="AV11" s="474" t="s">
        <v>4776</v>
      </c>
      <c r="AW11" s="586"/>
      <c r="AX11" s="50"/>
      <c r="AY11" s="154" t="s">
        <v>423</v>
      </c>
      <c r="AZ11" s="7339"/>
      <c r="BA11" s="474" t="s">
        <v>4775</v>
      </c>
      <c r="BB11" s="47"/>
      <c r="BC11" s="48"/>
      <c r="BD11" s="154" t="s">
        <v>4777</v>
      </c>
      <c r="BE11" s="474" t="s">
        <v>4776</v>
      </c>
      <c r="BF11" s="586"/>
      <c r="BG11" s="18"/>
      <c r="BH11" s="18"/>
    </row>
    <row r="12" spans="1:60" x14ac:dyDescent="0.35">
      <c r="A12" s="9217"/>
      <c r="B12" s="58"/>
      <c r="C12" s="59" t="s">
        <v>1612</v>
      </c>
      <c r="D12" s="197">
        <v>1</v>
      </c>
      <c r="F12" s="61"/>
      <c r="G12"/>
      <c r="H12" s="62">
        <f>H15-H13</f>
        <v>170857.693</v>
      </c>
      <c r="I12" s="63"/>
      <c r="J12" s="64">
        <f>IF(H12=0,0,I12/H12)</f>
        <v>0</v>
      </c>
      <c r="K12" s="65"/>
      <c r="L12" s="62">
        <f>141212.835+3508.676+26793.362+16588.448</f>
        <v>188103.321</v>
      </c>
      <c r="M12" s="66">
        <f>L12*J12</f>
        <v>0</v>
      </c>
      <c r="N12" s="67"/>
      <c r="O12" s="62">
        <f>215889.17-O13</f>
        <v>212474.14</v>
      </c>
      <c r="P12" s="74"/>
      <c r="Q12" s="53" t="s">
        <v>4778</v>
      </c>
      <c r="R12" s="64">
        <f>IF(O12=0,0,P12/O12)</f>
        <v>0</v>
      </c>
      <c r="S12" s="65"/>
      <c r="T12" s="62">
        <f>217526.467-T13</f>
        <v>215361.54699999999</v>
      </c>
      <c r="U12" s="53" t="s">
        <v>4778</v>
      </c>
      <c r="V12" s="301"/>
      <c r="W12" s="67"/>
      <c r="X12" s="62">
        <f>221993.884-X13</f>
        <v>211503.62399999998</v>
      </c>
      <c r="Y12" s="74">
        <f>210488.803-Y13-Y14</f>
        <v>208967.71100000001</v>
      </c>
      <c r="Z12" s="53" t="s">
        <v>4779</v>
      </c>
      <c r="AA12" s="64">
        <f>IF(X12=0,0,Y12/X12)</f>
        <v>0.98801007305671518</v>
      </c>
      <c r="AB12" s="65"/>
      <c r="AC12" s="62">
        <f>254965.778-AC13-AC14</f>
        <v>250374.77799999999</v>
      </c>
      <c r="AD12" s="53" t="s">
        <v>4779</v>
      </c>
      <c r="AE12" s="1773">
        <f>AC12*AA12</f>
        <v>247372.80270333882</v>
      </c>
      <c r="AF12" s="67"/>
      <c r="AG12" s="62">
        <f>254965.778-AG13-AG14</f>
        <v>250374.77799999999</v>
      </c>
      <c r="AH12" s="74">
        <f>239446.589-AH13-AH14</f>
        <v>236250.51400000002</v>
      </c>
      <c r="AI12" s="53" t="s">
        <v>4779</v>
      </c>
      <c r="AJ12" s="64">
        <f>IF(AG12=0,0,AH12/AG12)</f>
        <v>0.94358751263675622</v>
      </c>
      <c r="AK12" s="65"/>
      <c r="AL12" s="62">
        <f>269804.333-AL13-AL14</f>
        <v>264216.48300000001</v>
      </c>
      <c r="AM12" s="53" t="s">
        <v>4779</v>
      </c>
      <c r="AN12" s="1773">
        <f>AL12*AJ12</f>
        <v>249311.37399160178</v>
      </c>
      <c r="AO12" s="67"/>
      <c r="AP12" s="62">
        <f>269804.333-AP13-AP14</f>
        <v>264216.48300000001</v>
      </c>
      <c r="AQ12" s="74"/>
      <c r="AR12" s="53" t="s">
        <v>4779</v>
      </c>
      <c r="AS12" s="476">
        <f>IF(AP12=0,0,AQ12/AP12)</f>
        <v>0</v>
      </c>
      <c r="AT12" s="65"/>
      <c r="AU12" s="62">
        <f>290597.248-AU13-AU14</f>
        <v>281366.848</v>
      </c>
      <c r="AV12" s="53" t="s">
        <v>4779</v>
      </c>
      <c r="AW12" s="1773">
        <f>AU12*AS12</f>
        <v>0</v>
      </c>
      <c r="AX12" s="67"/>
      <c r="AY12" s="62">
        <f>290597.248-AY13-AY14</f>
        <v>281366.848</v>
      </c>
      <c r="AZ12" s="74">
        <f>282080.678-AZ13-AZ14</f>
        <v>280201.08199999999</v>
      </c>
      <c r="BA12" s="53" t="s">
        <v>4779</v>
      </c>
      <c r="BB12" s="64">
        <f>IF(AY12=0,0,AZ12/AY12)</f>
        <v>0.99585677556440477</v>
      </c>
      <c r="BC12" s="65"/>
      <c r="BD12" s="62">
        <f>363676.427-BD13-BD14</f>
        <v>360643.04700000002</v>
      </c>
      <c r="BE12" s="53" t="s">
        <v>4779</v>
      </c>
      <c r="BF12" s="1773">
        <f>BD12*100%</f>
        <v>360643.04700000002</v>
      </c>
      <c r="BG12" s="26" t="s">
        <v>4780</v>
      </c>
      <c r="BH12" s="26" t="s">
        <v>4780</v>
      </c>
    </row>
    <row r="13" spans="1:60" x14ac:dyDescent="0.35">
      <c r="A13" s="9217"/>
      <c r="B13" s="58"/>
      <c r="C13" s="587" t="s">
        <v>462</v>
      </c>
      <c r="D13" s="197">
        <v>2</v>
      </c>
      <c r="F13" s="61"/>
      <c r="G13"/>
      <c r="H13" s="62">
        <v>25950.867999999999</v>
      </c>
      <c r="I13" s="63"/>
      <c r="J13" s="73">
        <f t="shared" ref="J13:J15" si="0">IF(H13=0,0,I13/H13)</f>
        <v>0</v>
      </c>
      <c r="K13" s="65"/>
      <c r="L13" s="62">
        <f>11947.582</f>
        <v>11947.582</v>
      </c>
      <c r="M13" s="66">
        <f t="shared" ref="M13:M15" si="1">L13*J13</f>
        <v>0</v>
      </c>
      <c r="N13" s="67"/>
      <c r="O13" s="62">
        <v>3415.03</v>
      </c>
      <c r="P13" s="74"/>
      <c r="Q13" s="53" t="s">
        <v>4781</v>
      </c>
      <c r="R13" s="73">
        <f>IF(O13=0,0,P13/O13)</f>
        <v>0</v>
      </c>
      <c r="S13" s="65"/>
      <c r="T13" s="62">
        <v>2164.92</v>
      </c>
      <c r="U13" s="53" t="s">
        <v>4781</v>
      </c>
      <c r="V13" s="301"/>
      <c r="W13" s="67"/>
      <c r="X13" s="62">
        <v>10490.26</v>
      </c>
      <c r="Y13" s="74">
        <v>1521.0920000000001</v>
      </c>
      <c r="Z13" s="53"/>
      <c r="AA13" s="73">
        <f>IF(X13=0,0,Y13/X13)</f>
        <v>0.14500040990404434</v>
      </c>
      <c r="AB13" s="65"/>
      <c r="AC13" s="62">
        <v>3376</v>
      </c>
      <c r="AD13" s="53"/>
      <c r="AE13" s="1773">
        <f t="shared" ref="AE13" si="2">AC13*AA13</f>
        <v>489.5213838360537</v>
      </c>
      <c r="AF13" s="67"/>
      <c r="AG13" s="62">
        <v>3376</v>
      </c>
      <c r="AH13" s="74">
        <v>1904.1959999999999</v>
      </c>
      <c r="AI13" s="53"/>
      <c r="AJ13" s="73">
        <f>IF(AG13=0,0,AH13/AG13)</f>
        <v>0.56403909952606635</v>
      </c>
      <c r="AK13" s="65"/>
      <c r="AL13" s="62">
        <v>4195.6000000000004</v>
      </c>
      <c r="AM13" s="53"/>
      <c r="AN13" s="1773">
        <f t="shared" ref="AN13" si="3">AL13*AJ13</f>
        <v>2366.4824459715642</v>
      </c>
      <c r="AO13" s="67"/>
      <c r="AP13" s="62">
        <v>4195.6000000000004</v>
      </c>
      <c r="AQ13" s="74"/>
      <c r="AR13" s="53"/>
      <c r="AS13" s="73">
        <f>IF(AP13=0,0,AQ13/AP13)</f>
        <v>0</v>
      </c>
      <c r="AT13" s="65"/>
      <c r="AU13" s="62">
        <v>5151.3999999999996</v>
      </c>
      <c r="AV13" s="53"/>
      <c r="AW13" s="1773">
        <f t="shared" ref="AW13:AW14" si="4">AU13*AS13</f>
        <v>0</v>
      </c>
      <c r="AX13" s="67"/>
      <c r="AY13" s="62">
        <v>5151.3999999999996</v>
      </c>
      <c r="AZ13" s="74">
        <v>1391.846</v>
      </c>
      <c r="BA13" s="53"/>
      <c r="BB13" s="73">
        <f>IF(AY13=0,0,AZ13/AY13)</f>
        <v>0.27018791008269599</v>
      </c>
      <c r="BC13" s="65"/>
      <c r="BD13" s="62">
        <v>2906.28</v>
      </c>
      <c r="BE13" s="53"/>
      <c r="BF13" s="1773">
        <f t="shared" ref="BF13:BF14" si="5">BD13*BB13</f>
        <v>785.24171931513774</v>
      </c>
      <c r="BG13" s="26" t="s">
        <v>4782</v>
      </c>
      <c r="BH13" s="26" t="s">
        <v>4782</v>
      </c>
    </row>
    <row r="14" spans="1:60" x14ac:dyDescent="0.35">
      <c r="A14" s="9217"/>
      <c r="B14" s="75"/>
      <c r="C14" s="1096" t="s">
        <v>465</v>
      </c>
      <c r="D14" s="197"/>
      <c r="F14" s="77"/>
      <c r="G14"/>
      <c r="H14" s="78"/>
      <c r="I14" s="79"/>
      <c r="J14" s="73"/>
      <c r="K14" s="80"/>
      <c r="L14" s="78"/>
      <c r="M14" s="66"/>
      <c r="N14" s="67"/>
      <c r="O14" s="78"/>
      <c r="P14" s="84"/>
      <c r="Q14" s="120"/>
      <c r="R14" s="73"/>
      <c r="S14" s="80"/>
      <c r="T14" s="78"/>
      <c r="U14" s="120"/>
      <c r="V14" s="759"/>
      <c r="W14" s="67"/>
      <c r="X14" s="78"/>
      <c r="Y14" s="84">
        <v>0</v>
      </c>
      <c r="Z14" s="120"/>
      <c r="AA14" s="73">
        <f>IF(X14=0,0,Y14/X14)</f>
        <v>0</v>
      </c>
      <c r="AB14" s="80"/>
      <c r="AC14" s="78">
        <v>1215</v>
      </c>
      <c r="AD14" s="120"/>
      <c r="AE14" s="1773">
        <f>AC14</f>
        <v>1215</v>
      </c>
      <c r="AF14" s="67"/>
      <c r="AG14" s="78">
        <v>1215</v>
      </c>
      <c r="AH14" s="84">
        <v>1291.8789999999999</v>
      </c>
      <c r="AI14" s="120"/>
      <c r="AJ14" s="1774">
        <f>IF(AG14=0,0,AH14/AG14)</f>
        <v>1.0632748971193415</v>
      </c>
      <c r="AK14" s="80"/>
      <c r="AL14" s="78">
        <v>1392.25</v>
      </c>
      <c r="AM14" s="120"/>
      <c r="AN14" s="1773">
        <f>AL14</f>
        <v>1392.25</v>
      </c>
      <c r="AO14" s="67"/>
      <c r="AP14" s="78">
        <v>1392.25</v>
      </c>
      <c r="AQ14" s="84"/>
      <c r="AR14" s="120"/>
      <c r="AS14" s="1774">
        <f>IF(AP14=0,0,AQ14/AP14)</f>
        <v>0</v>
      </c>
      <c r="AT14" s="80"/>
      <c r="AU14" s="78">
        <v>4079</v>
      </c>
      <c r="AV14" s="120"/>
      <c r="AW14" s="1773">
        <f t="shared" si="4"/>
        <v>0</v>
      </c>
      <c r="AX14" s="67"/>
      <c r="AY14" s="78">
        <v>4079</v>
      </c>
      <c r="AZ14" s="84">
        <v>487.75</v>
      </c>
      <c r="BA14" s="120"/>
      <c r="BB14" s="1774">
        <f>IF(AY14=0,0,AZ14/AY14)</f>
        <v>0.119575876440304</v>
      </c>
      <c r="BC14" s="80"/>
      <c r="BD14" s="78">
        <v>127.1</v>
      </c>
      <c r="BE14" s="120"/>
      <c r="BF14" s="1773">
        <f t="shared" si="5"/>
        <v>15.198093895562637</v>
      </c>
      <c r="BG14" s="26"/>
      <c r="BH14" s="26"/>
    </row>
    <row r="15" spans="1:60" x14ac:dyDescent="0.35">
      <c r="A15" s="9217"/>
      <c r="B15" s="85"/>
      <c r="C15" s="86" t="s">
        <v>466</v>
      </c>
      <c r="D15" s="209"/>
      <c r="F15" s="88">
        <v>150428</v>
      </c>
      <c r="G15"/>
      <c r="H15" s="89">
        <v>196808.56099999999</v>
      </c>
      <c r="I15" s="90"/>
      <c r="J15" s="91">
        <f t="shared" si="0"/>
        <v>0</v>
      </c>
      <c r="K15" s="80"/>
      <c r="L15" s="89">
        <f>SUM(L12:L13)</f>
        <v>200050.90299999999</v>
      </c>
      <c r="M15" s="92">
        <f t="shared" si="1"/>
        <v>0</v>
      </c>
      <c r="N15" s="67"/>
      <c r="O15" s="89">
        <f>SUM(O12:O13)</f>
        <v>215889.17</v>
      </c>
      <c r="P15" s="1775">
        <f>SUM(P12:P14)</f>
        <v>0</v>
      </c>
      <c r="Q15" s="138"/>
      <c r="R15" s="91">
        <f>IF(O15=0,0,P15/O15)</f>
        <v>0</v>
      </c>
      <c r="S15" s="80"/>
      <c r="T15" s="1776">
        <f>SUM(T12:T14)</f>
        <v>217526.467</v>
      </c>
      <c r="U15" s="1777"/>
      <c r="V15" s="1778">
        <f>SUM(V12:V14)</f>
        <v>0</v>
      </c>
      <c r="W15" s="67"/>
      <c r="X15" s="1776">
        <f>SUM(X12:X13)</f>
        <v>221993.88399999999</v>
      </c>
      <c r="Y15" s="1775">
        <f>SUM(Y12:Y14)</f>
        <v>210488.80300000001</v>
      </c>
      <c r="Z15" s="138"/>
      <c r="AA15" s="91">
        <f>IF(X15=0,0,Y15/X15)</f>
        <v>0.94817388302463335</v>
      </c>
      <c r="AB15" s="80"/>
      <c r="AC15" s="1776">
        <f>SUM(AC12:AC14)</f>
        <v>254965.77799999999</v>
      </c>
      <c r="AD15" s="1777"/>
      <c r="AE15" s="1779">
        <f>SUM(AE12:AE14)</f>
        <v>249077.32408717487</v>
      </c>
      <c r="AF15" s="67"/>
      <c r="AG15" s="1776">
        <f>SUM(AG12:AG14)</f>
        <v>254965.77799999999</v>
      </c>
      <c r="AH15" s="1775">
        <f>SUM(AH12:AH14)</f>
        <v>239446.58900000001</v>
      </c>
      <c r="AI15" s="1777"/>
      <c r="AJ15" s="91">
        <f>IF(AG15=0,0,AH15/AG15)</f>
        <v>0.93913226660559923</v>
      </c>
      <c r="AK15" s="80"/>
      <c r="AL15" s="1776">
        <f>SUM(AL12:AL14)</f>
        <v>269804.33299999998</v>
      </c>
      <c r="AM15" s="1777"/>
      <c r="AN15" s="1779">
        <f>SUM(AN12:AN14)</f>
        <v>253070.10643757335</v>
      </c>
      <c r="AO15" s="67"/>
      <c r="AP15" s="1776">
        <f>SUM(AP12:AP14)</f>
        <v>269804.33299999998</v>
      </c>
      <c r="AQ15" s="1775">
        <f>SUM(AQ12:AQ14)</f>
        <v>0</v>
      </c>
      <c r="AR15" s="1777"/>
      <c r="AS15" s="91">
        <f>IF(AP15=0,0,AQ15/AP15)</f>
        <v>0</v>
      </c>
      <c r="AT15" s="80"/>
      <c r="AU15" s="1776">
        <f>SUM(AU12:AU14)</f>
        <v>290597.24800000002</v>
      </c>
      <c r="AV15" s="1777"/>
      <c r="AW15" s="1779">
        <f>SUM(AW12:AW14)</f>
        <v>0</v>
      </c>
      <c r="AX15" s="67"/>
      <c r="AY15" s="1776">
        <f>SUM(AY12:AY14)</f>
        <v>290597.24800000002</v>
      </c>
      <c r="AZ15" s="1775">
        <f>SUM(AZ12:AZ14)</f>
        <v>282080.67800000001</v>
      </c>
      <c r="BA15" s="1777"/>
      <c r="BB15" s="91">
        <f>IF(AY15=0,0,AZ15/AY15)</f>
        <v>0.97069287455881204</v>
      </c>
      <c r="BC15" s="80"/>
      <c r="BD15" s="1776">
        <f>SUM(BD12:BD14)</f>
        <v>363676.42700000003</v>
      </c>
      <c r="BE15" s="1777"/>
      <c r="BF15" s="1779">
        <f>SUM(BF12:BF14)</f>
        <v>361443.48681321071</v>
      </c>
      <c r="BG15" s="24"/>
      <c r="BH15" s="24"/>
    </row>
    <row r="16" spans="1:60" x14ac:dyDescent="0.35">
      <c r="A16" s="9217"/>
      <c r="B16" s="100" t="s">
        <v>468</v>
      </c>
      <c r="C16" s="49"/>
      <c r="D16" s="585"/>
      <c r="E16" s="43"/>
      <c r="F16" s="101" t="s">
        <v>4783</v>
      </c>
      <c r="G16"/>
      <c r="H16" s="102" t="s">
        <v>4784</v>
      </c>
      <c r="I16" s="103"/>
      <c r="J16" s="104"/>
      <c r="K16" s="43"/>
      <c r="L16" s="102" t="s">
        <v>4784</v>
      </c>
      <c r="M16" s="105"/>
      <c r="N16" s="43"/>
      <c r="O16" s="102"/>
      <c r="P16" s="106"/>
      <c r="Q16" s="474" t="s">
        <v>4785</v>
      </c>
      <c r="R16" s="104"/>
      <c r="S16" s="43"/>
      <c r="T16" s="102"/>
      <c r="U16" s="103"/>
      <c r="V16" s="105"/>
      <c r="W16" s="43"/>
      <c r="X16" s="474" t="s">
        <v>4786</v>
      </c>
      <c r="Y16" s="253" t="s">
        <v>4787</v>
      </c>
      <c r="Z16" s="474" t="s">
        <v>4788</v>
      </c>
      <c r="AA16" s="104"/>
      <c r="AB16" s="43"/>
      <c r="AC16" s="517"/>
      <c r="AD16" s="474" t="s">
        <v>4785</v>
      </c>
      <c r="AE16" s="105"/>
      <c r="AF16" s="43"/>
      <c r="AG16" s="517"/>
      <c r="AH16" s="253" t="s">
        <v>4787</v>
      </c>
      <c r="AI16" s="474" t="s">
        <v>4785</v>
      </c>
      <c r="AJ16" s="104"/>
      <c r="AK16" s="43"/>
      <c r="AL16" s="517"/>
      <c r="AM16" s="474" t="s">
        <v>4785</v>
      </c>
      <c r="AN16" s="660" t="s">
        <v>4789</v>
      </c>
      <c r="AO16" s="43"/>
      <c r="AP16" s="517"/>
      <c r="AQ16" s="253" t="s">
        <v>4787</v>
      </c>
      <c r="AR16" s="474" t="s">
        <v>4790</v>
      </c>
      <c r="AS16" s="104"/>
      <c r="AT16" s="43"/>
      <c r="AU16" s="517"/>
      <c r="AV16" s="474" t="s">
        <v>4791</v>
      </c>
      <c r="AW16" s="660"/>
      <c r="AX16" s="43"/>
      <c r="AY16" s="517"/>
      <c r="AZ16" s="253" t="s">
        <v>4787</v>
      </c>
      <c r="BA16" s="474" t="s">
        <v>4776</v>
      </c>
      <c r="BB16" s="104"/>
      <c r="BC16" s="43"/>
      <c r="BD16" s="517"/>
      <c r="BE16" s="474" t="s">
        <v>4792</v>
      </c>
      <c r="BF16" s="660"/>
      <c r="BG16" s="18"/>
      <c r="BH16" s="18"/>
    </row>
    <row r="17" spans="1:60" x14ac:dyDescent="0.35">
      <c r="A17" s="9217"/>
      <c r="B17" s="6082"/>
      <c r="C17" s="110" t="s">
        <v>1622</v>
      </c>
      <c r="D17" s="197">
        <v>3</v>
      </c>
      <c r="F17" s="111"/>
      <c r="G17"/>
      <c r="H17" s="112">
        <f>H22-H18-H21</f>
        <v>117795.71</v>
      </c>
      <c r="I17" s="113"/>
      <c r="J17" s="64">
        <f t="shared" ref="J17:J22" si="6">IF(H17=0,0,I17/H17)</f>
        <v>0</v>
      </c>
      <c r="L17" s="112">
        <f>L22-L18-L21</f>
        <v>133228.49599999998</v>
      </c>
      <c r="M17" s="66">
        <f t="shared" ref="M17:M22" si="7">L17*J17</f>
        <v>0</v>
      </c>
      <c r="O17" s="112">
        <f>O22-O18-O20-O21</f>
        <v>137111.62100000001</v>
      </c>
      <c r="P17" s="115"/>
      <c r="Q17" s="57" t="s">
        <v>4793</v>
      </c>
      <c r="R17" s="64"/>
      <c r="T17" s="112">
        <f>T22-T18-T20-T21</f>
        <v>167006.66</v>
      </c>
      <c r="U17" s="474" t="s">
        <v>4785</v>
      </c>
      <c r="V17" s="273"/>
      <c r="X17" s="112">
        <f>X22-X18-X19-X20-X21</f>
        <v>180633.19299999997</v>
      </c>
      <c r="Y17" s="115">
        <f>160295.631-Y20-Y21</f>
        <v>152243.97700000001</v>
      </c>
      <c r="Z17" s="57" t="s">
        <v>4794</v>
      </c>
      <c r="AA17" s="64">
        <f>IF(X17=0,0,Y17/X17)</f>
        <v>0.84283499877013213</v>
      </c>
      <c r="AC17" s="112">
        <f>213460.978-AC20-AC21</f>
        <v>188103.723</v>
      </c>
      <c r="AD17" s="57" t="s">
        <v>4795</v>
      </c>
      <c r="AE17" s="66">
        <f>AC17*AA17</f>
        <v>158540.40114336228</v>
      </c>
      <c r="AG17" s="112">
        <f>213460.978-AG20-AG21</f>
        <v>188103.723</v>
      </c>
      <c r="AH17" s="115">
        <f>183059.249-AH20-AH21</f>
        <v>173614.97000000003</v>
      </c>
      <c r="AI17" s="57" t="s">
        <v>4795</v>
      </c>
      <c r="AJ17" s="64">
        <f>IF(AG17=0,0,AH17/AG17)</f>
        <v>0.9229746611660633</v>
      </c>
      <c r="AL17" s="112">
        <f>251990.079-AL20-AL21</f>
        <v>229938.647</v>
      </c>
      <c r="AM17" s="57" t="s">
        <v>4795</v>
      </c>
      <c r="AN17" s="66">
        <f t="shared" ref="AN17" si="8">AL17*AJ17</f>
        <v>212227.54480380804</v>
      </c>
      <c r="AP17" s="112">
        <f>251990.079-AP20</f>
        <v>249667.70199999999</v>
      </c>
      <c r="AQ17" s="115"/>
      <c r="AR17" s="57" t="s">
        <v>4795</v>
      </c>
      <c r="AS17" s="476">
        <f>IF(AP17=0,0,AQ17/AP17)</f>
        <v>0</v>
      </c>
      <c r="AU17" s="112">
        <f>264037.635-AU20</f>
        <v>261311.21800000002</v>
      </c>
      <c r="AV17" s="57" t="s">
        <v>4795</v>
      </c>
      <c r="AW17" s="66">
        <f t="shared" ref="AW17:AW21" si="9">AU17*AS17</f>
        <v>0</v>
      </c>
      <c r="AY17" s="112">
        <f>264037.635-AY20-AY21</f>
        <v>243368.66100000002</v>
      </c>
      <c r="AZ17" s="115">
        <f>218725.349-AZ20-AZ21</f>
        <v>206451.09499999997</v>
      </c>
      <c r="BA17" s="57" t="s">
        <v>4795</v>
      </c>
      <c r="BB17" s="64">
        <f>IF(AY17=0,0,AZ17/AY17)</f>
        <v>0.84830599861006739</v>
      </c>
      <c r="BD17" s="112">
        <f>276150.73-BD20-BD21</f>
        <v>262944.554</v>
      </c>
      <c r="BE17" s="57" t="s">
        <v>4795</v>
      </c>
      <c r="BF17" s="66">
        <f t="shared" ref="BF17:BF21" si="10">BD17*BB17</f>
        <v>223057.4424600488</v>
      </c>
      <c r="BG17" s="26" t="s">
        <v>4796</v>
      </c>
      <c r="BH17" s="26" t="s">
        <v>4796</v>
      </c>
    </row>
    <row r="18" spans="1:60" x14ac:dyDescent="0.35">
      <c r="A18" s="9217"/>
      <c r="B18" s="6082"/>
      <c r="C18" s="110" t="s">
        <v>1624</v>
      </c>
      <c r="D18" s="197">
        <v>4</v>
      </c>
      <c r="F18" s="122"/>
      <c r="G18"/>
      <c r="H18" s="114">
        <f>34964.877+14761.567+1841</f>
        <v>51567.444000000003</v>
      </c>
      <c r="I18" s="123"/>
      <c r="J18" s="64">
        <f t="shared" si="6"/>
        <v>0</v>
      </c>
      <c r="L18" s="114">
        <f>48018.756+2722.925</f>
        <v>50741.681000000004</v>
      </c>
      <c r="M18" s="66"/>
      <c r="O18" s="114">
        <f>41521+3677</f>
        <v>45198</v>
      </c>
      <c r="P18" s="115"/>
      <c r="Q18" s="57" t="s">
        <v>4797</v>
      </c>
      <c r="R18" s="64"/>
      <c r="T18" s="200">
        <f>48309+3391</f>
        <v>51700</v>
      </c>
      <c r="U18" s="57" t="s">
        <v>4793</v>
      </c>
      <c r="V18" s="273"/>
      <c r="X18" s="114">
        <v>50484.714</v>
      </c>
      <c r="Y18" s="115">
        <v>62936.055</v>
      </c>
      <c r="Z18" s="57" t="s">
        <v>4798</v>
      </c>
      <c r="AA18" s="1171">
        <f>IF(X18=0,0,(Y18+Y19)/(X18+Y19))</f>
        <v>1.2466358628871306</v>
      </c>
      <c r="AC18" s="200">
        <v>62336.283000000003</v>
      </c>
      <c r="AD18" s="57" t="s">
        <v>4798</v>
      </c>
      <c r="AE18" s="1780">
        <f>AC18</f>
        <v>62336.283000000003</v>
      </c>
      <c r="AG18" s="200">
        <v>62336.283000000003</v>
      </c>
      <c r="AH18" s="115">
        <v>73011.460999999996</v>
      </c>
      <c r="AI18" s="57" t="s">
        <v>4798</v>
      </c>
      <c r="AJ18" s="64">
        <f t="shared" ref="AJ18:AJ21" si="11">IF(AG18=0,0,AH18/AG18)</f>
        <v>1.1712514363424587</v>
      </c>
      <c r="AL18" s="200">
        <f>70858.43+9770.909</f>
        <v>80629.338999999993</v>
      </c>
      <c r="AM18" s="57" t="s">
        <v>4798</v>
      </c>
      <c r="AN18" s="1780">
        <f>AL18</f>
        <v>80629.338999999993</v>
      </c>
      <c r="AP18" s="200">
        <f>70858.43+9770.909-AP21</f>
        <v>60900.283999999992</v>
      </c>
      <c r="AQ18" s="115"/>
      <c r="AR18" s="57" t="s">
        <v>4798</v>
      </c>
      <c r="AS18" s="476">
        <f t="shared" ref="AS18:AS21" si="12">IF(AP18=0,0,AQ18/AP18)</f>
        <v>0</v>
      </c>
      <c r="AU18" s="200">
        <f>77159.605-AU21</f>
        <v>59217.047999999995</v>
      </c>
      <c r="AV18" s="57" t="s">
        <v>4798</v>
      </c>
      <c r="AW18" s="66">
        <f t="shared" si="9"/>
        <v>0</v>
      </c>
      <c r="AY18" s="200">
        <f>77159.605-AY21</f>
        <v>59217.047999999995</v>
      </c>
      <c r="AZ18" s="115">
        <f>41553.284-AZ19</f>
        <v>41553.284</v>
      </c>
      <c r="BA18" s="57" t="s">
        <v>4799</v>
      </c>
      <c r="BB18" s="64">
        <f t="shared" ref="BB18:BB21" si="13">IF(AY18=0,0,AZ18/AY18)</f>
        <v>0.70171150713220287</v>
      </c>
      <c r="BD18" s="200">
        <f>104175.906-BD21</f>
        <v>94438.661999999997</v>
      </c>
      <c r="BE18" s="57" t="s">
        <v>4799</v>
      </c>
      <c r="BF18" s="66">
        <f t="shared" si="10"/>
        <v>66268.695843568697</v>
      </c>
      <c r="BG18" s="26" t="s">
        <v>502</v>
      </c>
      <c r="BH18" s="26" t="s">
        <v>502</v>
      </c>
    </row>
    <row r="19" spans="1:60" x14ac:dyDescent="0.35">
      <c r="A19" s="9217"/>
      <c r="B19" s="6082"/>
      <c r="C19" s="110"/>
      <c r="D19" s="197"/>
      <c r="F19" s="122"/>
      <c r="G19"/>
      <c r="H19" s="114"/>
      <c r="I19" s="123"/>
      <c r="J19" s="64"/>
      <c r="L19" s="114"/>
      <c r="M19" s="66"/>
      <c r="O19" s="114"/>
      <c r="P19" s="115"/>
      <c r="Q19" s="57"/>
      <c r="R19" s="64"/>
      <c r="T19" s="198"/>
      <c r="U19" s="57"/>
      <c r="V19" s="273"/>
      <c r="X19" s="114">
        <v>1389.26</v>
      </c>
      <c r="Y19" s="115">
        <v>0</v>
      </c>
      <c r="Z19" s="57" t="s">
        <v>4800</v>
      </c>
      <c r="AA19" s="1171">
        <f>IF(X18=0,0,(Y18+Y19)/(X18+Y19))</f>
        <v>1.2466358628871306</v>
      </c>
      <c r="AC19" s="198">
        <v>5721.91</v>
      </c>
      <c r="AD19" s="57" t="s">
        <v>4800</v>
      </c>
      <c r="AE19" s="1780">
        <f>AC19</f>
        <v>5721.91</v>
      </c>
      <c r="AG19" s="198">
        <v>5721.91</v>
      </c>
      <c r="AH19" s="115">
        <v>0</v>
      </c>
      <c r="AI19" s="57" t="s">
        <v>4800</v>
      </c>
      <c r="AJ19" s="64">
        <f t="shared" si="11"/>
        <v>0</v>
      </c>
      <c r="AL19" s="198">
        <v>6011</v>
      </c>
      <c r="AM19" s="57" t="s">
        <v>4800</v>
      </c>
      <c r="AN19" s="1780">
        <f>AL19</f>
        <v>6011</v>
      </c>
      <c r="AP19" s="198">
        <v>6011</v>
      </c>
      <c r="AQ19" s="115"/>
      <c r="AR19" s="57" t="s">
        <v>4800</v>
      </c>
      <c r="AS19" s="476">
        <f t="shared" si="12"/>
        <v>0</v>
      </c>
      <c r="AU19" s="198">
        <v>11089.678</v>
      </c>
      <c r="AV19" s="57" t="s">
        <v>4800</v>
      </c>
      <c r="AW19" s="66">
        <f t="shared" si="9"/>
        <v>0</v>
      </c>
      <c r="AY19" s="198">
        <v>11089.678</v>
      </c>
      <c r="AZ19" s="115">
        <v>0</v>
      </c>
      <c r="BA19" s="57" t="s">
        <v>4801</v>
      </c>
      <c r="BB19" s="64">
        <f t="shared" si="13"/>
        <v>0</v>
      </c>
      <c r="BD19" s="198">
        <v>9371.6579999999994</v>
      </c>
      <c r="BE19" s="57" t="s">
        <v>4801</v>
      </c>
      <c r="BF19" s="66">
        <f>BD19*BB18</f>
        <v>6576.2002595075655</v>
      </c>
      <c r="BG19" s="26"/>
      <c r="BH19" s="26"/>
    </row>
    <row r="20" spans="1:60" x14ac:dyDescent="0.35">
      <c r="A20" s="9217"/>
      <c r="B20" s="6082"/>
      <c r="C20" s="121" t="s">
        <v>634</v>
      </c>
      <c r="D20" s="197"/>
      <c r="F20" s="122"/>
      <c r="G20"/>
      <c r="H20" s="114"/>
      <c r="I20" s="123"/>
      <c r="J20" s="64"/>
      <c r="L20" s="114"/>
      <c r="M20" s="66"/>
      <c r="O20" s="114">
        <v>1376.3679999999999</v>
      </c>
      <c r="P20" s="115"/>
      <c r="Q20" s="57" t="s">
        <v>4802</v>
      </c>
      <c r="R20" s="64"/>
      <c r="T20" s="198">
        <v>1542.05</v>
      </c>
      <c r="U20" s="57" t="s">
        <v>4797</v>
      </c>
      <c r="V20" s="273"/>
      <c r="X20" s="114">
        <v>1220.19</v>
      </c>
      <c r="Y20" s="115">
        <v>1677.6479999999999</v>
      </c>
      <c r="Z20" s="57" t="s">
        <v>4803</v>
      </c>
      <c r="AA20" s="64">
        <f t="shared" ref="AA20:AA21" si="14">IF(X20=0,0,Y20/X20)</f>
        <v>1.3749071865856954</v>
      </c>
      <c r="AC20" s="198">
        <v>2099.067</v>
      </c>
      <c r="AD20" s="57" t="s">
        <v>4803</v>
      </c>
      <c r="AE20" s="66">
        <f t="shared" ref="AE20:AE21" si="15">AC20*AA20</f>
        <v>2886.0223034248761</v>
      </c>
      <c r="AG20" s="198">
        <v>2099.067</v>
      </c>
      <c r="AH20" s="115">
        <v>1911.0909999999999</v>
      </c>
      <c r="AI20" s="57" t="s">
        <v>4803</v>
      </c>
      <c r="AJ20" s="64">
        <f t="shared" si="11"/>
        <v>0.91044783229882609</v>
      </c>
      <c r="AL20" s="198">
        <v>2322.377</v>
      </c>
      <c r="AM20" s="57" t="s">
        <v>4803</v>
      </c>
      <c r="AN20" s="66">
        <f t="shared" ref="AN20:AN21" si="16">AL20*AJ20</f>
        <v>2114.4031054306506</v>
      </c>
      <c r="AP20" s="198">
        <v>2322.377</v>
      </c>
      <c r="AQ20" s="115"/>
      <c r="AR20" s="57" t="s">
        <v>4803</v>
      </c>
      <c r="AS20" s="476">
        <f t="shared" si="12"/>
        <v>0</v>
      </c>
      <c r="AU20" s="198">
        <v>2726.4169999999999</v>
      </c>
      <c r="AV20" s="57" t="s">
        <v>4803</v>
      </c>
      <c r="AW20" s="66">
        <f t="shared" si="9"/>
        <v>0</v>
      </c>
      <c r="AY20" s="198">
        <v>2726.4169999999999</v>
      </c>
      <c r="AZ20" s="115">
        <v>2997.625</v>
      </c>
      <c r="BA20" s="57" t="s">
        <v>4804</v>
      </c>
      <c r="BB20" s="64">
        <f t="shared" si="13"/>
        <v>1.0994741450042309</v>
      </c>
      <c r="BD20" s="198">
        <v>3468.9319999999998</v>
      </c>
      <c r="BE20" s="57" t="s">
        <v>4804</v>
      </c>
      <c r="BF20" s="66">
        <f t="shared" si="10"/>
        <v>3814.0010447778163</v>
      </c>
      <c r="BG20" s="26"/>
      <c r="BH20" s="26"/>
    </row>
    <row r="21" spans="1:60" x14ac:dyDescent="0.35">
      <c r="A21" s="9217"/>
      <c r="B21" s="6082"/>
      <c r="C21" s="121" t="s">
        <v>478</v>
      </c>
      <c r="D21" s="197">
        <v>5</v>
      </c>
      <c r="F21" s="122"/>
      <c r="H21" s="114">
        <v>1668.2149999999999</v>
      </c>
      <c r="I21" s="123"/>
      <c r="J21" s="64">
        <f t="shared" si="6"/>
        <v>0</v>
      </c>
      <c r="L21" s="114">
        <v>1821.6990000000001</v>
      </c>
      <c r="M21" s="66">
        <f t="shared" si="7"/>
        <v>0</v>
      </c>
      <c r="O21" s="114"/>
      <c r="P21" s="123"/>
      <c r="Q21" s="127"/>
      <c r="R21" s="64"/>
      <c r="T21" s="198"/>
      <c r="U21" s="57" t="s">
        <v>4802</v>
      </c>
      <c r="V21" s="482"/>
      <c r="X21" s="114"/>
      <c r="Y21" s="123">
        <v>6374.0060000000003</v>
      </c>
      <c r="Z21" s="116" t="s">
        <v>4805</v>
      </c>
      <c r="AA21" s="64">
        <f t="shared" si="14"/>
        <v>0</v>
      </c>
      <c r="AC21" s="198">
        <v>23258.187999999998</v>
      </c>
      <c r="AD21" s="116" t="s">
        <v>4805</v>
      </c>
      <c r="AE21" s="66">
        <f t="shared" si="15"/>
        <v>0</v>
      </c>
      <c r="AG21" s="198">
        <v>23258.187999999998</v>
      </c>
      <c r="AH21" s="123">
        <v>7533.1880000000001</v>
      </c>
      <c r="AI21" s="116" t="s">
        <v>4805</v>
      </c>
      <c r="AJ21" s="64">
        <f t="shared" si="11"/>
        <v>0.32389401960290287</v>
      </c>
      <c r="AL21" s="198">
        <v>19729.055</v>
      </c>
      <c r="AM21" s="116" t="s">
        <v>4805</v>
      </c>
      <c r="AN21" s="66">
        <f t="shared" si="16"/>
        <v>6390.1229269167488</v>
      </c>
      <c r="AP21" s="198">
        <v>19729.055</v>
      </c>
      <c r="AQ21" s="123"/>
      <c r="AR21" s="116" t="s">
        <v>4805</v>
      </c>
      <c r="AS21" s="476">
        <f t="shared" si="12"/>
        <v>0</v>
      </c>
      <c r="AU21" s="198">
        <v>17942.557000000001</v>
      </c>
      <c r="AV21" s="116" t="s">
        <v>4805</v>
      </c>
      <c r="AW21" s="66">
        <f t="shared" si="9"/>
        <v>0</v>
      </c>
      <c r="AY21" s="198">
        <v>17942.557000000001</v>
      </c>
      <c r="AZ21" s="123">
        <v>9276.6290000000008</v>
      </c>
      <c r="BA21" s="116" t="s">
        <v>4806</v>
      </c>
      <c r="BB21" s="64">
        <f t="shared" si="13"/>
        <v>0.51701822655488849</v>
      </c>
      <c r="BD21" s="198">
        <v>9737.2440000000006</v>
      </c>
      <c r="BE21" s="116" t="s">
        <v>4806</v>
      </c>
      <c r="BF21" s="66">
        <f t="shared" si="10"/>
        <v>5034.3326244122291</v>
      </c>
      <c r="BG21" s="26" t="s">
        <v>3398</v>
      </c>
      <c r="BH21" s="26" t="s">
        <v>3398</v>
      </c>
    </row>
    <row r="22" spans="1:60" x14ac:dyDescent="0.35">
      <c r="A22" s="9217"/>
      <c r="B22" s="128"/>
      <c r="C22" s="129" t="s">
        <v>479</v>
      </c>
      <c r="D22" s="209"/>
      <c r="F22" s="130"/>
      <c r="H22" s="131">
        <v>171031.36900000001</v>
      </c>
      <c r="I22" s="132"/>
      <c r="J22" s="133">
        <f t="shared" si="6"/>
        <v>0</v>
      </c>
      <c r="L22" s="131">
        <v>185791.87599999999</v>
      </c>
      <c r="M22" s="92">
        <f t="shared" si="7"/>
        <v>0</v>
      </c>
      <c r="O22" s="1781">
        <f>333685.989-150000</f>
        <v>183685.989</v>
      </c>
      <c r="P22" s="1782">
        <f>SUM(P17:P21)</f>
        <v>0</v>
      </c>
      <c r="Q22" s="98"/>
      <c r="R22" s="133">
        <f>IF(O22=0,0,P22/O22)</f>
        <v>0</v>
      </c>
      <c r="T22" s="1783">
        <v>220248.71</v>
      </c>
      <c r="U22" s="98"/>
      <c r="V22" s="1784">
        <f>SUM(V17:V21)</f>
        <v>0</v>
      </c>
      <c r="X22" s="1781">
        <v>233727.35699999999</v>
      </c>
      <c r="Y22" s="1782">
        <f>SUM(Y17:Y21)</f>
        <v>223231.68599999999</v>
      </c>
      <c r="Z22" s="98"/>
      <c r="AA22" s="133">
        <f>IF(X22=0,0,Y22/X22)</f>
        <v>0.95509438375243338</v>
      </c>
      <c r="AC22" s="1783">
        <f>SUM(AC17:AC21)</f>
        <v>281519.17100000003</v>
      </c>
      <c r="AD22" s="98"/>
      <c r="AE22" s="1785">
        <f>SUM(AE17:AE21)</f>
        <v>229484.61644678714</v>
      </c>
      <c r="AG22" s="1783">
        <f>SUM(AG17:AG21)</f>
        <v>281519.17100000003</v>
      </c>
      <c r="AH22" s="1782">
        <f>SUM(AH17:AH21)</f>
        <v>256070.71000000002</v>
      </c>
      <c r="AI22" s="98"/>
      <c r="AJ22" s="133">
        <f>IF(AG22=0,0,AH22/AG22)</f>
        <v>0.90960309768743952</v>
      </c>
      <c r="AL22" s="1783">
        <f>SUM(AL17:AL21)</f>
        <v>338630.41799999995</v>
      </c>
      <c r="AM22" s="98"/>
      <c r="AN22" s="1785">
        <f>SUM(AN17:AN21)</f>
        <v>307372.40983615542</v>
      </c>
      <c r="AP22" s="1783">
        <f>SUM(AP17:AP21)</f>
        <v>338630.41799999995</v>
      </c>
      <c r="AQ22" s="1782">
        <f>SUM(AQ17:AQ21)</f>
        <v>0</v>
      </c>
      <c r="AR22" s="98"/>
      <c r="AS22" s="484">
        <f>IF(AP22=0,0,AQ22/AP22)</f>
        <v>0</v>
      </c>
      <c r="AU22" s="1783">
        <f>SUM(AU17:AU21)</f>
        <v>352286.91800000006</v>
      </c>
      <c r="AV22" s="98"/>
      <c r="AW22" s="1785">
        <f>SUM(AW17:AW21)</f>
        <v>0</v>
      </c>
      <c r="AY22" s="1783">
        <f>SUM(AY17:AY21)</f>
        <v>334344.36100000003</v>
      </c>
      <c r="AZ22" s="1782">
        <f>SUM(AZ17:AZ21)</f>
        <v>260278.63299999997</v>
      </c>
      <c r="BA22" s="98"/>
      <c r="BB22" s="133">
        <f>IF(AY22=0,0,AZ22/AY22)</f>
        <v>0.77847472055914213</v>
      </c>
      <c r="BD22" s="1783">
        <f>SUM(BD17:BD21)</f>
        <v>379961.05</v>
      </c>
      <c r="BE22" s="98"/>
      <c r="BF22" s="1785">
        <f>SUM(BF17:BF21)</f>
        <v>304750.67223231506</v>
      </c>
      <c r="BG22" s="24"/>
      <c r="BH22" s="24"/>
    </row>
    <row r="23" spans="1:60" x14ac:dyDescent="0.35">
      <c r="A23" s="9217"/>
      <c r="B23" s="139" t="s">
        <v>480</v>
      </c>
      <c r="C23" s="49"/>
      <c r="D23" s="184"/>
      <c r="E23" s="141"/>
      <c r="F23" s="142"/>
      <c r="G23" s="143"/>
      <c r="H23" s="144"/>
      <c r="I23" s="145"/>
      <c r="J23" s="146"/>
      <c r="K23" s="141"/>
      <c r="L23" s="147"/>
      <c r="M23" s="148"/>
      <c r="N23" s="141"/>
      <c r="O23" s="144"/>
      <c r="P23" s="145"/>
      <c r="Q23" s="145"/>
      <c r="R23" s="146"/>
      <c r="S23" s="141"/>
      <c r="T23" s="151"/>
      <c r="U23" s="145"/>
      <c r="V23" s="148"/>
      <c r="W23" s="141"/>
      <c r="X23" s="144"/>
      <c r="Y23" s="145"/>
      <c r="Z23" s="145"/>
      <c r="AA23" s="146"/>
      <c r="AB23" s="141"/>
      <c r="AC23" s="517"/>
      <c r="AD23" s="145"/>
      <c r="AE23" s="148"/>
      <c r="AF23" s="141"/>
      <c r="AG23" s="517"/>
      <c r="AH23" s="145"/>
      <c r="AI23" s="145"/>
      <c r="AJ23" s="146"/>
      <c r="AK23" s="141"/>
      <c r="AL23" s="517"/>
      <c r="AM23" s="145"/>
      <c r="AN23" s="148"/>
      <c r="AO23" s="141"/>
      <c r="AP23" s="517"/>
      <c r="AQ23" s="145"/>
      <c r="AR23" s="145"/>
      <c r="AS23" s="486"/>
      <c r="AT23" s="141"/>
      <c r="AU23" s="517"/>
      <c r="AV23" s="145"/>
      <c r="AW23" s="148"/>
      <c r="AX23" s="141"/>
      <c r="AY23" s="517"/>
      <c r="AZ23" s="145"/>
      <c r="BA23" s="145"/>
      <c r="BB23" s="146"/>
      <c r="BC23" s="141"/>
      <c r="BD23" s="517"/>
      <c r="BE23" s="145"/>
      <c r="BF23" s="148"/>
      <c r="BG23" s="18"/>
      <c r="BH23" s="18"/>
    </row>
    <row r="24" spans="1:60" x14ac:dyDescent="0.35">
      <c r="A24" s="9217"/>
      <c r="B24" s="6082"/>
      <c r="C24" s="110" t="s">
        <v>483</v>
      </c>
      <c r="D24" s="197"/>
      <c r="F24" s="155"/>
      <c r="H24" s="117"/>
      <c r="I24" s="115"/>
      <c r="J24" s="64">
        <f t="shared" ref="J24:J27" si="17">IF(H24=0,0,I24/H24)</f>
        <v>0</v>
      </c>
      <c r="L24" s="156"/>
      <c r="M24" s="157">
        <f t="shared" ref="M24:M27" si="18">L24*J24</f>
        <v>0</v>
      </c>
      <c r="O24" s="117"/>
      <c r="P24" s="115"/>
      <c r="Q24" s="127" t="s">
        <v>639</v>
      </c>
      <c r="R24" s="64">
        <f>IF(O24=0,0,P24/O24)</f>
        <v>0</v>
      </c>
      <c r="T24" s="200"/>
      <c r="U24" s="127" t="s">
        <v>639</v>
      </c>
      <c r="V24" s="273"/>
      <c r="X24" s="117"/>
      <c r="Y24" s="115">
        <v>88015.585000000006</v>
      </c>
      <c r="Z24" s="116" t="s">
        <v>4807</v>
      </c>
      <c r="AA24" s="64">
        <f>IF(X24=0,0,Y24/X24)</f>
        <v>0</v>
      </c>
      <c r="AC24" s="200">
        <v>99292.990999999995</v>
      </c>
      <c r="AD24" s="116" t="s">
        <v>4807</v>
      </c>
      <c r="AE24" s="9515" t="s">
        <v>4808</v>
      </c>
      <c r="AG24" s="200">
        <v>99292.990999999995</v>
      </c>
      <c r="AH24" s="115">
        <v>95765.36</v>
      </c>
      <c r="AI24" s="116" t="s">
        <v>4807</v>
      </c>
      <c r="AJ24" s="64">
        <f>IF(AG24=0,0,AH24/AG24)</f>
        <v>0.96447250743005619</v>
      </c>
      <c r="AL24" s="200">
        <v>113754.601</v>
      </c>
      <c r="AM24" s="116" t="s">
        <v>4807</v>
      </c>
      <c r="AN24" s="9515" t="s">
        <v>4808</v>
      </c>
      <c r="AP24" s="200">
        <v>113754.601</v>
      </c>
      <c r="AQ24" s="115"/>
      <c r="AR24" s="116" t="s">
        <v>4807</v>
      </c>
      <c r="AS24" s="476">
        <f>IF(AP24=0,0,AQ24/AP24)</f>
        <v>0</v>
      </c>
      <c r="AU24" s="200">
        <v>141852.75099999999</v>
      </c>
      <c r="AV24" s="116" t="s">
        <v>4807</v>
      </c>
      <c r="AW24" s="9515"/>
      <c r="AY24" s="200">
        <v>141852.75099999999</v>
      </c>
      <c r="AZ24" s="115">
        <v>118504.54399999999</v>
      </c>
      <c r="BA24" s="116" t="s">
        <v>4809</v>
      </c>
      <c r="BB24" s="64">
        <f>IF(AY24=0,0,AZ24/AY24)</f>
        <v>0.83540532816314572</v>
      </c>
      <c r="BD24" s="200">
        <v>136710.601</v>
      </c>
      <c r="BE24" s="116" t="s">
        <v>4809</v>
      </c>
      <c r="BF24" s="4667">
        <f t="shared" ref="BF24:BF27" si="19">BD24*BB24</f>
        <v>114208.76449178587</v>
      </c>
      <c r="BG24" s="26"/>
      <c r="BH24" s="26"/>
    </row>
    <row r="25" spans="1:60" x14ac:dyDescent="0.35">
      <c r="A25" s="9217"/>
      <c r="B25" s="6082"/>
      <c r="C25" s="110" t="s">
        <v>489</v>
      </c>
      <c r="D25" s="197"/>
      <c r="F25" s="155"/>
      <c r="H25" s="117"/>
      <c r="I25" s="115"/>
      <c r="J25" s="64">
        <f t="shared" si="17"/>
        <v>0</v>
      </c>
      <c r="L25" s="156"/>
      <c r="M25" s="157">
        <f t="shared" si="18"/>
        <v>0</v>
      </c>
      <c r="O25" s="117"/>
      <c r="P25" s="115"/>
      <c r="Q25" s="127"/>
      <c r="R25" s="64">
        <f>IF(O25=0,0,P25/O25)</f>
        <v>0</v>
      </c>
      <c r="T25" s="200"/>
      <c r="U25" s="57"/>
      <c r="V25" s="273"/>
      <c r="X25" s="117"/>
      <c r="Y25" s="115"/>
      <c r="Z25" s="127"/>
      <c r="AA25" s="64">
        <f>IF(X25=0,0,Y25/X25)</f>
        <v>0</v>
      </c>
      <c r="AC25" s="200"/>
      <c r="AD25" s="57"/>
      <c r="AE25" s="9515"/>
      <c r="AG25" s="200"/>
      <c r="AH25" s="115"/>
      <c r="AI25" s="57"/>
      <c r="AJ25" s="64">
        <f>IF(AG25=0,0,AH25/AG25)</f>
        <v>0</v>
      </c>
      <c r="AL25" s="200"/>
      <c r="AM25" s="57"/>
      <c r="AN25" s="9515"/>
      <c r="AP25" s="200"/>
      <c r="AQ25" s="115"/>
      <c r="AR25" s="57"/>
      <c r="AS25" s="476">
        <f>IF(AP25=0,0,AQ25/AP25)</f>
        <v>0</v>
      </c>
      <c r="AU25" s="200"/>
      <c r="AV25" s="57"/>
      <c r="AW25" s="9515"/>
      <c r="AY25" s="200"/>
      <c r="AZ25" s="115"/>
      <c r="BA25" s="57"/>
      <c r="BB25" s="64">
        <f>IF(AY25=0,0,AZ25/AY25)</f>
        <v>0</v>
      </c>
      <c r="BD25" s="200"/>
      <c r="BE25" s="57"/>
      <c r="BF25" s="4667"/>
      <c r="BG25" s="26"/>
      <c r="BH25" s="26"/>
    </row>
    <row r="26" spans="1:60" x14ac:dyDescent="0.35">
      <c r="A26" s="9217"/>
      <c r="B26" s="6082"/>
      <c r="C26" s="110" t="s">
        <v>490</v>
      </c>
      <c r="D26" s="197">
        <v>6</v>
      </c>
      <c r="F26" s="155"/>
      <c r="H26" s="117">
        <v>9763.2407500000008</v>
      </c>
      <c r="I26" s="115"/>
      <c r="J26" s="64">
        <f t="shared" si="17"/>
        <v>0</v>
      </c>
      <c r="L26" s="156">
        <v>10000</v>
      </c>
      <c r="M26" s="157">
        <f t="shared" si="18"/>
        <v>0</v>
      </c>
      <c r="O26" s="117"/>
      <c r="P26" s="115"/>
      <c r="Q26" s="127"/>
      <c r="R26" s="64">
        <f>IF(O26=0,0,P26/O26)</f>
        <v>0</v>
      </c>
      <c r="T26" s="198"/>
      <c r="U26" s="106"/>
      <c r="V26" s="482"/>
      <c r="X26" s="1786" t="s">
        <v>4810</v>
      </c>
      <c r="Y26" s="115">
        <v>12687.681</v>
      </c>
      <c r="Z26" s="116" t="s">
        <v>4811</v>
      </c>
      <c r="AA26" s="64" t="e">
        <f>IF(X26=0,0,Y26/X26)</f>
        <v>#VALUE!</v>
      </c>
      <c r="AC26" s="198">
        <v>16960.705999999998</v>
      </c>
      <c r="AD26" s="116" t="s">
        <v>4811</v>
      </c>
      <c r="AE26" s="9515"/>
      <c r="AG26" s="198">
        <v>16960.705999999998</v>
      </c>
      <c r="AH26" s="115">
        <v>17311.019</v>
      </c>
      <c r="AI26" s="116" t="s">
        <v>4811</v>
      </c>
      <c r="AJ26" s="64">
        <f>IF(AG26=0,0,AH26/AG26)</f>
        <v>1.0206543878539021</v>
      </c>
      <c r="AL26" s="198">
        <v>23233.383999999998</v>
      </c>
      <c r="AM26" s="116" t="s">
        <v>4811</v>
      </c>
      <c r="AN26" s="9515"/>
      <c r="AP26" s="198">
        <v>23233.383999999998</v>
      </c>
      <c r="AQ26" s="115"/>
      <c r="AR26" s="116" t="s">
        <v>4811</v>
      </c>
      <c r="AS26" s="476">
        <f>IF(AP26=0,0,AQ26/AP26)</f>
        <v>0</v>
      </c>
      <c r="AU26" s="198">
        <v>20002</v>
      </c>
      <c r="AV26" s="116" t="s">
        <v>4811</v>
      </c>
      <c r="AW26" s="9515"/>
      <c r="AY26" s="198">
        <v>20002</v>
      </c>
      <c r="AZ26" s="115">
        <v>30173.387999999999</v>
      </c>
      <c r="BA26" s="116" t="s">
        <v>4812</v>
      </c>
      <c r="BB26" s="64">
        <f>IF(AY26=0,0,AZ26/AY26)</f>
        <v>1.5085185481451855</v>
      </c>
      <c r="BD26" s="198">
        <v>33616.54</v>
      </c>
      <c r="BE26" s="116" t="s">
        <v>4812</v>
      </c>
      <c r="BF26" s="4667">
        <f>BD26*100%</f>
        <v>33616.54</v>
      </c>
      <c r="BG26" s="26" t="s">
        <v>4813</v>
      </c>
      <c r="BH26" s="26" t="s">
        <v>4813</v>
      </c>
    </row>
    <row r="27" spans="1:60" x14ac:dyDescent="0.35">
      <c r="A27" s="9217"/>
      <c r="B27" s="6082"/>
      <c r="C27" s="161" t="s">
        <v>497</v>
      </c>
      <c r="D27" s="610"/>
      <c r="F27" s="163"/>
      <c r="H27" s="164"/>
      <c r="I27" s="165"/>
      <c r="J27" s="64">
        <f t="shared" si="17"/>
        <v>0</v>
      </c>
      <c r="L27" s="166"/>
      <c r="M27" s="157">
        <f t="shared" si="18"/>
        <v>0</v>
      </c>
      <c r="O27" s="164"/>
      <c r="P27" s="165"/>
      <c r="Q27" s="106"/>
      <c r="R27" s="64">
        <f>IF(O27=0,0,P27/O27)</f>
        <v>0</v>
      </c>
      <c r="T27" s="1783"/>
      <c r="U27" s="98"/>
      <c r="V27" s="1784"/>
      <c r="X27" s="164"/>
      <c r="Y27" s="165">
        <v>16.594999999999999</v>
      </c>
      <c r="Z27" s="98" t="s">
        <v>4814</v>
      </c>
      <c r="AA27" s="64">
        <f>IF(X27=0,0,Y27/X27)</f>
        <v>0</v>
      </c>
      <c r="AC27" s="1783">
        <v>9.5229999999999997</v>
      </c>
      <c r="AD27" s="98" t="s">
        <v>4814</v>
      </c>
      <c r="AE27" s="9516"/>
      <c r="AG27" s="1783">
        <v>9.5229999999999997</v>
      </c>
      <c r="AH27" s="165">
        <v>13.61</v>
      </c>
      <c r="AI27" s="98" t="s">
        <v>4814</v>
      </c>
      <c r="AJ27" s="64">
        <f>IF(AG27=0,0,AH27/AG27)</f>
        <v>1.429171479575764</v>
      </c>
      <c r="AL27" s="1783">
        <v>10.843999999999999</v>
      </c>
      <c r="AM27" s="98" t="s">
        <v>4814</v>
      </c>
      <c r="AN27" s="9516"/>
      <c r="AP27" s="1783">
        <v>10.843999999999999</v>
      </c>
      <c r="AQ27" s="165"/>
      <c r="AR27" s="98" t="s">
        <v>4814</v>
      </c>
      <c r="AS27" s="476">
        <f>IF(AP27=0,0,AQ27/AP27)</f>
        <v>0</v>
      </c>
      <c r="AU27" s="1783">
        <v>10</v>
      </c>
      <c r="AV27" s="98" t="s">
        <v>4814</v>
      </c>
      <c r="AW27" s="9516"/>
      <c r="AY27" s="1783">
        <v>10</v>
      </c>
      <c r="AZ27" s="165">
        <v>39.365000000000002</v>
      </c>
      <c r="BA27" s="98" t="s">
        <v>4815</v>
      </c>
      <c r="BB27" s="64">
        <f>IF(AY27=0,0,AZ27/AY27)</f>
        <v>3.9365000000000001</v>
      </c>
      <c r="BD27" s="1783">
        <v>28.919</v>
      </c>
      <c r="BE27" s="98" t="s">
        <v>4814</v>
      </c>
      <c r="BF27" s="8553">
        <f t="shared" si="19"/>
        <v>113.83964350000001</v>
      </c>
      <c r="BG27" s="26"/>
      <c r="BH27" s="26"/>
    </row>
    <row r="28" spans="1:60" x14ac:dyDescent="0.35">
      <c r="A28" s="9217"/>
      <c r="B28" s="128"/>
      <c r="C28" s="129" t="s">
        <v>499</v>
      </c>
      <c r="D28" s="209"/>
      <c r="F28" s="169">
        <f>IF(F25=0,0,(F26-F27)/F25)</f>
        <v>0</v>
      </c>
      <c r="G28" s="170"/>
      <c r="H28" s="171">
        <f t="shared" ref="H28:I28" si="20">IF(H25=0,0,(H26-H27)/H25)</f>
        <v>0</v>
      </c>
      <c r="I28" s="172">
        <f t="shared" si="20"/>
        <v>0</v>
      </c>
      <c r="J28" s="173"/>
      <c r="K28" s="170"/>
      <c r="L28" s="174">
        <f>IF(L25=0,0,L26/L25)</f>
        <v>0</v>
      </c>
      <c r="M28" s="175">
        <f>IF(M25=0,0,M26/M25)</f>
        <v>0</v>
      </c>
      <c r="N28" s="176"/>
      <c r="O28" s="171">
        <f t="shared" ref="O28" si="21">IF(O25=0,0,(O26-O27)/O25)</f>
        <v>0</v>
      </c>
      <c r="P28" s="177"/>
      <c r="Q28" s="177"/>
      <c r="R28" s="173"/>
      <c r="S28" s="170"/>
      <c r="T28" s="174">
        <f>IF(T25=0,0,T26/T25)</f>
        <v>0</v>
      </c>
      <c r="U28" s="177"/>
      <c r="V28" s="175">
        <f>IF(V25=0,0,V26/V25)</f>
        <v>0</v>
      </c>
      <c r="W28" s="176"/>
      <c r="X28" s="1135">
        <f>Y28</f>
        <v>0.14396411726400501</v>
      </c>
      <c r="Y28" s="177">
        <f>(Y26-Y27)/Y24</f>
        <v>0.14396411726400501</v>
      </c>
      <c r="Z28" s="177"/>
      <c r="AA28" s="173"/>
      <c r="AB28" s="170"/>
      <c r="AC28" s="615">
        <f>(AC26-AC27)/AC24</f>
        <v>0.1707188274749423</v>
      </c>
      <c r="AD28" s="177"/>
      <c r="AE28" s="1139">
        <f>Y28</f>
        <v>0.14396411726400501</v>
      </c>
      <c r="AF28" s="176"/>
      <c r="AG28" s="615">
        <f>(AG26-AG27)/AG24</f>
        <v>0.1707188274749423</v>
      </c>
      <c r="AH28" s="1026">
        <f>(AH26-AH27)/AH24</f>
        <v>0.18062281601614613</v>
      </c>
      <c r="AI28" s="177"/>
      <c r="AJ28" s="173"/>
      <c r="AK28" s="170"/>
      <c r="AL28" s="615">
        <f>(AL26-AL27)/AL24</f>
        <v>0.20414594043541148</v>
      </c>
      <c r="AM28" s="177"/>
      <c r="AN28" s="1139">
        <f>AH28</f>
        <v>0.18062281601614613</v>
      </c>
      <c r="AO28" s="176"/>
      <c r="AP28" s="7340">
        <f>(AP26-AP27)/AP24</f>
        <v>0.20414594043541148</v>
      </c>
      <c r="AQ28" s="854"/>
      <c r="AR28" s="7304"/>
      <c r="AS28" s="494"/>
      <c r="AT28" s="170"/>
      <c r="AU28" s="7340">
        <f>(AU26-AU27)/AU24</f>
        <v>0.14093487689921502</v>
      </c>
      <c r="AV28" s="7341"/>
      <c r="AW28" s="6008"/>
      <c r="AX28" s="176"/>
      <c r="AY28" s="8554">
        <f>(AY26-AY27)/AY24</f>
        <v>0.14093487689921502</v>
      </c>
      <c r="AZ28" s="1026">
        <f>(AZ26-AZ27)/AZ24</f>
        <v>0.25428580190140221</v>
      </c>
      <c r="BA28" s="1141"/>
      <c r="BB28" s="173"/>
      <c r="BC28" s="170"/>
      <c r="BD28" s="8554">
        <f>(BD26-BD27)/BD24</f>
        <v>0.24568410024033177</v>
      </c>
      <c r="BE28" s="8555"/>
      <c r="BF28" s="1139"/>
      <c r="BG28" s="24"/>
      <c r="BH28" s="24"/>
    </row>
    <row r="29" spans="1:60" x14ac:dyDescent="0.35">
      <c r="A29" s="9217"/>
      <c r="B29" s="139" t="s">
        <v>552</v>
      </c>
      <c r="C29" s="831"/>
      <c r="D29" s="197"/>
      <c r="F29" s="205"/>
      <c r="H29" s="777"/>
      <c r="I29" s="1341"/>
      <c r="J29" s="188"/>
      <c r="L29" s="777"/>
      <c r="M29" s="148"/>
      <c r="O29" s="189"/>
      <c r="P29" s="190"/>
      <c r="Q29" s="190"/>
      <c r="R29" s="191"/>
      <c r="S29" s="170"/>
      <c r="T29" s="1019"/>
      <c r="U29" s="202"/>
      <c r="V29" s="1020"/>
      <c r="X29" s="189"/>
      <c r="Y29" s="190"/>
      <c r="Z29" s="190"/>
      <c r="AA29" s="191"/>
      <c r="AB29" s="170"/>
      <c r="AC29" s="1019"/>
      <c r="AD29" s="202"/>
      <c r="AE29" s="1020"/>
      <c r="AG29" s="1019"/>
      <c r="AH29" s="190"/>
      <c r="AI29" s="202"/>
      <c r="AJ29" s="191"/>
      <c r="AK29" s="170"/>
      <c r="AL29" s="1019"/>
      <c r="AM29" s="202"/>
      <c r="AN29" s="1020"/>
      <c r="AP29" s="836"/>
      <c r="AQ29" s="839"/>
      <c r="AR29" s="834"/>
      <c r="AS29" s="840"/>
      <c r="AT29" s="170"/>
      <c r="AU29" s="836"/>
      <c r="AV29" s="834"/>
      <c r="AW29" s="837"/>
      <c r="AY29" s="1019"/>
      <c r="AZ29" s="190"/>
      <c r="BA29" s="202"/>
      <c r="BB29" s="191"/>
      <c r="BC29" s="170"/>
      <c r="BD29" s="1019"/>
      <c r="BE29" s="202"/>
      <c r="BF29" s="1020"/>
      <c r="BG29" s="18"/>
      <c r="BH29" s="18"/>
    </row>
    <row r="30" spans="1:60" x14ac:dyDescent="0.35">
      <c r="A30" s="9217"/>
      <c r="B30" s="196"/>
      <c r="C30" s="121" t="s">
        <v>11</v>
      </c>
      <c r="D30" s="197"/>
      <c r="F30" s="841"/>
      <c r="H30" s="198"/>
      <c r="I30" s="199"/>
      <c r="J30" s="64"/>
      <c r="L30" s="198"/>
      <c r="M30" s="157"/>
      <c r="O30" s="200"/>
      <c r="P30" s="201"/>
      <c r="Q30" s="1787" t="s">
        <v>639</v>
      </c>
      <c r="R30" s="203"/>
      <c r="S30" s="170"/>
      <c r="T30" s="198"/>
      <c r="U30" s="127" t="s">
        <v>639</v>
      </c>
      <c r="V30" s="482"/>
      <c r="X30" s="200"/>
      <c r="Y30" s="201"/>
      <c r="Z30" s="1787" t="s">
        <v>639</v>
      </c>
      <c r="AA30" s="203"/>
      <c r="AB30" s="170"/>
      <c r="AC30" s="198"/>
      <c r="AD30" s="127" t="s">
        <v>639</v>
      </c>
      <c r="AE30" s="482"/>
      <c r="AG30" s="198"/>
      <c r="AH30" s="201"/>
      <c r="AI30" s="127" t="s">
        <v>639</v>
      </c>
      <c r="AJ30" s="203"/>
      <c r="AK30" s="170"/>
      <c r="AL30" s="198"/>
      <c r="AM30" s="127" t="s">
        <v>639</v>
      </c>
      <c r="AN30" s="482"/>
      <c r="AP30" s="198"/>
      <c r="AQ30" s="201"/>
      <c r="AR30" s="127" t="s">
        <v>639</v>
      </c>
      <c r="AS30" s="835"/>
      <c r="AT30" s="170"/>
      <c r="AU30" s="198"/>
      <c r="AV30" s="127" t="s">
        <v>639</v>
      </c>
      <c r="AW30" s="482"/>
      <c r="AY30" s="198"/>
      <c r="AZ30" s="201"/>
      <c r="BA30" s="127" t="s">
        <v>639</v>
      </c>
      <c r="BB30" s="203"/>
      <c r="BC30" s="170"/>
      <c r="BD30" s="198"/>
      <c r="BE30" s="127" t="s">
        <v>639</v>
      </c>
      <c r="BF30" s="482"/>
      <c r="BG30" s="1788"/>
      <c r="BH30" s="1788"/>
    </row>
    <row r="31" spans="1:60" x14ac:dyDescent="0.35">
      <c r="A31" s="9217"/>
      <c r="B31" s="207"/>
      <c r="C31" s="208" t="s">
        <v>502</v>
      </c>
      <c r="D31" s="209"/>
      <c r="F31" s="210"/>
      <c r="H31" s="211"/>
      <c r="I31" s="212"/>
      <c r="J31" s="133"/>
      <c r="L31" s="211"/>
      <c r="M31" s="213"/>
      <c r="O31" s="214"/>
      <c r="P31" s="215"/>
      <c r="Q31" s="216"/>
      <c r="R31" s="133">
        <f>IF(O31=0,0,P31/O31)</f>
        <v>0</v>
      </c>
      <c r="T31" s="1783"/>
      <c r="U31" s="98"/>
      <c r="V31" s="1784"/>
      <c r="X31" s="214"/>
      <c r="Y31" s="215"/>
      <c r="Z31" s="216"/>
      <c r="AA31" s="133">
        <f>IF(X31=0,0,Y31/X31)</f>
        <v>0</v>
      </c>
      <c r="AC31" s="1783"/>
      <c r="AD31" s="98"/>
      <c r="AE31" s="1784"/>
      <c r="AG31" s="1783"/>
      <c r="AH31" s="215"/>
      <c r="AI31" s="98"/>
      <c r="AJ31" s="133">
        <f>IF(AG31=0,0,AH31/AG31)</f>
        <v>0</v>
      </c>
      <c r="AL31" s="1783"/>
      <c r="AM31" s="98"/>
      <c r="AN31" s="1784"/>
      <c r="AP31" s="1783"/>
      <c r="AQ31" s="215"/>
      <c r="AR31" s="98"/>
      <c r="AS31" s="484">
        <f>IF(AP31=0,0,AQ31/AP31)</f>
        <v>0</v>
      </c>
      <c r="AU31" s="1783"/>
      <c r="AV31" s="98"/>
      <c r="AW31" s="1784"/>
      <c r="AY31" s="1783"/>
      <c r="AZ31" s="215"/>
      <c r="BA31" s="98"/>
      <c r="BB31" s="133">
        <f>IF(AY31=0,0,AZ31/AY31)</f>
        <v>0</v>
      </c>
      <c r="BD31" s="1783"/>
      <c r="BE31" s="98"/>
      <c r="BF31" s="1784"/>
      <c r="BG31" s="1789"/>
      <c r="BH31" s="1789"/>
    </row>
    <row r="32" spans="1:60" x14ac:dyDescent="0.35">
      <c r="A32" s="220"/>
      <c r="B32" s="220"/>
      <c r="F32" s="106"/>
      <c r="H32" s="106"/>
      <c r="I32" s="106"/>
      <c r="J32" s="221"/>
      <c r="L32" s="106"/>
      <c r="O32" s="106"/>
      <c r="P32" s="106"/>
      <c r="Q32" s="106"/>
      <c r="R32" s="221"/>
      <c r="T32" s="106"/>
      <c r="U32" s="106"/>
      <c r="X32" s="106"/>
      <c r="Y32" s="106"/>
      <c r="Z32" s="106"/>
      <c r="AA32" s="221"/>
      <c r="AC32" s="106"/>
      <c r="AD32" s="106"/>
      <c r="AG32" s="106"/>
      <c r="AH32" s="106"/>
      <c r="AI32" s="106"/>
      <c r="AJ32" s="221"/>
      <c r="AL32" s="106"/>
      <c r="AM32" s="106"/>
      <c r="AP32" s="106"/>
      <c r="AQ32" s="106"/>
      <c r="AR32" s="106"/>
      <c r="AS32" s="221"/>
      <c r="AU32" s="106"/>
      <c r="AV32" s="106"/>
      <c r="AY32" s="106"/>
      <c r="AZ32" s="106"/>
      <c r="BA32" s="106"/>
      <c r="BB32" s="221"/>
      <c r="BD32" s="106"/>
      <c r="BE32" s="106"/>
    </row>
    <row r="33" spans="1:60" ht="27.75" customHeight="1" x14ac:dyDescent="0.35">
      <c r="A33" s="9167" t="s">
        <v>503</v>
      </c>
      <c r="B33" s="27"/>
      <c r="C33" s="28" t="s">
        <v>427</v>
      </c>
      <c r="D33" s="585" t="s">
        <v>428</v>
      </c>
      <c r="E33" s="30"/>
      <c r="F33" s="222"/>
      <c r="G33" s="223"/>
      <c r="H33" s="222"/>
      <c r="I33" s="222"/>
      <c r="J33" s="224"/>
      <c r="K33" s="223"/>
      <c r="L33" s="222"/>
      <c r="M33" s="511"/>
      <c r="N33" s="30"/>
      <c r="O33" s="8314" t="s">
        <v>4816</v>
      </c>
      <c r="P33" s="8315"/>
      <c r="Q33" s="1790" t="s">
        <v>4817</v>
      </c>
      <c r="R33" s="224"/>
      <c r="S33" s="223"/>
      <c r="T33" s="8314" t="s">
        <v>4816</v>
      </c>
      <c r="U33" s="1790" t="s">
        <v>4817</v>
      </c>
      <c r="V33" s="36"/>
      <c r="W33" s="30"/>
      <c r="X33" s="8314" t="s">
        <v>4818</v>
      </c>
      <c r="Y33" s="8315" t="s">
        <v>4819</v>
      </c>
      <c r="Z33" s="1790" t="s">
        <v>4817</v>
      </c>
      <c r="AA33" s="224"/>
      <c r="AB33" s="223"/>
      <c r="AC33" s="8314" t="s">
        <v>4816</v>
      </c>
      <c r="AD33" s="1790" t="s">
        <v>4817</v>
      </c>
      <c r="AE33" s="36"/>
      <c r="AF33" s="30"/>
      <c r="AG33" s="31" t="s">
        <v>4763</v>
      </c>
      <c r="AH33" s="8315" t="s">
        <v>4765</v>
      </c>
      <c r="AI33" s="1790" t="s">
        <v>4817</v>
      </c>
      <c r="AJ33" s="224"/>
      <c r="AK33" s="223"/>
      <c r="AL33" s="8315" t="s">
        <v>4765</v>
      </c>
      <c r="AM33" s="1790" t="s">
        <v>4817</v>
      </c>
      <c r="AN33" s="36"/>
      <c r="AO33" s="30"/>
      <c r="AP33" s="31" t="s">
        <v>4763</v>
      </c>
      <c r="AQ33" s="8315" t="s">
        <v>4765</v>
      </c>
      <c r="AR33" s="6292" t="s">
        <v>4817</v>
      </c>
      <c r="AS33" s="224"/>
      <c r="AT33" s="223"/>
      <c r="AU33" s="36" t="s">
        <v>4765</v>
      </c>
      <c r="AV33" s="6292" t="s">
        <v>4817</v>
      </c>
      <c r="AW33" s="36"/>
      <c r="AX33" s="30"/>
      <c r="AY33" s="31" t="s">
        <v>4820</v>
      </c>
      <c r="AZ33" s="31" t="s">
        <v>4767</v>
      </c>
      <c r="BA33" s="1790" t="s">
        <v>4817</v>
      </c>
      <c r="BB33" s="224"/>
      <c r="BC33" s="223"/>
      <c r="BD33" s="31" t="s">
        <v>4767</v>
      </c>
      <c r="BE33" s="1790" t="s">
        <v>4817</v>
      </c>
      <c r="BF33" s="36"/>
      <c r="BG33" s="39"/>
      <c r="BH33" s="39"/>
    </row>
    <row r="34" spans="1:60" ht="32" x14ac:dyDescent="0.35">
      <c r="A34" s="9168"/>
      <c r="B34" s="141" t="s">
        <v>514</v>
      </c>
      <c r="C34"/>
      <c r="D34" s="184"/>
      <c r="E34" s="143"/>
      <c r="F34" s="227"/>
      <c r="G34" s="143"/>
      <c r="H34" s="102" t="s">
        <v>4821</v>
      </c>
      <c r="I34" s="103"/>
      <c r="J34" s="228"/>
      <c r="K34" s="143"/>
      <c r="L34" s="102" t="s">
        <v>4821</v>
      </c>
      <c r="M34" s="229"/>
      <c r="N34" s="143"/>
      <c r="O34" s="102"/>
      <c r="P34" s="103"/>
      <c r="Q34"/>
      <c r="R34" s="228"/>
      <c r="S34" s="143"/>
      <c r="T34" s="102"/>
      <c r="U34" s="103"/>
      <c r="V34" s="49"/>
      <c r="W34" s="143"/>
      <c r="X34" s="1791" t="s">
        <v>4822</v>
      </c>
      <c r="Y34" s="1792" t="s">
        <v>4823</v>
      </c>
      <c r="Z34"/>
      <c r="AA34" s="228"/>
      <c r="AB34" s="143"/>
      <c r="AC34" s="102"/>
      <c r="AD34" s="103"/>
      <c r="AE34" s="49"/>
      <c r="AF34" s="143"/>
      <c r="AG34" s="102"/>
      <c r="AH34" s="1792" t="s">
        <v>4823</v>
      </c>
      <c r="AI34" s="103"/>
      <c r="AJ34" s="228"/>
      <c r="AK34" s="143"/>
      <c r="AL34" s="1793" t="s">
        <v>4824</v>
      </c>
      <c r="AM34" s="103"/>
      <c r="AN34" s="49"/>
      <c r="AO34" s="143"/>
      <c r="AP34" s="102"/>
      <c r="AQ34" s="1792" t="s">
        <v>4823</v>
      </c>
      <c r="AR34" s="103"/>
      <c r="AS34" s="228"/>
      <c r="AT34" s="143"/>
      <c r="AU34" s="1793" t="s">
        <v>4824</v>
      </c>
      <c r="AV34" s="103"/>
      <c r="AW34" s="49"/>
      <c r="AX34" s="143"/>
      <c r="AY34" s="102"/>
      <c r="AZ34" s="1792"/>
      <c r="BA34" s="103" t="s">
        <v>4825</v>
      </c>
      <c r="BB34" s="228"/>
      <c r="BC34" s="143"/>
      <c r="BD34" s="1791" t="s">
        <v>4826</v>
      </c>
      <c r="BE34" s="103" t="s">
        <v>4825</v>
      </c>
      <c r="BF34" s="49"/>
      <c r="BG34" s="18"/>
      <c r="BH34" s="18"/>
    </row>
    <row r="35" spans="1:60" x14ac:dyDescent="0.35">
      <c r="A35" s="9168"/>
      <c r="B35" s="240"/>
      <c r="C35" s="240" t="s">
        <v>4827</v>
      </c>
      <c r="D35" s="197">
        <v>7</v>
      </c>
      <c r="F35" s="111">
        <v>19256</v>
      </c>
      <c r="H35" s="112">
        <v>28064.421999999999</v>
      </c>
      <c r="I35" s="113"/>
      <c r="J35" s="64">
        <f t="shared" ref="J35:J38" si="22">IF(H35=0,0,I35/H35)</f>
        <v>0</v>
      </c>
      <c r="L35" s="112">
        <f>28937.226</f>
        <v>28937.225999999999</v>
      </c>
      <c r="M35" s="157">
        <f t="shared" ref="M35:M38" si="23">L35*J35</f>
        <v>0</v>
      </c>
      <c r="O35" s="112">
        <f>27869.243+1085.998</f>
        <v>28955.240999999998</v>
      </c>
      <c r="P35" s="115"/>
      <c r="Q35" s="57" t="s">
        <v>4828</v>
      </c>
      <c r="R35" s="64">
        <f>IF(O35=0,0,P35/O35)</f>
        <v>0</v>
      </c>
      <c r="T35" s="112">
        <f>13209.4+25117.807</f>
        <v>38327.207000000002</v>
      </c>
      <c r="U35" s="57" t="s">
        <v>4828</v>
      </c>
      <c r="V35" s="1794"/>
      <c r="X35" s="112">
        <f>7612.531+29557.519</f>
        <v>37170.050000000003</v>
      </c>
      <c r="Y35" s="115">
        <v>35206.767999999996</v>
      </c>
      <c r="Z35" s="57"/>
      <c r="AA35" s="64">
        <f>IF(X35=0,0,Y35/X35)</f>
        <v>0.94718107723826017</v>
      </c>
      <c r="AC35" s="112">
        <v>39606.17</v>
      </c>
      <c r="AD35" s="57" t="s">
        <v>2894</v>
      </c>
      <c r="AE35" s="157">
        <f>AC35*AA35</f>
        <v>37514.214765881661</v>
      </c>
      <c r="AG35" s="112">
        <v>39606.17</v>
      </c>
      <c r="AH35" s="115">
        <v>39270.03</v>
      </c>
      <c r="AI35" s="57" t="s">
        <v>2894</v>
      </c>
      <c r="AJ35" s="64">
        <f>IF(AG35=0,0,AH35/AG35)</f>
        <v>0.99151293851437794</v>
      </c>
      <c r="AL35" s="112">
        <v>46180.76</v>
      </c>
      <c r="AM35" s="57" t="s">
        <v>2894</v>
      </c>
      <c r="AN35" s="157">
        <f>AL35*AJ35</f>
        <v>45788.821050427243</v>
      </c>
      <c r="AP35" s="112">
        <v>46180.76</v>
      </c>
      <c r="AQ35" s="115"/>
      <c r="AR35" s="57" t="s">
        <v>4829</v>
      </c>
      <c r="AS35" s="476">
        <f>IF(AP35=0,0,AQ35/AP35)</f>
        <v>0</v>
      </c>
      <c r="AU35" s="112">
        <v>56541.379000000001</v>
      </c>
      <c r="AV35" s="57" t="s">
        <v>4829</v>
      </c>
      <c r="AW35" s="157">
        <f>AU35*AS35</f>
        <v>0</v>
      </c>
      <c r="AY35" s="112">
        <v>56541.379000000001</v>
      </c>
      <c r="AZ35" s="115">
        <v>47701.464999999997</v>
      </c>
      <c r="BA35" s="57" t="s">
        <v>2871</v>
      </c>
      <c r="BB35" s="64">
        <f>IF(AY35=0,0,AZ35/AY35)</f>
        <v>0.84365584716283615</v>
      </c>
      <c r="BD35" s="112">
        <v>58082.898999999998</v>
      </c>
      <c r="BE35" s="57" t="s">
        <v>2871</v>
      </c>
      <c r="BF35" s="157">
        <f>BD35*BB35</f>
        <v>49001.977361518446</v>
      </c>
      <c r="BG35" s="723" t="s">
        <v>4830</v>
      </c>
      <c r="BH35" s="723" t="s">
        <v>4830</v>
      </c>
    </row>
    <row r="36" spans="1:60" x14ac:dyDescent="0.35">
      <c r="A36" s="9168"/>
      <c r="B36" s="240"/>
      <c r="C36" s="240" t="s">
        <v>4831</v>
      </c>
      <c r="D36" s="197">
        <v>8</v>
      </c>
      <c r="F36" s="155"/>
      <c r="H36" s="242">
        <v>7466.527</v>
      </c>
      <c r="I36" s="115"/>
      <c r="J36" s="64">
        <f t="shared" si="22"/>
        <v>0</v>
      </c>
      <c r="L36" s="112">
        <v>11736.434999999999</v>
      </c>
      <c r="M36" s="157">
        <f t="shared" si="23"/>
        <v>0</v>
      </c>
      <c r="O36" s="112">
        <v>8833.5609999999997</v>
      </c>
      <c r="P36" s="115"/>
      <c r="Q36" s="57" t="s">
        <v>4832</v>
      </c>
      <c r="R36" s="64">
        <f>IF(O36=0,0,P36/O36)</f>
        <v>0</v>
      </c>
      <c r="T36" s="112">
        <v>10017.57</v>
      </c>
      <c r="U36" s="57" t="s">
        <v>4832</v>
      </c>
      <c r="V36" s="1009"/>
      <c r="X36" s="112">
        <v>10751.781000000001</v>
      </c>
      <c r="Y36" s="115">
        <v>9209.8389999999999</v>
      </c>
      <c r="Z36" s="57"/>
      <c r="AA36" s="64">
        <f>IF(X36=0,0,Y36/X36)</f>
        <v>0.85658729470029193</v>
      </c>
      <c r="AC36" s="112">
        <v>11762.216</v>
      </c>
      <c r="AD36" s="57" t="s">
        <v>1995</v>
      </c>
      <c r="AE36" s="157">
        <f>AC36*AA36</f>
        <v>10075.364783120489</v>
      </c>
      <c r="AG36" s="112">
        <v>11762.216</v>
      </c>
      <c r="AH36" s="115">
        <v>6843.4639999999999</v>
      </c>
      <c r="AI36" s="57" t="s">
        <v>1995</v>
      </c>
      <c r="AJ36" s="64">
        <f>IF(AG36=0,0,AH36/AG36)</f>
        <v>0.58181757587175753</v>
      </c>
      <c r="AL36" s="112">
        <v>7457.8850000000002</v>
      </c>
      <c r="AM36" s="57" t="s">
        <v>1995</v>
      </c>
      <c r="AN36" s="157">
        <f>AL36*AJ36</f>
        <v>4339.1285718303425</v>
      </c>
      <c r="AP36" s="112">
        <v>7457.8850000000002</v>
      </c>
      <c r="AQ36" s="115"/>
      <c r="AR36" s="57" t="s">
        <v>1995</v>
      </c>
      <c r="AS36" s="476">
        <f>IF(AP36=0,0,AQ36/AP36)</f>
        <v>0</v>
      </c>
      <c r="AU36" s="112">
        <v>12731.710999999999</v>
      </c>
      <c r="AV36" s="57" t="s">
        <v>1995</v>
      </c>
      <c r="AW36" s="157">
        <f>AU36*AS36</f>
        <v>0</v>
      </c>
      <c r="AY36" s="112">
        <v>12731.710999999999</v>
      </c>
      <c r="AZ36" s="115">
        <v>5801.66</v>
      </c>
      <c r="BA36" s="57" t="s">
        <v>1860</v>
      </c>
      <c r="BB36" s="64">
        <f>IF(AY36=0,0,AZ36/AY36)</f>
        <v>0.45568580688015931</v>
      </c>
      <c r="BD36" s="112">
        <v>8629.9339999999993</v>
      </c>
      <c r="BE36" s="57" t="s">
        <v>1860</v>
      </c>
      <c r="BF36" s="157">
        <f>BD36*BB36</f>
        <v>3932.5384381125205</v>
      </c>
      <c r="BG36" s="26"/>
      <c r="BH36" s="26"/>
    </row>
    <row r="37" spans="1:60" x14ac:dyDescent="0.35">
      <c r="A37" s="9168"/>
      <c r="B37" s="241"/>
      <c r="C37" s="241" t="s">
        <v>534</v>
      </c>
      <c r="D37" s="197"/>
      <c r="F37" s="163"/>
      <c r="H37" s="242"/>
      <c r="I37" s="243"/>
      <c r="J37" s="64">
        <f t="shared" si="22"/>
        <v>0</v>
      </c>
      <c r="L37" s="242"/>
      <c r="M37" s="157">
        <f t="shared" si="23"/>
        <v>0</v>
      </c>
      <c r="O37" s="117"/>
      <c r="P37" s="115"/>
      <c r="Q37" s="106"/>
      <c r="R37" s="64">
        <f>IF(O37=0,0,P37/O37)</f>
        <v>0</v>
      </c>
      <c r="T37" s="117"/>
      <c r="U37" s="106"/>
      <c r="V37" s="1009"/>
      <c r="X37" s="117"/>
      <c r="Y37" s="115"/>
      <c r="Z37" s="106"/>
      <c r="AA37" s="64">
        <f>IF(X37=0,0,Y37/X37)</f>
        <v>0</v>
      </c>
      <c r="AC37" s="117"/>
      <c r="AD37" s="106"/>
      <c r="AE37" s="157"/>
      <c r="AG37" s="117"/>
      <c r="AH37" s="115"/>
      <c r="AI37" s="106"/>
      <c r="AJ37" s="64">
        <f>IF(AG37=0,0,AH37/AG37)</f>
        <v>0</v>
      </c>
      <c r="AL37" s="117"/>
      <c r="AM37" s="106"/>
      <c r="AN37" s="157"/>
      <c r="AP37" s="117"/>
      <c r="AQ37" s="115"/>
      <c r="AR37" s="106"/>
      <c r="AS37" s="476">
        <f>IF(AP37=0,0,AQ37/AP37)</f>
        <v>0</v>
      </c>
      <c r="AU37" s="117"/>
      <c r="AV37" s="106"/>
      <c r="AW37" s="157"/>
      <c r="AY37" s="117"/>
      <c r="AZ37" s="115"/>
      <c r="BA37" s="106"/>
      <c r="BB37" s="64">
        <f>IF(AY37=0,0,AZ37/AY37)</f>
        <v>0</v>
      </c>
      <c r="BD37" s="117"/>
      <c r="BE37" s="106"/>
      <c r="BF37" s="157"/>
      <c r="BG37" s="26"/>
      <c r="BH37" s="26"/>
    </row>
    <row r="38" spans="1:60" x14ac:dyDescent="0.35">
      <c r="A38" s="9168"/>
      <c r="B38" s="241"/>
      <c r="C38" s="241" t="s">
        <v>536</v>
      </c>
      <c r="D38" s="197"/>
      <c r="F38" s="163"/>
      <c r="H38" s="242"/>
      <c r="I38" s="243"/>
      <c r="J38" s="64">
        <f t="shared" si="22"/>
        <v>0</v>
      </c>
      <c r="L38" s="242"/>
      <c r="M38" s="157">
        <f t="shared" si="23"/>
        <v>0</v>
      </c>
      <c r="O38" s="242"/>
      <c r="P38" s="115"/>
      <c r="Q38" s="106"/>
      <c r="R38" s="64">
        <f>IF(O38=0,0,P38/O38)</f>
        <v>0</v>
      </c>
      <c r="T38" s="242"/>
      <c r="U38" s="106"/>
      <c r="V38" s="1795"/>
      <c r="X38" s="242"/>
      <c r="Y38" s="115"/>
      <c r="Z38" s="106"/>
      <c r="AA38" s="64">
        <f>IF(X38=0,0,Y38/X38)</f>
        <v>0</v>
      </c>
      <c r="AC38" s="242"/>
      <c r="AD38" s="106"/>
      <c r="AE38" s="157"/>
      <c r="AG38" s="242"/>
      <c r="AH38" s="115"/>
      <c r="AI38" s="106"/>
      <c r="AJ38" s="64">
        <f>IF(AG38=0,0,AH38/AG38)</f>
        <v>0</v>
      </c>
      <c r="AL38" s="242"/>
      <c r="AM38" s="106"/>
      <c r="AN38" s="157"/>
      <c r="AP38" s="242"/>
      <c r="AQ38" s="115"/>
      <c r="AR38" s="106"/>
      <c r="AS38" s="476">
        <f>IF(AP38=0,0,AQ38/AP38)</f>
        <v>0</v>
      </c>
      <c r="AU38" s="242"/>
      <c r="AV38" s="106"/>
      <c r="AW38" s="157"/>
      <c r="AY38" s="242"/>
      <c r="AZ38" s="115"/>
      <c r="BA38" s="106"/>
      <c r="BB38" s="64">
        <f>IF(AY38=0,0,AZ38/AY38)</f>
        <v>0</v>
      </c>
      <c r="BD38" s="242"/>
      <c r="BE38" s="106"/>
      <c r="BF38" s="157"/>
      <c r="BG38" s="26"/>
      <c r="BH38" s="26"/>
    </row>
    <row r="39" spans="1:60" x14ac:dyDescent="0.35">
      <c r="A39" s="9168"/>
      <c r="B39" s="141" t="s">
        <v>531</v>
      </c>
      <c r="C39"/>
      <c r="D39" s="197"/>
      <c r="E39" s="143"/>
      <c r="F39" s="168"/>
      <c r="G39" s="143"/>
      <c r="H39" s="245"/>
      <c r="I39" s="106"/>
      <c r="J39" s="246"/>
      <c r="K39" s="143"/>
      <c r="L39" s="245"/>
      <c r="M39" s="247"/>
      <c r="N39" s="143"/>
      <c r="O39" s="245"/>
      <c r="P39" s="106"/>
      <c r="Q39" s="106"/>
      <c r="R39" s="246"/>
      <c r="S39" s="143"/>
      <c r="T39" s="245"/>
      <c r="U39" s="106"/>
      <c r="V39" s="247"/>
      <c r="W39" s="143"/>
      <c r="X39" s="245"/>
      <c r="Y39" s="106"/>
      <c r="Z39" s="106"/>
      <c r="AA39" s="246"/>
      <c r="AB39" s="143"/>
      <c r="AC39" s="245"/>
      <c r="AD39" s="106"/>
      <c r="AE39" s="247"/>
      <c r="AF39" s="143"/>
      <c r="AG39" s="245"/>
      <c r="AH39" s="106"/>
      <c r="AI39" s="106"/>
      <c r="AJ39" s="246"/>
      <c r="AK39" s="143"/>
      <c r="AL39" s="245"/>
      <c r="AM39" s="106"/>
      <c r="AN39" s="247"/>
      <c r="AO39" s="143"/>
      <c r="AP39" s="245"/>
      <c r="AQ39" s="106"/>
      <c r="AR39" s="106"/>
      <c r="AS39" s="246"/>
      <c r="AT39" s="143"/>
      <c r="AU39" s="245"/>
      <c r="AV39" s="106"/>
      <c r="AW39" s="247"/>
      <c r="AX39" s="143"/>
      <c r="AY39" s="245"/>
      <c r="AZ39" s="106"/>
      <c r="BA39" s="106"/>
      <c r="BB39" s="246"/>
      <c r="BC39" s="143"/>
      <c r="BD39" s="245"/>
      <c r="BE39" s="106"/>
      <c r="BF39" s="247"/>
      <c r="BG39" s="26"/>
      <c r="BH39" s="26"/>
    </row>
    <row r="40" spans="1:60" x14ac:dyDescent="0.35">
      <c r="A40" s="9168"/>
      <c r="B40" s="240"/>
      <c r="C40" s="240" t="s">
        <v>532</v>
      </c>
      <c r="D40" s="197"/>
      <c r="F40" s="111"/>
      <c r="H40" s="112"/>
      <c r="I40" s="113"/>
      <c r="J40" s="64">
        <f t="shared" ref="J40:J42" si="24">IF(H40=0,0,I40/H40)</f>
        <v>0</v>
      </c>
      <c r="L40" s="112"/>
      <c r="M40" s="157">
        <f t="shared" ref="M40:M42" si="25">L40*J40</f>
        <v>0</v>
      </c>
      <c r="O40" s="248"/>
      <c r="P40" s="233"/>
      <c r="Q40" s="106"/>
      <c r="R40" s="64">
        <f>R35</f>
        <v>0</v>
      </c>
      <c r="T40" s="112"/>
      <c r="U40" s="106"/>
      <c r="V40" s="111"/>
      <c r="X40" s="248"/>
      <c r="Y40" s="233"/>
      <c r="Z40" s="106"/>
      <c r="AA40" s="64">
        <f>IF(X40=0,0,Y40/X40)</f>
        <v>0</v>
      </c>
      <c r="AC40" s="112"/>
      <c r="AD40" s="106"/>
      <c r="AE40" s="66"/>
      <c r="AG40" s="112"/>
      <c r="AH40" s="233"/>
      <c r="AI40" s="106"/>
      <c r="AJ40" s="64">
        <f>IF(AG40=0,0,AH40/AG40)</f>
        <v>0</v>
      </c>
      <c r="AL40" s="112"/>
      <c r="AM40" s="106"/>
      <c r="AN40" s="66"/>
      <c r="AP40" s="112"/>
      <c r="AQ40" s="233"/>
      <c r="AR40" s="106"/>
      <c r="AS40" s="476">
        <f>IF(AP40=0,0,AQ40/AP40)</f>
        <v>0</v>
      </c>
      <c r="AU40" s="112"/>
      <c r="AV40" s="106"/>
      <c r="AW40" s="66"/>
      <c r="AY40" s="112"/>
      <c r="AZ40" s="233"/>
      <c r="BA40" s="106"/>
      <c r="BB40" s="64">
        <f>IF(AY40=0,0,AZ40/AY40)</f>
        <v>0</v>
      </c>
      <c r="BD40" s="112"/>
      <c r="BE40" s="106"/>
      <c r="BF40" s="66"/>
      <c r="BG40" s="26"/>
      <c r="BH40" s="26"/>
    </row>
    <row r="41" spans="1:60" x14ac:dyDescent="0.35">
      <c r="A41" s="9168"/>
      <c r="B41" s="240"/>
      <c r="C41" s="240" t="s">
        <v>533</v>
      </c>
      <c r="D41" s="197"/>
      <c r="F41" s="155"/>
      <c r="H41" s="117"/>
      <c r="I41" s="115"/>
      <c r="J41" s="64">
        <f t="shared" si="24"/>
        <v>0</v>
      </c>
      <c r="L41" s="117"/>
      <c r="M41" s="157">
        <f t="shared" si="25"/>
        <v>0</v>
      </c>
      <c r="O41" s="200"/>
      <c r="P41" s="201"/>
      <c r="Q41" s="106"/>
      <c r="R41" s="64">
        <f>IF(O41=0,0,P41/O41)</f>
        <v>0</v>
      </c>
      <c r="T41" s="117"/>
      <c r="U41" s="106"/>
      <c r="V41" s="155"/>
      <c r="X41" s="200"/>
      <c r="Y41" s="201"/>
      <c r="Z41" s="106"/>
      <c r="AA41" s="64">
        <f>IF(X41=0,0,Y41/X41)</f>
        <v>0</v>
      </c>
      <c r="AC41" s="117"/>
      <c r="AD41" s="106"/>
      <c r="AE41" s="66"/>
      <c r="AG41" s="117"/>
      <c r="AH41" s="201"/>
      <c r="AI41" s="106"/>
      <c r="AJ41" s="64">
        <f>IF(AG41=0,0,AH41/AG41)</f>
        <v>0</v>
      </c>
      <c r="AL41" s="117"/>
      <c r="AM41" s="106"/>
      <c r="AN41" s="66"/>
      <c r="AP41" s="117"/>
      <c r="AQ41" s="201"/>
      <c r="AR41" s="106"/>
      <c r="AS41" s="476">
        <f>IF(AP41=0,0,AQ41/AP41)</f>
        <v>0</v>
      </c>
      <c r="AU41" s="117"/>
      <c r="AV41" s="106"/>
      <c r="AW41" s="66"/>
      <c r="AY41" s="117"/>
      <c r="AZ41" s="201"/>
      <c r="BA41" s="106"/>
      <c r="BB41" s="64">
        <f>IF(AY41=0,0,AZ41/AY41)</f>
        <v>0</v>
      </c>
      <c r="BD41" s="117"/>
      <c r="BE41" s="106"/>
      <c r="BF41" s="66"/>
      <c r="BG41" s="26"/>
      <c r="BH41" s="26"/>
    </row>
    <row r="42" spans="1:60" x14ac:dyDescent="0.35">
      <c r="A42" s="9168"/>
      <c r="B42" s="250"/>
      <c r="C42" s="250" t="s">
        <v>534</v>
      </c>
      <c r="D42" s="209"/>
      <c r="F42" s="130"/>
      <c r="H42" s="242"/>
      <c r="I42" s="243"/>
      <c r="J42" s="64">
        <f t="shared" si="24"/>
        <v>0</v>
      </c>
      <c r="L42" s="131"/>
      <c r="M42" s="213">
        <f t="shared" si="25"/>
        <v>0</v>
      </c>
      <c r="O42" s="164"/>
      <c r="P42" s="215"/>
      <c r="Q42" s="216"/>
      <c r="R42" s="64">
        <f>IF(O42=0,0,P42/O42)</f>
        <v>0</v>
      </c>
      <c r="T42" s="131"/>
      <c r="U42" s="216"/>
      <c r="V42" s="130"/>
      <c r="X42" s="164"/>
      <c r="Y42" s="215"/>
      <c r="Z42" s="216"/>
      <c r="AA42" s="64">
        <f>IF(X42=0,0,Y42/X42)</f>
        <v>0</v>
      </c>
      <c r="AC42" s="131"/>
      <c r="AD42" s="216"/>
      <c r="AE42" s="92"/>
      <c r="AG42" s="131"/>
      <c r="AH42" s="215"/>
      <c r="AI42" s="216"/>
      <c r="AJ42" s="64">
        <f>IF(AG42=0,0,AH42/AG42)</f>
        <v>0</v>
      </c>
      <c r="AL42" s="131"/>
      <c r="AM42" s="216"/>
      <c r="AN42" s="92"/>
      <c r="AP42" s="131"/>
      <c r="AQ42" s="215"/>
      <c r="AR42" s="216"/>
      <c r="AS42" s="476">
        <f>IF(AP42=0,0,AQ42/AP42)</f>
        <v>0</v>
      </c>
      <c r="AU42" s="131"/>
      <c r="AV42" s="216"/>
      <c r="AW42" s="92"/>
      <c r="AY42" s="131"/>
      <c r="AZ42" s="215"/>
      <c r="BA42" s="216"/>
      <c r="BB42" s="64">
        <f>IF(AY42=0,0,AZ42/AY42)</f>
        <v>0</v>
      </c>
      <c r="BD42" s="131"/>
      <c r="BE42" s="216"/>
      <c r="BF42" s="92"/>
      <c r="BG42" s="24"/>
      <c r="BH42" s="24"/>
    </row>
    <row r="43" spans="1:60" x14ac:dyDescent="0.35">
      <c r="A43" s="9168"/>
      <c r="B43" s="141" t="s">
        <v>535</v>
      </c>
      <c r="C43" s="141"/>
      <c r="D43" s="197"/>
      <c r="E43" s="143"/>
      <c r="F43" s="227"/>
      <c r="G43" s="143"/>
      <c r="H43" s="102" t="s">
        <v>4833</v>
      </c>
      <c r="I43" s="103"/>
      <c r="J43" s="252"/>
      <c r="K43" s="143"/>
      <c r="L43" s="245" t="s">
        <v>4833</v>
      </c>
      <c r="M43" s="247"/>
      <c r="N43" s="143"/>
      <c r="O43" s="102"/>
      <c r="P43" s="103"/>
      <c r="Q43" s="1796"/>
      <c r="R43" s="252"/>
      <c r="S43" s="143"/>
      <c r="T43" s="245" t="s">
        <v>4834</v>
      </c>
      <c r="U43" s="1796" t="s">
        <v>4835</v>
      </c>
      <c r="V43" s="168"/>
      <c r="W43" s="143"/>
      <c r="X43" s="102" t="s">
        <v>4834</v>
      </c>
      <c r="Y43" s="1797" t="s">
        <v>4300</v>
      </c>
      <c r="Z43" s="1796"/>
      <c r="AA43" s="252"/>
      <c r="AB43" s="143"/>
      <c r="AC43" s="245"/>
      <c r="AD43" s="1796" t="s">
        <v>4835</v>
      </c>
      <c r="AE43" s="105"/>
      <c r="AF43" s="143"/>
      <c r="AG43" s="245"/>
      <c r="AH43" s="1797" t="s">
        <v>4300</v>
      </c>
      <c r="AI43" s="1796" t="s">
        <v>4835</v>
      </c>
      <c r="AJ43" s="252"/>
      <c r="AK43" s="143"/>
      <c r="AL43" s="245"/>
      <c r="AM43" s="1796" t="s">
        <v>4835</v>
      </c>
      <c r="AN43" s="105"/>
      <c r="AO43" s="143"/>
      <c r="AP43" s="245"/>
      <c r="AQ43" s="1797" t="s">
        <v>4300</v>
      </c>
      <c r="AR43" s="7342" t="s">
        <v>4835</v>
      </c>
      <c r="AS43" s="516"/>
      <c r="AT43" s="143"/>
      <c r="AU43" s="245"/>
      <c r="AV43" s="7342" t="s">
        <v>4835</v>
      </c>
      <c r="AW43" s="105"/>
      <c r="AX43" s="143"/>
      <c r="AY43" s="245"/>
      <c r="AZ43" s="1797"/>
      <c r="BA43" s="1796"/>
      <c r="BB43" s="252"/>
      <c r="BC43" s="143"/>
      <c r="BD43" s="245"/>
      <c r="BE43" s="1796"/>
      <c r="BF43" s="105"/>
      <c r="BG43" s="26"/>
      <c r="BH43" s="26"/>
    </row>
    <row r="44" spans="1:60" ht="24.75" customHeight="1" x14ac:dyDescent="0.35">
      <c r="A44" s="9168"/>
      <c r="B44" s="240"/>
      <c r="C44" s="240" t="s">
        <v>4836</v>
      </c>
      <c r="D44" s="197">
        <v>9</v>
      </c>
      <c r="F44" s="111"/>
      <c r="H44" s="112">
        <f>19.842+25+200+8</f>
        <v>252.84199999999998</v>
      </c>
      <c r="I44" s="113"/>
      <c r="J44" s="64">
        <f t="shared" ref="J44:J53" si="26">IF(H44=0,0,I44/H44)</f>
        <v>0</v>
      </c>
      <c r="L44" s="112">
        <f>50</f>
        <v>50</v>
      </c>
      <c r="M44" s="157">
        <f t="shared" ref="M44:M53" si="27">L44*J44</f>
        <v>0</v>
      </c>
      <c r="O44" s="117">
        <f>L44</f>
        <v>50</v>
      </c>
      <c r="P44" s="233"/>
      <c r="Q44" s="106"/>
      <c r="R44" s="64">
        <f>IF(O44=0,0,P44/O44)</f>
        <v>0</v>
      </c>
      <c r="T44" s="245">
        <f>7</f>
        <v>7</v>
      </c>
      <c r="U44" s="254" t="s">
        <v>2903</v>
      </c>
      <c r="V44" s="111"/>
      <c r="X44" s="117">
        <f>750</f>
        <v>750</v>
      </c>
      <c r="Y44" s="1798">
        <f>X44</f>
        <v>750</v>
      </c>
      <c r="Z44" s="254" t="s">
        <v>4837</v>
      </c>
      <c r="AA44" s="64">
        <f>IF(X44=0,0,Y44/X44)</f>
        <v>1</v>
      </c>
      <c r="AC44" s="198">
        <f>550+36.5+15</f>
        <v>601.5</v>
      </c>
      <c r="AD44" s="254" t="s">
        <v>4838</v>
      </c>
      <c r="AE44" s="157">
        <f t="shared" ref="AE44:AE47" si="28">AC44*AA44</f>
        <v>601.5</v>
      </c>
      <c r="AG44" s="198">
        <f>550+36.5+15</f>
        <v>601.5</v>
      </c>
      <c r="AH44" s="1798">
        <f>AG44</f>
        <v>601.5</v>
      </c>
      <c r="AI44" s="254" t="s">
        <v>4838</v>
      </c>
      <c r="AJ44" s="64">
        <f>IF(AG44=0,0,AH44/AG44)</f>
        <v>1</v>
      </c>
      <c r="AL44" s="1799">
        <f>AG44</f>
        <v>601.5</v>
      </c>
      <c r="AM44" s="254" t="s">
        <v>4838</v>
      </c>
      <c r="AN44" s="157">
        <f t="shared" ref="AN44:AN47" si="29">AL44*AJ44</f>
        <v>601.5</v>
      </c>
      <c r="AP44" s="198">
        <f>AL44</f>
        <v>601.5</v>
      </c>
      <c r="AQ44" s="1798">
        <f>AP44</f>
        <v>601.5</v>
      </c>
      <c r="AR44" s="254" t="s">
        <v>4838</v>
      </c>
      <c r="AS44" s="476">
        <f>IF(AP44=0,0,AQ44/AP44)</f>
        <v>1</v>
      </c>
      <c r="AU44" s="1799"/>
      <c r="AV44" s="254" t="s">
        <v>4838</v>
      </c>
      <c r="AW44" s="157">
        <f t="shared" ref="AW44:AW45" si="30">AU44*AS44</f>
        <v>0</v>
      </c>
      <c r="AY44" s="117"/>
      <c r="AZ44" s="233"/>
      <c r="BA44" s="254"/>
      <c r="BB44" s="64">
        <f>IF(AY44=0,0,AZ44/AY44)</f>
        <v>0</v>
      </c>
      <c r="BD44" s="1799"/>
      <c r="BE44" s="254"/>
      <c r="BF44" s="157"/>
      <c r="BG44" s="26" t="s">
        <v>4839</v>
      </c>
      <c r="BH44" s="26" t="s">
        <v>4839</v>
      </c>
    </row>
    <row r="45" spans="1:60" ht="16.5" customHeight="1" x14ac:dyDescent="0.35">
      <c r="A45" s="9168"/>
      <c r="B45" s="240"/>
      <c r="C45" s="240" t="s">
        <v>4840</v>
      </c>
      <c r="D45" s="197"/>
      <c r="F45" s="111"/>
      <c r="H45" s="112"/>
      <c r="I45" s="113"/>
      <c r="J45" s="64"/>
      <c r="L45" s="112"/>
      <c r="M45" s="157"/>
      <c r="O45" s="117"/>
      <c r="P45" s="233"/>
      <c r="Q45" s="106"/>
      <c r="R45" s="64"/>
      <c r="T45" s="245"/>
      <c r="U45" s="254"/>
      <c r="V45" s="111"/>
      <c r="X45" s="117">
        <v>176.8116</v>
      </c>
      <c r="Y45" s="1798">
        <f t="shared" ref="Y45:Y47" si="31">X45</f>
        <v>176.8116</v>
      </c>
      <c r="Z45" s="254" t="s">
        <v>4841</v>
      </c>
      <c r="AA45" s="64">
        <f t="shared" ref="AA45:AA50" si="32">IF(X45=0,0,Y45/X45)</f>
        <v>1</v>
      </c>
      <c r="AC45" s="198">
        <v>208.40719999999999</v>
      </c>
      <c r="AD45" s="254" t="s">
        <v>4842</v>
      </c>
      <c r="AE45" s="157">
        <f t="shared" si="28"/>
        <v>208.40719999999999</v>
      </c>
      <c r="AG45" s="198">
        <v>208.40719999999999</v>
      </c>
      <c r="AH45" s="1798">
        <f t="shared" ref="AH45:AH47" si="33">AG45</f>
        <v>208.40719999999999</v>
      </c>
      <c r="AI45" s="254" t="s">
        <v>4842</v>
      </c>
      <c r="AJ45" s="64">
        <f t="shared" ref="AJ45:AJ50" si="34">IF(AG45=0,0,AH45/AG45)</f>
        <v>1</v>
      </c>
      <c r="AL45" s="198">
        <v>213.16256899999999</v>
      </c>
      <c r="AM45" s="254" t="s">
        <v>4842</v>
      </c>
      <c r="AN45" s="157">
        <f t="shared" si="29"/>
        <v>213.16256899999999</v>
      </c>
      <c r="AP45" s="198">
        <f t="shared" ref="AP45" si="35">AL45</f>
        <v>213.16256899999999</v>
      </c>
      <c r="AQ45" s="1798">
        <f t="shared" ref="AQ45" si="36">AP45</f>
        <v>213.16256899999999</v>
      </c>
      <c r="AR45" s="254" t="s">
        <v>4842</v>
      </c>
      <c r="AS45" s="476">
        <f t="shared" ref="AS45:AS50" si="37">IF(AP45=0,0,AQ45/AP45)</f>
        <v>1</v>
      </c>
      <c r="AU45" s="198"/>
      <c r="AV45" s="254" t="s">
        <v>4842</v>
      </c>
      <c r="AW45" s="157">
        <f t="shared" si="30"/>
        <v>0</v>
      </c>
      <c r="AY45" s="117"/>
      <c r="AZ45" s="233"/>
      <c r="BA45" s="254"/>
      <c r="BB45" s="64">
        <f t="shared" ref="BB45" si="38">IF(AY45=0,0,AZ45/AY45)</f>
        <v>0</v>
      </c>
      <c r="BD45" s="198"/>
      <c r="BE45" s="254"/>
      <c r="BF45" s="157"/>
      <c r="BG45" s="26"/>
      <c r="BH45" s="26"/>
    </row>
    <row r="46" spans="1:60" x14ac:dyDescent="0.35">
      <c r="A46" s="9168"/>
      <c r="B46" s="240"/>
      <c r="C46" s="240" t="s">
        <v>4843</v>
      </c>
      <c r="D46" s="197">
        <v>10</v>
      </c>
      <c r="F46" s="155"/>
      <c r="H46" s="117">
        <f>72+179.415+69.223+500+10+5</f>
        <v>835.63799999999992</v>
      </c>
      <c r="I46" s="115"/>
      <c r="J46" s="64">
        <f t="shared" si="26"/>
        <v>0</v>
      </c>
      <c r="L46" s="117">
        <f>4+320.585+350+450+30.081+10</f>
        <v>1164.6659999999999</v>
      </c>
      <c r="M46" s="157">
        <f t="shared" si="27"/>
        <v>0</v>
      </c>
      <c r="O46" s="117">
        <f>L46</f>
        <v>1164.6659999999999</v>
      </c>
      <c r="P46" s="201"/>
      <c r="Q46" s="106"/>
      <c r="R46" s="64">
        <f t="shared" ref="R46:R52" si="39">IF(O46=0,0,P46/O46)</f>
        <v>0</v>
      </c>
      <c r="T46" s="198">
        <f>135+135+180</f>
        <v>450</v>
      </c>
      <c r="U46" s="254" t="s">
        <v>4844</v>
      </c>
      <c r="V46" s="111"/>
      <c r="X46" s="117">
        <f>195+205+453.283+100</f>
        <v>953.28300000000002</v>
      </c>
      <c r="Y46" s="1798">
        <f t="shared" si="31"/>
        <v>953.28300000000002</v>
      </c>
      <c r="Z46" s="254" t="s">
        <v>4844</v>
      </c>
      <c r="AA46" s="64">
        <f t="shared" si="32"/>
        <v>1</v>
      </c>
      <c r="AC46" s="198">
        <f>50+269.09+709.558+217.753</f>
        <v>1246.4009999999998</v>
      </c>
      <c r="AD46" s="254" t="s">
        <v>4845</v>
      </c>
      <c r="AE46" s="157">
        <f t="shared" si="28"/>
        <v>1246.4009999999998</v>
      </c>
      <c r="AG46" s="198">
        <f>50+269.09+709.558+217.753</f>
        <v>1246.4009999999998</v>
      </c>
      <c r="AH46" s="1798">
        <f t="shared" si="33"/>
        <v>1246.4009999999998</v>
      </c>
      <c r="AI46" s="254" t="s">
        <v>4845</v>
      </c>
      <c r="AJ46" s="64">
        <f t="shared" si="34"/>
        <v>1</v>
      </c>
      <c r="AL46" s="1799">
        <f>AG46</f>
        <v>1246.4009999999998</v>
      </c>
      <c r="AM46" s="254" t="s">
        <v>4845</v>
      </c>
      <c r="AN46" s="157">
        <f t="shared" si="29"/>
        <v>1246.4009999999998</v>
      </c>
      <c r="AP46" s="198"/>
      <c r="AQ46" s="7343" t="s">
        <v>4846</v>
      </c>
      <c r="AR46" s="254"/>
      <c r="AS46" s="476"/>
      <c r="AU46" s="1799"/>
      <c r="AV46" s="7343" t="s">
        <v>4846</v>
      </c>
      <c r="AW46" s="157"/>
      <c r="AY46" s="117"/>
      <c r="AZ46" s="233" t="s">
        <v>4847</v>
      </c>
      <c r="BA46" s="254"/>
      <c r="BB46" s="64"/>
      <c r="BD46" s="1799"/>
      <c r="BE46" s="7343" t="s">
        <v>4847</v>
      </c>
      <c r="BF46" s="157"/>
      <c r="BG46" s="26" t="s">
        <v>4848</v>
      </c>
      <c r="BH46" s="26" t="s">
        <v>4848</v>
      </c>
    </row>
    <row r="47" spans="1:60" x14ac:dyDescent="0.35">
      <c r="A47" s="9168"/>
      <c r="B47" s="240"/>
      <c r="C47" s="240" t="s">
        <v>4849</v>
      </c>
      <c r="D47" s="197"/>
      <c r="F47" s="155"/>
      <c r="H47" s="117"/>
      <c r="I47" s="115"/>
      <c r="J47" s="64"/>
      <c r="L47" s="117"/>
      <c r="M47" s="157"/>
      <c r="O47" s="117"/>
      <c r="P47" s="233"/>
      <c r="Q47" s="106"/>
      <c r="R47" s="64"/>
      <c r="T47" s="198"/>
      <c r="U47" s="254"/>
      <c r="V47" s="111"/>
      <c r="X47" s="117">
        <f>11.449+15.5171+7.4531+9.0058+4.4532+7.795+5.1185</f>
        <v>60.791699999999999</v>
      </c>
      <c r="Y47" s="1798">
        <f t="shared" si="31"/>
        <v>60.791699999999999</v>
      </c>
      <c r="Z47" s="254"/>
      <c r="AA47" s="64">
        <f t="shared" si="32"/>
        <v>1</v>
      </c>
      <c r="AC47" s="198">
        <v>118.178</v>
      </c>
      <c r="AD47" s="254" t="s">
        <v>4850</v>
      </c>
      <c r="AE47" s="157">
        <f t="shared" si="28"/>
        <v>118.178</v>
      </c>
      <c r="AG47" s="198">
        <v>118.178</v>
      </c>
      <c r="AH47" s="1798">
        <f t="shared" si="33"/>
        <v>118.178</v>
      </c>
      <c r="AI47" s="254" t="s">
        <v>4850</v>
      </c>
      <c r="AJ47" s="64">
        <f t="shared" si="34"/>
        <v>1</v>
      </c>
      <c r="AL47" s="198">
        <v>2884.6280000000002</v>
      </c>
      <c r="AM47" s="254" t="s">
        <v>4850</v>
      </c>
      <c r="AN47" s="157">
        <f t="shared" si="29"/>
        <v>2884.6280000000002</v>
      </c>
      <c r="AP47" s="198"/>
      <c r="AQ47" s="1798"/>
      <c r="AR47" s="254"/>
      <c r="AS47" s="476"/>
      <c r="AU47" s="198"/>
      <c r="AV47" s="254"/>
      <c r="AW47" s="157"/>
      <c r="AY47" s="117"/>
      <c r="AZ47" s="233"/>
      <c r="BA47" s="254"/>
      <c r="BB47" s="64"/>
      <c r="BD47" s="198"/>
      <c r="BE47" s="254"/>
      <c r="BF47" s="157"/>
      <c r="BG47" s="26"/>
      <c r="BH47" s="26"/>
    </row>
    <row r="48" spans="1:60" x14ac:dyDescent="0.35">
      <c r="A48" s="9168"/>
      <c r="B48" s="240"/>
      <c r="C48" s="240" t="s">
        <v>4851</v>
      </c>
      <c r="D48" s="197">
        <v>11</v>
      </c>
      <c r="F48" s="155"/>
      <c r="H48" s="117"/>
      <c r="I48" s="115"/>
      <c r="J48" s="64">
        <f t="shared" si="26"/>
        <v>0</v>
      </c>
      <c r="L48" s="117"/>
      <c r="M48" s="157">
        <f t="shared" si="27"/>
        <v>0</v>
      </c>
      <c r="O48" s="117"/>
      <c r="P48" s="233"/>
      <c r="Q48" s="106"/>
      <c r="R48" s="64">
        <f t="shared" si="39"/>
        <v>0</v>
      </c>
      <c r="T48" s="117"/>
      <c r="U48" s="254"/>
      <c r="V48" s="155"/>
      <c r="X48" s="117"/>
      <c r="Y48" s="120"/>
      <c r="Z48" s="106"/>
      <c r="AA48" s="64">
        <f t="shared" si="32"/>
        <v>0</v>
      </c>
      <c r="AC48" s="117"/>
      <c r="AD48" s="254"/>
      <c r="AE48" s="66"/>
      <c r="AG48" s="117"/>
      <c r="AH48" s="120"/>
      <c r="AI48" s="254"/>
      <c r="AJ48" s="64">
        <f t="shared" si="34"/>
        <v>0</v>
      </c>
      <c r="AL48" s="117"/>
      <c r="AM48" s="254"/>
      <c r="AN48" s="66"/>
      <c r="AP48" s="117"/>
      <c r="AQ48" s="120"/>
      <c r="AR48" s="254"/>
      <c r="AS48" s="476">
        <f t="shared" si="37"/>
        <v>0</v>
      </c>
      <c r="AU48" s="117"/>
      <c r="AV48" s="254"/>
      <c r="AW48" s="66"/>
      <c r="AY48" s="117"/>
      <c r="AZ48" s="233"/>
      <c r="BA48" s="254"/>
      <c r="BB48" s="64">
        <f t="shared" ref="BB48:BB50" si="40">IF(AY48=0,0,AZ48/AY48)</f>
        <v>0</v>
      </c>
      <c r="BD48" s="117"/>
      <c r="BE48" s="254"/>
      <c r="BF48" s="66"/>
      <c r="BG48" s="26"/>
      <c r="BH48" s="26"/>
    </row>
    <row r="49" spans="1:60" x14ac:dyDescent="0.35">
      <c r="A49" s="9168"/>
      <c r="B49" s="240"/>
      <c r="C49" s="240" t="s">
        <v>4852</v>
      </c>
      <c r="D49" s="197">
        <v>12</v>
      </c>
      <c r="F49" s="155"/>
      <c r="H49" s="117">
        <f>8+15</f>
        <v>23</v>
      </c>
      <c r="I49" s="115"/>
      <c r="J49" s="64"/>
      <c r="L49" s="117"/>
      <c r="M49" s="157"/>
      <c r="O49" s="117"/>
      <c r="P49" s="201"/>
      <c r="Q49" s="106"/>
      <c r="R49" s="64">
        <f t="shared" si="39"/>
        <v>0</v>
      </c>
      <c r="T49" s="117">
        <f>7</f>
        <v>7</v>
      </c>
      <c r="U49" s="254" t="s">
        <v>4853</v>
      </c>
      <c r="V49" s="155"/>
      <c r="X49" s="117"/>
      <c r="Y49" s="120"/>
      <c r="Z49" s="106"/>
      <c r="AA49" s="64">
        <f t="shared" si="32"/>
        <v>0</v>
      </c>
      <c r="AC49" s="117"/>
      <c r="AD49" s="254"/>
      <c r="AE49" s="66"/>
      <c r="AG49" s="117"/>
      <c r="AH49" s="120"/>
      <c r="AI49" s="254"/>
      <c r="AJ49" s="64">
        <f t="shared" si="34"/>
        <v>0</v>
      </c>
      <c r="AL49" s="117"/>
      <c r="AM49" s="254"/>
      <c r="AN49" s="66"/>
      <c r="AP49" s="117"/>
      <c r="AQ49" s="120"/>
      <c r="AR49" s="254"/>
      <c r="AS49" s="476">
        <f t="shared" si="37"/>
        <v>0</v>
      </c>
      <c r="AU49" s="117"/>
      <c r="AV49" s="254"/>
      <c r="AW49" s="66"/>
      <c r="AY49" s="117"/>
      <c r="AZ49" s="233"/>
      <c r="BA49" s="254"/>
      <c r="BB49" s="64">
        <f t="shared" si="40"/>
        <v>0</v>
      </c>
      <c r="BD49" s="117"/>
      <c r="BE49" s="254"/>
      <c r="BF49" s="66"/>
      <c r="BG49" s="26" t="s">
        <v>4854</v>
      </c>
      <c r="BH49" s="26" t="s">
        <v>4854</v>
      </c>
    </row>
    <row r="50" spans="1:60" x14ac:dyDescent="0.35">
      <c r="A50" s="9168"/>
      <c r="B50" s="240"/>
      <c r="C50" s="240"/>
      <c r="D50" s="197"/>
      <c r="F50" s="155"/>
      <c r="H50" s="117"/>
      <c r="I50" s="115"/>
      <c r="J50" s="64">
        <f t="shared" si="26"/>
        <v>0</v>
      </c>
      <c r="L50" s="117"/>
      <c r="M50" s="157">
        <f t="shared" si="27"/>
        <v>0</v>
      </c>
      <c r="O50" s="117"/>
      <c r="P50" s="233"/>
      <c r="Q50" s="106"/>
      <c r="R50" s="64">
        <f t="shared" si="39"/>
        <v>0</v>
      </c>
      <c r="T50" s="117"/>
      <c r="U50" s="313"/>
      <c r="V50" s="155"/>
      <c r="X50" s="117"/>
      <c r="Y50" s="120"/>
      <c r="Z50" s="106"/>
      <c r="AA50" s="64">
        <f t="shared" si="32"/>
        <v>0</v>
      </c>
      <c r="AC50" s="117"/>
      <c r="AD50" s="313"/>
      <c r="AE50" s="66"/>
      <c r="AG50" s="117"/>
      <c r="AH50" s="120"/>
      <c r="AI50" s="313"/>
      <c r="AJ50" s="64">
        <f t="shared" si="34"/>
        <v>0</v>
      </c>
      <c r="AL50" s="117"/>
      <c r="AM50" s="313"/>
      <c r="AN50" s="66"/>
      <c r="AP50" s="117"/>
      <c r="AQ50" s="120"/>
      <c r="AR50" s="313"/>
      <c r="AS50" s="476">
        <f t="shared" si="37"/>
        <v>0</v>
      </c>
      <c r="AU50" s="117"/>
      <c r="AV50" s="313"/>
      <c r="AW50" s="66"/>
      <c r="AY50" s="117"/>
      <c r="AZ50" s="233"/>
      <c r="BA50" s="313"/>
      <c r="BB50" s="64">
        <f t="shared" si="40"/>
        <v>0</v>
      </c>
      <c r="BD50" s="117"/>
      <c r="BE50" s="313"/>
      <c r="BF50" s="66"/>
      <c r="BG50" s="26"/>
      <c r="BH50" s="26"/>
    </row>
    <row r="51" spans="1:60" x14ac:dyDescent="0.35">
      <c r="A51" s="9168"/>
      <c r="B51" s="240"/>
      <c r="C51" s="240"/>
      <c r="D51" s="197"/>
      <c r="F51" s="155"/>
      <c r="H51" s="117"/>
      <c r="I51" s="115"/>
      <c r="J51" s="64">
        <f t="shared" si="26"/>
        <v>0</v>
      </c>
      <c r="L51" s="117"/>
      <c r="M51" s="157">
        <f t="shared" si="27"/>
        <v>0</v>
      </c>
      <c r="O51" s="117"/>
      <c r="P51" s="233"/>
      <c r="Q51" s="106"/>
      <c r="R51" s="64"/>
      <c r="T51" s="117"/>
      <c r="U51" s="313"/>
      <c r="V51" s="155"/>
      <c r="X51" s="117"/>
      <c r="Y51" s="120"/>
      <c r="Z51" s="106"/>
      <c r="AA51" s="64"/>
      <c r="AC51" s="117"/>
      <c r="AD51" s="313"/>
      <c r="AE51" s="66"/>
      <c r="AG51" s="117"/>
      <c r="AH51" s="120"/>
      <c r="AI51" s="313"/>
      <c r="AJ51" s="64"/>
      <c r="AL51" s="117"/>
      <c r="AM51" s="313"/>
      <c r="AN51" s="66"/>
      <c r="AP51" s="117"/>
      <c r="AQ51" s="120"/>
      <c r="AR51" s="313"/>
      <c r="AS51" s="476"/>
      <c r="AU51" s="117"/>
      <c r="AV51" s="313"/>
      <c r="AW51" s="66"/>
      <c r="AY51" s="117"/>
      <c r="AZ51" s="233"/>
      <c r="BA51" s="313"/>
      <c r="BB51" s="64"/>
      <c r="BD51" s="117"/>
      <c r="BE51" s="313"/>
      <c r="BF51" s="66"/>
      <c r="BG51" s="26"/>
      <c r="BH51" s="26"/>
    </row>
    <row r="52" spans="1:60" x14ac:dyDescent="0.35">
      <c r="A52" s="9168"/>
      <c r="B52" s="240"/>
      <c r="C52" s="240"/>
      <c r="D52" s="197"/>
      <c r="F52" s="155"/>
      <c r="H52" s="117"/>
      <c r="I52" s="115"/>
      <c r="J52" s="64">
        <f t="shared" si="26"/>
        <v>0</v>
      </c>
      <c r="L52" s="117"/>
      <c r="M52" s="157">
        <f t="shared" si="27"/>
        <v>0</v>
      </c>
      <c r="O52" s="117"/>
      <c r="P52" s="201"/>
      <c r="Q52" s="106"/>
      <c r="R52" s="64">
        <f t="shared" si="39"/>
        <v>0</v>
      </c>
      <c r="T52" s="117"/>
      <c r="U52" s="313"/>
      <c r="V52" s="155"/>
      <c r="X52" s="117"/>
      <c r="Y52" s="120"/>
      <c r="Z52" s="106"/>
      <c r="AA52" s="64">
        <f t="shared" ref="AA52" si="41">IF(X52=0,0,Y52/X52)</f>
        <v>0</v>
      </c>
      <c r="AC52" s="117"/>
      <c r="AD52" s="313"/>
      <c r="AE52" s="66"/>
      <c r="AG52" s="117"/>
      <c r="AH52" s="120"/>
      <c r="AI52" s="313"/>
      <c r="AJ52" s="64">
        <f t="shared" ref="AJ52" si="42">IF(AG52=0,0,AH52/AG52)</f>
        <v>0</v>
      </c>
      <c r="AL52" s="117"/>
      <c r="AM52" s="313"/>
      <c r="AN52" s="66"/>
      <c r="AP52" s="117"/>
      <c r="AQ52" s="120"/>
      <c r="AR52" s="313"/>
      <c r="AS52" s="476">
        <f t="shared" ref="AS52" si="43">IF(AP52=0,0,AQ52/AP52)</f>
        <v>0</v>
      </c>
      <c r="AU52" s="117"/>
      <c r="AV52" s="313"/>
      <c r="AW52" s="66"/>
      <c r="AY52" s="117"/>
      <c r="AZ52" s="233"/>
      <c r="BA52" s="313"/>
      <c r="BB52" s="64">
        <f t="shared" ref="BB52" si="44">IF(AY52=0,0,AZ52/AY52)</f>
        <v>0</v>
      </c>
      <c r="BD52" s="117"/>
      <c r="BE52" s="313"/>
      <c r="BF52" s="66"/>
      <c r="BG52" s="26"/>
      <c r="BH52" s="26"/>
    </row>
    <row r="53" spans="1:60" x14ac:dyDescent="0.35">
      <c r="A53" s="9168"/>
      <c r="B53" s="241"/>
      <c r="C53" s="241"/>
      <c r="D53" s="209"/>
      <c r="F53" s="130"/>
      <c r="H53" s="131"/>
      <c r="I53" s="132"/>
      <c r="J53" s="133">
        <f t="shared" si="26"/>
        <v>0</v>
      </c>
      <c r="L53" s="242"/>
      <c r="M53" s="157">
        <f t="shared" si="27"/>
        <v>0</v>
      </c>
      <c r="O53" s="131"/>
      <c r="P53" s="132"/>
      <c r="Q53" s="216"/>
      <c r="R53" s="133">
        <f>IF(O53=0,0,P53/O53)</f>
        <v>0</v>
      </c>
      <c r="T53" s="242"/>
      <c r="U53" s="216"/>
      <c r="V53" s="163"/>
      <c r="X53" s="131"/>
      <c r="Y53" s="800"/>
      <c r="Z53" s="216"/>
      <c r="AA53" s="133">
        <f>IF(X53=0,0,Y53/X53)</f>
        <v>0</v>
      </c>
      <c r="AC53" s="242"/>
      <c r="AD53" s="216"/>
      <c r="AE53" s="92"/>
      <c r="AG53" s="242"/>
      <c r="AH53" s="800"/>
      <c r="AI53" s="216"/>
      <c r="AJ53" s="133">
        <f>IF(AG53=0,0,AH53/AG53)</f>
        <v>0</v>
      </c>
      <c r="AL53" s="242"/>
      <c r="AM53" s="216"/>
      <c r="AN53" s="92"/>
      <c r="AP53" s="242"/>
      <c r="AQ53" s="800"/>
      <c r="AR53" s="216"/>
      <c r="AS53" s="484">
        <f>IF(AP53=0,0,AQ53/AP53)</f>
        <v>0</v>
      </c>
      <c r="AU53" s="242"/>
      <c r="AV53" s="216"/>
      <c r="AW53" s="92"/>
      <c r="AY53" s="242"/>
      <c r="AZ53" s="233"/>
      <c r="BA53" s="216"/>
      <c r="BB53" s="133">
        <f>IF(AY53=0,0,AZ53/AY53)</f>
        <v>0</v>
      </c>
      <c r="BD53" s="242"/>
      <c r="BE53" s="216"/>
      <c r="BF53" s="92"/>
      <c r="BG53" s="26"/>
      <c r="BH53" s="26"/>
    </row>
    <row r="54" spans="1:60" x14ac:dyDescent="0.35">
      <c r="A54" s="9168"/>
      <c r="B54" s="271" t="s">
        <v>540</v>
      </c>
      <c r="C54" s="271"/>
      <c r="D54" s="184"/>
      <c r="E54" s="141"/>
      <c r="F54" s="227"/>
      <c r="G54" s="141"/>
      <c r="H54" s="245"/>
      <c r="I54" s="106"/>
      <c r="J54" s="267"/>
      <c r="K54" s="141"/>
      <c r="L54" s="102"/>
      <c r="M54" s="268"/>
      <c r="N54" s="141"/>
      <c r="O54" s="245"/>
      <c r="P54" s="106"/>
      <c r="Q54" s="106"/>
      <c r="R54" s="267"/>
      <c r="S54" s="141"/>
      <c r="T54" s="102"/>
      <c r="U54" s="106"/>
      <c r="V54" s="227"/>
      <c r="W54" s="141"/>
      <c r="X54" s="245"/>
      <c r="Y54" s="1797" t="s">
        <v>4300</v>
      </c>
      <c r="Z54" s="106"/>
      <c r="AA54" s="267"/>
      <c r="AB54" s="141"/>
      <c r="AC54" s="102"/>
      <c r="AD54" s="106"/>
      <c r="AE54" s="105"/>
      <c r="AF54" s="141"/>
      <c r="AG54" s="102"/>
      <c r="AH54" s="1797" t="s">
        <v>4300</v>
      </c>
      <c r="AI54" s="106"/>
      <c r="AJ54" s="267"/>
      <c r="AK54" s="141"/>
      <c r="AL54" s="102"/>
      <c r="AM54" s="106"/>
      <c r="AN54" s="105"/>
      <c r="AO54" s="141"/>
      <c r="AP54" s="102"/>
      <c r="AQ54" s="1797" t="s">
        <v>4300</v>
      </c>
      <c r="AR54" s="106"/>
      <c r="AS54" s="518"/>
      <c r="AT54" s="141"/>
      <c r="AU54" s="102"/>
      <c r="AV54" s="106"/>
      <c r="AW54" s="105"/>
      <c r="AX54" s="141"/>
      <c r="AY54" s="102"/>
      <c r="AZ54" s="1797"/>
      <c r="BA54" s="106"/>
      <c r="BB54" s="267"/>
      <c r="BC54" s="141"/>
      <c r="BD54" s="102"/>
      <c r="BE54" s="106"/>
      <c r="BF54" s="105"/>
      <c r="BG54" s="18"/>
      <c r="BH54" s="18"/>
    </row>
    <row r="55" spans="1:60" x14ac:dyDescent="0.35">
      <c r="A55" s="9168"/>
      <c r="B55" s="240"/>
      <c r="C55" s="240"/>
      <c r="D55" s="197"/>
      <c r="F55" s="111"/>
      <c r="H55" s="112"/>
      <c r="I55" s="113"/>
      <c r="J55" s="64">
        <f t="shared" ref="J55:J62" si="45">IF(H55=0,0,I55/H55)</f>
        <v>0</v>
      </c>
      <c r="L55" s="112"/>
      <c r="M55" s="157">
        <f t="shared" ref="M55:M62" si="46">L55*J55</f>
        <v>0</v>
      </c>
      <c r="O55" s="112"/>
      <c r="P55" s="233"/>
      <c r="Q55" s="106" t="s">
        <v>639</v>
      </c>
      <c r="R55" s="64">
        <f t="shared" ref="R55:R62" si="47">IF(O55=0,0,P55/O55)</f>
        <v>0</v>
      </c>
      <c r="T55" s="112"/>
      <c r="U55" s="106" t="s">
        <v>639</v>
      </c>
      <c r="V55" s="111"/>
      <c r="X55" s="112">
        <v>26564.648700000002</v>
      </c>
      <c r="Y55" s="259">
        <f>X55*AA$35</f>
        <v>25161.532572121949</v>
      </c>
      <c r="Z55" s="57" t="s">
        <v>4855</v>
      </c>
      <c r="AA55" s="64">
        <f t="shared" ref="AA55:AA62" si="48">IF(X55=0,0,Y55/X55)</f>
        <v>0.94718107723826017</v>
      </c>
      <c r="AC55" s="112">
        <v>28208.934000000001</v>
      </c>
      <c r="AD55" s="57" t="s">
        <v>4855</v>
      </c>
      <c r="AE55" s="157">
        <f t="shared" ref="AE55:AE58" si="49">AC55*AA55</f>
        <v>26718.968493862983</v>
      </c>
      <c r="AG55" s="112">
        <v>28208.934000000001</v>
      </c>
      <c r="AH55" s="259">
        <f>AG55*AJ$35</f>
        <v>27969.523042698147</v>
      </c>
      <c r="AI55" s="57" t="s">
        <v>4855</v>
      </c>
      <c r="AJ55" s="64">
        <f t="shared" ref="AJ55:AJ62" si="50">IF(AG55=0,0,AH55/AG55)</f>
        <v>0.99151293851437794</v>
      </c>
      <c r="AL55" s="112">
        <v>33152.148520000002</v>
      </c>
      <c r="AM55" s="57" t="s">
        <v>4855</v>
      </c>
      <c r="AN55" s="157">
        <f t="shared" ref="AN55:AN58" si="51">AL55*AJ55</f>
        <v>32870.784197130291</v>
      </c>
      <c r="AP55" s="112">
        <v>33152.148520000002</v>
      </c>
      <c r="AQ55" s="259">
        <f>AP55*AS$35</f>
        <v>0</v>
      </c>
      <c r="AR55" s="57" t="s">
        <v>4855</v>
      </c>
      <c r="AS55" s="476">
        <f t="shared" ref="AS55:AS62" si="52">IF(AP55=0,0,AQ55/AP55)</f>
        <v>0</v>
      </c>
      <c r="AU55" s="112"/>
      <c r="AV55" s="57" t="s">
        <v>4855</v>
      </c>
      <c r="AW55" s="157">
        <f t="shared" ref="AW55:AW56" si="53">AU55*AS55</f>
        <v>0</v>
      </c>
      <c r="AY55" s="112"/>
      <c r="AZ55" s="263"/>
      <c r="BA55" s="57"/>
      <c r="BB55" s="64">
        <f>BB24</f>
        <v>0.83540532816314572</v>
      </c>
      <c r="BD55" s="112"/>
      <c r="BE55" s="57"/>
      <c r="BF55" s="157"/>
      <c r="BG55" s="26" t="s">
        <v>4715</v>
      </c>
      <c r="BH55" s="26" t="s">
        <v>4715</v>
      </c>
    </row>
    <row r="56" spans="1:60" x14ac:dyDescent="0.35">
      <c r="A56" s="9168"/>
      <c r="B56" s="240"/>
      <c r="C56" s="240"/>
      <c r="D56" s="197"/>
      <c r="F56" s="155"/>
      <c r="H56" s="117"/>
      <c r="I56" s="115"/>
      <c r="J56" s="64">
        <f t="shared" si="45"/>
        <v>0</v>
      </c>
      <c r="L56" s="117"/>
      <c r="M56" s="157">
        <f t="shared" si="46"/>
        <v>0</v>
      </c>
      <c r="O56" s="117"/>
      <c r="P56" s="201"/>
      <c r="Q56" s="106"/>
      <c r="R56" s="64">
        <f t="shared" si="47"/>
        <v>0</v>
      </c>
      <c r="T56" s="117"/>
      <c r="U56" s="106"/>
      <c r="V56" s="155"/>
      <c r="X56" s="117">
        <v>4832.9223099999999</v>
      </c>
      <c r="Y56" s="259">
        <f t="shared" ref="Y56:Y58" si="54">X56*AA$35</f>
        <v>4577.6525597946211</v>
      </c>
      <c r="Z56" s="57" t="s">
        <v>4856</v>
      </c>
      <c r="AA56" s="64">
        <f t="shared" si="48"/>
        <v>0.94718107723826028</v>
      </c>
      <c r="AC56" s="117">
        <v>4845.2878000000001</v>
      </c>
      <c r="AD56" s="57" t="s">
        <v>4857</v>
      </c>
      <c r="AE56" s="157">
        <f t="shared" si="49"/>
        <v>4589.3649179334006</v>
      </c>
      <c r="AG56" s="117">
        <v>4845.2878000000001</v>
      </c>
      <c r="AH56" s="259">
        <f t="shared" ref="AH56:AH58" si="55">AG56*AJ$35</f>
        <v>4804.1655445258657</v>
      </c>
      <c r="AI56" s="57" t="s">
        <v>4858</v>
      </c>
      <c r="AJ56" s="64">
        <f t="shared" si="50"/>
        <v>0.99151293851437794</v>
      </c>
      <c r="AL56" s="117">
        <v>5281.24</v>
      </c>
      <c r="AM56" s="57" t="s">
        <v>4859</v>
      </c>
      <c r="AN56" s="157">
        <f t="shared" si="51"/>
        <v>5236.4177913996728</v>
      </c>
      <c r="AP56" s="117">
        <v>5281.24</v>
      </c>
      <c r="AQ56" s="259">
        <f t="shared" ref="AQ56" si="56">AP56*AS$35</f>
        <v>0</v>
      </c>
      <c r="AR56" s="57" t="s">
        <v>4858</v>
      </c>
      <c r="AS56" s="476">
        <f t="shared" si="52"/>
        <v>0</v>
      </c>
      <c r="AU56" s="117"/>
      <c r="AV56" s="57" t="s">
        <v>4859</v>
      </c>
      <c r="AW56" s="157">
        <f t="shared" si="53"/>
        <v>0</v>
      </c>
      <c r="AY56" s="117"/>
      <c r="AZ56" s="263"/>
      <c r="BA56" s="57"/>
      <c r="BB56" s="64">
        <f>BB24</f>
        <v>0.83540532816314572</v>
      </c>
      <c r="BD56" s="117"/>
      <c r="BE56" s="7343"/>
      <c r="BF56" s="157"/>
      <c r="BG56" s="26" t="s">
        <v>4860</v>
      </c>
      <c r="BH56" s="26" t="s">
        <v>4860</v>
      </c>
    </row>
    <row r="57" spans="1:60" x14ac:dyDescent="0.35">
      <c r="A57" s="9168"/>
      <c r="B57" s="240"/>
      <c r="C57" s="240"/>
      <c r="D57" s="197"/>
      <c r="F57" s="163"/>
      <c r="H57" s="242"/>
      <c r="I57" s="243"/>
      <c r="J57" s="64">
        <f t="shared" si="45"/>
        <v>0</v>
      </c>
      <c r="L57" s="242"/>
      <c r="M57" s="157">
        <f t="shared" si="46"/>
        <v>0</v>
      </c>
      <c r="O57" s="242"/>
      <c r="P57" s="233"/>
      <c r="Q57" s="106"/>
      <c r="R57" s="64">
        <f t="shared" si="47"/>
        <v>0</v>
      </c>
      <c r="T57" s="242"/>
      <c r="U57" s="106"/>
      <c r="V57" s="163"/>
      <c r="X57" s="242">
        <f>4.947+6.101+4.459+7.125+3.839+7.158+4.619</f>
        <v>38.247999999999998</v>
      </c>
      <c r="Y57" s="259">
        <f t="shared" si="54"/>
        <v>36.227781842208969</v>
      </c>
      <c r="Z57" s="57" t="s">
        <v>4861</v>
      </c>
      <c r="AA57" s="64">
        <f t="shared" si="48"/>
        <v>0.94718107723826006</v>
      </c>
      <c r="AC57" s="242">
        <v>118.718</v>
      </c>
      <c r="AD57" s="57" t="s">
        <v>4862</v>
      </c>
      <c r="AE57" s="157">
        <f t="shared" si="49"/>
        <v>112.44744312757176</v>
      </c>
      <c r="AG57" s="242">
        <v>118.718</v>
      </c>
      <c r="AH57" s="259">
        <f t="shared" si="55"/>
        <v>117.71043303454992</v>
      </c>
      <c r="AI57" s="57" t="s">
        <v>4862</v>
      </c>
      <c r="AJ57" s="64">
        <f t="shared" si="50"/>
        <v>0.99151293851437794</v>
      </c>
      <c r="AL57" s="242">
        <v>1554.768</v>
      </c>
      <c r="AM57" s="57" t="s">
        <v>4863</v>
      </c>
      <c r="AN57" s="157">
        <f t="shared" si="51"/>
        <v>1541.5725883881223</v>
      </c>
      <c r="AP57" s="242"/>
      <c r="AQ57" s="7343" t="s">
        <v>4846</v>
      </c>
      <c r="AR57" s="254"/>
      <c r="AS57" s="476"/>
      <c r="AU57" s="1799"/>
      <c r="AV57" s="7343" t="s">
        <v>4846</v>
      </c>
      <c r="AW57" s="157"/>
      <c r="AY57" s="198"/>
      <c r="AZ57" s="8556"/>
      <c r="BA57" s="254"/>
      <c r="BB57" s="64">
        <f>BB24</f>
        <v>0.83540532816314572</v>
      </c>
      <c r="BD57" s="198"/>
      <c r="BE57" s="7343"/>
      <c r="BF57" s="157"/>
      <c r="BG57" s="26" t="s">
        <v>4864</v>
      </c>
      <c r="BH57" s="26" t="s">
        <v>4864</v>
      </c>
    </row>
    <row r="58" spans="1:60" x14ac:dyDescent="0.35">
      <c r="A58" s="9168"/>
      <c r="B58" s="240"/>
      <c r="C58" s="240"/>
      <c r="D58" s="197"/>
      <c r="F58" s="163"/>
      <c r="H58" s="242"/>
      <c r="I58" s="243"/>
      <c r="J58" s="64">
        <f t="shared" si="45"/>
        <v>0</v>
      </c>
      <c r="L58" s="242"/>
      <c r="M58" s="157">
        <f t="shared" si="46"/>
        <v>0</v>
      </c>
      <c r="O58" s="242"/>
      <c r="P58" s="201"/>
      <c r="Q58" s="106"/>
      <c r="R58" s="64">
        <f t="shared" si="47"/>
        <v>0</v>
      </c>
      <c r="T58" s="242"/>
      <c r="U58" s="106"/>
      <c r="V58" s="163"/>
      <c r="X58" s="242">
        <v>143.87530000000001</v>
      </c>
      <c r="Y58" s="259">
        <f t="shared" si="54"/>
        <v>136.27596164197786</v>
      </c>
      <c r="Z58" s="57" t="s">
        <v>4865</v>
      </c>
      <c r="AA58" s="64">
        <f t="shared" si="48"/>
        <v>0.94718107723826017</v>
      </c>
      <c r="AC58" s="242">
        <v>150.8032</v>
      </c>
      <c r="AD58" s="57" t="s">
        <v>4866</v>
      </c>
      <c r="AE58" s="157">
        <f t="shared" si="49"/>
        <v>142.83793742697679</v>
      </c>
      <c r="AG58" s="242">
        <v>150.8032</v>
      </c>
      <c r="AH58" s="259">
        <f t="shared" si="55"/>
        <v>149.52332396937143</v>
      </c>
      <c r="AI58" s="57" t="s">
        <v>4866</v>
      </c>
      <c r="AJ58" s="64">
        <f t="shared" si="50"/>
        <v>0.99151293851437783</v>
      </c>
      <c r="AL58" s="242">
        <v>103.77380599999999</v>
      </c>
      <c r="AM58" s="57" t="s">
        <v>4867</v>
      </c>
      <c r="AN58" s="157">
        <f t="shared" si="51"/>
        <v>102.89307132788096</v>
      </c>
      <c r="AP58" s="242"/>
      <c r="AQ58" s="259"/>
      <c r="AR58" s="57"/>
      <c r="AS58" s="476"/>
      <c r="AU58" s="242"/>
      <c r="AV58" s="57"/>
      <c r="AW58" s="157"/>
      <c r="AY58" s="242"/>
      <c r="AZ58" s="233"/>
      <c r="BA58" s="57"/>
      <c r="BB58" s="64"/>
      <c r="BD58" s="242"/>
      <c r="BE58" s="57"/>
      <c r="BF58" s="157"/>
      <c r="BG58" s="26" t="s">
        <v>4868</v>
      </c>
      <c r="BH58" s="26" t="s">
        <v>4868</v>
      </c>
    </row>
    <row r="59" spans="1:60" x14ac:dyDescent="0.35">
      <c r="A59" s="9168"/>
      <c r="B59" s="240"/>
      <c r="C59" s="240"/>
      <c r="D59" s="197"/>
      <c r="F59" s="163"/>
      <c r="H59" s="242"/>
      <c r="I59" s="243"/>
      <c r="J59" s="64">
        <f t="shared" si="45"/>
        <v>0</v>
      </c>
      <c r="L59" s="242"/>
      <c r="M59" s="157">
        <f t="shared" si="46"/>
        <v>0</v>
      </c>
      <c r="O59" s="242"/>
      <c r="P59" s="233"/>
      <c r="Q59" s="106"/>
      <c r="R59" s="64">
        <f t="shared" si="47"/>
        <v>0</v>
      </c>
      <c r="T59" s="242"/>
      <c r="U59" s="106"/>
      <c r="V59" s="163"/>
      <c r="X59" s="242"/>
      <c r="Y59" s="120"/>
      <c r="Z59" s="106"/>
      <c r="AA59" s="64">
        <f t="shared" si="48"/>
        <v>0</v>
      </c>
      <c r="AC59" s="242"/>
      <c r="AD59" s="106"/>
      <c r="AE59" s="66"/>
      <c r="AG59" s="242"/>
      <c r="AH59" s="120"/>
      <c r="AI59" s="106"/>
      <c r="AJ59" s="64">
        <f t="shared" si="50"/>
        <v>0</v>
      </c>
      <c r="AL59" s="242"/>
      <c r="AM59" s="106"/>
      <c r="AN59" s="66"/>
      <c r="AP59" s="242"/>
      <c r="AQ59" s="120"/>
      <c r="AR59" s="106"/>
      <c r="AS59" s="476">
        <f t="shared" si="52"/>
        <v>0</v>
      </c>
      <c r="AU59" s="242"/>
      <c r="AV59" s="106"/>
      <c r="AW59" s="66"/>
      <c r="AY59" s="242"/>
      <c r="AZ59" s="233"/>
      <c r="BA59" s="106"/>
      <c r="BB59" s="64">
        <f t="shared" ref="BB59:BB62" si="57">IF(AY59=0,0,AZ59/AY59)</f>
        <v>0</v>
      </c>
      <c r="BD59" s="242"/>
      <c r="BE59" s="106"/>
      <c r="BF59" s="66"/>
      <c r="BG59" s="26"/>
      <c r="BH59" s="26"/>
    </row>
    <row r="60" spans="1:60" x14ac:dyDescent="0.35">
      <c r="A60" s="9168"/>
      <c r="B60" s="240"/>
      <c r="C60" s="240"/>
      <c r="D60" s="197"/>
      <c r="F60" s="163"/>
      <c r="H60" s="242"/>
      <c r="I60" s="243"/>
      <c r="J60" s="64">
        <f t="shared" si="45"/>
        <v>0</v>
      </c>
      <c r="L60" s="242"/>
      <c r="M60" s="157"/>
      <c r="O60" s="242"/>
      <c r="P60" s="201"/>
      <c r="Q60" s="106"/>
      <c r="R60" s="64">
        <f t="shared" si="47"/>
        <v>0</v>
      </c>
      <c r="T60" s="242"/>
      <c r="U60" s="106"/>
      <c r="V60" s="163"/>
      <c r="X60" s="242"/>
      <c r="Y60" s="120"/>
      <c r="Z60" s="106"/>
      <c r="AA60" s="64">
        <f t="shared" si="48"/>
        <v>0</v>
      </c>
      <c r="AC60" s="242"/>
      <c r="AD60" s="106"/>
      <c r="AE60" s="66"/>
      <c r="AG60" s="242"/>
      <c r="AH60" s="120"/>
      <c r="AI60" s="106"/>
      <c r="AJ60" s="64">
        <f t="shared" si="50"/>
        <v>0</v>
      </c>
      <c r="AL60" s="242"/>
      <c r="AM60" s="106"/>
      <c r="AN60" s="66"/>
      <c r="AP60" s="242"/>
      <c r="AQ60" s="120"/>
      <c r="AR60" s="106"/>
      <c r="AS60" s="476">
        <f t="shared" si="52"/>
        <v>0</v>
      </c>
      <c r="AU60" s="242"/>
      <c r="AV60" s="106"/>
      <c r="AW60" s="66"/>
      <c r="AY60" s="242"/>
      <c r="AZ60" s="233"/>
      <c r="BA60" s="106"/>
      <c r="BB60" s="64">
        <f t="shared" si="57"/>
        <v>0</v>
      </c>
      <c r="BD60" s="242"/>
      <c r="BE60" s="106"/>
      <c r="BF60" s="66"/>
      <c r="BG60" s="26"/>
      <c r="BH60" s="26"/>
    </row>
    <row r="61" spans="1:60" x14ac:dyDescent="0.35">
      <c r="A61" s="9168"/>
      <c r="B61" s="240"/>
      <c r="C61" s="240"/>
      <c r="D61" s="197"/>
      <c r="F61" s="163"/>
      <c r="H61" s="242"/>
      <c r="I61" s="243"/>
      <c r="J61" s="64">
        <f t="shared" si="45"/>
        <v>0</v>
      </c>
      <c r="L61" s="242"/>
      <c r="M61" s="157">
        <f t="shared" si="46"/>
        <v>0</v>
      </c>
      <c r="O61" s="242"/>
      <c r="P61" s="201"/>
      <c r="Q61" s="106"/>
      <c r="R61" s="64">
        <f t="shared" si="47"/>
        <v>0</v>
      </c>
      <c r="T61" s="242"/>
      <c r="U61" s="106"/>
      <c r="V61" s="163"/>
      <c r="X61" s="242"/>
      <c r="Y61" s="120"/>
      <c r="Z61" s="106"/>
      <c r="AA61" s="64">
        <f t="shared" si="48"/>
        <v>0</v>
      </c>
      <c r="AC61" s="242"/>
      <c r="AD61" s="106"/>
      <c r="AE61" s="66"/>
      <c r="AG61" s="242"/>
      <c r="AH61" s="120"/>
      <c r="AI61" s="106"/>
      <c r="AJ61" s="64">
        <f t="shared" si="50"/>
        <v>0</v>
      </c>
      <c r="AL61" s="242"/>
      <c r="AM61" s="106"/>
      <c r="AN61" s="66"/>
      <c r="AP61" s="242"/>
      <c r="AQ61" s="120"/>
      <c r="AR61" s="106"/>
      <c r="AS61" s="476">
        <f t="shared" si="52"/>
        <v>0</v>
      </c>
      <c r="AU61" s="242"/>
      <c r="AV61" s="106"/>
      <c r="AW61" s="66"/>
      <c r="AY61" s="242"/>
      <c r="AZ61" s="233"/>
      <c r="BA61" s="106"/>
      <c r="BB61" s="64">
        <f t="shared" si="57"/>
        <v>0</v>
      </c>
      <c r="BD61" s="242"/>
      <c r="BE61" s="106"/>
      <c r="BF61" s="66"/>
      <c r="BG61" s="26"/>
      <c r="BH61" s="26"/>
    </row>
    <row r="62" spans="1:60" x14ac:dyDescent="0.35">
      <c r="A62" s="9168"/>
      <c r="B62" s="250"/>
      <c r="C62" s="240"/>
      <c r="D62" s="209"/>
      <c r="F62" s="130"/>
      <c r="H62" s="242"/>
      <c r="I62" s="243"/>
      <c r="J62" s="64">
        <f t="shared" si="45"/>
        <v>0</v>
      </c>
      <c r="L62" s="242"/>
      <c r="M62" s="157">
        <f t="shared" si="46"/>
        <v>0</v>
      </c>
      <c r="O62" s="242"/>
      <c r="P62" s="201"/>
      <c r="Q62" s="216"/>
      <c r="R62" s="64">
        <f t="shared" si="47"/>
        <v>0</v>
      </c>
      <c r="T62" s="242"/>
      <c r="U62" s="216"/>
      <c r="V62" s="163"/>
      <c r="X62" s="242"/>
      <c r="Y62" s="138"/>
      <c r="Z62" s="216"/>
      <c r="AA62" s="64">
        <f t="shared" si="48"/>
        <v>0</v>
      </c>
      <c r="AC62" s="242"/>
      <c r="AD62" s="216"/>
      <c r="AE62" s="92"/>
      <c r="AG62" s="242"/>
      <c r="AH62" s="138"/>
      <c r="AI62" s="216"/>
      <c r="AJ62" s="64">
        <f t="shared" si="50"/>
        <v>0</v>
      </c>
      <c r="AL62" s="242"/>
      <c r="AM62" s="216"/>
      <c r="AN62" s="92"/>
      <c r="AP62" s="242"/>
      <c r="AQ62" s="138"/>
      <c r="AR62" s="216"/>
      <c r="AS62" s="476">
        <f t="shared" si="52"/>
        <v>0</v>
      </c>
      <c r="AU62" s="242"/>
      <c r="AV62" s="216"/>
      <c r="AW62" s="92"/>
      <c r="AY62" s="242"/>
      <c r="AZ62" s="233"/>
      <c r="BA62" s="216"/>
      <c r="BB62" s="64">
        <f t="shared" si="57"/>
        <v>0</v>
      </c>
      <c r="BD62" s="242"/>
      <c r="BE62" s="216"/>
      <c r="BF62" s="92"/>
      <c r="BG62" s="24"/>
      <c r="BH62" s="24"/>
    </row>
    <row r="63" spans="1:60" x14ac:dyDescent="0.35">
      <c r="A63" s="9168"/>
      <c r="B63" s="271" t="s">
        <v>2230</v>
      </c>
      <c r="C63" s="271"/>
      <c r="D63" s="184"/>
      <c r="E63" s="143"/>
      <c r="F63" s="227"/>
      <c r="G63" s="143"/>
      <c r="H63" s="102"/>
      <c r="I63" s="103"/>
      <c r="J63" s="228"/>
      <c r="K63" s="143"/>
      <c r="L63" s="102"/>
      <c r="M63" s="268"/>
      <c r="N63" s="143"/>
      <c r="O63" s="102"/>
      <c r="P63" s="103"/>
      <c r="Q63" s="106"/>
      <c r="R63" s="228"/>
      <c r="S63" s="143"/>
      <c r="T63" s="102"/>
      <c r="U63" s="106"/>
      <c r="V63" s="227"/>
      <c r="W63" s="143"/>
      <c r="X63" s="102"/>
      <c r="Y63" s="103"/>
      <c r="Z63" s="106"/>
      <c r="AA63" s="228"/>
      <c r="AB63" s="143"/>
      <c r="AC63" s="102"/>
      <c r="AD63" s="106"/>
      <c r="AE63" s="105"/>
      <c r="AF63" s="143"/>
      <c r="AG63" s="102"/>
      <c r="AH63" s="103"/>
      <c r="AI63" s="106"/>
      <c r="AJ63" s="228"/>
      <c r="AK63" s="143"/>
      <c r="AL63" s="102"/>
      <c r="AM63" s="106"/>
      <c r="AN63" s="105"/>
      <c r="AO63" s="143"/>
      <c r="AP63" s="102"/>
      <c r="AQ63" s="103"/>
      <c r="AR63" s="106"/>
      <c r="AS63" s="228"/>
      <c r="AT63" s="143"/>
      <c r="AU63" s="102"/>
      <c r="AV63" s="106"/>
      <c r="AW63" s="105"/>
      <c r="AX63" s="143"/>
      <c r="AY63" s="102"/>
      <c r="AZ63" s="103"/>
      <c r="BA63" s="106"/>
      <c r="BB63" s="228"/>
      <c r="BC63" s="143"/>
      <c r="BD63" s="102"/>
      <c r="BE63" s="106"/>
      <c r="BF63" s="105"/>
      <c r="BG63" s="18"/>
      <c r="BH63" s="18"/>
    </row>
    <row r="64" spans="1:60" x14ac:dyDescent="0.35">
      <c r="A64" s="9168"/>
      <c r="B64" s="272"/>
      <c r="C64" s="272" t="s">
        <v>553</v>
      </c>
      <c r="D64" s="197"/>
      <c r="F64" s="155"/>
      <c r="H64" s="117"/>
      <c r="I64" s="115"/>
      <c r="J64" s="64">
        <f t="shared" ref="J64" si="58">IF(H64=0,0,I64/H64)</f>
        <v>0</v>
      </c>
      <c r="L64" s="117"/>
      <c r="M64" s="157">
        <f>M29*M66</f>
        <v>0</v>
      </c>
      <c r="O64" s="117"/>
      <c r="P64" s="201"/>
      <c r="Q64" s="106"/>
      <c r="R64" s="64">
        <f>IF(O64=0,0,P64/O64)</f>
        <v>0</v>
      </c>
      <c r="T64" s="117"/>
      <c r="U64" s="106"/>
      <c r="V64" s="155"/>
      <c r="X64" s="117"/>
      <c r="Y64" s="201"/>
      <c r="Z64" s="106"/>
      <c r="AA64" s="64">
        <f>IF(X64=0,0,Y64/X64)</f>
        <v>0</v>
      </c>
      <c r="AC64" s="117"/>
      <c r="AD64" s="106"/>
      <c r="AE64" s="66"/>
      <c r="AG64" s="117"/>
      <c r="AH64" s="201"/>
      <c r="AI64" s="106"/>
      <c r="AJ64" s="64">
        <f>IF(AG64=0,0,AH64/AG64)</f>
        <v>0</v>
      </c>
      <c r="AL64" s="117"/>
      <c r="AM64" s="106"/>
      <c r="AN64" s="66"/>
      <c r="AP64" s="117"/>
      <c r="AQ64" s="201"/>
      <c r="AR64" s="106"/>
      <c r="AS64" s="476">
        <f>IF(AP64=0,0,AQ64/AP64)</f>
        <v>0</v>
      </c>
      <c r="AU64" s="117"/>
      <c r="AV64" s="106"/>
      <c r="AW64" s="66"/>
      <c r="AY64" s="117"/>
      <c r="AZ64" s="201"/>
      <c r="BA64" s="106"/>
      <c r="BB64" s="64">
        <f>IF(AY64=0,0,AZ64/AY64)</f>
        <v>0</v>
      </c>
      <c r="BD64" s="117"/>
      <c r="BE64" s="106"/>
      <c r="BF64" s="66"/>
      <c r="BG64" s="26"/>
      <c r="BH64" s="26"/>
    </row>
    <row r="65" spans="1:60" x14ac:dyDescent="0.35">
      <c r="A65" s="9168"/>
      <c r="B65" s="274"/>
      <c r="C65" s="272" t="s">
        <v>554</v>
      </c>
      <c r="D65" s="197"/>
      <c r="F65" s="163"/>
      <c r="H65" s="242"/>
      <c r="I65" s="243"/>
      <c r="J65" s="64"/>
      <c r="L65" s="242"/>
      <c r="M65" s="157"/>
      <c r="O65" s="242"/>
      <c r="P65" s="201"/>
      <c r="Q65" s="106"/>
      <c r="R65" s="64">
        <f t="shared" ref="R65:R66" si="59">IF(O65=0,0,P65/O65)</f>
        <v>0</v>
      </c>
      <c r="T65" s="242"/>
      <c r="U65" s="106"/>
      <c r="V65" s="163"/>
      <c r="X65" s="242"/>
      <c r="Y65" s="201"/>
      <c r="Z65" s="106"/>
      <c r="AA65" s="64">
        <f t="shared" ref="AA65:AA66" si="60">IF(X65=0,0,Y65/X65)</f>
        <v>0</v>
      </c>
      <c r="AC65" s="242"/>
      <c r="AD65" s="106"/>
      <c r="AE65" s="66"/>
      <c r="AG65" s="242"/>
      <c r="AH65" s="201"/>
      <c r="AI65" s="106"/>
      <c r="AJ65" s="64">
        <f t="shared" ref="AJ65:AJ66" si="61">IF(AG65=0,0,AH65/AG65)</f>
        <v>0</v>
      </c>
      <c r="AL65" s="242"/>
      <c r="AM65" s="106"/>
      <c r="AN65" s="66"/>
      <c r="AP65" s="242"/>
      <c r="AQ65" s="201"/>
      <c r="AR65" s="106"/>
      <c r="AS65" s="476">
        <f t="shared" ref="AS65:AS66" si="62">IF(AP65=0,0,AQ65/AP65)</f>
        <v>0</v>
      </c>
      <c r="AU65" s="242"/>
      <c r="AV65" s="106"/>
      <c r="AW65" s="66"/>
      <c r="AY65" s="242"/>
      <c r="AZ65" s="201"/>
      <c r="BA65" s="106"/>
      <c r="BB65" s="64">
        <f t="shared" ref="BB65:BB66" si="63">IF(AY65=0,0,AZ65/AY65)</f>
        <v>0</v>
      </c>
      <c r="BD65" s="242"/>
      <c r="BE65" s="106"/>
      <c r="BF65" s="66"/>
      <c r="BG65" s="26"/>
      <c r="BH65" s="26"/>
    </row>
    <row r="66" spans="1:60" x14ac:dyDescent="0.35">
      <c r="A66" s="9168"/>
      <c r="B66" s="277"/>
      <c r="C66" s="277" t="s">
        <v>555</v>
      </c>
      <c r="D66" s="209"/>
      <c r="F66" s="665" t="e">
        <f>F64/F29</f>
        <v>#DIV/0!</v>
      </c>
      <c r="G66" s="666"/>
      <c r="H66" s="283" t="e">
        <f>H64/H29</f>
        <v>#DIV/0!</v>
      </c>
      <c r="I66" s="667" t="e">
        <f>I64/I29</f>
        <v>#DIV/0!</v>
      </c>
      <c r="J66" s="133"/>
      <c r="L66" s="283"/>
      <c r="M66" s="668"/>
      <c r="O66" s="283"/>
      <c r="P66" s="201"/>
      <c r="Q66" s="284"/>
      <c r="R66" s="64">
        <f t="shared" si="59"/>
        <v>0</v>
      </c>
      <c r="T66" s="283"/>
      <c r="U66" s="284"/>
      <c r="V66" s="665"/>
      <c r="X66" s="283"/>
      <c r="Y66" s="201"/>
      <c r="Z66" s="284"/>
      <c r="AA66" s="64">
        <f t="shared" si="60"/>
        <v>0</v>
      </c>
      <c r="AC66" s="283"/>
      <c r="AD66" s="284"/>
      <c r="AE66" s="1800"/>
      <c r="AG66" s="283"/>
      <c r="AH66" s="201"/>
      <c r="AI66" s="284"/>
      <c r="AJ66" s="64">
        <f t="shared" si="61"/>
        <v>0</v>
      </c>
      <c r="AL66" s="283"/>
      <c r="AM66" s="284"/>
      <c r="AN66" s="1800"/>
      <c r="AP66" s="283"/>
      <c r="AQ66" s="201"/>
      <c r="AR66" s="3329"/>
      <c r="AS66" s="476">
        <f t="shared" si="62"/>
        <v>0</v>
      </c>
      <c r="AU66" s="283"/>
      <c r="AV66" s="3329"/>
      <c r="AW66" s="3395"/>
      <c r="AY66" s="283"/>
      <c r="AZ66" s="201"/>
      <c r="BA66" s="284"/>
      <c r="BB66" s="64">
        <f t="shared" si="63"/>
        <v>0</v>
      </c>
      <c r="BD66" s="283"/>
      <c r="BE66" s="284"/>
      <c r="BF66" s="1800"/>
      <c r="BG66" s="24"/>
      <c r="BH66" s="24"/>
    </row>
    <row r="67" spans="1:60" ht="15.25" customHeight="1" x14ac:dyDescent="0.35">
      <c r="A67" s="9168"/>
      <c r="B67" s="287" t="s">
        <v>556</v>
      </c>
      <c r="C67" s="288"/>
      <c r="D67" s="184"/>
      <c r="E67" s="143"/>
      <c r="F67" s="289"/>
      <c r="G67" s="290"/>
      <c r="H67" s="291"/>
      <c r="I67" s="292"/>
      <c r="J67" s="293"/>
      <c r="L67" s="291"/>
      <c r="M67" s="268"/>
      <c r="N67" s="143"/>
      <c r="O67" s="291"/>
      <c r="P67" s="292"/>
      <c r="Q67" s="106"/>
      <c r="R67" s="293"/>
      <c r="T67" s="291"/>
      <c r="U67" s="106"/>
      <c r="V67" s="289"/>
      <c r="W67" s="143"/>
      <c r="X67" s="291"/>
      <c r="Y67" s="292"/>
      <c r="Z67" s="106"/>
      <c r="AA67" s="293"/>
      <c r="AC67" s="291"/>
      <c r="AD67" s="106"/>
      <c r="AE67" s="66"/>
      <c r="AF67" s="143"/>
      <c r="AG67" s="291"/>
      <c r="AH67" s="292"/>
      <c r="AI67" s="106"/>
      <c r="AJ67" s="293"/>
      <c r="AL67" s="291"/>
      <c r="AM67" s="106"/>
      <c r="AN67" s="66"/>
      <c r="AO67" s="143"/>
      <c r="AP67" s="291"/>
      <c r="AQ67" s="292"/>
      <c r="AR67" s="106"/>
      <c r="AS67" s="293"/>
      <c r="AU67" s="291"/>
      <c r="AV67" s="106"/>
      <c r="AW67" s="66"/>
      <c r="AX67" s="143"/>
      <c r="AY67" s="291"/>
      <c r="AZ67" s="292"/>
      <c r="BA67" s="106"/>
      <c r="BB67" s="293"/>
      <c r="BD67" s="291"/>
      <c r="BE67" s="106"/>
      <c r="BF67" s="66"/>
      <c r="BG67" s="18"/>
      <c r="BH67" s="18"/>
    </row>
    <row r="68" spans="1:60" x14ac:dyDescent="0.35">
      <c r="A68" s="9168"/>
      <c r="B68" s="302"/>
      <c r="C68" s="59" t="s">
        <v>532</v>
      </c>
      <c r="D68" s="197"/>
      <c r="F68" s="521"/>
      <c r="G68" s="272"/>
      <c r="H68" s="304"/>
      <c r="I68" s="522"/>
      <c r="J68" s="297">
        <f t="shared" ref="J68:J71" si="64">IF(H68=0,0,I68/H68)</f>
        <v>0</v>
      </c>
      <c r="L68" s="304"/>
      <c r="M68" s="157">
        <f t="shared" ref="M68:M71" si="65">L68*J68</f>
        <v>0</v>
      </c>
      <c r="O68" s="304"/>
      <c r="P68" s="932"/>
      <c r="Q68" s="332"/>
      <c r="R68" s="297">
        <f>IF(O68=0,0,P68/O68)</f>
        <v>0</v>
      </c>
      <c r="T68" s="304"/>
      <c r="U68" s="332"/>
      <c r="V68" s="521"/>
      <c r="X68" s="304"/>
      <c r="Y68" s="932"/>
      <c r="Z68" s="332"/>
      <c r="AA68" s="297">
        <f>IF(X68=0,0,Y68/X68)</f>
        <v>0</v>
      </c>
      <c r="AC68" s="304"/>
      <c r="AD68" s="332"/>
      <c r="AE68" s="1801"/>
      <c r="AG68" s="304"/>
      <c r="AH68" s="932"/>
      <c r="AI68" s="332"/>
      <c r="AJ68" s="297">
        <f>IF(AG68=0,0,AH68/AG68)</f>
        <v>0</v>
      </c>
      <c r="AL68" s="304"/>
      <c r="AM68" s="332"/>
      <c r="AN68" s="1801"/>
      <c r="AP68" s="304"/>
      <c r="AQ68" s="932"/>
      <c r="AR68" s="332"/>
      <c r="AS68" s="523">
        <f>IF(AP68=0,0,AQ68/AP68)</f>
        <v>0</v>
      </c>
      <c r="AU68" s="304"/>
      <c r="AV68" s="332"/>
      <c r="AW68" s="1801"/>
      <c r="AY68" s="304"/>
      <c r="AZ68" s="932"/>
      <c r="BA68" s="332"/>
      <c r="BB68" s="297">
        <f>IF(AY68=0,0,AZ68/AY68)</f>
        <v>0</v>
      </c>
      <c r="BD68" s="304"/>
      <c r="BE68" s="332"/>
      <c r="BF68" s="1801"/>
      <c r="BG68" s="26"/>
      <c r="BH68" s="26"/>
    </row>
    <row r="69" spans="1:60" x14ac:dyDescent="0.35">
      <c r="A69" s="9168"/>
      <c r="B69" s="302"/>
      <c r="C69" s="59" t="s">
        <v>533</v>
      </c>
      <c r="D69" s="197"/>
      <c r="F69" s="61"/>
      <c r="G69" s="272"/>
      <c r="H69" s="62"/>
      <c r="I69" s="63"/>
      <c r="J69" s="297">
        <f t="shared" si="64"/>
        <v>0</v>
      </c>
      <c r="L69" s="62"/>
      <c r="M69" s="157">
        <f t="shared" si="65"/>
        <v>0</v>
      </c>
      <c r="O69" s="62"/>
      <c r="P69" s="72"/>
      <c r="Q69" s="106"/>
      <c r="R69" s="297">
        <f>IF(O69=0,0,P69/O69)</f>
        <v>0</v>
      </c>
      <c r="T69" s="62"/>
      <c r="U69" s="106"/>
      <c r="V69" s="61"/>
      <c r="X69" s="62"/>
      <c r="Y69" s="72"/>
      <c r="Z69" s="106"/>
      <c r="AA69" s="297">
        <f>IF(X69=0,0,Y69/X69)</f>
        <v>0</v>
      </c>
      <c r="AC69" s="62"/>
      <c r="AD69" s="106"/>
      <c r="AE69" s="66"/>
      <c r="AG69" s="62"/>
      <c r="AH69" s="72"/>
      <c r="AI69" s="106"/>
      <c r="AJ69" s="297">
        <f>IF(AG69=0,0,AH69/AG69)</f>
        <v>0</v>
      </c>
      <c r="AL69" s="62"/>
      <c r="AM69" s="106"/>
      <c r="AN69" s="66"/>
      <c r="AP69" s="62"/>
      <c r="AQ69" s="72"/>
      <c r="AR69" s="106"/>
      <c r="AS69" s="523">
        <f>IF(AP69=0,0,AQ69/AP69)</f>
        <v>0</v>
      </c>
      <c r="AU69" s="62"/>
      <c r="AV69" s="106"/>
      <c r="AW69" s="66"/>
      <c r="AY69" s="62"/>
      <c r="AZ69" s="72"/>
      <c r="BA69" s="106"/>
      <c r="BB69" s="297">
        <f>IF(AY69=0,0,AZ69/AY69)</f>
        <v>0</v>
      </c>
      <c r="BD69" s="62"/>
      <c r="BE69" s="106"/>
      <c r="BF69" s="66"/>
      <c r="BG69" s="26"/>
      <c r="BH69" s="26"/>
    </row>
    <row r="70" spans="1:60" x14ac:dyDescent="0.35">
      <c r="A70" s="9168"/>
      <c r="B70" s="305"/>
      <c r="C70" s="59" t="s">
        <v>534</v>
      </c>
      <c r="D70" s="197"/>
      <c r="F70" s="61"/>
      <c r="G70" s="272"/>
      <c r="H70" s="62"/>
      <c r="I70" s="63"/>
      <c r="J70" s="297">
        <f t="shared" si="64"/>
        <v>0</v>
      </c>
      <c r="L70" s="62"/>
      <c r="M70" s="157">
        <f t="shared" si="65"/>
        <v>0</v>
      </c>
      <c r="O70" s="62"/>
      <c r="P70" s="72"/>
      <c r="Q70" s="106"/>
      <c r="R70" s="297">
        <f>IF(O70=0,0,P70/O70)</f>
        <v>0</v>
      </c>
      <c r="T70" s="62"/>
      <c r="U70" s="106"/>
      <c r="V70" s="61"/>
      <c r="X70" s="62"/>
      <c r="Y70" s="72"/>
      <c r="Z70" s="106"/>
      <c r="AA70" s="297">
        <f>IF(X70=0,0,Y70/X70)</f>
        <v>0</v>
      </c>
      <c r="AC70" s="62"/>
      <c r="AD70" s="106"/>
      <c r="AE70" s="66"/>
      <c r="AG70" s="62"/>
      <c r="AH70" s="72"/>
      <c r="AI70" s="106"/>
      <c r="AJ70" s="297">
        <f>IF(AG70=0,0,AH70/AG70)</f>
        <v>0</v>
      </c>
      <c r="AL70" s="62"/>
      <c r="AM70" s="106"/>
      <c r="AN70" s="66"/>
      <c r="AP70" s="62"/>
      <c r="AQ70" s="72"/>
      <c r="AR70" s="106"/>
      <c r="AS70" s="523">
        <f>IF(AP70=0,0,AQ70/AP70)</f>
        <v>0</v>
      </c>
      <c r="AU70" s="62"/>
      <c r="AV70" s="106"/>
      <c r="AW70" s="66"/>
      <c r="AY70" s="62"/>
      <c r="AZ70" s="72"/>
      <c r="BA70" s="106"/>
      <c r="BB70" s="297">
        <f>IF(AY70=0,0,AZ70/AY70)</f>
        <v>0</v>
      </c>
      <c r="BD70" s="62"/>
      <c r="BE70" s="106"/>
      <c r="BF70" s="66"/>
      <c r="BG70" s="26"/>
      <c r="BH70" s="26"/>
    </row>
    <row r="71" spans="1:60" x14ac:dyDescent="0.35">
      <c r="A71" s="9169"/>
      <c r="B71" s="306"/>
      <c r="C71" s="86" t="s">
        <v>536</v>
      </c>
      <c r="D71" s="209"/>
      <c r="F71" s="88"/>
      <c r="G71" s="274"/>
      <c r="H71" s="89"/>
      <c r="I71" s="90"/>
      <c r="J71" s="307">
        <f t="shared" si="64"/>
        <v>0</v>
      </c>
      <c r="L71" s="89"/>
      <c r="M71" s="213">
        <f t="shared" si="65"/>
        <v>0</v>
      </c>
      <c r="O71" s="89"/>
      <c r="P71" s="308"/>
      <c r="Q71" s="216"/>
      <c r="R71" s="307">
        <f>IF(O71=0,0,P71/O71)</f>
        <v>0</v>
      </c>
      <c r="T71" s="89"/>
      <c r="U71" s="216"/>
      <c r="V71" s="88"/>
      <c r="X71" s="89"/>
      <c r="Y71" s="308"/>
      <c r="Z71" s="216"/>
      <c r="AA71" s="307">
        <f>IF(X71=0,0,Y71/X71)</f>
        <v>0</v>
      </c>
      <c r="AC71" s="89"/>
      <c r="AD71" s="216"/>
      <c r="AE71" s="92"/>
      <c r="AG71" s="89"/>
      <c r="AH71" s="308"/>
      <c r="AI71" s="216"/>
      <c r="AJ71" s="307">
        <f>IF(AG71=0,0,AH71/AG71)</f>
        <v>0</v>
      </c>
      <c r="AL71" s="89"/>
      <c r="AM71" s="216"/>
      <c r="AN71" s="92"/>
      <c r="AP71" s="89"/>
      <c r="AQ71" s="308"/>
      <c r="AR71" s="216"/>
      <c r="AS71" s="527">
        <f>IF(AP71=0,0,AQ71/AP71)</f>
        <v>0</v>
      </c>
      <c r="AU71" s="89"/>
      <c r="AV71" s="216"/>
      <c r="AW71" s="92"/>
      <c r="AY71" s="89"/>
      <c r="AZ71" s="308"/>
      <c r="BA71" s="216"/>
      <c r="BB71" s="307">
        <f>IF(AY71=0,0,AZ71/AY71)</f>
        <v>0</v>
      </c>
      <c r="BD71" s="89"/>
      <c r="BE71" s="216"/>
      <c r="BF71" s="92"/>
      <c r="BG71" s="24"/>
      <c r="BH71" s="24"/>
    </row>
    <row r="72" spans="1:60" x14ac:dyDescent="0.35">
      <c r="A72" s="310"/>
      <c r="B72" s="310"/>
      <c r="F72" s="106"/>
      <c r="H72" s="106"/>
      <c r="I72" s="106"/>
      <c r="J72" s="311"/>
      <c r="L72" s="106"/>
      <c r="M72" s="312"/>
      <c r="O72" s="106"/>
      <c r="P72" s="106"/>
      <c r="Q72" s="106"/>
      <c r="R72" s="311"/>
      <c r="T72" s="106"/>
      <c r="U72" s="106"/>
      <c r="V72" s="312"/>
      <c r="X72" s="106"/>
      <c r="Y72" s="106"/>
      <c r="Z72" s="106"/>
      <c r="AA72" s="311"/>
      <c r="AC72" s="106"/>
      <c r="AD72" s="106"/>
      <c r="AE72" s="312"/>
      <c r="AG72" s="106"/>
      <c r="AH72" s="106"/>
      <c r="AI72" s="106"/>
      <c r="AJ72" s="311"/>
      <c r="AL72" s="106"/>
      <c r="AM72" s="106"/>
      <c r="AN72" s="312"/>
      <c r="AP72" s="106"/>
      <c r="AQ72" s="106"/>
      <c r="AR72" s="106"/>
      <c r="AS72" s="558"/>
      <c r="AU72" s="106"/>
      <c r="AV72" s="106"/>
      <c r="AW72" s="312"/>
      <c r="AY72" s="106"/>
      <c r="AZ72" s="106"/>
      <c r="BA72" s="106"/>
      <c r="BB72" s="311"/>
      <c r="BD72" s="106"/>
      <c r="BE72" s="106"/>
      <c r="BF72" s="312"/>
    </row>
    <row r="73" spans="1:60" x14ac:dyDescent="0.35">
      <c r="A73" s="9159" t="s">
        <v>559</v>
      </c>
      <c r="B73" s="939" t="s">
        <v>560</v>
      </c>
      <c r="C73" s="940"/>
      <c r="D73" s="184"/>
      <c r="F73" s="316"/>
      <c r="G73" s="290"/>
      <c r="H73" s="317"/>
      <c r="I73" s="1687"/>
      <c r="J73" s="293"/>
      <c r="L73" s="317"/>
      <c r="M73" s="231" t="s">
        <v>4869</v>
      </c>
      <c r="O73" s="317"/>
      <c r="P73" s="1687"/>
      <c r="Q73" s="231" t="s">
        <v>4870</v>
      </c>
      <c r="R73" s="293"/>
      <c r="T73" s="317"/>
      <c r="U73" s="231" t="s">
        <v>4870</v>
      </c>
      <c r="V73" s="323"/>
      <c r="X73" s="1802" t="s">
        <v>4300</v>
      </c>
      <c r="Y73" s="1803" t="s">
        <v>4871</v>
      </c>
      <c r="Z73" s="231"/>
      <c r="AA73" s="293"/>
      <c r="AC73" s="317"/>
      <c r="AD73" s="231"/>
      <c r="AE73" s="268"/>
      <c r="AG73" s="317"/>
      <c r="AH73" s="1803"/>
      <c r="AI73" s="231"/>
      <c r="AJ73" s="293"/>
      <c r="AL73" s="317"/>
      <c r="AM73" s="231"/>
      <c r="AN73" s="268"/>
      <c r="AP73" s="317"/>
      <c r="AQ73" s="1803"/>
      <c r="AR73" s="231"/>
      <c r="AS73" s="293"/>
      <c r="AU73" s="317"/>
      <c r="AV73" s="231"/>
      <c r="AW73" s="268"/>
      <c r="AY73" s="317"/>
      <c r="AZ73" s="1803"/>
      <c r="BA73" s="231"/>
      <c r="BB73" s="293"/>
      <c r="BD73" s="317"/>
      <c r="BE73" s="231"/>
      <c r="BF73" s="268"/>
      <c r="BG73" s="18"/>
      <c r="BH73" s="18"/>
    </row>
    <row r="74" spans="1:60" x14ac:dyDescent="0.35">
      <c r="A74" s="9160"/>
      <c r="B74" s="944"/>
      <c r="C74" s="945" t="s">
        <v>562</v>
      </c>
      <c r="D74" s="197"/>
      <c r="F74" s="327"/>
      <c r="G74" s="272"/>
      <c r="H74" s="325"/>
      <c r="I74" s="946"/>
      <c r="J74" s="297"/>
      <c r="L74" s="325"/>
      <c r="M74" s="157"/>
      <c r="O74" s="325"/>
      <c r="P74" s="947"/>
      <c r="Q74" s="332"/>
      <c r="R74" s="297">
        <f>IF(O74=0,0,P74/O74)</f>
        <v>0</v>
      </c>
      <c r="T74" s="325"/>
      <c r="U74" s="332"/>
      <c r="V74" s="333"/>
      <c r="X74" s="1804">
        <f>Y74</f>
        <v>15297.285</v>
      </c>
      <c r="Y74" s="331">
        <v>15297.285</v>
      </c>
      <c r="Z74" s="57" t="s">
        <v>4872</v>
      </c>
      <c r="AA74" s="297">
        <f>IF(X74=0,0,Y74/X74)</f>
        <v>1</v>
      </c>
      <c r="AC74" s="330">
        <v>15669.885</v>
      </c>
      <c r="AD74" s="57" t="s">
        <v>4872</v>
      </c>
      <c r="AE74" s="157">
        <f>AC74*AA74</f>
        <v>15669.885</v>
      </c>
      <c r="AG74" s="330">
        <v>15669.885</v>
      </c>
      <c r="AH74" s="331">
        <v>16438.692999999999</v>
      </c>
      <c r="AI74" s="57" t="s">
        <v>4872</v>
      </c>
      <c r="AJ74" s="297">
        <f>IF(AG74=0,0,AH74/AG74)</f>
        <v>1.049062772317729</v>
      </c>
      <c r="AL74" s="330">
        <v>18080.931</v>
      </c>
      <c r="AM74" s="57" t="s">
        <v>4872</v>
      </c>
      <c r="AN74" s="157">
        <f>AL74*AJ74</f>
        <v>18968.031600945571</v>
      </c>
      <c r="AP74" s="330">
        <v>18080.93</v>
      </c>
      <c r="AQ74" s="331"/>
      <c r="AR74" s="57" t="s">
        <v>4873</v>
      </c>
      <c r="AS74" s="523">
        <f>IF(AP74=0,0,AQ74/AP74)</f>
        <v>0</v>
      </c>
      <c r="AU74" s="330">
        <v>19405</v>
      </c>
      <c r="AV74" s="57" t="s">
        <v>4873</v>
      </c>
      <c r="AW74" s="157">
        <f>AU74*AS74</f>
        <v>0</v>
      </c>
      <c r="AY74" s="330">
        <v>19405</v>
      </c>
      <c r="AZ74" s="331">
        <v>19022.157999999999</v>
      </c>
      <c r="BA74" s="57" t="s">
        <v>4874</v>
      </c>
      <c r="BB74" s="297">
        <f>IF(AY74=0,0,AZ74/AY74)</f>
        <v>0.98027096109250189</v>
      </c>
      <c r="BD74" s="330">
        <v>21761.96</v>
      </c>
      <c r="BE74" s="57" t="s">
        <v>4874</v>
      </c>
      <c r="BF74" s="157">
        <f>BD74*BB74</f>
        <v>21332.61744445658</v>
      </c>
      <c r="BG74" s="26"/>
      <c r="BH74" s="26"/>
    </row>
    <row r="75" spans="1:60" x14ac:dyDescent="0.35">
      <c r="A75" s="9160"/>
      <c r="B75" s="944"/>
      <c r="C75" s="945" t="s">
        <v>565</v>
      </c>
      <c r="D75" s="197"/>
      <c r="F75" s="336"/>
      <c r="G75" s="272"/>
      <c r="H75" s="330"/>
      <c r="I75" s="948"/>
      <c r="J75" s="297"/>
      <c r="L75" s="330"/>
      <c r="M75" s="157"/>
      <c r="O75" s="330"/>
      <c r="P75" s="331"/>
      <c r="Q75" s="106"/>
      <c r="R75" s="297">
        <f>IF(O75=0,0,P75/O75)</f>
        <v>0</v>
      </c>
      <c r="T75" s="330"/>
      <c r="U75" s="106"/>
      <c r="V75" s="333"/>
      <c r="X75" s="919"/>
      <c r="Y75" s="331"/>
      <c r="Z75" s="106"/>
      <c r="AA75" s="297">
        <f>IF(X75=0,0,Y75/X75)</f>
        <v>0</v>
      </c>
      <c r="AC75" s="330"/>
      <c r="AD75" s="106"/>
      <c r="AE75" s="157"/>
      <c r="AG75" s="330"/>
      <c r="AH75" s="331"/>
      <c r="AI75" s="106"/>
      <c r="AJ75" s="297">
        <f>IF(AG75=0,0,AH75/AG75)</f>
        <v>0</v>
      </c>
      <c r="AL75" s="330"/>
      <c r="AM75" s="106"/>
      <c r="AN75" s="157"/>
      <c r="AP75" s="330"/>
      <c r="AQ75" s="331"/>
      <c r="AR75" s="106"/>
      <c r="AS75" s="523">
        <f>IF(AP75=0,0,AQ75/AP75)</f>
        <v>0</v>
      </c>
      <c r="AU75" s="330"/>
      <c r="AV75" s="106"/>
      <c r="AW75" s="157"/>
      <c r="AY75" s="330"/>
      <c r="AZ75" s="331"/>
      <c r="BA75" s="106"/>
      <c r="BB75" s="297"/>
      <c r="BD75" s="330"/>
      <c r="BE75" s="106"/>
      <c r="BF75" s="157"/>
      <c r="BG75" s="26"/>
      <c r="BH75" s="26"/>
    </row>
    <row r="76" spans="1:60" x14ac:dyDescent="0.35">
      <c r="A76" s="9160"/>
      <c r="B76" s="944"/>
      <c r="C76" s="945"/>
      <c r="D76" s="197"/>
      <c r="F76" s="336"/>
      <c r="G76" s="272"/>
      <c r="H76" s="330"/>
      <c r="I76" s="948"/>
      <c r="J76" s="297"/>
      <c r="L76" s="330"/>
      <c r="M76" s="157"/>
      <c r="O76" s="330"/>
      <c r="P76" s="331"/>
      <c r="Q76" s="106"/>
      <c r="R76" s="297">
        <f t="shared" ref="R76:R80" si="66">IF(O76=0,0,P76/O76)</f>
        <v>0</v>
      </c>
      <c r="T76" s="330"/>
      <c r="U76" s="106"/>
      <c r="V76" s="333"/>
      <c r="X76" s="1805"/>
      <c r="Y76" s="331"/>
      <c r="Z76" s="106"/>
      <c r="AA76" s="297">
        <f t="shared" ref="AA76:AA80" si="67">IF(X76=0,0,Y76/X76)</f>
        <v>0</v>
      </c>
      <c r="AC76" s="330"/>
      <c r="AD76" s="106"/>
      <c r="AE76" s="157"/>
      <c r="AG76" s="330"/>
      <c r="AH76" s="331"/>
      <c r="AI76" s="106"/>
      <c r="AJ76" s="297">
        <f t="shared" ref="AJ76:AJ80" si="68">IF(AG76=0,0,AH76/AG76)</f>
        <v>0</v>
      </c>
      <c r="AL76" s="330"/>
      <c r="AM76" s="106"/>
      <c r="AN76" s="157"/>
      <c r="AP76" s="330"/>
      <c r="AQ76" s="331"/>
      <c r="AR76" s="106"/>
      <c r="AS76" s="523">
        <f t="shared" ref="AS76:AS80" si="69">IF(AP76=0,0,AQ76/AP76)</f>
        <v>0</v>
      </c>
      <c r="AU76" s="330"/>
      <c r="AV76" s="106"/>
      <c r="AW76" s="157"/>
      <c r="AY76" s="330"/>
      <c r="AZ76" s="331"/>
      <c r="BA76" s="106"/>
      <c r="BB76" s="297"/>
      <c r="BD76" s="330"/>
      <c r="BE76" s="106"/>
      <c r="BF76" s="157"/>
      <c r="BG76" s="26"/>
      <c r="BH76" s="26"/>
    </row>
    <row r="77" spans="1:60" x14ac:dyDescent="0.35">
      <c r="A77" s="9160"/>
      <c r="B77" s="944"/>
      <c r="C77" s="945"/>
      <c r="D77" s="197"/>
      <c r="F77" s="336"/>
      <c r="G77" s="272"/>
      <c r="H77" s="330"/>
      <c r="I77" s="948"/>
      <c r="J77" s="297"/>
      <c r="L77" s="330"/>
      <c r="M77" s="157"/>
      <c r="O77" s="330"/>
      <c r="P77" s="331"/>
      <c r="Q77" s="106"/>
      <c r="R77" s="297">
        <f t="shared" si="66"/>
        <v>0</v>
      </c>
      <c r="T77" s="330"/>
      <c r="U77" s="106"/>
      <c r="V77" s="333"/>
      <c r="X77" s="330">
        <v>1617.021</v>
      </c>
      <c r="Y77" s="331">
        <v>1396.097</v>
      </c>
      <c r="Z77" s="57" t="s">
        <v>1860</v>
      </c>
      <c r="AA77" s="297">
        <f t="shared" si="67"/>
        <v>0.86337592399851337</v>
      </c>
      <c r="AC77" s="330">
        <v>873.702</v>
      </c>
      <c r="AD77" s="57" t="s">
        <v>1860</v>
      </c>
      <c r="AE77" s="157">
        <f>AC77*AA77</f>
        <v>754.33327154934909</v>
      </c>
      <c r="AG77" s="330">
        <v>873.702</v>
      </c>
      <c r="AH77" s="331">
        <v>828.47799999999995</v>
      </c>
      <c r="AI77" s="57" t="s">
        <v>4875</v>
      </c>
      <c r="AJ77" s="297">
        <f t="shared" si="68"/>
        <v>0.9482386442974835</v>
      </c>
      <c r="AL77" s="330">
        <v>1978.8389999999999</v>
      </c>
      <c r="AM77" s="57" t="s">
        <v>2456</v>
      </c>
      <c r="AN77" s="157">
        <f>AL77*AJ77</f>
        <v>1876.4116106429879</v>
      </c>
      <c r="AP77" s="330">
        <v>1978.8389999999999</v>
      </c>
      <c r="AQ77" s="331"/>
      <c r="AR77" s="57" t="s">
        <v>4875</v>
      </c>
      <c r="AS77" s="523">
        <f t="shared" si="69"/>
        <v>0</v>
      </c>
      <c r="AU77" s="330">
        <v>3067.7910000000002</v>
      </c>
      <c r="AV77" s="57" t="s">
        <v>2456</v>
      </c>
      <c r="AW77" s="157">
        <f>AU77*AS77</f>
        <v>0</v>
      </c>
      <c r="AY77" s="330">
        <v>3067.7910000000002</v>
      </c>
      <c r="AZ77" s="331">
        <v>454.678</v>
      </c>
      <c r="BA77" s="57" t="s">
        <v>4876</v>
      </c>
      <c r="BB77" s="297">
        <f t="shared" ref="BB77" si="70">IF(AY77=0,0,AZ77/AY77)</f>
        <v>0.14821022683748664</v>
      </c>
      <c r="BD77" s="330">
        <v>2514.8820000000001</v>
      </c>
      <c r="BE77" s="57"/>
      <c r="BF77" s="157">
        <f>BD77*BB77</f>
        <v>372.73123168951207</v>
      </c>
      <c r="BG77" s="26"/>
      <c r="BH77" s="26"/>
    </row>
    <row r="78" spans="1:60" x14ac:dyDescent="0.35">
      <c r="A78" s="9160"/>
      <c r="B78" s="944"/>
      <c r="C78" s="945" t="s">
        <v>1659</v>
      </c>
      <c r="D78" s="197"/>
      <c r="F78" s="336"/>
      <c r="G78" s="272"/>
      <c r="H78" s="330"/>
      <c r="I78" s="948"/>
      <c r="J78" s="297"/>
      <c r="L78" s="330"/>
      <c r="M78" s="157"/>
      <c r="O78" s="330"/>
      <c r="P78" s="331"/>
      <c r="Q78" s="106"/>
      <c r="R78" s="297">
        <f t="shared" si="66"/>
        <v>0</v>
      </c>
      <c r="T78" s="330"/>
      <c r="U78" s="313" t="s">
        <v>4816</v>
      </c>
      <c r="V78" s="333"/>
      <c r="X78" s="330"/>
      <c r="Y78" s="331"/>
      <c r="Z78" s="106"/>
      <c r="AA78" s="297">
        <f t="shared" si="67"/>
        <v>0</v>
      </c>
      <c r="AC78" s="330"/>
      <c r="AD78" s="313"/>
      <c r="AE78" s="157"/>
      <c r="AG78" s="330"/>
      <c r="AH78" s="331"/>
      <c r="AI78" s="313"/>
      <c r="AJ78" s="297">
        <f t="shared" si="68"/>
        <v>0</v>
      </c>
      <c r="AL78" s="330"/>
      <c r="AM78" s="313"/>
      <c r="AN78" s="157"/>
      <c r="AP78" s="330"/>
      <c r="AQ78" s="331"/>
      <c r="AR78" s="313"/>
      <c r="AS78" s="523">
        <f t="shared" si="69"/>
        <v>0</v>
      </c>
      <c r="AU78" s="330"/>
      <c r="AV78" s="313"/>
      <c r="AW78" s="157"/>
      <c r="AY78" s="330"/>
      <c r="AZ78" s="331"/>
      <c r="BA78" s="313"/>
      <c r="BB78" s="297"/>
      <c r="BD78" s="330"/>
      <c r="BE78" s="313"/>
      <c r="BF78" s="157"/>
      <c r="BG78" s="26"/>
      <c r="BH78" s="26"/>
    </row>
    <row r="79" spans="1:60" x14ac:dyDescent="0.35">
      <c r="A79" s="9160"/>
      <c r="B79" s="944"/>
      <c r="C79" s="945" t="s">
        <v>1660</v>
      </c>
      <c r="D79" s="197"/>
      <c r="F79" s="336"/>
      <c r="G79" s="272"/>
      <c r="H79" s="330"/>
      <c r="I79" s="948"/>
      <c r="J79" s="297"/>
      <c r="L79" s="330"/>
      <c r="M79" s="157"/>
      <c r="O79" s="330"/>
      <c r="P79" s="331"/>
      <c r="Q79" s="106"/>
      <c r="R79" s="297">
        <f t="shared" si="66"/>
        <v>0</v>
      </c>
      <c r="T79" s="330"/>
      <c r="U79" s="106"/>
      <c r="V79" s="333"/>
      <c r="X79" s="330"/>
      <c r="Y79" s="331"/>
      <c r="Z79" s="106"/>
      <c r="AA79" s="297">
        <f t="shared" si="67"/>
        <v>0</v>
      </c>
      <c r="AC79" s="330"/>
      <c r="AD79" s="106"/>
      <c r="AE79" s="157"/>
      <c r="AG79" s="330"/>
      <c r="AH79" s="331"/>
      <c r="AI79" s="106"/>
      <c r="AJ79" s="297">
        <f t="shared" si="68"/>
        <v>0</v>
      </c>
      <c r="AL79" s="330"/>
      <c r="AM79" s="106"/>
      <c r="AN79" s="157"/>
      <c r="AP79" s="330"/>
      <c r="AQ79" s="331"/>
      <c r="AR79" s="106"/>
      <c r="AS79" s="523">
        <f t="shared" si="69"/>
        <v>0</v>
      </c>
      <c r="AU79" s="330"/>
      <c r="AV79" s="106"/>
      <c r="AW79" s="157"/>
      <c r="AY79" s="330"/>
      <c r="AZ79" s="331"/>
      <c r="BA79" s="106"/>
      <c r="BB79" s="297"/>
      <c r="BD79" s="330"/>
      <c r="BE79" s="106"/>
      <c r="BF79" s="157"/>
      <c r="BG79" s="26"/>
      <c r="BH79" s="26"/>
    </row>
    <row r="80" spans="1:60" x14ac:dyDescent="0.35">
      <c r="A80" s="9160"/>
      <c r="B80" s="944"/>
      <c r="C80" s="945"/>
      <c r="D80" s="197"/>
      <c r="F80" s="336"/>
      <c r="G80" s="272"/>
      <c r="H80" s="330"/>
      <c r="I80" s="948"/>
      <c r="J80" s="297"/>
      <c r="L80" s="330"/>
      <c r="M80" s="157"/>
      <c r="O80" s="330">
        <v>1764.348</v>
      </c>
      <c r="P80" s="331"/>
      <c r="Q80" s="106"/>
      <c r="R80" s="297">
        <f t="shared" si="66"/>
        <v>0</v>
      </c>
      <c r="T80" s="330">
        <v>1944.6089999999999</v>
      </c>
      <c r="U80" s="57" t="s">
        <v>4832</v>
      </c>
      <c r="V80" s="333"/>
      <c r="X80" s="330"/>
      <c r="Y80" s="331"/>
      <c r="Z80" s="106"/>
      <c r="AA80" s="297">
        <f t="shared" si="67"/>
        <v>0</v>
      </c>
      <c r="AC80" s="330"/>
      <c r="AD80" s="57"/>
      <c r="AE80" s="157"/>
      <c r="AG80" s="330"/>
      <c r="AH80" s="331"/>
      <c r="AI80" s="57"/>
      <c r="AJ80" s="297">
        <f t="shared" si="68"/>
        <v>0</v>
      </c>
      <c r="AL80" s="330"/>
      <c r="AM80" s="57"/>
      <c r="AN80" s="157"/>
      <c r="AP80" s="330"/>
      <c r="AQ80" s="331"/>
      <c r="AR80" s="57"/>
      <c r="AS80" s="523">
        <f t="shared" si="69"/>
        <v>0</v>
      </c>
      <c r="AU80" s="330"/>
      <c r="AV80" s="57"/>
      <c r="AW80" s="157"/>
      <c r="AY80" s="330"/>
      <c r="AZ80" s="331"/>
      <c r="BA80" s="57"/>
      <c r="BB80" s="297"/>
      <c r="BD80" s="330"/>
      <c r="BE80" s="57"/>
      <c r="BF80" s="157"/>
      <c r="BG80" s="26"/>
      <c r="BH80" s="26"/>
    </row>
    <row r="81" spans="1:60" x14ac:dyDescent="0.35">
      <c r="A81" s="9160"/>
      <c r="B81" s="944"/>
      <c r="C81" s="945"/>
      <c r="D81" s="197"/>
      <c r="F81" s="336"/>
      <c r="G81" s="272"/>
      <c r="H81" s="330"/>
      <c r="I81" s="948"/>
      <c r="J81" s="297"/>
      <c r="L81" s="330"/>
      <c r="M81" s="157"/>
      <c r="O81" s="330"/>
      <c r="P81" s="331"/>
      <c r="Q81" s="106"/>
      <c r="R81" s="297">
        <f>IF(O81=0,0,P81/O81)</f>
        <v>0</v>
      </c>
      <c r="T81" s="330"/>
      <c r="U81" s="106"/>
      <c r="V81" s="333"/>
      <c r="X81" s="330"/>
      <c r="Y81" s="331"/>
      <c r="Z81" s="106"/>
      <c r="AA81" s="297">
        <f>IF(X81=0,0,Y81/X81)</f>
        <v>0</v>
      </c>
      <c r="AC81" s="330"/>
      <c r="AD81" s="106"/>
      <c r="AE81" s="157"/>
      <c r="AG81" s="330"/>
      <c r="AH81" s="331"/>
      <c r="AI81" s="106"/>
      <c r="AJ81" s="297">
        <f>IF(AG81=0,0,AH81/AG81)</f>
        <v>0</v>
      </c>
      <c r="AL81" s="330"/>
      <c r="AM81" s="106"/>
      <c r="AN81" s="157"/>
      <c r="AP81" s="330"/>
      <c r="AQ81" s="331"/>
      <c r="AR81" s="106"/>
      <c r="AS81" s="523">
        <f>IF(AP81=0,0,AQ81/AP81)</f>
        <v>0</v>
      </c>
      <c r="AU81" s="330"/>
      <c r="AV81" s="106"/>
      <c r="AW81" s="157"/>
      <c r="AY81" s="330"/>
      <c r="AZ81" s="331"/>
      <c r="BA81" s="106"/>
      <c r="BB81" s="297"/>
      <c r="BD81" s="330"/>
      <c r="BE81" s="106"/>
      <c r="BF81" s="157"/>
      <c r="BG81" s="26"/>
      <c r="BH81" s="26"/>
    </row>
    <row r="82" spans="1:60" x14ac:dyDescent="0.35">
      <c r="A82" s="9161"/>
      <c r="B82" s="949"/>
      <c r="C82" s="950" t="s">
        <v>10</v>
      </c>
      <c r="D82" s="209"/>
      <c r="F82" s="343"/>
      <c r="G82" s="274"/>
      <c r="H82" s="341"/>
      <c r="I82" s="951"/>
      <c r="J82" s="307"/>
      <c r="L82" s="341"/>
      <c r="M82" s="213"/>
      <c r="O82" s="341"/>
      <c r="P82" s="952"/>
      <c r="Q82" s="216"/>
      <c r="R82" s="307">
        <f>IF(O82=0,0,P82/O82)</f>
        <v>0</v>
      </c>
      <c r="T82" s="341"/>
      <c r="U82" s="216"/>
      <c r="V82" s="347"/>
      <c r="X82" s="341"/>
      <c r="Y82" s="952"/>
      <c r="Z82" s="216"/>
      <c r="AA82" s="307">
        <f>IF(X82=0,0,Y82/X82)</f>
        <v>0</v>
      </c>
      <c r="AC82" s="341"/>
      <c r="AD82" s="216"/>
      <c r="AE82" s="213"/>
      <c r="AG82" s="341"/>
      <c r="AH82" s="952"/>
      <c r="AI82" s="216"/>
      <c r="AJ82" s="307">
        <f>IF(AG82=0,0,AH82/AG82)</f>
        <v>0</v>
      </c>
      <c r="AL82" s="341"/>
      <c r="AM82" s="216"/>
      <c r="AN82" s="213"/>
      <c r="AP82" s="341"/>
      <c r="AQ82" s="952"/>
      <c r="AR82" s="216"/>
      <c r="AS82" s="527">
        <f>IF(AP82=0,0,AQ82/AP82)</f>
        <v>0</v>
      </c>
      <c r="AU82" s="341"/>
      <c r="AV82" s="216"/>
      <c r="AW82" s="213"/>
      <c r="AY82" s="341"/>
      <c r="AZ82" s="952"/>
      <c r="BA82" s="216"/>
      <c r="BB82" s="307"/>
      <c r="BD82" s="341"/>
      <c r="BE82" s="216"/>
      <c r="BF82" s="213"/>
      <c r="BG82" s="24"/>
      <c r="BH82" s="24"/>
    </row>
    <row r="83" spans="1:60" x14ac:dyDescent="0.35">
      <c r="A83" s="310"/>
      <c r="B83" s="310"/>
      <c r="F83" s="106"/>
      <c r="H83" s="106"/>
      <c r="I83" s="106"/>
      <c r="J83" s="311"/>
      <c r="L83" s="106"/>
      <c r="M83" s="312"/>
      <c r="O83" s="106"/>
      <c r="P83" s="106"/>
      <c r="Q83" s="106"/>
      <c r="R83" s="311"/>
      <c r="T83" s="106"/>
      <c r="U83" s="106"/>
      <c r="V83" s="312"/>
      <c r="X83" s="106"/>
      <c r="Y83" s="106"/>
      <c r="Z83" s="106"/>
      <c r="AA83" s="311"/>
      <c r="AC83" s="106"/>
      <c r="AD83" s="106"/>
      <c r="AE83" s="312"/>
      <c r="AG83" s="106"/>
      <c r="AH83" s="106"/>
      <c r="AI83" s="106"/>
      <c r="AJ83" s="311"/>
      <c r="AL83" s="106"/>
      <c r="AM83" s="106"/>
      <c r="AN83" s="312"/>
      <c r="AP83" s="106"/>
      <c r="AQ83" s="106"/>
      <c r="AR83" s="106"/>
      <c r="AS83" s="558"/>
      <c r="AU83" s="106"/>
      <c r="AV83" s="106"/>
      <c r="AW83" s="312"/>
      <c r="AY83" s="106"/>
      <c r="AZ83" s="106"/>
      <c r="BA83" s="106"/>
      <c r="BB83" s="311"/>
      <c r="BD83" s="106"/>
      <c r="BE83" s="106"/>
      <c r="BF83" s="312"/>
    </row>
    <row r="84" spans="1:60" ht="14.5" customHeight="1" x14ac:dyDescent="0.35">
      <c r="A84" s="9167" t="s">
        <v>566</v>
      </c>
      <c r="B84" s="139" t="s">
        <v>567</v>
      </c>
      <c r="C84" s="348"/>
      <c r="D84" s="49"/>
      <c r="E84" s="141"/>
      <c r="F84" s="227"/>
      <c r="G84" s="141"/>
      <c r="H84" s="102"/>
      <c r="I84" s="103"/>
      <c r="J84" s="228"/>
      <c r="K84" s="141"/>
      <c r="L84" s="102"/>
      <c r="M84" s="268"/>
      <c r="N84" s="141"/>
      <c r="O84" s="102"/>
      <c r="P84" s="103"/>
      <c r="Q84" s="103"/>
      <c r="R84" s="228"/>
      <c r="S84" s="141"/>
      <c r="T84" s="102"/>
      <c r="U84" s="103"/>
      <c r="V84" s="268"/>
      <c r="W84" s="141"/>
      <c r="X84" s="102"/>
      <c r="Y84" s="103"/>
      <c r="Z84" s="103"/>
      <c r="AA84" s="228"/>
      <c r="AB84" s="141"/>
      <c r="AC84" s="102"/>
      <c r="AD84" s="103"/>
      <c r="AE84" s="268"/>
      <c r="AF84" s="141"/>
      <c r="AG84" s="102"/>
      <c r="AH84" s="103"/>
      <c r="AI84" s="103"/>
      <c r="AJ84" s="228"/>
      <c r="AK84" s="141"/>
      <c r="AL84" s="102"/>
      <c r="AM84" s="103"/>
      <c r="AN84" s="268"/>
      <c r="AO84" s="141"/>
      <c r="AP84" s="102"/>
      <c r="AQ84" s="103"/>
      <c r="AR84" s="103"/>
      <c r="AS84" s="228"/>
      <c r="AT84" s="141"/>
      <c r="AU84" s="102"/>
      <c r="AV84" s="103"/>
      <c r="AW84" s="268"/>
      <c r="AX84" s="141"/>
      <c r="AY84" s="102"/>
      <c r="AZ84" s="103"/>
      <c r="BA84" s="103"/>
      <c r="BB84" s="228"/>
      <c r="BC84" s="141"/>
      <c r="BD84" s="102"/>
      <c r="BE84" s="103"/>
      <c r="BF84" s="268"/>
    </row>
    <row r="85" spans="1:60" x14ac:dyDescent="0.35">
      <c r="A85" s="9168"/>
      <c r="B85" s="6082"/>
      <c r="C85"/>
      <c r="D85" s="110" t="s">
        <v>568</v>
      </c>
      <c r="F85" s="349">
        <f>SUM(F35:F37)-SUM(F40:F42)</f>
        <v>19256</v>
      </c>
      <c r="G85" s="350"/>
      <c r="H85" s="351">
        <f>SUM(H35:H37)-SUM(H40:H42)</f>
        <v>35530.949000000001</v>
      </c>
      <c r="I85" s="352">
        <f>SUM(I35:I37)-SUM(I40:I42)</f>
        <v>0</v>
      </c>
      <c r="J85" s="246"/>
      <c r="K85" s="350"/>
      <c r="L85" s="351">
        <f>SUM(L35:L37)-SUM(L40:L42)</f>
        <v>40673.661</v>
      </c>
      <c r="M85" s="353">
        <f>SUM(M35:M37)-SUM(M40:M42)</f>
        <v>0</v>
      </c>
      <c r="O85" s="351">
        <f>SUM(O35:O38)-SUM(O40:O42)</f>
        <v>37788.801999999996</v>
      </c>
      <c r="P85" s="352">
        <f>SUM(P35:P38)-SUM(P40:P42)</f>
        <v>0</v>
      </c>
      <c r="Q85" s="352"/>
      <c r="R85" s="246"/>
      <c r="S85" s="350"/>
      <c r="T85" s="351">
        <f>SUM(T35:T38)-SUM(T40:T42)</f>
        <v>48344.777000000002</v>
      </c>
      <c r="U85" s="352"/>
      <c r="V85" s="353">
        <f>SUM(V35:V38)-SUM(V40:V42)</f>
        <v>0</v>
      </c>
      <c r="X85" s="351">
        <f>SUM(X35:X38)-SUM(X40:X42)</f>
        <v>47921.831000000006</v>
      </c>
      <c r="Y85" s="352">
        <f>SUM(Y35:Y38)-SUM(Y40:Y42)</f>
        <v>44416.606999999996</v>
      </c>
      <c r="Z85" s="352"/>
      <c r="AA85" s="246"/>
      <c r="AB85" s="350"/>
      <c r="AC85" s="351">
        <f>SUM(AC35:AC38)-SUM(AC40:AC42)</f>
        <v>51368.385999999999</v>
      </c>
      <c r="AD85" s="352"/>
      <c r="AE85" s="353">
        <f>SUM(AE35:AE38)-SUM(AE40:AE42)</f>
        <v>47589.579549002148</v>
      </c>
      <c r="AG85" s="351">
        <f>SUM(AG35:AG38)-SUM(AG40:AG42)</f>
        <v>51368.385999999999</v>
      </c>
      <c r="AH85" s="352">
        <f>SUM(AH35:AH38)-SUM(AH40:AH42)</f>
        <v>46113.493999999999</v>
      </c>
      <c r="AI85" s="352"/>
      <c r="AJ85" s="246"/>
      <c r="AK85" s="350"/>
      <c r="AL85" s="351">
        <f>SUM(AL35:AL38)-SUM(AL40:AL42)</f>
        <v>53638.645000000004</v>
      </c>
      <c r="AM85" s="352"/>
      <c r="AN85" s="353">
        <f>SUM(AN35:AN38)-SUM(AN40:AN42)</f>
        <v>50127.949622257584</v>
      </c>
      <c r="AP85" s="351">
        <f>SUM(AP35:AP38)-SUM(AP40:AP42)</f>
        <v>53638.645000000004</v>
      </c>
      <c r="AQ85" s="352">
        <f>SUM(AQ35:AQ38)-SUM(AQ40:AQ42)</f>
        <v>0</v>
      </c>
      <c r="AR85" s="352"/>
      <c r="AS85" s="246"/>
      <c r="AT85" s="350"/>
      <c r="AU85" s="351">
        <f>SUM(AU35:AU38)-SUM(AU40:AU42)</f>
        <v>69273.09</v>
      </c>
      <c r="AV85" s="352"/>
      <c r="AW85" s="353">
        <f>SUM(AW35:AW38)-SUM(AW40:AW42)</f>
        <v>0</v>
      </c>
      <c r="AY85" s="351">
        <f>SUM(AY35:AY38)-SUM(AY40:AY42)</f>
        <v>69273.09</v>
      </c>
      <c r="AZ85" s="352">
        <f>SUM(AZ35:AZ38)-SUM(AZ40:AZ42)</f>
        <v>53503.125</v>
      </c>
      <c r="BA85" s="352"/>
      <c r="BB85" s="246"/>
      <c r="BC85" s="350"/>
      <c r="BD85" s="351">
        <f>SUM(BD35:BD38)-SUM(BD40:BD42)</f>
        <v>66712.832999999999</v>
      </c>
      <c r="BE85" s="352"/>
      <c r="BF85" s="353">
        <f>SUM(BF35:BF38)-SUM(BF40:BF42)</f>
        <v>52934.515799630964</v>
      </c>
    </row>
    <row r="86" spans="1:60" x14ac:dyDescent="0.35">
      <c r="A86" s="9168"/>
      <c r="B86" s="6082"/>
      <c r="C86"/>
      <c r="D86" s="110" t="s">
        <v>569</v>
      </c>
      <c r="F86" s="349">
        <f>SUM(F44:F53)</f>
        <v>0</v>
      </c>
      <c r="G86" s="350"/>
      <c r="H86" s="351">
        <f>SUM(H44:H53)</f>
        <v>1111.48</v>
      </c>
      <c r="I86" s="352">
        <f>SUM(I44:I53)</f>
        <v>0</v>
      </c>
      <c r="J86" s="246"/>
      <c r="K86" s="350"/>
      <c r="L86" s="351">
        <f>SUM(L44:L53)</f>
        <v>1214.6659999999999</v>
      </c>
      <c r="M86" s="353">
        <f>SUM(M44:M53)</f>
        <v>0</v>
      </c>
      <c r="O86" s="351">
        <f>SUM(O44:O53)</f>
        <v>1214.6659999999999</v>
      </c>
      <c r="P86" s="352">
        <f>SUM(P44:P53)</f>
        <v>0</v>
      </c>
      <c r="Q86" s="352"/>
      <c r="R86" s="246"/>
      <c r="S86" s="350"/>
      <c r="T86" s="351">
        <f>SUM(T44:T53)</f>
        <v>464</v>
      </c>
      <c r="U86" s="352"/>
      <c r="V86" s="353">
        <f>SUM(V44:V53)</f>
        <v>0</v>
      </c>
      <c r="X86" s="351">
        <f>SUM(X44:X53)</f>
        <v>1940.8862999999999</v>
      </c>
      <c r="Y86" s="352">
        <f>SUM(Y44:Y53)</f>
        <v>1940.8862999999999</v>
      </c>
      <c r="Z86" s="352"/>
      <c r="AA86" s="246"/>
      <c r="AB86" s="350"/>
      <c r="AC86" s="351">
        <f>SUM(AC44:AC53)</f>
        <v>2174.4861999999998</v>
      </c>
      <c r="AD86" s="352"/>
      <c r="AE86" s="353">
        <f>SUM(AE44:AE53)</f>
        <v>2174.4861999999998</v>
      </c>
      <c r="AG86" s="351">
        <f>SUM(AG44:AG53)</f>
        <v>2174.4861999999998</v>
      </c>
      <c r="AH86" s="352">
        <f>SUM(AH44:AH53)</f>
        <v>2174.4861999999998</v>
      </c>
      <c r="AI86" s="352"/>
      <c r="AJ86" s="246"/>
      <c r="AK86" s="350"/>
      <c r="AL86" s="351">
        <f>SUM(AL44:AL53)</f>
        <v>4945.6915690000005</v>
      </c>
      <c r="AM86" s="352"/>
      <c r="AN86" s="353">
        <f>SUM(AN44:AN53)</f>
        <v>4945.6915690000005</v>
      </c>
      <c r="AP86" s="351">
        <f>SUM(AP44:AP53)</f>
        <v>814.66256899999996</v>
      </c>
      <c r="AQ86" s="352">
        <f>SUM(AQ44:AQ53)</f>
        <v>814.66256899999996</v>
      </c>
      <c r="AR86" s="352"/>
      <c r="AS86" s="246"/>
      <c r="AT86" s="350"/>
      <c r="AU86" s="351">
        <f>SUM(AU44:AU53)</f>
        <v>0</v>
      </c>
      <c r="AV86" s="352"/>
      <c r="AW86" s="353">
        <f>SUM(AW44:AW53)</f>
        <v>0</v>
      </c>
      <c r="AY86" s="351">
        <f>SUM(AY44:AY53)</f>
        <v>0</v>
      </c>
      <c r="AZ86" s="352">
        <f>SUM(AZ44:AZ53)</f>
        <v>0</v>
      </c>
      <c r="BA86" s="352"/>
      <c r="BB86" s="246"/>
      <c r="BC86" s="350"/>
      <c r="BD86" s="351">
        <f>SUM(BD44:BD53)</f>
        <v>0</v>
      </c>
      <c r="BE86" s="352"/>
      <c r="BF86" s="353">
        <f>SUM(BF44:BF53)</f>
        <v>0</v>
      </c>
    </row>
    <row r="87" spans="1:60" x14ac:dyDescent="0.35">
      <c r="A87" s="9168"/>
      <c r="B87" s="6082"/>
      <c r="C87"/>
      <c r="D87" s="110" t="s">
        <v>570</v>
      </c>
      <c r="F87" s="349">
        <f>SUM(F55:F62)*F28</f>
        <v>0</v>
      </c>
      <c r="G87" s="350"/>
      <c r="H87" s="351">
        <f>SUM(H55:H62)*H28</f>
        <v>0</v>
      </c>
      <c r="I87" s="352">
        <f>SUM(I55:I62)*I28</f>
        <v>0</v>
      </c>
      <c r="J87" s="246"/>
      <c r="K87" s="350"/>
      <c r="L87" s="351">
        <f>SUM(L55:L62)*L28</f>
        <v>0</v>
      </c>
      <c r="M87" s="353">
        <f>SUM(M55:M62)*M28</f>
        <v>0</v>
      </c>
      <c r="O87" s="351">
        <f>SUM(O55:O62)*O28</f>
        <v>0</v>
      </c>
      <c r="P87" s="352">
        <f>SUM(P55:P62)*P28</f>
        <v>0</v>
      </c>
      <c r="Q87" s="352"/>
      <c r="R87" s="246"/>
      <c r="S87" s="350"/>
      <c r="T87" s="351">
        <f>SUM(T55:T62)*T28</f>
        <v>0</v>
      </c>
      <c r="U87" s="352"/>
      <c r="V87" s="353">
        <f>SUM(V55:V62)*V28</f>
        <v>0</v>
      </c>
      <c r="X87" s="351">
        <f>SUM(X55:X62)*X28</f>
        <v>4546.3428148062721</v>
      </c>
      <c r="Y87" s="352">
        <f>SUM(Y55:Y62)*Y28</f>
        <v>4306.2098848226287</v>
      </c>
      <c r="Z87" s="352"/>
      <c r="AA87" s="246"/>
      <c r="AB87" s="350"/>
      <c r="AC87" s="351">
        <f>SUM(AC55:AC62)*AC28</f>
        <v>5688.9903320363164</v>
      </c>
      <c r="AD87" s="352"/>
      <c r="AE87" s="353">
        <f>SUM(AE55:AE62)*AE28</f>
        <v>4544.0285170983616</v>
      </c>
      <c r="AG87" s="351">
        <f>SUM(AG55:AG62)*AG28</f>
        <v>5688.9903320363164</v>
      </c>
      <c r="AH87" s="352">
        <f>SUM(AH55:AH62)*AH28</f>
        <v>5967.9444375852527</v>
      </c>
      <c r="AI87" s="352"/>
      <c r="AJ87" s="246"/>
      <c r="AK87" s="350"/>
      <c r="AL87" s="351">
        <f>SUM(AL55:AL62)*AL28</f>
        <v>8184.6048202722632</v>
      </c>
      <c r="AM87" s="352"/>
      <c r="AN87" s="353">
        <f>SUM(AN55:AN62)*AN28</f>
        <v>7180.058151964121</v>
      </c>
      <c r="AP87" s="351">
        <f>AP35*AP28</f>
        <v>9427.6146802220337</v>
      </c>
      <c r="AQ87" s="352">
        <f>AQ35*AQ28</f>
        <v>0</v>
      </c>
      <c r="AR87" s="3969"/>
      <c r="AS87" s="246"/>
      <c r="AT87" s="350"/>
      <c r="AU87" s="7344">
        <f>AP87*AU35/AP35</f>
        <v>11542.692989470026</v>
      </c>
      <c r="AV87" s="7345" t="s">
        <v>4877</v>
      </c>
      <c r="AW87" s="353">
        <f>AW35*AW28</f>
        <v>0</v>
      </c>
      <c r="AY87" s="351">
        <f t="shared" ref="AY87:AZ87" si="71">(AY26-AY27)*AY35/AY17</f>
        <v>4644.7034072640927</v>
      </c>
      <c r="AZ87" s="352">
        <f t="shared" si="71"/>
        <v>6962.6031455231323</v>
      </c>
      <c r="BA87" s="3969" t="s">
        <v>4877</v>
      </c>
      <c r="BB87" s="246"/>
      <c r="BC87" s="350"/>
      <c r="BD87" s="7344">
        <f>(BD26-BD27)*BD35/BD17</f>
        <v>7419.3071068255658</v>
      </c>
      <c r="BE87" s="7345" t="s">
        <v>4877</v>
      </c>
      <c r="BF87" s="353">
        <f>(BF26-BF27)*BF35/BF17</f>
        <v>7359.9811165816136</v>
      </c>
    </row>
    <row r="88" spans="1:60" x14ac:dyDescent="0.35">
      <c r="A88" s="9168"/>
      <c r="B88" s="6082"/>
      <c r="C88"/>
      <c r="D88" s="110" t="s">
        <v>552</v>
      </c>
      <c r="F88" s="349">
        <f>F64</f>
        <v>0</v>
      </c>
      <c r="G88" s="350"/>
      <c r="H88" s="351">
        <f>H64</f>
        <v>0</v>
      </c>
      <c r="I88" s="352">
        <f>I64</f>
        <v>0</v>
      </c>
      <c r="J88" s="246"/>
      <c r="K88" s="350"/>
      <c r="L88" s="351">
        <f>L64</f>
        <v>0</v>
      </c>
      <c r="M88" s="353">
        <f>M64</f>
        <v>0</v>
      </c>
      <c r="O88" s="351">
        <f>O64+O65</f>
        <v>0</v>
      </c>
      <c r="P88" s="352">
        <f>P64+P65</f>
        <v>0</v>
      </c>
      <c r="Q88" s="352"/>
      <c r="R88" s="246"/>
      <c r="S88" s="350"/>
      <c r="T88" s="351">
        <f>T64+T65</f>
        <v>0</v>
      </c>
      <c r="U88" s="352"/>
      <c r="V88" s="353">
        <f>V64+V65</f>
        <v>0</v>
      </c>
      <c r="X88" s="351">
        <f>X64+X65</f>
        <v>0</v>
      </c>
      <c r="Y88" s="352">
        <f>Y64+Y65</f>
        <v>0</v>
      </c>
      <c r="Z88" s="352"/>
      <c r="AA88" s="246"/>
      <c r="AB88" s="350"/>
      <c r="AC88" s="351">
        <f>AC64+AC65</f>
        <v>0</v>
      </c>
      <c r="AD88" s="352"/>
      <c r="AE88" s="353">
        <f>AE64+AE65</f>
        <v>0</v>
      </c>
      <c r="AG88" s="351">
        <f>AG64+AG65</f>
        <v>0</v>
      </c>
      <c r="AH88" s="352">
        <f>AH64+AH65</f>
        <v>0</v>
      </c>
      <c r="AI88" s="352"/>
      <c r="AJ88" s="246"/>
      <c r="AK88" s="350"/>
      <c r="AL88" s="351">
        <f>AL64+AL65</f>
        <v>0</v>
      </c>
      <c r="AM88" s="352"/>
      <c r="AN88" s="353">
        <f>AN64+AN65</f>
        <v>0</v>
      </c>
      <c r="AP88" s="351">
        <f>AP64+AP65</f>
        <v>0</v>
      </c>
      <c r="AQ88" s="352">
        <f>AQ64+AQ65</f>
        <v>0</v>
      </c>
      <c r="AR88" s="352"/>
      <c r="AS88" s="246"/>
      <c r="AT88" s="350"/>
      <c r="AU88" s="351">
        <f>AU64+AU65</f>
        <v>0</v>
      </c>
      <c r="AV88" s="352"/>
      <c r="AW88" s="353">
        <f>AW64+AW65</f>
        <v>0</v>
      </c>
      <c r="AY88" s="351">
        <f>AY64+AY65</f>
        <v>0</v>
      </c>
      <c r="AZ88" s="352">
        <f>AZ64+AZ65</f>
        <v>0</v>
      </c>
      <c r="BA88" s="352"/>
      <c r="BB88" s="246"/>
      <c r="BC88" s="350"/>
      <c r="BD88" s="351">
        <f>BD64+BD65</f>
        <v>0</v>
      </c>
      <c r="BE88" s="352"/>
      <c r="BF88" s="353">
        <f>BF64+BF65</f>
        <v>0</v>
      </c>
    </row>
    <row r="89" spans="1:60" x14ac:dyDescent="0.35">
      <c r="A89" s="9168"/>
      <c r="B89" s="6082"/>
      <c r="C89"/>
      <c r="D89" s="356" t="s">
        <v>571</v>
      </c>
      <c r="E89" s="143"/>
      <c r="F89" s="357">
        <f>SUM(F85:F88)</f>
        <v>19256</v>
      </c>
      <c r="G89" s="358"/>
      <c r="H89" s="359">
        <f t="shared" ref="H89:I89" si="72">SUM(H85:H88)</f>
        <v>36642.429000000004</v>
      </c>
      <c r="I89" s="360">
        <f t="shared" si="72"/>
        <v>0</v>
      </c>
      <c r="J89" s="361"/>
      <c r="K89" s="358"/>
      <c r="L89" s="359">
        <f t="shared" ref="L89:M89" si="73">SUM(L85:L88)</f>
        <v>41888.326999999997</v>
      </c>
      <c r="M89" s="362">
        <f t="shared" si="73"/>
        <v>0</v>
      </c>
      <c r="N89" s="143"/>
      <c r="O89" s="359">
        <f t="shared" ref="O89:P89" si="74">SUM(O85:O88)</f>
        <v>39003.467999999993</v>
      </c>
      <c r="P89" s="360">
        <f t="shared" si="74"/>
        <v>0</v>
      </c>
      <c r="Q89" s="360"/>
      <c r="R89" s="361"/>
      <c r="S89" s="358"/>
      <c r="T89" s="359">
        <f>SUM(T85:T88)</f>
        <v>48808.777000000002</v>
      </c>
      <c r="U89" s="360"/>
      <c r="V89" s="362">
        <f>SUM(V85:V88)</f>
        <v>0</v>
      </c>
      <c r="W89" s="143"/>
      <c r="X89" s="359">
        <f t="shared" ref="X89:Y89" si="75">SUM(X85:X88)</f>
        <v>54409.060114806278</v>
      </c>
      <c r="Y89" s="360">
        <f t="shared" si="75"/>
        <v>50663.703184822625</v>
      </c>
      <c r="Z89" s="360"/>
      <c r="AA89" s="361"/>
      <c r="AB89" s="358"/>
      <c r="AC89" s="359">
        <f t="shared" ref="AC89" si="76">SUM(AC85:AC88)</f>
        <v>59231.862532036313</v>
      </c>
      <c r="AD89" s="360"/>
      <c r="AE89" s="362">
        <f t="shared" ref="AE89" si="77">SUM(AE85:AE88)</f>
        <v>54308.09426610051</v>
      </c>
      <c r="AF89" s="143"/>
      <c r="AG89" s="359">
        <f t="shared" ref="AG89:AH89" si="78">SUM(AG85:AG88)</f>
        <v>59231.862532036313</v>
      </c>
      <c r="AH89" s="360">
        <f t="shared" si="78"/>
        <v>54255.924637585253</v>
      </c>
      <c r="AI89" s="360"/>
      <c r="AJ89" s="361"/>
      <c r="AK89" s="358"/>
      <c r="AL89" s="359">
        <f t="shared" ref="AL89" si="79">SUM(AL85:AL88)</f>
        <v>66768.941389272266</v>
      </c>
      <c r="AM89" s="360"/>
      <c r="AN89" s="362">
        <f t="shared" ref="AN89" si="80">SUM(AN85:AN88)</f>
        <v>62253.699343221706</v>
      </c>
      <c r="AO89" s="143"/>
      <c r="AP89" s="359">
        <f t="shared" ref="AP89:AQ89" si="81">SUM(AP85:AP88)</f>
        <v>63880.922249222036</v>
      </c>
      <c r="AQ89" s="360">
        <f t="shared" si="81"/>
        <v>814.66256899999996</v>
      </c>
      <c r="AR89" s="360"/>
      <c r="AS89" s="361"/>
      <c r="AT89" s="358"/>
      <c r="AU89" s="359">
        <f t="shared" ref="AU89" si="82">SUM(AU85:AU88)</f>
        <v>80815.782989470026</v>
      </c>
      <c r="AV89" s="360"/>
      <c r="AW89" s="362">
        <f t="shared" ref="AW89" si="83">SUM(AW85:AW88)</f>
        <v>0</v>
      </c>
      <c r="AX89" s="143"/>
      <c r="AY89" s="359">
        <f t="shared" ref="AY89:AZ89" si="84">SUM(AY85:AY88)</f>
        <v>73917.793407264093</v>
      </c>
      <c r="AZ89" s="360">
        <f t="shared" si="84"/>
        <v>60465.728145523135</v>
      </c>
      <c r="BA89" s="360"/>
      <c r="BB89" s="361"/>
      <c r="BC89" s="358"/>
      <c r="BD89" s="359">
        <f t="shared" ref="BD89" si="85">SUM(BD85:BD88)</f>
        <v>74132.140106825565</v>
      </c>
      <c r="BE89" s="360"/>
      <c r="BF89" s="362">
        <f t="shared" ref="BF89" si="86">SUM(BF85:BF88)</f>
        <v>60294.496916212578</v>
      </c>
    </row>
    <row r="90" spans="1:60" ht="15.5" x14ac:dyDescent="0.35">
      <c r="A90" s="9168"/>
      <c r="B90" s="6082"/>
      <c r="C90"/>
      <c r="D90" s="356" t="s">
        <v>572</v>
      </c>
      <c r="F90" s="366" t="e">
        <f>F89/(F17+F18)</f>
        <v>#DIV/0!</v>
      </c>
      <c r="G90" s="367"/>
      <c r="H90" s="368">
        <f>H89/(H17+H18)</f>
        <v>0.21635419590733415</v>
      </c>
      <c r="I90" s="369" t="e">
        <f>I89/(I17+I18)</f>
        <v>#DIV/0!</v>
      </c>
      <c r="J90" s="370"/>
      <c r="K90" s="367"/>
      <c r="L90" s="368">
        <f>L89/(L17+L18)</f>
        <v>0.22769085556731294</v>
      </c>
      <c r="M90" s="370" t="e">
        <f>M89/(M17+M18)</f>
        <v>#DIV/0!</v>
      </c>
      <c r="O90" s="368">
        <f>O89/(O17+O18)</f>
        <v>0.21394081006838356</v>
      </c>
      <c r="P90" s="369" t="e">
        <f>P89/(P17+P18)</f>
        <v>#DIV/0!</v>
      </c>
      <c r="Q90" s="369"/>
      <c r="R90" s="370"/>
      <c r="S90" s="367"/>
      <c r="T90" s="368">
        <f>T89/(T17+T18)</f>
        <v>0.22317005344053081</v>
      </c>
      <c r="U90" s="369"/>
      <c r="V90" s="370" t="e">
        <f>V89/(V17+V18)</f>
        <v>#DIV/0!</v>
      </c>
      <c r="X90" s="368">
        <f>X89/(X17+X18+X19)</f>
        <v>0.23401024930472908</v>
      </c>
      <c r="Y90" s="369">
        <f>Y89/(Y17+Y18+Y19)</f>
        <v>0.23544797681237739</v>
      </c>
      <c r="Z90" s="369"/>
      <c r="AA90" s="370"/>
      <c r="AB90" s="367"/>
      <c r="AC90" s="368">
        <f>AC89/(AC17+AC18+AC19)</f>
        <v>0.23122821478285754</v>
      </c>
      <c r="AD90" s="369"/>
      <c r="AE90" s="370">
        <f>AE89/(AE17+AE18+AE19)</f>
        <v>0.23966651016264193</v>
      </c>
      <c r="AG90" s="368">
        <f>AG89/(AG17+AG18+AG19)</f>
        <v>0.23122821478285754</v>
      </c>
      <c r="AH90" s="369">
        <f>AH89/(AH17+AH18+AH19)</f>
        <v>0.21999233584816075</v>
      </c>
      <c r="AI90" s="369"/>
      <c r="AJ90" s="370"/>
      <c r="AK90" s="367"/>
      <c r="AL90" s="368">
        <f>AL89/(AL17+AL18+AL19)</f>
        <v>0.21090768604986393</v>
      </c>
      <c r="AM90" s="369"/>
      <c r="AN90" s="370">
        <f>AN89/(AN17+AN18+AN19)</f>
        <v>0.20829839108469808</v>
      </c>
      <c r="AP90" s="561">
        <f>AP89/(AP17+AP18+AP19)</f>
        <v>0.20178509968827193</v>
      </c>
      <c r="AQ90" s="562" t="e">
        <f>AQ89/(AQ17+AQ18+AQ19)</f>
        <v>#DIV/0!</v>
      </c>
      <c r="AR90" s="562"/>
      <c r="AS90" s="563"/>
      <c r="AT90" s="560"/>
      <c r="AU90" s="561">
        <f>AU89/(AU17+AU18+AU19)</f>
        <v>0.24370147771457754</v>
      </c>
      <c r="AV90" s="562"/>
      <c r="AW90" s="563" t="e">
        <f>AW89/(AW17+AW18+AW19)</f>
        <v>#DIV/0!</v>
      </c>
      <c r="AY90" s="368">
        <f>AY89/(AY17+AY18+AY19)</f>
        <v>0.23565060081447858</v>
      </c>
      <c r="AZ90" s="369">
        <f>AZ89/(AZ17+AZ18+AZ19)</f>
        <v>0.24380911494116458</v>
      </c>
      <c r="BA90" s="369"/>
      <c r="BB90" s="370"/>
      <c r="BC90" s="367"/>
      <c r="BD90" s="368">
        <f>BD89/(BD17+BD18+BD19)</f>
        <v>0.2021299384471863</v>
      </c>
      <c r="BE90" s="369"/>
      <c r="BF90" s="370">
        <f>BF89/(BF17+BF18+BF19)</f>
        <v>0.20376485434010827</v>
      </c>
    </row>
    <row r="91" spans="1:60" x14ac:dyDescent="0.35">
      <c r="A91" s="9168"/>
      <c r="B91" s="371"/>
      <c r="C91" s="372"/>
      <c r="D91" s="296" t="s">
        <v>573</v>
      </c>
      <c r="E91" s="374"/>
      <c r="F91" s="679">
        <f t="shared" ref="F91" si="87">F35</f>
        <v>19256</v>
      </c>
      <c r="G91" s="385"/>
      <c r="H91" s="381">
        <f t="shared" ref="H91:I91" si="88">H35</f>
        <v>28064.421999999999</v>
      </c>
      <c r="I91" s="382">
        <f t="shared" si="88"/>
        <v>0</v>
      </c>
      <c r="J91" s="384"/>
      <c r="K91" s="385"/>
      <c r="L91" s="386">
        <f t="shared" ref="L91" si="89">L35</f>
        <v>28937.225999999999</v>
      </c>
      <c r="M91" s="384" t="e">
        <f>M89/M12</f>
        <v>#DIV/0!</v>
      </c>
      <c r="N91" s="235"/>
      <c r="O91" s="1806">
        <f t="shared" ref="O91:P91" si="90">O35</f>
        <v>28955.240999999998</v>
      </c>
      <c r="P91" s="1807">
        <f t="shared" si="90"/>
        <v>0</v>
      </c>
      <c r="Q91" s="1808"/>
      <c r="R91" s="1809"/>
      <c r="S91" s="1810"/>
      <c r="T91" s="1811">
        <f t="shared" ref="T91" si="91">T35</f>
        <v>38327.207000000002</v>
      </c>
      <c r="U91" s="1808"/>
      <c r="V91" s="1812">
        <f t="shared" ref="V91" si="92">V35</f>
        <v>0</v>
      </c>
      <c r="X91" s="1806">
        <f>X35+X45+X47+X87</f>
        <v>41953.996114806279</v>
      </c>
      <c r="Y91" s="1807">
        <f>Y35+Y45+Y47+Y87</f>
        <v>39750.581184822629</v>
      </c>
      <c r="Z91" s="1808"/>
      <c r="AA91" s="1809"/>
      <c r="AB91" s="1810"/>
      <c r="AC91" s="1811">
        <f>AC35+AC45+AC47+AC87</f>
        <v>45621.745532036315</v>
      </c>
      <c r="AD91" s="1808"/>
      <c r="AE91" s="1812">
        <f>AE35+AE45+AE47+AE87</f>
        <v>42384.828482980025</v>
      </c>
      <c r="AG91" s="1806">
        <f>AG35+AG45+AG47+AG87</f>
        <v>45621.745532036315</v>
      </c>
      <c r="AH91" s="1807">
        <f>AH35+AH45+AH47+AH87</f>
        <v>45564.559637585255</v>
      </c>
      <c r="AI91" s="1808"/>
      <c r="AJ91" s="1809"/>
      <c r="AK91" s="1810"/>
      <c r="AL91" s="1811">
        <f>AL35+AL45+AL47+AL87</f>
        <v>57463.155389272259</v>
      </c>
      <c r="AM91" s="1808"/>
      <c r="AN91" s="1812">
        <f>AN35+AN45+AN47+AN87</f>
        <v>56066.66977139136</v>
      </c>
      <c r="AP91" s="1806">
        <f>AP35+AP45+AP47+AP87</f>
        <v>55821.537249222034</v>
      </c>
      <c r="AQ91" s="1807">
        <f>AQ35+AQ45+AQ47+AQ87</f>
        <v>213.16256899999999</v>
      </c>
      <c r="AR91" s="5410"/>
      <c r="AS91" s="5411"/>
      <c r="AT91" s="5412"/>
      <c r="AU91" s="1811">
        <f>AU35+AU45+AU47+AU87</f>
        <v>68084.071989470031</v>
      </c>
      <c r="AV91" s="5410"/>
      <c r="AW91" s="1812">
        <f>AW35+AW45+AW47+AW87</f>
        <v>0</v>
      </c>
      <c r="AY91" s="1806">
        <f>AY35+AY45+AY47+AY87</f>
        <v>61186.082407264097</v>
      </c>
      <c r="AZ91" s="1807">
        <f>AZ35+AZ45+AZ47+AZ87</f>
        <v>54664.068145523132</v>
      </c>
      <c r="BA91" s="1808"/>
      <c r="BB91" s="1809"/>
      <c r="BC91" s="1810"/>
      <c r="BD91" s="1811">
        <f>BD35+BD45+BD47+BD87</f>
        <v>65502.206106825564</v>
      </c>
      <c r="BE91" s="1808"/>
      <c r="BF91" s="1812">
        <f>BF35+BF45+BF47+BF87</f>
        <v>56361.958478100059</v>
      </c>
    </row>
    <row r="92" spans="1:60" x14ac:dyDescent="0.35">
      <c r="A92" s="9168"/>
      <c r="B92" s="371"/>
      <c r="C92" s="372"/>
      <c r="D92" s="296" t="s">
        <v>575</v>
      </c>
      <c r="E92" s="374"/>
      <c r="F92" s="1054" t="e">
        <f>(F89-F91)/F18</f>
        <v>#DIV/0!</v>
      </c>
      <c r="G92" s="1055"/>
      <c r="H92" s="1056">
        <f t="shared" ref="H92:I92" si="93">(H89-H91)/H18</f>
        <v>0.16634539807712798</v>
      </c>
      <c r="I92" s="953" t="e">
        <f t="shared" si="93"/>
        <v>#DIV/0!</v>
      </c>
      <c r="J92" s="1057"/>
      <c r="K92" s="1055"/>
      <c r="L92" s="1203">
        <f t="shared" ref="L92" si="94">(L89-L91)/L18</f>
        <v>0.25523594695256546</v>
      </c>
      <c r="M92" s="1057"/>
      <c r="O92" s="1813">
        <f>(O89-O91)/O18</f>
        <v>0.22231574405947155</v>
      </c>
      <c r="P92" s="1814" t="e">
        <f t="shared" ref="P92" si="95">(P89-P91)/P18</f>
        <v>#DIV/0!</v>
      </c>
      <c r="Q92" s="1815"/>
      <c r="R92" s="1816"/>
      <c r="S92" s="1817"/>
      <c r="T92" s="1818">
        <f t="shared" ref="T92" si="96">(T89-T91)/T18</f>
        <v>0.20273829787234041</v>
      </c>
      <c r="U92" s="1815"/>
      <c r="V92" s="1819" t="e">
        <f t="shared" ref="V92" si="97">(V89-V91)/V18</f>
        <v>#DIV/0!</v>
      </c>
      <c r="X92" s="1813">
        <f>(X89-X91)/(X18+X19)</f>
        <v>0.2401023680969574</v>
      </c>
      <c r="Y92" s="1814">
        <f>(Y89-Y91)/(Y18+Y19)</f>
        <v>0.1734001598924495</v>
      </c>
      <c r="Z92" s="1815"/>
      <c r="AA92" s="1816"/>
      <c r="AB92" s="1817"/>
      <c r="AC92" s="1818">
        <f>(AC89-AC91)/(AC18+AC19)</f>
        <v>0.19997764266236098</v>
      </c>
      <c r="AD92" s="1815"/>
      <c r="AE92" s="1819">
        <f>(AE89-AE91)/(AE18+AE19)</f>
        <v>0.17519221797617349</v>
      </c>
      <c r="AG92" s="1813">
        <f>(AG89-AG91)/(AG18+AG19)</f>
        <v>0.19997764266236098</v>
      </c>
      <c r="AH92" s="1814">
        <f>(AH89-AH91)/(AH18+AH19)</f>
        <v>0.1190411050670524</v>
      </c>
      <c r="AI92" s="1815"/>
      <c r="AJ92" s="1816"/>
      <c r="AK92" s="1817"/>
      <c r="AL92" s="1818">
        <f>(AL89-AL91)/(AL18+AL19)</f>
        <v>0.10740708205216058</v>
      </c>
      <c r="AM92" s="1815"/>
      <c r="AN92" s="1819">
        <f>(AN89-AN91)/(AN18+AN19)</f>
        <v>7.1410495887260395E-2</v>
      </c>
      <c r="AP92" s="1813">
        <f>(AP89-AP91)/(AP18+AP19)</f>
        <v>0.12044881697383066</v>
      </c>
      <c r="AQ92" s="1814" t="e">
        <f>(AQ89-AQ91)/(AQ18+AQ19)</f>
        <v>#DIV/0!</v>
      </c>
      <c r="AR92" s="7346"/>
      <c r="AS92" s="7347"/>
      <c r="AT92" s="7348"/>
      <c r="AU92" s="1818">
        <f>(AU89-AU91)/(AU18+AU19)</f>
        <v>0.1810880939044153</v>
      </c>
      <c r="AV92" s="7346"/>
      <c r="AW92" s="1819" t="e">
        <f>(AW89-AW91)/(AW18+AW19)</f>
        <v>#DIV/0!</v>
      </c>
      <c r="AY92" s="1813">
        <f>(AY89-AY91)/(AY18+AY19)</f>
        <v>0.1810880939044153</v>
      </c>
      <c r="AZ92" s="1814">
        <f>(AZ89-AZ91)/(AZ18+AZ19)</f>
        <v>0.13961977108716614</v>
      </c>
      <c r="BA92" s="1815"/>
      <c r="BB92" s="1816"/>
      <c r="BC92" s="1817"/>
      <c r="BD92" s="1818">
        <f>(BD89-BD91)/(BD18+BD19)</f>
        <v>8.3131754145445283E-2</v>
      </c>
      <c r="BE92" s="1815"/>
      <c r="BF92" s="1819">
        <f>(BF89-BF91)/(BF18+BF19)</f>
        <v>5.3985092278090938E-2</v>
      </c>
    </row>
    <row r="93" spans="1:60" x14ac:dyDescent="0.35">
      <c r="A93" s="9168"/>
      <c r="B93" s="371"/>
      <c r="C93" s="372"/>
      <c r="D93" s="296" t="s">
        <v>576</v>
      </c>
      <c r="E93" s="374"/>
      <c r="F93" s="1054" t="e">
        <f>F91/F17</f>
        <v>#DIV/0!</v>
      </c>
      <c r="G93" s="1055"/>
      <c r="H93" s="1056">
        <f t="shared" ref="H93:I93" si="98">H91/H17</f>
        <v>0.23824655414021442</v>
      </c>
      <c r="I93" s="953" t="e">
        <f t="shared" si="98"/>
        <v>#DIV/0!</v>
      </c>
      <c r="J93" s="1057"/>
      <c r="K93" s="1055"/>
      <c r="L93" s="1203">
        <f t="shared" ref="L93" si="99">L91/L17</f>
        <v>0.21719997499634014</v>
      </c>
      <c r="M93" s="1057"/>
      <c r="O93" s="1813">
        <f>O91/O17</f>
        <v>0.21118006474447557</v>
      </c>
      <c r="P93" s="1814" t="e">
        <f t="shared" ref="P93" si="100">P91/P17</f>
        <v>#DIV/0!</v>
      </c>
      <c r="Q93" s="1815"/>
      <c r="R93" s="1816"/>
      <c r="S93" s="1817"/>
      <c r="T93" s="1818">
        <f t="shared" ref="T93" si="101">T91/T17</f>
        <v>0.22949508121412643</v>
      </c>
      <c r="U93" s="1815"/>
      <c r="V93" s="1819" t="e">
        <f t="shared" ref="V93" si="102">V91/V17</f>
        <v>#DIV/0!</v>
      </c>
      <c r="X93" s="1813">
        <f>X91/X17</f>
        <v>0.23226072361355141</v>
      </c>
      <c r="Y93" s="1814">
        <f>Y91/Y17</f>
        <v>0.26109789016364587</v>
      </c>
      <c r="Z93" s="1815"/>
      <c r="AA93" s="1816"/>
      <c r="AB93" s="1817"/>
      <c r="AC93" s="1818">
        <f>AC91/AC17</f>
        <v>0.24253504824057265</v>
      </c>
      <c r="AD93" s="1815"/>
      <c r="AE93" s="1819">
        <f>AE91/AE17</f>
        <v>0.26734402194840529</v>
      </c>
      <c r="AG93" s="1813">
        <f>AG91/AG17</f>
        <v>0.24253504824057265</v>
      </c>
      <c r="AH93" s="1814">
        <f>AH91/AH17</f>
        <v>0.26244603007209139</v>
      </c>
      <c r="AI93" s="1815"/>
      <c r="AJ93" s="1816"/>
      <c r="AK93" s="1817"/>
      <c r="AL93" s="1818">
        <f>AL91/AL17</f>
        <v>0.24990646913423065</v>
      </c>
      <c r="AM93" s="1815"/>
      <c r="AN93" s="1819">
        <f>AN91/AN17</f>
        <v>0.26418187056360531</v>
      </c>
      <c r="AP93" s="1813">
        <f>AP91/AP17</f>
        <v>0.22358333417600823</v>
      </c>
      <c r="AQ93" s="1814" t="e">
        <f>AQ91/AQ17</f>
        <v>#DIV/0!</v>
      </c>
      <c r="AR93" s="7346"/>
      <c r="AS93" s="7347"/>
      <c r="AT93" s="7348"/>
      <c r="AU93" s="1818">
        <f>AU91/AU17</f>
        <v>0.26054783453448993</v>
      </c>
      <c r="AV93" s="7346"/>
      <c r="AW93" s="1819" t="e">
        <f>AW91/AW17</f>
        <v>#DIV/0!</v>
      </c>
      <c r="AY93" s="1813">
        <f>AY91/AY17</f>
        <v>0.25141315301588518</v>
      </c>
      <c r="AZ93" s="1814">
        <f>AZ91/AZ17</f>
        <v>0.26477974430468937</v>
      </c>
      <c r="BA93" s="1815"/>
      <c r="BB93" s="1816"/>
      <c r="BC93" s="1817"/>
      <c r="BD93" s="1818">
        <f>BD91/BD17</f>
        <v>0.24911033565968271</v>
      </c>
      <c r="BE93" s="1815"/>
      <c r="BF93" s="1819">
        <f>BF91/BF17</f>
        <v>0.25267912093179717</v>
      </c>
    </row>
    <row r="94" spans="1:60" x14ac:dyDescent="0.35">
      <c r="A94" s="9168"/>
      <c r="B94" s="371"/>
      <c r="C94" s="372"/>
      <c r="D94" s="296"/>
      <c r="E94" s="374"/>
      <c r="F94" s="1054"/>
      <c r="G94" s="1055"/>
      <c r="H94" s="1056"/>
      <c r="I94" s="953"/>
      <c r="J94" s="1057"/>
      <c r="K94" s="1055"/>
      <c r="L94" s="1203"/>
      <c r="M94" s="1057"/>
      <c r="O94" s="1813"/>
      <c r="P94" s="1814"/>
      <c r="Q94" s="1815"/>
      <c r="R94" s="1816"/>
      <c r="S94" s="1817"/>
      <c r="T94" s="1818"/>
      <c r="U94" s="1815"/>
      <c r="V94" s="1819"/>
      <c r="X94" s="1813"/>
      <c r="Y94" s="1814"/>
      <c r="Z94" s="1815"/>
      <c r="AA94" s="1816"/>
      <c r="AB94" s="1817"/>
      <c r="AC94" s="1818"/>
      <c r="AD94" s="1815"/>
      <c r="AE94" s="1819"/>
      <c r="AG94" s="1813"/>
      <c r="AH94" s="1814"/>
      <c r="AI94" s="1815"/>
      <c r="AJ94" s="1816"/>
      <c r="AK94" s="1817"/>
      <c r="AL94" s="1818"/>
      <c r="AM94" s="1815"/>
      <c r="AN94" s="1819"/>
      <c r="AP94" s="1813"/>
      <c r="AQ94" s="1814"/>
      <c r="AR94" s="7346"/>
      <c r="AS94" s="7347"/>
      <c r="AT94" s="7348"/>
      <c r="AU94" s="1818"/>
      <c r="AV94" s="7346"/>
      <c r="AW94" s="1819"/>
      <c r="AY94" s="1813"/>
      <c r="AZ94" s="1814"/>
      <c r="BA94" s="1815"/>
      <c r="BB94" s="1816"/>
      <c r="BC94" s="1817"/>
      <c r="BD94" s="1818"/>
      <c r="BE94" s="1815"/>
      <c r="BF94" s="1819"/>
    </row>
    <row r="95" spans="1:60" x14ac:dyDescent="0.35">
      <c r="A95" s="9168"/>
      <c r="B95" s="371"/>
      <c r="C95" s="372"/>
      <c r="D95" s="296" t="s">
        <v>577</v>
      </c>
      <c r="E95" s="374"/>
      <c r="F95" s="1054" t="e">
        <f>F89/F12</f>
        <v>#DIV/0!</v>
      </c>
      <c r="G95" s="1055"/>
      <c r="H95" s="1056">
        <f t="shared" ref="H95:I95" si="103">H89/H12</f>
        <v>0.21446168654518824</v>
      </c>
      <c r="I95" s="953" t="e">
        <f t="shared" si="103"/>
        <v>#DIV/0!</v>
      </c>
      <c r="J95" s="1057"/>
      <c r="K95" s="1055"/>
      <c r="L95" s="1203">
        <f t="shared" ref="L95" si="104">L89/L12</f>
        <v>0.22268786525039608</v>
      </c>
      <c r="M95" s="1057"/>
      <c r="O95" s="1813">
        <f>O89/O12</f>
        <v>0.18356807091912453</v>
      </c>
      <c r="P95" s="1814" t="e">
        <f t="shared" ref="P95" si="105">P89/P12</f>
        <v>#DIV/0!</v>
      </c>
      <c r="Q95" s="1815"/>
      <c r="R95" s="1816"/>
      <c r="S95" s="1817"/>
      <c r="T95" s="1818">
        <f t="shared" ref="T95" si="106">T89/T12</f>
        <v>0.22663645242110006</v>
      </c>
      <c r="U95" s="1815"/>
      <c r="V95" s="1819" t="e">
        <f t="shared" ref="V95" si="107">V89/V12</f>
        <v>#DIV/0!</v>
      </c>
      <c r="X95" s="1813">
        <f>X89/X12</f>
        <v>0.25724883141863464</v>
      </c>
      <c r="Y95" s="1814">
        <f>Y89/Y12</f>
        <v>0.24244751948698248</v>
      </c>
      <c r="Z95" s="1815"/>
      <c r="AA95" s="1816"/>
      <c r="AB95" s="1817"/>
      <c r="AC95" s="1818">
        <f>AC89/AC12</f>
        <v>0.23657280100328762</v>
      </c>
      <c r="AD95" s="1815"/>
      <c r="AE95" s="1819">
        <f>AE89/AE12</f>
        <v>0.2195394710841731</v>
      </c>
      <c r="AG95" s="1813">
        <f>AG89/AG12</f>
        <v>0.23657280100328762</v>
      </c>
      <c r="AH95" s="1814">
        <f>AH89/AH12</f>
        <v>0.22965420781088861</v>
      </c>
      <c r="AI95" s="1815"/>
      <c r="AJ95" s="1816"/>
      <c r="AK95" s="1817"/>
      <c r="AL95" s="1818">
        <f>AL89/AL12</f>
        <v>0.25270543544882573</v>
      </c>
      <c r="AM95" s="1815"/>
      <c r="AN95" s="1819">
        <f>AN89/AN12</f>
        <v>0.24970260420336363</v>
      </c>
      <c r="AP95" s="1813">
        <f>AP89/AP12</f>
        <v>0.24177493214616</v>
      </c>
      <c r="AQ95" s="1814" t="e">
        <f>AQ89/AQ12</f>
        <v>#DIV/0!</v>
      </c>
      <c r="AR95" s="7346"/>
      <c r="AS95" s="7347"/>
      <c r="AT95" s="7348"/>
      <c r="AU95" s="1818">
        <f>AU89/AU12</f>
        <v>0.2872256755332811</v>
      </c>
      <c r="AV95" s="7346"/>
      <c r="AW95" s="1819" t="e">
        <f>AW89/AW12</f>
        <v>#DIV/0!</v>
      </c>
      <c r="AY95" s="1813">
        <f>AY89/AY12</f>
        <v>0.26270967575847493</v>
      </c>
      <c r="AZ95" s="1814">
        <f>AZ89/AZ12</f>
        <v>0.21579405658941436</v>
      </c>
      <c r="BA95" s="1815"/>
      <c r="BB95" s="1816"/>
      <c r="BC95" s="1817"/>
      <c r="BD95" s="1818">
        <f>BD89/BD12</f>
        <v>0.20555543971661697</v>
      </c>
      <c r="BE95" s="1815"/>
      <c r="BF95" s="1819">
        <f>BF89/BF12</f>
        <v>0.16718607891589984</v>
      </c>
    </row>
    <row r="96" spans="1:60" x14ac:dyDescent="0.35">
      <c r="A96" s="9168"/>
      <c r="B96" s="371"/>
      <c r="C96" s="372"/>
      <c r="D96" s="59" t="s">
        <v>578</v>
      </c>
      <c r="E96" s="374"/>
      <c r="F96" s="1054"/>
      <c r="G96" s="1055"/>
      <c r="H96" s="1056"/>
      <c r="I96" s="953"/>
      <c r="J96" s="1057"/>
      <c r="K96" s="1055"/>
      <c r="L96" s="1203"/>
      <c r="M96" s="1057"/>
      <c r="O96" s="1813"/>
      <c r="P96" s="1814"/>
      <c r="Q96" s="1815"/>
      <c r="R96" s="1816"/>
      <c r="S96" s="1817"/>
      <c r="T96" s="1818"/>
      <c r="U96" s="1815"/>
      <c r="V96" s="1819"/>
      <c r="X96" s="1813"/>
      <c r="Y96" s="1814"/>
      <c r="Z96" s="1815"/>
      <c r="AA96" s="1816"/>
      <c r="AB96" s="1817"/>
      <c r="AC96" s="1818"/>
      <c r="AD96" s="1815"/>
      <c r="AE96" s="1819"/>
      <c r="AG96" s="1813"/>
      <c r="AH96" s="1814"/>
      <c r="AI96" s="1815"/>
      <c r="AJ96" s="1816"/>
      <c r="AK96" s="1817"/>
      <c r="AL96" s="1818"/>
      <c r="AM96" s="1815"/>
      <c r="AN96" s="1819"/>
      <c r="AP96" s="1813"/>
      <c r="AQ96" s="1814"/>
      <c r="AR96" s="7346"/>
      <c r="AS96" s="7347"/>
      <c r="AT96" s="7348"/>
      <c r="AU96" s="1818"/>
      <c r="AV96" s="7346"/>
      <c r="AW96" s="1819"/>
      <c r="AY96" s="1813"/>
      <c r="AZ96" s="1814"/>
      <c r="BA96" s="1815"/>
      <c r="BB96" s="1816"/>
      <c r="BC96" s="1817"/>
      <c r="BD96" s="1818"/>
      <c r="BE96" s="1815"/>
      <c r="BF96" s="1819"/>
    </row>
    <row r="97" spans="1:60" x14ac:dyDescent="0.35">
      <c r="A97" s="9168"/>
      <c r="B97" s="58"/>
      <c r="C97" s="390"/>
      <c r="D97" s="296" t="s">
        <v>579</v>
      </c>
      <c r="E97" s="392"/>
      <c r="F97" s="393"/>
      <c r="G97" s="392"/>
      <c r="H97" s="394"/>
      <c r="I97" s="395"/>
      <c r="J97" s="229"/>
      <c r="K97" s="392"/>
      <c r="L97" s="396"/>
      <c r="M97" s="229"/>
      <c r="O97" s="1056"/>
      <c r="P97" s="953"/>
      <c r="Q97" s="1820"/>
      <c r="R97" s="1057"/>
      <c r="S97" s="1055"/>
      <c r="T97" s="1203"/>
      <c r="U97" s="1820"/>
      <c r="V97" s="1821"/>
      <c r="X97" s="1056"/>
      <c r="Y97" s="953"/>
      <c r="Z97" s="1820"/>
      <c r="AA97" s="1057"/>
      <c r="AB97" s="1055"/>
      <c r="AC97" s="1203"/>
      <c r="AD97" s="1820"/>
      <c r="AE97" s="1821"/>
      <c r="AG97" s="1056"/>
      <c r="AH97" s="953"/>
      <c r="AI97" s="1820"/>
      <c r="AJ97" s="1057"/>
      <c r="AK97" s="1055"/>
      <c r="AL97" s="1203"/>
      <c r="AM97" s="1820"/>
      <c r="AN97" s="1821"/>
      <c r="AP97" s="1056"/>
      <c r="AQ97" s="953"/>
      <c r="AR97" s="3622"/>
      <c r="AS97" s="5419"/>
      <c r="AT97" s="958"/>
      <c r="AU97" s="1203"/>
      <c r="AV97" s="3622"/>
      <c r="AW97" s="1821"/>
      <c r="AY97" s="1056"/>
      <c r="AZ97" s="953"/>
      <c r="BA97" s="1820"/>
      <c r="BB97" s="1057"/>
      <c r="BC97" s="1055"/>
      <c r="BD97" s="1203"/>
      <c r="BE97" s="1820"/>
      <c r="BF97" s="1821"/>
    </row>
    <row r="98" spans="1:60" x14ac:dyDescent="0.35">
      <c r="A98" s="9168"/>
      <c r="B98" s="58"/>
      <c r="C98" s="390"/>
      <c r="D98" s="296"/>
      <c r="E98" s="392"/>
      <c r="F98" s="393"/>
      <c r="G98" s="392"/>
      <c r="H98" s="394"/>
      <c r="I98" s="395"/>
      <c r="J98" s="229"/>
      <c r="K98" s="392"/>
      <c r="L98" s="396"/>
      <c r="M98" s="229"/>
      <c r="O98" s="394"/>
      <c r="P98" s="395"/>
      <c r="Q98"/>
      <c r="R98" s="229"/>
      <c r="S98" s="392"/>
      <c r="T98" s="396"/>
      <c r="V98" s="1822"/>
      <c r="X98" s="394"/>
      <c r="Y98" s="395"/>
      <c r="Z98"/>
      <c r="AA98" s="229"/>
      <c r="AB98" s="392"/>
      <c r="AC98" s="396"/>
      <c r="AE98" s="1822"/>
      <c r="AG98" s="394"/>
      <c r="AH98" s="395"/>
      <c r="AI98"/>
      <c r="AJ98" s="229"/>
      <c r="AK98" s="392"/>
      <c r="AL98" s="396"/>
      <c r="AN98" s="1822"/>
      <c r="AP98" s="394"/>
      <c r="AQ98" s="395"/>
      <c r="AR98"/>
      <c r="AS98" s="229"/>
      <c r="AT98" s="392"/>
      <c r="AU98" s="396"/>
      <c r="AW98" s="1822"/>
      <c r="AY98" s="394"/>
      <c r="AZ98" s="395"/>
      <c r="BA98"/>
      <c r="BB98" s="229"/>
      <c r="BC98" s="392"/>
      <c r="BD98" s="396"/>
      <c r="BF98" s="1822"/>
    </row>
    <row r="99" spans="1:60" x14ac:dyDescent="0.35">
      <c r="A99" s="9168"/>
      <c r="B99" s="58"/>
      <c r="C99" s="390"/>
      <c r="D99" s="980" t="s">
        <v>580</v>
      </c>
      <c r="E99" s="424"/>
      <c r="F99" s="981"/>
      <c r="G99" s="982"/>
      <c r="H99" s="983"/>
      <c r="I99" s="979"/>
      <c r="J99" s="246"/>
      <c r="K99" s="982"/>
      <c r="L99" s="986"/>
      <c r="M99" s="1233">
        <f>M89-SUM(M68:M71)</f>
        <v>0</v>
      </c>
      <c r="O99" s="983"/>
      <c r="P99" s="979"/>
      <c r="Q99" s="985"/>
      <c r="R99" s="246"/>
      <c r="S99" s="982"/>
      <c r="T99" s="986"/>
      <c r="U99" s="985"/>
      <c r="V99" s="1823"/>
      <c r="X99" s="695">
        <f>SUM(X74:X82)/X89</f>
        <v>0.31087296792684588</v>
      </c>
      <c r="Y99" s="696">
        <f>SUM(Y74:Y82)/Y89</f>
        <v>0.32949391676131667</v>
      </c>
      <c r="Z99" s="1824"/>
      <c r="AA99" s="267"/>
      <c r="AB99" s="694"/>
      <c r="AC99" s="697">
        <f>SUM(AC74:AC82)/AC89</f>
        <v>0.27930215753475907</v>
      </c>
      <c r="AD99" s="1824"/>
      <c r="AE99" s="1825">
        <f>SUM(AE74:AE82)/AE89</f>
        <v>0.3024267099315518</v>
      </c>
      <c r="AG99" s="695">
        <f>SUM(AG74:AG82)/AG89</f>
        <v>0.27930215753475907</v>
      </c>
      <c r="AH99" s="696">
        <f>SUM(AH74:AH82)/AH89</f>
        <v>0.31825410985694152</v>
      </c>
      <c r="AI99" s="1824"/>
      <c r="AJ99" s="267"/>
      <c r="AK99" s="694"/>
      <c r="AL99" s="697">
        <f>SUM(AL74:AL82)/AL89</f>
        <v>0.30043564541556433</v>
      </c>
      <c r="AM99" s="1824"/>
      <c r="AN99" s="1825">
        <f>SUM(AN74:AN82)/AN89</f>
        <v>0.33483059531398174</v>
      </c>
      <c r="AP99" s="695">
        <f>SUM(AP74:AP82)/(AP89-AP87)</f>
        <v>0.36838476661094371</v>
      </c>
      <c r="AQ99" s="696">
        <f>SUM(AQ74:AQ82)/(AQ89-AQ87)</f>
        <v>0</v>
      </c>
      <c r="AR99" s="3623"/>
      <c r="AS99" s="518"/>
      <c r="AT99" s="3346"/>
      <c r="AU99" s="697">
        <f>SUM(AU74:AU82)/(AU89-AU87)</f>
        <v>0.32440867009108448</v>
      </c>
      <c r="AV99" s="3623"/>
      <c r="AW99" s="1825" t="e">
        <f>SUM(AW74:AW82)/(AW89-AW87)</f>
        <v>#DIV/0!</v>
      </c>
      <c r="AY99" s="695">
        <f>SUM(AY74:AY82)/(AY89-AY87)</f>
        <v>0.32440867009108448</v>
      </c>
      <c r="AZ99" s="696">
        <f>SUM(AZ74:AZ82)/(AZ89-AZ87)</f>
        <v>0.36403174580924008</v>
      </c>
      <c r="BA99" s="1824"/>
      <c r="BB99" s="267"/>
      <c r="BC99" s="694"/>
      <c r="BD99" s="697">
        <f>SUM(BD74:BD82)/(BD89-BD87)</f>
        <v>0.36390063063278993</v>
      </c>
      <c r="BE99" s="1824"/>
      <c r="BF99" s="1825">
        <f>SUM(BF74:BF82)/(BF89-BF87)</f>
        <v>0.41004150785672083</v>
      </c>
    </row>
    <row r="100" spans="1:60" s="462" customFormat="1" x14ac:dyDescent="0.35">
      <c r="A100" s="9169"/>
      <c r="B100" s="85"/>
      <c r="C100" s="432"/>
      <c r="D100" s="86" t="s">
        <v>581</v>
      </c>
      <c r="E100" s="274"/>
      <c r="F100" s="702"/>
      <c r="G100" s="460"/>
      <c r="H100" s="704"/>
      <c r="I100" s="705"/>
      <c r="J100" s="706"/>
      <c r="K100" s="460"/>
      <c r="L100" s="707"/>
      <c r="M100" s="1241" t="e">
        <f>M99/M12</f>
        <v>#DIV/0!</v>
      </c>
      <c r="N100" s="456"/>
      <c r="O100" s="704"/>
      <c r="P100" s="705"/>
      <c r="Q100" s="1826"/>
      <c r="R100" s="706"/>
      <c r="S100" s="460"/>
      <c r="T100" s="707"/>
      <c r="U100" s="1826"/>
      <c r="V100" s="1827"/>
      <c r="W100" s="456"/>
      <c r="X100" s="704">
        <f>X74/X91</f>
        <v>0.36462045136628424</v>
      </c>
      <c r="Y100" s="705">
        <f>Y74/Y91</f>
        <v>0.38483173186511127</v>
      </c>
      <c r="Z100" s="1826"/>
      <c r="AA100" s="706"/>
      <c r="AB100" s="460"/>
      <c r="AC100" s="707">
        <f>AC74/AC91</f>
        <v>0.34347403452584596</v>
      </c>
      <c r="AD100" s="1826"/>
      <c r="AE100" s="1827">
        <f>AE74/AE91</f>
        <v>0.36970504684930766</v>
      </c>
      <c r="AF100" s="456"/>
      <c r="AG100" s="704">
        <f>AG74/AG91</f>
        <v>0.34347403452584596</v>
      </c>
      <c r="AH100" s="705">
        <f>AH74/AH91</f>
        <v>0.3607780505452326</v>
      </c>
      <c r="AI100" s="1826"/>
      <c r="AJ100" s="706"/>
      <c r="AK100" s="460"/>
      <c r="AL100" s="707">
        <f>AL74/AL91</f>
        <v>0.31465259569396203</v>
      </c>
      <c r="AM100" s="1826"/>
      <c r="AN100" s="1827">
        <f>AN74/AN91</f>
        <v>0.3383120787856071</v>
      </c>
      <c r="AO100" s="456"/>
      <c r="AP100" s="704">
        <f>AP74/(AP91-AP87)</f>
        <v>0.3897262615186049</v>
      </c>
      <c r="AQ100" s="705">
        <f>AQ74/(AQ91-AQ87)</f>
        <v>0</v>
      </c>
      <c r="AR100" s="989"/>
      <c r="AS100" s="988"/>
      <c r="AT100" s="460"/>
      <c r="AU100" s="707">
        <f>AU74/(AU91-AU87)</f>
        <v>0.34319997748905273</v>
      </c>
      <c r="AV100" s="989"/>
      <c r="AW100" s="1827" t="e">
        <f>AW74/(AW91-AW87)</f>
        <v>#DIV/0!</v>
      </c>
      <c r="AX100" s="456"/>
      <c r="AY100" s="704">
        <f>AY74/(AY91-AY87)</f>
        <v>0.34319997748905273</v>
      </c>
      <c r="AZ100" s="705">
        <f>AZ74/(AZ91-AZ87)</f>
        <v>0.39877513195873543</v>
      </c>
      <c r="BA100" s="1826"/>
      <c r="BB100" s="706"/>
      <c r="BC100" s="460"/>
      <c r="BD100" s="707">
        <f>BD74/(BD91-BD87)</f>
        <v>0.37467069265946934</v>
      </c>
      <c r="BE100" s="1826"/>
      <c r="BF100" s="1827">
        <f>BF74/(BF91-BF87)</f>
        <v>0.43534197175498507</v>
      </c>
    </row>
    <row r="101" spans="1:60" s="462" customFormat="1" ht="12" x14ac:dyDescent="0.3">
      <c r="B101" s="455"/>
      <c r="C101" s="456"/>
      <c r="D101" s="2"/>
      <c r="E101" s="456"/>
      <c r="F101" s="456"/>
      <c r="G101" s="456"/>
      <c r="H101" s="459"/>
      <c r="I101" s="459"/>
      <c r="J101" s="7"/>
      <c r="K101" s="456"/>
      <c r="N101" s="456"/>
      <c r="O101" s="459"/>
      <c r="P101" s="459"/>
      <c r="Q101" s="459"/>
      <c r="R101" s="7"/>
      <c r="S101" s="456"/>
      <c r="W101" s="456"/>
      <c r="X101" s="459"/>
      <c r="Y101" s="459"/>
      <c r="Z101" s="459"/>
      <c r="AA101" s="7"/>
      <c r="AB101" s="456"/>
      <c r="AF101" s="456"/>
      <c r="AG101" s="459"/>
      <c r="AH101" s="459"/>
      <c r="AI101" s="459"/>
      <c r="AJ101" s="7"/>
      <c r="AK101" s="456"/>
      <c r="AO101" s="456"/>
      <c r="AP101" s="459"/>
      <c r="AQ101" s="459"/>
      <c r="AR101" s="459"/>
      <c r="AS101" s="7"/>
      <c r="AT101" s="456"/>
      <c r="AX101" s="456"/>
      <c r="AY101" s="459"/>
      <c r="AZ101" s="459"/>
      <c r="BA101" s="459"/>
      <c r="BB101" s="7"/>
      <c r="BC101" s="456"/>
    </row>
    <row r="102" spans="1:60" s="462" customFormat="1" ht="12" x14ac:dyDescent="0.3">
      <c r="A102" s="455" t="s">
        <v>582</v>
      </c>
      <c r="B102" s="455"/>
      <c r="C102" s="456"/>
      <c r="D102" s="2"/>
      <c r="E102" s="456"/>
      <c r="F102" s="456"/>
      <c r="G102" s="456"/>
      <c r="H102" s="459"/>
      <c r="I102" s="459"/>
      <c r="J102" s="7"/>
      <c r="K102" s="456"/>
      <c r="N102" s="456"/>
      <c r="O102" s="459"/>
      <c r="P102" s="459"/>
      <c r="Q102" s="459"/>
      <c r="R102" s="7"/>
      <c r="S102" s="456"/>
      <c r="W102" s="456"/>
      <c r="X102" s="459"/>
      <c r="Y102" s="459"/>
      <c r="Z102" s="459"/>
      <c r="AA102" s="7"/>
      <c r="AB102" s="456"/>
      <c r="AF102" s="456"/>
      <c r="AG102" s="459"/>
      <c r="AH102" s="459"/>
      <c r="AI102" s="459"/>
      <c r="AJ102" s="7"/>
      <c r="AK102" s="456"/>
      <c r="AO102" s="456"/>
      <c r="AP102" s="459"/>
      <c r="AQ102" s="459"/>
      <c r="AR102" s="459"/>
      <c r="AS102" s="7"/>
      <c r="AT102" s="456"/>
      <c r="AX102" s="456"/>
      <c r="AY102" s="459"/>
      <c r="AZ102" s="459"/>
      <c r="BA102" s="459"/>
      <c r="BB102" s="7"/>
      <c r="BC102" s="456"/>
    </row>
    <row r="103" spans="1:60" s="462" customFormat="1" ht="12" customHeight="1" x14ac:dyDescent="0.3">
      <c r="A103" s="463">
        <v>1</v>
      </c>
      <c r="B103" s="464" t="str">
        <f>BH12</f>
        <v>Revenue receipts</v>
      </c>
      <c r="D103" s="709"/>
      <c r="E103" s="466"/>
      <c r="F103" s="466"/>
      <c r="G103" s="466"/>
      <c r="H103" s="466"/>
      <c r="I103" s="466"/>
      <c r="J103" s="467"/>
      <c r="K103" s="466"/>
      <c r="L103" s="466"/>
      <c r="M103" s="466"/>
      <c r="N103" s="456"/>
      <c r="O103" s="459"/>
      <c r="P103" s="459"/>
      <c r="Q103" s="459"/>
      <c r="R103" s="7"/>
      <c r="S103" s="456"/>
      <c r="W103" s="456"/>
      <c r="X103" s="459"/>
      <c r="Y103" s="459"/>
      <c r="Z103" s="459"/>
      <c r="AA103" s="7"/>
      <c r="AB103" s="456"/>
      <c r="AF103" s="456"/>
      <c r="AG103" s="459"/>
      <c r="AH103" s="459"/>
      <c r="AI103" s="459"/>
      <c r="AJ103" s="7"/>
      <c r="AK103" s="456"/>
      <c r="AO103" s="456"/>
      <c r="AP103" s="459"/>
      <c r="AQ103" s="459"/>
      <c r="AR103" s="459"/>
      <c r="AS103" s="7"/>
      <c r="AT103" s="456"/>
      <c r="AX103" s="456"/>
      <c r="AY103" s="459"/>
      <c r="AZ103" s="459"/>
      <c r="BA103" s="459"/>
      <c r="BB103" s="7"/>
      <c r="BC103" s="456"/>
      <c r="BG103" s="577"/>
      <c r="BH103" s="577"/>
    </row>
    <row r="104" spans="1:60" s="462" customFormat="1" ht="12" x14ac:dyDescent="0.3">
      <c r="A104" s="468">
        <v>2</v>
      </c>
      <c r="B104" s="464" t="str">
        <f t="shared" ref="B104" si="108">BH13</f>
        <v>Federal and foreign grants</v>
      </c>
      <c r="D104" s="2"/>
      <c r="E104" s="456"/>
      <c r="F104" s="456"/>
      <c r="G104" s="456"/>
      <c r="H104" s="459"/>
      <c r="I104" s="459"/>
      <c r="J104" s="7"/>
      <c r="K104" s="456"/>
      <c r="N104" s="456"/>
      <c r="O104" s="466"/>
      <c r="P104" s="466"/>
      <c r="Q104" s="466"/>
      <c r="R104" s="467"/>
      <c r="S104" s="466"/>
      <c r="T104" s="466"/>
      <c r="U104" s="466"/>
      <c r="V104" s="466"/>
      <c r="W104" s="456"/>
      <c r="X104" s="466"/>
      <c r="Y104" s="466"/>
      <c r="Z104" s="466"/>
      <c r="AA104" s="467"/>
      <c r="AB104" s="466"/>
      <c r="AC104" s="466"/>
      <c r="AD104" s="466"/>
      <c r="AE104" s="466"/>
      <c r="AF104" s="456"/>
      <c r="AG104" s="466"/>
      <c r="AH104" s="466"/>
      <c r="AI104" s="466"/>
      <c r="AJ104" s="467"/>
      <c r="AK104" s="466"/>
      <c r="AL104" s="466"/>
      <c r="AM104" s="466"/>
      <c r="AN104" s="466"/>
      <c r="AO104" s="456"/>
      <c r="AP104" s="466"/>
      <c r="AQ104" s="466"/>
      <c r="AR104" s="466"/>
      <c r="AS104" s="467"/>
      <c r="AT104" s="466"/>
      <c r="AU104" s="466"/>
      <c r="AV104" s="466"/>
      <c r="AW104" s="466"/>
      <c r="AX104" s="456"/>
      <c r="AY104" s="466"/>
      <c r="AZ104" s="466"/>
      <c r="BA104" s="466"/>
      <c r="BB104" s="467"/>
      <c r="BC104" s="466"/>
      <c r="BD104" s="466"/>
      <c r="BE104" s="466"/>
      <c r="BF104" s="466"/>
      <c r="BG104" s="577"/>
      <c r="BH104" s="577"/>
    </row>
    <row r="105" spans="1:60" s="462" customFormat="1" ht="12" x14ac:dyDescent="0.3">
      <c r="A105" s="463">
        <v>3</v>
      </c>
      <c r="B105" s="464" t="str">
        <f>BH17</f>
        <v>current except debt servicing</v>
      </c>
      <c r="D105" s="2"/>
      <c r="E105" s="456"/>
      <c r="F105" s="456"/>
      <c r="G105" s="456"/>
      <c r="H105" s="459"/>
      <c r="I105" s="459"/>
      <c r="J105" s="7"/>
      <c r="K105" s="456"/>
      <c r="N105" s="456"/>
      <c r="O105" s="459"/>
      <c r="P105" s="459"/>
      <c r="Q105" s="459"/>
      <c r="R105" s="7"/>
      <c r="S105" s="456"/>
      <c r="W105" s="456"/>
      <c r="X105" s="459"/>
      <c r="Y105" s="459"/>
      <c r="Z105" s="459"/>
      <c r="AA105" s="7"/>
      <c r="AB105" s="456"/>
      <c r="AF105" s="456"/>
      <c r="AG105" s="459"/>
      <c r="AH105" s="459"/>
      <c r="AI105" s="459"/>
      <c r="AJ105" s="7"/>
      <c r="AK105" s="456"/>
      <c r="AO105" s="456"/>
      <c r="AP105" s="459"/>
      <c r="AQ105" s="459"/>
      <c r="AR105" s="459"/>
      <c r="AS105" s="7"/>
      <c r="AT105" s="456"/>
      <c r="AX105" s="456"/>
      <c r="AY105" s="459"/>
      <c r="AZ105" s="459"/>
      <c r="BA105" s="459"/>
      <c r="BB105" s="7"/>
      <c r="BC105" s="456"/>
      <c r="BG105" s="577"/>
      <c r="BH105" s="577"/>
    </row>
    <row r="106" spans="1:60" s="462" customFormat="1" ht="12" x14ac:dyDescent="0.3">
      <c r="A106" s="468">
        <v>4</v>
      </c>
      <c r="B106" s="464" t="str">
        <f>BH18</f>
        <v>Development</v>
      </c>
      <c r="D106" s="2"/>
      <c r="E106" s="456"/>
      <c r="F106" s="456"/>
      <c r="G106" s="456"/>
      <c r="H106" s="459"/>
      <c r="I106" s="459"/>
      <c r="J106" s="7"/>
      <c r="K106" s="456"/>
      <c r="N106" s="456"/>
      <c r="O106" s="459"/>
      <c r="P106" s="459"/>
      <c r="Q106" s="459"/>
      <c r="R106" s="7"/>
      <c r="S106" s="456"/>
      <c r="W106" s="456"/>
      <c r="X106" s="459"/>
      <c r="Y106" s="459"/>
      <c r="Z106" s="459"/>
      <c r="AA106" s="7"/>
      <c r="AB106" s="456"/>
      <c r="AF106" s="456"/>
      <c r="AG106" s="459"/>
      <c r="AH106" s="459"/>
      <c r="AI106" s="459"/>
      <c r="AJ106" s="7"/>
      <c r="AK106" s="456"/>
      <c r="AO106" s="456"/>
      <c r="AP106" s="459"/>
      <c r="AQ106" s="459"/>
      <c r="AR106" s="459"/>
      <c r="AS106" s="7"/>
      <c r="AT106" s="456"/>
      <c r="AX106" s="456"/>
      <c r="AY106" s="459"/>
      <c r="AZ106" s="459"/>
      <c r="BA106" s="459"/>
      <c r="BB106" s="7"/>
      <c r="BC106" s="456"/>
      <c r="BG106" s="577"/>
      <c r="BH106" s="577"/>
    </row>
    <row r="107" spans="1:60" s="462" customFormat="1" ht="12" x14ac:dyDescent="0.3">
      <c r="A107" s="463">
        <v>5</v>
      </c>
      <c r="B107" s="464" t="str">
        <f>BH21</f>
        <v>Debt servicing</v>
      </c>
      <c r="D107" s="2"/>
      <c r="E107" s="456"/>
      <c r="F107" s="456"/>
      <c r="G107" s="456"/>
      <c r="H107" s="459"/>
      <c r="I107" s="459"/>
      <c r="J107" s="7"/>
      <c r="K107" s="456"/>
      <c r="N107" s="456"/>
      <c r="O107" s="459"/>
      <c r="P107" s="459"/>
      <c r="Q107" s="459"/>
      <c r="R107" s="7"/>
      <c r="S107" s="456"/>
      <c r="W107" s="456"/>
      <c r="X107" s="459"/>
      <c r="Y107" s="459"/>
      <c r="Z107" s="459"/>
      <c r="AA107" s="7"/>
      <c r="AB107" s="456"/>
      <c r="AF107" s="456"/>
      <c r="AG107" s="459"/>
      <c r="AH107" s="459"/>
      <c r="AI107" s="459"/>
      <c r="AJ107" s="7"/>
      <c r="AK107" s="456"/>
      <c r="AO107" s="456"/>
      <c r="AP107" s="459"/>
      <c r="AQ107" s="459"/>
      <c r="AR107" s="459"/>
      <c r="AS107" s="7"/>
      <c r="AT107" s="456"/>
      <c r="AX107" s="456"/>
      <c r="AY107" s="459"/>
      <c r="AZ107" s="459"/>
      <c r="BA107" s="459"/>
      <c r="BB107" s="7"/>
      <c r="BC107" s="456"/>
      <c r="BG107" s="577"/>
      <c r="BH107" s="577"/>
    </row>
    <row r="108" spans="1:60" s="462" customFormat="1" ht="12" x14ac:dyDescent="0.3">
      <c r="A108" s="468">
        <v>6</v>
      </c>
      <c r="B108" s="462" t="str">
        <f>BH26</f>
        <v>Source BC 21006</v>
      </c>
      <c r="D108" s="2"/>
      <c r="E108" s="456"/>
      <c r="F108" s="456"/>
      <c r="G108" s="456"/>
      <c r="H108" s="459"/>
      <c r="I108" s="459"/>
      <c r="J108" s="7"/>
      <c r="K108" s="456"/>
      <c r="N108" s="456"/>
      <c r="O108" s="459"/>
      <c r="P108" s="459"/>
      <c r="Q108" s="459"/>
      <c r="R108" s="7"/>
      <c r="S108" s="456"/>
      <c r="W108" s="456"/>
      <c r="X108" s="459"/>
      <c r="Y108" s="459"/>
      <c r="Z108" s="459"/>
      <c r="AA108" s="7"/>
      <c r="AB108" s="456"/>
      <c r="AF108" s="456"/>
      <c r="AG108" s="459"/>
      <c r="AH108" s="459"/>
      <c r="AI108" s="459"/>
      <c r="AJ108" s="7"/>
      <c r="AK108" s="456"/>
      <c r="AO108" s="456"/>
      <c r="AP108" s="459"/>
      <c r="AQ108" s="459"/>
      <c r="AR108" s="459"/>
      <c r="AS108" s="7"/>
      <c r="AT108" s="456"/>
      <c r="AX108" s="456"/>
      <c r="AY108" s="459"/>
      <c r="AZ108" s="459"/>
      <c r="BA108" s="459"/>
      <c r="BB108" s="7"/>
      <c r="BC108" s="456"/>
      <c r="BG108" s="577"/>
      <c r="BH108" s="577"/>
    </row>
    <row r="109" spans="1:60" s="462" customFormat="1" ht="12" x14ac:dyDescent="0.3">
      <c r="A109" s="463">
        <v>7</v>
      </c>
      <c r="B109" s="462" t="str">
        <f>BH35</f>
        <v>"Education sector has been the most favored sector by the presen Government. Accordingly, for FY 2014-15 allocations for this sector was Rs 28,937.226 Million, the estimates for financial year 2015-16 are pitched at Rs 38,327.000 representing an increase of 32.44%" page 41</v>
      </c>
      <c r="D109" s="2"/>
      <c r="E109" s="456"/>
      <c r="F109" s="456"/>
      <c r="G109" s="456"/>
      <c r="H109" s="459"/>
      <c r="I109" s="459"/>
      <c r="J109" s="7"/>
      <c r="K109" s="456"/>
      <c r="N109" s="456"/>
      <c r="O109" s="459"/>
      <c r="P109" s="459"/>
      <c r="Q109" s="459"/>
      <c r="R109" s="7"/>
      <c r="S109" s="456"/>
      <c r="W109" s="456"/>
      <c r="X109" s="459"/>
      <c r="Y109" s="459"/>
      <c r="Z109" s="459"/>
      <c r="AA109" s="7"/>
      <c r="AB109" s="456"/>
      <c r="AF109" s="456"/>
      <c r="AG109" s="459"/>
      <c r="AH109" s="459"/>
      <c r="AI109" s="459"/>
      <c r="AJ109" s="7"/>
      <c r="AK109" s="456"/>
      <c r="AO109" s="456"/>
      <c r="AP109" s="459"/>
      <c r="AQ109" s="459"/>
      <c r="AR109" s="459"/>
      <c r="AS109" s="7"/>
      <c r="AT109" s="456"/>
      <c r="AX109" s="456"/>
      <c r="AY109" s="459"/>
      <c r="AZ109" s="459"/>
      <c r="BA109" s="459"/>
      <c r="BB109" s="7"/>
      <c r="BC109" s="456"/>
      <c r="BG109" s="577"/>
      <c r="BH109" s="577"/>
    </row>
    <row r="110" spans="1:60" s="462" customFormat="1" ht="12" x14ac:dyDescent="0.3">
      <c r="A110" s="468">
        <v>8</v>
      </c>
      <c r="B110" s="462">
        <f>BH36</f>
        <v>0</v>
      </c>
      <c r="D110" s="2"/>
      <c r="E110" s="456"/>
      <c r="F110" s="456"/>
      <c r="G110" s="456"/>
      <c r="H110" s="459"/>
      <c r="I110" s="459"/>
      <c r="J110" s="7"/>
      <c r="K110" s="456"/>
      <c r="N110" s="456"/>
      <c r="O110" s="459"/>
      <c r="P110" s="459"/>
      <c r="Q110" s="459"/>
      <c r="R110" s="7"/>
      <c r="S110" s="456"/>
      <c r="W110" s="456"/>
      <c r="X110" s="459"/>
      <c r="Y110" s="459"/>
      <c r="Z110" s="459"/>
      <c r="AA110" s="7"/>
      <c r="AB110" s="456"/>
      <c r="AF110" s="456"/>
      <c r="AG110" s="459"/>
      <c r="AH110" s="459"/>
      <c r="AI110" s="459"/>
      <c r="AJ110" s="7"/>
      <c r="AK110" s="456"/>
      <c r="AO110" s="456"/>
      <c r="AP110" s="459"/>
      <c r="AQ110" s="459"/>
      <c r="AR110" s="459"/>
      <c r="AS110" s="7"/>
      <c r="AT110" s="456"/>
      <c r="AX110" s="456"/>
      <c r="AY110" s="459"/>
      <c r="AZ110" s="459"/>
      <c r="BA110" s="459"/>
      <c r="BB110" s="7"/>
      <c r="BC110" s="456"/>
      <c r="BG110" s="577"/>
      <c r="BH110" s="577"/>
    </row>
    <row r="111" spans="1:60" s="462" customFormat="1" ht="12" x14ac:dyDescent="0.3">
      <c r="A111" s="463">
        <v>9</v>
      </c>
      <c r="B111" s="464" t="str">
        <f>BH44</f>
        <v>Agriculture college,+ Training centers</v>
      </c>
      <c r="D111" s="2"/>
      <c r="E111" s="456"/>
      <c r="F111" s="456"/>
      <c r="G111" s="456"/>
      <c r="H111" s="459"/>
      <c r="I111" s="459"/>
      <c r="J111" s="7"/>
      <c r="K111" s="456"/>
      <c r="N111" s="456"/>
      <c r="O111" s="459"/>
      <c r="P111" s="459"/>
      <c r="Q111" s="459"/>
      <c r="R111" s="7"/>
      <c r="S111" s="456"/>
      <c r="W111" s="456"/>
      <c r="X111" s="459"/>
      <c r="Y111" s="459"/>
      <c r="Z111" s="459"/>
      <c r="AA111" s="7"/>
      <c r="AB111" s="456"/>
      <c r="AF111" s="456"/>
      <c r="AG111" s="459"/>
      <c r="AH111" s="459"/>
      <c r="AI111" s="459"/>
      <c r="AJ111" s="7"/>
      <c r="AK111" s="456"/>
      <c r="AO111" s="456"/>
      <c r="AP111" s="459"/>
      <c r="AQ111" s="459"/>
      <c r="AR111" s="459"/>
      <c r="AS111" s="7"/>
      <c r="AT111" s="456"/>
      <c r="AX111" s="456"/>
      <c r="AY111" s="459"/>
      <c r="AZ111" s="459"/>
      <c r="BA111" s="459"/>
      <c r="BB111" s="7"/>
      <c r="BC111" s="456"/>
      <c r="BG111" s="577"/>
      <c r="BH111" s="577"/>
    </row>
    <row r="112" spans="1:60" s="462" customFormat="1" ht="12" x14ac:dyDescent="0.3">
      <c r="A112" s="468">
        <v>10</v>
      </c>
      <c r="B112" s="464" t="str">
        <f>BH46</f>
        <v>Medical college + Training center</v>
      </c>
      <c r="D112" s="2"/>
      <c r="E112" s="456"/>
      <c r="F112" s="456"/>
      <c r="G112" s="456"/>
      <c r="H112" s="459"/>
      <c r="I112" s="459"/>
      <c r="J112" s="7"/>
      <c r="K112" s="456"/>
      <c r="N112" s="456"/>
      <c r="O112" s="459"/>
      <c r="P112" s="459"/>
      <c r="Q112" s="459"/>
      <c r="R112" s="7"/>
      <c r="S112" s="456"/>
      <c r="W112" s="456"/>
      <c r="X112" s="459"/>
      <c r="Y112" s="459"/>
      <c r="Z112" s="459"/>
      <c r="AA112" s="7"/>
      <c r="AB112" s="456"/>
      <c r="AF112" s="456"/>
      <c r="AG112" s="459"/>
      <c r="AH112" s="459"/>
      <c r="AI112" s="459"/>
      <c r="AJ112" s="7"/>
      <c r="AK112" s="456"/>
      <c r="AO112" s="456"/>
      <c r="AP112" s="459"/>
      <c r="AQ112" s="459"/>
      <c r="AR112" s="459"/>
      <c r="AS112" s="7"/>
      <c r="AT112" s="456"/>
      <c r="AX112" s="456"/>
      <c r="AY112" s="459"/>
      <c r="AZ112" s="459"/>
      <c r="BA112" s="459"/>
      <c r="BB112" s="7"/>
      <c r="BC112" s="456"/>
      <c r="BG112" s="577"/>
      <c r="BH112" s="577"/>
    </row>
    <row r="113" spans="1:60" s="462" customFormat="1" ht="12" x14ac:dyDescent="0.3">
      <c r="A113" s="463">
        <v>11</v>
      </c>
      <c r="B113" s="464">
        <f t="shared" ref="B113:B114" si="109">BH48</f>
        <v>0</v>
      </c>
      <c r="D113" s="2"/>
      <c r="E113" s="456"/>
      <c r="F113" s="456"/>
      <c r="G113" s="456"/>
      <c r="H113" s="459"/>
      <c r="I113" s="459"/>
      <c r="J113" s="7"/>
      <c r="K113" s="456"/>
      <c r="N113" s="456"/>
      <c r="O113" s="459"/>
      <c r="P113" s="459"/>
      <c r="Q113" s="459"/>
      <c r="R113" s="7"/>
      <c r="S113" s="456"/>
      <c r="W113" s="456"/>
      <c r="X113" s="459"/>
      <c r="Y113" s="459"/>
      <c r="Z113" s="459"/>
      <c r="AA113" s="7"/>
      <c r="AB113" s="456"/>
      <c r="AF113" s="456"/>
      <c r="AG113" s="459"/>
      <c r="AH113" s="459"/>
      <c r="AI113" s="459"/>
      <c r="AJ113" s="7"/>
      <c r="AK113" s="456"/>
      <c r="AO113" s="456"/>
      <c r="AP113" s="459"/>
      <c r="AQ113" s="459"/>
      <c r="AR113" s="459"/>
      <c r="AS113" s="7"/>
      <c r="AT113" s="456"/>
      <c r="AX113" s="456"/>
      <c r="AY113" s="459"/>
      <c r="AZ113" s="459"/>
      <c r="BA113" s="459"/>
      <c r="BB113" s="7"/>
      <c r="BC113" s="456"/>
      <c r="BG113" s="577"/>
      <c r="BH113" s="577"/>
    </row>
    <row r="114" spans="1:60" s="462" customFormat="1" ht="12" x14ac:dyDescent="0.3">
      <c r="A114" s="468">
        <v>12</v>
      </c>
      <c r="B114" s="464" t="str">
        <f t="shared" si="109"/>
        <v xml:space="preserve">Flood protection </v>
      </c>
      <c r="D114" s="2"/>
      <c r="E114" s="456"/>
      <c r="F114" s="456"/>
      <c r="G114" s="456"/>
      <c r="H114" s="459"/>
      <c r="I114" s="459"/>
      <c r="J114" s="7"/>
      <c r="K114" s="456"/>
      <c r="N114" s="456"/>
      <c r="O114" s="459"/>
      <c r="P114" s="459"/>
      <c r="Q114" s="459"/>
      <c r="R114" s="7"/>
      <c r="S114" s="456"/>
      <c r="W114" s="456"/>
      <c r="X114" s="459"/>
      <c r="Y114" s="459"/>
      <c r="Z114" s="459"/>
      <c r="AA114" s="7"/>
      <c r="AB114" s="456"/>
      <c r="AF114" s="456"/>
      <c r="AG114" s="459"/>
      <c r="AH114" s="459"/>
      <c r="AI114" s="459"/>
      <c r="AJ114" s="7"/>
      <c r="AK114" s="456"/>
      <c r="AO114" s="456"/>
      <c r="AP114" s="459"/>
      <c r="AQ114" s="459"/>
      <c r="AR114" s="459"/>
      <c r="AS114" s="7"/>
      <c r="AT114" s="456"/>
      <c r="AX114" s="456"/>
      <c r="AY114" s="459"/>
      <c r="AZ114" s="459"/>
      <c r="BA114" s="459"/>
      <c r="BB114" s="7"/>
      <c r="BC114" s="456"/>
      <c r="BG114" s="577"/>
      <c r="BH114" s="577"/>
    </row>
    <row r="115" spans="1:60" s="462" customFormat="1" ht="12" x14ac:dyDescent="0.3">
      <c r="A115" s="468"/>
      <c r="B115" s="469"/>
      <c r="D115" s="2"/>
      <c r="E115" s="456"/>
      <c r="F115" s="456"/>
      <c r="G115" s="456"/>
      <c r="H115" s="459"/>
      <c r="I115" s="459"/>
      <c r="J115" s="7"/>
      <c r="K115" s="456"/>
      <c r="N115" s="456"/>
      <c r="O115" s="459"/>
      <c r="P115" s="459"/>
      <c r="Q115" s="459"/>
      <c r="R115" s="7"/>
      <c r="S115" s="456"/>
      <c r="W115" s="456"/>
      <c r="X115" s="459"/>
      <c r="Y115" s="459"/>
      <c r="Z115" s="459"/>
      <c r="AA115" s="7"/>
      <c r="AB115" s="456"/>
      <c r="AF115" s="456"/>
      <c r="AG115" s="459"/>
      <c r="AH115" s="459"/>
      <c r="AI115" s="459"/>
      <c r="AJ115" s="7"/>
      <c r="AK115" s="456"/>
      <c r="AO115" s="456"/>
      <c r="AP115" s="459"/>
      <c r="AQ115" s="459"/>
      <c r="AR115" s="459"/>
      <c r="AS115" s="7"/>
      <c r="AT115" s="456"/>
      <c r="AX115" s="456"/>
      <c r="AY115" s="459"/>
      <c r="AZ115" s="459"/>
      <c r="BA115" s="459"/>
      <c r="BB115" s="7"/>
      <c r="BC115" s="456"/>
      <c r="BG115" s="577"/>
      <c r="BH115" s="577"/>
    </row>
    <row r="116" spans="1:60" s="462" customFormat="1" ht="12" x14ac:dyDescent="0.3">
      <c r="A116" s="468"/>
      <c r="B116" s="469"/>
      <c r="D116" s="2"/>
      <c r="E116" s="456"/>
      <c r="F116" s="456"/>
      <c r="G116" s="456"/>
      <c r="H116" s="459"/>
      <c r="I116" s="459"/>
      <c r="J116" s="7"/>
      <c r="K116" s="456"/>
      <c r="N116" s="456"/>
      <c r="O116" s="459"/>
      <c r="P116" s="459"/>
      <c r="Q116" s="459"/>
      <c r="R116" s="7"/>
      <c r="S116" s="456"/>
      <c r="W116" s="456"/>
      <c r="X116" s="459"/>
      <c r="Y116" s="459"/>
      <c r="Z116" s="459"/>
      <c r="AA116" s="7"/>
      <c r="AB116" s="456"/>
      <c r="AF116" s="456"/>
      <c r="AG116" s="459"/>
      <c r="AH116" s="459"/>
      <c r="AI116" s="459"/>
      <c r="AJ116" s="7"/>
      <c r="AK116" s="456"/>
      <c r="AO116" s="456"/>
      <c r="AP116" s="459"/>
      <c r="AQ116" s="459"/>
      <c r="AR116" s="459"/>
      <c r="AS116" s="7"/>
      <c r="AT116" s="456"/>
      <c r="AX116" s="456"/>
      <c r="AY116" s="459"/>
      <c r="AZ116" s="459"/>
      <c r="BA116" s="459"/>
      <c r="BB116" s="7"/>
      <c r="BC116" s="456"/>
      <c r="BG116" s="577"/>
      <c r="BH116" s="577"/>
    </row>
    <row r="117" spans="1:60" s="462" customFormat="1" ht="12" x14ac:dyDescent="0.3">
      <c r="A117" s="455" t="s">
        <v>583</v>
      </c>
      <c r="B117" s="455"/>
      <c r="C117" s="456"/>
      <c r="D117" s="2"/>
      <c r="E117" s="456"/>
      <c r="F117" s="456"/>
      <c r="G117" s="456"/>
      <c r="H117" s="459"/>
      <c r="I117" s="459"/>
      <c r="J117" s="7"/>
      <c r="K117" s="456"/>
      <c r="N117" s="456"/>
      <c r="O117" s="459"/>
      <c r="P117" s="459"/>
      <c r="Q117" s="459"/>
      <c r="R117" s="7"/>
      <c r="S117" s="456"/>
      <c r="W117" s="456"/>
      <c r="X117" s="459"/>
      <c r="Y117" s="459"/>
      <c r="Z117" s="459"/>
      <c r="AA117" s="7"/>
      <c r="AB117" s="456"/>
      <c r="AF117" s="456"/>
      <c r="AG117" s="459"/>
      <c r="AH117" s="459"/>
      <c r="AI117" s="459"/>
      <c r="AJ117" s="7"/>
      <c r="AK117" s="456"/>
      <c r="AO117" s="456"/>
      <c r="AP117" s="459"/>
      <c r="AQ117" s="459"/>
      <c r="AR117" s="459"/>
      <c r="AS117" s="7"/>
      <c r="AT117" s="456"/>
      <c r="AX117" s="456"/>
      <c r="AY117" s="459"/>
      <c r="AZ117" s="459"/>
      <c r="BA117" s="459"/>
      <c r="BB117" s="7"/>
      <c r="BC117" s="456"/>
      <c r="BG117" s="577"/>
      <c r="BH117" s="577"/>
    </row>
    <row r="118" spans="1:60" s="462" customFormat="1" ht="93" customHeight="1" x14ac:dyDescent="0.3">
      <c r="A118" s="9170" t="s">
        <v>4878</v>
      </c>
      <c r="B118" s="9171"/>
      <c r="C118" s="9171"/>
      <c r="D118" s="9171"/>
      <c r="E118" s="9171"/>
      <c r="F118" s="9171"/>
      <c r="G118" s="9171"/>
      <c r="H118" s="9171"/>
      <c r="I118" s="9171"/>
      <c r="J118" s="9171"/>
      <c r="K118" s="9171"/>
      <c r="L118" s="9171"/>
      <c r="M118" s="9172"/>
      <c r="N118" s="456"/>
      <c r="O118" s="459"/>
      <c r="P118" s="459"/>
      <c r="Q118" s="459"/>
      <c r="R118" s="7"/>
      <c r="S118" s="456"/>
      <c r="W118" s="456"/>
      <c r="X118" s="459"/>
      <c r="Y118" s="459"/>
      <c r="Z118" s="459"/>
      <c r="AA118" s="7"/>
      <c r="AB118" s="456"/>
      <c r="AF118" s="456"/>
      <c r="AG118" s="459"/>
      <c r="AH118" s="459"/>
      <c r="AI118" s="459"/>
      <c r="AJ118" s="7"/>
      <c r="AK118" s="456"/>
      <c r="AO118" s="456"/>
      <c r="AP118" s="459"/>
      <c r="AQ118" s="459"/>
      <c r="AR118" s="459"/>
      <c r="AS118" s="7"/>
      <c r="AT118" s="456"/>
      <c r="AX118" s="456"/>
      <c r="AY118" s="459"/>
      <c r="AZ118" s="459"/>
      <c r="BA118" s="459"/>
      <c r="BB118" s="7"/>
      <c r="BC118" s="456"/>
      <c r="BG118" s="577"/>
      <c r="BH118" s="577"/>
    </row>
    <row r="119" spans="1:60" x14ac:dyDescent="0.35">
      <c r="O119" s="459"/>
      <c r="P119" s="459"/>
      <c r="Q119" s="459"/>
      <c r="S119" s="456"/>
      <c r="T119" s="462"/>
      <c r="U119" s="462"/>
      <c r="V119" s="462"/>
      <c r="X119" s="459"/>
      <c r="Y119" s="459"/>
      <c r="Z119" s="459"/>
      <c r="AB119" s="456"/>
      <c r="AC119" s="462"/>
      <c r="AD119" s="462"/>
      <c r="AE119" s="462"/>
      <c r="AG119" s="459"/>
      <c r="AH119" s="459"/>
      <c r="AI119" s="459"/>
      <c r="AK119" s="456"/>
      <c r="AL119" s="462"/>
      <c r="AM119" s="462"/>
      <c r="AN119" s="462"/>
      <c r="AP119" s="459"/>
      <c r="AQ119" s="459"/>
      <c r="AR119" s="459"/>
      <c r="AT119" s="456"/>
      <c r="AU119" s="462"/>
      <c r="AV119" s="462"/>
      <c r="AW119" s="462"/>
      <c r="AY119" s="459"/>
      <c r="AZ119" s="459"/>
      <c r="BA119" s="459"/>
      <c r="BC119" s="456"/>
      <c r="BD119" s="462"/>
      <c r="BE119" s="462"/>
      <c r="BF119" s="462"/>
    </row>
  </sheetData>
  <mergeCells count="58">
    <mergeCell ref="A73:A82"/>
    <mergeCell ref="A84:A100"/>
    <mergeCell ref="A118:M118"/>
    <mergeCell ref="AG7:AH7"/>
    <mergeCell ref="AL7:AN7"/>
    <mergeCell ref="A10:A31"/>
    <mergeCell ref="AE24:AE27"/>
    <mergeCell ref="AN24:AN27"/>
    <mergeCell ref="A33:A71"/>
    <mergeCell ref="T7:V7"/>
    <mergeCell ref="X7:Y7"/>
    <mergeCell ref="AA7:AA8"/>
    <mergeCell ref="AC7:AE7"/>
    <mergeCell ref="AJ7:AJ8"/>
    <mergeCell ref="H7:I7"/>
    <mergeCell ref="J7:J8"/>
    <mergeCell ref="L7:M7"/>
    <mergeCell ref="O7:P7"/>
    <mergeCell ref="R7:R8"/>
    <mergeCell ref="BH4:BH5"/>
    <mergeCell ref="H5:J5"/>
    <mergeCell ref="L5:M5"/>
    <mergeCell ref="O5:R5"/>
    <mergeCell ref="T5:V5"/>
    <mergeCell ref="X5:AA5"/>
    <mergeCell ref="AC5:AE5"/>
    <mergeCell ref="AG5:AJ5"/>
    <mergeCell ref="AL5:AN5"/>
    <mergeCell ref="AP7:AQ7"/>
    <mergeCell ref="AS7:AS8"/>
    <mergeCell ref="AU7:AW7"/>
    <mergeCell ref="AY4:BB4"/>
    <mergeCell ref="F1:M1"/>
    <mergeCell ref="O1:V1"/>
    <mergeCell ref="X1:AE1"/>
    <mergeCell ref="AG1:AN1"/>
    <mergeCell ref="H4:J4"/>
    <mergeCell ref="L4:M4"/>
    <mergeCell ref="O4:R4"/>
    <mergeCell ref="T4:V4"/>
    <mergeCell ref="X4:AA4"/>
    <mergeCell ref="AC4:AE4"/>
    <mergeCell ref="AG4:AJ4"/>
    <mergeCell ref="AL4:AN4"/>
    <mergeCell ref="AW24:AW27"/>
    <mergeCell ref="AP1:AW1"/>
    <mergeCell ref="AP4:AS4"/>
    <mergeCell ref="AU4:AW4"/>
    <mergeCell ref="BG4:BG5"/>
    <mergeCell ref="AP5:AS5"/>
    <mergeCell ref="AU5:AW5"/>
    <mergeCell ref="AY1:BF1"/>
    <mergeCell ref="BD4:BF4"/>
    <mergeCell ref="AY5:BB5"/>
    <mergeCell ref="BD5:BF5"/>
    <mergeCell ref="AY7:AZ7"/>
    <mergeCell ref="BB7:BB8"/>
    <mergeCell ref="BD7:BF7"/>
  </mergeCells>
  <hyperlinks>
    <hyperlink ref="Q10" r:id="rId1" xr:uid="{00000000-0004-0000-2100-000000000000}"/>
    <hyperlink ref="U10" r:id="rId2" xr:uid="{00000000-0004-0000-2100-000001000000}"/>
    <hyperlink ref="Q33" r:id="rId3" xr:uid="{00000000-0004-0000-2100-000002000000}"/>
    <hyperlink ref="U33" r:id="rId4" xr:uid="{00000000-0004-0000-2100-000003000000}"/>
    <hyperlink ref="U43" r:id="rId5" xr:uid="{00000000-0004-0000-2100-000004000000}"/>
    <hyperlink ref="Z10" r:id="rId6" xr:uid="{00000000-0004-0000-2100-000005000000}"/>
    <hyperlink ref="AD10" r:id="rId7" xr:uid="{00000000-0004-0000-2100-000006000000}"/>
    <hyperlink ref="Z33" r:id="rId8" xr:uid="{00000000-0004-0000-2100-000007000000}"/>
    <hyperlink ref="AD33" r:id="rId9" xr:uid="{00000000-0004-0000-2100-000008000000}"/>
    <hyperlink ref="AD43" r:id="rId10" xr:uid="{00000000-0004-0000-2100-000009000000}"/>
    <hyperlink ref="AI10" r:id="rId11" xr:uid="{00000000-0004-0000-2100-00000A000000}"/>
    <hyperlink ref="AM10" r:id="rId12" xr:uid="{00000000-0004-0000-2100-00000B000000}"/>
    <hyperlink ref="AM33" r:id="rId13" xr:uid="{00000000-0004-0000-2100-00000C000000}"/>
    <hyperlink ref="AM43" r:id="rId14" xr:uid="{00000000-0004-0000-2100-00000D000000}"/>
    <hyperlink ref="AI33" r:id="rId15" xr:uid="{00000000-0004-0000-2100-00000E000000}"/>
    <hyperlink ref="AI43" r:id="rId16" xr:uid="{00000000-0004-0000-2100-00000F000000}"/>
    <hyperlink ref="AR10" r:id="rId17" xr:uid="{C4FBE81B-BC48-4183-B12D-84C272C84A4A}"/>
    <hyperlink ref="AV10" r:id="rId18" xr:uid="{7F8F61F4-EB2B-44E6-92AA-C09C75E2FA18}"/>
    <hyperlink ref="AV33" r:id="rId19" xr:uid="{7F5B5392-A755-4B9B-85A8-648FC23253C6}"/>
    <hyperlink ref="AV43" r:id="rId20" xr:uid="{9C0B183E-CA1E-496E-92D7-AD0DBE760F66}"/>
    <hyperlink ref="AR33" r:id="rId21" xr:uid="{93D67FD8-5D6C-4DB6-91EE-08E7FC0E127C}"/>
    <hyperlink ref="AR43" r:id="rId22" xr:uid="{FACD4477-C0C2-4290-B187-1F73660CA619}"/>
    <hyperlink ref="BA10" r:id="rId23" xr:uid="{06FFACC0-554B-4F97-847C-14B321C8B597}"/>
    <hyperlink ref="BE10" r:id="rId24" xr:uid="{FFDF8EC6-4405-4CFC-B329-4109F0E1B12E}"/>
    <hyperlink ref="BE33" r:id="rId25" xr:uid="{E5138874-FD90-4D33-976F-EFD5BBAD5915}"/>
    <hyperlink ref="BA33" r:id="rId26" xr:uid="{137BC2F2-A189-49BA-AF24-1456BF886CE4}"/>
  </hyperlinks>
  <pageMargins left="0.23622047244094491" right="0.23622047244094491" top="0.35433070866141736" bottom="0.35433070866141736" header="0.31496062992125984" footer="0.31496062992125984"/>
  <pageSetup paperSize="9" scale="43" orientation="portrait" horizontalDpi="4294967293" r:id="rId2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BS116"/>
  <sheetViews>
    <sheetView zoomScale="70" zoomScaleNormal="70" workbookViewId="0">
      <pane xSplit="4" topLeftCell="AR1" activePane="topRight" state="frozen"/>
      <selection activeCell="A7" sqref="A7"/>
      <selection pane="topRight" activeCell="BE20" sqref="BE20"/>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8" width="21.6328125" style="6" customWidth="1"/>
    <col min="19" max="19" width="8.6328125" style="7" customWidth="1"/>
    <col min="20" max="20" width="1.6328125" style="1" customWidth="1"/>
    <col min="21" max="21" width="21.6328125" customWidth="1"/>
    <col min="22" max="22" width="23" customWidth="1"/>
    <col min="23" max="23" width="21.6328125" customWidth="1"/>
    <col min="24" max="24" width="1.6328125" style="1" customWidth="1"/>
    <col min="25" max="28" width="21.6328125" style="6" customWidth="1"/>
    <col min="29" max="29" width="8.6328125" style="7" customWidth="1"/>
    <col min="30" max="30" width="1.6328125" style="1" customWidth="1"/>
    <col min="31" max="31" width="21.6328125" customWidth="1"/>
    <col min="32" max="32" width="23" customWidth="1"/>
    <col min="33" max="33" width="21.6328125" customWidth="1"/>
    <col min="34" max="34" width="1.6328125" style="1" customWidth="1"/>
    <col min="35" max="38" width="21.6328125" style="6" customWidth="1"/>
    <col min="39" max="39" width="8.6328125" style="7" customWidth="1"/>
    <col min="40" max="40" width="1.6328125" style="1" customWidth="1"/>
    <col min="41" max="41" width="21.6328125" customWidth="1"/>
    <col min="42" max="42" width="23" customWidth="1"/>
    <col min="43" max="43" width="21.6328125" customWidth="1"/>
    <col min="44" max="44" width="1.6328125" style="1" customWidth="1"/>
    <col min="45" max="48" width="21.6328125" style="6" customWidth="1"/>
    <col min="49" max="49" width="8.6328125" style="7" customWidth="1"/>
    <col min="50" max="50" width="1.6328125" style="1" customWidth="1"/>
    <col min="51" max="51" width="21.6328125" customWidth="1"/>
    <col min="52" max="52" width="23" customWidth="1"/>
    <col min="53" max="53" width="21.6328125" customWidth="1"/>
    <col min="54" max="54" width="1.6328125" style="1" customWidth="1"/>
    <col min="55" max="57" width="21.6328125" style="6" customWidth="1"/>
    <col min="58" max="58" width="8.6328125" style="7" customWidth="1"/>
    <col min="59" max="59" width="1.6328125" style="1" customWidth="1"/>
    <col min="60" max="60" width="21.6328125" customWidth="1"/>
    <col min="61" max="61" width="23" customWidth="1"/>
    <col min="62" max="62" width="21.6328125" customWidth="1"/>
    <col min="63" max="63" width="1.6328125" style="1" customWidth="1"/>
    <col min="64" max="65" width="55" customWidth="1"/>
    <col min="71" max="71" width="13" customWidth="1"/>
  </cols>
  <sheetData>
    <row r="1" spans="1:71" ht="31" x14ac:dyDescent="0.7">
      <c r="F1" s="9118" t="s">
        <v>394</v>
      </c>
      <c r="G1" s="9119"/>
      <c r="H1" s="9119"/>
      <c r="I1" s="9119"/>
      <c r="J1" s="9119"/>
      <c r="K1" s="9119"/>
      <c r="L1" s="9119"/>
      <c r="M1" s="9120"/>
      <c r="N1"/>
      <c r="O1" s="9437" t="s">
        <v>395</v>
      </c>
      <c r="P1" s="9438"/>
      <c r="Q1" s="9438"/>
      <c r="R1" s="9438"/>
      <c r="S1" s="9438"/>
      <c r="T1" s="9438"/>
      <c r="U1" s="9438"/>
      <c r="V1" s="9438"/>
      <c r="W1" s="9439"/>
      <c r="X1"/>
      <c r="Y1" s="9207" t="s">
        <v>396</v>
      </c>
      <c r="Z1" s="9208"/>
      <c r="AA1" s="9208"/>
      <c r="AB1" s="9208"/>
      <c r="AC1" s="9208"/>
      <c r="AD1" s="9208"/>
      <c r="AE1" s="9208"/>
      <c r="AF1" s="9208"/>
      <c r="AG1" s="9209"/>
      <c r="AH1"/>
      <c r="AI1" s="9477" t="s">
        <v>392</v>
      </c>
      <c r="AJ1" s="9478"/>
      <c r="AK1" s="9478"/>
      <c r="AL1" s="9478"/>
      <c r="AM1" s="9478"/>
      <c r="AN1" s="9478"/>
      <c r="AO1" s="9478"/>
      <c r="AP1" s="9478"/>
      <c r="AQ1" s="9479"/>
      <c r="AR1"/>
      <c r="AS1" s="9164" t="s">
        <v>393</v>
      </c>
      <c r="AT1" s="9165"/>
      <c r="AU1" s="9165"/>
      <c r="AV1" s="9165"/>
      <c r="AW1" s="9165"/>
      <c r="AX1" s="9165"/>
      <c r="AY1" s="9165"/>
      <c r="AZ1" s="9165"/>
      <c r="BA1" s="9166"/>
      <c r="BB1"/>
      <c r="BC1" s="9121" t="s">
        <v>1006</v>
      </c>
      <c r="BD1" s="9122"/>
      <c r="BE1" s="9122"/>
      <c r="BF1" s="9122"/>
      <c r="BG1" s="9122"/>
      <c r="BH1" s="9122"/>
      <c r="BI1" s="9122"/>
      <c r="BJ1" s="9123"/>
      <c r="BK1"/>
    </row>
    <row r="2" spans="1:71" ht="21" x14ac:dyDescent="0.5">
      <c r="B2" s="1" t="s">
        <v>9</v>
      </c>
      <c r="C2" s="4" t="s">
        <v>4879</v>
      </c>
      <c r="H2"/>
    </row>
    <row r="4" spans="1:71" s="8" customFormat="1" ht="15.25" customHeight="1" x14ac:dyDescent="0.35">
      <c r="D4" s="579"/>
      <c r="F4" s="8326" t="s">
        <v>400</v>
      </c>
      <c r="H4" s="9130" t="s">
        <v>401</v>
      </c>
      <c r="I4" s="9131"/>
      <c r="J4" s="9132"/>
      <c r="L4" s="9130" t="s">
        <v>402</v>
      </c>
      <c r="M4" s="9132"/>
      <c r="O4" s="9130" t="s">
        <v>403</v>
      </c>
      <c r="P4" s="9131"/>
      <c r="Q4" s="9131"/>
      <c r="R4" s="9131"/>
      <c r="S4" s="9132"/>
      <c r="U4" s="9130" t="s">
        <v>402</v>
      </c>
      <c r="V4" s="9131"/>
      <c r="W4" s="9132"/>
      <c r="Y4" s="9130" t="s">
        <v>403</v>
      </c>
      <c r="Z4" s="9131"/>
      <c r="AA4" s="9131"/>
      <c r="AB4" s="9131"/>
      <c r="AC4" s="9132"/>
      <c r="AE4" s="9130" t="s">
        <v>402</v>
      </c>
      <c r="AF4" s="9131"/>
      <c r="AG4" s="9132"/>
      <c r="AI4" s="9130" t="s">
        <v>403</v>
      </c>
      <c r="AJ4" s="9131"/>
      <c r="AK4" s="9131"/>
      <c r="AL4" s="9131"/>
      <c r="AM4" s="9132"/>
      <c r="AO4" s="9130" t="s">
        <v>402</v>
      </c>
      <c r="AP4" s="9131"/>
      <c r="AQ4" s="9132"/>
      <c r="AS4" s="9130" t="s">
        <v>403</v>
      </c>
      <c r="AT4" s="9131"/>
      <c r="AU4" s="9131"/>
      <c r="AV4" s="9131"/>
      <c r="AW4" s="9132"/>
      <c r="AY4" s="9130" t="s">
        <v>402</v>
      </c>
      <c r="AZ4" s="9131"/>
      <c r="BA4" s="9132"/>
      <c r="BC4" s="9130" t="s">
        <v>96</v>
      </c>
      <c r="BD4" s="9131"/>
      <c r="BE4" s="9131"/>
      <c r="BF4" s="9132"/>
      <c r="BH4" s="9130" t="s">
        <v>402</v>
      </c>
      <c r="BI4" s="9131"/>
      <c r="BJ4" s="9132"/>
      <c r="BL4" s="9180" t="s">
        <v>404</v>
      </c>
      <c r="BM4" s="9180" t="s">
        <v>404</v>
      </c>
    </row>
    <row r="5" spans="1:71" x14ac:dyDescent="0.35">
      <c r="B5" s="1" t="s">
        <v>406</v>
      </c>
      <c r="C5" s="11">
        <v>2012</v>
      </c>
      <c r="F5" s="8324" t="s">
        <v>4880</v>
      </c>
      <c r="G5" s="12"/>
      <c r="H5" s="9138" t="s">
        <v>2771</v>
      </c>
      <c r="I5" s="9139"/>
      <c r="J5" s="9140"/>
      <c r="K5" s="12"/>
      <c r="L5" s="9138" t="s">
        <v>738</v>
      </c>
      <c r="M5" s="9140"/>
      <c r="O5" s="9138" t="s">
        <v>737</v>
      </c>
      <c r="P5" s="9139"/>
      <c r="Q5" s="9139"/>
      <c r="R5" s="9139"/>
      <c r="S5" s="9140"/>
      <c r="T5" s="12"/>
      <c r="U5" s="9138" t="s">
        <v>739</v>
      </c>
      <c r="V5" s="9139"/>
      <c r="W5" s="9140"/>
      <c r="Y5" s="9138" t="s">
        <v>3242</v>
      </c>
      <c r="Z5" s="9139"/>
      <c r="AA5" s="9139"/>
      <c r="AB5" s="9139"/>
      <c r="AC5" s="9140"/>
      <c r="AD5" s="12"/>
      <c r="AE5" s="9138" t="s">
        <v>740</v>
      </c>
      <c r="AF5" s="9139"/>
      <c r="AG5" s="9140"/>
      <c r="AI5" s="9138" t="s">
        <v>740</v>
      </c>
      <c r="AJ5" s="9139"/>
      <c r="AK5" s="9139"/>
      <c r="AL5" s="9139"/>
      <c r="AM5" s="9140"/>
      <c r="AN5" s="12"/>
      <c r="AO5" s="9138" t="s">
        <v>741</v>
      </c>
      <c r="AP5" s="9139"/>
      <c r="AQ5" s="9140"/>
      <c r="AS5" s="9138" t="s">
        <v>741</v>
      </c>
      <c r="AT5" s="9139"/>
      <c r="AU5" s="9139"/>
      <c r="AV5" s="9139"/>
      <c r="AW5" s="9140"/>
      <c r="AX5" s="12"/>
      <c r="AY5" s="9138" t="s">
        <v>742</v>
      </c>
      <c r="AZ5" s="9139"/>
      <c r="BA5" s="9140"/>
      <c r="BC5" s="9138" t="s">
        <v>743</v>
      </c>
      <c r="BD5" s="9139"/>
      <c r="BE5" s="9139"/>
      <c r="BF5" s="9140"/>
      <c r="BG5" s="12"/>
      <c r="BH5" s="9138" t="s">
        <v>3078</v>
      </c>
      <c r="BI5" s="9139"/>
      <c r="BJ5" s="9140"/>
      <c r="BL5" s="9181"/>
      <c r="BM5" s="9181"/>
    </row>
    <row r="6" spans="1:71" x14ac:dyDescent="0.35">
      <c r="C6"/>
      <c r="F6" s="6"/>
      <c r="L6" s="14"/>
      <c r="U6" s="14"/>
      <c r="V6" s="14"/>
      <c r="AE6" s="14"/>
      <c r="AF6" s="14"/>
      <c r="AO6" s="14"/>
      <c r="AP6" s="14"/>
      <c r="AY6" s="14"/>
      <c r="AZ6" s="14"/>
      <c r="BH6" s="14"/>
      <c r="BI6" s="14"/>
      <c r="BL6" s="6"/>
      <c r="BM6" s="6"/>
    </row>
    <row r="7" spans="1:71" ht="12.75" customHeight="1" x14ac:dyDescent="0.35">
      <c r="B7" s="1" t="s">
        <v>101</v>
      </c>
      <c r="C7" s="15" t="s">
        <v>4881</v>
      </c>
      <c r="D7" s="2" t="s">
        <v>417</v>
      </c>
      <c r="F7" s="8322" t="s">
        <v>1914</v>
      </c>
      <c r="H7" s="9173" t="s">
        <v>1914</v>
      </c>
      <c r="I7" s="9173"/>
      <c r="J7" s="9147" t="s">
        <v>419</v>
      </c>
      <c r="L7" s="9149" t="s">
        <v>1914</v>
      </c>
      <c r="M7" s="9151"/>
      <c r="O7" s="9173" t="str">
        <f>L7</f>
        <v>million</v>
      </c>
      <c r="P7" s="9173"/>
      <c r="Q7" s="9173"/>
      <c r="R7" s="16"/>
      <c r="S7" s="9147" t="s">
        <v>419</v>
      </c>
      <c r="U7" s="9149" t="str">
        <f>O7</f>
        <v>million</v>
      </c>
      <c r="V7" s="9150"/>
      <c r="W7" s="9151"/>
      <c r="Y7" s="9173" t="s">
        <v>1914</v>
      </c>
      <c r="Z7" s="9173"/>
      <c r="AA7" s="9173"/>
      <c r="AB7" s="16"/>
      <c r="AC7" s="9147" t="s">
        <v>419</v>
      </c>
      <c r="AE7" s="9149" t="str">
        <f>Y7</f>
        <v>million</v>
      </c>
      <c r="AF7" s="9150"/>
      <c r="AG7" s="9151"/>
      <c r="AI7" s="9173" t="s">
        <v>1914</v>
      </c>
      <c r="AJ7" s="9173"/>
      <c r="AK7" s="9173"/>
      <c r="AL7" s="16"/>
      <c r="AM7" s="9147" t="s">
        <v>419</v>
      </c>
      <c r="AO7" s="9149" t="str">
        <f>AI7</f>
        <v>million</v>
      </c>
      <c r="AP7" s="9150"/>
      <c r="AQ7" s="9151"/>
      <c r="AS7" s="9173" t="s">
        <v>1914</v>
      </c>
      <c r="AT7" s="9173"/>
      <c r="AU7" s="9173"/>
      <c r="AV7" s="16"/>
      <c r="AW7" s="9147" t="s">
        <v>419</v>
      </c>
      <c r="AY7" s="9149" t="str">
        <f>AS7</f>
        <v>million</v>
      </c>
      <c r="AZ7" s="9150"/>
      <c r="BA7" s="9151"/>
      <c r="BC7" s="9173" t="s">
        <v>1914</v>
      </c>
      <c r="BD7" s="9173"/>
      <c r="BE7" s="9173"/>
      <c r="BF7" s="9147" t="s">
        <v>419</v>
      </c>
      <c r="BH7" s="9149" t="str">
        <f>BC7</f>
        <v>million</v>
      </c>
      <c r="BI7" s="9150"/>
      <c r="BJ7" s="9151"/>
      <c r="BL7" s="18"/>
      <c r="BM7" s="18"/>
    </row>
    <row r="8" spans="1:71" x14ac:dyDescent="0.35">
      <c r="B8" s="1" t="s">
        <v>420</v>
      </c>
      <c r="C8" s="19" t="s">
        <v>747</v>
      </c>
      <c r="F8" s="20" t="s">
        <v>96</v>
      </c>
      <c r="H8" s="20" t="s">
        <v>423</v>
      </c>
      <c r="I8" s="20" t="s">
        <v>96</v>
      </c>
      <c r="J8" s="9148"/>
      <c r="L8" s="21" t="s">
        <v>423</v>
      </c>
      <c r="M8" s="20" t="s">
        <v>96</v>
      </c>
      <c r="O8" s="20" t="s">
        <v>748</v>
      </c>
      <c r="P8" s="22" t="s">
        <v>425</v>
      </c>
      <c r="Q8" s="20" t="s">
        <v>96</v>
      </c>
      <c r="R8" s="22" t="s">
        <v>425</v>
      </c>
      <c r="S8" s="9148"/>
      <c r="U8" s="21" t="s">
        <v>4882</v>
      </c>
      <c r="V8" s="22" t="s">
        <v>425</v>
      </c>
      <c r="W8" s="20" t="s">
        <v>4883</v>
      </c>
      <c r="Y8" s="20" t="s">
        <v>748</v>
      </c>
      <c r="Z8" s="22" t="s">
        <v>425</v>
      </c>
      <c r="AA8" s="20" t="s">
        <v>96</v>
      </c>
      <c r="AB8" s="22" t="s">
        <v>425</v>
      </c>
      <c r="AC8" s="9148"/>
      <c r="AE8" s="21" t="s">
        <v>4882</v>
      </c>
      <c r="AF8" s="22" t="s">
        <v>425</v>
      </c>
      <c r="AG8" s="20" t="s">
        <v>4883</v>
      </c>
      <c r="AI8" s="20" t="s">
        <v>748</v>
      </c>
      <c r="AJ8" s="22" t="s">
        <v>425</v>
      </c>
      <c r="AK8" s="20" t="s">
        <v>96</v>
      </c>
      <c r="AL8" s="22" t="s">
        <v>425</v>
      </c>
      <c r="AM8" s="9148"/>
      <c r="AO8" s="21" t="s">
        <v>4882</v>
      </c>
      <c r="AP8" s="22" t="s">
        <v>425</v>
      </c>
      <c r="AQ8" s="20" t="s">
        <v>4883</v>
      </c>
      <c r="AS8" s="20" t="s">
        <v>748</v>
      </c>
      <c r="AT8" s="22" t="s">
        <v>425</v>
      </c>
      <c r="AU8" s="20" t="s">
        <v>96</v>
      </c>
      <c r="AV8" s="22" t="s">
        <v>425</v>
      </c>
      <c r="AW8" s="9148"/>
      <c r="AY8" s="21" t="s">
        <v>4882</v>
      </c>
      <c r="AZ8" s="22" t="s">
        <v>425</v>
      </c>
      <c r="BA8" s="20" t="s">
        <v>4883</v>
      </c>
      <c r="BC8" s="20" t="s">
        <v>748</v>
      </c>
      <c r="BD8" s="22" t="s">
        <v>425</v>
      </c>
      <c r="BE8" s="20" t="s">
        <v>96</v>
      </c>
      <c r="BF8" s="9148"/>
      <c r="BH8" s="21" t="s">
        <v>424</v>
      </c>
      <c r="BI8" s="22" t="s">
        <v>425</v>
      </c>
      <c r="BJ8" s="20" t="s">
        <v>4883</v>
      </c>
      <c r="BL8" s="24"/>
      <c r="BM8" s="24"/>
    </row>
    <row r="9" spans="1:71" x14ac:dyDescent="0.35">
      <c r="C9"/>
      <c r="E9"/>
      <c r="F9"/>
      <c r="G9"/>
      <c r="H9"/>
      <c r="I9"/>
      <c r="J9" s="25"/>
      <c r="K9"/>
      <c r="N9"/>
      <c r="O9"/>
      <c r="P9"/>
      <c r="Q9"/>
      <c r="R9"/>
      <c r="S9" s="25"/>
      <c r="T9"/>
      <c r="X9"/>
      <c r="Y9"/>
      <c r="Z9"/>
      <c r="AA9"/>
      <c r="AB9"/>
      <c r="AC9" s="25"/>
      <c r="AD9"/>
      <c r="AH9"/>
      <c r="AI9"/>
      <c r="AJ9"/>
      <c r="AK9"/>
      <c r="AL9"/>
      <c r="AM9" s="25"/>
      <c r="AN9"/>
      <c r="AR9"/>
      <c r="AS9"/>
      <c r="AT9"/>
      <c r="AU9"/>
      <c r="AV9"/>
      <c r="AW9" s="25"/>
      <c r="AX9"/>
      <c r="BB9"/>
      <c r="BC9"/>
      <c r="BD9"/>
      <c r="BE9"/>
      <c r="BF9" s="25"/>
      <c r="BG9"/>
      <c r="BK9"/>
    </row>
    <row r="10" spans="1:71" ht="33.25" customHeight="1" x14ac:dyDescent="0.35">
      <c r="A10" s="9167" t="s">
        <v>426</v>
      </c>
      <c r="B10" s="27"/>
      <c r="C10" s="28" t="s">
        <v>427</v>
      </c>
      <c r="D10" s="580" t="s">
        <v>428</v>
      </c>
      <c r="E10" s="30"/>
      <c r="F10" s="31" t="s">
        <v>4884</v>
      </c>
      <c r="G10"/>
      <c r="H10" s="31" t="s">
        <v>4884</v>
      </c>
      <c r="I10" s="31" t="s">
        <v>4885</v>
      </c>
      <c r="J10" s="32"/>
      <c r="K10" s="33"/>
      <c r="L10" s="31" t="s">
        <v>4885</v>
      </c>
      <c r="M10" s="34" t="s">
        <v>593</v>
      </c>
      <c r="N10" s="33"/>
      <c r="O10" s="31" t="s">
        <v>4885</v>
      </c>
      <c r="P10" s="34" t="s">
        <v>4886</v>
      </c>
      <c r="Q10" s="31" t="s">
        <v>4887</v>
      </c>
      <c r="R10" s="581" t="s">
        <v>4888</v>
      </c>
      <c r="S10" s="32"/>
      <c r="T10" s="33"/>
      <c r="U10" s="31" t="s">
        <v>4887</v>
      </c>
      <c r="V10" s="581" t="s">
        <v>4888</v>
      </c>
      <c r="W10" s="34" t="s">
        <v>593</v>
      </c>
      <c r="X10" s="33"/>
      <c r="Y10" s="31" t="s">
        <v>4889</v>
      </c>
      <c r="Z10" s="35" t="s">
        <v>4890</v>
      </c>
      <c r="AA10" s="31" t="s">
        <v>4891</v>
      </c>
      <c r="AB10" s="581"/>
      <c r="AC10" s="32"/>
      <c r="AD10" s="33"/>
      <c r="AE10" s="31" t="s">
        <v>4891</v>
      </c>
      <c r="AF10" s="581" t="s">
        <v>4890</v>
      </c>
      <c r="AG10" s="34" t="s">
        <v>593</v>
      </c>
      <c r="AH10" s="33"/>
      <c r="AI10" s="31" t="s">
        <v>4891</v>
      </c>
      <c r="AJ10" s="581" t="s">
        <v>4890</v>
      </c>
      <c r="AK10" s="31" t="s">
        <v>4892</v>
      </c>
      <c r="AL10" s="581"/>
      <c r="AM10" s="32"/>
      <c r="AN10" s="33"/>
      <c r="AO10" s="31" t="s">
        <v>4892</v>
      </c>
      <c r="AP10" s="581" t="s">
        <v>4890</v>
      </c>
      <c r="AQ10" s="34" t="s">
        <v>593</v>
      </c>
      <c r="AR10" s="33"/>
      <c r="AS10" s="31" t="s">
        <v>4892</v>
      </c>
      <c r="AT10" s="473" t="s">
        <v>4893</v>
      </c>
      <c r="AU10" s="31" t="s">
        <v>4894</v>
      </c>
      <c r="AV10" s="473"/>
      <c r="AW10" s="32"/>
      <c r="AX10" s="33"/>
      <c r="AY10" s="31" t="s">
        <v>4894</v>
      </c>
      <c r="AZ10" s="473" t="s">
        <v>4893</v>
      </c>
      <c r="BA10" s="36" t="s">
        <v>4895</v>
      </c>
      <c r="BB10" s="33"/>
      <c r="BC10" s="31" t="s">
        <v>4894</v>
      </c>
      <c r="BD10" s="581" t="s">
        <v>4893</v>
      </c>
      <c r="BE10" s="36" t="s">
        <v>4895</v>
      </c>
      <c r="BF10" s="32"/>
      <c r="BG10" s="33"/>
      <c r="BH10" s="31" t="s">
        <v>4894</v>
      </c>
      <c r="BI10" s="581" t="s">
        <v>4893</v>
      </c>
      <c r="BJ10" s="34" t="s">
        <v>4896</v>
      </c>
      <c r="BK10" s="33"/>
      <c r="BL10" s="39"/>
      <c r="BM10" s="39"/>
    </row>
    <row r="11" spans="1:71" ht="12.75" customHeight="1" x14ac:dyDescent="0.35">
      <c r="A11" s="9168"/>
      <c r="B11" s="40" t="s">
        <v>451</v>
      </c>
      <c r="C11" s="41"/>
      <c r="D11" s="585"/>
      <c r="E11" s="43"/>
      <c r="F11" s="1088" t="s">
        <v>4897</v>
      </c>
      <c r="G11"/>
      <c r="H11" s="1089" t="s">
        <v>4897</v>
      </c>
      <c r="I11" s="1090" t="s">
        <v>4897</v>
      </c>
      <c r="J11" s="47"/>
      <c r="K11" s="48"/>
      <c r="L11" s="1089" t="s">
        <v>4897</v>
      </c>
      <c r="M11" s="49"/>
      <c r="N11" s="50"/>
      <c r="O11" s="45"/>
      <c r="P11" s="57" t="s">
        <v>4898</v>
      </c>
      <c r="Q11" s="46"/>
      <c r="R11" s="592" t="s">
        <v>4899</v>
      </c>
      <c r="S11" s="47"/>
      <c r="T11" s="48"/>
      <c r="U11" s="45"/>
      <c r="V11" s="592" t="s">
        <v>4899</v>
      </c>
      <c r="W11" s="49"/>
      <c r="X11" s="50"/>
      <c r="Y11" s="45"/>
      <c r="Z11" s="57" t="s">
        <v>4900</v>
      </c>
      <c r="AA11" s="46"/>
      <c r="AB11" s="592" t="s">
        <v>4899</v>
      </c>
      <c r="AC11" s="47"/>
      <c r="AD11" s="48"/>
      <c r="AE11" s="45"/>
      <c r="AF11" s="592" t="s">
        <v>4899</v>
      </c>
      <c r="AG11" s="49"/>
      <c r="AH11" s="50"/>
      <c r="AI11" s="45" t="s">
        <v>4826</v>
      </c>
      <c r="AJ11" s="592" t="s">
        <v>4899</v>
      </c>
      <c r="AK11" s="46"/>
      <c r="AL11" s="592" t="s">
        <v>4901</v>
      </c>
      <c r="AM11" s="47"/>
      <c r="AN11" s="48"/>
      <c r="AO11" s="45" t="s">
        <v>4826</v>
      </c>
      <c r="AP11" s="592" t="s">
        <v>4901</v>
      </c>
      <c r="AQ11" s="49"/>
      <c r="AR11" s="50"/>
      <c r="AS11" s="154" t="s">
        <v>4826</v>
      </c>
      <c r="AT11" s="592" t="s">
        <v>4901</v>
      </c>
      <c r="AU11" s="54"/>
      <c r="AV11" s="592" t="s">
        <v>4902</v>
      </c>
      <c r="AW11" s="47"/>
      <c r="AX11" s="48"/>
      <c r="AY11" s="154" t="s">
        <v>4826</v>
      </c>
      <c r="AZ11" s="592" t="s">
        <v>4902</v>
      </c>
      <c r="BA11" s="49"/>
      <c r="BB11" s="50"/>
      <c r="BC11" s="154" t="s">
        <v>4826</v>
      </c>
      <c r="BD11" s="592" t="s">
        <v>4902</v>
      </c>
      <c r="BE11" s="49"/>
      <c r="BF11" s="47"/>
      <c r="BG11" s="48"/>
      <c r="BH11" s="154" t="s">
        <v>4903</v>
      </c>
      <c r="BI11" s="592" t="s">
        <v>4902</v>
      </c>
      <c r="BJ11" s="49"/>
      <c r="BK11" s="50"/>
      <c r="BL11" s="18"/>
      <c r="BM11" s="18"/>
    </row>
    <row r="12" spans="1:71" x14ac:dyDescent="0.35">
      <c r="A12" s="9168"/>
      <c r="B12" s="58"/>
      <c r="C12" s="59" t="s">
        <v>456</v>
      </c>
      <c r="D12" s="197"/>
      <c r="F12" s="1091">
        <f>F15-F13-F14</f>
        <v>506850.821</v>
      </c>
      <c r="G12"/>
      <c r="H12" s="1092">
        <f>H15-H13-H14</f>
        <v>588450.1590000001</v>
      </c>
      <c r="I12" s="1093">
        <f>I15-I13-I14</f>
        <v>529692.78299999994</v>
      </c>
      <c r="J12" s="64">
        <f>IF(H12=0,0,I12/H12)</f>
        <v>0.90014893342904145</v>
      </c>
      <c r="K12" s="65"/>
      <c r="L12" s="1094">
        <f>L15-L13-L14</f>
        <v>609769.58299999998</v>
      </c>
      <c r="M12" s="66">
        <f>L12*J12</f>
        <v>548883.4397749214</v>
      </c>
      <c r="N12" s="67"/>
      <c r="O12" s="71">
        <f>O15-O13-O14</f>
        <v>609769.58299999998</v>
      </c>
      <c r="P12" s="70" t="s">
        <v>4904</v>
      </c>
      <c r="Q12" s="74">
        <f>Q15-Q13-Q14</f>
        <v>579502.88100000005</v>
      </c>
      <c r="R12" s="70" t="s">
        <v>4904</v>
      </c>
      <c r="S12" s="64">
        <f>Q12/O12</f>
        <v>0.9503637064822239</v>
      </c>
      <c r="T12" s="65"/>
      <c r="U12" s="62">
        <f>U15-U13-U14</f>
        <v>697142.0199999999</v>
      </c>
      <c r="V12" s="70" t="s">
        <v>4904</v>
      </c>
      <c r="W12" s="66">
        <f>U12*S12</f>
        <v>662538.47407170455</v>
      </c>
      <c r="X12" s="67"/>
      <c r="Y12" s="71">
        <f>Y15-Y13</f>
        <v>697142.0199999999</v>
      </c>
      <c r="Z12" s="70" t="s">
        <v>4904</v>
      </c>
      <c r="AA12" s="74">
        <f>AA15-AA13</f>
        <v>843428.32400000002</v>
      </c>
      <c r="AB12" s="70" t="s">
        <v>4904</v>
      </c>
      <c r="AC12" s="64">
        <f>AA12/Y12</f>
        <v>1.2098371634520038</v>
      </c>
      <c r="AD12" s="65"/>
      <c r="AE12" s="62">
        <f>AE15-AE13</f>
        <v>832860.26</v>
      </c>
      <c r="AF12" s="70" t="s">
        <v>4904</v>
      </c>
      <c r="AG12" s="1095">
        <f>AE12</f>
        <v>832860.26</v>
      </c>
      <c r="AH12" s="67"/>
      <c r="AI12" s="62">
        <f>AI15-AI13</f>
        <v>832860.26</v>
      </c>
      <c r="AJ12" s="70" t="s">
        <v>4904</v>
      </c>
      <c r="AK12" s="74">
        <f>AK15-AK13</f>
        <v>682439</v>
      </c>
      <c r="AL12" s="70" t="s">
        <v>4904</v>
      </c>
      <c r="AM12" s="64">
        <f>AK12/AI12</f>
        <v>0.8193919589824108</v>
      </c>
      <c r="AN12" s="65"/>
      <c r="AO12" s="62">
        <f>AO15-AO13</f>
        <v>795724</v>
      </c>
      <c r="AP12" s="70" t="s">
        <v>4904</v>
      </c>
      <c r="AQ12" s="1095">
        <f>AO12</f>
        <v>795724</v>
      </c>
      <c r="AR12" s="67"/>
      <c r="AS12" s="62">
        <f>AS15-AS13</f>
        <v>815724</v>
      </c>
      <c r="AT12" s="70" t="s">
        <v>4904</v>
      </c>
      <c r="AU12" s="74">
        <f>AU15-AU13</f>
        <v>766126</v>
      </c>
      <c r="AV12" s="70" t="s">
        <v>4904</v>
      </c>
      <c r="AW12" s="476">
        <f>AU12/AS12</f>
        <v>0.93919757172769225</v>
      </c>
      <c r="AX12" s="65"/>
      <c r="AY12" s="62">
        <f>AY15-AY13</f>
        <v>872290</v>
      </c>
      <c r="AZ12" s="70" t="s">
        <v>4904</v>
      </c>
      <c r="BA12" s="7349">
        <f>BA15-BA13</f>
        <v>810400</v>
      </c>
      <c r="BB12" s="67"/>
      <c r="BC12" s="62">
        <f>BC15-BC13</f>
        <v>872290</v>
      </c>
      <c r="BD12" s="70" t="s">
        <v>4904</v>
      </c>
      <c r="BE12" s="7349">
        <f>BE15-BE13</f>
        <v>810400</v>
      </c>
      <c r="BF12" s="64">
        <f>BE12/BC12</f>
        <v>0.92904882550527923</v>
      </c>
      <c r="BG12" s="65"/>
      <c r="BH12" s="62">
        <f>BH15-BH13</f>
        <v>1124084</v>
      </c>
      <c r="BI12" s="70" t="s">
        <v>4904</v>
      </c>
      <c r="BJ12" s="66">
        <f>BH12*BF12</f>
        <v>1044328.9199692763</v>
      </c>
      <c r="BK12" s="67"/>
      <c r="BL12" s="26"/>
      <c r="BM12" s="26"/>
    </row>
    <row r="13" spans="1:71" x14ac:dyDescent="0.35">
      <c r="A13" s="9168"/>
      <c r="B13" s="58"/>
      <c r="C13" s="587" t="s">
        <v>462</v>
      </c>
      <c r="D13" s="197"/>
      <c r="F13" s="1091">
        <v>1940.9259999999999</v>
      </c>
      <c r="G13"/>
      <c r="H13" s="1092">
        <v>23513.368999999999</v>
      </c>
      <c r="I13" s="1093">
        <v>8700.9539999999997</v>
      </c>
      <c r="J13" s="73">
        <f t="shared" ref="J13:J15" si="0">IF(H13=0,0,I13/H13)</f>
        <v>0.37004284668862214</v>
      </c>
      <c r="K13" s="65"/>
      <c r="L13" s="1094">
        <v>9588.1</v>
      </c>
      <c r="M13" s="66">
        <f t="shared" ref="M13:M15" si="1">L13*J13</f>
        <v>3548.0078183351779</v>
      </c>
      <c r="N13" s="67"/>
      <c r="O13" s="71">
        <v>9588.1</v>
      </c>
      <c r="P13" s="57" t="s">
        <v>4905</v>
      </c>
      <c r="Q13" s="74">
        <v>0</v>
      </c>
      <c r="R13" s="57" t="s">
        <v>4905</v>
      </c>
      <c r="S13" s="64">
        <f t="shared" ref="S13:S15" si="2">Q13/O13</f>
        <v>0</v>
      </c>
      <c r="T13" s="65"/>
      <c r="U13" s="62">
        <v>15603.3</v>
      </c>
      <c r="V13" s="57" t="s">
        <v>4905</v>
      </c>
      <c r="W13" s="66">
        <f>U13</f>
        <v>15603.3</v>
      </c>
      <c r="X13" s="67"/>
      <c r="Y13" s="71">
        <v>15603.3</v>
      </c>
      <c r="Z13" s="57" t="s">
        <v>4905</v>
      </c>
      <c r="AA13" s="74">
        <v>6428.2520000000004</v>
      </c>
      <c r="AB13" s="57" t="s">
        <v>4905</v>
      </c>
      <c r="AC13" s="64">
        <f t="shared" ref="AC13" si="3">AA13/Y13</f>
        <v>0.41198028622150445</v>
      </c>
      <c r="AD13" s="65"/>
      <c r="AE13" s="62">
        <v>23041.64</v>
      </c>
      <c r="AF13" s="57" t="s">
        <v>4905</v>
      </c>
      <c r="AG13" s="66">
        <f>AE13*AC13</f>
        <v>9492.701442212865</v>
      </c>
      <c r="AH13" s="67"/>
      <c r="AI13" s="62">
        <v>23041.64</v>
      </c>
      <c r="AJ13" s="57" t="s">
        <v>4905</v>
      </c>
      <c r="AK13" s="74">
        <v>10737</v>
      </c>
      <c r="AL13" s="57" t="s">
        <v>4905</v>
      </c>
      <c r="AM13" s="64">
        <f t="shared" ref="AM13" si="4">AK13/AI13</f>
        <v>0.46598245610989497</v>
      </c>
      <c r="AN13" s="65"/>
      <c r="AO13" s="62">
        <v>20385</v>
      </c>
      <c r="AP13" s="57" t="s">
        <v>4905</v>
      </c>
      <c r="AQ13" s="66">
        <f>AO13*AM13</f>
        <v>9499.0523678002082</v>
      </c>
      <c r="AR13" s="67"/>
      <c r="AS13" s="62">
        <v>20385</v>
      </c>
      <c r="AT13" s="57" t="s">
        <v>4906</v>
      </c>
      <c r="AU13" s="74">
        <v>17125</v>
      </c>
      <c r="AV13" s="57" t="s">
        <v>4906</v>
      </c>
      <c r="AW13" s="476">
        <f t="shared" ref="AW13" si="5">AU13/AS13</f>
        <v>0.84007848908511162</v>
      </c>
      <c r="AX13" s="65"/>
      <c r="AY13" s="62">
        <v>14217</v>
      </c>
      <c r="AZ13" s="57" t="s">
        <v>4906</v>
      </c>
      <c r="BA13" s="998">
        <v>2600</v>
      </c>
      <c r="BB13" s="67"/>
      <c r="BC13" s="62">
        <v>14217</v>
      </c>
      <c r="BD13" s="57" t="s">
        <v>4906</v>
      </c>
      <c r="BE13" s="998">
        <v>2600</v>
      </c>
      <c r="BF13" s="64">
        <f>BE13/BC13</f>
        <v>0.18287965112189633</v>
      </c>
      <c r="BG13" s="65"/>
      <c r="BH13" s="62">
        <v>4890</v>
      </c>
      <c r="BI13" s="57" t="s">
        <v>4906</v>
      </c>
      <c r="BJ13" s="66">
        <f>BH13*BF13</f>
        <v>894.28149398607309</v>
      </c>
      <c r="BK13" s="67"/>
      <c r="BL13" s="26"/>
      <c r="BM13" s="26"/>
    </row>
    <row r="14" spans="1:71" x14ac:dyDescent="0.35">
      <c r="A14" s="9168"/>
      <c r="B14" s="75"/>
      <c r="C14" s="1096" t="s">
        <v>3267</v>
      </c>
      <c r="D14" s="197"/>
      <c r="F14" s="1097"/>
      <c r="G14"/>
      <c r="H14" s="1098"/>
      <c r="I14" s="1099"/>
      <c r="J14" s="73"/>
      <c r="K14" s="80"/>
      <c r="L14" s="1100"/>
      <c r="M14" s="66"/>
      <c r="N14" s="67"/>
      <c r="O14" s="760"/>
      <c r="P14" s="106"/>
      <c r="Q14" s="84"/>
      <c r="R14" s="106"/>
      <c r="S14" s="64"/>
      <c r="T14" s="65"/>
      <c r="U14" s="78"/>
      <c r="V14" s="106"/>
      <c r="W14" s="66"/>
      <c r="X14" s="67"/>
      <c r="Y14" s="760"/>
      <c r="Z14" s="106"/>
      <c r="AA14" s="84"/>
      <c r="AB14" s="106"/>
      <c r="AC14" s="64"/>
      <c r="AD14" s="65"/>
      <c r="AE14" s="78"/>
      <c r="AF14" s="106"/>
      <c r="AG14" s="66"/>
      <c r="AH14" s="67"/>
      <c r="AI14" s="78"/>
      <c r="AJ14" s="106"/>
      <c r="AK14" s="84"/>
      <c r="AL14" s="106"/>
      <c r="AM14" s="64"/>
      <c r="AN14" s="65"/>
      <c r="AO14" s="78"/>
      <c r="AP14" s="106"/>
      <c r="AQ14" s="66"/>
      <c r="AR14" s="67"/>
      <c r="AS14" s="78"/>
      <c r="AT14" s="106"/>
      <c r="AU14" s="84"/>
      <c r="AV14" s="106"/>
      <c r="AW14" s="476"/>
      <c r="AX14" s="65"/>
      <c r="AY14" s="78"/>
      <c r="AZ14" s="106"/>
      <c r="BA14" s="998"/>
      <c r="BB14" s="67"/>
      <c r="BC14" s="78"/>
      <c r="BD14" s="106"/>
      <c r="BE14" s="998"/>
      <c r="BF14" s="64"/>
      <c r="BG14" s="65"/>
      <c r="BH14" s="78"/>
      <c r="BI14" s="106"/>
      <c r="BJ14" s="66"/>
      <c r="BK14" s="67"/>
      <c r="BL14" s="26"/>
      <c r="BM14" s="26"/>
    </row>
    <row r="15" spans="1:71" x14ac:dyDescent="0.35">
      <c r="A15" s="9168"/>
      <c r="B15" s="85"/>
      <c r="C15" s="86" t="s">
        <v>466</v>
      </c>
      <c r="D15" s="209"/>
      <c r="F15" s="1101">
        <v>508791.74699999997</v>
      </c>
      <c r="G15"/>
      <c r="H15" s="1102">
        <v>611963.52800000005</v>
      </c>
      <c r="I15" s="1103">
        <v>538393.73699999996</v>
      </c>
      <c r="J15" s="91">
        <f t="shared" si="0"/>
        <v>0.87978075876443396</v>
      </c>
      <c r="K15" s="80"/>
      <c r="L15" s="1104">
        <v>619357.68299999996</v>
      </c>
      <c r="M15" s="92">
        <f t="shared" si="1"/>
        <v>544898.97229632176</v>
      </c>
      <c r="N15" s="67"/>
      <c r="O15" s="768">
        <v>619357.68299999996</v>
      </c>
      <c r="P15" s="98" t="s">
        <v>4907</v>
      </c>
      <c r="Q15" s="99">
        <v>579502.88100000005</v>
      </c>
      <c r="R15" s="98" t="s">
        <v>4907</v>
      </c>
      <c r="S15" s="64">
        <f t="shared" si="2"/>
        <v>0.93565139644840745</v>
      </c>
      <c r="T15" s="80"/>
      <c r="U15" s="89">
        <v>712745.32</v>
      </c>
      <c r="V15" s="98" t="s">
        <v>4907</v>
      </c>
      <c r="W15" s="92">
        <f>SUM(W12:W14)</f>
        <v>678141.7740717046</v>
      </c>
      <c r="X15" s="67"/>
      <c r="Y15" s="768">
        <v>712745.32</v>
      </c>
      <c r="Z15" s="98" t="s">
        <v>4907</v>
      </c>
      <c r="AA15" s="99">
        <v>849856.576</v>
      </c>
      <c r="AB15" s="98" t="s">
        <v>4907</v>
      </c>
      <c r="AC15" s="64">
        <f t="shared" ref="AC15" si="6">AA15/Y15</f>
        <v>1.1923706156358909</v>
      </c>
      <c r="AD15" s="80"/>
      <c r="AE15" s="89">
        <v>855901.9</v>
      </c>
      <c r="AF15" s="98" t="s">
        <v>4907</v>
      </c>
      <c r="AG15" s="92">
        <f>SUM(AG12:AG14)</f>
        <v>842352.96144221292</v>
      </c>
      <c r="AH15" s="67"/>
      <c r="AI15" s="89">
        <v>855901.9</v>
      </c>
      <c r="AJ15" s="98" t="s">
        <v>4907</v>
      </c>
      <c r="AK15" s="99">
        <v>693176</v>
      </c>
      <c r="AL15" s="98" t="s">
        <v>4907</v>
      </c>
      <c r="AM15" s="64">
        <f t="shared" ref="AM15" si="7">AK15/AI15</f>
        <v>0.80987786100252845</v>
      </c>
      <c r="AN15" s="80"/>
      <c r="AO15" s="89">
        <v>816109</v>
      </c>
      <c r="AP15" s="98" t="s">
        <v>4907</v>
      </c>
      <c r="AQ15" s="92">
        <f>SUM(AQ12:AQ14)</f>
        <v>805223.05236780026</v>
      </c>
      <c r="AR15" s="67"/>
      <c r="AS15" s="1776">
        <v>836109</v>
      </c>
      <c r="AT15" s="98" t="s">
        <v>4908</v>
      </c>
      <c r="AU15" s="1775">
        <v>783251</v>
      </c>
      <c r="AV15" s="98" t="s">
        <v>4908</v>
      </c>
      <c r="AW15" s="476">
        <f t="shared" ref="AW15" si="8">AU15/AS15</f>
        <v>0.93678096994530613</v>
      </c>
      <c r="AX15" s="80"/>
      <c r="AY15" s="1776">
        <v>886507</v>
      </c>
      <c r="AZ15" s="98" t="s">
        <v>4908</v>
      </c>
      <c r="BA15" s="4877">
        <v>813000</v>
      </c>
      <c r="BB15" s="67"/>
      <c r="BC15" s="1776">
        <v>886507</v>
      </c>
      <c r="BD15" s="98" t="s">
        <v>4908</v>
      </c>
      <c r="BE15" s="4877">
        <v>813000</v>
      </c>
      <c r="BF15" s="64">
        <f>BE15/BC15</f>
        <v>0.917082437025314</v>
      </c>
      <c r="BG15" s="80"/>
      <c r="BH15" s="1776">
        <v>1128974</v>
      </c>
      <c r="BI15" s="98" t="s">
        <v>4908</v>
      </c>
      <c r="BJ15" s="1785">
        <v>813000</v>
      </c>
      <c r="BK15" s="67"/>
      <c r="BL15" s="24"/>
      <c r="BM15" s="24"/>
    </row>
    <row r="16" spans="1:71" x14ac:dyDescent="0.35">
      <c r="A16" s="9168"/>
      <c r="B16" s="100" t="s">
        <v>468</v>
      </c>
      <c r="C16" s="49"/>
      <c r="D16" s="585"/>
      <c r="E16" s="43"/>
      <c r="F16" s="1105" t="s">
        <v>4897</v>
      </c>
      <c r="G16" s="1106"/>
      <c r="H16" s="1107" t="s">
        <v>4897</v>
      </c>
      <c r="I16" s="1108" t="s">
        <v>4897</v>
      </c>
      <c r="J16" s="104"/>
      <c r="K16" s="43"/>
      <c r="L16" s="1107" t="s">
        <v>4897</v>
      </c>
      <c r="M16" s="105"/>
      <c r="N16" s="43"/>
      <c r="O16" s="102"/>
      <c r="P16" s="1109" t="s">
        <v>4909</v>
      </c>
      <c r="Q16" s="106"/>
      <c r="R16" s="1110" t="s">
        <v>4910</v>
      </c>
      <c r="S16" s="104"/>
      <c r="T16" s="43"/>
      <c r="U16" s="1111"/>
      <c r="V16" s="1110" t="s">
        <v>4911</v>
      </c>
      <c r="W16" s="105"/>
      <c r="X16" s="43"/>
      <c r="Y16" s="102"/>
      <c r="Z16" s="1109" t="s">
        <v>4910</v>
      </c>
      <c r="AA16" s="106"/>
      <c r="AB16" s="1110" t="s">
        <v>4912</v>
      </c>
      <c r="AC16" s="104"/>
      <c r="AD16" s="43"/>
      <c r="AE16" s="1111"/>
      <c r="AF16" s="1110" t="s">
        <v>4911</v>
      </c>
      <c r="AG16" s="105"/>
      <c r="AH16" s="43"/>
      <c r="AI16" s="1111"/>
      <c r="AJ16" s="1110" t="s">
        <v>4911</v>
      </c>
      <c r="AK16" s="106"/>
      <c r="AL16" s="1110" t="s">
        <v>4901</v>
      </c>
      <c r="AM16" s="104"/>
      <c r="AN16" s="43"/>
      <c r="AO16" s="1111"/>
      <c r="AP16" s="1110" t="s">
        <v>4901</v>
      </c>
      <c r="AQ16" s="105"/>
      <c r="AR16" s="43"/>
      <c r="AS16" s="1111"/>
      <c r="AT16" s="1110" t="s">
        <v>4901</v>
      </c>
      <c r="AU16" s="106"/>
      <c r="AV16" s="1110" t="s">
        <v>4902</v>
      </c>
      <c r="AW16" s="104"/>
      <c r="AX16" s="43"/>
      <c r="AY16" s="1111"/>
      <c r="AZ16" s="1110" t="s">
        <v>4901</v>
      </c>
      <c r="BA16" s="105"/>
      <c r="BB16" s="43"/>
      <c r="BC16" s="1111"/>
      <c r="BD16" s="1110" t="s">
        <v>4901</v>
      </c>
      <c r="BE16" s="105"/>
      <c r="BF16" s="104"/>
      <c r="BG16" s="43"/>
      <c r="BH16" s="1111"/>
      <c r="BI16" s="1110" t="s">
        <v>4901</v>
      </c>
      <c r="BJ16" s="105"/>
      <c r="BK16" s="43"/>
      <c r="BL16" s="18"/>
      <c r="BM16" s="18"/>
      <c r="BO16" t="s">
        <v>4913</v>
      </c>
      <c r="BS16" s="1112">
        <v>337742.32699999999</v>
      </c>
    </row>
    <row r="17" spans="1:71" x14ac:dyDescent="0.35">
      <c r="A17" s="9168"/>
      <c r="B17" s="6082"/>
      <c r="C17" s="110" t="s">
        <v>470</v>
      </c>
      <c r="D17" s="197">
        <v>1</v>
      </c>
      <c r="F17" s="1113">
        <f>329676.783+69579.741-F20</f>
        <v>388247.61099999998</v>
      </c>
      <c r="G17" s="1114"/>
      <c r="H17" s="1115">
        <f>398140.464+87577.487-H20</f>
        <v>472569.53</v>
      </c>
      <c r="I17" s="1116">
        <f>363647.335+47329.521-I20</f>
        <v>397748.527</v>
      </c>
      <c r="J17" s="64">
        <f t="shared" ref="J17:J22" si="9">IF(H17=0,0,I17/H17)</f>
        <v>0.84167196941368605</v>
      </c>
      <c r="L17" s="1117">
        <f>476141.381+45902.534-L20</f>
        <v>508026.32799999998</v>
      </c>
      <c r="M17" s="66">
        <f t="shared" ref="M17:M22" si="10">L17*J17</f>
        <v>427591.52000176325</v>
      </c>
      <c r="O17" s="200">
        <f>476141.381+45902.534-O20</f>
        <v>508026.72699999996</v>
      </c>
      <c r="P17" s="57" t="s">
        <v>4914</v>
      </c>
      <c r="Q17" s="201">
        <f>424310.986+20015.428-Q20</f>
        <v>431134.41399999999</v>
      </c>
      <c r="R17" s="57" t="s">
        <v>4914</v>
      </c>
      <c r="S17" s="64">
        <f t="shared" ref="S17:S24" si="11">Q17/O17</f>
        <v>0.84864514224662047</v>
      </c>
      <c r="U17" s="117">
        <f>529927.555+48010-U20</f>
        <v>563493.55500000005</v>
      </c>
      <c r="V17" s="57" t="s">
        <v>4914</v>
      </c>
      <c r="W17" s="66">
        <f t="shared" ref="W17:W24" si="12">U17*S17</f>
        <v>478206.0681380289</v>
      </c>
      <c r="Y17" s="200">
        <f>529927.555+48010-Y20</f>
        <v>563493.55500000005</v>
      </c>
      <c r="Z17" s="57" t="s">
        <v>4914</v>
      </c>
      <c r="AA17" s="201">
        <f>587453.225+77464.826-AA20</f>
        <v>650612.05099999998</v>
      </c>
      <c r="AB17" s="57" t="s">
        <v>4914</v>
      </c>
      <c r="AC17" s="64">
        <f t="shared" ref="AC17:AC18" si="13">AA17/Y17</f>
        <v>1.1546042456510437</v>
      </c>
      <c r="AE17" s="117">
        <f>634818.792+96879.139-AE20</f>
        <v>715601.81200000003</v>
      </c>
      <c r="AF17" s="57" t="s">
        <v>4914</v>
      </c>
      <c r="AG17" s="1095">
        <f>AE17</f>
        <v>715601.81200000003</v>
      </c>
      <c r="AI17" s="117">
        <f>634818.792+96879.139-AI20</f>
        <v>715601.81200000003</v>
      </c>
      <c r="AJ17" s="57" t="s">
        <v>4914</v>
      </c>
      <c r="AK17" s="201">
        <f>550918-AK20-AK21</f>
        <v>535599</v>
      </c>
      <c r="AL17" s="57" t="s">
        <v>4914</v>
      </c>
      <c r="AM17" s="64">
        <f t="shared" ref="AM17:AM18" si="14">AK17/AI17</f>
        <v>0.74845953576204749</v>
      </c>
      <c r="AO17" s="117">
        <f>683524-AO20-AO21</f>
        <v>665268</v>
      </c>
      <c r="AP17" s="57" t="s">
        <v>4914</v>
      </c>
      <c r="AQ17" s="1095">
        <f>AO17</f>
        <v>665268</v>
      </c>
      <c r="AS17" s="117">
        <f>683524-AS20</f>
        <v>666079</v>
      </c>
      <c r="AT17" s="57" t="s">
        <v>4915</v>
      </c>
      <c r="AU17" s="201">
        <f>619804-AU20</f>
        <v>602306</v>
      </c>
      <c r="AV17" s="57" t="s">
        <v>4915</v>
      </c>
      <c r="AW17" s="476">
        <f t="shared" ref="AW17:AW20" si="15">AU17/AS17</f>
        <v>0.90425610175369586</v>
      </c>
      <c r="AY17" s="117">
        <f>751752-AY20</f>
        <v>728948</v>
      </c>
      <c r="AZ17" s="57" t="s">
        <v>4915</v>
      </c>
      <c r="BA17" s="1034">
        <f>659200-BA20</f>
        <v>636300</v>
      </c>
      <c r="BC17" s="117">
        <f>751752-BC20</f>
        <v>728948</v>
      </c>
      <c r="BD17" s="57" t="s">
        <v>4915</v>
      </c>
      <c r="BE17" s="1034">
        <f>659200-BE20</f>
        <v>636300</v>
      </c>
      <c r="BF17" s="64">
        <f>BE17/BC17</f>
        <v>0.87290177077102893</v>
      </c>
      <c r="BH17" s="117">
        <f>870217-BH20</f>
        <v>847437</v>
      </c>
      <c r="BI17" s="57" t="s">
        <v>4915</v>
      </c>
      <c r="BJ17" s="66">
        <f t="shared" ref="BJ17:BJ20" si="16">BH17*BF17</f>
        <v>739729.25791688845</v>
      </c>
      <c r="BL17" s="26" t="s">
        <v>4916</v>
      </c>
      <c r="BM17" s="26" t="s">
        <v>4916</v>
      </c>
      <c r="BS17" s="1112">
        <v>25905.008000000002</v>
      </c>
    </row>
    <row r="18" spans="1:71" x14ac:dyDescent="0.35">
      <c r="A18" s="9168"/>
      <c r="B18" s="6082"/>
      <c r="C18" s="121" t="s">
        <v>630</v>
      </c>
      <c r="D18" s="197">
        <v>2</v>
      </c>
      <c r="F18" s="1118">
        <v>102252.54300000001</v>
      </c>
      <c r="G18" s="1114"/>
      <c r="H18" s="1119">
        <v>152013.36900000001</v>
      </c>
      <c r="I18" s="1120">
        <v>126984.371</v>
      </c>
      <c r="J18" s="64">
        <f t="shared" si="9"/>
        <v>0.83535002108926348</v>
      </c>
      <c r="L18" s="1117">
        <v>154588.1</v>
      </c>
      <c r="M18" s="66">
        <f t="shared" si="10"/>
        <v>129135.17259514918</v>
      </c>
      <c r="O18" s="200">
        <v>154588.1</v>
      </c>
      <c r="P18" s="57" t="s">
        <v>4917</v>
      </c>
      <c r="Q18" s="201">
        <v>136435</v>
      </c>
      <c r="R18" s="116" t="s">
        <v>4918</v>
      </c>
      <c r="S18" s="64">
        <f t="shared" si="11"/>
        <v>0.88257116815589298</v>
      </c>
      <c r="U18" s="117">
        <v>175550</v>
      </c>
      <c r="V18" s="116" t="s">
        <v>4918</v>
      </c>
      <c r="W18" s="66">
        <f t="shared" si="12"/>
        <v>154935.36856976702</v>
      </c>
      <c r="Y18" s="200">
        <v>175550</v>
      </c>
      <c r="Z18" s="57" t="s">
        <v>4917</v>
      </c>
      <c r="AA18" s="201">
        <f>134405.826-AA19</f>
        <v>134405.826</v>
      </c>
      <c r="AB18" s="116" t="s">
        <v>4918</v>
      </c>
      <c r="AC18" s="64">
        <f t="shared" si="13"/>
        <v>0.7656270350327542</v>
      </c>
      <c r="AE18" s="117">
        <f>248703.369-AE19</f>
        <v>248703.36900000001</v>
      </c>
      <c r="AF18" s="116" t="s">
        <v>4918</v>
      </c>
      <c r="AG18" s="66">
        <f t="shared" ref="AG18" si="17">AE18*AC18</f>
        <v>190414.02301012701</v>
      </c>
      <c r="AI18" s="117">
        <f>248703.369-AI19</f>
        <v>248703.36900000001</v>
      </c>
      <c r="AJ18" s="116" t="s">
        <v>4918</v>
      </c>
      <c r="AK18" s="201">
        <f>210093-AK19</f>
        <v>203161</v>
      </c>
      <c r="AL18" s="116" t="s">
        <v>4918</v>
      </c>
      <c r="AM18" s="64">
        <f t="shared" si="14"/>
        <v>0.81688077172770424</v>
      </c>
      <c r="AO18" s="117">
        <f>282374-AO19</f>
        <v>254757</v>
      </c>
      <c r="AP18" s="116" t="s">
        <v>4918</v>
      </c>
      <c r="AQ18" s="66">
        <f t="shared" ref="AQ18" si="18">AO18*AM18</f>
        <v>208106.09476303475</v>
      </c>
      <c r="AS18" s="117">
        <f>282374-AS19</f>
        <v>239632</v>
      </c>
      <c r="AT18" s="116" t="s">
        <v>4919</v>
      </c>
      <c r="AU18" s="201">
        <f>234557-AU19</f>
        <v>226041</v>
      </c>
      <c r="AV18" s="116" t="s">
        <v>4919</v>
      </c>
      <c r="AW18" s="476">
        <f t="shared" si="15"/>
        <v>0.94328386859851776</v>
      </c>
      <c r="AY18" s="117">
        <f>172940-AY19</f>
        <v>144216</v>
      </c>
      <c r="AZ18" s="116" t="s">
        <v>4919</v>
      </c>
      <c r="BA18" s="273">
        <f>122600-BA19</f>
        <v>108500</v>
      </c>
      <c r="BC18" s="117">
        <f>172940-BC19</f>
        <v>144216</v>
      </c>
      <c r="BD18" s="116" t="s">
        <v>4919</v>
      </c>
      <c r="BE18" s="273">
        <f>122600-BE19</f>
        <v>108500</v>
      </c>
      <c r="BF18" s="64">
        <f>BE18/BC18</f>
        <v>0.75234370666222883</v>
      </c>
      <c r="BH18" s="117">
        <f>284038-BH19</f>
        <v>233207</v>
      </c>
      <c r="BI18" s="116" t="s">
        <v>4919</v>
      </c>
      <c r="BJ18" s="66">
        <f t="shared" si="16"/>
        <v>175451.81879957841</v>
      </c>
      <c r="BL18" s="26" t="s">
        <v>4920</v>
      </c>
      <c r="BM18" s="26" t="s">
        <v>4920</v>
      </c>
    </row>
    <row r="19" spans="1:71" x14ac:dyDescent="0.35">
      <c r="A19" s="9168"/>
      <c r="B19" s="6082"/>
      <c r="C19" s="121" t="s">
        <v>632</v>
      </c>
      <c r="D19" s="197"/>
      <c r="F19" s="1118"/>
      <c r="G19" s="1114"/>
      <c r="H19" s="1119"/>
      <c r="I19" s="1120"/>
      <c r="J19" s="64"/>
      <c r="L19" s="1117"/>
      <c r="M19" s="66"/>
      <c r="O19" s="200"/>
      <c r="P19" s="106"/>
      <c r="Q19" s="201"/>
      <c r="R19" s="116"/>
      <c r="S19" s="64"/>
      <c r="U19" s="117"/>
      <c r="V19" s="116"/>
      <c r="W19" s="66"/>
      <c r="Y19" s="200"/>
      <c r="Z19" s="106"/>
      <c r="AA19" s="201"/>
      <c r="AB19" s="116"/>
      <c r="AC19" s="64"/>
      <c r="AE19" s="117"/>
      <c r="AF19" s="116"/>
      <c r="AG19" s="66"/>
      <c r="AI19" s="117"/>
      <c r="AJ19" s="116"/>
      <c r="AK19" s="201">
        <v>6932</v>
      </c>
      <c r="AL19" s="116"/>
      <c r="AM19" s="64"/>
      <c r="AO19" s="117">
        <v>27617</v>
      </c>
      <c r="AP19" s="116"/>
      <c r="AQ19" s="66"/>
      <c r="AS19" s="117">
        <v>42742</v>
      </c>
      <c r="AT19" s="116" t="s">
        <v>4921</v>
      </c>
      <c r="AU19" s="201">
        <v>8516</v>
      </c>
      <c r="AV19" s="116" t="s">
        <v>4921</v>
      </c>
      <c r="AW19" s="476">
        <f t="shared" si="15"/>
        <v>0.19924196340835712</v>
      </c>
      <c r="AY19" s="117">
        <v>28724</v>
      </c>
      <c r="AZ19" s="116" t="s">
        <v>4921</v>
      </c>
      <c r="BA19" s="273">
        <v>14100</v>
      </c>
      <c r="BC19" s="117">
        <v>28724</v>
      </c>
      <c r="BD19" s="116" t="s">
        <v>4921</v>
      </c>
      <c r="BE19" s="273">
        <v>14100</v>
      </c>
      <c r="BF19" s="64">
        <f>BE19/BC19</f>
        <v>0.49087870770087733</v>
      </c>
      <c r="BH19" s="117">
        <v>50831</v>
      </c>
      <c r="BI19" s="116" t="s">
        <v>4921</v>
      </c>
      <c r="BJ19" s="66">
        <f t="shared" si="16"/>
        <v>24951.855591143296</v>
      </c>
      <c r="BL19" s="26"/>
      <c r="BM19" s="26"/>
    </row>
    <row r="20" spans="1:71" x14ac:dyDescent="0.35">
      <c r="A20" s="9168"/>
      <c r="B20" s="6082"/>
      <c r="C20" s="121" t="s">
        <v>3282</v>
      </c>
      <c r="D20" s="197">
        <v>3</v>
      </c>
      <c r="F20" s="1118">
        <f>1317.854+9691.059</f>
        <v>11008.912999999999</v>
      </c>
      <c r="G20" s="1121"/>
      <c r="H20" s="1119">
        <f>2377.416+10771.005</f>
        <v>13148.420999999998</v>
      </c>
      <c r="I20" s="1120">
        <f>1764.509+11463.82</f>
        <v>13228.329</v>
      </c>
      <c r="J20" s="64">
        <f t="shared" si="9"/>
        <v>1.006077383740603</v>
      </c>
      <c r="L20" s="1117">
        <f>1496.644+12520.943</f>
        <v>14017.587</v>
      </c>
      <c r="M20" s="66">
        <f t="shared" si="10"/>
        <v>14102.777255316287</v>
      </c>
      <c r="O20" s="200">
        <f>1496.245+12520.943</f>
        <v>14017.187999999998</v>
      </c>
      <c r="P20" s="1122" t="s">
        <v>4922</v>
      </c>
      <c r="Q20" s="201">
        <v>13192</v>
      </c>
      <c r="R20" s="116" t="s">
        <v>4923</v>
      </c>
      <c r="S20" s="64">
        <f t="shared" si="11"/>
        <v>0.94113027520213055</v>
      </c>
      <c r="U20" s="117">
        <v>14444</v>
      </c>
      <c r="V20" s="116" t="s">
        <v>4923</v>
      </c>
      <c r="W20" s="66">
        <f t="shared" si="12"/>
        <v>13593.685695019574</v>
      </c>
      <c r="Y20" s="200">
        <v>14444</v>
      </c>
      <c r="Z20" s="1122" t="s">
        <v>4924</v>
      </c>
      <c r="AA20" s="201">
        <v>14306</v>
      </c>
      <c r="AB20" s="116" t="s">
        <v>4925</v>
      </c>
      <c r="AC20" s="64">
        <f t="shared" ref="AC20" si="19">AA20/Y20</f>
        <v>0.99044585987261147</v>
      </c>
      <c r="AE20" s="117">
        <v>16096.119000000001</v>
      </c>
      <c r="AF20" s="116" t="s">
        <v>4923</v>
      </c>
      <c r="AG20" s="66">
        <f t="shared" ref="AG20" si="20">AE20*AC20</f>
        <v>15942.334423566879</v>
      </c>
      <c r="AI20" s="117">
        <v>16096.119000000001</v>
      </c>
      <c r="AJ20" s="116" t="s">
        <v>4923</v>
      </c>
      <c r="AK20" s="201">
        <v>15319</v>
      </c>
      <c r="AL20" s="116" t="s">
        <v>4925</v>
      </c>
      <c r="AM20" s="64">
        <f t="shared" ref="AM20" si="21">AK20/AI20</f>
        <v>0.95172010097589355</v>
      </c>
      <c r="AO20" s="117">
        <v>18256</v>
      </c>
      <c r="AP20" s="116" t="s">
        <v>4925</v>
      </c>
      <c r="AQ20" s="66">
        <f t="shared" ref="AQ20" si="22">AO20*AM20</f>
        <v>17374.602163415911</v>
      </c>
      <c r="AS20" s="117">
        <v>17445</v>
      </c>
      <c r="AT20" s="116" t="s">
        <v>3399</v>
      </c>
      <c r="AU20" s="201">
        <v>17498</v>
      </c>
      <c r="AV20" s="116" t="s">
        <v>3399</v>
      </c>
      <c r="AW20" s="476">
        <f t="shared" si="15"/>
        <v>1.0030381198051017</v>
      </c>
      <c r="AY20" s="117">
        <v>22804</v>
      </c>
      <c r="AZ20" s="116" t="s">
        <v>3399</v>
      </c>
      <c r="BA20" s="273">
        <v>22900</v>
      </c>
      <c r="BC20" s="117">
        <v>22804</v>
      </c>
      <c r="BD20" s="116" t="s">
        <v>3399</v>
      </c>
      <c r="BE20" s="273">
        <v>22900</v>
      </c>
      <c r="BF20" s="64">
        <f>BE20/BC20</f>
        <v>1.0042097877565339</v>
      </c>
      <c r="BH20" s="117">
        <v>22780</v>
      </c>
      <c r="BI20" s="116" t="s">
        <v>3399</v>
      </c>
      <c r="BJ20" s="66">
        <f t="shared" si="16"/>
        <v>22875.898965093842</v>
      </c>
      <c r="BL20" s="26" t="s">
        <v>4926</v>
      </c>
      <c r="BM20" s="26" t="s">
        <v>4926</v>
      </c>
    </row>
    <row r="21" spans="1:71" x14ac:dyDescent="0.35">
      <c r="A21" s="9168"/>
      <c r="B21" s="6082"/>
      <c r="C21" s="121" t="s">
        <v>3285</v>
      </c>
      <c r="D21" s="197"/>
      <c r="F21" s="1118"/>
      <c r="G21" s="1121"/>
      <c r="H21" s="1119"/>
      <c r="I21" s="1120"/>
      <c r="J21" s="64"/>
      <c r="L21" s="1117"/>
      <c r="M21" s="66"/>
      <c r="O21" s="200"/>
      <c r="P21" s="106"/>
      <c r="Q21" s="201"/>
      <c r="R21" s="116"/>
      <c r="S21" s="64"/>
      <c r="U21" s="117"/>
      <c r="V21" s="116"/>
      <c r="W21" s="66"/>
      <c r="Y21" s="200"/>
      <c r="Z21" s="106"/>
      <c r="AA21" s="201"/>
      <c r="AB21" s="116"/>
      <c r="AC21" s="64"/>
      <c r="AE21" s="117"/>
      <c r="AF21" s="116"/>
      <c r="AG21" s="66"/>
      <c r="AI21" s="117"/>
      <c r="AJ21" s="116"/>
      <c r="AK21" s="201"/>
      <c r="AL21" s="116"/>
      <c r="AM21" s="64"/>
      <c r="AO21" s="117"/>
      <c r="AP21" s="116"/>
      <c r="AQ21" s="66"/>
      <c r="AS21" s="117"/>
      <c r="AT21" s="116"/>
      <c r="AU21" s="201"/>
      <c r="AV21" s="116"/>
      <c r="AW21" s="476"/>
      <c r="AY21" s="117"/>
      <c r="AZ21" s="116"/>
      <c r="BA21" s="273"/>
      <c r="BC21" s="117"/>
      <c r="BD21" s="116"/>
      <c r="BE21" s="273"/>
      <c r="BF21" s="64"/>
      <c r="BH21" s="117"/>
      <c r="BI21" s="116"/>
      <c r="BJ21" s="66"/>
      <c r="BL21" s="26"/>
      <c r="BM21" s="26"/>
    </row>
    <row r="22" spans="1:71" x14ac:dyDescent="0.35">
      <c r="A22" s="9168"/>
      <c r="B22" s="128"/>
      <c r="C22" s="129" t="s">
        <v>479</v>
      </c>
      <c r="D22" s="209"/>
      <c r="F22" s="1123">
        <f>SUM(F17:F20)</f>
        <v>501509.06699999998</v>
      </c>
      <c r="G22" s="1121"/>
      <c r="H22" s="1124">
        <f>SUM(H17:H20)</f>
        <v>637731.31999999995</v>
      </c>
      <c r="I22" s="1125">
        <f>SUM(I17:I20)</f>
        <v>537961.22700000007</v>
      </c>
      <c r="J22" s="133">
        <f t="shared" si="9"/>
        <v>0.84355466029173554</v>
      </c>
      <c r="L22" s="1117">
        <f>SUM(L17:L21)</f>
        <v>676632.0149999999</v>
      </c>
      <c r="M22" s="92">
        <f t="shared" si="10"/>
        <v>570776.08955583745</v>
      </c>
      <c r="O22" s="200">
        <f>SUM(O17:O21)</f>
        <v>676632.0149999999</v>
      </c>
      <c r="P22" s="216"/>
      <c r="Q22" s="215">
        <f>SUM(Q17:Q21)</f>
        <v>580761.41399999999</v>
      </c>
      <c r="R22" s="116" t="s">
        <v>4927</v>
      </c>
      <c r="S22" s="64">
        <f t="shared" si="11"/>
        <v>0.85831205311797143</v>
      </c>
      <c r="U22" s="131">
        <f>SUM(U17:U21)</f>
        <v>753487.55500000005</v>
      </c>
      <c r="V22" s="116" t="s">
        <v>4927</v>
      </c>
      <c r="W22" s="66">
        <f t="shared" si="12"/>
        <v>646727.45033089048</v>
      </c>
      <c r="Y22" s="200">
        <f>SUM(Y17:Y21)</f>
        <v>753487.55500000005</v>
      </c>
      <c r="Z22" s="216"/>
      <c r="AA22" s="215">
        <f>SUM(AA17:AA21)</f>
        <v>799323.87699999998</v>
      </c>
      <c r="AB22" s="116" t="s">
        <v>4927</v>
      </c>
      <c r="AC22" s="64">
        <f t="shared" ref="AC22" si="23">AA22/Y22</f>
        <v>1.0608322217080279</v>
      </c>
      <c r="AE22" s="131">
        <f>SUM(AE17:AE21)</f>
        <v>980401.3</v>
      </c>
      <c r="AF22" s="116" t="s">
        <v>4927</v>
      </c>
      <c r="AG22" s="66">
        <f>SUM(AG17:AG21)</f>
        <v>921958.16943369398</v>
      </c>
      <c r="AI22" s="131">
        <f>SUM(AI17:AI21)</f>
        <v>980401.3</v>
      </c>
      <c r="AJ22" s="116" t="s">
        <v>4927</v>
      </c>
      <c r="AK22" s="215">
        <f>SUM(AK17:AK21)</f>
        <v>761011</v>
      </c>
      <c r="AL22" s="116" t="s">
        <v>4927</v>
      </c>
      <c r="AM22" s="64">
        <f t="shared" ref="AM22" si="24">AK22/AI22</f>
        <v>0.77622398093515377</v>
      </c>
      <c r="AO22" s="131">
        <f>SUM(AO17:AO21)</f>
        <v>965898</v>
      </c>
      <c r="AP22" s="116" t="s">
        <v>4927</v>
      </c>
      <c r="AQ22" s="66">
        <f>SUM(AQ17:AQ21)</f>
        <v>890748.69692645059</v>
      </c>
      <c r="AS22" s="1781">
        <f>SUM(AS17:AS21)</f>
        <v>965898</v>
      </c>
      <c r="AT22" s="116" t="s">
        <v>4928</v>
      </c>
      <c r="AU22" s="5827">
        <f>SUM(AU17:AU21)</f>
        <v>854361</v>
      </c>
      <c r="AV22" s="116" t="s">
        <v>4928</v>
      </c>
      <c r="AW22" s="476">
        <f t="shared" ref="AW22" si="25">AU22/AS22</f>
        <v>0.88452507407614467</v>
      </c>
      <c r="AY22" s="1781">
        <f>SUM(AY17:AY21)</f>
        <v>924692</v>
      </c>
      <c r="AZ22" s="116" t="s">
        <v>4928</v>
      </c>
      <c r="BA22" s="1784">
        <f>SUM(BA17:BA21)</f>
        <v>781800</v>
      </c>
      <c r="BC22" s="1781">
        <f>SUM(BC17:BC21)</f>
        <v>924692</v>
      </c>
      <c r="BD22" s="116" t="s">
        <v>4928</v>
      </c>
      <c r="BE22" s="1784">
        <f>SUM(BE17:BE21)</f>
        <v>781800</v>
      </c>
      <c r="BF22" s="64">
        <f>BE22/BC22</f>
        <v>0.8454707080844216</v>
      </c>
      <c r="BH22" s="1781">
        <f>SUM(BH17:BH21)</f>
        <v>1154255</v>
      </c>
      <c r="BI22" s="116" t="s">
        <v>4928</v>
      </c>
      <c r="BJ22" s="1785">
        <f>SUM(BJ17:BJ21)</f>
        <v>963008.83127270394</v>
      </c>
      <c r="BL22" s="24"/>
      <c r="BM22" s="24"/>
    </row>
    <row r="23" spans="1:71" x14ac:dyDescent="0.35">
      <c r="A23" s="9168"/>
      <c r="B23" s="139" t="s">
        <v>480</v>
      </c>
      <c r="C23" s="49"/>
      <c r="D23" s="184"/>
      <c r="E23" s="141"/>
      <c r="F23" s="142"/>
      <c r="G23" s="143"/>
      <c r="H23" s="144"/>
      <c r="I23" s="145"/>
      <c r="J23" s="146"/>
      <c r="K23" s="141"/>
      <c r="L23" s="147"/>
      <c r="M23" s="148"/>
      <c r="N23" s="141"/>
      <c r="O23" s="606"/>
      <c r="P23" s="1126"/>
      <c r="Q23" s="1127"/>
      <c r="R23" s="592" t="s">
        <v>4929</v>
      </c>
      <c r="S23" s="146"/>
      <c r="T23" s="141"/>
      <c r="U23" s="606"/>
      <c r="V23" s="592" t="s">
        <v>4929</v>
      </c>
      <c r="W23" s="148"/>
      <c r="X23" s="141"/>
      <c r="Y23" s="606"/>
      <c r="Z23" s="1128" t="s">
        <v>1860</v>
      </c>
      <c r="AA23" s="1127"/>
      <c r="AB23" s="592" t="s">
        <v>4930</v>
      </c>
      <c r="AC23" s="146"/>
      <c r="AD23" s="141"/>
      <c r="AE23" s="606"/>
      <c r="AF23" s="592" t="s">
        <v>4930</v>
      </c>
      <c r="AG23" s="148"/>
      <c r="AH23" s="141"/>
      <c r="AI23" s="606"/>
      <c r="AJ23" s="592" t="s">
        <v>4930</v>
      </c>
      <c r="AK23" s="1127"/>
      <c r="AL23" s="592" t="s">
        <v>4931</v>
      </c>
      <c r="AM23" s="146"/>
      <c r="AN23" s="141"/>
      <c r="AO23" s="606"/>
      <c r="AP23" s="592" t="s">
        <v>4931</v>
      </c>
      <c r="AQ23" s="148"/>
      <c r="AR23" s="141"/>
      <c r="AS23" s="606"/>
      <c r="AT23" s="592" t="s">
        <v>4930</v>
      </c>
      <c r="AU23" s="1127"/>
      <c r="AV23" s="592" t="s">
        <v>4932</v>
      </c>
      <c r="AW23" s="486"/>
      <c r="AX23" s="141"/>
      <c r="AY23" s="606"/>
      <c r="AZ23" s="592" t="s">
        <v>4932</v>
      </c>
      <c r="BA23" s="148"/>
      <c r="BB23" s="141"/>
      <c r="BC23" s="606"/>
      <c r="BD23" s="592" t="s">
        <v>4932</v>
      </c>
      <c r="BE23" s="148"/>
      <c r="BF23" s="146"/>
      <c r="BG23" s="141"/>
      <c r="BH23" s="606"/>
      <c r="BI23" s="592" t="s">
        <v>4932</v>
      </c>
      <c r="BJ23" s="148"/>
      <c r="BK23" s="141"/>
      <c r="BL23" s="18"/>
      <c r="BM23" s="18"/>
    </row>
    <row r="24" spans="1:71" x14ac:dyDescent="0.35">
      <c r="A24" s="9168"/>
      <c r="B24" s="6082"/>
      <c r="C24" s="110" t="s">
        <v>483</v>
      </c>
      <c r="D24" s="197"/>
      <c r="F24" s="155">
        <f>F17*$Q24/$Q17</f>
        <v>173751.92717599898</v>
      </c>
      <c r="H24" s="117">
        <f t="shared" ref="H24:I24" si="26">H17*$Q24/$Q17</f>
        <v>211488.40130829826</v>
      </c>
      <c r="I24" s="115">
        <f t="shared" si="26"/>
        <v>178003.85923730736</v>
      </c>
      <c r="J24" s="64">
        <f t="shared" ref="J24:J27" si="27">IF(H24=0,0,I24/H24)</f>
        <v>0.84167196941368605</v>
      </c>
      <c r="L24" s="156">
        <f>L17*$Q24/$Q17</f>
        <v>227356.33406420669</v>
      </c>
      <c r="M24" s="157">
        <f t="shared" ref="M24:M27" si="28">L24*J24</f>
        <v>191359.45345049677</v>
      </c>
      <c r="O24" s="117">
        <f>O17*$Q24/$Q17</f>
        <v>227356.51262813594</v>
      </c>
      <c r="P24" s="1128"/>
      <c r="Q24" s="115">
        <v>192945</v>
      </c>
      <c r="R24" s="116" t="s">
        <v>4933</v>
      </c>
      <c r="S24" s="64">
        <f t="shared" si="11"/>
        <v>0.84864514224662047</v>
      </c>
      <c r="U24" s="117">
        <v>226943</v>
      </c>
      <c r="V24" s="116" t="s">
        <v>4933</v>
      </c>
      <c r="W24" s="157">
        <f t="shared" si="12"/>
        <v>192594.0745168748</v>
      </c>
      <c r="Y24" s="117">
        <v>226943</v>
      </c>
      <c r="Z24" s="116" t="s">
        <v>4933</v>
      </c>
      <c r="AA24" s="115">
        <v>214491</v>
      </c>
      <c r="AB24" s="116" t="s">
        <v>4933</v>
      </c>
      <c r="AC24" s="64">
        <f t="shared" ref="AC24" si="29">AA24/Y24</f>
        <v>0.94513159692081272</v>
      </c>
      <c r="AE24" s="117">
        <v>254808</v>
      </c>
      <c r="AF24" s="116" t="s">
        <v>4933</v>
      </c>
      <c r="AG24" s="157">
        <f t="shared" ref="AG24" si="30">AE24*AC24</f>
        <v>240827.09194819845</v>
      </c>
      <c r="AI24" s="117">
        <v>254808</v>
      </c>
      <c r="AJ24" s="116" t="s">
        <v>4933</v>
      </c>
      <c r="AK24" s="115">
        <v>234103</v>
      </c>
      <c r="AL24" s="116" t="s">
        <v>4933</v>
      </c>
      <c r="AM24" s="64">
        <f t="shared" ref="AM24" si="31">AK24/AI24</f>
        <v>0.91874273963140873</v>
      </c>
      <c r="AO24" s="117">
        <v>288140</v>
      </c>
      <c r="AP24" s="116" t="s">
        <v>4933</v>
      </c>
      <c r="AQ24" s="157">
        <f t="shared" ref="AQ24" si="32">AO24*AM24</f>
        <v>264726.5329973941</v>
      </c>
      <c r="AS24" s="117">
        <v>288140</v>
      </c>
      <c r="AT24" s="116" t="s">
        <v>4933</v>
      </c>
      <c r="AU24" s="115">
        <v>274343</v>
      </c>
      <c r="AV24" s="116" t="s">
        <v>4933</v>
      </c>
      <c r="AW24" s="476">
        <f t="shared" ref="AW24:AW26" si="33">AU24/AS24</f>
        <v>0.95211702644547791</v>
      </c>
      <c r="AY24" s="117">
        <v>328917</v>
      </c>
      <c r="AZ24" s="116" t="s">
        <v>4933</v>
      </c>
      <c r="BA24" s="1794">
        <v>306100</v>
      </c>
      <c r="BC24" s="117">
        <v>328917</v>
      </c>
      <c r="BD24" s="116" t="s">
        <v>4933</v>
      </c>
      <c r="BE24" s="1794">
        <v>306100</v>
      </c>
      <c r="BF24" s="64">
        <f>BE24/BC24</f>
        <v>0.93062991575382237</v>
      </c>
      <c r="BH24" s="117">
        <v>384681</v>
      </c>
      <c r="BI24" s="116" t="s">
        <v>4933</v>
      </c>
      <c r="BJ24" s="66">
        <f t="shared" ref="BJ24:BJ26" si="34">BH24*BF24</f>
        <v>357995.64662209613</v>
      </c>
      <c r="BL24" s="26"/>
      <c r="BM24" s="26"/>
    </row>
    <row r="25" spans="1:71" x14ac:dyDescent="0.35">
      <c r="A25" s="9168"/>
      <c r="B25" s="6082"/>
      <c r="C25" s="110" t="s">
        <v>489</v>
      </c>
      <c r="D25" s="197"/>
      <c r="F25" s="155"/>
      <c r="H25" s="117"/>
      <c r="I25" s="115"/>
      <c r="J25" s="64">
        <f t="shared" si="27"/>
        <v>0</v>
      </c>
      <c r="L25" s="156"/>
      <c r="M25" s="157">
        <f t="shared" si="28"/>
        <v>0</v>
      </c>
      <c r="O25" s="117"/>
      <c r="P25" s="1128"/>
      <c r="Q25" s="115"/>
      <c r="R25" s="127"/>
      <c r="S25" s="64"/>
      <c r="U25" s="117"/>
      <c r="V25" s="127"/>
      <c r="W25" s="157"/>
      <c r="Y25" s="117"/>
      <c r="Z25" s="127"/>
      <c r="AA25" s="115"/>
      <c r="AB25" s="127"/>
      <c r="AC25" s="64"/>
      <c r="AE25" s="117"/>
      <c r="AF25" s="127"/>
      <c r="AG25" s="157"/>
      <c r="AI25" s="117"/>
      <c r="AJ25" s="127"/>
      <c r="AK25" s="115"/>
      <c r="AL25" s="127"/>
      <c r="AM25" s="64"/>
      <c r="AO25" s="117"/>
      <c r="AP25" s="127"/>
      <c r="AQ25" s="157"/>
      <c r="AS25" s="117"/>
      <c r="AT25" s="127"/>
      <c r="AU25" s="115"/>
      <c r="AV25" s="127"/>
      <c r="AW25" s="476"/>
      <c r="AY25" s="117"/>
      <c r="AZ25" s="127"/>
      <c r="BA25" s="1009"/>
      <c r="BC25" s="117"/>
      <c r="BD25" s="127"/>
      <c r="BE25" s="1009"/>
      <c r="BF25" s="64"/>
      <c r="BH25" s="117"/>
      <c r="BI25" s="127"/>
      <c r="BJ25" s="66"/>
      <c r="BL25" s="26"/>
      <c r="BM25" s="26"/>
    </row>
    <row r="26" spans="1:71" x14ac:dyDescent="0.35">
      <c r="A26" s="9168"/>
      <c r="B26" s="6082"/>
      <c r="C26" s="110" t="s">
        <v>490</v>
      </c>
      <c r="D26" s="197"/>
      <c r="F26" s="155">
        <v>29898.487000000001</v>
      </c>
      <c r="H26" s="117">
        <v>37745</v>
      </c>
      <c r="I26" s="115">
        <v>37392.639000000003</v>
      </c>
      <c r="J26" s="64">
        <f t="shared" si="27"/>
        <v>0.99066469731090223</v>
      </c>
      <c r="L26" s="156">
        <v>43175</v>
      </c>
      <c r="M26" s="157">
        <f t="shared" si="28"/>
        <v>42771.948306398204</v>
      </c>
      <c r="O26" s="117">
        <v>43175</v>
      </c>
      <c r="P26" s="1128" t="s">
        <v>515</v>
      </c>
      <c r="Q26" s="115">
        <v>42323</v>
      </c>
      <c r="R26" s="116" t="s">
        <v>4934</v>
      </c>
      <c r="S26" s="64"/>
      <c r="U26" s="117">
        <v>48500</v>
      </c>
      <c r="V26" s="116" t="s">
        <v>4934</v>
      </c>
      <c r="W26" s="157">
        <f>W17*W28</f>
        <v>41159.289398961089</v>
      </c>
      <c r="Y26" s="117">
        <v>48500</v>
      </c>
      <c r="Z26" s="116" t="s">
        <v>4935</v>
      </c>
      <c r="AA26" s="115">
        <v>52810</v>
      </c>
      <c r="AB26" s="116" t="s">
        <v>4935</v>
      </c>
      <c r="AC26" s="64"/>
      <c r="AE26" s="117">
        <v>69000</v>
      </c>
      <c r="AF26" s="116" t="s">
        <v>4935</v>
      </c>
      <c r="AG26" s="157">
        <f>AG17*AG28</f>
        <v>69000</v>
      </c>
      <c r="AI26" s="117">
        <v>69000</v>
      </c>
      <c r="AJ26" s="116" t="s">
        <v>4935</v>
      </c>
      <c r="AK26" s="115">
        <v>70019</v>
      </c>
      <c r="AL26" s="116" t="s">
        <v>4935</v>
      </c>
      <c r="AM26" s="64"/>
      <c r="AO26" s="117">
        <v>92655</v>
      </c>
      <c r="AP26" s="116" t="s">
        <v>4935</v>
      </c>
      <c r="AQ26" s="157">
        <f>AQ17*AQ28</f>
        <v>92655</v>
      </c>
      <c r="AS26" s="117">
        <v>92655</v>
      </c>
      <c r="AT26" s="116" t="s">
        <v>4935</v>
      </c>
      <c r="AU26" s="115">
        <v>92614</v>
      </c>
      <c r="AV26" s="116" t="s">
        <v>4935</v>
      </c>
      <c r="AW26" s="476">
        <f t="shared" si="33"/>
        <v>0.99955749824618212</v>
      </c>
      <c r="AY26" s="117">
        <v>118224</v>
      </c>
      <c r="AZ26" s="116" t="s">
        <v>4935</v>
      </c>
      <c r="BA26" s="1009">
        <v>113200</v>
      </c>
      <c r="BC26" s="117">
        <v>118224</v>
      </c>
      <c r="BD26" s="116" t="s">
        <v>4935</v>
      </c>
      <c r="BE26" s="1009">
        <v>113200</v>
      </c>
      <c r="BF26" s="64">
        <f>BE26/BC26</f>
        <v>0.95750439843009882</v>
      </c>
      <c r="BH26" s="117">
        <v>130665</v>
      </c>
      <c r="BI26" s="116" t="s">
        <v>4935</v>
      </c>
      <c r="BJ26" s="66">
        <f t="shared" si="34"/>
        <v>125112.31222086886</v>
      </c>
      <c r="BL26" s="26"/>
      <c r="BM26" s="26"/>
    </row>
    <row r="27" spans="1:71" x14ac:dyDescent="0.35">
      <c r="A27" s="9168"/>
      <c r="B27" s="6082"/>
      <c r="C27" s="161" t="s">
        <v>497</v>
      </c>
      <c r="D27" s="610"/>
      <c r="F27" s="163"/>
      <c r="H27" s="164"/>
      <c r="I27" s="165">
        <v>79.28</v>
      </c>
      <c r="J27" s="64">
        <f t="shared" si="27"/>
        <v>0</v>
      </c>
      <c r="L27" s="166">
        <v>53.805999999999997</v>
      </c>
      <c r="M27" s="157">
        <f t="shared" si="28"/>
        <v>0</v>
      </c>
      <c r="O27" s="164"/>
      <c r="P27" s="167"/>
      <c r="Q27" s="613"/>
      <c r="R27" s="106"/>
      <c r="S27" s="64"/>
      <c r="U27" s="164"/>
      <c r="V27" s="106"/>
      <c r="W27" s="157"/>
      <c r="Y27" s="164"/>
      <c r="Z27" s="167"/>
      <c r="AA27" s="613"/>
      <c r="AB27" s="106"/>
      <c r="AC27" s="64"/>
      <c r="AE27" s="164"/>
      <c r="AF27" s="106"/>
      <c r="AG27" s="157"/>
      <c r="AI27" s="164"/>
      <c r="AJ27" s="106"/>
      <c r="AK27" s="613"/>
      <c r="AL27" s="106"/>
      <c r="AM27" s="64"/>
      <c r="AO27" s="164"/>
      <c r="AP27" s="106"/>
      <c r="AQ27" s="157"/>
      <c r="AS27" s="164"/>
      <c r="AT27" s="106"/>
      <c r="AU27" s="613"/>
      <c r="AV27" s="106"/>
      <c r="AW27" s="476"/>
      <c r="AY27" s="164"/>
      <c r="AZ27" s="106"/>
      <c r="BA27" s="1795"/>
      <c r="BC27" s="164"/>
      <c r="BD27" s="106"/>
      <c r="BE27" s="1795"/>
      <c r="BF27" s="64"/>
      <c r="BH27" s="164"/>
      <c r="BI27" s="106"/>
      <c r="BJ27" s="66"/>
      <c r="BL27" s="26"/>
      <c r="BM27" s="26"/>
    </row>
    <row r="28" spans="1:71" s="1144" customFormat="1" x14ac:dyDescent="0.35">
      <c r="A28" s="9168"/>
      <c r="B28" s="1129"/>
      <c r="C28" s="1130" t="s">
        <v>4936</v>
      </c>
      <c r="D28" s="1131"/>
      <c r="E28" s="1132"/>
      <c r="F28" s="1133">
        <f>F26/F17</f>
        <v>7.7008811266065985E-2</v>
      </c>
      <c r="G28" s="1134"/>
      <c r="H28" s="1135">
        <f t="shared" ref="H28:I28" si="35">H26/H17</f>
        <v>7.9871844466993039E-2</v>
      </c>
      <c r="I28" s="1136">
        <f t="shared" si="35"/>
        <v>9.4010754186903633E-2</v>
      </c>
      <c r="J28" s="1137"/>
      <c r="K28" s="1134"/>
      <c r="L28" s="1138">
        <f t="shared" ref="L28:M28" si="36">L26/L17</f>
        <v>8.4985752943103371E-2</v>
      </c>
      <c r="M28" s="1139">
        <f t="shared" si="36"/>
        <v>0.10002992647333564</v>
      </c>
      <c r="N28" s="1140"/>
      <c r="O28" s="1135">
        <f>O26/O17</f>
        <v>8.4985686195994184E-2</v>
      </c>
      <c r="P28" s="1141"/>
      <c r="Q28" s="1141">
        <f>Q26/Q17</f>
        <v>9.8166601008102317E-2</v>
      </c>
      <c r="R28" s="1141"/>
      <c r="S28" s="1137"/>
      <c r="T28" s="1134"/>
      <c r="U28" s="1135">
        <f>U26/U17</f>
        <v>8.607019471589164E-2</v>
      </c>
      <c r="V28" s="1141"/>
      <c r="W28" s="1139">
        <f>U28</f>
        <v>8.607019471589164E-2</v>
      </c>
      <c r="X28" s="1140"/>
      <c r="Y28" s="1135">
        <f>Y26/Y17</f>
        <v>8.607019471589164E-2</v>
      </c>
      <c r="Z28" s="1141"/>
      <c r="AA28" s="1141">
        <f>AA26/AA17</f>
        <v>8.1169723061277885E-2</v>
      </c>
      <c r="AB28" s="1142" t="s">
        <v>4937</v>
      </c>
      <c r="AC28" s="1137"/>
      <c r="AD28" s="1134"/>
      <c r="AE28" s="1135">
        <f>AE26/AE17</f>
        <v>9.642233829335245E-2</v>
      </c>
      <c r="AF28" s="1141"/>
      <c r="AG28" s="1139">
        <f>AE28</f>
        <v>9.642233829335245E-2</v>
      </c>
      <c r="AH28" s="1140"/>
      <c r="AI28" s="1135">
        <f>AI26/AI17</f>
        <v>9.642233829335245E-2</v>
      </c>
      <c r="AJ28" s="1141"/>
      <c r="AK28" s="1141">
        <f>AK26/AK17</f>
        <v>0.13073026648668126</v>
      </c>
      <c r="AL28" s="1142" t="s">
        <v>4937</v>
      </c>
      <c r="AM28" s="1137"/>
      <c r="AN28" s="1134"/>
      <c r="AO28" s="1135">
        <f>AO26/AO17</f>
        <v>0.13927469831706921</v>
      </c>
      <c r="AP28" s="1141"/>
      <c r="AQ28" s="1139">
        <f>AO28</f>
        <v>0.13927469831706921</v>
      </c>
      <c r="AR28" s="1140"/>
      <c r="AS28" s="6005">
        <f>AS26/AS24</f>
        <v>0.32156243492746583</v>
      </c>
      <c r="AT28" s="7350" t="s">
        <v>4938</v>
      </c>
      <c r="AU28" s="7304">
        <f>AU26/AU24</f>
        <v>0.33758470236164217</v>
      </c>
      <c r="AV28" s="7350" t="s">
        <v>4938</v>
      </c>
      <c r="AW28" s="7011"/>
      <c r="AX28" s="1134"/>
      <c r="AY28" s="6005">
        <f>AY26/AY24</f>
        <v>0.35943414296007808</v>
      </c>
      <c r="AZ28" s="7350" t="s">
        <v>4938</v>
      </c>
      <c r="BA28" s="6008">
        <f>BA26/BA24</f>
        <v>0.36981378634433193</v>
      </c>
      <c r="BB28" s="1140"/>
      <c r="BC28" s="1135">
        <f>BC26/BC24</f>
        <v>0.35943414296007808</v>
      </c>
      <c r="BD28" s="1142" t="s">
        <v>4938</v>
      </c>
      <c r="BE28" s="1139">
        <f>BE26/BE24</f>
        <v>0.36981378634433193</v>
      </c>
      <c r="BF28" s="1137"/>
      <c r="BG28" s="1134"/>
      <c r="BH28" s="1135">
        <f>BH26/BH24</f>
        <v>0.33967105211850857</v>
      </c>
      <c r="BI28" s="1142" t="s">
        <v>4938</v>
      </c>
      <c r="BJ28" s="1139">
        <f>BJ26/BJ24</f>
        <v>0.34947998223268534</v>
      </c>
      <c r="BK28" s="1140"/>
      <c r="BL28" s="1143" t="s">
        <v>4939</v>
      </c>
      <c r="BM28" s="1143" t="s">
        <v>4940</v>
      </c>
    </row>
    <row r="29" spans="1:71" x14ac:dyDescent="0.35">
      <c r="A29" s="9168"/>
      <c r="B29" s="139" t="s">
        <v>501</v>
      </c>
      <c r="C29" s="49"/>
      <c r="D29" s="184"/>
      <c r="F29" s="1145"/>
      <c r="H29" s="1146"/>
      <c r="I29" s="1147"/>
      <c r="J29" s="1148"/>
      <c r="K29" s="1149"/>
      <c r="L29" s="1150"/>
      <c r="M29" s="49"/>
      <c r="O29" s="1151"/>
      <c r="P29" s="1152"/>
      <c r="Q29" s="190"/>
      <c r="R29" s="190"/>
      <c r="S29" s="191"/>
      <c r="T29" s="170"/>
      <c r="U29" s="1151"/>
      <c r="V29" s="190"/>
      <c r="W29" s="49"/>
      <c r="Y29" s="1151"/>
      <c r="Z29" s="1152"/>
      <c r="AA29" s="190"/>
      <c r="AB29" s="190"/>
      <c r="AC29" s="191"/>
      <c r="AD29" s="170"/>
      <c r="AE29" s="1151"/>
      <c r="AF29" s="190"/>
      <c r="AG29" s="49"/>
      <c r="AI29" s="1151"/>
      <c r="AJ29" s="190"/>
      <c r="AK29" s="190"/>
      <c r="AL29" s="190"/>
      <c r="AM29" s="191"/>
      <c r="AN29" s="170"/>
      <c r="AO29" s="1151"/>
      <c r="AP29" s="190"/>
      <c r="AQ29" s="49"/>
      <c r="AS29" s="3363"/>
      <c r="AT29" s="839"/>
      <c r="AU29" s="839"/>
      <c r="AV29" s="839"/>
      <c r="AW29" s="840"/>
      <c r="AX29" s="170"/>
      <c r="AY29" s="3363"/>
      <c r="AZ29" s="839"/>
      <c r="BA29" s="49"/>
      <c r="BC29" s="1151"/>
      <c r="BD29" s="190"/>
      <c r="BE29" s="49"/>
      <c r="BF29" s="191"/>
      <c r="BG29" s="170"/>
      <c r="BH29" s="1151"/>
      <c r="BI29" s="190"/>
      <c r="BJ29" s="49"/>
      <c r="BL29" s="617"/>
      <c r="BM29" s="617"/>
    </row>
    <row r="30" spans="1:71" x14ac:dyDescent="0.35">
      <c r="A30" s="9168"/>
      <c r="B30" s="196"/>
      <c r="C30" s="121" t="s">
        <v>470</v>
      </c>
      <c r="D30" s="197"/>
      <c r="F30" s="122"/>
      <c r="H30" s="114"/>
      <c r="I30" s="123"/>
      <c r="J30" s="64"/>
      <c r="L30" s="114"/>
      <c r="M30" s="157"/>
      <c r="O30" s="200"/>
      <c r="P30" s="525"/>
      <c r="Q30" s="201"/>
      <c r="R30" s="1153"/>
      <c r="S30" s="64"/>
      <c r="T30" s="170"/>
      <c r="U30" s="1154"/>
      <c r="V30" s="1153"/>
      <c r="W30" s="157"/>
      <c r="Y30" s="200"/>
      <c r="Z30" s="525"/>
      <c r="AA30" s="201"/>
      <c r="AB30" s="1153"/>
      <c r="AC30" s="64"/>
      <c r="AD30" s="170"/>
      <c r="AE30" s="1154"/>
      <c r="AF30" s="1153"/>
      <c r="AG30" s="157"/>
      <c r="AI30" s="1154"/>
      <c r="AJ30" s="1153"/>
      <c r="AK30" s="201"/>
      <c r="AL30" s="1153"/>
      <c r="AM30" s="64"/>
      <c r="AN30" s="170"/>
      <c r="AO30" s="1154"/>
      <c r="AP30" s="1153"/>
      <c r="AQ30" s="157"/>
      <c r="AS30" s="1154"/>
      <c r="AT30" s="7351"/>
      <c r="AU30" s="201"/>
      <c r="AV30" s="7351"/>
      <c r="AW30" s="476"/>
      <c r="AX30" s="170"/>
      <c r="AY30" s="1154"/>
      <c r="AZ30" s="7351"/>
      <c r="BA30" s="273"/>
      <c r="BC30" s="1154"/>
      <c r="BD30" s="1153"/>
      <c r="BE30" s="273"/>
      <c r="BF30" s="64"/>
      <c r="BG30" s="170"/>
      <c r="BH30" s="1154"/>
      <c r="BI30" s="1153"/>
      <c r="BJ30" s="273"/>
      <c r="BL30" s="625"/>
      <c r="BM30" s="625"/>
    </row>
    <row r="31" spans="1:71" x14ac:dyDescent="0.35">
      <c r="A31" s="9169"/>
      <c r="B31" s="207"/>
      <c r="C31" s="208" t="s">
        <v>1116</v>
      </c>
      <c r="D31" s="209"/>
      <c r="F31" s="210"/>
      <c r="H31" s="211"/>
      <c r="I31" s="1155"/>
      <c r="J31" s="133"/>
      <c r="L31" s="211"/>
      <c r="M31" s="92"/>
      <c r="O31" s="1156"/>
      <c r="P31" s="1157"/>
      <c r="Q31" s="1158"/>
      <c r="R31" s="1159"/>
      <c r="S31" s="133"/>
      <c r="U31" s="1156"/>
      <c r="V31" s="1160"/>
      <c r="W31" s="92"/>
      <c r="Y31" s="1156"/>
      <c r="Z31" s="1157"/>
      <c r="AA31" s="1158"/>
      <c r="AB31" s="1159"/>
      <c r="AC31" s="133"/>
      <c r="AE31" s="1156"/>
      <c r="AF31" s="1160"/>
      <c r="AG31" s="92"/>
      <c r="AI31" s="1156"/>
      <c r="AJ31" s="1160"/>
      <c r="AK31" s="1158"/>
      <c r="AL31" s="1159"/>
      <c r="AM31" s="133"/>
      <c r="AO31" s="1156"/>
      <c r="AP31" s="1160"/>
      <c r="AQ31" s="92"/>
      <c r="AS31" s="1156"/>
      <c r="AT31" s="1160"/>
      <c r="AU31" s="1158"/>
      <c r="AV31" s="1159"/>
      <c r="AW31" s="484"/>
      <c r="AY31" s="1156"/>
      <c r="AZ31" s="1160"/>
      <c r="BA31" s="658"/>
      <c r="BC31" s="1156"/>
      <c r="BD31" s="1160"/>
      <c r="BE31" s="658"/>
      <c r="BF31" s="133"/>
      <c r="BH31" s="1156"/>
      <c r="BI31" s="1160"/>
      <c r="BJ31" s="658"/>
      <c r="BL31" s="625"/>
      <c r="BM31" s="625"/>
    </row>
    <row r="32" spans="1:71" x14ac:dyDescent="0.35">
      <c r="A32" s="220"/>
      <c r="B32" s="220"/>
      <c r="F32" s="106"/>
      <c r="H32" s="106"/>
      <c r="I32" s="106"/>
      <c r="J32" s="221"/>
      <c r="L32" s="106"/>
      <c r="O32" s="106"/>
      <c r="P32" s="106"/>
      <c r="Q32" s="106"/>
      <c r="R32" s="106"/>
      <c r="S32" s="221"/>
      <c r="U32" s="106"/>
      <c r="V32" s="106"/>
      <c r="Y32" s="106"/>
      <c r="Z32" s="106"/>
      <c r="AA32" s="106"/>
      <c r="AB32" s="106"/>
      <c r="AC32" s="221"/>
      <c r="AE32" s="106"/>
      <c r="AF32" s="106"/>
      <c r="AI32" s="106"/>
      <c r="AJ32" s="106"/>
      <c r="AK32" s="106"/>
      <c r="AL32" s="106"/>
      <c r="AM32" s="221"/>
      <c r="AO32" s="106"/>
      <c r="AP32" s="106"/>
      <c r="AS32" s="106"/>
      <c r="AT32" s="106"/>
      <c r="AU32" s="106"/>
      <c r="AV32" s="106"/>
      <c r="AW32" s="221"/>
      <c r="AY32" s="106"/>
      <c r="AZ32" s="106"/>
      <c r="BC32" s="106"/>
      <c r="BD32" s="106"/>
      <c r="BE32"/>
      <c r="BF32" s="221"/>
      <c r="BH32" s="106"/>
      <c r="BI32" s="106"/>
    </row>
    <row r="33" spans="1:65" ht="27.75" customHeight="1" x14ac:dyDescent="0.35">
      <c r="A33" s="9167" t="s">
        <v>503</v>
      </c>
      <c r="B33" s="27"/>
      <c r="C33" s="28" t="s">
        <v>427</v>
      </c>
      <c r="D33" s="585" t="s">
        <v>428</v>
      </c>
      <c r="E33" s="30"/>
      <c r="F33" s="222"/>
      <c r="G33" s="223"/>
      <c r="H33" s="31"/>
      <c r="I33" s="222"/>
      <c r="J33" s="224"/>
      <c r="K33" s="223"/>
      <c r="L33" s="222"/>
      <c r="M33" s="511"/>
      <c r="N33" s="30"/>
      <c r="O33" s="31" t="s">
        <v>4885</v>
      </c>
      <c r="P33" s="633"/>
      <c r="Q33" s="36"/>
      <c r="R33" s="581"/>
      <c r="S33" s="224"/>
      <c r="T33" s="223"/>
      <c r="U33" s="36"/>
      <c r="V33" s="581"/>
      <c r="W33" s="511"/>
      <c r="X33" s="30"/>
      <c r="Y33" s="31" t="s">
        <v>4887</v>
      </c>
      <c r="Z33" s="633"/>
      <c r="AA33" s="31" t="s">
        <v>4941</v>
      </c>
      <c r="AB33" s="581"/>
      <c r="AC33" s="224"/>
      <c r="AD33" s="223"/>
      <c r="AE33" s="36"/>
      <c r="AF33" s="581"/>
      <c r="AG33" s="511"/>
      <c r="AH33" s="30"/>
      <c r="AI33" s="36"/>
      <c r="AJ33" s="581"/>
      <c r="AK33" s="31" t="s">
        <v>4942</v>
      </c>
      <c r="AL33" s="581"/>
      <c r="AM33" s="224"/>
      <c r="AN33" s="223"/>
      <c r="AO33" s="36"/>
      <c r="AP33" s="581"/>
      <c r="AQ33" s="511"/>
      <c r="AR33" s="30"/>
      <c r="AS33" s="31" t="s">
        <v>4892</v>
      </c>
      <c r="AT33" s="473"/>
      <c r="AU33" s="31" t="s">
        <v>4943</v>
      </c>
      <c r="AV33" s="473"/>
      <c r="AW33" s="224"/>
      <c r="AX33" s="223"/>
      <c r="AY33" s="31" t="s">
        <v>4943</v>
      </c>
      <c r="AZ33" s="473"/>
      <c r="BA33" s="36" t="s">
        <v>4895</v>
      </c>
      <c r="BB33" s="30"/>
      <c r="BC33" s="31" t="s">
        <v>4943</v>
      </c>
      <c r="BD33" s="581"/>
      <c r="BE33" s="36" t="s">
        <v>4895</v>
      </c>
      <c r="BF33" s="224"/>
      <c r="BG33" s="223"/>
      <c r="BH33" s="31" t="s">
        <v>4943</v>
      </c>
      <c r="BI33" s="581"/>
      <c r="BJ33" s="36" t="s">
        <v>4895</v>
      </c>
      <c r="BK33" s="30"/>
      <c r="BL33" s="39"/>
      <c r="BM33" s="39"/>
    </row>
    <row r="34" spans="1:65" x14ac:dyDescent="0.35">
      <c r="A34" s="9168"/>
      <c r="B34" s="141" t="s">
        <v>514</v>
      </c>
      <c r="C34"/>
      <c r="D34" s="184"/>
      <c r="E34" s="143"/>
      <c r="F34" s="227"/>
      <c r="G34" s="143"/>
      <c r="H34" s="102"/>
      <c r="I34" s="103"/>
      <c r="J34" s="228"/>
      <c r="K34" s="143"/>
      <c r="L34" s="102"/>
      <c r="M34" s="229"/>
      <c r="N34" s="143"/>
      <c r="O34" s="230" t="s">
        <v>4944</v>
      </c>
      <c r="P34" s="231"/>
      <c r="Q34" s="103"/>
      <c r="R34" s="231"/>
      <c r="S34" s="228"/>
      <c r="T34" s="143"/>
      <c r="U34" s="230"/>
      <c r="V34" s="231"/>
      <c r="W34" s="229"/>
      <c r="X34" s="143"/>
      <c r="Y34" s="230" t="s">
        <v>4944</v>
      </c>
      <c r="Z34" s="231"/>
      <c r="AA34" s="103"/>
      <c r="AB34" s="231"/>
      <c r="AC34" s="228"/>
      <c r="AD34" s="143"/>
      <c r="AE34" s="230"/>
      <c r="AF34" s="231"/>
      <c r="AG34" s="229"/>
      <c r="AH34" s="143"/>
      <c r="AI34" s="230"/>
      <c r="AJ34" s="231"/>
      <c r="AK34" s="103"/>
      <c r="AL34" s="231"/>
      <c r="AM34" s="228"/>
      <c r="AN34" s="143"/>
      <c r="AO34" s="230"/>
      <c r="AP34" s="231"/>
      <c r="AQ34" s="229"/>
      <c r="AR34" s="143"/>
      <c r="AS34" s="230" t="s">
        <v>423</v>
      </c>
      <c r="AT34" s="231"/>
      <c r="AU34" s="103" t="s">
        <v>4945</v>
      </c>
      <c r="AV34" s="231"/>
      <c r="AW34" s="228"/>
      <c r="AX34" s="143"/>
      <c r="AY34" s="230" t="s">
        <v>4697</v>
      </c>
      <c r="AZ34" s="231"/>
      <c r="BA34" s="3377" t="s">
        <v>4946</v>
      </c>
      <c r="BB34" s="143"/>
      <c r="BC34" s="230" t="s">
        <v>4697</v>
      </c>
      <c r="BD34" s="231"/>
      <c r="BE34" s="3377" t="s">
        <v>4946</v>
      </c>
      <c r="BF34" s="228"/>
      <c r="BG34" s="143"/>
      <c r="BH34" s="230" t="s">
        <v>4697</v>
      </c>
      <c r="BI34" s="231"/>
      <c r="BJ34" s="3377" t="s">
        <v>4946</v>
      </c>
      <c r="BK34" s="143"/>
      <c r="BL34" s="18"/>
      <c r="BM34" s="18"/>
    </row>
    <row r="35" spans="1:65" x14ac:dyDescent="0.35">
      <c r="A35" s="9168"/>
      <c r="B35" s="240"/>
      <c r="C35" s="240" t="s">
        <v>4947</v>
      </c>
      <c r="D35" s="197"/>
      <c r="F35" s="111">
        <v>92328.657999999996</v>
      </c>
      <c r="H35" s="112">
        <v>107720.796</v>
      </c>
      <c r="I35" s="243">
        <v>99359.502999999997</v>
      </c>
      <c r="J35" s="64">
        <f t="shared" ref="J35:J38" si="37">IF(H35=0,0,I35/H35)</f>
        <v>0.9223799553059373</v>
      </c>
      <c r="L35" s="242">
        <v>126795.205</v>
      </c>
      <c r="M35" s="157">
        <f t="shared" ref="M35:M38" si="38">L35*J35</f>
        <v>116953.35552090716</v>
      </c>
      <c r="O35" s="112">
        <v>126795.205</v>
      </c>
      <c r="P35" s="53" t="s">
        <v>4948</v>
      </c>
      <c r="Q35" s="594">
        <v>108861.55899999999</v>
      </c>
      <c r="R35" s="57" t="s">
        <v>4949</v>
      </c>
      <c r="S35" s="64">
        <f t="shared" ref="S35:S36" si="39">Q35/O35</f>
        <v>0.85856211202939414</v>
      </c>
      <c r="U35" s="593">
        <v>140393.24100000001</v>
      </c>
      <c r="V35" s="57" t="s">
        <v>4949</v>
      </c>
      <c r="W35" s="157">
        <f t="shared" ref="W35:W36" si="40">U35*S35</f>
        <v>120536.31750761173</v>
      </c>
      <c r="Y35" s="112">
        <v>140393.24100000001</v>
      </c>
      <c r="Z35" s="53" t="s">
        <v>4950</v>
      </c>
      <c r="AA35" s="594">
        <v>123608.44899999999</v>
      </c>
      <c r="AB35" s="57" t="s">
        <v>4951</v>
      </c>
      <c r="AC35" s="64">
        <f t="shared" ref="AC35:AC36" si="41">AA35/Y35</f>
        <v>0.88044444390310772</v>
      </c>
      <c r="AE35" s="593">
        <v>155869.24100000001</v>
      </c>
      <c r="AF35" s="57" t="s">
        <v>4951</v>
      </c>
      <c r="AG35" s="157">
        <f t="shared" ref="AG35:AG36" si="42">AE35*AC35</f>
        <v>137234.20721384449</v>
      </c>
      <c r="AI35" s="593">
        <v>155869.24100000001</v>
      </c>
      <c r="AJ35" s="57" t="s">
        <v>4951</v>
      </c>
      <c r="AK35" s="594">
        <v>133518.71</v>
      </c>
      <c r="AL35" s="57" t="s">
        <v>4951</v>
      </c>
      <c r="AM35" s="64">
        <f t="shared" ref="AM35:AM36" si="43">AK35/AI35</f>
        <v>0.85660717370144879</v>
      </c>
      <c r="AO35" s="593">
        <v>165116.978</v>
      </c>
      <c r="AP35" s="57" t="s">
        <v>4951</v>
      </c>
      <c r="AQ35" s="157">
        <f t="shared" ref="AQ35:AQ36" si="44">AO35*AM35</f>
        <v>141440.38785470431</v>
      </c>
      <c r="AS35" s="593">
        <v>165116.978</v>
      </c>
      <c r="AT35" s="57" t="s">
        <v>4951</v>
      </c>
      <c r="AU35" s="594">
        <v>151776.10999999999</v>
      </c>
      <c r="AV35" s="57" t="s">
        <v>4952</v>
      </c>
      <c r="AW35" s="476">
        <f t="shared" ref="AW35:AW36" si="45">AU35/AS35</f>
        <v>0.9192035358108358</v>
      </c>
      <c r="AY35" s="593">
        <v>177999.133</v>
      </c>
      <c r="AZ35" s="57" t="s">
        <v>4952</v>
      </c>
      <c r="BA35" s="623">
        <f>126108+1304+13696+3504</f>
        <v>144612</v>
      </c>
      <c r="BC35" s="593">
        <v>177999.133</v>
      </c>
      <c r="BD35" s="57" t="s">
        <v>4952</v>
      </c>
      <c r="BE35" s="623">
        <f>126108+1304+13696+3504</f>
        <v>144612</v>
      </c>
      <c r="BF35" s="64">
        <f>BE35/BC35</f>
        <v>0.81243092346972279</v>
      </c>
      <c r="BH35" s="593">
        <v>215862.91899999999</v>
      </c>
      <c r="BI35" s="57" t="s">
        <v>4952</v>
      </c>
      <c r="BJ35" s="66">
        <f t="shared" ref="BJ35:BJ36" si="46">BH35*BF35</f>
        <v>175373.71062603997</v>
      </c>
      <c r="BL35" s="26"/>
      <c r="BM35" s="26"/>
    </row>
    <row r="36" spans="1:65" x14ac:dyDescent="0.35">
      <c r="A36" s="9168"/>
      <c r="B36" s="240"/>
      <c r="C36" s="240" t="s">
        <v>4953</v>
      </c>
      <c r="D36" s="197"/>
      <c r="F36" s="155">
        <v>5527.0039999999999</v>
      </c>
      <c r="H36" s="117">
        <v>5836.5749999999998</v>
      </c>
      <c r="I36" s="115">
        <v>5722.1310000000003</v>
      </c>
      <c r="J36" s="64">
        <f t="shared" si="37"/>
        <v>0.9803919250587888</v>
      </c>
      <c r="L36" s="117">
        <v>7627.0590000000002</v>
      </c>
      <c r="M36" s="157">
        <f t="shared" si="38"/>
        <v>7477.5070555469611</v>
      </c>
      <c r="O36" s="112">
        <v>7627.0590000000002</v>
      </c>
      <c r="P36" s="1161" t="s">
        <v>4954</v>
      </c>
      <c r="Q36" s="594">
        <v>6252.3180000000002</v>
      </c>
      <c r="R36" s="57" t="s">
        <v>4955</v>
      </c>
      <c r="S36" s="64">
        <f t="shared" si="39"/>
        <v>0.81975477048230516</v>
      </c>
      <c r="U36" s="593">
        <v>11380.322</v>
      </c>
      <c r="V36" s="57" t="s">
        <v>4955</v>
      </c>
      <c r="W36" s="157">
        <f t="shared" si="40"/>
        <v>9329.073249124729</v>
      </c>
      <c r="Y36" s="112">
        <v>11380.322</v>
      </c>
      <c r="Z36" s="1161" t="s">
        <v>4956</v>
      </c>
      <c r="AA36" s="594">
        <v>8329.7379999999994</v>
      </c>
      <c r="AB36" s="57" t="s">
        <v>4957</v>
      </c>
      <c r="AC36" s="64">
        <f t="shared" si="41"/>
        <v>0.73194220690767797</v>
      </c>
      <c r="AE36" s="593">
        <v>12478.679</v>
      </c>
      <c r="AF36" s="57" t="s">
        <v>4957</v>
      </c>
      <c r="AG36" s="157">
        <f t="shared" si="42"/>
        <v>9133.6718465524955</v>
      </c>
      <c r="AI36" s="593">
        <v>12478.679</v>
      </c>
      <c r="AJ36" s="57" t="s">
        <v>4957</v>
      </c>
      <c r="AK36" s="594">
        <v>10477.511</v>
      </c>
      <c r="AL36" s="57" t="s">
        <v>4957</v>
      </c>
      <c r="AM36" s="64">
        <f t="shared" si="43"/>
        <v>0.83963302525852301</v>
      </c>
      <c r="AO36" s="593">
        <v>13425.183999999999</v>
      </c>
      <c r="AP36" s="57" t="s">
        <v>4957</v>
      </c>
      <c r="AQ36" s="157">
        <f t="shared" si="44"/>
        <v>11272.227856572319</v>
      </c>
      <c r="AS36" s="593">
        <v>13425.183999999999</v>
      </c>
      <c r="AT36" s="57" t="s">
        <v>4957</v>
      </c>
      <c r="AU36" s="594">
        <v>12265.619000000001</v>
      </c>
      <c r="AV36" s="57" t="s">
        <v>4958</v>
      </c>
      <c r="AW36" s="476">
        <f t="shared" si="45"/>
        <v>0.91362762700310118</v>
      </c>
      <c r="AY36" s="593">
        <v>12094.089</v>
      </c>
      <c r="AZ36" s="57" t="s">
        <v>4958</v>
      </c>
      <c r="BA36" s="623">
        <f>7512+1537+704</f>
        <v>9753</v>
      </c>
      <c r="BC36" s="593">
        <v>12094.089</v>
      </c>
      <c r="BD36" s="57" t="s">
        <v>4958</v>
      </c>
      <c r="BE36" s="623">
        <f>7512+1537+704</f>
        <v>9753</v>
      </c>
      <c r="BF36" s="64">
        <f>BE36/BC36</f>
        <v>0.80642700744140383</v>
      </c>
      <c r="BH36" s="593">
        <v>25542.996999999999</v>
      </c>
      <c r="BI36" s="57" t="s">
        <v>4958</v>
      </c>
      <c r="BJ36" s="66">
        <f t="shared" si="46"/>
        <v>20598.562631794754</v>
      </c>
      <c r="BL36" s="26"/>
      <c r="BM36" s="26"/>
    </row>
    <row r="37" spans="1:65" x14ac:dyDescent="0.35">
      <c r="A37" s="9168"/>
      <c r="B37" s="241"/>
      <c r="C37" s="241" t="s">
        <v>534</v>
      </c>
      <c r="D37" s="197"/>
      <c r="F37" s="163"/>
      <c r="H37" s="242"/>
      <c r="I37" s="243"/>
      <c r="J37" s="64">
        <f t="shared" si="37"/>
        <v>0</v>
      </c>
      <c r="L37" s="242"/>
      <c r="M37" s="157">
        <f t="shared" si="38"/>
        <v>0</v>
      </c>
      <c r="O37" s="112"/>
      <c r="P37" s="120"/>
      <c r="Q37" s="594"/>
      <c r="R37" s="57"/>
      <c r="S37" s="64"/>
      <c r="U37" s="593"/>
      <c r="V37" s="57"/>
      <c r="W37" s="157"/>
      <c r="Y37" s="112"/>
      <c r="Z37" s="120"/>
      <c r="AA37" s="594"/>
      <c r="AB37" s="57"/>
      <c r="AC37" s="64"/>
      <c r="AE37" s="593"/>
      <c r="AF37" s="57"/>
      <c r="AG37" s="157"/>
      <c r="AI37" s="593"/>
      <c r="AJ37" s="57"/>
      <c r="AK37" s="594"/>
      <c r="AL37" s="57"/>
      <c r="AM37" s="64"/>
      <c r="AO37" s="593"/>
      <c r="AP37" s="57"/>
      <c r="AQ37" s="157"/>
      <c r="AS37" s="593"/>
      <c r="AT37" s="57"/>
      <c r="AU37" s="594"/>
      <c r="AV37" s="57"/>
      <c r="AW37" s="476"/>
      <c r="AY37" s="593"/>
      <c r="AZ37" s="57"/>
      <c r="BA37" s="623"/>
      <c r="BC37" s="593"/>
      <c r="BD37" s="57"/>
      <c r="BE37" s="623"/>
      <c r="BF37" s="64"/>
      <c r="BH37" s="593"/>
      <c r="BI37" s="57"/>
      <c r="BJ37" s="66"/>
      <c r="BL37" s="26"/>
      <c r="BM37" s="26"/>
    </row>
    <row r="38" spans="1:65" x14ac:dyDescent="0.35">
      <c r="A38" s="9168"/>
      <c r="B38" s="241"/>
      <c r="C38" s="241" t="s">
        <v>536</v>
      </c>
      <c r="D38" s="197"/>
      <c r="F38" s="163"/>
      <c r="H38" s="242"/>
      <c r="I38" s="243"/>
      <c r="J38" s="64">
        <f t="shared" si="37"/>
        <v>0</v>
      </c>
      <c r="L38" s="242"/>
      <c r="M38" s="157">
        <f t="shared" si="38"/>
        <v>0</v>
      </c>
      <c r="O38" s="112"/>
      <c r="P38" s="120"/>
      <c r="Q38" s="594"/>
      <c r="R38" s="57"/>
      <c r="S38" s="64"/>
      <c r="U38" s="593"/>
      <c r="V38" s="57"/>
      <c r="W38" s="157"/>
      <c r="Y38" s="112"/>
      <c r="Z38" s="120"/>
      <c r="AA38" s="594"/>
      <c r="AB38" s="57"/>
      <c r="AC38" s="64"/>
      <c r="AE38" s="593"/>
      <c r="AF38" s="57"/>
      <c r="AG38" s="157"/>
      <c r="AI38" s="593"/>
      <c r="AJ38" s="57"/>
      <c r="AK38" s="594"/>
      <c r="AL38" s="57"/>
      <c r="AM38" s="64"/>
      <c r="AO38" s="593"/>
      <c r="AP38" s="57"/>
      <c r="AQ38" s="157"/>
      <c r="AS38" s="593"/>
      <c r="AT38" s="57"/>
      <c r="AU38" s="594"/>
      <c r="AV38" s="57"/>
      <c r="AW38" s="476"/>
      <c r="AY38" s="593"/>
      <c r="AZ38" s="57"/>
      <c r="BA38" s="623"/>
      <c r="BC38" s="593"/>
      <c r="BD38" s="57"/>
      <c r="BE38" s="623"/>
      <c r="BF38" s="64"/>
      <c r="BH38" s="593"/>
      <c r="BI38" s="57"/>
      <c r="BJ38" s="66"/>
      <c r="BL38" s="26"/>
      <c r="BM38" s="26"/>
    </row>
    <row r="39" spans="1:65" x14ac:dyDescent="0.35">
      <c r="A39" s="9168"/>
      <c r="B39" s="141" t="s">
        <v>531</v>
      </c>
      <c r="C39"/>
      <c r="D39" s="197"/>
      <c r="E39" s="143"/>
      <c r="F39" s="168"/>
      <c r="G39" s="143"/>
      <c r="H39" s="245"/>
      <c r="I39" s="106"/>
      <c r="J39" s="246"/>
      <c r="K39" s="143"/>
      <c r="L39" s="245"/>
      <c r="M39" s="247"/>
      <c r="N39" s="143"/>
      <c r="O39" s="245"/>
      <c r="P39" s="106"/>
      <c r="Q39" s="106"/>
      <c r="R39" s="106"/>
      <c r="S39" s="246"/>
      <c r="T39" s="143"/>
      <c r="U39" s="245"/>
      <c r="V39" s="106"/>
      <c r="W39" s="247"/>
      <c r="X39" s="143"/>
      <c r="Y39" s="245"/>
      <c r="Z39" s="106"/>
      <c r="AA39" s="106"/>
      <c r="AB39" s="106"/>
      <c r="AC39" s="246"/>
      <c r="AD39" s="143"/>
      <c r="AE39" s="245"/>
      <c r="AF39" s="106"/>
      <c r="AG39" s="247"/>
      <c r="AH39" s="143"/>
      <c r="AI39" s="245"/>
      <c r="AJ39" s="106"/>
      <c r="AK39" s="106"/>
      <c r="AL39" s="106"/>
      <c r="AM39" s="246"/>
      <c r="AN39" s="143"/>
      <c r="AO39" s="245"/>
      <c r="AP39" s="106"/>
      <c r="AQ39" s="247"/>
      <c r="AR39" s="143"/>
      <c r="AS39" s="245"/>
      <c r="AT39" s="106"/>
      <c r="AU39" s="106"/>
      <c r="AV39" s="106"/>
      <c r="AW39" s="246"/>
      <c r="AX39" s="143"/>
      <c r="AY39" s="245"/>
      <c r="AZ39" s="106"/>
      <c r="BA39" s="66"/>
      <c r="BB39" s="143"/>
      <c r="BC39" s="245"/>
      <c r="BD39" s="106"/>
      <c r="BE39" s="66"/>
      <c r="BF39" s="246"/>
      <c r="BG39" s="143"/>
      <c r="BH39" s="245"/>
      <c r="BI39" s="106"/>
      <c r="BJ39" s="66"/>
      <c r="BK39" s="143"/>
      <c r="BL39" s="18"/>
      <c r="BM39" s="18"/>
    </row>
    <row r="40" spans="1:65" x14ac:dyDescent="0.35">
      <c r="A40" s="9168"/>
      <c r="B40" s="240"/>
      <c r="C40" s="240" t="s">
        <v>532</v>
      </c>
      <c r="D40" s="197"/>
      <c r="F40" s="111"/>
      <c r="H40" s="112"/>
      <c r="I40" s="113"/>
      <c r="J40" s="64">
        <f t="shared" ref="J40:J42" si="47">IF(H40=0,0,I40/H40)</f>
        <v>0</v>
      </c>
      <c r="L40" s="112"/>
      <c r="M40" s="157">
        <f t="shared" ref="M40:M42" si="48">L40*J40</f>
        <v>0</v>
      </c>
      <c r="O40" s="248"/>
      <c r="P40" s="106"/>
      <c r="Q40" s="233"/>
      <c r="R40" s="106"/>
      <c r="S40" s="64"/>
      <c r="U40" s="112"/>
      <c r="V40" s="106"/>
      <c r="W40" s="157"/>
      <c r="Y40" s="248"/>
      <c r="Z40" s="106"/>
      <c r="AA40" s="233"/>
      <c r="AB40" s="106"/>
      <c r="AC40" s="64"/>
      <c r="AE40" s="112"/>
      <c r="AF40" s="106"/>
      <c r="AG40" s="157"/>
      <c r="AI40" s="112"/>
      <c r="AJ40" s="106"/>
      <c r="AK40" s="233"/>
      <c r="AL40" s="106"/>
      <c r="AM40" s="64"/>
      <c r="AO40" s="112"/>
      <c r="AP40" s="106"/>
      <c r="AQ40" s="157"/>
      <c r="AS40" s="112"/>
      <c r="AT40" s="106"/>
      <c r="AU40" s="233"/>
      <c r="AV40" s="106"/>
      <c r="AW40" s="476"/>
      <c r="AY40" s="112"/>
      <c r="AZ40" s="106"/>
      <c r="BA40" s="1034"/>
      <c r="BC40" s="112"/>
      <c r="BD40" s="106"/>
      <c r="BE40" s="1034"/>
      <c r="BF40" s="64"/>
      <c r="BH40" s="112"/>
      <c r="BI40" s="106"/>
      <c r="BJ40" s="1034"/>
      <c r="BL40" s="26"/>
      <c r="BM40" s="26"/>
    </row>
    <row r="41" spans="1:65" x14ac:dyDescent="0.35">
      <c r="A41" s="9168"/>
      <c r="B41" s="240"/>
      <c r="C41" s="240" t="s">
        <v>533</v>
      </c>
      <c r="D41" s="197"/>
      <c r="F41" s="155"/>
      <c r="H41" s="117"/>
      <c r="I41" s="115"/>
      <c r="J41" s="64">
        <f t="shared" si="47"/>
        <v>0</v>
      </c>
      <c r="L41" s="117"/>
      <c r="M41" s="157">
        <f t="shared" si="48"/>
        <v>0</v>
      </c>
      <c r="O41" s="200"/>
      <c r="P41" s="106"/>
      <c r="Q41" s="201"/>
      <c r="R41" s="106"/>
      <c r="S41" s="64"/>
      <c r="U41" s="117"/>
      <c r="V41" s="106"/>
      <c r="W41" s="157"/>
      <c r="Y41" s="200"/>
      <c r="Z41" s="106"/>
      <c r="AA41" s="201"/>
      <c r="AB41" s="106"/>
      <c r="AC41" s="64"/>
      <c r="AE41" s="117"/>
      <c r="AF41" s="106"/>
      <c r="AG41" s="157"/>
      <c r="AI41" s="117"/>
      <c r="AJ41" s="106"/>
      <c r="AK41" s="201"/>
      <c r="AL41" s="106"/>
      <c r="AM41" s="64"/>
      <c r="AO41" s="117"/>
      <c r="AP41" s="106"/>
      <c r="AQ41" s="157"/>
      <c r="AS41" s="117"/>
      <c r="AT41" s="106"/>
      <c r="AU41" s="201"/>
      <c r="AV41" s="106"/>
      <c r="AW41" s="476"/>
      <c r="AY41" s="117"/>
      <c r="AZ41" s="106"/>
      <c r="BA41" s="273"/>
      <c r="BC41" s="117"/>
      <c r="BD41" s="106"/>
      <c r="BE41" s="273"/>
      <c r="BF41" s="64"/>
      <c r="BH41" s="117"/>
      <c r="BI41" s="106"/>
      <c r="BJ41" s="273"/>
      <c r="BL41" s="26"/>
      <c r="BM41" s="26"/>
    </row>
    <row r="42" spans="1:65" x14ac:dyDescent="0.35">
      <c r="A42" s="9168"/>
      <c r="B42" s="250"/>
      <c r="C42" s="250" t="s">
        <v>534</v>
      </c>
      <c r="D42" s="209"/>
      <c r="F42" s="130"/>
      <c r="H42" s="242"/>
      <c r="I42" s="243"/>
      <c r="J42" s="64">
        <f t="shared" si="47"/>
        <v>0</v>
      </c>
      <c r="L42" s="131"/>
      <c r="M42" s="213">
        <f t="shared" si="48"/>
        <v>0</v>
      </c>
      <c r="O42" s="164"/>
      <c r="P42" s="216"/>
      <c r="Q42" s="215"/>
      <c r="R42" s="216"/>
      <c r="S42" s="64"/>
      <c r="U42" s="131"/>
      <c r="V42" s="216"/>
      <c r="W42" s="213"/>
      <c r="Y42" s="164"/>
      <c r="Z42" s="216"/>
      <c r="AA42" s="215"/>
      <c r="AB42" s="216"/>
      <c r="AC42" s="64"/>
      <c r="AE42" s="131"/>
      <c r="AF42" s="216"/>
      <c r="AG42" s="213"/>
      <c r="AI42" s="131"/>
      <c r="AJ42" s="216"/>
      <c r="AK42" s="215"/>
      <c r="AL42" s="216"/>
      <c r="AM42" s="64"/>
      <c r="AO42" s="131"/>
      <c r="AP42" s="216"/>
      <c r="AQ42" s="213"/>
      <c r="AS42" s="131"/>
      <c r="AT42" s="216"/>
      <c r="AU42" s="215"/>
      <c r="AV42" s="216"/>
      <c r="AW42" s="476"/>
      <c r="AY42" s="131"/>
      <c r="AZ42" s="216"/>
      <c r="BA42" s="658"/>
      <c r="BC42" s="131"/>
      <c r="BD42" s="216"/>
      <c r="BE42" s="658"/>
      <c r="BF42" s="64"/>
      <c r="BH42" s="131"/>
      <c r="BI42" s="216"/>
      <c r="BJ42" s="658"/>
      <c r="BL42" s="24"/>
      <c r="BM42" s="24"/>
    </row>
    <row r="43" spans="1:65" ht="29" x14ac:dyDescent="0.35">
      <c r="A43" s="9168"/>
      <c r="B43" s="141" t="s">
        <v>535</v>
      </c>
      <c r="C43" s="141"/>
      <c r="D43" s="197"/>
      <c r="E43" s="143"/>
      <c r="F43" s="227"/>
      <c r="G43" s="143"/>
      <c r="H43" s="102"/>
      <c r="I43" s="103"/>
      <c r="J43" s="252"/>
      <c r="K43" s="143"/>
      <c r="L43" s="245"/>
      <c r="M43" s="247"/>
      <c r="N43" s="143"/>
      <c r="O43" s="230"/>
      <c r="P43" s="231"/>
      <c r="Q43" s="103"/>
      <c r="R43" s="57"/>
      <c r="S43" s="252"/>
      <c r="T43" s="143"/>
      <c r="U43" s="230"/>
      <c r="V43" s="57"/>
      <c r="W43" s="247"/>
      <c r="X43" s="143"/>
      <c r="Y43" s="230"/>
      <c r="Z43" s="231" t="s">
        <v>4959</v>
      </c>
      <c r="AA43" s="103"/>
      <c r="AB43" s="57"/>
      <c r="AC43" s="252"/>
      <c r="AD43" s="143"/>
      <c r="AE43" s="230"/>
      <c r="AF43" s="57" t="s">
        <v>4959</v>
      </c>
      <c r="AG43" s="247"/>
      <c r="AH43" s="143"/>
      <c r="AI43" s="230"/>
      <c r="AJ43" s="57" t="s">
        <v>4959</v>
      </c>
      <c r="AK43" s="1162" t="s">
        <v>4960</v>
      </c>
      <c r="AL43" s="57"/>
      <c r="AM43" s="252"/>
      <c r="AN43" s="143"/>
      <c r="AO43" s="230"/>
      <c r="AP43" s="57" t="s">
        <v>4959</v>
      </c>
      <c r="AQ43" s="247"/>
      <c r="AR43" s="143"/>
      <c r="AS43" s="7352" t="s">
        <v>4961</v>
      </c>
      <c r="AT43" s="2900" t="s">
        <v>4962</v>
      </c>
      <c r="AU43" s="1162"/>
      <c r="AV43" s="57"/>
      <c r="AW43" s="516"/>
      <c r="AX43" s="143"/>
      <c r="AY43" s="230" t="s">
        <v>4963</v>
      </c>
      <c r="AZ43" s="4665" t="s">
        <v>4961</v>
      </c>
      <c r="BA43" s="268" t="s">
        <v>4964</v>
      </c>
      <c r="BB43" s="143"/>
      <c r="BC43" s="230" t="s">
        <v>4963</v>
      </c>
      <c r="BD43" s="4665" t="s">
        <v>4961</v>
      </c>
      <c r="BE43" s="268" t="s">
        <v>4964</v>
      </c>
      <c r="BF43" s="252"/>
      <c r="BG43" s="143"/>
      <c r="BH43" s="230" t="s">
        <v>4963</v>
      </c>
      <c r="BI43" s="4665" t="s">
        <v>4961</v>
      </c>
      <c r="BJ43" s="268" t="s">
        <v>4964</v>
      </c>
      <c r="BK43" s="143"/>
      <c r="BL43" s="26"/>
      <c r="BM43" s="26"/>
    </row>
    <row r="44" spans="1:65" ht="24.75" customHeight="1" x14ac:dyDescent="0.35">
      <c r="A44" s="9168"/>
      <c r="B44" s="240"/>
      <c r="C44" s="240" t="s">
        <v>4965</v>
      </c>
      <c r="D44" s="197"/>
      <c r="F44" s="111"/>
      <c r="H44" s="112">
        <v>952.77700000000004</v>
      </c>
      <c r="I44" s="113"/>
      <c r="J44" s="64">
        <f t="shared" ref="J44:J50" si="49">IF(H44=0,0,I44/H44)</f>
        <v>0</v>
      </c>
      <c r="L44" s="112"/>
      <c r="M44" s="157">
        <f t="shared" ref="M44:M50" si="50">L44*J44</f>
        <v>0</v>
      </c>
      <c r="O44" s="1163"/>
      <c r="P44" s="645"/>
      <c r="Q44" s="1164"/>
      <c r="R44" s="57"/>
      <c r="S44" s="64"/>
      <c r="T44" s="143"/>
      <c r="U44" s="1163"/>
      <c r="V44" s="57"/>
      <c r="W44" s="157"/>
      <c r="Y44" s="1163">
        <f>2584.30327+1714.464757+1281.376</f>
        <v>5580.1440270000003</v>
      </c>
      <c r="Z44" s="645" t="s">
        <v>4966</v>
      </c>
      <c r="AA44" s="1165">
        <f>Y44</f>
        <v>5580.1440270000003</v>
      </c>
      <c r="AB44" s="57"/>
      <c r="AC44" s="64">
        <f t="shared" ref="AC44:AC45" si="51">AA44/Y44</f>
        <v>1</v>
      </c>
      <c r="AD44" s="143"/>
      <c r="AE44" s="1163">
        <v>4769.8169500000004</v>
      </c>
      <c r="AF44" s="57" t="s">
        <v>4967</v>
      </c>
      <c r="AG44" s="157">
        <f t="shared" ref="AG44:AG45" si="52">AE44*AC44</f>
        <v>4769.8169500000004</v>
      </c>
      <c r="AI44" s="1163">
        <v>4769.8169500000004</v>
      </c>
      <c r="AJ44" s="57" t="s">
        <v>4967</v>
      </c>
      <c r="AK44" s="1165">
        <f>AI44</f>
        <v>4769.8169500000004</v>
      </c>
      <c r="AL44" s="57" t="s">
        <v>4968</v>
      </c>
      <c r="AM44" s="126">
        <f t="shared" ref="AM44:AM45" si="53">AK44/AI44</f>
        <v>1</v>
      </c>
      <c r="AN44" s="143"/>
      <c r="AO44" s="1163">
        <v>5843.8649999999998</v>
      </c>
      <c r="AP44" s="57" t="s">
        <v>4969</v>
      </c>
      <c r="AQ44" s="157">
        <f t="shared" ref="AQ44:AQ45" si="54">AO44*AM44</f>
        <v>5843.8649999999998</v>
      </c>
      <c r="AS44" s="1170">
        <v>4873</v>
      </c>
      <c r="AT44" s="57" t="s">
        <v>4963</v>
      </c>
      <c r="AU44" s="201">
        <v>4852</v>
      </c>
      <c r="AV44" s="57" t="s">
        <v>4963</v>
      </c>
      <c r="AW44" s="7353">
        <f t="shared" ref="AW44:AW45" si="55">AU44/AS44</f>
        <v>0.99569053970859844</v>
      </c>
      <c r="AX44" s="143"/>
      <c r="AY44" s="1163">
        <v>5843.8649999999998</v>
      </c>
      <c r="AZ44" s="57"/>
      <c r="BA44" s="1794">
        <v>4319</v>
      </c>
      <c r="BC44" s="1163">
        <v>5843.8649999999998</v>
      </c>
      <c r="BD44" s="57"/>
      <c r="BE44" s="1794">
        <v>4319</v>
      </c>
      <c r="BF44" s="126">
        <f>BE44/BC44</f>
        <v>0.73906566972371879</v>
      </c>
      <c r="BG44" s="143"/>
      <c r="BH44" s="8557">
        <f>BC44</f>
        <v>5843.8649999999998</v>
      </c>
      <c r="BI44" s="57"/>
      <c r="BJ44" s="66">
        <f t="shared" ref="BJ44" si="56">BH44*BF44</f>
        <v>4319</v>
      </c>
      <c r="BL44" s="257"/>
      <c r="BM44" s="257"/>
    </row>
    <row r="45" spans="1:65" x14ac:dyDescent="0.35">
      <c r="A45" s="9168"/>
      <c r="B45" s="240"/>
      <c r="C45" s="240" t="s">
        <v>533</v>
      </c>
      <c r="D45" s="197"/>
      <c r="F45" s="155"/>
      <c r="H45" s="117"/>
      <c r="I45" s="115"/>
      <c r="J45" s="64">
        <f t="shared" si="49"/>
        <v>0</v>
      </c>
      <c r="L45" s="117"/>
      <c r="M45" s="157">
        <f t="shared" si="50"/>
        <v>0</v>
      </c>
      <c r="O45" s="595"/>
      <c r="P45" s="1166"/>
      <c r="Q45" s="642"/>
      <c r="R45" s="57"/>
      <c r="S45" s="64"/>
      <c r="U45" s="593"/>
      <c r="V45" s="57"/>
      <c r="W45" s="157"/>
      <c r="Y45" s="595">
        <f>2.02+40.765+21.753</f>
        <v>64.538000000000011</v>
      </c>
      <c r="Z45" s="1167" t="s">
        <v>4970</v>
      </c>
      <c r="AA45" s="1165">
        <f>Y45</f>
        <v>64.538000000000011</v>
      </c>
      <c r="AB45" s="57"/>
      <c r="AC45" s="64">
        <f t="shared" si="51"/>
        <v>1</v>
      </c>
      <c r="AE45" s="593">
        <f>1.8081+22.6851+39.0022</f>
        <v>63.495400000000004</v>
      </c>
      <c r="AF45" s="57" t="s">
        <v>4971</v>
      </c>
      <c r="AG45" s="157">
        <f t="shared" si="52"/>
        <v>63.495400000000004</v>
      </c>
      <c r="AI45" s="593">
        <f>1.8081+22.6851+39.0022</f>
        <v>63.495400000000004</v>
      </c>
      <c r="AJ45" s="57" t="s">
        <v>4971</v>
      </c>
      <c r="AK45" s="1165">
        <f>AI45</f>
        <v>63.495400000000004</v>
      </c>
      <c r="AL45" s="57"/>
      <c r="AM45" s="126">
        <f t="shared" si="53"/>
        <v>1</v>
      </c>
      <c r="AO45" s="1168">
        <f>AI45</f>
        <v>63.495400000000004</v>
      </c>
      <c r="AP45" s="57"/>
      <c r="AQ45" s="157">
        <f t="shared" si="54"/>
        <v>63.495400000000004</v>
      </c>
      <c r="AS45" s="1170"/>
      <c r="AT45" s="57" t="s">
        <v>4971</v>
      </c>
      <c r="AU45" s="201"/>
      <c r="AV45" s="57"/>
      <c r="AW45" s="7353" t="e">
        <f t="shared" si="55"/>
        <v>#DIV/0!</v>
      </c>
      <c r="AY45" s="1168"/>
      <c r="AZ45" s="57"/>
      <c r="BA45" s="1009"/>
      <c r="BC45" s="1168"/>
      <c r="BD45" s="57"/>
      <c r="BE45" s="1009"/>
      <c r="BF45" s="126" t="e">
        <f>BE45/BC45</f>
        <v>#DIV/0!</v>
      </c>
      <c r="BH45" s="1168"/>
      <c r="BI45" s="57"/>
      <c r="BJ45" s="1009"/>
      <c r="BL45" s="26"/>
      <c r="BM45" s="26"/>
    </row>
    <row r="46" spans="1:65" x14ac:dyDescent="0.35">
      <c r="A46" s="9168"/>
      <c r="B46" s="240"/>
      <c r="C46" s="240" t="s">
        <v>534</v>
      </c>
      <c r="D46" s="197"/>
      <c r="F46" s="155"/>
      <c r="H46" s="117"/>
      <c r="I46" s="115"/>
      <c r="J46" s="64">
        <f t="shared" si="49"/>
        <v>0</v>
      </c>
      <c r="L46" s="117"/>
      <c r="M46" s="157">
        <f t="shared" si="50"/>
        <v>0</v>
      </c>
      <c r="O46" s="595"/>
      <c r="P46" s="1169"/>
      <c r="Q46" s="643"/>
      <c r="R46" s="57"/>
      <c r="S46" s="64"/>
      <c r="U46" s="593"/>
      <c r="V46" s="57"/>
      <c r="W46" s="157"/>
      <c r="Y46" s="595"/>
      <c r="Z46" s="1167"/>
      <c r="AA46" s="1167"/>
      <c r="AB46" s="57"/>
      <c r="AC46" s="64"/>
      <c r="AE46" s="593"/>
      <c r="AF46" s="57"/>
      <c r="AG46" s="157"/>
      <c r="AI46" s="593"/>
      <c r="AJ46" s="57"/>
      <c r="AK46" s="1167"/>
      <c r="AL46" s="57"/>
      <c r="AM46" s="64"/>
      <c r="AO46" s="593"/>
      <c r="AP46" s="57"/>
      <c r="AQ46" s="157"/>
      <c r="AS46" s="1170"/>
      <c r="AT46" s="57"/>
      <c r="AU46" s="201"/>
      <c r="AV46" s="57"/>
      <c r="AW46" s="476"/>
      <c r="AY46" s="593"/>
      <c r="AZ46" s="57"/>
      <c r="BA46" s="1009"/>
      <c r="BC46" s="593"/>
      <c r="BD46" s="57"/>
      <c r="BE46" s="1009"/>
      <c r="BF46" s="64"/>
      <c r="BH46" s="593"/>
      <c r="BI46" s="57"/>
      <c r="BJ46" s="1009"/>
      <c r="BL46" s="26"/>
      <c r="BM46" s="26"/>
    </row>
    <row r="47" spans="1:65" x14ac:dyDescent="0.35">
      <c r="A47" s="9168"/>
      <c r="B47" s="240"/>
      <c r="C47" s="240" t="s">
        <v>536</v>
      </c>
      <c r="D47" s="197"/>
      <c r="F47" s="155"/>
      <c r="H47" s="117"/>
      <c r="I47" s="115"/>
      <c r="J47" s="64">
        <f t="shared" si="49"/>
        <v>0</v>
      </c>
      <c r="L47" s="117"/>
      <c r="M47" s="157">
        <f t="shared" si="50"/>
        <v>0</v>
      </c>
      <c r="O47" s="595"/>
      <c r="P47" s="1166"/>
      <c r="Q47" s="642"/>
      <c r="R47" s="645"/>
      <c r="S47" s="64"/>
      <c r="U47" s="1170"/>
      <c r="V47" s="645"/>
      <c r="W47" s="157"/>
      <c r="Y47" s="595"/>
      <c r="Z47" s="1167"/>
      <c r="AA47" s="1167"/>
      <c r="AB47" s="645"/>
      <c r="AC47" s="64"/>
      <c r="AE47" s="1170"/>
      <c r="AF47" s="645"/>
      <c r="AG47" s="157"/>
      <c r="AI47" s="1170"/>
      <c r="AJ47" s="645"/>
      <c r="AK47" s="1167"/>
      <c r="AL47" s="645"/>
      <c r="AM47" s="64"/>
      <c r="AO47" s="1170">
        <v>991.88699999999994</v>
      </c>
      <c r="AP47" s="1161" t="s">
        <v>4972</v>
      </c>
      <c r="AQ47" s="157"/>
      <c r="AS47" s="1170"/>
      <c r="AT47" s="645"/>
      <c r="AU47" s="201"/>
      <c r="AV47" s="645"/>
      <c r="AW47" s="476"/>
      <c r="AY47" s="1170"/>
      <c r="AZ47" s="1161"/>
      <c r="BA47" s="1009"/>
      <c r="BC47" s="1170"/>
      <c r="BD47" s="1161"/>
      <c r="BE47" s="1009"/>
      <c r="BF47" s="64"/>
      <c r="BH47" s="1170"/>
      <c r="BI47" s="1161"/>
      <c r="BJ47" s="1009"/>
      <c r="BL47" s="26"/>
      <c r="BM47" s="26"/>
    </row>
    <row r="48" spans="1:65" x14ac:dyDescent="0.35">
      <c r="A48" s="9168"/>
      <c r="B48" s="240"/>
      <c r="C48" s="240" t="s">
        <v>537</v>
      </c>
      <c r="D48" s="197"/>
      <c r="F48" s="155"/>
      <c r="H48" s="117"/>
      <c r="I48" s="115"/>
      <c r="J48" s="64">
        <f t="shared" si="49"/>
        <v>0</v>
      </c>
      <c r="L48" s="117"/>
      <c r="M48" s="157">
        <f t="shared" si="50"/>
        <v>0</v>
      </c>
      <c r="O48" s="595"/>
      <c r="P48" s="1169"/>
      <c r="Q48" s="643"/>
      <c r="R48" s="645"/>
      <c r="S48" s="1171"/>
      <c r="U48" s="1170"/>
      <c r="V48" s="645"/>
      <c r="W48" s="157"/>
      <c r="Y48" s="595"/>
      <c r="Z48" s="1167"/>
      <c r="AA48" s="1167"/>
      <c r="AB48" s="645"/>
      <c r="AC48" s="1171"/>
      <c r="AE48" s="1170"/>
      <c r="AF48" s="645"/>
      <c r="AG48" s="157"/>
      <c r="AI48" s="1170"/>
      <c r="AJ48" s="645"/>
      <c r="AK48" s="1167"/>
      <c r="AL48" s="645"/>
      <c r="AM48" s="1171"/>
      <c r="AO48" s="1170"/>
      <c r="AP48" s="645"/>
      <c r="AQ48" s="157"/>
      <c r="AS48" s="1170"/>
      <c r="AT48" s="645"/>
      <c r="AU48" s="201"/>
      <c r="AV48" s="645"/>
      <c r="AW48" s="1628"/>
      <c r="AY48" s="1170"/>
      <c r="AZ48" s="645"/>
      <c r="BA48" s="1009"/>
      <c r="BC48" s="1170"/>
      <c r="BD48" s="645"/>
      <c r="BE48" s="1009"/>
      <c r="BF48" s="1171"/>
      <c r="BH48" s="1170"/>
      <c r="BI48" s="645"/>
      <c r="BJ48" s="1009"/>
      <c r="BL48" s="26"/>
      <c r="BM48" s="26"/>
    </row>
    <row r="49" spans="1:65" x14ac:dyDescent="0.35">
      <c r="A49" s="9168"/>
      <c r="B49" s="240"/>
      <c r="C49" s="240" t="s">
        <v>538</v>
      </c>
      <c r="D49" s="197"/>
      <c r="F49" s="155"/>
      <c r="H49" s="117"/>
      <c r="I49" s="115"/>
      <c r="J49" s="64">
        <f t="shared" si="49"/>
        <v>0</v>
      </c>
      <c r="L49" s="117"/>
      <c r="M49" s="157">
        <f t="shared" si="50"/>
        <v>0</v>
      </c>
      <c r="O49" s="1172"/>
      <c r="P49" s="1173"/>
      <c r="Q49" s="1174"/>
      <c r="R49" s="1175"/>
      <c r="S49" s="64"/>
      <c r="U49" s="1176"/>
      <c r="V49" s="1175"/>
      <c r="W49" s="157"/>
      <c r="Y49" s="1172"/>
      <c r="Z49" s="1167"/>
      <c r="AA49" s="1167"/>
      <c r="AB49" s="1175"/>
      <c r="AC49" s="64"/>
      <c r="AE49" s="1176"/>
      <c r="AF49" s="1175"/>
      <c r="AG49" s="157"/>
      <c r="AI49" s="1176"/>
      <c r="AJ49" s="1175"/>
      <c r="AK49" s="1167"/>
      <c r="AL49" s="1175"/>
      <c r="AM49" s="64"/>
      <c r="AO49" s="1176"/>
      <c r="AP49" s="1175"/>
      <c r="AQ49" s="157"/>
      <c r="AS49" s="1176"/>
      <c r="AT49" s="1175"/>
      <c r="AU49" s="201"/>
      <c r="AV49" s="1175"/>
      <c r="AW49" s="476"/>
      <c r="AY49" s="1176"/>
      <c r="AZ49" s="1175"/>
      <c r="BA49" s="1009"/>
      <c r="BC49" s="1176"/>
      <c r="BD49" s="1175"/>
      <c r="BE49" s="1009"/>
      <c r="BF49" s="64"/>
      <c r="BH49" s="1176"/>
      <c r="BI49" s="1175"/>
      <c r="BJ49" s="1009"/>
      <c r="BL49" s="26"/>
      <c r="BM49" s="26"/>
    </row>
    <row r="50" spans="1:65" x14ac:dyDescent="0.35">
      <c r="A50" s="9168"/>
      <c r="B50" s="241"/>
      <c r="C50" s="241" t="s">
        <v>539</v>
      </c>
      <c r="D50" s="209"/>
      <c r="F50" s="130"/>
      <c r="H50" s="131"/>
      <c r="I50" s="132"/>
      <c r="J50" s="133">
        <f t="shared" si="49"/>
        <v>0</v>
      </c>
      <c r="L50" s="242"/>
      <c r="M50" s="157">
        <f t="shared" si="50"/>
        <v>0</v>
      </c>
      <c r="O50" s="602"/>
      <c r="P50" s="1177"/>
      <c r="Q50" s="603"/>
      <c r="R50" s="1178"/>
      <c r="S50" s="133"/>
      <c r="U50" s="1179"/>
      <c r="V50" s="1178"/>
      <c r="W50" s="157"/>
      <c r="Y50" s="602"/>
      <c r="Z50" s="1180"/>
      <c r="AA50" s="1181"/>
      <c r="AB50" s="1178"/>
      <c r="AC50" s="133"/>
      <c r="AE50" s="1179"/>
      <c r="AF50" s="1178"/>
      <c r="AG50" s="157"/>
      <c r="AI50" s="1179"/>
      <c r="AJ50" s="1178"/>
      <c r="AK50" s="1181"/>
      <c r="AL50" s="1178"/>
      <c r="AM50" s="133"/>
      <c r="AO50" s="1179"/>
      <c r="AP50" s="1178"/>
      <c r="AQ50" s="157"/>
      <c r="AS50" s="1179"/>
      <c r="AT50" s="1178"/>
      <c r="AU50" s="215"/>
      <c r="AV50" s="1178"/>
      <c r="AW50" s="484"/>
      <c r="AY50" s="7354"/>
      <c r="AZ50" s="1178"/>
      <c r="BA50" s="7151"/>
      <c r="BC50" s="7354"/>
      <c r="BD50" s="1178"/>
      <c r="BE50" s="7151"/>
      <c r="BF50" s="133"/>
      <c r="BH50" s="7354"/>
      <c r="BI50" s="1178"/>
      <c r="BJ50" s="7151"/>
      <c r="BL50" s="26"/>
      <c r="BM50" s="26"/>
    </row>
    <row r="51" spans="1:65" x14ac:dyDescent="0.35">
      <c r="A51" s="9168"/>
      <c r="B51" s="271" t="s">
        <v>540</v>
      </c>
      <c r="C51" s="271"/>
      <c r="D51" s="184"/>
      <c r="E51" s="141"/>
      <c r="F51" s="227"/>
      <c r="G51" s="141"/>
      <c r="H51" s="245"/>
      <c r="I51" s="106"/>
      <c r="J51" s="267"/>
      <c r="K51" s="141"/>
      <c r="L51" s="102"/>
      <c r="M51" s="268"/>
      <c r="N51" s="141"/>
      <c r="O51" s="245"/>
      <c r="P51" s="106"/>
      <c r="Q51" s="106"/>
      <c r="R51" s="106"/>
      <c r="S51" s="267"/>
      <c r="T51" s="141"/>
      <c r="U51" s="102"/>
      <c r="V51" s="106"/>
      <c r="W51" s="268"/>
      <c r="X51" s="141"/>
      <c r="Y51" s="245"/>
      <c r="Z51" s="106"/>
      <c r="AA51" s="106"/>
      <c r="AB51" s="106"/>
      <c r="AC51" s="267"/>
      <c r="AD51" s="141"/>
      <c r="AE51" s="102"/>
      <c r="AF51" s="106"/>
      <c r="AG51" s="268"/>
      <c r="AH51" s="141"/>
      <c r="AI51" s="102"/>
      <c r="AJ51" s="106"/>
      <c r="AK51" s="106"/>
      <c r="AL51" s="106"/>
      <c r="AM51" s="267"/>
      <c r="AN51" s="141"/>
      <c r="AO51" s="102"/>
      <c r="AP51" s="106"/>
      <c r="AQ51" s="268"/>
      <c r="AR51" s="141"/>
      <c r="AS51" s="517" t="s">
        <v>4962</v>
      </c>
      <c r="AT51" s="313" t="s">
        <v>4973</v>
      </c>
      <c r="AU51" s="106"/>
      <c r="AV51" s="106"/>
      <c r="AW51" s="518"/>
      <c r="AX51" s="141"/>
      <c r="AY51" s="517" t="s">
        <v>4973</v>
      </c>
      <c r="AZ51" s="106"/>
      <c r="BA51" s="268"/>
      <c r="BB51" s="141"/>
      <c r="BC51" s="517" t="s">
        <v>4973</v>
      </c>
      <c r="BD51" s="106"/>
      <c r="BE51" s="268"/>
      <c r="BF51" s="267"/>
      <c r="BG51" s="141"/>
      <c r="BH51" s="517" t="s">
        <v>4974</v>
      </c>
      <c r="BI51" s="106"/>
      <c r="BJ51" s="268"/>
      <c r="BK51" s="141"/>
      <c r="BL51" s="18"/>
      <c r="BM51" s="18"/>
    </row>
    <row r="52" spans="1:65" x14ac:dyDescent="0.35">
      <c r="A52" s="9168"/>
      <c r="B52" s="240"/>
      <c r="C52" s="240" t="s">
        <v>532</v>
      </c>
      <c r="D52" s="197"/>
      <c r="F52" s="1182"/>
      <c r="H52" s="112">
        <v>53390.458509999997</v>
      </c>
      <c r="I52" s="1183"/>
      <c r="J52" s="64">
        <f t="shared" ref="J52:J59" si="57">IF(H52=0,0,I52/H52)</f>
        <v>0</v>
      </c>
      <c r="L52" s="1115"/>
      <c r="M52" s="1184">
        <f t="shared" ref="M52:M59" si="58">L52*J52</f>
        <v>0</v>
      </c>
      <c r="N52" s="1121"/>
      <c r="O52" s="1115"/>
      <c r="P52" s="1185"/>
      <c r="Q52" s="1186"/>
      <c r="R52" s="1187"/>
      <c r="S52" s="64"/>
      <c r="T52" s="1121"/>
      <c r="U52" s="1115"/>
      <c r="V52" s="106"/>
      <c r="W52" s="157"/>
      <c r="Y52" s="1115"/>
      <c r="Z52" s="1185"/>
      <c r="AA52" s="1186"/>
      <c r="AB52" s="1187"/>
      <c r="AC52" s="64"/>
      <c r="AD52" s="1121"/>
      <c r="AE52" s="1115"/>
      <c r="AF52" s="106"/>
      <c r="AG52" s="157"/>
      <c r="AI52" s="1115"/>
      <c r="AJ52" s="106"/>
      <c r="AK52" s="1186"/>
      <c r="AL52" s="1187"/>
      <c r="AM52" s="64"/>
      <c r="AN52" s="1121"/>
      <c r="AO52" s="1115"/>
      <c r="AP52" s="106"/>
      <c r="AQ52" s="157"/>
      <c r="AS52" s="112">
        <f>7522+26022+10212+2186+3762+61019+528+2771+11632</f>
        <v>125654</v>
      </c>
      <c r="AT52" s="106" t="s">
        <v>4975</v>
      </c>
      <c r="AU52" s="233">
        <f>914+3834+59006+7534+26703+9896+517+2200+11566</f>
        <v>122170</v>
      </c>
      <c r="AV52" s="1187"/>
      <c r="AW52" s="7353">
        <f t="shared" ref="AW52:AW53" si="59">AU52/AS52</f>
        <v>0.9722730673118245</v>
      </c>
      <c r="AX52" s="1121"/>
      <c r="AY52" s="112">
        <f>1035+4839+64832+10408+29888+11594+1157+2713+196+13318</f>
        <v>139980</v>
      </c>
      <c r="AZ52" s="106" t="s">
        <v>4976</v>
      </c>
      <c r="BA52" s="1794">
        <f>983+4617+60438+9811+28418+11074+1094+2331+189+12572</f>
        <v>131527</v>
      </c>
      <c r="BC52" s="112">
        <f>1035+4839+64832+10408+29888+11594+1157+2713+196+13318</f>
        <v>139980</v>
      </c>
      <c r="BD52" s="106" t="s">
        <v>4976</v>
      </c>
      <c r="BE52" s="1794">
        <f>983+4617+60438+9811+28418+11074+1094+2331+189+12572</f>
        <v>131527</v>
      </c>
      <c r="BF52" s="126">
        <f>BE52/BC52</f>
        <v>0.93961280182883267</v>
      </c>
      <c r="BG52" s="1121"/>
      <c r="BH52" s="8558">
        <f>BC52*BH35/BC35</f>
        <v>169756.39651918979</v>
      </c>
      <c r="BI52" s="106" t="s">
        <v>4976</v>
      </c>
      <c r="BJ52" s="66">
        <f t="shared" ref="BJ52:BJ53" si="60">BH52*BF52</f>
        <v>159505.28336176221</v>
      </c>
      <c r="BL52" s="26"/>
      <c r="BM52" s="26"/>
    </row>
    <row r="53" spans="1:65" x14ac:dyDescent="0.35">
      <c r="A53" s="9168"/>
      <c r="B53" s="240"/>
      <c r="C53" s="240" t="s">
        <v>533</v>
      </c>
      <c r="D53" s="197"/>
      <c r="F53" s="155"/>
      <c r="H53" s="117"/>
      <c r="I53" s="115"/>
      <c r="J53" s="64">
        <f t="shared" si="57"/>
        <v>0</v>
      </c>
      <c r="L53" s="117"/>
      <c r="M53" s="157">
        <f t="shared" si="58"/>
        <v>0</v>
      </c>
      <c r="O53" s="112"/>
      <c r="P53" s="920"/>
      <c r="Q53" s="201"/>
      <c r="R53" s="106"/>
      <c r="S53" s="64"/>
      <c r="U53" s="117"/>
      <c r="V53" s="106"/>
      <c r="W53" s="157"/>
      <c r="Y53" s="112"/>
      <c r="Z53" s="920"/>
      <c r="AA53" s="201"/>
      <c r="AB53" s="106"/>
      <c r="AC53" s="64"/>
      <c r="AE53" s="117"/>
      <c r="AF53" s="106"/>
      <c r="AG53" s="157"/>
      <c r="AI53" s="117"/>
      <c r="AJ53" s="106"/>
      <c r="AK53" s="201"/>
      <c r="AL53" s="106"/>
      <c r="AM53" s="64"/>
      <c r="AO53" s="117"/>
      <c r="AP53" s="106"/>
      <c r="AQ53" s="157"/>
      <c r="AS53" s="117">
        <v>912</v>
      </c>
      <c r="AT53" s="106"/>
      <c r="AU53" s="201">
        <v>988</v>
      </c>
      <c r="AV53" s="106"/>
      <c r="AW53" s="7353">
        <f t="shared" si="59"/>
        <v>1.0833333333333333</v>
      </c>
      <c r="AY53" s="117">
        <v>1374</v>
      </c>
      <c r="AZ53" s="106" t="s">
        <v>4977</v>
      </c>
      <c r="BA53" s="1009">
        <v>1032</v>
      </c>
      <c r="BC53" s="117">
        <v>1374</v>
      </c>
      <c r="BD53" s="106" t="s">
        <v>4977</v>
      </c>
      <c r="BE53" s="1009">
        <v>1032</v>
      </c>
      <c r="BF53" s="126">
        <f>BE53/BC53</f>
        <v>0.75109170305676853</v>
      </c>
      <c r="BH53" s="8559">
        <f>BC53*BH35/BC35</f>
        <v>1666.2758166692865</v>
      </c>
      <c r="BI53" s="106" t="s">
        <v>4977</v>
      </c>
      <c r="BJ53" s="66">
        <f t="shared" si="60"/>
        <v>1251.5259409044422</v>
      </c>
      <c r="BL53" s="26"/>
      <c r="BM53" s="26"/>
    </row>
    <row r="54" spans="1:65" x14ac:dyDescent="0.35">
      <c r="A54" s="9168"/>
      <c r="B54" s="240"/>
      <c r="C54" s="240" t="s">
        <v>534</v>
      </c>
      <c r="D54" s="197"/>
      <c r="F54" s="163"/>
      <c r="H54" s="242"/>
      <c r="I54" s="243"/>
      <c r="J54" s="64">
        <f t="shared" si="57"/>
        <v>0</v>
      </c>
      <c r="L54" s="242"/>
      <c r="M54" s="157">
        <f t="shared" si="58"/>
        <v>0</v>
      </c>
      <c r="O54" s="112"/>
      <c r="P54" s="920"/>
      <c r="Q54" s="233"/>
      <c r="R54" s="106"/>
      <c r="S54" s="64"/>
      <c r="U54" s="242"/>
      <c r="V54" s="106"/>
      <c r="W54" s="157"/>
      <c r="Y54" s="112"/>
      <c r="Z54" s="920"/>
      <c r="AA54" s="233"/>
      <c r="AB54" s="106"/>
      <c r="AC54" s="64"/>
      <c r="AE54" s="242"/>
      <c r="AF54" s="106"/>
      <c r="AG54" s="157"/>
      <c r="AI54" s="242"/>
      <c r="AJ54" s="106"/>
      <c r="AK54" s="233"/>
      <c r="AL54" s="106"/>
      <c r="AM54" s="64"/>
      <c r="AO54" s="242"/>
      <c r="AP54" s="106"/>
      <c r="AQ54" s="157"/>
      <c r="AS54" s="242"/>
      <c r="AT54" s="106"/>
      <c r="AU54" s="233"/>
      <c r="AV54" s="106"/>
      <c r="AW54" s="476"/>
      <c r="AY54" s="242"/>
      <c r="AZ54" s="106"/>
      <c r="BA54" s="1009"/>
      <c r="BC54" s="242"/>
      <c r="BD54" s="106"/>
      <c r="BE54" s="1009"/>
      <c r="BF54" s="64"/>
      <c r="BH54" s="242"/>
      <c r="BI54" s="106"/>
      <c r="BJ54" s="1009"/>
      <c r="BL54" s="26"/>
      <c r="BM54" s="26"/>
    </row>
    <row r="55" spans="1:65" x14ac:dyDescent="0.35">
      <c r="A55" s="9168"/>
      <c r="B55" s="240"/>
      <c r="C55" s="240" t="s">
        <v>536</v>
      </c>
      <c r="D55" s="197"/>
      <c r="F55" s="163"/>
      <c r="H55" s="242"/>
      <c r="I55" s="243"/>
      <c r="J55" s="64">
        <f t="shared" si="57"/>
        <v>0</v>
      </c>
      <c r="L55" s="242"/>
      <c r="M55" s="157">
        <f t="shared" si="58"/>
        <v>0</v>
      </c>
      <c r="O55" s="112"/>
      <c r="P55" s="920"/>
      <c r="Q55" s="201"/>
      <c r="R55" s="57"/>
      <c r="S55" s="64"/>
      <c r="U55" s="242"/>
      <c r="V55" s="57"/>
      <c r="W55" s="157"/>
      <c r="Y55" s="112"/>
      <c r="Z55" s="920"/>
      <c r="AA55" s="201"/>
      <c r="AB55" s="57"/>
      <c r="AC55" s="64"/>
      <c r="AE55" s="242"/>
      <c r="AF55" s="57"/>
      <c r="AG55" s="157"/>
      <c r="AI55" s="242"/>
      <c r="AJ55" s="57"/>
      <c r="AK55" s="201"/>
      <c r="AL55" s="57"/>
      <c r="AM55" s="64"/>
      <c r="AO55" s="242"/>
      <c r="AP55" s="57"/>
      <c r="AQ55" s="157"/>
      <c r="AS55" s="242"/>
      <c r="AT55" s="57"/>
      <c r="AU55" s="201"/>
      <c r="AV55" s="57"/>
      <c r="AW55" s="476"/>
      <c r="AY55" s="242"/>
      <c r="AZ55" s="57"/>
      <c r="BA55" s="1009"/>
      <c r="BC55" s="242"/>
      <c r="BD55" s="57"/>
      <c r="BE55" s="1009"/>
      <c r="BF55" s="64"/>
      <c r="BH55" s="242"/>
      <c r="BI55" s="57"/>
      <c r="BJ55" s="1009"/>
      <c r="BL55" s="26"/>
      <c r="BM55" s="26"/>
    </row>
    <row r="56" spans="1:65" x14ac:dyDescent="0.35">
      <c r="A56" s="9168"/>
      <c r="B56" s="240"/>
      <c r="C56" s="240" t="s">
        <v>537</v>
      </c>
      <c r="D56" s="197"/>
      <c r="F56" s="163"/>
      <c r="H56" s="242"/>
      <c r="I56" s="243"/>
      <c r="J56" s="64">
        <f t="shared" si="57"/>
        <v>0</v>
      </c>
      <c r="L56" s="242"/>
      <c r="M56" s="157">
        <f t="shared" si="58"/>
        <v>0</v>
      </c>
      <c r="O56" s="112"/>
      <c r="P56" s="920"/>
      <c r="Q56" s="233"/>
      <c r="R56" s="57"/>
      <c r="S56" s="64"/>
      <c r="U56" s="242"/>
      <c r="V56" s="57"/>
      <c r="W56" s="157"/>
      <c r="Y56" s="112"/>
      <c r="Z56" s="920"/>
      <c r="AA56" s="233"/>
      <c r="AB56" s="57"/>
      <c r="AC56" s="64"/>
      <c r="AE56" s="242"/>
      <c r="AF56" s="57"/>
      <c r="AG56" s="157"/>
      <c r="AI56" s="242"/>
      <c r="AJ56" s="57"/>
      <c r="AK56" s="233"/>
      <c r="AL56" s="57"/>
      <c r="AM56" s="64"/>
      <c r="AO56" s="242"/>
      <c r="AP56" s="57"/>
      <c r="AQ56" s="157"/>
      <c r="AS56" s="242"/>
      <c r="AT56" s="57"/>
      <c r="AU56" s="233"/>
      <c r="AV56" s="57"/>
      <c r="AW56" s="476"/>
      <c r="AY56" s="242"/>
      <c r="AZ56" s="57"/>
      <c r="BA56" s="1009"/>
      <c r="BC56" s="242"/>
      <c r="BD56" s="57"/>
      <c r="BE56" s="1009"/>
      <c r="BF56" s="64"/>
      <c r="BH56" s="242"/>
      <c r="BI56" s="57"/>
      <c r="BJ56" s="1009"/>
      <c r="BL56" s="26"/>
      <c r="BM56" s="26"/>
    </row>
    <row r="57" spans="1:65" x14ac:dyDescent="0.35">
      <c r="A57" s="9168"/>
      <c r="B57" s="240"/>
      <c r="C57" s="240" t="s">
        <v>538</v>
      </c>
      <c r="D57" s="197"/>
      <c r="F57" s="163"/>
      <c r="H57" s="242"/>
      <c r="I57" s="243"/>
      <c r="J57" s="64"/>
      <c r="L57" s="242"/>
      <c r="M57" s="157"/>
      <c r="O57" s="242"/>
      <c r="P57" s="1188"/>
      <c r="Q57" s="201"/>
      <c r="R57" s="106"/>
      <c r="S57" s="64"/>
      <c r="U57" s="242"/>
      <c r="V57" s="106"/>
      <c r="W57" s="157"/>
      <c r="Y57" s="242"/>
      <c r="Z57" s="1188"/>
      <c r="AA57" s="201"/>
      <c r="AB57" s="106"/>
      <c r="AC57" s="64"/>
      <c r="AE57" s="242"/>
      <c r="AF57" s="106"/>
      <c r="AG57" s="157"/>
      <c r="AI57" s="242"/>
      <c r="AJ57" s="106"/>
      <c r="AK57" s="201"/>
      <c r="AL57" s="106"/>
      <c r="AM57" s="64"/>
      <c r="AO57" s="242"/>
      <c r="AP57" s="106"/>
      <c r="AQ57" s="157"/>
      <c r="AS57" s="242"/>
      <c r="AT57" s="106"/>
      <c r="AU57" s="201"/>
      <c r="AV57" s="106"/>
      <c r="AW57" s="476"/>
      <c r="AY57" s="242"/>
      <c r="AZ57" s="106"/>
      <c r="BA57" s="1009"/>
      <c r="BC57" s="242"/>
      <c r="BD57" s="106"/>
      <c r="BE57" s="1009"/>
      <c r="BF57" s="64"/>
      <c r="BH57" s="242"/>
      <c r="BI57" s="106"/>
      <c r="BJ57" s="1009"/>
      <c r="BL57" s="26"/>
      <c r="BM57" s="26"/>
    </row>
    <row r="58" spans="1:65" x14ac:dyDescent="0.35">
      <c r="A58" s="9168"/>
      <c r="B58" s="240"/>
      <c r="C58" s="240" t="s">
        <v>539</v>
      </c>
      <c r="D58" s="197"/>
      <c r="F58" s="163"/>
      <c r="H58" s="242"/>
      <c r="I58" s="243"/>
      <c r="J58" s="64">
        <f t="shared" si="57"/>
        <v>0</v>
      </c>
      <c r="L58" s="242"/>
      <c r="M58" s="157">
        <f t="shared" si="58"/>
        <v>0</v>
      </c>
      <c r="O58" s="242"/>
      <c r="P58" s="1188"/>
      <c r="Q58" s="201"/>
      <c r="R58" s="106"/>
      <c r="S58" s="64"/>
      <c r="U58" s="242"/>
      <c r="V58" s="106"/>
      <c r="W58" s="157"/>
      <c r="Y58" s="242"/>
      <c r="Z58" s="1188"/>
      <c r="AA58" s="201"/>
      <c r="AB58" s="106"/>
      <c r="AC58" s="64"/>
      <c r="AE58" s="242"/>
      <c r="AF58" s="106"/>
      <c r="AG58" s="157"/>
      <c r="AI58" s="242"/>
      <c r="AJ58" s="106"/>
      <c r="AK58" s="201"/>
      <c r="AL58" s="106"/>
      <c r="AM58" s="64"/>
      <c r="AO58" s="242"/>
      <c r="AP58" s="106"/>
      <c r="AQ58" s="157"/>
      <c r="AS58" s="242"/>
      <c r="AT58" s="106"/>
      <c r="AU58" s="201"/>
      <c r="AV58" s="106"/>
      <c r="AW58" s="476"/>
      <c r="AY58" s="242"/>
      <c r="AZ58" s="106"/>
      <c r="BA58" s="1009"/>
      <c r="BC58" s="242"/>
      <c r="BD58" s="106"/>
      <c r="BE58" s="1009"/>
      <c r="BF58" s="64"/>
      <c r="BH58" s="242"/>
      <c r="BI58" s="106"/>
      <c r="BJ58" s="1009"/>
      <c r="BL58" s="26"/>
      <c r="BM58" s="26"/>
    </row>
    <row r="59" spans="1:65" x14ac:dyDescent="0.35">
      <c r="A59" s="9168"/>
      <c r="B59" s="250"/>
      <c r="C59" s="250" t="s">
        <v>704</v>
      </c>
      <c r="D59" s="209"/>
      <c r="F59" s="130"/>
      <c r="H59" s="242"/>
      <c r="I59" s="243"/>
      <c r="J59" s="64">
        <f t="shared" si="57"/>
        <v>0</v>
      </c>
      <c r="L59" s="242"/>
      <c r="M59" s="157">
        <f t="shared" si="58"/>
        <v>0</v>
      </c>
      <c r="O59" s="242"/>
      <c r="P59" s="1188"/>
      <c r="Q59" s="201"/>
      <c r="R59" s="216"/>
      <c r="S59" s="64"/>
      <c r="U59" s="242"/>
      <c r="V59" s="216"/>
      <c r="W59" s="157"/>
      <c r="Y59" s="242"/>
      <c r="Z59" s="1188"/>
      <c r="AA59" s="201"/>
      <c r="AB59" s="216"/>
      <c r="AC59" s="64"/>
      <c r="AE59" s="242"/>
      <c r="AF59" s="216"/>
      <c r="AG59" s="157"/>
      <c r="AI59" s="242"/>
      <c r="AJ59" s="216"/>
      <c r="AK59" s="201"/>
      <c r="AL59" s="216"/>
      <c r="AM59" s="64"/>
      <c r="AO59" s="242"/>
      <c r="AP59" s="216"/>
      <c r="AQ59" s="157"/>
      <c r="AS59" s="242"/>
      <c r="AT59" s="216"/>
      <c r="AU59" s="201"/>
      <c r="AV59" s="216"/>
      <c r="AW59" s="476"/>
      <c r="AY59" s="242"/>
      <c r="AZ59" s="216"/>
      <c r="BA59" s="7151"/>
      <c r="BC59" s="242"/>
      <c r="BD59" s="216"/>
      <c r="BE59" s="7151"/>
      <c r="BF59" s="64"/>
      <c r="BH59" s="242"/>
      <c r="BI59" s="216"/>
      <c r="BJ59" s="7151"/>
      <c r="BL59" s="24"/>
      <c r="BM59" s="24"/>
    </row>
    <row r="60" spans="1:65" x14ac:dyDescent="0.35">
      <c r="A60" s="9168"/>
      <c r="B60" s="271" t="s">
        <v>552</v>
      </c>
      <c r="C60" s="271"/>
      <c r="D60" s="184"/>
      <c r="E60" s="143"/>
      <c r="F60" s="227"/>
      <c r="G60" s="143"/>
      <c r="H60" s="102"/>
      <c r="I60" s="103"/>
      <c r="J60" s="228"/>
      <c r="K60" s="143"/>
      <c r="L60" s="102"/>
      <c r="M60" s="268"/>
      <c r="N60" s="143"/>
      <c r="O60" s="102"/>
      <c r="P60" s="103"/>
      <c r="Q60" s="103"/>
      <c r="R60" s="231"/>
      <c r="S60" s="228"/>
      <c r="T60" s="143"/>
      <c r="U60" s="102"/>
      <c r="V60" s="231"/>
      <c r="W60" s="268"/>
      <c r="X60" s="143"/>
      <c r="Y60" s="102"/>
      <c r="Z60" s="103"/>
      <c r="AA60" s="103"/>
      <c r="AB60" s="231"/>
      <c r="AC60" s="228"/>
      <c r="AD60" s="143"/>
      <c r="AE60" s="102"/>
      <c r="AF60" s="231"/>
      <c r="AG60" s="268"/>
      <c r="AH60" s="143"/>
      <c r="AI60" s="102"/>
      <c r="AJ60" s="231"/>
      <c r="AK60" s="103"/>
      <c r="AL60" s="231"/>
      <c r="AM60" s="228"/>
      <c r="AN60" s="143"/>
      <c r="AO60" s="102"/>
      <c r="AP60" s="231"/>
      <c r="AQ60" s="268"/>
      <c r="AR60" s="143"/>
      <c r="AS60" s="102"/>
      <c r="AT60" s="231"/>
      <c r="AU60" s="103"/>
      <c r="AV60" s="231"/>
      <c r="AW60" s="228"/>
      <c r="AX60" s="143"/>
      <c r="AY60" s="102"/>
      <c r="AZ60" s="231"/>
      <c r="BA60" s="268"/>
      <c r="BB60" s="143"/>
      <c r="BC60" s="102"/>
      <c r="BD60" s="231"/>
      <c r="BE60" s="268"/>
      <c r="BF60" s="228"/>
      <c r="BG60" s="143"/>
      <c r="BH60" s="102"/>
      <c r="BI60" s="231"/>
      <c r="BJ60" s="268"/>
      <c r="BK60" s="143"/>
      <c r="BL60" s="18"/>
      <c r="BM60" s="18"/>
    </row>
    <row r="61" spans="1:65" x14ac:dyDescent="0.35">
      <c r="A61" s="9168"/>
      <c r="B61" s="272"/>
      <c r="C61" s="272" t="s">
        <v>980</v>
      </c>
      <c r="D61" s="197"/>
      <c r="F61" s="155"/>
      <c r="H61" s="117"/>
      <c r="I61" s="115"/>
      <c r="J61" s="64">
        <f t="shared" ref="J61" si="61">IF(H61=0,0,I61/H61)</f>
        <v>0</v>
      </c>
      <c r="L61" s="117"/>
      <c r="M61" s="157">
        <f>M29*M64</f>
        <v>0</v>
      </c>
      <c r="O61" s="117"/>
      <c r="P61" s="1128"/>
      <c r="Q61" s="1189"/>
      <c r="R61"/>
      <c r="S61" s="64"/>
      <c r="U61" s="595"/>
      <c r="W61" s="157"/>
      <c r="Y61" s="117"/>
      <c r="Z61" s="1128"/>
      <c r="AA61" s="1189"/>
      <c r="AB61"/>
      <c r="AC61" s="64"/>
      <c r="AE61" s="595"/>
      <c r="AG61" s="157"/>
      <c r="AI61" s="595"/>
      <c r="AJ61"/>
      <c r="AK61" s="1189"/>
      <c r="AL61"/>
      <c r="AM61" s="64"/>
      <c r="AO61" s="595"/>
      <c r="AQ61" s="157"/>
      <c r="AS61" s="595"/>
      <c r="AT61"/>
      <c r="AU61" s="1189"/>
      <c r="AV61"/>
      <c r="AW61" s="476"/>
      <c r="AY61" s="595"/>
      <c r="BA61" s="1794"/>
      <c r="BC61" s="595"/>
      <c r="BD61"/>
      <c r="BE61" s="1794"/>
      <c r="BF61" s="64"/>
      <c r="BH61" s="595"/>
      <c r="BJ61" s="1794"/>
      <c r="BL61" s="26"/>
      <c r="BM61" s="26"/>
    </row>
    <row r="62" spans="1:65" x14ac:dyDescent="0.35">
      <c r="A62" s="9168"/>
      <c r="B62" s="274"/>
      <c r="C62" s="274"/>
      <c r="D62" s="197"/>
      <c r="F62" s="163"/>
      <c r="H62" s="242"/>
      <c r="I62" s="243"/>
      <c r="J62" s="64"/>
      <c r="L62" s="242"/>
      <c r="M62" s="157"/>
      <c r="O62" s="117"/>
      <c r="P62" s="1128"/>
      <c r="Q62" s="201"/>
      <c r="R62"/>
      <c r="S62" s="64"/>
      <c r="U62" s="595"/>
      <c r="W62" s="157"/>
      <c r="Y62" s="117"/>
      <c r="Z62" s="1128"/>
      <c r="AA62" s="201"/>
      <c r="AB62"/>
      <c r="AC62" s="64"/>
      <c r="AE62" s="595"/>
      <c r="AG62" s="157"/>
      <c r="AI62" s="595"/>
      <c r="AJ62"/>
      <c r="AK62" s="201"/>
      <c r="AL62"/>
      <c r="AM62" s="64"/>
      <c r="AO62" s="595"/>
      <c r="AQ62" s="157"/>
      <c r="AS62" s="595"/>
      <c r="AT62"/>
      <c r="AU62" s="201"/>
      <c r="AV62"/>
      <c r="AW62" s="476"/>
      <c r="AY62" s="595"/>
      <c r="BA62" s="1009"/>
      <c r="BC62" s="595"/>
      <c r="BD62"/>
      <c r="BE62" s="1009"/>
      <c r="BF62" s="64"/>
      <c r="BH62" s="595"/>
      <c r="BJ62" s="1009"/>
      <c r="BL62" s="26"/>
      <c r="BM62" s="26"/>
    </row>
    <row r="63" spans="1:65" x14ac:dyDescent="0.35">
      <c r="A63" s="9168"/>
      <c r="B63" s="274"/>
      <c r="C63" s="274"/>
      <c r="D63" s="197"/>
      <c r="F63" s="163"/>
      <c r="H63" s="242"/>
      <c r="I63" s="243"/>
      <c r="J63" s="64"/>
      <c r="L63" s="242"/>
      <c r="M63" s="157"/>
      <c r="O63" s="117"/>
      <c r="P63" s="1128"/>
      <c r="Q63" s="201"/>
      <c r="R63"/>
      <c r="S63" s="64"/>
      <c r="U63" s="595"/>
      <c r="W63" s="157"/>
      <c r="Y63" s="117"/>
      <c r="Z63" s="1128"/>
      <c r="AA63" s="201"/>
      <c r="AB63"/>
      <c r="AC63" s="64"/>
      <c r="AE63" s="595"/>
      <c r="AG63" s="157"/>
      <c r="AI63" s="595"/>
      <c r="AJ63"/>
      <c r="AK63" s="201"/>
      <c r="AL63"/>
      <c r="AM63" s="64"/>
      <c r="AO63" s="595"/>
      <c r="AQ63" s="157"/>
      <c r="AS63" s="595"/>
      <c r="AT63"/>
      <c r="AU63" s="201"/>
      <c r="AV63"/>
      <c r="AW63" s="476"/>
      <c r="AY63" s="595"/>
      <c r="BA63" s="1009"/>
      <c r="BC63" s="595"/>
      <c r="BD63"/>
      <c r="BE63" s="1009"/>
      <c r="BF63" s="64"/>
      <c r="BH63" s="595"/>
      <c r="BJ63" s="1009"/>
      <c r="BL63" s="26"/>
      <c r="BM63" s="26"/>
    </row>
    <row r="64" spans="1:65" x14ac:dyDescent="0.35">
      <c r="A64" s="9168"/>
      <c r="B64" s="277"/>
      <c r="C64" s="277" t="s">
        <v>555</v>
      </c>
      <c r="D64" s="209"/>
      <c r="F64" s="665"/>
      <c r="G64" s="666"/>
      <c r="H64" s="283"/>
      <c r="I64" s="667"/>
      <c r="J64" s="133"/>
      <c r="L64" s="283"/>
      <c r="M64" s="668"/>
      <c r="O64" s="283"/>
      <c r="P64" s="1190"/>
      <c r="Q64" s="1191"/>
      <c r="R64" s="284"/>
      <c r="S64" s="133"/>
      <c r="U64" s="283"/>
      <c r="V64" s="284"/>
      <c r="W64" s="668"/>
      <c r="Y64" s="283"/>
      <c r="Z64" s="1190"/>
      <c r="AA64" s="1191"/>
      <c r="AB64" s="284"/>
      <c r="AC64" s="133"/>
      <c r="AE64" s="283"/>
      <c r="AF64" s="284"/>
      <c r="AG64" s="668"/>
      <c r="AI64" s="283"/>
      <c r="AJ64" s="284"/>
      <c r="AK64" s="1191"/>
      <c r="AL64" s="284"/>
      <c r="AM64" s="133"/>
      <c r="AO64" s="283"/>
      <c r="AP64" s="284"/>
      <c r="AQ64" s="668"/>
      <c r="AS64" s="283"/>
      <c r="AT64" s="3329"/>
      <c r="AU64" s="1191"/>
      <c r="AV64" s="3329"/>
      <c r="AW64" s="484"/>
      <c r="AY64" s="283"/>
      <c r="AZ64" s="3329"/>
      <c r="BA64" s="7355"/>
      <c r="BC64" s="283"/>
      <c r="BD64" s="284"/>
      <c r="BE64" s="7355"/>
      <c r="BF64" s="133"/>
      <c r="BH64" s="283"/>
      <c r="BI64" s="284"/>
      <c r="BJ64" s="7355"/>
      <c r="BL64" s="24"/>
      <c r="BM64" s="24"/>
    </row>
    <row r="65" spans="1:65" ht="15.25" customHeight="1" x14ac:dyDescent="0.35">
      <c r="A65" s="9168"/>
      <c r="B65" s="287" t="s">
        <v>556</v>
      </c>
      <c r="C65" s="288"/>
      <c r="D65" s="184"/>
      <c r="E65" s="143"/>
      <c r="F65" s="289"/>
      <c r="G65" s="290"/>
      <c r="H65" s="291"/>
      <c r="I65" s="292"/>
      <c r="J65" s="293"/>
      <c r="L65" s="291"/>
      <c r="M65" s="268"/>
      <c r="N65" s="143"/>
      <c r="O65" s="1192"/>
      <c r="P65" s="1193"/>
      <c r="Q65" s="1194"/>
      <c r="R65" s="313"/>
      <c r="S65" s="1195"/>
      <c r="U65" s="291"/>
      <c r="V65" s="106"/>
      <c r="W65" s="268"/>
      <c r="X65" s="143"/>
      <c r="Y65" s="1192"/>
      <c r="Z65" s="1193"/>
      <c r="AA65" s="1194"/>
      <c r="AB65" s="313"/>
      <c r="AC65" s="1195"/>
      <c r="AE65" s="291"/>
      <c r="AF65" s="106"/>
      <c r="AG65" s="268"/>
      <c r="AH65" s="143"/>
      <c r="AI65" s="291"/>
      <c r="AJ65" s="106"/>
      <c r="AK65" s="1194"/>
      <c r="AL65" s="313"/>
      <c r="AM65" s="1195"/>
      <c r="AO65" s="291"/>
      <c r="AP65" s="106"/>
      <c r="AQ65" s="268"/>
      <c r="AR65" s="143"/>
      <c r="AS65" s="291"/>
      <c r="AT65" s="106"/>
      <c r="AU65" s="1194"/>
      <c r="AV65" s="313"/>
      <c r="AW65" s="1195"/>
      <c r="AY65" s="1388"/>
      <c r="AZ65" s="106"/>
      <c r="BA65" s="268"/>
      <c r="BB65" s="143"/>
      <c r="BC65" s="1388"/>
      <c r="BD65" s="106"/>
      <c r="BE65" s="268"/>
      <c r="BF65" s="1195"/>
      <c r="BH65" s="1388"/>
      <c r="BI65" s="106"/>
      <c r="BJ65" s="268"/>
      <c r="BK65" s="143"/>
      <c r="BL65" s="18"/>
      <c r="BM65" s="18"/>
    </row>
    <row r="66" spans="1:65" x14ac:dyDescent="0.35">
      <c r="A66" s="9168"/>
      <c r="B66" s="302"/>
      <c r="C66" s="59" t="s">
        <v>532</v>
      </c>
      <c r="D66" s="197"/>
      <c r="F66" s="521"/>
      <c r="G66" s="272"/>
      <c r="H66" s="304"/>
      <c r="I66" s="522"/>
      <c r="J66" s="297">
        <f t="shared" ref="J66:J69" si="62">IF(H66=0,0,I66/H66)</f>
        <v>0</v>
      </c>
      <c r="L66" s="304"/>
      <c r="M66" s="157">
        <f t="shared" ref="M66:M69" si="63">L66*J66</f>
        <v>0</v>
      </c>
      <c r="O66" s="304"/>
      <c r="P66" s="1196"/>
      <c r="Q66" s="522"/>
      <c r="R66" s="57"/>
      <c r="S66" s="297"/>
      <c r="U66" s="304"/>
      <c r="V66" s="332"/>
      <c r="W66" s="157"/>
      <c r="Y66" s="304"/>
      <c r="Z66" s="1196"/>
      <c r="AA66" s="522"/>
      <c r="AB66" s="57"/>
      <c r="AC66" s="297"/>
      <c r="AE66" s="304"/>
      <c r="AF66" s="332"/>
      <c r="AG66" s="157"/>
      <c r="AI66" s="304"/>
      <c r="AJ66" s="332"/>
      <c r="AK66" s="522"/>
      <c r="AL66" s="57"/>
      <c r="AM66" s="297"/>
      <c r="AO66" s="304"/>
      <c r="AP66" s="332"/>
      <c r="AQ66" s="157"/>
      <c r="AS66" s="304"/>
      <c r="AT66" s="332"/>
      <c r="AU66" s="522"/>
      <c r="AV66" s="57"/>
      <c r="AW66" s="523"/>
      <c r="AY66" s="304"/>
      <c r="AZ66" s="332"/>
      <c r="BA66" s="7170"/>
      <c r="BC66" s="304"/>
      <c r="BD66" s="332"/>
      <c r="BE66" s="7170"/>
      <c r="BF66" s="297"/>
      <c r="BH66" s="304"/>
      <c r="BI66" s="332"/>
      <c r="BJ66" s="7170"/>
      <c r="BL66" s="26"/>
      <c r="BM66" s="26"/>
    </row>
    <row r="67" spans="1:65" x14ac:dyDescent="0.35">
      <c r="A67" s="9168"/>
      <c r="B67" s="302"/>
      <c r="C67" s="59" t="s">
        <v>533</v>
      </c>
      <c r="D67" s="197"/>
      <c r="F67" s="61"/>
      <c r="G67" s="272"/>
      <c r="H67" s="62"/>
      <c r="I67" s="63"/>
      <c r="J67" s="297">
        <f t="shared" si="62"/>
        <v>0</v>
      </c>
      <c r="L67" s="62"/>
      <c r="M67" s="157">
        <f t="shared" si="63"/>
        <v>0</v>
      </c>
      <c r="O67" s="62"/>
      <c r="P67" s="1128"/>
      <c r="Q67" s="63"/>
      <c r="R67" s="57"/>
      <c r="S67" s="297"/>
      <c r="U67" s="62"/>
      <c r="V67" s="106"/>
      <c r="W67" s="157"/>
      <c r="Y67" s="62"/>
      <c r="Z67" s="1128"/>
      <c r="AA67" s="63"/>
      <c r="AB67" s="57"/>
      <c r="AC67" s="297"/>
      <c r="AE67" s="62"/>
      <c r="AF67" s="106"/>
      <c r="AG67" s="157"/>
      <c r="AI67" s="62"/>
      <c r="AJ67" s="106"/>
      <c r="AK67" s="63"/>
      <c r="AL67" s="57"/>
      <c r="AM67" s="297"/>
      <c r="AO67" s="62"/>
      <c r="AP67" s="106"/>
      <c r="AQ67" s="157"/>
      <c r="AS67" s="62"/>
      <c r="AT67" s="106"/>
      <c r="AU67" s="63"/>
      <c r="AV67" s="57"/>
      <c r="AW67" s="523"/>
      <c r="AY67" s="62"/>
      <c r="AZ67" s="106"/>
      <c r="BA67" s="7171"/>
      <c r="BC67" s="62"/>
      <c r="BD67" s="106"/>
      <c r="BE67" s="7171"/>
      <c r="BF67" s="297"/>
      <c r="BH67" s="62"/>
      <c r="BI67" s="106"/>
      <c r="BJ67" s="7171"/>
      <c r="BL67" s="26"/>
      <c r="BM67" s="26"/>
    </row>
    <row r="68" spans="1:65" x14ac:dyDescent="0.35">
      <c r="A68" s="9168"/>
      <c r="B68" s="305"/>
      <c r="C68" s="59" t="s">
        <v>534</v>
      </c>
      <c r="D68" s="197"/>
      <c r="F68" s="61"/>
      <c r="G68" s="272"/>
      <c r="H68" s="62"/>
      <c r="I68" s="63"/>
      <c r="J68" s="297">
        <f t="shared" si="62"/>
        <v>0</v>
      </c>
      <c r="L68" s="62"/>
      <c r="M68" s="157">
        <f t="shared" si="63"/>
        <v>0</v>
      </c>
      <c r="O68" s="62"/>
      <c r="P68" s="1128"/>
      <c r="Q68" s="63"/>
      <c r="R68" s="57"/>
      <c r="S68" s="297"/>
      <c r="U68" s="62"/>
      <c r="V68" s="106"/>
      <c r="W68" s="157"/>
      <c r="Y68" s="62"/>
      <c r="Z68" s="1128"/>
      <c r="AA68" s="63"/>
      <c r="AB68" s="57"/>
      <c r="AC68" s="297"/>
      <c r="AE68" s="62"/>
      <c r="AF68" s="106"/>
      <c r="AG68" s="157"/>
      <c r="AI68" s="62"/>
      <c r="AJ68" s="106"/>
      <c r="AK68" s="63"/>
      <c r="AL68" s="57"/>
      <c r="AM68" s="297"/>
      <c r="AO68" s="62"/>
      <c r="AP68" s="106"/>
      <c r="AQ68" s="157"/>
      <c r="AS68" s="62"/>
      <c r="AT68" s="106"/>
      <c r="AU68" s="63"/>
      <c r="AV68" s="57"/>
      <c r="AW68" s="523"/>
      <c r="AY68" s="62"/>
      <c r="AZ68" s="106"/>
      <c r="BA68" s="7171"/>
      <c r="BC68" s="62"/>
      <c r="BD68" s="106"/>
      <c r="BE68" s="7171"/>
      <c r="BF68" s="297"/>
      <c r="BH68" s="62"/>
      <c r="BI68" s="106"/>
      <c r="BJ68" s="7171"/>
      <c r="BL68" s="26"/>
      <c r="BM68" s="26"/>
    </row>
    <row r="69" spans="1:65" x14ac:dyDescent="0.35">
      <c r="A69" s="9169"/>
      <c r="B69" s="306"/>
      <c r="C69" s="86" t="s">
        <v>536</v>
      </c>
      <c r="D69" s="209"/>
      <c r="F69" s="88"/>
      <c r="G69" s="274"/>
      <c r="H69" s="89"/>
      <c r="I69" s="90"/>
      <c r="J69" s="307">
        <f t="shared" si="62"/>
        <v>0</v>
      </c>
      <c r="L69" s="89"/>
      <c r="M69" s="213">
        <f t="shared" si="63"/>
        <v>0</v>
      </c>
      <c r="O69" s="89"/>
      <c r="P69" s="1197"/>
      <c r="Q69" s="90"/>
      <c r="R69" s="216"/>
      <c r="S69" s="307"/>
      <c r="U69" s="89"/>
      <c r="V69" s="216"/>
      <c r="W69" s="213"/>
      <c r="Y69" s="89"/>
      <c r="Z69" s="1197"/>
      <c r="AA69" s="90"/>
      <c r="AB69" s="216"/>
      <c r="AC69" s="307"/>
      <c r="AE69" s="89"/>
      <c r="AF69" s="216"/>
      <c r="AG69" s="213"/>
      <c r="AI69" s="89"/>
      <c r="AJ69" s="216"/>
      <c r="AK69" s="90"/>
      <c r="AL69" s="216"/>
      <c r="AM69" s="307"/>
      <c r="AO69" s="89"/>
      <c r="AP69" s="216"/>
      <c r="AQ69" s="213"/>
      <c r="AS69" s="89"/>
      <c r="AT69" s="216"/>
      <c r="AU69" s="90"/>
      <c r="AV69" s="216"/>
      <c r="AW69" s="527"/>
      <c r="AY69" s="89"/>
      <c r="AZ69" s="216"/>
      <c r="BA69" s="7172"/>
      <c r="BC69" s="89"/>
      <c r="BD69" s="216"/>
      <c r="BE69" s="7172"/>
      <c r="BF69" s="307"/>
      <c r="BH69" s="89"/>
      <c r="BI69" s="216"/>
      <c r="BJ69" s="7172"/>
      <c r="BL69" s="24"/>
      <c r="BM69" s="24"/>
    </row>
    <row r="70" spans="1:65" x14ac:dyDescent="0.35">
      <c r="A70" s="310"/>
      <c r="B70" s="310"/>
      <c r="F70" s="106"/>
      <c r="H70" s="106"/>
      <c r="I70" s="106"/>
      <c r="J70" s="311"/>
      <c r="L70" s="106"/>
      <c r="M70" s="312"/>
      <c r="O70" s="106"/>
      <c r="P70" s="106"/>
      <c r="Q70" s="106"/>
      <c r="R70" s="106"/>
      <c r="S70" s="311"/>
      <c r="U70" s="106"/>
      <c r="V70" s="106"/>
      <c r="W70" s="312"/>
      <c r="Y70" s="106"/>
      <c r="Z70" s="106"/>
      <c r="AA70" s="106"/>
      <c r="AB70" s="106"/>
      <c r="AC70" s="311"/>
      <c r="AE70" s="106"/>
      <c r="AF70" s="106"/>
      <c r="AG70" s="312"/>
      <c r="AI70" s="106"/>
      <c r="AJ70" s="106"/>
      <c r="AK70" s="106"/>
      <c r="AL70" s="106"/>
      <c r="AM70" s="311"/>
      <c r="AO70" s="106"/>
      <c r="AP70" s="106"/>
      <c r="AQ70" s="312"/>
      <c r="AS70" s="106" t="s">
        <v>4978</v>
      </c>
      <c r="AT70" s="106"/>
      <c r="AU70" s="106" t="s">
        <v>4979</v>
      </c>
      <c r="AV70" s="106"/>
      <c r="AW70" s="558"/>
      <c r="AY70" s="106" t="s">
        <v>4979</v>
      </c>
      <c r="AZ70" s="106"/>
      <c r="BA70" s="312" t="s">
        <v>2222</v>
      </c>
      <c r="BC70" s="106" t="s">
        <v>4979</v>
      </c>
      <c r="BD70" s="106"/>
      <c r="BE70" s="312" t="s">
        <v>2222</v>
      </c>
      <c r="BF70" s="311"/>
      <c r="BH70" s="106" t="s">
        <v>4979</v>
      </c>
      <c r="BI70" s="106"/>
      <c r="BJ70" s="312" t="s">
        <v>2222</v>
      </c>
    </row>
    <row r="71" spans="1:65" x14ac:dyDescent="0.35">
      <c r="A71" s="9226" t="s">
        <v>1114</v>
      </c>
      <c r="B71" s="1198" t="s">
        <v>4980</v>
      </c>
      <c r="C71" s="315"/>
      <c r="D71" s="184"/>
      <c r="F71" s="316"/>
      <c r="H71" s="317"/>
      <c r="I71" s="318"/>
      <c r="J71" s="319"/>
      <c r="L71" s="317"/>
      <c r="M71" s="318"/>
      <c r="O71" s="320"/>
      <c r="P71" s="653"/>
      <c r="Q71" s="321"/>
      <c r="R71" s="481"/>
      <c r="S71" s="293"/>
      <c r="U71" s="317"/>
      <c r="V71" s="481"/>
      <c r="W71" s="323"/>
      <c r="Y71" s="320"/>
      <c r="Z71" s="653"/>
      <c r="AA71" s="321"/>
      <c r="AB71" s="481"/>
      <c r="AC71" s="293"/>
      <c r="AE71" s="317"/>
      <c r="AF71" s="481"/>
      <c r="AG71" s="323"/>
      <c r="AI71" s="317"/>
      <c r="AJ71" s="481"/>
      <c r="AK71" s="321"/>
      <c r="AL71" s="481"/>
      <c r="AM71" s="293"/>
      <c r="AO71" s="317"/>
      <c r="AP71" s="481"/>
      <c r="AQ71" s="323"/>
      <c r="AS71" s="317"/>
      <c r="AT71" s="481"/>
      <c r="AU71" s="321"/>
      <c r="AV71" s="481"/>
      <c r="AW71" s="293"/>
      <c r="AY71" s="1388"/>
      <c r="AZ71" s="481"/>
      <c r="BA71" s="268"/>
      <c r="BC71" s="1388"/>
      <c r="BD71" s="481"/>
      <c r="BE71" s="268"/>
      <c r="BF71" s="293"/>
      <c r="BH71" s="1388"/>
      <c r="BI71" s="481"/>
      <c r="BJ71" s="268"/>
    </row>
    <row r="72" spans="1:65" x14ac:dyDescent="0.35">
      <c r="A72" s="9227"/>
      <c r="B72" s="335" t="s">
        <v>4981</v>
      </c>
      <c r="C72" s="326" t="s">
        <v>11</v>
      </c>
      <c r="D72" s="197"/>
      <c r="F72" s="327"/>
      <c r="H72" s="325"/>
      <c r="I72" s="328"/>
      <c r="J72" s="329"/>
      <c r="L72" s="325"/>
      <c r="M72" s="328"/>
      <c r="O72" s="339">
        <f>1042.458+50631.633+3746.682</f>
        <v>55420.773000000001</v>
      </c>
      <c r="P72" s="1161" t="s">
        <v>4982</v>
      </c>
      <c r="Q72" s="340">
        <f>845.141+50268.65+3339.844</f>
        <v>54453.635000000002</v>
      </c>
      <c r="R72" s="57" t="s">
        <v>4983</v>
      </c>
      <c r="S72" s="64">
        <f t="shared" ref="S72:S73" si="64">Q72/O72</f>
        <v>0.9825491788070152</v>
      </c>
      <c r="U72" s="339">
        <f>1006.673+60759.645+4553.766</f>
        <v>66320.084000000003</v>
      </c>
      <c r="V72" s="57" t="s">
        <v>4983</v>
      </c>
      <c r="W72" s="1199">
        <f t="shared" ref="W72:W73" si="65">U72*S72</f>
        <v>65162.744072612273</v>
      </c>
      <c r="Y72" s="339">
        <f>1006.673+60759.645</f>
        <v>61766.317999999999</v>
      </c>
      <c r="Z72" s="1161" t="s">
        <v>4982</v>
      </c>
      <c r="AA72" s="340">
        <f>6839.888+54931.039</f>
        <v>61770.926999999996</v>
      </c>
      <c r="AB72" s="57" t="s">
        <v>4983</v>
      </c>
      <c r="AC72" s="64">
        <f t="shared" ref="AC72:AC73" si="66">AA72/Y72</f>
        <v>1.00007461995711</v>
      </c>
      <c r="AE72" s="339">
        <f>51553.815+1396.876</f>
        <v>52950.690999999999</v>
      </c>
      <c r="AF72" s="57" t="s">
        <v>4983</v>
      </c>
      <c r="AG72" s="1199">
        <f t="shared" ref="AG72:AG73" si="67">AE72*AC72</f>
        <v>52954.64217829136</v>
      </c>
      <c r="AI72" s="339">
        <f>51553.815+1396.876</f>
        <v>52950.690999999999</v>
      </c>
      <c r="AJ72" s="57" t="s">
        <v>4983</v>
      </c>
      <c r="AK72" s="340">
        <v>54851.544000000002</v>
      </c>
      <c r="AL72" s="57" t="s">
        <v>4983</v>
      </c>
      <c r="AM72" s="64">
        <f t="shared" ref="AM72:AM73" si="68">AK72/AI72</f>
        <v>1.0358985494636888</v>
      </c>
      <c r="AO72" s="339">
        <v>62469.156999999999</v>
      </c>
      <c r="AP72" s="57" t="s">
        <v>4983</v>
      </c>
      <c r="AQ72" s="1199">
        <f t="shared" ref="AQ72:AQ73" si="69">AO72*AM72</f>
        <v>64711.709122519438</v>
      </c>
      <c r="AS72" s="339">
        <f>62469.157+1024.385</f>
        <v>63493.542000000001</v>
      </c>
      <c r="AT72" s="57" t="s">
        <v>4983</v>
      </c>
      <c r="AU72" s="340">
        <f>59125.341+457.752</f>
        <v>59583.093000000001</v>
      </c>
      <c r="AV72" s="57" t="s">
        <v>4984</v>
      </c>
      <c r="AW72" s="476">
        <f t="shared" ref="AW72:AW73" si="70">AU72/AS72</f>
        <v>0.93841186242216568</v>
      </c>
      <c r="AY72" s="339">
        <f>67630.312+1507.075</f>
        <v>69137.387000000002</v>
      </c>
      <c r="AZ72" s="57" t="s">
        <v>4984</v>
      </c>
      <c r="BA72" s="7356">
        <f>AY72*AW72</f>
        <v>64879.34409767203</v>
      </c>
      <c r="BC72" s="339">
        <f>67630.312+1507.075</f>
        <v>69137.387000000002</v>
      </c>
      <c r="BD72" s="57" t="s">
        <v>4984</v>
      </c>
      <c r="BE72" s="7356">
        <f>BA72</f>
        <v>64879.34409767203</v>
      </c>
      <c r="BF72" s="64">
        <f>BE72/BC72</f>
        <v>0.93841186242216568</v>
      </c>
      <c r="BH72" s="339">
        <f>74661.329+3810.578</f>
        <v>78471.906999999992</v>
      </c>
      <c r="BI72" s="57" t="s">
        <v>4984</v>
      </c>
      <c r="BJ72" s="7356">
        <f>BH72*BF72</f>
        <v>73638.968395688978</v>
      </c>
    </row>
    <row r="73" spans="1:65" x14ac:dyDescent="0.35">
      <c r="A73" s="9227"/>
      <c r="B73" s="330"/>
      <c r="C73" s="326" t="s">
        <v>1116</v>
      </c>
      <c r="D73" s="197"/>
      <c r="F73" s="336"/>
      <c r="H73" s="330"/>
      <c r="I73" s="337"/>
      <c r="J73" s="329"/>
      <c r="L73" s="330"/>
      <c r="M73" s="337"/>
      <c r="O73" s="339">
        <v>2942.2</v>
      </c>
      <c r="P73" s="1161" t="s">
        <v>4954</v>
      </c>
      <c r="Q73" s="340">
        <v>5638.59</v>
      </c>
      <c r="R73" s="57" t="s">
        <v>4985</v>
      </c>
      <c r="S73" s="64">
        <f t="shared" si="64"/>
        <v>1.916453674121406</v>
      </c>
      <c r="U73" s="330">
        <v>4752.9229999999998</v>
      </c>
      <c r="V73" s="57" t="s">
        <v>4985</v>
      </c>
      <c r="W73" s="1199">
        <f t="shared" si="65"/>
        <v>9108.7567461661347</v>
      </c>
      <c r="Y73" s="339">
        <v>4572.9229999999998</v>
      </c>
      <c r="Z73" s="1161" t="s">
        <v>4985</v>
      </c>
      <c r="AA73" s="340">
        <v>6930.6909999999998</v>
      </c>
      <c r="AB73" s="57" t="s">
        <v>4986</v>
      </c>
      <c r="AC73" s="64">
        <f t="shared" si="66"/>
        <v>1.5155931993606715</v>
      </c>
      <c r="AE73" s="330">
        <v>0</v>
      </c>
      <c r="AF73" s="57" t="s">
        <v>4986</v>
      </c>
      <c r="AG73" s="1199">
        <f t="shared" si="67"/>
        <v>0</v>
      </c>
      <c r="AI73" s="330">
        <v>0</v>
      </c>
      <c r="AJ73" s="57" t="s">
        <v>4986</v>
      </c>
      <c r="AK73" s="340">
        <v>0</v>
      </c>
      <c r="AL73" s="57" t="s">
        <v>4986</v>
      </c>
      <c r="AM73" s="64" t="e">
        <f t="shared" si="68"/>
        <v>#DIV/0!</v>
      </c>
      <c r="AO73" s="330">
        <v>0</v>
      </c>
      <c r="AP73" s="57" t="s">
        <v>4986</v>
      </c>
      <c r="AQ73" s="1199" t="e">
        <f t="shared" si="69"/>
        <v>#DIV/0!</v>
      </c>
      <c r="AS73" s="330">
        <v>0</v>
      </c>
      <c r="AT73" s="57" t="s">
        <v>4986</v>
      </c>
      <c r="AU73" s="340">
        <v>0</v>
      </c>
      <c r="AV73" s="57" t="s">
        <v>4987</v>
      </c>
      <c r="AW73" s="476" t="e">
        <f t="shared" si="70"/>
        <v>#DIV/0!</v>
      </c>
      <c r="AY73" s="330">
        <v>0</v>
      </c>
      <c r="AZ73" s="57" t="s">
        <v>4987</v>
      </c>
      <c r="BA73" s="7357"/>
      <c r="BC73" s="330">
        <v>0</v>
      </c>
      <c r="BD73" s="57" t="s">
        <v>4987</v>
      </c>
      <c r="BE73" s="7357"/>
      <c r="BF73" s="64"/>
      <c r="BH73" s="330">
        <v>0</v>
      </c>
      <c r="BI73" s="57" t="s">
        <v>4987</v>
      </c>
      <c r="BJ73" s="7357"/>
    </row>
    <row r="74" spans="1:65" x14ac:dyDescent="0.35">
      <c r="A74" s="9227"/>
      <c r="B74" s="330"/>
      <c r="C74" s="326"/>
      <c r="D74" s="197"/>
      <c r="F74" s="336"/>
      <c r="H74" s="330"/>
      <c r="I74" s="337"/>
      <c r="J74" s="329"/>
      <c r="L74" s="330"/>
      <c r="M74" s="337"/>
      <c r="O74" s="339"/>
      <c r="P74" s="645"/>
      <c r="Q74" s="340"/>
      <c r="R74" s="106"/>
      <c r="S74" s="297"/>
      <c r="U74" s="330"/>
      <c r="V74" s="254"/>
      <c r="W74" s="333"/>
      <c r="Y74" s="339"/>
      <c r="Z74" s="645"/>
      <c r="AA74" s="340"/>
      <c r="AB74" s="106"/>
      <c r="AC74" s="297"/>
      <c r="AE74" s="330"/>
      <c r="AF74" s="254"/>
      <c r="AG74" s="333"/>
      <c r="AI74" s="330"/>
      <c r="AJ74" s="254"/>
      <c r="AK74" s="340"/>
      <c r="AL74" s="106"/>
      <c r="AM74" s="297"/>
      <c r="AO74" s="330"/>
      <c r="AP74" s="254"/>
      <c r="AQ74" s="333"/>
      <c r="AS74" s="330"/>
      <c r="AT74" s="254"/>
      <c r="AU74" s="340"/>
      <c r="AV74" s="106"/>
      <c r="AW74" s="523"/>
      <c r="AY74" s="330"/>
      <c r="AZ74" s="254"/>
      <c r="BA74" s="6795"/>
      <c r="BC74" s="330"/>
      <c r="BD74" s="254"/>
      <c r="BE74" s="6795"/>
      <c r="BF74" s="297"/>
      <c r="BH74" s="330"/>
      <c r="BI74" s="254"/>
      <c r="BJ74" s="6795"/>
    </row>
    <row r="75" spans="1:65" x14ac:dyDescent="0.35">
      <c r="A75" s="9227"/>
      <c r="B75" s="330"/>
      <c r="C75" s="326"/>
      <c r="D75" s="197"/>
      <c r="F75" s="336"/>
      <c r="H75" s="330"/>
      <c r="I75" s="337"/>
      <c r="J75" s="329"/>
      <c r="L75" s="330"/>
      <c r="M75" s="337"/>
      <c r="O75" s="339"/>
      <c r="P75" s="645"/>
      <c r="Q75" s="340"/>
      <c r="R75" s="106"/>
      <c r="S75" s="297"/>
      <c r="U75" s="330"/>
      <c r="V75" s="106"/>
      <c r="W75" s="333"/>
      <c r="Y75" s="339"/>
      <c r="Z75" s="645"/>
      <c r="AA75" s="340"/>
      <c r="AB75" s="106"/>
      <c r="AC75" s="297"/>
      <c r="AE75" s="330"/>
      <c r="AF75" s="106"/>
      <c r="AG75" s="333"/>
      <c r="AI75" s="330"/>
      <c r="AJ75" s="106"/>
      <c r="AK75" s="340"/>
      <c r="AL75" s="106"/>
      <c r="AM75" s="297"/>
      <c r="AO75" s="330"/>
      <c r="AP75" s="106"/>
      <c r="AQ75" s="333"/>
      <c r="AS75" s="330"/>
      <c r="AT75" s="106"/>
      <c r="AU75" s="340"/>
      <c r="AV75" s="106"/>
      <c r="AW75" s="523"/>
      <c r="AY75" s="330"/>
      <c r="AZ75" s="106"/>
      <c r="BA75" s="6795"/>
      <c r="BC75" s="330"/>
      <c r="BD75" s="106"/>
      <c r="BE75" s="6795"/>
      <c r="BF75" s="297"/>
      <c r="BH75" s="330"/>
      <c r="BI75" s="106"/>
      <c r="BJ75" s="6795"/>
    </row>
    <row r="76" spans="1:65" x14ac:dyDescent="0.35">
      <c r="A76" s="9227"/>
      <c r="B76" s="330"/>
      <c r="C76" s="326"/>
      <c r="D76" s="197"/>
      <c r="F76" s="336"/>
      <c r="H76" s="330"/>
      <c r="I76" s="337"/>
      <c r="J76" s="329"/>
      <c r="L76" s="330"/>
      <c r="M76" s="337"/>
      <c r="O76" s="339"/>
      <c r="P76" s="645"/>
      <c r="Q76" s="340"/>
      <c r="R76" s="106"/>
      <c r="S76" s="297"/>
      <c r="U76" s="330"/>
      <c r="V76" s="106"/>
      <c r="W76" s="333"/>
      <c r="Y76" s="339"/>
      <c r="Z76" s="645"/>
      <c r="AA76" s="340"/>
      <c r="AB76" s="106"/>
      <c r="AC76" s="297"/>
      <c r="AE76" s="330"/>
      <c r="AF76" s="106"/>
      <c r="AG76" s="333"/>
      <c r="AI76" s="330"/>
      <c r="AJ76" s="106"/>
      <c r="AK76" s="340"/>
      <c r="AL76" s="106"/>
      <c r="AM76" s="297"/>
      <c r="AO76" s="330"/>
      <c r="AP76" s="106"/>
      <c r="AQ76" s="333"/>
      <c r="AS76" s="330"/>
      <c r="AT76" s="106"/>
      <c r="AU76" s="340"/>
      <c r="AV76" s="106"/>
      <c r="AW76" s="523"/>
      <c r="AY76" s="330"/>
      <c r="AZ76" s="106"/>
      <c r="BA76" s="6795"/>
      <c r="BC76" s="330"/>
      <c r="BD76" s="106"/>
      <c r="BE76" s="6795"/>
      <c r="BF76" s="297"/>
      <c r="BH76" s="330"/>
      <c r="BI76" s="106"/>
      <c r="BJ76" s="6795"/>
    </row>
    <row r="77" spans="1:65" x14ac:dyDescent="0.35">
      <c r="A77" s="9227"/>
      <c r="B77" s="330"/>
      <c r="C77" s="326"/>
      <c r="D77" s="197"/>
      <c r="F77" s="336"/>
      <c r="H77" s="330"/>
      <c r="I77" s="337"/>
      <c r="J77" s="329"/>
      <c r="L77" s="330"/>
      <c r="M77" s="337"/>
      <c r="O77" s="339"/>
      <c r="P77" s="645"/>
      <c r="Q77" s="340"/>
      <c r="R77" s="106"/>
      <c r="S77" s="297"/>
      <c r="U77" s="330"/>
      <c r="V77" s="106"/>
      <c r="W77" s="333"/>
      <c r="Y77" s="339"/>
      <c r="Z77" s="645"/>
      <c r="AA77" s="340"/>
      <c r="AB77" s="106"/>
      <c r="AC77" s="297"/>
      <c r="AE77" s="330"/>
      <c r="AF77" s="106"/>
      <c r="AG77" s="333"/>
      <c r="AI77" s="330"/>
      <c r="AJ77" s="106"/>
      <c r="AK77" s="340"/>
      <c r="AL77" s="106"/>
      <c r="AM77" s="297"/>
      <c r="AO77" s="330"/>
      <c r="AP77" s="106"/>
      <c r="AQ77" s="333"/>
      <c r="AS77" s="330"/>
      <c r="AT77" s="106"/>
      <c r="AU77" s="340"/>
      <c r="AV77" s="106"/>
      <c r="AW77" s="523"/>
      <c r="AY77" s="330"/>
      <c r="AZ77" s="106"/>
      <c r="BA77" s="6795"/>
      <c r="BC77" s="330"/>
      <c r="BD77" s="106"/>
      <c r="BE77" s="6795"/>
      <c r="BF77" s="297"/>
      <c r="BH77" s="330"/>
      <c r="BI77" s="106"/>
      <c r="BJ77" s="6795"/>
    </row>
    <row r="78" spans="1:65" x14ac:dyDescent="0.35">
      <c r="A78" s="9227"/>
      <c r="B78" s="330"/>
      <c r="C78" s="326"/>
      <c r="D78" s="197"/>
      <c r="F78" s="336"/>
      <c r="H78" s="330"/>
      <c r="I78" s="337"/>
      <c r="J78" s="329"/>
      <c r="L78" s="330"/>
      <c r="M78" s="337"/>
      <c r="O78" s="339"/>
      <c r="P78" s="645"/>
      <c r="Q78" s="340"/>
      <c r="R78" s="106"/>
      <c r="S78" s="297"/>
      <c r="U78" s="330"/>
      <c r="V78" s="106"/>
      <c r="W78" s="333"/>
      <c r="Y78" s="339"/>
      <c r="Z78" s="645"/>
      <c r="AA78" s="340"/>
      <c r="AB78" s="106"/>
      <c r="AC78" s="297"/>
      <c r="AE78" s="330"/>
      <c r="AF78" s="106"/>
      <c r="AG78" s="333"/>
      <c r="AI78" s="330"/>
      <c r="AJ78" s="106"/>
      <c r="AK78" s="340"/>
      <c r="AL78" s="106"/>
      <c r="AM78" s="297"/>
      <c r="AO78" s="330"/>
      <c r="AP78" s="106"/>
      <c r="AQ78" s="333"/>
      <c r="AS78" s="330"/>
      <c r="AT78" s="106"/>
      <c r="AU78" s="340"/>
      <c r="AV78" s="106"/>
      <c r="AW78" s="523"/>
      <c r="AY78" s="330"/>
      <c r="AZ78" s="106"/>
      <c r="BA78" s="6795"/>
      <c r="BC78" s="330"/>
      <c r="BD78" s="106"/>
      <c r="BE78" s="6795"/>
      <c r="BF78" s="297"/>
      <c r="BH78" s="330"/>
      <c r="BI78" s="106"/>
      <c r="BJ78" s="6795"/>
    </row>
    <row r="79" spans="1:65" x14ac:dyDescent="0.35">
      <c r="A79" s="9227"/>
      <c r="B79" s="330"/>
      <c r="C79" s="337"/>
      <c r="D79" s="197"/>
      <c r="F79" s="336"/>
      <c r="H79" s="330"/>
      <c r="I79" s="337"/>
      <c r="J79" s="329"/>
      <c r="L79" s="330"/>
      <c r="M79" s="337"/>
      <c r="O79" s="339"/>
      <c r="P79" s="645"/>
      <c r="Q79" s="340"/>
      <c r="R79" s="106"/>
      <c r="S79" s="297"/>
      <c r="U79" s="330"/>
      <c r="V79" s="106"/>
      <c r="W79" s="333"/>
      <c r="Y79" s="339"/>
      <c r="Z79" s="645"/>
      <c r="AA79" s="340"/>
      <c r="AB79" s="106"/>
      <c r="AC79" s="297"/>
      <c r="AE79" s="330"/>
      <c r="AF79" s="106"/>
      <c r="AG79" s="333"/>
      <c r="AI79" s="330"/>
      <c r="AJ79" s="106"/>
      <c r="AK79" s="340"/>
      <c r="AL79" s="106"/>
      <c r="AM79" s="297"/>
      <c r="AO79" s="330"/>
      <c r="AP79" s="106"/>
      <c r="AQ79" s="333"/>
      <c r="AS79" s="330"/>
      <c r="AT79" s="106"/>
      <c r="AU79" s="340"/>
      <c r="AV79" s="106"/>
      <c r="AW79" s="523"/>
      <c r="AY79" s="330"/>
      <c r="AZ79" s="106"/>
      <c r="BA79" s="6795"/>
      <c r="BC79" s="330"/>
      <c r="BD79" s="106"/>
      <c r="BE79" s="6795"/>
      <c r="BF79" s="297"/>
      <c r="BH79" s="330"/>
      <c r="BI79" s="106"/>
      <c r="BJ79" s="6795"/>
    </row>
    <row r="80" spans="1:65" x14ac:dyDescent="0.35">
      <c r="A80" s="9228"/>
      <c r="B80" s="341"/>
      <c r="C80" s="342"/>
      <c r="D80" s="209"/>
      <c r="F80" s="343"/>
      <c r="H80" s="341"/>
      <c r="I80" s="342"/>
      <c r="J80" s="344"/>
      <c r="L80" s="341"/>
      <c r="M80" s="342"/>
      <c r="O80" s="345"/>
      <c r="P80" s="1200"/>
      <c r="Q80" s="346"/>
      <c r="R80" s="216"/>
      <c r="S80" s="307"/>
      <c r="U80" s="341"/>
      <c r="V80" s="216"/>
      <c r="W80" s="347"/>
      <c r="Y80" s="345"/>
      <c r="Z80" s="1200"/>
      <c r="AA80" s="346"/>
      <c r="AB80" s="216"/>
      <c r="AC80" s="307"/>
      <c r="AE80" s="341"/>
      <c r="AF80" s="216"/>
      <c r="AG80" s="347"/>
      <c r="AI80" s="341"/>
      <c r="AJ80" s="216"/>
      <c r="AK80" s="346"/>
      <c r="AL80" s="216"/>
      <c r="AM80" s="307"/>
      <c r="AO80" s="341"/>
      <c r="AP80" s="216"/>
      <c r="AQ80" s="347"/>
      <c r="AS80" s="341"/>
      <c r="AT80" s="216"/>
      <c r="AU80" s="346"/>
      <c r="AV80" s="216"/>
      <c r="AW80" s="527"/>
      <c r="AY80" s="341"/>
      <c r="AZ80" s="216"/>
      <c r="BA80" s="6797"/>
      <c r="BC80" s="341"/>
      <c r="BD80" s="216"/>
      <c r="BE80" s="6797"/>
      <c r="BF80" s="307"/>
      <c r="BH80" s="341"/>
      <c r="BI80" s="216"/>
      <c r="BJ80" s="6797"/>
    </row>
    <row r="81" spans="1:65" x14ac:dyDescent="0.35">
      <c r="A81" s="310"/>
      <c r="B81" s="310"/>
      <c r="F81" s="106"/>
      <c r="H81" s="106"/>
      <c r="I81" s="106"/>
      <c r="J81" s="311"/>
      <c r="L81" s="106"/>
      <c r="M81" s="312"/>
      <c r="O81" s="106"/>
      <c r="P81" s="106"/>
      <c r="Q81" s="106"/>
      <c r="R81" s="106"/>
      <c r="S81" s="311"/>
      <c r="U81" s="106"/>
      <c r="V81" s="106"/>
      <c r="W81" s="312"/>
      <c r="Y81" s="106"/>
      <c r="Z81" s="106"/>
      <c r="AA81" s="106"/>
      <c r="AB81" s="106"/>
      <c r="AC81" s="311"/>
      <c r="AE81" s="106"/>
      <c r="AF81" s="106"/>
      <c r="AG81" s="312"/>
      <c r="AI81" s="106"/>
      <c r="AJ81" s="106"/>
      <c r="AK81" s="106"/>
      <c r="AL81" s="106"/>
      <c r="AM81" s="311"/>
      <c r="AO81" s="106"/>
      <c r="AP81" s="106"/>
      <c r="AQ81" s="312"/>
      <c r="AS81" s="106"/>
      <c r="AT81" s="106"/>
      <c r="AU81" s="106"/>
      <c r="AV81" s="106"/>
      <c r="AW81" s="558"/>
      <c r="AY81" s="106"/>
      <c r="AZ81" s="106"/>
      <c r="BA81" s="312"/>
      <c r="BC81" s="106"/>
      <c r="BD81" s="106"/>
      <c r="BE81" s="106"/>
      <c r="BF81" s="311"/>
      <c r="BH81" s="106"/>
      <c r="BI81" s="106"/>
      <c r="BJ81" s="312"/>
    </row>
    <row r="82" spans="1:65" x14ac:dyDescent="0.35">
      <c r="A82" s="9167" t="s">
        <v>566</v>
      </c>
      <c r="B82" s="139" t="s">
        <v>567</v>
      </c>
      <c r="C82" s="348"/>
      <c r="D82" s="49"/>
      <c r="E82" s="141"/>
      <c r="F82" s="227"/>
      <c r="G82" s="141"/>
      <c r="H82" s="102"/>
      <c r="I82" s="103"/>
      <c r="J82" s="228"/>
      <c r="K82" s="141"/>
      <c r="L82" s="102"/>
      <c r="M82" s="268"/>
      <c r="N82" s="141"/>
      <c r="O82" s="102"/>
      <c r="P82" s="103"/>
      <c r="Q82" s="103"/>
      <c r="R82" s="103"/>
      <c r="S82" s="228"/>
      <c r="T82" s="141"/>
      <c r="U82" s="102"/>
      <c r="V82" s="103"/>
      <c r="W82" s="105"/>
      <c r="X82" s="141"/>
      <c r="Y82" s="102"/>
      <c r="Z82" s="103"/>
      <c r="AA82" s="103"/>
      <c r="AB82" s="103"/>
      <c r="AC82" s="228"/>
      <c r="AD82" s="141"/>
      <c r="AE82" s="102"/>
      <c r="AF82" s="103"/>
      <c r="AG82" s="105"/>
      <c r="AH82" s="141"/>
      <c r="AI82" s="102"/>
      <c r="AJ82" s="103"/>
      <c r="AK82" s="103"/>
      <c r="AL82" s="103"/>
      <c r="AM82" s="228"/>
      <c r="AN82" s="141"/>
      <c r="AO82" s="102"/>
      <c r="AP82" s="103"/>
      <c r="AQ82" s="105"/>
      <c r="AR82" s="141"/>
      <c r="AS82" s="102"/>
      <c r="AT82" s="103"/>
      <c r="AU82" s="103"/>
      <c r="AV82" s="103"/>
      <c r="AW82" s="228"/>
      <c r="AX82" s="141"/>
      <c r="AY82" s="102"/>
      <c r="AZ82" s="103"/>
      <c r="BA82" s="105"/>
      <c r="BB82" s="141"/>
      <c r="BC82" s="102"/>
      <c r="BD82" s="103"/>
      <c r="BE82" s="103"/>
      <c r="BF82" s="228"/>
      <c r="BG82" s="141"/>
      <c r="BH82" s="102"/>
      <c r="BI82" s="103"/>
      <c r="BJ82" s="105"/>
      <c r="BK82" s="141"/>
    </row>
    <row r="83" spans="1:65" x14ac:dyDescent="0.35">
      <c r="A83" s="9168"/>
      <c r="B83" s="6082"/>
      <c r="C83"/>
      <c r="D83" s="110" t="s">
        <v>568</v>
      </c>
      <c r="F83" s="349">
        <f>SUM(F35:F37)-SUM(F40:F42)</f>
        <v>97855.661999999997</v>
      </c>
      <c r="G83" s="350"/>
      <c r="H83" s="351">
        <f>SUM(H35:H37)-SUM(H40:H42)</f>
        <v>113557.371</v>
      </c>
      <c r="I83" s="352">
        <f>SUM(I35:I37)-SUM(I40:I42)</f>
        <v>105081.63399999999</v>
      </c>
      <c r="J83" s="246"/>
      <c r="K83" s="350"/>
      <c r="L83" s="351">
        <f>SUM(L35:L37)-SUM(L40:L42)</f>
        <v>134422.264</v>
      </c>
      <c r="M83" s="353">
        <f>SUM(M35:M37)-SUM(M40:M42)</f>
        <v>124430.86257645412</v>
      </c>
      <c r="O83" s="354">
        <f>SUM(O35:O38)-SUM(O40:O42)</f>
        <v>134422.264</v>
      </c>
      <c r="P83" s="355"/>
      <c r="Q83" s="355">
        <f>SUM(Q35:Q38)-SUM(Q40:Q42)</f>
        <v>115113.87699999999</v>
      </c>
      <c r="R83" s="352"/>
      <c r="S83" s="246"/>
      <c r="T83" s="350"/>
      <c r="U83" s="354">
        <f>SUM(U35:U38)-SUM(U40:U42)</f>
        <v>151773.56300000002</v>
      </c>
      <c r="V83" s="355"/>
      <c r="W83" s="1201">
        <f>SUM(W35:W38)-SUM(W40:W42)</f>
        <v>129865.39075673647</v>
      </c>
      <c r="Y83" s="354">
        <f>SUM(Y35:Y38)-SUM(Y40:Y42)</f>
        <v>151773.56300000002</v>
      </c>
      <c r="Z83" s="355"/>
      <c r="AA83" s="355">
        <f>SUM(AA35:AA38)-SUM(AA40:AA42)</f>
        <v>131938.18700000001</v>
      </c>
      <c r="AB83" s="352"/>
      <c r="AC83" s="246"/>
      <c r="AD83" s="350"/>
      <c r="AE83" s="354">
        <f>SUM(AE35:AE38)-SUM(AE40:AE42)</f>
        <v>168347.92</v>
      </c>
      <c r="AF83" s="355"/>
      <c r="AG83" s="1201">
        <f>SUM(AG35:AG38)-SUM(AG40:AG42)</f>
        <v>146367.87906039698</v>
      </c>
      <c r="AI83" s="354">
        <f>SUM(AI35:AI38)-SUM(AI40:AI42)</f>
        <v>168347.92</v>
      </c>
      <c r="AJ83" s="355"/>
      <c r="AK83" s="355">
        <f>SUM(AK35:AK38)-SUM(AK40:AK42)</f>
        <v>143996.22099999999</v>
      </c>
      <c r="AL83" s="352"/>
      <c r="AM83" s="246"/>
      <c r="AN83" s="350"/>
      <c r="AO83" s="354">
        <f>SUM(AO35:AO38)-SUM(AO40:AO42)</f>
        <v>178542.16200000001</v>
      </c>
      <c r="AP83" s="355"/>
      <c r="AQ83" s="1201">
        <f>SUM(AQ35:AQ38)-SUM(AQ40:AQ42)</f>
        <v>152712.61571127662</v>
      </c>
      <c r="AS83" s="354">
        <f>SUM(AS35:AS38)-SUM(AS40:AS42)</f>
        <v>178542.16200000001</v>
      </c>
      <c r="AT83" s="355"/>
      <c r="AU83" s="355">
        <f>SUM(AU35:AU38)-SUM(AU40:AU42)</f>
        <v>164041.72899999999</v>
      </c>
      <c r="AV83" s="352"/>
      <c r="AW83" s="246"/>
      <c r="AX83" s="350"/>
      <c r="AY83" s="354">
        <f>SUM(AY35:AY38)-SUM(AY40:AY42)</f>
        <v>190093.22200000001</v>
      </c>
      <c r="AZ83" s="355"/>
      <c r="BA83" s="1201">
        <f>SUM(BA35:BA38)-SUM(BA40:BA42)</f>
        <v>154365</v>
      </c>
      <c r="BC83" s="354">
        <f>SUM(BC35:BC38)-SUM(BC40:BC42)</f>
        <v>190093.22200000001</v>
      </c>
      <c r="BD83" s="355"/>
      <c r="BE83" s="355">
        <f>SUM(BE35:BE38)-SUM(BE40:BE42)</f>
        <v>154365</v>
      </c>
      <c r="BF83" s="246"/>
      <c r="BG83" s="350"/>
      <c r="BH83" s="354">
        <f>SUM(BH35:BH38)-SUM(BH40:BH42)</f>
        <v>241405.916</v>
      </c>
      <c r="BI83" s="355"/>
      <c r="BJ83" s="1201">
        <f>SUM(BJ35:BJ38)-SUM(BJ40:BJ42)</f>
        <v>195972.27325783472</v>
      </c>
    </row>
    <row r="84" spans="1:65" x14ac:dyDescent="0.35">
      <c r="A84" s="9168"/>
      <c r="B84" s="6082"/>
      <c r="C84"/>
      <c r="D84" s="110" t="s">
        <v>569</v>
      </c>
      <c r="F84" s="349">
        <f>SUM(F44:F50)</f>
        <v>0</v>
      </c>
      <c r="G84" s="350"/>
      <c r="H84" s="351">
        <f>SUM(H44:H50)</f>
        <v>952.77700000000004</v>
      </c>
      <c r="I84" s="352">
        <f>SUM(I44:I50)</f>
        <v>0</v>
      </c>
      <c r="J84" s="246"/>
      <c r="K84" s="350"/>
      <c r="L84" s="351">
        <f>SUM(L44:L50)</f>
        <v>0</v>
      </c>
      <c r="M84" s="353">
        <f>SUM(M44:M50)</f>
        <v>0</v>
      </c>
      <c r="O84" s="354">
        <f>SUM(O44:O50)</f>
        <v>0</v>
      </c>
      <c r="P84" s="355"/>
      <c r="Q84" s="355">
        <f>SUM(Q44:Q50)</f>
        <v>0</v>
      </c>
      <c r="R84" s="352"/>
      <c r="S84" s="246"/>
      <c r="T84" s="350"/>
      <c r="U84" s="354">
        <f>SUM(U44:U50)</f>
        <v>0</v>
      </c>
      <c r="V84" s="355"/>
      <c r="W84" s="1201">
        <f>SUM(W44:W50)</f>
        <v>0</v>
      </c>
      <c r="Y84" s="354">
        <f>SUM(Y44:Y50)</f>
        <v>5644.6820270000007</v>
      </c>
      <c r="Z84" s="355"/>
      <c r="AA84" s="355">
        <f>SUM(AA44:AA50)</f>
        <v>5644.6820270000007</v>
      </c>
      <c r="AB84" s="352"/>
      <c r="AC84" s="246"/>
      <c r="AD84" s="350"/>
      <c r="AE84" s="354">
        <f>SUM(AE44:AE50)</f>
        <v>4833.3123500000002</v>
      </c>
      <c r="AF84" s="355"/>
      <c r="AG84" s="1201">
        <f>SUM(AG44:AG50)</f>
        <v>4833.3123500000002</v>
      </c>
      <c r="AI84" s="354">
        <f>SUM(AI44:AI50)</f>
        <v>4833.3123500000002</v>
      </c>
      <c r="AJ84" s="355"/>
      <c r="AK84" s="355">
        <f>SUM(AK44:AK50)</f>
        <v>4833.3123500000002</v>
      </c>
      <c r="AL84" s="352"/>
      <c r="AM84" s="246"/>
      <c r="AN84" s="350"/>
      <c r="AO84" s="354">
        <f>SUM(AO44:AO50)</f>
        <v>6899.2473999999993</v>
      </c>
      <c r="AP84" s="355"/>
      <c r="AQ84" s="1201">
        <f>SUM(AQ44:AQ50)</f>
        <v>5907.3603999999996</v>
      </c>
      <c r="AS84" s="354">
        <f>SUM(AS44:AS50)</f>
        <v>4873</v>
      </c>
      <c r="AT84" s="355"/>
      <c r="AU84" s="355">
        <f>SUM(AU44:AU50)</f>
        <v>4852</v>
      </c>
      <c r="AV84" s="352"/>
      <c r="AW84" s="246"/>
      <c r="AX84" s="350"/>
      <c r="AY84" s="354">
        <f>SUM(AY44:AY50)</f>
        <v>5843.8649999999998</v>
      </c>
      <c r="AZ84" s="355"/>
      <c r="BA84" s="1201">
        <f>SUM(BA44:BA50)</f>
        <v>4319</v>
      </c>
      <c r="BC84" s="354">
        <f>SUM(BC44:BC50)</f>
        <v>5843.8649999999998</v>
      </c>
      <c r="BD84" s="355"/>
      <c r="BE84" s="355">
        <f>SUM(BE44:BE50)</f>
        <v>4319</v>
      </c>
      <c r="BF84" s="246"/>
      <c r="BG84" s="350"/>
      <c r="BH84" s="354">
        <f>SUM(BH44:BH50)</f>
        <v>5843.8649999999998</v>
      </c>
      <c r="BI84" s="355"/>
      <c r="BJ84" s="1201">
        <f>SUM(BJ44:BJ50)</f>
        <v>4319</v>
      </c>
    </row>
    <row r="85" spans="1:65" x14ac:dyDescent="0.35">
      <c r="A85" s="9168"/>
      <c r="B85" s="6082"/>
      <c r="C85"/>
      <c r="D85" s="110" t="s">
        <v>570</v>
      </c>
      <c r="F85" s="349">
        <f>F35*F28</f>
        <v>7110.1201983711526</v>
      </c>
      <c r="G85" s="350"/>
      <c r="H85" s="351">
        <f t="shared" ref="H85:I85" si="71">H35*H28</f>
        <v>8603.8586639726855</v>
      </c>
      <c r="I85" s="352">
        <f t="shared" si="71"/>
        <v>9340.861812665913</v>
      </c>
      <c r="J85" s="246"/>
      <c r="K85" s="350"/>
      <c r="L85" s="351">
        <f>L35*L28</f>
        <v>10775.785966500145</v>
      </c>
      <c r="M85" s="353">
        <f>M35*M28</f>
        <v>11698.835553566227</v>
      </c>
      <c r="O85" s="354">
        <f>O35*O28</f>
        <v>10775.777503286752</v>
      </c>
      <c r="P85" s="355"/>
      <c r="Q85" s="355">
        <f>Q35*Q28</f>
        <v>10686.56922747299</v>
      </c>
      <c r="R85" s="352"/>
      <c r="S85" s="246"/>
      <c r="T85" s="350"/>
      <c r="U85" s="354">
        <f>U35*U28</f>
        <v>12083.673589665103</v>
      </c>
      <c r="V85" s="355"/>
      <c r="W85" s="1201">
        <f>W35*W28</f>
        <v>10374.584318216681</v>
      </c>
      <c r="Y85" s="354">
        <f>(Y35+Y44+Y45)*Y28</f>
        <v>12569.512470838286</v>
      </c>
      <c r="Z85" s="355"/>
      <c r="AA85" s="355">
        <f>(AA35+AA44+AA45)*AA28</f>
        <v>10491.440850264653</v>
      </c>
      <c r="AB85" s="352"/>
      <c r="AC85" s="246"/>
      <c r="AD85" s="350"/>
      <c r="AE85" s="354">
        <f>(AE35+AE44+AE45)*AE28</f>
        <v>15495.315963719224</v>
      </c>
      <c r="AF85" s="355"/>
      <c r="AG85" s="1201">
        <f>(AG35+AG44+AG45)*AG28</f>
        <v>13698.482431882483</v>
      </c>
      <c r="AI85" s="354">
        <f>(AI35+AI44+AI45)*AI28</f>
        <v>15495.315963719224</v>
      </c>
      <c r="AJ85" s="355"/>
      <c r="AK85" s="355">
        <f>(AK35+AK44+AK45)*AK28</f>
        <v>18086.796750786783</v>
      </c>
      <c r="AL85" s="352"/>
      <c r="AM85" s="246"/>
      <c r="AN85" s="350"/>
      <c r="AO85" s="354">
        <f>(AO35+AO44+AO45)*AO28</f>
        <v>23819.363135536354</v>
      </c>
      <c r="AP85" s="355"/>
      <c r="AQ85" s="1201">
        <f>(AQ35+AQ44+AQ45)*AQ28</f>
        <v>20521.813185873405</v>
      </c>
      <c r="AS85" s="354">
        <f>SUM(AS52:AS59)*AS28</f>
        <v>40698.871139029638</v>
      </c>
      <c r="AT85" s="7358" t="s">
        <v>4988</v>
      </c>
      <c r="AU85" s="355">
        <f>SUM(AU52:AU59)*AU28</f>
        <v>41576.256773455127</v>
      </c>
      <c r="AV85" s="7358" t="s">
        <v>4988</v>
      </c>
      <c r="AW85" s="246"/>
      <c r="AX85" s="350"/>
      <c r="AY85" s="354">
        <f>SUM(AY52:AY59)*AY28</f>
        <v>50807.453843978881</v>
      </c>
      <c r="AZ85" s="7358" t="s">
        <v>4988</v>
      </c>
      <c r="BA85" s="1201">
        <f>SUM(BA52:BA59)*BA28</f>
        <v>49022.145704018294</v>
      </c>
      <c r="BC85" s="354">
        <f>SUM(BC52:BC59)*BC28</f>
        <v>50807.453843978881</v>
      </c>
      <c r="BD85" s="7358" t="s">
        <v>4988</v>
      </c>
      <c r="BE85" s="355">
        <f>SUM(BE52:BE59)*BE28</f>
        <v>49022.145704018294</v>
      </c>
      <c r="BF85" s="246"/>
      <c r="BG85" s="350"/>
      <c r="BH85" s="354">
        <f>SUM(BH52:BH59)*BH28</f>
        <v>58227.319469287599</v>
      </c>
      <c r="BI85" s="7358" t="s">
        <v>4988</v>
      </c>
      <c r="BJ85" s="1201">
        <f>SUM(BJ52:BJ59)*BJ28</f>
        <v>56181.286858879132</v>
      </c>
      <c r="BL85" s="972"/>
      <c r="BM85" s="972" t="s">
        <v>4989</v>
      </c>
    </row>
    <row r="86" spans="1:65" x14ac:dyDescent="0.35">
      <c r="A86" s="9168"/>
      <c r="B86" s="6082"/>
      <c r="C86"/>
      <c r="D86" s="110" t="s">
        <v>552</v>
      </c>
      <c r="F86" s="349">
        <f>F61</f>
        <v>0</v>
      </c>
      <c r="G86" s="350"/>
      <c r="H86" s="351">
        <f>H61</f>
        <v>0</v>
      </c>
      <c r="I86" s="352">
        <f>I61</f>
        <v>0</v>
      </c>
      <c r="J86" s="246"/>
      <c r="K86" s="350"/>
      <c r="L86" s="351">
        <f>L61</f>
        <v>0</v>
      </c>
      <c r="M86" s="353">
        <f>M61</f>
        <v>0</v>
      </c>
      <c r="O86" s="354">
        <f>SUM(O61:O63)</f>
        <v>0</v>
      </c>
      <c r="P86" s="355"/>
      <c r="Q86" s="355">
        <f>SUM(Q61:Q63)</f>
        <v>0</v>
      </c>
      <c r="R86" s="352"/>
      <c r="S86" s="246"/>
      <c r="T86" s="350"/>
      <c r="U86" s="354">
        <f>SUM(U61:U63)</f>
        <v>0</v>
      </c>
      <c r="V86" s="355"/>
      <c r="W86" s="1201">
        <f>SUM(W61:W63)</f>
        <v>0</v>
      </c>
      <c r="Y86" s="354">
        <f>SUM(Y61:Y63)</f>
        <v>0</v>
      </c>
      <c r="Z86" s="355"/>
      <c r="AA86" s="355">
        <f>SUM(AA61:AA63)</f>
        <v>0</v>
      </c>
      <c r="AB86" s="352"/>
      <c r="AC86" s="246"/>
      <c r="AD86" s="350"/>
      <c r="AE86" s="354">
        <f>SUM(AE61:AE63)</f>
        <v>0</v>
      </c>
      <c r="AF86" s="355"/>
      <c r="AG86" s="1201">
        <f>SUM(AG61:AG63)</f>
        <v>0</v>
      </c>
      <c r="AI86" s="354">
        <f>SUM(AI61:AI63)</f>
        <v>0</v>
      </c>
      <c r="AJ86" s="355"/>
      <c r="AK86" s="355">
        <f>SUM(AK61:AK63)</f>
        <v>0</v>
      </c>
      <c r="AL86" s="352"/>
      <c r="AM86" s="246"/>
      <c r="AN86" s="350"/>
      <c r="AO86" s="354">
        <f>SUM(AO61:AO63)</f>
        <v>0</v>
      </c>
      <c r="AP86" s="355"/>
      <c r="AQ86" s="1201">
        <f>SUM(AQ61:AQ63)</f>
        <v>0</v>
      </c>
      <c r="AS86" s="354">
        <f>SUM(AS61:AS63)</f>
        <v>0</v>
      </c>
      <c r="AT86" s="355"/>
      <c r="AU86" s="355">
        <f>SUM(AU61:AU63)</f>
        <v>0</v>
      </c>
      <c r="AV86" s="352"/>
      <c r="AW86" s="246"/>
      <c r="AX86" s="350"/>
      <c r="AY86" s="354">
        <f>SUM(AY61:AY63)</f>
        <v>0</v>
      </c>
      <c r="AZ86" s="355"/>
      <c r="BA86" s="1201">
        <f>SUM(BA61:BA63)</f>
        <v>0</v>
      </c>
      <c r="BC86" s="354">
        <f>SUM(BC61:BC63)</f>
        <v>0</v>
      </c>
      <c r="BD86" s="355"/>
      <c r="BE86" s="355">
        <f>SUM(BE61:BE63)</f>
        <v>0</v>
      </c>
      <c r="BF86" s="246"/>
      <c r="BG86" s="350"/>
      <c r="BH86" s="354">
        <f>SUM(BH61:BH63)</f>
        <v>0</v>
      </c>
      <c r="BI86" s="355"/>
      <c r="BJ86" s="1201">
        <f>SUM(BJ61:BJ63)</f>
        <v>0</v>
      </c>
    </row>
    <row r="87" spans="1:65" x14ac:dyDescent="0.35">
      <c r="A87" s="9168"/>
      <c r="B87" s="6082"/>
      <c r="C87"/>
      <c r="D87" s="356" t="s">
        <v>571</v>
      </c>
      <c r="E87" s="143"/>
      <c r="F87" s="357">
        <f>SUM(F83:F86)</f>
        <v>104965.78219837115</v>
      </c>
      <c r="G87" s="358"/>
      <c r="H87" s="359">
        <f t="shared" ref="H87:I87" si="72">SUM(H83:H86)</f>
        <v>123114.00666397269</v>
      </c>
      <c r="I87" s="360">
        <f t="shared" si="72"/>
        <v>114422.4958126659</v>
      </c>
      <c r="J87" s="361"/>
      <c r="K87" s="358"/>
      <c r="L87" s="359">
        <f t="shared" ref="L87:M87" si="73">SUM(L83:L86)</f>
        <v>145198.04996650014</v>
      </c>
      <c r="M87" s="362">
        <f t="shared" si="73"/>
        <v>136129.69813002035</v>
      </c>
      <c r="N87" s="143"/>
      <c r="O87" s="363">
        <f>SUM(O83:O86)</f>
        <v>145198.04150328675</v>
      </c>
      <c r="P87" s="355"/>
      <c r="Q87" s="364">
        <f>SUM(Q83:Q86)</f>
        <v>125800.44622747299</v>
      </c>
      <c r="R87" s="360"/>
      <c r="S87" s="361"/>
      <c r="T87" s="358"/>
      <c r="U87" s="363">
        <f>SUM(U83:U86)</f>
        <v>163857.23658966512</v>
      </c>
      <c r="V87" s="364"/>
      <c r="W87" s="1202">
        <f>SUM(W83:W86)</f>
        <v>140239.97507495314</v>
      </c>
      <c r="X87" s="143"/>
      <c r="Y87" s="363">
        <f>SUM(Y83:Y86)</f>
        <v>169987.75749783832</v>
      </c>
      <c r="Z87" s="355"/>
      <c r="AA87" s="364">
        <f>SUM(AA83:AA86)</f>
        <v>148074.30987726466</v>
      </c>
      <c r="AB87" s="360"/>
      <c r="AC87" s="361"/>
      <c r="AD87" s="358"/>
      <c r="AE87" s="363">
        <f>SUM(AE83:AE86)</f>
        <v>188676.54831371922</v>
      </c>
      <c r="AF87" s="364"/>
      <c r="AG87" s="1202">
        <f>SUM(AG83:AG86)</f>
        <v>164899.67384227947</v>
      </c>
      <c r="AH87" s="143"/>
      <c r="AI87" s="363">
        <f>SUM(AI83:AI86)</f>
        <v>188676.54831371922</v>
      </c>
      <c r="AJ87" s="355"/>
      <c r="AK87" s="364">
        <f>SUM(AK83:AK86)</f>
        <v>166916.33010078676</v>
      </c>
      <c r="AL87" s="360"/>
      <c r="AM87" s="361"/>
      <c r="AN87" s="358"/>
      <c r="AO87" s="363">
        <f>SUM(AO83:AO86)</f>
        <v>209260.77253553635</v>
      </c>
      <c r="AP87" s="364"/>
      <c r="AQ87" s="1202">
        <f>SUM(AQ83:AQ86)</f>
        <v>179141.78929715004</v>
      </c>
      <c r="AR87" s="143"/>
      <c r="AS87" s="363">
        <f>SUM(AS83:AS86)</f>
        <v>224114.03313902963</v>
      </c>
      <c r="AT87" s="355"/>
      <c r="AU87" s="364">
        <f>SUM(AU83:AU86)</f>
        <v>210469.98577345512</v>
      </c>
      <c r="AV87" s="360"/>
      <c r="AW87" s="361"/>
      <c r="AX87" s="358"/>
      <c r="AY87" s="363">
        <f>SUM(AY83:AY86)</f>
        <v>246744.54084397887</v>
      </c>
      <c r="AZ87" s="364"/>
      <c r="BA87" s="1202">
        <f>SUM(BA83:BA86)</f>
        <v>207706.1457040183</v>
      </c>
      <c r="BB87" s="143"/>
      <c r="BC87" s="363">
        <f>SUM(BC83:BC86)</f>
        <v>246744.54084397887</v>
      </c>
      <c r="BD87" s="355"/>
      <c r="BE87" s="364">
        <f>SUM(BE83:BE86)</f>
        <v>207706.1457040183</v>
      </c>
      <c r="BF87" s="361"/>
      <c r="BG87" s="358"/>
      <c r="BH87" s="363">
        <f>SUM(BH83:BH86)</f>
        <v>305477.1004692876</v>
      </c>
      <c r="BI87" s="364"/>
      <c r="BJ87" s="1202">
        <f>SUM(BJ83:BJ86)</f>
        <v>256472.56011671387</v>
      </c>
      <c r="BK87" s="143"/>
    </row>
    <row r="88" spans="1:65" ht="15.5" x14ac:dyDescent="0.35">
      <c r="A88" s="9168"/>
      <c r="B88" s="6082"/>
      <c r="C88"/>
      <c r="D88" s="356" t="s">
        <v>572</v>
      </c>
      <c r="F88" s="366">
        <f>F87/(F17+F18)</f>
        <v>0.21399745003621579</v>
      </c>
      <c r="G88" s="367"/>
      <c r="H88" s="368">
        <f>H87/(H17+H18)</f>
        <v>0.19711395694804748</v>
      </c>
      <c r="I88" s="369">
        <f>I87/(I17+I18)</f>
        <v>0.21805855178660039</v>
      </c>
      <c r="J88" s="370"/>
      <c r="K88" s="367"/>
      <c r="L88" s="368">
        <f>L87/(L17+L18)</f>
        <v>0.21912901957894004</v>
      </c>
      <c r="M88" s="370">
        <f>M87/(M17+M18)</f>
        <v>0.2445180012746084</v>
      </c>
      <c r="O88" s="368">
        <f>O87/(O17+O18+O19)</f>
        <v>0.21912887485580934</v>
      </c>
      <c r="P88" s="355"/>
      <c r="Q88" s="369">
        <f>Q87/(Q17+Q18+Q19)</f>
        <v>0.2216476841852387</v>
      </c>
      <c r="R88" s="369"/>
      <c r="S88" s="370"/>
      <c r="T88" s="367"/>
      <c r="U88" s="368">
        <f>U87/(U17+U18+U19)</f>
        <v>0.22171526357423563</v>
      </c>
      <c r="V88" s="369"/>
      <c r="W88" s="370">
        <f>W87/(W17+W18+W19)</f>
        <v>0.22149865250357315</v>
      </c>
      <c r="Y88" s="368">
        <f>Y87/(Y17+Y18+Y19)</f>
        <v>0.23001047278984565</v>
      </c>
      <c r="Z88" s="355"/>
      <c r="AA88" s="369">
        <f>AA87/(AA17+AA18+AA19)</f>
        <v>0.18862539849810919</v>
      </c>
      <c r="AB88" s="369"/>
      <c r="AC88" s="370"/>
      <c r="AD88" s="367"/>
      <c r="AE88" s="368">
        <f>AE87/(AE17+AE18+AE19)</f>
        <v>0.19566061868303827</v>
      </c>
      <c r="AF88" s="369"/>
      <c r="AG88" s="370">
        <f>AG87/(AG17+AG18+AG19)</f>
        <v>0.18200528894777684</v>
      </c>
      <c r="AI88" s="368">
        <f>AI87/(AI17+AI18+AI19)</f>
        <v>0.19566061868303827</v>
      </c>
      <c r="AJ88" s="355"/>
      <c r="AK88" s="369">
        <f>AK87/(AK17+AK18+AK19)</f>
        <v>0.22384084863561196</v>
      </c>
      <c r="AL88" s="369"/>
      <c r="AM88" s="370"/>
      <c r="AN88" s="367"/>
      <c r="AO88" s="368">
        <f>AO87/(AO17+AO18+AO19)</f>
        <v>0.22082260234934326</v>
      </c>
      <c r="AP88" s="369"/>
      <c r="AQ88" s="370">
        <f>AQ87/(AQ17+AQ18+AQ19)</f>
        <v>0.20511461282321991</v>
      </c>
      <c r="AS88" s="561">
        <f>AS87/(AS17+AS18+AS19)</f>
        <v>0.23629429517227488</v>
      </c>
      <c r="AT88" s="355"/>
      <c r="AU88" s="562">
        <f>AU87/(AU17+AU18+AU19)</f>
        <v>0.25149873488666019</v>
      </c>
      <c r="AV88" s="562"/>
      <c r="AW88" s="563"/>
      <c r="AX88" s="560"/>
      <c r="AY88" s="561">
        <f>AY87/(AY17+AY18+AY19)</f>
        <v>0.27358667688668536</v>
      </c>
      <c r="AZ88" s="562"/>
      <c r="BA88" s="563">
        <f>BA87/(BA17+BA18+BA19)</f>
        <v>0.27369369574913466</v>
      </c>
      <c r="BC88" s="368">
        <f>BC87/(BC17+BC18+BC19)</f>
        <v>0.27358667688668536</v>
      </c>
      <c r="BD88" s="355"/>
      <c r="BE88" s="369">
        <f>BE87/(BE17+BE18+BE19)</f>
        <v>0.27369369574913466</v>
      </c>
      <c r="BF88" s="370"/>
      <c r="BG88" s="367"/>
      <c r="BH88" s="368">
        <f>BH87/(BH17+BH18+BH19)</f>
        <v>0.26998130799998904</v>
      </c>
      <c r="BI88" s="369"/>
      <c r="BJ88" s="370">
        <f>BJ87/(BJ17+BJ18+BJ19)</f>
        <v>0.27280456976141376</v>
      </c>
    </row>
    <row r="89" spans="1:65" x14ac:dyDescent="0.35">
      <c r="A89" s="9168"/>
      <c r="B89" s="371"/>
      <c r="C89" s="372"/>
      <c r="D89" s="296" t="s">
        <v>573</v>
      </c>
      <c r="E89" s="374"/>
      <c r="F89" s="1054">
        <f>F87/F12</f>
        <v>0.20709403605438995</v>
      </c>
      <c r="G89" s="1055"/>
      <c r="H89" s="1056">
        <f>H87/H12</f>
        <v>0.20921739042978602</v>
      </c>
      <c r="I89" s="953">
        <f>I87/I12</f>
        <v>0.21601671664208028</v>
      </c>
      <c r="J89" s="1057"/>
      <c r="K89" s="1055"/>
      <c r="L89" s="1203">
        <f>L87/L12</f>
        <v>0.23811953566483512</v>
      </c>
      <c r="M89" s="1057">
        <f>M87/M12</f>
        <v>0.24801203364022523</v>
      </c>
      <c r="O89" s="1204">
        <f>O35+O85</f>
        <v>137570.98250328677</v>
      </c>
      <c r="P89" s="355"/>
      <c r="Q89" s="1205">
        <f>Q35+Q85</f>
        <v>119548.12822747299</v>
      </c>
      <c r="R89" s="1206"/>
      <c r="S89" s="1207"/>
      <c r="T89" s="1208"/>
      <c r="U89" s="1209">
        <f>U35+U85</f>
        <v>152476.9145896651</v>
      </c>
      <c r="V89" s="1206"/>
      <c r="W89" s="1210">
        <f>W35+W85</f>
        <v>130910.90182582842</v>
      </c>
      <c r="Y89" s="1204">
        <f>Y35+Y44+Y45+Y85</f>
        <v>158607.43549783831</v>
      </c>
      <c r="Z89" s="355"/>
      <c r="AA89" s="1205">
        <f>AA35+AA44+AA45+AA85</f>
        <v>139744.57187726465</v>
      </c>
      <c r="AB89" s="1206"/>
      <c r="AC89" s="1207"/>
      <c r="AD89" s="1208"/>
      <c r="AE89" s="1209">
        <f>AE35+AE44+AE45+AE85</f>
        <v>176197.86931371925</v>
      </c>
      <c r="AF89" s="1206"/>
      <c r="AG89" s="1210">
        <f>AG35+AG44+AG45+AG85</f>
        <v>155766.00199572701</v>
      </c>
      <c r="AI89" s="1204">
        <f>AI35+AI44+AI45+AI85</f>
        <v>176197.86931371925</v>
      </c>
      <c r="AJ89" s="355"/>
      <c r="AK89" s="1205">
        <f>AK35+AK44+AK45+AK85</f>
        <v>156438.81910078679</v>
      </c>
      <c r="AL89" s="1206"/>
      <c r="AM89" s="1207"/>
      <c r="AN89" s="1208"/>
      <c r="AO89" s="1209">
        <f>AO35+AO44+AO45+AO85</f>
        <v>194843.70153553635</v>
      </c>
      <c r="AP89" s="1206"/>
      <c r="AQ89" s="1210">
        <f>AQ35+AQ44+AQ45+AQ85</f>
        <v>167869.56144057773</v>
      </c>
      <c r="AS89" s="7097">
        <f>AS35+AS44+AS45+AS85</f>
        <v>210688.84913902963</v>
      </c>
      <c r="AT89" s="355"/>
      <c r="AU89" s="7093">
        <f>AU35+AU44+AU45+AU85</f>
        <v>198204.36677345511</v>
      </c>
      <c r="AV89" s="7359"/>
      <c r="AW89" s="7360"/>
      <c r="AX89" s="7361"/>
      <c r="AY89" s="1209">
        <f>AY35+AY44+AY45+AY85</f>
        <v>234650.45184397887</v>
      </c>
      <c r="AZ89" s="7359"/>
      <c r="BA89" s="1210">
        <f>BA35+BA44+BA45+BA85</f>
        <v>197953.1457040183</v>
      </c>
      <c r="BC89" s="1204">
        <f>BC35+BC44+BC45+BC85</f>
        <v>234650.45184397887</v>
      </c>
      <c r="BD89" s="355"/>
      <c r="BE89" s="1205">
        <f>BE35+BE44+BE45+BE85</f>
        <v>197953.1457040183</v>
      </c>
      <c r="BF89" s="1207"/>
      <c r="BG89" s="1208"/>
      <c r="BH89" s="1209">
        <f>BH35+BH44+BH45+BH85</f>
        <v>279934.10346928757</v>
      </c>
      <c r="BI89" s="1206"/>
      <c r="BJ89" s="1210">
        <f>BJ35+BJ44+BJ45+BJ85</f>
        <v>235873.99748491909</v>
      </c>
    </row>
    <row r="90" spans="1:65" x14ac:dyDescent="0.35">
      <c r="A90" s="9168"/>
      <c r="B90" s="58"/>
      <c r="C90" s="390"/>
      <c r="D90" s="59" t="s">
        <v>575</v>
      </c>
      <c r="E90" s="392"/>
      <c r="F90" s="393"/>
      <c r="G90" s="392"/>
      <c r="H90" s="394"/>
      <c r="I90" s="395"/>
      <c r="J90" s="229"/>
      <c r="K90" s="392"/>
      <c r="L90" s="396"/>
      <c r="M90" s="229"/>
      <c r="O90" s="1211">
        <f>(O87-O89)/((O18+O19))</f>
        <v>4.9337943865019225E-2</v>
      </c>
      <c r="P90" s="355"/>
      <c r="Q90" s="1212">
        <f>(Q87-Q89)/((Q18+Q19))</f>
        <v>4.5826349543738772E-2</v>
      </c>
      <c r="R90" s="1213"/>
      <c r="S90" s="1214"/>
      <c r="T90" s="1215"/>
      <c r="U90" s="1216">
        <f>(U87-U89)/((U18+U19))</f>
        <v>6.4826670464255276E-2</v>
      </c>
      <c r="V90" s="1213"/>
      <c r="W90" s="1217">
        <f>(W87-W89)/((W18+W19))</f>
        <v>6.0212676648610804E-2</v>
      </c>
      <c r="Y90" s="1211">
        <f>(Y87-Y89)/((Y18+Y19))</f>
        <v>6.4826670464255276E-2</v>
      </c>
      <c r="Z90" s="355"/>
      <c r="AA90" s="1212">
        <f>(AA87-AA89)/((AA18+AA19))</f>
        <v>6.197453077666449E-2</v>
      </c>
      <c r="AB90" s="1213"/>
      <c r="AC90" s="1214"/>
      <c r="AD90" s="1215"/>
      <c r="AE90" s="1216">
        <f>(AE87-AE89)/((AE18+AE19))</f>
        <v>5.0174949580196374E-2</v>
      </c>
      <c r="AF90" s="1213"/>
      <c r="AG90" s="1217">
        <f>(AG87-AG89)/((AG18+AG19))</f>
        <v>4.7967432766580928E-2</v>
      </c>
      <c r="AI90" s="1211">
        <f>(AI87-AI89)/((AI18+AI19))</f>
        <v>5.0174949580196374E-2</v>
      </c>
      <c r="AJ90" s="355"/>
      <c r="AK90" s="1212">
        <f>(AK87-AK89)/((AK18+AK19))</f>
        <v>4.9870823873236943E-2</v>
      </c>
      <c r="AL90" s="1213"/>
      <c r="AM90" s="1214"/>
      <c r="AN90" s="1215"/>
      <c r="AO90" s="1216">
        <f>(AO87-AO89)/((AO18+AO19))</f>
        <v>5.105665181638535E-2</v>
      </c>
      <c r="AP90" s="1213"/>
      <c r="AQ90" s="1217">
        <f>(AQ87-AQ89)/((AQ18+AQ19))</f>
        <v>5.4165774766989486E-2</v>
      </c>
      <c r="AS90" s="6152">
        <f>(AS87-AS89)/((AS18+AS19))</f>
        <v>4.7543980678107785E-2</v>
      </c>
      <c r="AT90" s="355"/>
      <c r="AU90" s="7362">
        <f>(AU87-AU89)/((AU18+AU19))</f>
        <v>5.2292700708143465E-2</v>
      </c>
      <c r="AV90" s="7363"/>
      <c r="AW90" s="7364"/>
      <c r="AX90" s="7365"/>
      <c r="AY90" s="7366">
        <f>(AY87-AY89)/((AY18+AY19))</f>
        <v>6.9932282872672641E-2</v>
      </c>
      <c r="AZ90" s="7363"/>
      <c r="BA90" s="7367">
        <f>(BA87-BA89)/((BA18+BA19))</f>
        <v>7.9551386623164758E-2</v>
      </c>
      <c r="BC90" s="1211">
        <f>(BC87-BC89)/((BC18+BC19))</f>
        <v>6.9932282872672641E-2</v>
      </c>
      <c r="BD90" s="355"/>
      <c r="BE90" s="1212">
        <f>(BE87-BE89)/((BE18+BE19))</f>
        <v>7.9551386623164758E-2</v>
      </c>
      <c r="BF90" s="1214"/>
      <c r="BG90" s="1215"/>
      <c r="BH90" s="1216">
        <f>(BH87-BH89)/((BH18+BH19))</f>
        <v>8.9928097648906247E-2</v>
      </c>
      <c r="BI90" s="1213"/>
      <c r="BJ90" s="1217">
        <f>(BJ87-BJ89)/((BJ18+BJ19))</f>
        <v>0.10278535408305092</v>
      </c>
    </row>
    <row r="91" spans="1:65" x14ac:dyDescent="0.35">
      <c r="A91" s="9168"/>
      <c r="B91" s="58"/>
      <c r="C91" s="390"/>
      <c r="D91" s="59" t="s">
        <v>576</v>
      </c>
      <c r="E91" s="392"/>
      <c r="F91" s="393"/>
      <c r="G91" s="392"/>
      <c r="H91" s="394"/>
      <c r="I91" s="395"/>
      <c r="J91" s="229"/>
      <c r="K91" s="392"/>
      <c r="L91" s="396"/>
      <c r="M91" s="229"/>
      <c r="O91" s="1211">
        <f>O89/(O17)</f>
        <v>0.27079477356569626</v>
      </c>
      <c r="P91" s="355"/>
      <c r="Q91" s="1212">
        <f>Q89/(Q17)</f>
        <v>0.27728737105053503</v>
      </c>
      <c r="R91" s="1213"/>
      <c r="S91" s="1214"/>
      <c r="T91" s="1215"/>
      <c r="U91" s="1216">
        <f>U89/(U17)</f>
        <v>0.27059211811156403</v>
      </c>
      <c r="V91" s="1213"/>
      <c r="W91" s="1217">
        <f>W89/(W17)</f>
        <v>0.27375416279335552</v>
      </c>
      <c r="Y91" s="1211">
        <f>Y89/(Y17)</f>
        <v>0.28147160529251891</v>
      </c>
      <c r="Z91" s="355"/>
      <c r="AA91" s="1212">
        <f>AA89/(AA17)</f>
        <v>0.21478939970828276</v>
      </c>
      <c r="AB91" s="1213"/>
      <c r="AC91" s="1214"/>
      <c r="AD91" s="1215"/>
      <c r="AE91" s="1216">
        <f>AE89/(AE17)</f>
        <v>0.24622334147152669</v>
      </c>
      <c r="AF91" s="1213"/>
      <c r="AG91" s="1217">
        <f>AG89/(AG17)</f>
        <v>0.21767133534833336</v>
      </c>
      <c r="AI91" s="1211">
        <f>AI89/(AI17)</f>
        <v>0.24622334147152669</v>
      </c>
      <c r="AJ91" s="355"/>
      <c r="AK91" s="1212">
        <f>AK89/(AK17)</f>
        <v>0.29208198503131405</v>
      </c>
      <c r="AL91" s="1213"/>
      <c r="AM91" s="1214"/>
      <c r="AN91" s="1215"/>
      <c r="AO91" s="1216">
        <f>AO89/(AO17)</f>
        <v>0.29288001457388052</v>
      </c>
      <c r="AP91" s="1213"/>
      <c r="AQ91" s="1217">
        <f>AQ89/(AQ17)</f>
        <v>0.25233373834391215</v>
      </c>
      <c r="AS91" s="6152">
        <f>AS89/(AS17)</f>
        <v>0.31631210282718658</v>
      </c>
      <c r="AT91" s="355"/>
      <c r="AU91" s="7362">
        <f>AU89/(AU17)</f>
        <v>0.32907586305541553</v>
      </c>
      <c r="AV91" s="7363"/>
      <c r="AW91" s="7364"/>
      <c r="AX91" s="7365"/>
      <c r="AY91" s="7366">
        <f>AY89/(AY17)</f>
        <v>0.32190286802896623</v>
      </c>
      <c r="AZ91" s="7363"/>
      <c r="BA91" s="7367">
        <f>BA89/(BA17)</f>
        <v>0.31110033899735706</v>
      </c>
      <c r="BC91" s="1211">
        <f>BC89/(BC17)</f>
        <v>0.32190286802896623</v>
      </c>
      <c r="BD91" s="355"/>
      <c r="BE91" s="1212">
        <f>BE89/(BE17)</f>
        <v>0.31110033899735706</v>
      </c>
      <c r="BF91" s="1214"/>
      <c r="BG91" s="1215"/>
      <c r="BH91" s="1216">
        <f>BH89/(BH17)</f>
        <v>0.33033028233283129</v>
      </c>
      <c r="BI91" s="1213"/>
      <c r="BJ91" s="1217">
        <f>BJ89/(BJ17)</f>
        <v>0.31886530776023525</v>
      </c>
    </row>
    <row r="92" spans="1:65" x14ac:dyDescent="0.35">
      <c r="A92" s="9168"/>
      <c r="B92" s="58"/>
      <c r="C92" s="390"/>
      <c r="D92" s="59"/>
      <c r="E92" s="392"/>
      <c r="F92" s="393"/>
      <c r="G92" s="392"/>
      <c r="H92" s="394"/>
      <c r="I92" s="395"/>
      <c r="J92" s="229"/>
      <c r="K92" s="392"/>
      <c r="L92" s="396"/>
      <c r="M92" s="229"/>
      <c r="O92" s="1211"/>
      <c r="P92" s="355"/>
      <c r="Q92" s="1218"/>
      <c r="R92" s="1219"/>
      <c r="S92" s="1220"/>
      <c r="T92" s="1221"/>
      <c r="U92" s="1222"/>
      <c r="V92" s="1219"/>
      <c r="W92" s="1223"/>
      <c r="Y92" s="1211"/>
      <c r="Z92" s="355"/>
      <c r="AA92" s="1218"/>
      <c r="AB92" s="1219"/>
      <c r="AC92" s="1220"/>
      <c r="AD92" s="1221"/>
      <c r="AE92" s="1222"/>
      <c r="AF92" s="1219"/>
      <c r="AG92" s="1223"/>
      <c r="AI92" s="1211"/>
      <c r="AJ92" s="355"/>
      <c r="AK92" s="1218"/>
      <c r="AL92" s="1219"/>
      <c r="AM92" s="1220"/>
      <c r="AN92" s="1221"/>
      <c r="AO92" s="1222"/>
      <c r="AP92" s="1219"/>
      <c r="AQ92" s="1223"/>
      <c r="AS92" s="6152"/>
      <c r="AT92" s="355"/>
      <c r="AU92" s="6149"/>
      <c r="AV92" s="7368"/>
      <c r="AW92" s="7369"/>
      <c r="AX92" s="7370"/>
      <c r="AY92" s="6148"/>
      <c r="AZ92" s="7368"/>
      <c r="BA92" s="7371"/>
      <c r="BC92" s="1211"/>
      <c r="BD92" s="355"/>
      <c r="BE92" s="1218"/>
      <c r="BF92" s="1220"/>
      <c r="BG92" s="1221"/>
      <c r="BH92" s="1222"/>
      <c r="BI92" s="1219"/>
      <c r="BJ92" s="1223"/>
    </row>
    <row r="93" spans="1:65" x14ac:dyDescent="0.35">
      <c r="A93" s="9168"/>
      <c r="B93" s="58"/>
      <c r="C93" s="390"/>
      <c r="D93" s="59" t="s">
        <v>577</v>
      </c>
      <c r="E93" s="392"/>
      <c r="F93" s="393"/>
      <c r="G93" s="392"/>
      <c r="H93" s="394"/>
      <c r="I93" s="395"/>
      <c r="J93" s="229"/>
      <c r="K93" s="392"/>
      <c r="L93" s="396"/>
      <c r="M93" s="229"/>
      <c r="O93" s="1211">
        <f>O87/O12</f>
        <v>0.23811952178547213</v>
      </c>
      <c r="P93" s="355"/>
      <c r="Q93" s="1218">
        <f>Q87/Q12</f>
        <v>0.21708338362423599</v>
      </c>
      <c r="R93" s="1219"/>
      <c r="S93" s="1220"/>
      <c r="T93" s="1221"/>
      <c r="U93" s="1222">
        <f>U87/U12</f>
        <v>0.23504140030128315</v>
      </c>
      <c r="V93" s="1219"/>
      <c r="W93" s="1223">
        <f>W87/W12</f>
        <v>0.2116706886667164</v>
      </c>
      <c r="Y93" s="1211">
        <f>Y87/Y12</f>
        <v>0.2438351908522719</v>
      </c>
      <c r="Z93" s="355"/>
      <c r="AA93" s="1218">
        <f>AA87/AA12</f>
        <v>0.17556241077488957</v>
      </c>
      <c r="AB93" s="1219"/>
      <c r="AC93" s="1220"/>
      <c r="AD93" s="1221"/>
      <c r="AE93" s="1222">
        <f>AE87/AE12</f>
        <v>0.22654046227841296</v>
      </c>
      <c r="AF93" s="1219"/>
      <c r="AG93" s="1223">
        <f>AG87/AG12</f>
        <v>0.19799200629680599</v>
      </c>
      <c r="AI93" s="1211">
        <f>AI87/AI12</f>
        <v>0.22654046227841296</v>
      </c>
      <c r="AJ93" s="355"/>
      <c r="AK93" s="1218">
        <f>AK87/AK12</f>
        <v>0.24458791203431626</v>
      </c>
      <c r="AL93" s="1219"/>
      <c r="AM93" s="1220"/>
      <c r="AN93" s="1221"/>
      <c r="AO93" s="1222">
        <f>AO87/AO12</f>
        <v>0.26298160233389511</v>
      </c>
      <c r="AP93" s="1219"/>
      <c r="AQ93" s="1223">
        <f>AQ87/AQ12</f>
        <v>0.22513055946176067</v>
      </c>
      <c r="AS93" s="6152">
        <f>AS87/AS12</f>
        <v>0.27474247801833662</v>
      </c>
      <c r="AT93" s="355"/>
      <c r="AU93" s="6149">
        <f>AU87/AU12</f>
        <v>0.27471980558479298</v>
      </c>
      <c r="AV93" s="7368"/>
      <c r="AW93" s="7369"/>
      <c r="AX93" s="7370"/>
      <c r="AY93" s="6148">
        <f>AY87/AY12</f>
        <v>0.28286984929780107</v>
      </c>
      <c r="AZ93" s="7368"/>
      <c r="BA93" s="7371">
        <f>BA87/BA12</f>
        <v>0.25630077209281626</v>
      </c>
      <c r="BC93" s="1211">
        <f>BC87/BC12</f>
        <v>0.28286984929780107</v>
      </c>
      <c r="BD93" s="355"/>
      <c r="BE93" s="1218">
        <f>BE87/BE12</f>
        <v>0.25630077209281626</v>
      </c>
      <c r="BF93" s="1220"/>
      <c r="BG93" s="1221"/>
      <c r="BH93" s="1222">
        <f>BH87/BH12</f>
        <v>0.27175647057451896</v>
      </c>
      <c r="BI93" s="1219"/>
      <c r="BJ93" s="1223">
        <f>BJ87/BJ12</f>
        <v>0.2455859980630041</v>
      </c>
    </row>
    <row r="94" spans="1:65" x14ac:dyDescent="0.35">
      <c r="A94" s="9168"/>
      <c r="B94" s="58"/>
      <c r="C94" s="390"/>
      <c r="D94" s="59" t="s">
        <v>578</v>
      </c>
      <c r="E94" s="392"/>
      <c r="F94" s="393"/>
      <c r="G94" s="392"/>
      <c r="H94" s="394"/>
      <c r="I94" s="395"/>
      <c r="J94" s="229"/>
      <c r="K94" s="392"/>
      <c r="L94" s="396"/>
      <c r="M94" s="229"/>
      <c r="O94" s="1204"/>
      <c r="P94" s="355"/>
      <c r="Q94" s="1205"/>
      <c r="R94" s="1224"/>
      <c r="S94" s="1225"/>
      <c r="T94" s="1226"/>
      <c r="U94" s="1227"/>
      <c r="V94" s="1224"/>
      <c r="W94" s="1228"/>
      <c r="Y94" s="1204"/>
      <c r="Z94" s="355"/>
      <c r="AA94" s="1205"/>
      <c r="AB94" s="1224"/>
      <c r="AC94" s="1225"/>
      <c r="AD94" s="1226"/>
      <c r="AE94" s="1227"/>
      <c r="AF94" s="1224"/>
      <c r="AG94" s="1228"/>
      <c r="AI94" s="1204"/>
      <c r="AJ94" s="355"/>
      <c r="AK94" s="1205"/>
      <c r="AL94" s="1224"/>
      <c r="AM94" s="1225"/>
      <c r="AN94" s="1226"/>
      <c r="AO94" s="1227"/>
      <c r="AP94" s="1224"/>
      <c r="AQ94" s="1228"/>
      <c r="AS94" s="7097"/>
      <c r="AT94" s="355"/>
      <c r="AU94" s="7093"/>
      <c r="AV94" s="7094"/>
      <c r="AW94" s="7095"/>
      <c r="AX94" s="7096"/>
      <c r="AY94" s="7092"/>
      <c r="AZ94" s="7094"/>
      <c r="BA94" s="7372"/>
      <c r="BC94" s="1204"/>
      <c r="BD94" s="355"/>
      <c r="BE94" s="1205"/>
      <c r="BF94" s="1225"/>
      <c r="BG94" s="1226"/>
      <c r="BH94" s="1227"/>
      <c r="BI94" s="1224"/>
      <c r="BJ94" s="1228"/>
    </row>
    <row r="95" spans="1:65" x14ac:dyDescent="0.35">
      <c r="A95" s="9168"/>
      <c r="B95" s="58"/>
      <c r="C95" s="390"/>
      <c r="D95" s="59" t="s">
        <v>579</v>
      </c>
      <c r="E95" s="392"/>
      <c r="F95" s="393"/>
      <c r="G95" s="392"/>
      <c r="H95" s="394"/>
      <c r="I95" s="395"/>
      <c r="J95" s="229"/>
      <c r="K95" s="392"/>
      <c r="L95" s="396"/>
      <c r="M95" s="229"/>
      <c r="O95" s="1229"/>
      <c r="P95" s="355"/>
      <c r="Q95" s="1212"/>
      <c r="R95" s="1230"/>
      <c r="S95" s="1231"/>
      <c r="T95" s="1232"/>
      <c r="U95" s="1216"/>
      <c r="V95" s="1230"/>
      <c r="W95" s="1217"/>
      <c r="Y95" s="1229"/>
      <c r="Z95" s="355"/>
      <c r="AA95" s="1212"/>
      <c r="AB95" s="1230"/>
      <c r="AC95" s="1231"/>
      <c r="AD95" s="1232"/>
      <c r="AE95" s="1216"/>
      <c r="AF95" s="1230"/>
      <c r="AG95" s="1217"/>
      <c r="AI95" s="1229"/>
      <c r="AJ95" s="355"/>
      <c r="AK95" s="1212"/>
      <c r="AL95" s="1230"/>
      <c r="AM95" s="1231"/>
      <c r="AN95" s="1232"/>
      <c r="AO95" s="1216"/>
      <c r="AP95" s="1230"/>
      <c r="AQ95" s="1217"/>
      <c r="AS95" s="7373"/>
      <c r="AT95" s="355"/>
      <c r="AU95" s="7362"/>
      <c r="AV95" s="7374"/>
      <c r="AW95" s="7375"/>
      <c r="AX95" s="7376"/>
      <c r="AY95" s="7366"/>
      <c r="AZ95" s="7374"/>
      <c r="BA95" s="7367"/>
      <c r="BC95" s="1229"/>
      <c r="BD95" s="355"/>
      <c r="BE95" s="1212"/>
      <c r="BF95" s="1231"/>
      <c r="BG95" s="1232"/>
      <c r="BH95" s="1216"/>
      <c r="BI95" s="1230"/>
      <c r="BJ95" s="1217"/>
    </row>
    <row r="96" spans="1:65" x14ac:dyDescent="0.35">
      <c r="A96" s="9168"/>
      <c r="B96" s="58"/>
      <c r="C96" s="390"/>
      <c r="D96" s="59"/>
      <c r="E96" s="392"/>
      <c r="F96" s="393"/>
      <c r="G96" s="392"/>
      <c r="H96" s="394"/>
      <c r="I96" s="395"/>
      <c r="J96" s="229"/>
      <c r="K96" s="392"/>
      <c r="L96" s="396"/>
      <c r="M96" s="229"/>
      <c r="O96" s="1229"/>
      <c r="P96" s="355"/>
      <c r="Q96" s="1212"/>
      <c r="R96" s="1230"/>
      <c r="S96" s="1231"/>
      <c r="T96" s="1232"/>
      <c r="U96" s="1216"/>
      <c r="V96" s="1230"/>
      <c r="W96" s="1217"/>
      <c r="Y96" s="1229"/>
      <c r="Z96" s="355"/>
      <c r="AA96" s="1212"/>
      <c r="AB96" s="1230"/>
      <c r="AC96" s="1231"/>
      <c r="AD96" s="1232"/>
      <c r="AE96" s="1216"/>
      <c r="AF96" s="1230"/>
      <c r="AG96" s="1217"/>
      <c r="AI96" s="1229"/>
      <c r="AJ96" s="355"/>
      <c r="AK96" s="1212"/>
      <c r="AL96" s="1230"/>
      <c r="AM96" s="1231"/>
      <c r="AN96" s="1232"/>
      <c r="AO96" s="1216"/>
      <c r="AP96" s="1230"/>
      <c r="AQ96" s="1217"/>
      <c r="AS96" s="7373"/>
      <c r="AT96" s="355"/>
      <c r="AU96" s="7362"/>
      <c r="AV96" s="7374"/>
      <c r="AW96" s="7375"/>
      <c r="AX96" s="7376"/>
      <c r="AY96" s="7366"/>
      <c r="AZ96" s="7374"/>
      <c r="BA96" s="7367"/>
      <c r="BC96" s="1229"/>
      <c r="BD96" s="355"/>
      <c r="BE96" s="1212"/>
      <c r="BF96" s="1231"/>
      <c r="BG96" s="1232"/>
      <c r="BH96" s="1216"/>
      <c r="BI96" s="1230"/>
      <c r="BJ96" s="1217"/>
    </row>
    <row r="97" spans="1:65" x14ac:dyDescent="0.35">
      <c r="A97" s="9168"/>
      <c r="B97" s="58"/>
      <c r="C97" s="390"/>
      <c r="D97" s="59" t="s">
        <v>580</v>
      </c>
      <c r="E97" s="424"/>
      <c r="F97" s="981"/>
      <c r="G97" s="982"/>
      <c r="H97" s="983"/>
      <c r="I97" s="979"/>
      <c r="J97" s="246"/>
      <c r="K97" s="982"/>
      <c r="L97" s="986"/>
      <c r="M97" s="1233"/>
      <c r="O97" s="1234">
        <f>SUM(O71:O80)/O87</f>
        <v>0.40195427152974977</v>
      </c>
      <c r="P97" s="355"/>
      <c r="Q97" s="1235">
        <f>SUM(Q71:Q80)/Q87</f>
        <v>0.4776789494954648</v>
      </c>
      <c r="R97" s="1236"/>
      <c r="S97" s="1237"/>
      <c r="T97" s="1238"/>
      <c r="U97" s="1239">
        <f>SUM(U71:U80)/U87</f>
        <v>0.4337495766389774</v>
      </c>
      <c r="V97" s="1236"/>
      <c r="W97" s="1240">
        <f>SUM(W71:W80)/W87</f>
        <v>0.52960292369620721</v>
      </c>
      <c r="Y97" s="1234">
        <f>SUM(Y71:Y80)/Y87</f>
        <v>0.39025893379906262</v>
      </c>
      <c r="Z97" s="355"/>
      <c r="AA97" s="1235">
        <f>SUM(AA71:AA80)/AA87</f>
        <v>0.46396716659996706</v>
      </c>
      <c r="AB97" s="1236"/>
      <c r="AC97" s="1237"/>
      <c r="AD97" s="1238"/>
      <c r="AE97" s="1239">
        <f>SUM(AE71:AE80)/AE87</f>
        <v>0.2806426737887795</v>
      </c>
      <c r="AF97" s="1236"/>
      <c r="AG97" s="1240">
        <f>SUM(AG71:AG80)/AG87</f>
        <v>0.32113248585888982</v>
      </c>
      <c r="AI97" s="1234">
        <f>SUM(AI71:AI80)/AI87</f>
        <v>0.2806426737887795</v>
      </c>
      <c r="AJ97" s="355"/>
      <c r="AK97" s="1235">
        <f>SUM(AK71:AK80)/AK87</f>
        <v>0.32861700210446609</v>
      </c>
      <c r="AL97" s="1236"/>
      <c r="AM97" s="1237"/>
      <c r="AN97" s="1238"/>
      <c r="AO97" s="1239">
        <f>SUM(AO71:AO80)/AO87</f>
        <v>0.29852301624945776</v>
      </c>
      <c r="AP97" s="1236"/>
      <c r="AQ97" s="1240" t="e">
        <f>SUM(AQ71:AQ80)/AQ87</f>
        <v>#DIV/0!</v>
      </c>
      <c r="AS97" s="1234">
        <f>SUM(AS71:AS80)/(AS87-AS85)</f>
        <v>0.34617390027984707</v>
      </c>
      <c r="AT97" s="355"/>
      <c r="AU97" s="1235">
        <f>SUM(AU71:AU80)/(AU87-AU85)</f>
        <v>0.35278451931154886</v>
      </c>
      <c r="AV97" s="7262"/>
      <c r="AW97" s="7229"/>
      <c r="AX97" s="7377"/>
      <c r="AY97" s="1239">
        <f>SUM(AY71:AY80)/(AY87-AY85)</f>
        <v>0.35285503147242359</v>
      </c>
      <c r="AZ97" s="7262"/>
      <c r="BA97" s="1240">
        <f>SUM(BA71:BA80)/(BA87-BA85)</f>
        <v>0.40885876394388865</v>
      </c>
      <c r="BC97" s="1234">
        <f>SUM(BC71:BC80)/(BC87-BC85)</f>
        <v>0.35285503147242359</v>
      </c>
      <c r="BD97" s="355"/>
      <c r="BE97" s="1235">
        <f>SUM(BE71:BE80)/(BE87-BE85)</f>
        <v>0.40885876394388865</v>
      </c>
      <c r="BF97" s="1237"/>
      <c r="BG97" s="1238"/>
      <c r="BH97" s="1239">
        <f>SUM(BH71:BH80)/(BH87-BH85)</f>
        <v>0.31737907585851405</v>
      </c>
      <c r="BI97" s="1236"/>
      <c r="BJ97" s="1240">
        <f>SUM(BJ71:BJ80)/(BJ87-BJ85)</f>
        <v>0.36765939522933494</v>
      </c>
    </row>
    <row r="98" spans="1:65" x14ac:dyDescent="0.35">
      <c r="A98" s="9169"/>
      <c r="B98" s="85"/>
      <c r="C98" s="432"/>
      <c r="D98" s="86" t="s">
        <v>581</v>
      </c>
      <c r="E98" s="274"/>
      <c r="F98" s="702"/>
      <c r="G98" s="460"/>
      <c r="H98" s="704"/>
      <c r="I98" s="705"/>
      <c r="J98" s="706"/>
      <c r="K98" s="460"/>
      <c r="L98" s="707"/>
      <c r="M98" s="1241"/>
      <c r="O98" s="1242">
        <f>O72/O89</f>
        <v>0.40285220030812763</v>
      </c>
      <c r="P98" s="1243"/>
      <c r="Q98" s="1244">
        <f>Q72/Q89</f>
        <v>0.45549550467563221</v>
      </c>
      <c r="R98" s="1245"/>
      <c r="S98" s="1246"/>
      <c r="T98" s="1247"/>
      <c r="U98" s="1248">
        <f>U72/U89</f>
        <v>0.43495163958738176</v>
      </c>
      <c r="V98" s="1245"/>
      <c r="W98" s="1249">
        <f>W72/W89</f>
        <v>0.49776407590032973</v>
      </c>
      <c r="Y98" s="1242">
        <f>Y72/Y89</f>
        <v>0.38942889282666593</v>
      </c>
      <c r="Z98" s="1243"/>
      <c r="AA98" s="1244">
        <f>AA72/AA89</f>
        <v>0.44202738017081894</v>
      </c>
      <c r="AB98" s="1245"/>
      <c r="AC98" s="1246"/>
      <c r="AD98" s="1247"/>
      <c r="AE98" s="1248">
        <f>AE72/AE89</f>
        <v>0.30051833887798957</v>
      </c>
      <c r="AF98" s="1245"/>
      <c r="AG98" s="1249">
        <f>AG72/AG89</f>
        <v>0.33996277428847416</v>
      </c>
      <c r="AI98" s="1242">
        <f>AI72/AI89</f>
        <v>0.30051833887798957</v>
      </c>
      <c r="AJ98" s="1243"/>
      <c r="AK98" s="1244">
        <f>AK72/AK89</f>
        <v>0.35062617012380742</v>
      </c>
      <c r="AL98" s="1245"/>
      <c r="AM98" s="1246"/>
      <c r="AN98" s="1247"/>
      <c r="AO98" s="1248">
        <f>AO72/AO89</f>
        <v>0.32061163131109288</v>
      </c>
      <c r="AP98" s="1245"/>
      <c r="AQ98" s="1249">
        <f>AQ72/AQ89</f>
        <v>0.38548804540378817</v>
      </c>
      <c r="AS98" s="1242">
        <f>AS72/(AS89-AS85)</f>
        <v>0.37351344324546004</v>
      </c>
      <c r="AT98" s="1243"/>
      <c r="AU98" s="1244">
        <f>AU72/(AU89-AU85)</f>
        <v>0.3804112365270832</v>
      </c>
      <c r="AV98" s="7378"/>
      <c r="AW98" s="7379"/>
      <c r="AX98" s="7380"/>
      <c r="AY98" s="1248">
        <f>AY72/(AY89-AY85)</f>
        <v>0.37606755629605215</v>
      </c>
      <c r="AZ98" s="7378"/>
      <c r="BA98" s="1249">
        <f>BA72/(BA89-BA85)</f>
        <v>0.43563357593564828</v>
      </c>
      <c r="BC98" s="1242">
        <f>BC72/(BC89-BC85)</f>
        <v>0.37606755629605215</v>
      </c>
      <c r="BD98" s="1243"/>
      <c r="BE98" s="1244">
        <f>BE72/(BE89-BE85)</f>
        <v>0.43563357593564828</v>
      </c>
      <c r="BF98" s="1246"/>
      <c r="BG98" s="1247"/>
      <c r="BH98" s="1248">
        <f>BH72/(BH89-BH85)</f>
        <v>0.353944545963916</v>
      </c>
      <c r="BI98" s="1245"/>
      <c r="BJ98" s="1249">
        <f>BJ72/(BJ89-BJ85)</f>
        <v>0.40980498395919729</v>
      </c>
    </row>
    <row r="99" spans="1:65" s="462" customFormat="1" ht="12" x14ac:dyDescent="0.3">
      <c r="C99" s="456"/>
      <c r="D99" s="2"/>
      <c r="E99" s="456"/>
      <c r="F99" s="456"/>
      <c r="G99" s="456"/>
      <c r="H99" s="459"/>
      <c r="I99" s="459"/>
      <c r="J99" s="7"/>
      <c r="K99" s="456"/>
      <c r="N99" s="456"/>
      <c r="O99" s="459"/>
      <c r="P99" s="459"/>
      <c r="Q99" s="459"/>
      <c r="R99" s="459"/>
      <c r="S99" s="7"/>
      <c r="T99" s="456"/>
      <c r="X99" s="456"/>
      <c r="Y99" s="459"/>
      <c r="Z99" s="459"/>
      <c r="AA99" s="459"/>
      <c r="AB99" s="459"/>
      <c r="AC99" s="7"/>
      <c r="AD99" s="456"/>
      <c r="AH99" s="456"/>
      <c r="AI99" s="459"/>
      <c r="AJ99" s="459"/>
      <c r="AK99" s="459"/>
      <c r="AL99" s="459"/>
      <c r="AM99" s="7"/>
      <c r="AN99" s="456"/>
      <c r="AR99" s="456"/>
      <c r="AS99" s="459"/>
      <c r="AT99" s="459"/>
      <c r="AU99" s="459"/>
      <c r="AV99" s="459"/>
      <c r="AW99" s="7"/>
      <c r="AX99" s="456"/>
      <c r="BB99" s="456"/>
      <c r="BC99" s="459"/>
      <c r="BD99" s="459"/>
      <c r="BE99" s="459"/>
      <c r="BF99" s="7"/>
      <c r="BG99" s="456"/>
      <c r="BK99" s="456"/>
    </row>
    <row r="100" spans="1:65" s="462" customFormat="1" ht="12" x14ac:dyDescent="0.3">
      <c r="A100" s="455" t="s">
        <v>582</v>
      </c>
      <c r="B100" s="455"/>
      <c r="C100" s="456"/>
      <c r="D100" s="2"/>
      <c r="E100" s="456"/>
      <c r="F100" s="456"/>
      <c r="G100" s="456"/>
      <c r="H100" s="459"/>
      <c r="I100" s="459"/>
      <c r="J100" s="7"/>
      <c r="K100" s="456"/>
      <c r="N100" s="456"/>
      <c r="O100" s="459"/>
      <c r="P100" s="459"/>
      <c r="Q100" s="459"/>
      <c r="R100" s="459"/>
      <c r="S100" s="7"/>
      <c r="T100" s="456"/>
      <c r="X100" s="456"/>
      <c r="Y100" s="459"/>
      <c r="Z100" s="459"/>
      <c r="AA100" s="459"/>
      <c r="AB100" s="459"/>
      <c r="AC100" s="7"/>
      <c r="AD100" s="456"/>
      <c r="AH100" s="456"/>
      <c r="AI100" s="459"/>
      <c r="AJ100" s="459"/>
      <c r="AK100" s="459"/>
      <c r="AL100" s="459"/>
      <c r="AM100" s="7"/>
      <c r="AN100" s="456"/>
      <c r="AR100" s="456"/>
      <c r="AS100" s="459"/>
      <c r="AT100" s="459"/>
      <c r="AU100" s="459"/>
      <c r="AV100" s="459"/>
      <c r="AW100" s="7"/>
      <c r="AX100" s="456"/>
      <c r="BB100" s="456"/>
      <c r="BC100" s="459"/>
      <c r="BD100" s="459"/>
      <c r="BE100" s="459"/>
      <c r="BF100" s="7"/>
      <c r="BG100" s="456"/>
      <c r="BK100" s="456"/>
    </row>
    <row r="101" spans="1:65" s="462" customFormat="1" ht="12" customHeight="1" x14ac:dyDescent="0.3">
      <c r="A101" s="463">
        <v>1</v>
      </c>
      <c r="B101" s="464" t="str">
        <f>BM17</f>
        <v>Current revenue expenditure</v>
      </c>
      <c r="D101" s="709"/>
      <c r="E101" s="466"/>
      <c r="F101" s="466"/>
      <c r="G101" s="466"/>
      <c r="H101" s="466"/>
      <c r="I101" s="466"/>
      <c r="J101" s="467"/>
      <c r="K101" s="466"/>
      <c r="L101" s="466"/>
      <c r="M101" s="466"/>
      <c r="N101" s="456"/>
      <c r="O101" s="466"/>
      <c r="P101" s="466"/>
      <c r="Q101" s="466"/>
      <c r="R101" s="466"/>
      <c r="S101" s="467"/>
      <c r="T101" s="466"/>
      <c r="U101" s="466"/>
      <c r="V101" s="466"/>
      <c r="W101" s="466"/>
      <c r="X101" s="456"/>
      <c r="Y101" s="466"/>
      <c r="Z101" s="466"/>
      <c r="AA101" s="466"/>
      <c r="AB101" s="466"/>
      <c r="AC101" s="467"/>
      <c r="AD101" s="466"/>
      <c r="AE101" s="466"/>
      <c r="AF101" s="466"/>
      <c r="AG101" s="466"/>
      <c r="AH101" s="456"/>
      <c r="AI101" s="466"/>
      <c r="AJ101" s="466"/>
      <c r="AK101" s="466"/>
      <c r="AL101" s="466"/>
      <c r="AM101" s="467"/>
      <c r="AN101" s="466"/>
      <c r="AO101" s="466"/>
      <c r="AP101" s="466"/>
      <c r="AQ101" s="466"/>
      <c r="AR101" s="456"/>
      <c r="AS101" s="466"/>
      <c r="AT101" s="466"/>
      <c r="AU101" s="466"/>
      <c r="AV101" s="466"/>
      <c r="AW101" s="467"/>
      <c r="AX101" s="466"/>
      <c r="AY101" s="466"/>
      <c r="AZ101" s="466"/>
      <c r="BA101" s="466"/>
      <c r="BB101" s="456"/>
      <c r="BC101" s="466"/>
      <c r="BD101" s="466"/>
      <c r="BE101" s="466"/>
      <c r="BF101" s="467"/>
      <c r="BG101" s="466"/>
      <c r="BH101" s="466"/>
      <c r="BI101" s="466"/>
      <c r="BJ101" s="466"/>
      <c r="BK101" s="456"/>
      <c r="BL101" s="577"/>
      <c r="BM101" s="577"/>
    </row>
    <row r="102" spans="1:65" s="462" customFormat="1" ht="12" x14ac:dyDescent="0.3">
      <c r="A102" s="468">
        <v>2</v>
      </c>
      <c r="B102" s="464" t="str">
        <f>BM18</f>
        <v>Development expenditure</v>
      </c>
      <c r="D102" s="2"/>
      <c r="E102" s="456"/>
      <c r="F102" s="456"/>
      <c r="G102" s="456"/>
      <c r="H102" s="459"/>
      <c r="I102" s="459"/>
      <c r="J102" s="7"/>
      <c r="K102" s="456"/>
      <c r="N102" s="456"/>
      <c r="O102" s="459"/>
      <c r="P102" s="459"/>
      <c r="Q102" s="459"/>
      <c r="R102" s="459"/>
      <c r="S102" s="7"/>
      <c r="T102" s="456"/>
      <c r="X102" s="456"/>
      <c r="Y102" s="459"/>
      <c r="Z102" s="459"/>
      <c r="AA102" s="459"/>
      <c r="AB102" s="459"/>
      <c r="AC102" s="7"/>
      <c r="AD102" s="456"/>
      <c r="AH102" s="456"/>
      <c r="AI102" s="459"/>
      <c r="AJ102" s="459"/>
      <c r="AK102" s="459"/>
      <c r="AL102" s="459"/>
      <c r="AM102" s="7"/>
      <c r="AN102" s="456"/>
      <c r="AR102" s="456"/>
      <c r="AS102" s="459"/>
      <c r="AT102" s="459"/>
      <c r="AU102" s="459"/>
      <c r="AV102" s="459"/>
      <c r="AW102" s="7"/>
      <c r="AX102" s="456"/>
      <c r="BB102" s="456"/>
      <c r="BC102" s="459"/>
      <c r="BD102" s="459"/>
      <c r="BE102" s="459"/>
      <c r="BF102" s="7"/>
      <c r="BG102" s="456"/>
      <c r="BK102" s="456"/>
      <c r="BL102" s="577"/>
      <c r="BM102" s="577"/>
    </row>
    <row r="103" spans="1:65" s="462" customFormat="1" ht="12" x14ac:dyDescent="0.3">
      <c r="A103" s="463">
        <v>3</v>
      </c>
      <c r="B103" s="464" t="str">
        <f t="shared" ref="B103" si="74">BM20</f>
        <v>Current capital &amp; State trading</v>
      </c>
      <c r="D103" s="2"/>
      <c r="E103" s="456"/>
      <c r="F103" s="456"/>
      <c r="G103" s="456"/>
      <c r="H103" s="459"/>
      <c r="I103" s="459"/>
      <c r="J103" s="7"/>
      <c r="K103" s="456"/>
      <c r="N103" s="456"/>
      <c r="O103" s="459"/>
      <c r="P103" s="459"/>
      <c r="Q103" s="459"/>
      <c r="R103" s="459"/>
      <c r="S103" s="7"/>
      <c r="T103" s="456"/>
      <c r="X103" s="456"/>
      <c r="Y103" s="459"/>
      <c r="Z103" s="459"/>
      <c r="AA103" s="459"/>
      <c r="AB103" s="459"/>
      <c r="AC103" s="7"/>
      <c r="AD103" s="456"/>
      <c r="AH103" s="456"/>
      <c r="AI103" s="459"/>
      <c r="AJ103" s="459"/>
      <c r="AK103" s="459"/>
      <c r="AL103" s="459"/>
      <c r="AM103" s="7"/>
      <c r="AN103" s="456"/>
      <c r="AR103" s="456"/>
      <c r="AS103" s="459"/>
      <c r="AT103" s="459"/>
      <c r="AU103" s="459"/>
      <c r="AV103" s="459"/>
      <c r="AW103" s="7"/>
      <c r="AX103" s="456"/>
      <c r="BB103" s="456"/>
      <c r="BC103" s="459"/>
      <c r="BD103" s="459"/>
      <c r="BE103" s="459"/>
      <c r="BF103" s="7"/>
      <c r="BG103" s="456"/>
      <c r="BK103" s="456"/>
      <c r="BL103" s="577"/>
      <c r="BM103" s="577"/>
    </row>
    <row r="104" spans="1:65" s="462" customFormat="1" ht="12" x14ac:dyDescent="0.3">
      <c r="A104" s="468"/>
      <c r="B104" s="464"/>
      <c r="D104" s="2"/>
      <c r="E104" s="456"/>
      <c r="F104" s="456"/>
      <c r="G104" s="456"/>
      <c r="H104" s="459"/>
      <c r="I104" s="459"/>
      <c r="J104" s="7"/>
      <c r="K104" s="456"/>
      <c r="N104" s="456"/>
      <c r="O104" s="459"/>
      <c r="P104" s="459"/>
      <c r="Q104" s="459"/>
      <c r="R104" s="459"/>
      <c r="S104" s="7"/>
      <c r="T104" s="456"/>
      <c r="X104" s="456"/>
      <c r="Y104" s="459"/>
      <c r="Z104" s="459"/>
      <c r="AA104" s="459"/>
      <c r="AB104" s="459"/>
      <c r="AC104" s="7"/>
      <c r="AD104" s="456"/>
      <c r="AH104" s="456"/>
      <c r="AI104" s="459"/>
      <c r="AJ104" s="459"/>
      <c r="AK104" s="459"/>
      <c r="AL104" s="459"/>
      <c r="AM104" s="7"/>
      <c r="AN104" s="456"/>
      <c r="AR104" s="456"/>
      <c r="AS104" s="459"/>
      <c r="AT104" s="459"/>
      <c r="AU104" s="459"/>
      <c r="AV104" s="459"/>
      <c r="AW104" s="7"/>
      <c r="AX104" s="456"/>
      <c r="BB104" s="456"/>
      <c r="BC104" s="459"/>
      <c r="BD104" s="459"/>
      <c r="BE104" s="459"/>
      <c r="BF104" s="7"/>
      <c r="BG104" s="456"/>
      <c r="BK104" s="456"/>
      <c r="BL104" s="577"/>
      <c r="BM104" s="577"/>
    </row>
    <row r="105" spans="1:65" s="462" customFormat="1" ht="12" x14ac:dyDescent="0.3">
      <c r="A105" s="468"/>
      <c r="B105" s="469"/>
      <c r="D105" s="2"/>
      <c r="E105" s="456"/>
      <c r="F105" s="456"/>
      <c r="G105" s="456"/>
      <c r="H105" s="459"/>
      <c r="I105" s="459"/>
      <c r="J105" s="7"/>
      <c r="K105" s="456"/>
      <c r="N105" s="456"/>
      <c r="X105" s="456"/>
      <c r="AH105" s="456"/>
      <c r="AR105" s="456"/>
      <c r="BB105" s="456"/>
      <c r="BK105" s="456"/>
      <c r="BL105" s="577"/>
      <c r="BM105" s="577"/>
    </row>
    <row r="106" spans="1:65" s="462" customFormat="1" ht="12" x14ac:dyDescent="0.3">
      <c r="A106" s="468"/>
      <c r="B106" s="469"/>
      <c r="D106" s="2"/>
      <c r="E106" s="456"/>
      <c r="F106" s="456"/>
      <c r="G106" s="456"/>
      <c r="H106" s="459"/>
      <c r="I106" s="459"/>
      <c r="J106" s="7"/>
      <c r="K106" s="456"/>
      <c r="N106" s="456"/>
      <c r="X106" s="456"/>
      <c r="AH106" s="456"/>
      <c r="AR106" s="456"/>
      <c r="BB106" s="456"/>
      <c r="BK106" s="456"/>
      <c r="BL106" s="577"/>
      <c r="BM106" s="577"/>
    </row>
    <row r="107" spans="1:65" s="462" customFormat="1" ht="12" x14ac:dyDescent="0.3">
      <c r="A107" s="468"/>
      <c r="B107" s="469"/>
      <c r="D107" s="2"/>
      <c r="E107" s="456"/>
      <c r="F107" s="456"/>
      <c r="G107" s="456"/>
      <c r="H107" s="459"/>
      <c r="I107" s="459"/>
      <c r="J107" s="7"/>
      <c r="K107" s="456"/>
      <c r="N107" s="456"/>
      <c r="X107" s="456"/>
      <c r="AH107" s="456"/>
      <c r="AR107" s="456"/>
      <c r="BB107" s="456"/>
      <c r="BK107" s="456"/>
      <c r="BL107" s="577"/>
      <c r="BM107" s="577"/>
    </row>
    <row r="108" spans="1:65" s="462" customFormat="1" ht="12" x14ac:dyDescent="0.3">
      <c r="A108" s="468"/>
      <c r="B108" s="469"/>
      <c r="D108" s="2"/>
      <c r="E108" s="456"/>
      <c r="F108" s="456"/>
      <c r="G108" s="456"/>
      <c r="H108" s="459"/>
      <c r="I108" s="459"/>
      <c r="J108" s="7"/>
      <c r="K108" s="456"/>
      <c r="N108" s="456"/>
      <c r="X108" s="456"/>
      <c r="AH108" s="456"/>
      <c r="AR108" s="456"/>
      <c r="BB108" s="456"/>
      <c r="BK108" s="456"/>
      <c r="BL108" s="577"/>
      <c r="BM108" s="577"/>
    </row>
    <row r="109" spans="1:65" s="462" customFormat="1" ht="12" x14ac:dyDescent="0.3">
      <c r="A109" s="468"/>
      <c r="B109" s="469"/>
      <c r="D109" s="2"/>
      <c r="E109" s="456"/>
      <c r="F109" s="456"/>
      <c r="G109" s="456"/>
      <c r="H109" s="459"/>
      <c r="I109" s="459"/>
      <c r="J109" s="7"/>
      <c r="K109" s="456"/>
      <c r="N109" s="456"/>
      <c r="X109" s="456"/>
      <c r="AH109" s="456"/>
      <c r="AR109" s="456"/>
      <c r="BB109" s="456"/>
      <c r="BK109" s="456"/>
      <c r="BL109" s="577"/>
      <c r="BM109" s="577"/>
    </row>
    <row r="110" spans="1:65" s="462" customFormat="1" ht="12" x14ac:dyDescent="0.3">
      <c r="A110" s="468"/>
      <c r="B110" s="469"/>
      <c r="D110" s="2"/>
      <c r="E110" s="456"/>
      <c r="F110" s="456"/>
      <c r="G110" s="456"/>
      <c r="H110" s="459"/>
      <c r="I110" s="459"/>
      <c r="J110" s="7"/>
      <c r="K110" s="456"/>
      <c r="N110" s="456"/>
      <c r="X110" s="456"/>
      <c r="AH110" s="456"/>
      <c r="AR110" s="456"/>
      <c r="BB110" s="456"/>
      <c r="BK110" s="456"/>
      <c r="BL110" s="577"/>
      <c r="BM110" s="577"/>
    </row>
    <row r="111" spans="1:65" s="462" customFormat="1" ht="12" x14ac:dyDescent="0.3">
      <c r="A111" s="468"/>
      <c r="B111" s="469"/>
      <c r="D111" s="2"/>
      <c r="E111" s="456"/>
      <c r="F111" s="456"/>
      <c r="G111" s="456"/>
      <c r="H111" s="459"/>
      <c r="I111" s="459"/>
      <c r="J111" s="7"/>
      <c r="K111" s="456"/>
      <c r="N111" s="456"/>
      <c r="X111" s="456"/>
      <c r="AH111" s="456"/>
      <c r="AR111" s="456"/>
      <c r="BB111" s="456"/>
      <c r="BK111" s="456"/>
      <c r="BL111" s="577"/>
      <c r="BM111" s="577"/>
    </row>
    <row r="112" spans="1:65" s="462" customFormat="1" ht="12" x14ac:dyDescent="0.3">
      <c r="A112" s="468"/>
      <c r="B112" s="469"/>
      <c r="D112" s="2"/>
      <c r="E112" s="456"/>
      <c r="F112" s="456"/>
      <c r="G112" s="456"/>
      <c r="H112" s="459"/>
      <c r="I112" s="459"/>
      <c r="J112" s="7"/>
      <c r="K112" s="456"/>
      <c r="N112" s="456"/>
      <c r="O112" s="459"/>
      <c r="P112" s="459"/>
      <c r="Q112" s="459"/>
      <c r="R112" s="459"/>
      <c r="S112" s="7"/>
      <c r="T112" s="456"/>
      <c r="X112" s="456"/>
      <c r="Y112" s="459"/>
      <c r="Z112" s="459"/>
      <c r="AA112" s="459"/>
      <c r="AB112" s="459"/>
      <c r="AC112" s="7"/>
      <c r="AD112" s="456"/>
      <c r="AH112" s="456"/>
      <c r="AI112" s="459"/>
      <c r="AJ112" s="459"/>
      <c r="AK112" s="459"/>
      <c r="AL112" s="459"/>
      <c r="AM112" s="7"/>
      <c r="AN112" s="456"/>
      <c r="AR112" s="456"/>
      <c r="AS112" s="459"/>
      <c r="AT112" s="459"/>
      <c r="AU112" s="459"/>
      <c r="AV112" s="459"/>
      <c r="AW112" s="7"/>
      <c r="AX112" s="456"/>
      <c r="BB112" s="456"/>
      <c r="BC112" s="459"/>
      <c r="BD112" s="459"/>
      <c r="BE112" s="459"/>
      <c r="BF112" s="7"/>
      <c r="BG112" s="456"/>
      <c r="BK112" s="456"/>
      <c r="BL112" s="577"/>
      <c r="BM112" s="577"/>
    </row>
    <row r="113" spans="1:65" s="462" customFormat="1" ht="12" x14ac:dyDescent="0.3">
      <c r="A113" s="468"/>
      <c r="B113" s="469"/>
      <c r="D113" s="2"/>
      <c r="E113" s="456"/>
      <c r="F113" s="456"/>
      <c r="G113" s="456"/>
      <c r="H113" s="459"/>
      <c r="I113" s="459"/>
      <c r="J113" s="7"/>
      <c r="K113" s="456"/>
      <c r="N113" s="456"/>
      <c r="O113" s="459"/>
      <c r="P113" s="459"/>
      <c r="Q113" s="459"/>
      <c r="R113" s="459"/>
      <c r="S113" s="7"/>
      <c r="T113" s="456"/>
      <c r="X113" s="456"/>
      <c r="Y113" s="459"/>
      <c r="Z113" s="459"/>
      <c r="AA113" s="459"/>
      <c r="AB113" s="459"/>
      <c r="AC113" s="7"/>
      <c r="AD113" s="456"/>
      <c r="AH113" s="456"/>
      <c r="AI113" s="459"/>
      <c r="AJ113" s="459"/>
      <c r="AK113" s="459"/>
      <c r="AL113" s="459"/>
      <c r="AM113" s="7"/>
      <c r="AN113" s="456"/>
      <c r="AR113" s="456"/>
      <c r="AS113" s="459"/>
      <c r="AT113" s="459"/>
      <c r="AU113" s="459"/>
      <c r="AV113" s="459"/>
      <c r="AW113" s="7"/>
      <c r="AX113" s="456"/>
      <c r="BB113" s="456"/>
      <c r="BC113" s="459"/>
      <c r="BD113" s="459"/>
      <c r="BE113" s="459"/>
      <c r="BF113" s="7"/>
      <c r="BG113" s="456"/>
      <c r="BK113" s="456"/>
      <c r="BL113" s="577"/>
      <c r="BM113" s="577"/>
    </row>
    <row r="114" spans="1:65" s="462" customFormat="1" ht="12" x14ac:dyDescent="0.3">
      <c r="A114" s="468"/>
      <c r="B114" s="469"/>
      <c r="D114" s="2"/>
      <c r="E114" s="456"/>
      <c r="F114" s="456"/>
      <c r="G114" s="456"/>
      <c r="H114" s="459"/>
      <c r="I114" s="459"/>
      <c r="J114" s="7"/>
      <c r="K114" s="456"/>
      <c r="N114" s="456"/>
      <c r="O114" s="459"/>
      <c r="P114" s="459"/>
      <c r="Q114" s="459"/>
      <c r="R114" s="459"/>
      <c r="S114" s="7"/>
      <c r="T114" s="456"/>
      <c r="X114" s="456"/>
      <c r="Y114" s="459"/>
      <c r="Z114" s="459"/>
      <c r="AA114" s="459"/>
      <c r="AB114" s="459"/>
      <c r="AC114" s="7"/>
      <c r="AD114" s="456"/>
      <c r="AH114" s="456"/>
      <c r="AI114" s="459"/>
      <c r="AJ114" s="459"/>
      <c r="AK114" s="459"/>
      <c r="AL114" s="459"/>
      <c r="AM114" s="7"/>
      <c r="AN114" s="456"/>
      <c r="AR114" s="456"/>
      <c r="AS114" s="459"/>
      <c r="AT114" s="459"/>
      <c r="AU114" s="459"/>
      <c r="AV114" s="459"/>
      <c r="AW114" s="7"/>
      <c r="AX114" s="456"/>
      <c r="BB114" s="456"/>
      <c r="BC114" s="459"/>
      <c r="BD114" s="459"/>
      <c r="BE114" s="459"/>
      <c r="BF114" s="7"/>
      <c r="BG114" s="456"/>
      <c r="BK114" s="456"/>
      <c r="BL114" s="577"/>
      <c r="BM114" s="577"/>
    </row>
    <row r="115" spans="1:65" s="462" customFormat="1" x14ac:dyDescent="0.35">
      <c r="A115" s="455" t="s">
        <v>583</v>
      </c>
      <c r="B115" s="455"/>
      <c r="C115" s="456"/>
      <c r="D115" s="2"/>
      <c r="E115" s="456"/>
      <c r="F115" s="456"/>
      <c r="G115" s="456"/>
      <c r="H115" s="459"/>
      <c r="I115" s="459"/>
      <c r="J115" s="7"/>
      <c r="K115" s="456"/>
      <c r="N115" s="456"/>
      <c r="O115" s="6"/>
      <c r="P115" s="6"/>
      <c r="Q115" s="6"/>
      <c r="R115" s="6"/>
      <c r="S115" s="7"/>
      <c r="T115" s="1"/>
      <c r="U115"/>
      <c r="V115"/>
      <c r="W115"/>
      <c r="X115" s="456"/>
      <c r="Y115" s="6"/>
      <c r="Z115" s="6"/>
      <c r="AA115" s="6"/>
      <c r="AB115" s="6"/>
      <c r="AC115" s="7"/>
      <c r="AD115" s="1"/>
      <c r="AE115"/>
      <c r="AF115"/>
      <c r="AG115"/>
      <c r="AH115" s="456"/>
      <c r="AI115" s="6"/>
      <c r="AJ115" s="6"/>
      <c r="AK115" s="6"/>
      <c r="AL115" s="6"/>
      <c r="AM115" s="7"/>
      <c r="AN115" s="1"/>
      <c r="AO115"/>
      <c r="AP115"/>
      <c r="AQ115"/>
      <c r="AR115" s="456"/>
      <c r="AS115" s="6"/>
      <c r="AT115" s="6"/>
      <c r="AU115" s="6"/>
      <c r="AV115" s="6"/>
      <c r="AW115" s="7"/>
      <c r="AX115" s="1"/>
      <c r="AY115"/>
      <c r="AZ115"/>
      <c r="BA115"/>
      <c r="BB115" s="456"/>
      <c r="BC115" s="6"/>
      <c r="BD115" s="6"/>
      <c r="BE115" s="6"/>
      <c r="BF115" s="7"/>
      <c r="BG115" s="1"/>
      <c r="BH115"/>
      <c r="BI115"/>
      <c r="BJ115"/>
      <c r="BK115" s="456"/>
      <c r="BL115" s="577"/>
      <c r="BM115" s="577"/>
    </row>
    <row r="116" spans="1:65" s="462" customFormat="1" ht="93" customHeight="1" x14ac:dyDescent="0.35">
      <c r="A116" s="9170" t="s">
        <v>4990</v>
      </c>
      <c r="B116" s="9171"/>
      <c r="C116" s="9171"/>
      <c r="D116" s="9171"/>
      <c r="E116" s="9171"/>
      <c r="F116" s="9171"/>
      <c r="G116" s="9171"/>
      <c r="H116" s="9171"/>
      <c r="I116" s="9171"/>
      <c r="J116" s="9171"/>
      <c r="K116" s="9171"/>
      <c r="L116" s="9171"/>
      <c r="M116" s="9172"/>
      <c r="N116" s="456"/>
      <c r="O116" s="6"/>
      <c r="P116" s="6"/>
      <c r="Q116" s="6"/>
      <c r="R116" s="6"/>
      <c r="S116" s="7"/>
      <c r="T116" s="1"/>
      <c r="U116"/>
      <c r="V116"/>
      <c r="W116"/>
      <c r="X116" s="456"/>
      <c r="Y116" s="6"/>
      <c r="Z116" s="6"/>
      <c r="AA116" s="6"/>
      <c r="AB116" s="6"/>
      <c r="AC116" s="7"/>
      <c r="AD116" s="1"/>
      <c r="AE116"/>
      <c r="AF116"/>
      <c r="AG116"/>
      <c r="AH116" s="456"/>
      <c r="AI116" s="6"/>
      <c r="AJ116" s="6"/>
      <c r="AK116" s="6"/>
      <c r="AL116" s="6"/>
      <c r="AM116" s="7"/>
      <c r="AN116" s="1"/>
      <c r="AO116"/>
      <c r="AP116"/>
      <c r="AQ116"/>
      <c r="AR116" s="456"/>
      <c r="AS116" s="6"/>
      <c r="AT116" s="6"/>
      <c r="AU116" s="6"/>
      <c r="AV116" s="6"/>
      <c r="AW116" s="7"/>
      <c r="AX116" s="1"/>
      <c r="AY116"/>
      <c r="AZ116"/>
      <c r="BA116"/>
      <c r="BB116" s="456"/>
      <c r="BC116" s="6"/>
      <c r="BD116" s="6"/>
      <c r="BE116" s="6"/>
      <c r="BF116" s="7"/>
      <c r="BG116" s="1"/>
      <c r="BH116"/>
      <c r="BI116"/>
      <c r="BJ116"/>
      <c r="BK116" s="456"/>
      <c r="BL116" s="577"/>
      <c r="BM116" s="577"/>
    </row>
  </sheetData>
  <mergeCells count="55">
    <mergeCell ref="BC7:BE7"/>
    <mergeCell ref="BF7:BF8"/>
    <mergeCell ref="BH7:BJ7"/>
    <mergeCell ref="A116:M116"/>
    <mergeCell ref="AI7:AK7"/>
    <mergeCell ref="AM7:AM8"/>
    <mergeCell ref="AO7:AQ7"/>
    <mergeCell ref="A10:A31"/>
    <mergeCell ref="A33:A69"/>
    <mergeCell ref="A71:A80"/>
    <mergeCell ref="U7:W7"/>
    <mergeCell ref="Y7:AA7"/>
    <mergeCell ref="AC7:AC8"/>
    <mergeCell ref="AE7:AG7"/>
    <mergeCell ref="A82:A98"/>
    <mergeCell ref="H7:I7"/>
    <mergeCell ref="J7:J8"/>
    <mergeCell ref="L7:M7"/>
    <mergeCell ref="O7:Q7"/>
    <mergeCell ref="S7:S8"/>
    <mergeCell ref="BM4:BM5"/>
    <mergeCell ref="H5:J5"/>
    <mergeCell ref="L5:M5"/>
    <mergeCell ref="O5:S5"/>
    <mergeCell ref="U5:W5"/>
    <mergeCell ref="Y5:AC5"/>
    <mergeCell ref="AE5:AG5"/>
    <mergeCell ref="AI5:AM5"/>
    <mergeCell ref="AO5:AQ5"/>
    <mergeCell ref="AS7:AU7"/>
    <mergeCell ref="AW7:AW8"/>
    <mergeCell ref="AY7:BA7"/>
    <mergeCell ref="F1:M1"/>
    <mergeCell ref="O1:W1"/>
    <mergeCell ref="Y1:AG1"/>
    <mergeCell ref="AI1:AQ1"/>
    <mergeCell ref="H4:J4"/>
    <mergeCell ref="L4:M4"/>
    <mergeCell ref="O4:S4"/>
    <mergeCell ref="U4:W4"/>
    <mergeCell ref="Y4:AC4"/>
    <mergeCell ref="AE4:AG4"/>
    <mergeCell ref="AI4:AM4"/>
    <mergeCell ref="AO4:AQ4"/>
    <mergeCell ref="BC1:BJ1"/>
    <mergeCell ref="BH5:BJ5"/>
    <mergeCell ref="AS4:AW4"/>
    <mergeCell ref="AY4:BA4"/>
    <mergeCell ref="BL4:BL5"/>
    <mergeCell ref="AS5:AW5"/>
    <mergeCell ref="AY5:BA5"/>
    <mergeCell ref="BC4:BF4"/>
    <mergeCell ref="BH4:BJ4"/>
    <mergeCell ref="BC5:BF5"/>
    <mergeCell ref="AS1:BA1"/>
  </mergeCells>
  <hyperlinks>
    <hyperlink ref="Z10" r:id="rId1" xr:uid="{00000000-0004-0000-2200-000000000000}"/>
    <hyperlink ref="AF10" r:id="rId2" xr:uid="{00000000-0004-0000-2200-000001000000}"/>
    <hyperlink ref="AP10" r:id="rId3" xr:uid="{00000000-0004-0000-2200-000002000000}"/>
    <hyperlink ref="AJ10" r:id="rId4" xr:uid="{00000000-0004-0000-2200-000003000000}"/>
    <hyperlink ref="AZ10" r:id="rId5" xr:uid="{3819F1A7-54E7-4A24-AC62-5472DD27EABB}"/>
    <hyperlink ref="AS43" r:id="rId6" xr:uid="{68E75C1F-E8BA-44F8-8AE2-684356A036DF}"/>
    <hyperlink ref="AT10" r:id="rId7" xr:uid="{5562C46A-1878-4A72-8692-6BF8867F510D}"/>
    <hyperlink ref="AZ43" r:id="rId8" xr:uid="{A763C0E5-EFA8-4EC6-8D81-A0A561FD5975}"/>
    <hyperlink ref="BI10" r:id="rId9" xr:uid="{9EE32C97-2B23-49CB-A029-645C3F64CE6C}"/>
    <hyperlink ref="BI43" r:id="rId10" xr:uid="{2977DF87-68B4-41A5-87FE-9FA7A1ACF5A2}"/>
    <hyperlink ref="BD10" r:id="rId11" xr:uid="{5AA40E0E-FD02-415D-A349-0F8F779AE859}"/>
    <hyperlink ref="BD43" r:id="rId12" xr:uid="{A46E8FF3-DACF-40EE-A461-D8AD377890A8}"/>
  </hyperlinks>
  <pageMargins left="0.23622047244094491" right="0.23622047244094491" top="0.35433070866141736" bottom="0.35433070866141736" header="0.31496062992125984" footer="0.31496062992125984"/>
  <pageSetup paperSize="9" scale="56" orientation="portrait" horizontalDpi="4294967293"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5ED6-BF2E-4BC4-AF29-FF9763C77FC7}">
  <sheetPr>
    <tabColor rgb="FF40A8DE"/>
  </sheetPr>
  <dimension ref="A1"/>
  <sheetViews>
    <sheetView workbookViewId="0">
      <selection activeCell="D4" sqref="D4"/>
    </sheetView>
  </sheetViews>
  <sheetFormatPr defaultColWidth="8.81640625" defaultRowHeight="14.5" x14ac:dyDescent="0.35"/>
  <sheetData/>
  <pageMargins left="0.7" right="0.7" top="0.75" bottom="0.75" header="0.3" footer="0.3"/>
  <pageSetup orientation="portrait" r:id="rId1"/>
  <headerFooter>
    <oddFooter>&amp;R&amp;1#&amp;"Calibri"&amp;12&amp;K000000Official Use</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B140"/>
  <sheetViews>
    <sheetView topLeftCell="A17" zoomScale="84" zoomScaleNormal="120" workbookViewId="0">
      <pane xSplit="4" topLeftCell="AS1" activePane="topRight" state="frozen"/>
      <selection pane="topRight" activeCell="AZ17" sqref="AZ17"/>
    </sheetView>
  </sheetViews>
  <sheetFormatPr defaultColWidth="9.1796875" defaultRowHeight="14.5" x14ac:dyDescent="0.35"/>
  <cols>
    <col min="1" max="1" width="6.6328125" customWidth="1"/>
    <col min="2" max="2" width="19.453125" customWidth="1"/>
    <col min="3" max="3" width="22"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1796875" customWidth="1"/>
    <col min="22" max="22" width="21.6328125" customWidth="1"/>
    <col min="23" max="23" width="1.6328125" style="1" customWidth="1"/>
    <col min="24" max="24" width="8.453125" customWidth="1"/>
    <col min="25" max="25" width="3.36328125" customWidth="1"/>
    <col min="26" max="26" width="19.6328125" bestFit="1" customWidth="1"/>
    <col min="27" max="27" width="23.81640625" customWidth="1"/>
    <col min="28" max="28" width="22.81640625" bestFit="1" customWidth="1"/>
    <col min="29" max="29" width="2.36328125" customWidth="1"/>
    <col min="30" max="30" width="8.1796875" customWidth="1"/>
    <col min="31" max="31" width="1.6328125" customWidth="1"/>
    <col min="32" max="32" width="19.6328125" bestFit="1" customWidth="1"/>
    <col min="33" max="33" width="25" customWidth="1"/>
    <col min="34" max="34" width="22.81640625" bestFit="1" customWidth="1"/>
    <col min="35" max="35" width="8.6328125" style="7" customWidth="1"/>
    <col min="36" max="36" width="1.453125" customWidth="1"/>
    <col min="37" max="37" width="8.36328125" customWidth="1"/>
    <col min="39" max="39" width="19.6328125" bestFit="1" customWidth="1"/>
    <col min="40" max="40" width="25" customWidth="1"/>
    <col min="41" max="41" width="22.81640625" bestFit="1" customWidth="1"/>
    <col min="42" max="42" width="1.453125" customWidth="1"/>
    <col min="43" max="43" width="20.453125" customWidth="1"/>
    <col min="45" max="47" width="21.6328125" style="6" customWidth="1"/>
    <col min="48" max="48" width="8.6328125" style="7" customWidth="1"/>
    <col min="49" max="49" width="1.6328125" style="1" customWidth="1"/>
    <col min="50" max="50" width="21.6328125" customWidth="1"/>
    <col min="51" max="51" width="23.1796875" customWidth="1"/>
    <col min="52" max="52" width="21.6328125" customWidth="1"/>
    <col min="53" max="53" width="1.6328125" style="1" customWidth="1"/>
    <col min="54" max="54" width="8.453125" customWidth="1"/>
  </cols>
  <sheetData>
    <row r="1" spans="1:54" ht="31" x14ac:dyDescent="0.7">
      <c r="F1" s="9118" t="s">
        <v>394</v>
      </c>
      <c r="G1" s="9119"/>
      <c r="H1" s="9119"/>
      <c r="I1" s="9119"/>
      <c r="J1" s="9119"/>
      <c r="K1" s="9119"/>
      <c r="L1" s="9119"/>
      <c r="M1" s="9120"/>
      <c r="N1"/>
      <c r="O1" s="9184" t="s">
        <v>395</v>
      </c>
      <c r="P1" s="9185"/>
      <c r="Q1" s="9185"/>
      <c r="R1" s="9185"/>
      <c r="S1" s="9185"/>
      <c r="T1" s="9185"/>
      <c r="U1" s="9185"/>
      <c r="V1" s="9186"/>
      <c r="W1"/>
      <c r="Z1" s="9396" t="s">
        <v>396</v>
      </c>
      <c r="AA1" s="9396"/>
      <c r="AB1" s="9396"/>
      <c r="AC1" s="9396"/>
      <c r="AD1" s="9396"/>
      <c r="AF1" s="9520" t="s">
        <v>397</v>
      </c>
      <c r="AG1" s="9520"/>
      <c r="AH1" s="9520"/>
      <c r="AI1" s="9520"/>
      <c r="AJ1" s="9520"/>
      <c r="AK1" s="9520"/>
      <c r="AM1" s="9195" t="s">
        <v>398</v>
      </c>
      <c r="AN1" s="9196"/>
      <c r="AO1" s="9197"/>
      <c r="AS1" s="9210" t="s">
        <v>399</v>
      </c>
      <c r="AT1" s="9211"/>
      <c r="AU1" s="9211"/>
      <c r="AV1" s="9211"/>
      <c r="AW1" s="9211"/>
      <c r="AX1" s="9211"/>
      <c r="AY1" s="9211"/>
      <c r="AZ1" s="9212"/>
      <c r="BA1"/>
    </row>
    <row r="2" spans="1:54" ht="15.75" customHeight="1" x14ac:dyDescent="0.35">
      <c r="B2" s="1" t="s">
        <v>9</v>
      </c>
      <c r="C2" s="4763" t="s">
        <v>61</v>
      </c>
      <c r="H2"/>
      <c r="AS2" s="6" t="s">
        <v>4991</v>
      </c>
    </row>
    <row r="3" spans="1:54" s="8" customFormat="1" ht="15.25" customHeight="1" x14ac:dyDescent="0.35">
      <c r="D3" s="579"/>
      <c r="F3" s="8326" t="s">
        <v>400</v>
      </c>
      <c r="H3" s="9130" t="s">
        <v>401</v>
      </c>
      <c r="I3" s="9131"/>
      <c r="J3" s="9132"/>
      <c r="L3" s="9130" t="s">
        <v>402</v>
      </c>
      <c r="M3" s="9132"/>
      <c r="O3" s="9130" t="s">
        <v>403</v>
      </c>
      <c r="P3" s="9131"/>
      <c r="Q3" s="9131"/>
      <c r="R3" s="9132"/>
      <c r="T3" s="9130" t="s">
        <v>402</v>
      </c>
      <c r="U3" s="9131"/>
      <c r="V3" s="9132"/>
      <c r="X3" s="9180" t="s">
        <v>404</v>
      </c>
      <c r="Z3" s="9130" t="s">
        <v>402</v>
      </c>
      <c r="AA3" s="9131"/>
      <c r="AB3" s="9132"/>
      <c r="AC3" s="1835"/>
      <c r="AD3" s="9180" t="s">
        <v>404</v>
      </c>
      <c r="AF3" s="9130" t="s">
        <v>402</v>
      </c>
      <c r="AG3" s="9131"/>
      <c r="AH3" s="9132"/>
      <c r="AI3" s="4915"/>
      <c r="AJ3" s="1835"/>
      <c r="AK3" s="9180" t="s">
        <v>404</v>
      </c>
      <c r="AM3" s="9130" t="s">
        <v>402</v>
      </c>
      <c r="AN3" s="9131"/>
      <c r="AO3" s="9132"/>
      <c r="AP3" s="1835"/>
      <c r="AQ3" s="9180" t="s">
        <v>404</v>
      </c>
      <c r="AS3" s="9130" t="s">
        <v>403</v>
      </c>
      <c r="AT3" s="9131"/>
      <c r="AU3" s="9131"/>
      <c r="AV3" s="9132"/>
      <c r="AX3" s="9130" t="s">
        <v>402</v>
      </c>
      <c r="AY3" s="9131"/>
      <c r="AZ3" s="9132"/>
      <c r="BB3" s="9180" t="s">
        <v>404</v>
      </c>
    </row>
    <row r="4" spans="1:54" x14ac:dyDescent="0.35">
      <c r="B4" s="1" t="s">
        <v>406</v>
      </c>
      <c r="C4" s="11">
        <v>2010</v>
      </c>
      <c r="F4" s="8324">
        <v>2011</v>
      </c>
      <c r="G4" s="12"/>
      <c r="H4" s="9138">
        <v>2014</v>
      </c>
      <c r="I4" s="9139"/>
      <c r="J4" s="9140"/>
      <c r="K4" s="12"/>
      <c r="L4" s="9138">
        <v>2015</v>
      </c>
      <c r="M4" s="9140"/>
      <c r="O4" s="9138">
        <v>2015</v>
      </c>
      <c r="P4" s="9139"/>
      <c r="Q4" s="9139"/>
      <c r="R4" s="9140"/>
      <c r="S4" s="12"/>
      <c r="T4" s="9138">
        <v>2016</v>
      </c>
      <c r="U4" s="9139"/>
      <c r="V4" s="9140"/>
      <c r="X4" s="9181"/>
      <c r="Z4" s="9138">
        <v>2017</v>
      </c>
      <c r="AA4" s="9139"/>
      <c r="AB4" s="9140"/>
      <c r="AC4" s="1836"/>
      <c r="AD4" s="9181"/>
      <c r="AF4" s="9138">
        <v>2018</v>
      </c>
      <c r="AG4" s="9139"/>
      <c r="AH4" s="9140"/>
      <c r="AI4" s="8357"/>
      <c r="AJ4" s="1836"/>
      <c r="AK4" s="9181"/>
      <c r="AM4" s="9138">
        <v>2019</v>
      </c>
      <c r="AN4" s="9139"/>
      <c r="AO4" s="9140"/>
      <c r="AP4" s="1836"/>
      <c r="AQ4" s="9181"/>
      <c r="AS4" s="9138">
        <v>2019</v>
      </c>
      <c r="AT4" s="9139"/>
      <c r="AU4" s="9139"/>
      <c r="AV4" s="9140"/>
      <c r="AW4" s="12"/>
      <c r="AX4" s="9138">
        <v>2020</v>
      </c>
      <c r="AY4" s="9139"/>
      <c r="AZ4" s="9140"/>
      <c r="BB4" s="9181"/>
    </row>
    <row r="5" spans="1:54" x14ac:dyDescent="0.35">
      <c r="C5"/>
      <c r="F5" s="6"/>
      <c r="L5" s="14"/>
      <c r="T5" s="14"/>
      <c r="U5" s="14"/>
      <c r="X5" s="6"/>
      <c r="AQ5" s="972"/>
      <c r="AX5" s="14"/>
      <c r="AY5" s="14"/>
      <c r="BB5" s="6"/>
    </row>
    <row r="6" spans="1:54" ht="12.75" customHeight="1" x14ac:dyDescent="0.35">
      <c r="B6" s="1" t="s">
        <v>101</v>
      </c>
      <c r="C6" s="15" t="s">
        <v>4992</v>
      </c>
      <c r="D6" s="2" t="s">
        <v>417</v>
      </c>
      <c r="F6" s="8322" t="s">
        <v>418</v>
      </c>
      <c r="H6" s="9173" t="s">
        <v>418</v>
      </c>
      <c r="I6" s="9173"/>
      <c r="J6" s="9147" t="s">
        <v>419</v>
      </c>
      <c r="L6" s="9149" t="s">
        <v>418</v>
      </c>
      <c r="M6" s="9151"/>
      <c r="O6" s="9173" t="str">
        <f>L6</f>
        <v>millions</v>
      </c>
      <c r="P6" s="9173"/>
      <c r="Q6" s="16"/>
      <c r="R6" s="9147" t="s">
        <v>419</v>
      </c>
      <c r="T6" s="9149" t="str">
        <f>O6</f>
        <v>millions</v>
      </c>
      <c r="U6" s="9150"/>
      <c r="V6" s="9151"/>
      <c r="X6" s="18"/>
      <c r="Z6" s="9149" t="s">
        <v>4991</v>
      </c>
      <c r="AA6" s="9150"/>
      <c r="AB6" s="9151"/>
      <c r="AC6" s="4764"/>
      <c r="AD6" s="4765"/>
      <c r="AF6" s="9149" t="s">
        <v>4991</v>
      </c>
      <c r="AG6" s="9150"/>
      <c r="AH6" s="9151"/>
      <c r="AI6" s="9147" t="s">
        <v>419</v>
      </c>
      <c r="AJ6" s="4764"/>
      <c r="AK6" s="4765"/>
      <c r="AM6" s="9149" t="s">
        <v>4991</v>
      </c>
      <c r="AN6" s="9150"/>
      <c r="AO6" s="9151"/>
      <c r="AQ6" s="4765"/>
      <c r="AS6" s="9173">
        <f>AP6</f>
        <v>0</v>
      </c>
      <c r="AT6" s="9173"/>
      <c r="AU6" s="16"/>
      <c r="AV6" s="9147" t="s">
        <v>419</v>
      </c>
      <c r="AX6" s="9149">
        <f>AS6</f>
        <v>0</v>
      </c>
      <c r="AY6" s="9150"/>
      <c r="AZ6" s="9151"/>
      <c r="BB6" s="18"/>
    </row>
    <row r="7" spans="1:54" x14ac:dyDescent="0.35">
      <c r="B7" s="1" t="s">
        <v>420</v>
      </c>
      <c r="C7" s="19" t="s">
        <v>589</v>
      </c>
      <c r="F7" s="20" t="s">
        <v>96</v>
      </c>
      <c r="H7" s="20" t="s">
        <v>423</v>
      </c>
      <c r="I7" s="20" t="s">
        <v>96</v>
      </c>
      <c r="J7" s="9148"/>
      <c r="L7" s="21" t="s">
        <v>423</v>
      </c>
      <c r="M7" s="20" t="s">
        <v>96</v>
      </c>
      <c r="O7" s="20" t="s">
        <v>424</v>
      </c>
      <c r="P7" s="20" t="s">
        <v>96</v>
      </c>
      <c r="Q7" s="22" t="s">
        <v>425</v>
      </c>
      <c r="R7" s="9148"/>
      <c r="T7" s="21" t="s">
        <v>4993</v>
      </c>
      <c r="U7" s="22" t="s">
        <v>425</v>
      </c>
      <c r="V7" s="20" t="s">
        <v>4883</v>
      </c>
      <c r="X7" s="24"/>
      <c r="Z7" s="4151" t="s">
        <v>2483</v>
      </c>
      <c r="AA7" s="22" t="s">
        <v>425</v>
      </c>
      <c r="AB7" s="4151" t="s">
        <v>4883</v>
      </c>
      <c r="AC7" s="4766"/>
      <c r="AD7" s="39"/>
      <c r="AF7" s="4151" t="s">
        <v>2487</v>
      </c>
      <c r="AG7" s="22" t="s">
        <v>425</v>
      </c>
      <c r="AH7" s="4151" t="s">
        <v>4883</v>
      </c>
      <c r="AI7" s="9148"/>
      <c r="AJ7" s="4766"/>
      <c r="AK7" s="39"/>
      <c r="AM7" s="4151" t="s">
        <v>424</v>
      </c>
      <c r="AN7" s="22" t="s">
        <v>425</v>
      </c>
      <c r="AO7" s="4151" t="s">
        <v>4883</v>
      </c>
      <c r="AQ7" s="39"/>
      <c r="AS7" s="20" t="s">
        <v>424</v>
      </c>
      <c r="AT7" s="20" t="s">
        <v>96</v>
      </c>
      <c r="AU7" s="22" t="s">
        <v>425</v>
      </c>
      <c r="AV7" s="9148"/>
      <c r="AX7" s="21" t="s">
        <v>4993</v>
      </c>
      <c r="AY7" s="22" t="s">
        <v>425</v>
      </c>
      <c r="AZ7" s="20" t="s">
        <v>4883</v>
      </c>
      <c r="BB7" s="24"/>
    </row>
    <row r="8" spans="1:54" x14ac:dyDescent="0.35">
      <c r="C8"/>
      <c r="E8"/>
      <c r="F8"/>
      <c r="G8"/>
      <c r="H8"/>
      <c r="I8"/>
      <c r="J8" s="25"/>
      <c r="K8"/>
      <c r="N8"/>
      <c r="O8"/>
      <c r="P8"/>
      <c r="Q8"/>
      <c r="R8" s="25"/>
      <c r="S8"/>
      <c r="W8"/>
      <c r="AI8" s="25"/>
      <c r="AS8"/>
      <c r="AT8"/>
      <c r="AU8"/>
      <c r="AV8" s="25"/>
      <c r="AW8"/>
      <c r="BA8"/>
    </row>
    <row r="9" spans="1:54" ht="41.5" customHeight="1" x14ac:dyDescent="0.35">
      <c r="A9" s="9167" t="s">
        <v>426</v>
      </c>
      <c r="B9" s="27"/>
      <c r="C9" s="28" t="s">
        <v>427</v>
      </c>
      <c r="D9" s="580" t="s">
        <v>428</v>
      </c>
      <c r="E9" s="30"/>
      <c r="F9" s="31" t="s">
        <v>4994</v>
      </c>
      <c r="G9"/>
      <c r="H9" s="9155" t="s">
        <v>4995</v>
      </c>
      <c r="I9" s="9156"/>
      <c r="J9" s="32"/>
      <c r="K9" s="33"/>
      <c r="L9" s="9155" t="s">
        <v>4996</v>
      </c>
      <c r="M9" s="9156"/>
      <c r="N9" s="33"/>
      <c r="O9" s="9155" t="s">
        <v>4996</v>
      </c>
      <c r="P9" s="9156"/>
      <c r="Q9" s="581" t="s">
        <v>4997</v>
      </c>
      <c r="R9" s="32"/>
      <c r="S9" s="33"/>
      <c r="T9" s="36" t="s">
        <v>4996</v>
      </c>
      <c r="U9" s="581" t="s">
        <v>4997</v>
      </c>
      <c r="V9" s="36" t="s">
        <v>4996</v>
      </c>
      <c r="W9" s="33"/>
      <c r="X9" s="4767" t="s">
        <v>4997</v>
      </c>
      <c r="Z9" s="36" t="s">
        <v>4998</v>
      </c>
      <c r="AA9" s="4768" t="s">
        <v>4999</v>
      </c>
      <c r="AB9" s="8314" t="s">
        <v>5000</v>
      </c>
      <c r="AC9" s="1844"/>
      <c r="AD9" s="39"/>
      <c r="AF9" s="36" t="s">
        <v>5001</v>
      </c>
      <c r="AG9" s="4768" t="s">
        <v>4999</v>
      </c>
      <c r="AH9" s="8314" t="s">
        <v>5002</v>
      </c>
      <c r="AI9" s="32"/>
      <c r="AJ9" s="1844"/>
      <c r="AK9" s="39"/>
      <c r="AM9" s="36" t="s">
        <v>5003</v>
      </c>
      <c r="AN9" s="4768" t="s">
        <v>4997</v>
      </c>
      <c r="AO9" s="8314" t="s">
        <v>5003</v>
      </c>
      <c r="AQ9" s="39"/>
      <c r="AS9" s="9155" t="s">
        <v>5004</v>
      </c>
      <c r="AT9" s="9156"/>
      <c r="AU9" s="581" t="s">
        <v>4997</v>
      </c>
      <c r="AV9" s="32"/>
      <c r="AW9" s="33"/>
      <c r="AX9" s="36" t="s">
        <v>5005</v>
      </c>
      <c r="AY9" s="581"/>
      <c r="AZ9" s="36" t="s">
        <v>5005</v>
      </c>
      <c r="BA9" s="33"/>
      <c r="BB9" s="4767"/>
    </row>
    <row r="10" spans="1:54" ht="12.75" customHeight="1" x14ac:dyDescent="0.35">
      <c r="A10" s="9168"/>
      <c r="B10" s="1845" t="s">
        <v>451</v>
      </c>
      <c r="C10" s="4769"/>
      <c r="D10" s="585"/>
      <c r="E10" s="43"/>
      <c r="F10" s="4770" t="s">
        <v>5006</v>
      </c>
      <c r="G10"/>
      <c r="H10" s="154"/>
      <c r="I10" s="54"/>
      <c r="J10" s="47"/>
      <c r="K10" s="48"/>
      <c r="L10" s="154"/>
      <c r="M10" s="49"/>
      <c r="N10" s="50"/>
      <c r="O10" s="154"/>
      <c r="P10" s="54"/>
      <c r="Q10" s="592" t="s">
        <v>5007</v>
      </c>
      <c r="R10" s="47"/>
      <c r="S10" s="48"/>
      <c r="T10" s="154"/>
      <c r="U10" s="592" t="s">
        <v>5008</v>
      </c>
      <c r="V10" s="49"/>
      <c r="W10" s="50"/>
      <c r="X10" s="18"/>
      <c r="AI10" s="47"/>
      <c r="AM10" t="s">
        <v>5009</v>
      </c>
      <c r="AO10" t="s">
        <v>5010</v>
      </c>
      <c r="AS10" s="154" t="s">
        <v>5011</v>
      </c>
      <c r="AT10" s="54" t="s">
        <v>4883</v>
      </c>
      <c r="AU10" s="592" t="s">
        <v>5012</v>
      </c>
      <c r="AV10" s="47"/>
      <c r="AW10" s="48"/>
      <c r="AX10" s="154"/>
      <c r="AY10" s="592"/>
      <c r="AZ10" s="49" t="s">
        <v>5013</v>
      </c>
      <c r="BA10" s="50"/>
      <c r="BB10" s="18"/>
    </row>
    <row r="11" spans="1:54" x14ac:dyDescent="0.35">
      <c r="A11" s="9168"/>
      <c r="B11" s="4771"/>
      <c r="C11" s="4772" t="s">
        <v>5014</v>
      </c>
      <c r="D11" s="197"/>
      <c r="F11" s="4773">
        <f>F17-F13</f>
        <v>8279.9</v>
      </c>
      <c r="G11" s="1256"/>
      <c r="H11" s="4774">
        <f>H17-H13</f>
        <v>11119.8</v>
      </c>
      <c r="I11" s="4775">
        <f>I17-I13</f>
        <v>10630.1</v>
      </c>
      <c r="J11" s="64">
        <f>IF(H11=0,0,I11/H11)</f>
        <v>0.95596143815536261</v>
      </c>
      <c r="K11" s="65"/>
      <c r="L11" s="4774">
        <f>L17-L13</f>
        <v>11075.6</v>
      </c>
      <c r="M11" s="4776">
        <f>M17-M13</f>
        <v>10144</v>
      </c>
      <c r="N11" s="67"/>
      <c r="O11" s="4774">
        <f>O17-O13</f>
        <v>11075.6</v>
      </c>
      <c r="P11" s="4775">
        <f>P17-P13</f>
        <v>10144</v>
      </c>
      <c r="Q11" s="53" t="s">
        <v>5015</v>
      </c>
      <c r="R11" s="64">
        <f>P11/O11</f>
        <v>0.91588717541261866</v>
      </c>
      <c r="S11" s="65"/>
      <c r="T11" s="4774">
        <f>T17-T13</f>
        <v>10588</v>
      </c>
      <c r="U11" s="53" t="s">
        <v>3940</v>
      </c>
      <c r="V11" s="4776">
        <f>V17-V13</f>
        <v>9055.5</v>
      </c>
      <c r="W11" s="67"/>
      <c r="X11" s="26"/>
      <c r="Z11" s="4774">
        <v>10505</v>
      </c>
      <c r="AA11" s="53" t="s">
        <v>5016</v>
      </c>
      <c r="AB11" s="4776">
        <v>10085</v>
      </c>
      <c r="AC11" s="645"/>
      <c r="AD11" s="39" t="s">
        <v>4695</v>
      </c>
      <c r="AF11" s="4774">
        <f>AF17-AF13</f>
        <v>11343.599999999999</v>
      </c>
      <c r="AG11" s="53" t="s">
        <v>5016</v>
      </c>
      <c r="AH11" s="8443">
        <f>AH17-AH13</f>
        <v>12250.099999999999</v>
      </c>
      <c r="AI11" s="64">
        <f>AH11/AF11</f>
        <v>1.0799129024295637</v>
      </c>
      <c r="AJ11" s="645"/>
      <c r="AK11" s="39" t="s">
        <v>779</v>
      </c>
      <c r="AM11" s="4774">
        <f>14266.8-AM13</f>
        <v>13323.699999999999</v>
      </c>
      <c r="AN11" s="53"/>
      <c r="AO11" s="4776">
        <f>14009.7-AO13</f>
        <v>13066.6</v>
      </c>
      <c r="AQ11" s="18"/>
      <c r="AS11" s="4774"/>
      <c r="AT11" s="4775"/>
      <c r="AU11" s="53"/>
      <c r="AV11" s="64"/>
      <c r="AW11" s="65"/>
      <c r="AX11" s="4774"/>
      <c r="AY11" s="53"/>
      <c r="AZ11" s="4776"/>
      <c r="BA11" s="67"/>
      <c r="BB11" s="26" t="s">
        <v>5017</v>
      </c>
    </row>
    <row r="12" spans="1:54" x14ac:dyDescent="0.35">
      <c r="A12" s="9168"/>
      <c r="B12" s="4771"/>
      <c r="C12" s="4777" t="s">
        <v>5018</v>
      </c>
      <c r="D12" s="197"/>
      <c r="F12" s="4773"/>
      <c r="G12" s="1256"/>
      <c r="H12" s="4774"/>
      <c r="I12" s="4775"/>
      <c r="J12" s="64"/>
      <c r="K12" s="65"/>
      <c r="L12" s="4774"/>
      <c r="M12" s="4776"/>
      <c r="N12" s="67"/>
      <c r="O12" s="4774"/>
      <c r="P12" s="4775"/>
      <c r="Q12" s="53"/>
      <c r="R12" s="64"/>
      <c r="S12" s="65"/>
      <c r="T12" s="4774"/>
      <c r="U12" s="53"/>
      <c r="V12" s="4776"/>
      <c r="W12" s="67"/>
      <c r="X12" s="26"/>
      <c r="Z12" s="4774"/>
      <c r="AA12" s="53"/>
      <c r="AB12" s="4776"/>
      <c r="AC12" s="645"/>
      <c r="AD12" s="39"/>
      <c r="AF12" s="4774"/>
      <c r="AG12" s="53"/>
      <c r="AH12" s="8443"/>
      <c r="AI12" s="64"/>
      <c r="AJ12" s="645"/>
      <c r="AK12" s="39"/>
      <c r="AM12" s="4774"/>
      <c r="AN12" s="53"/>
      <c r="AO12" s="4776"/>
      <c r="AQ12" s="26"/>
      <c r="AS12" s="4774">
        <v>10447.700000000001</v>
      </c>
      <c r="AT12" s="4775">
        <v>10918.1</v>
      </c>
      <c r="AU12" s="53"/>
      <c r="AV12" s="64">
        <f>AT12/AS12</f>
        <v>1.0450242637135445</v>
      </c>
      <c r="AW12" s="65"/>
      <c r="AX12" s="4774">
        <v>11307.9</v>
      </c>
      <c r="AY12" s="53" t="s">
        <v>2433</v>
      </c>
      <c r="AZ12" s="4776">
        <v>9647.2000000000007</v>
      </c>
      <c r="BA12" s="67"/>
      <c r="BB12" s="26"/>
    </row>
    <row r="13" spans="1:54" x14ac:dyDescent="0.35">
      <c r="A13" s="9168"/>
      <c r="B13" s="4771"/>
      <c r="C13" s="8477" t="s">
        <v>462</v>
      </c>
      <c r="D13" s="197"/>
      <c r="F13" s="4773">
        <v>1045</v>
      </c>
      <c r="G13" s="1256"/>
      <c r="H13" s="4774">
        <v>1555</v>
      </c>
      <c r="I13" s="4775">
        <v>867.5</v>
      </c>
      <c r="J13" s="73">
        <f>IF(H13=0,0,I13/H13)</f>
        <v>0.55787781350482313</v>
      </c>
      <c r="K13" s="65"/>
      <c r="L13" s="4774">
        <v>1396.1</v>
      </c>
      <c r="M13" s="4778">
        <v>819.5</v>
      </c>
      <c r="N13" s="67"/>
      <c r="O13" s="4774">
        <v>1396.1</v>
      </c>
      <c r="P13" s="4775">
        <v>819.5</v>
      </c>
      <c r="Q13" s="53" t="s">
        <v>2501</v>
      </c>
      <c r="R13" s="64">
        <f>P13/O13</f>
        <v>0.58699233579256505</v>
      </c>
      <c r="S13" s="65"/>
      <c r="T13" s="4774">
        <v>1134.0999999999999</v>
      </c>
      <c r="U13" s="53" t="s">
        <v>5019</v>
      </c>
      <c r="V13" s="4778">
        <v>1430</v>
      </c>
      <c r="W13" s="67"/>
      <c r="X13" s="26"/>
      <c r="Z13" s="4774">
        <v>968.1</v>
      </c>
      <c r="AA13" s="53" t="s">
        <v>5020</v>
      </c>
      <c r="AB13" s="4778">
        <v>1439.9</v>
      </c>
      <c r="AC13" s="645"/>
      <c r="AD13" s="39" t="s">
        <v>4695</v>
      </c>
      <c r="AF13" s="4774">
        <v>2056.6999999999998</v>
      </c>
      <c r="AG13" s="53" t="s">
        <v>5020</v>
      </c>
      <c r="AH13" s="8444">
        <v>1835.7</v>
      </c>
      <c r="AI13" s="64">
        <f t="shared" ref="AI13:AI17" si="0">AH13/AF13</f>
        <v>0.89254631205328938</v>
      </c>
      <c r="AJ13" s="645"/>
      <c r="AK13" s="39" t="s">
        <v>779</v>
      </c>
      <c r="AM13" s="4774">
        <v>943.1</v>
      </c>
      <c r="AN13" s="53"/>
      <c r="AO13" s="4778">
        <v>943.1</v>
      </c>
      <c r="AQ13" s="26"/>
      <c r="AS13" s="4774"/>
      <c r="AT13" s="4775"/>
      <c r="AU13" s="53"/>
      <c r="AV13" s="64"/>
      <c r="AW13" s="65"/>
      <c r="AX13" s="4774"/>
      <c r="AY13" s="53"/>
      <c r="AZ13" s="4778"/>
      <c r="BA13" s="67"/>
      <c r="BB13" s="26"/>
    </row>
    <row r="14" spans="1:54" x14ac:dyDescent="0.35">
      <c r="A14" s="9168"/>
      <c r="B14" s="4779"/>
      <c r="C14" s="4780" t="s">
        <v>2501</v>
      </c>
      <c r="D14" s="197"/>
      <c r="F14" s="4781"/>
      <c r="G14" s="1256"/>
      <c r="H14" s="4782"/>
      <c r="I14" s="4783"/>
      <c r="J14" s="73"/>
      <c r="K14" s="80"/>
      <c r="L14" s="4782"/>
      <c r="M14" s="4784"/>
      <c r="N14" s="67"/>
      <c r="O14" s="4782"/>
      <c r="P14" s="4783"/>
      <c r="Q14" s="53"/>
      <c r="R14" s="64"/>
      <c r="S14" s="65"/>
      <c r="T14" s="4782"/>
      <c r="U14" s="53"/>
      <c r="V14" s="4784"/>
      <c r="W14" s="67"/>
      <c r="X14" s="26"/>
      <c r="Z14" s="4782"/>
      <c r="AA14" s="53"/>
      <c r="AB14" s="4784"/>
      <c r="AC14" s="645"/>
      <c r="AD14" s="39"/>
      <c r="AF14" s="4782"/>
      <c r="AG14" s="53"/>
      <c r="AH14" s="8445"/>
      <c r="AI14" s="64"/>
      <c r="AJ14" s="645"/>
      <c r="AK14" s="39"/>
      <c r="AM14" s="4782"/>
      <c r="AN14" s="53"/>
      <c r="AO14" s="4784"/>
      <c r="AQ14" s="26"/>
      <c r="AS14" s="4782">
        <v>943.1</v>
      </c>
      <c r="AT14" s="4783">
        <v>1775.6</v>
      </c>
      <c r="AU14" s="53"/>
      <c r="AV14" s="64">
        <f>AT14/AS14</f>
        <v>1.8827271763333686</v>
      </c>
      <c r="AW14" s="65"/>
      <c r="AX14" s="4782">
        <v>932.1</v>
      </c>
      <c r="AY14" s="53" t="s">
        <v>2433</v>
      </c>
      <c r="AZ14" s="4784">
        <v>932.1</v>
      </c>
      <c r="BA14" s="67"/>
      <c r="BB14" s="26"/>
    </row>
    <row r="15" spans="1:54" x14ac:dyDescent="0.35">
      <c r="A15" s="9168"/>
      <c r="B15" s="4779"/>
      <c r="C15" s="8478" t="s">
        <v>5021</v>
      </c>
      <c r="D15" s="197"/>
      <c r="F15" s="4781"/>
      <c r="G15" s="1256"/>
      <c r="H15" s="4782"/>
      <c r="I15" s="4783"/>
      <c r="J15" s="73"/>
      <c r="K15" s="80"/>
      <c r="L15" s="4782"/>
      <c r="M15" s="4784"/>
      <c r="N15" s="67"/>
      <c r="O15" s="4782"/>
      <c r="P15" s="4783"/>
      <c r="Q15" s="53"/>
      <c r="R15" s="64"/>
      <c r="S15" s="65"/>
      <c r="T15" s="4782"/>
      <c r="U15" s="53"/>
      <c r="V15" s="4784"/>
      <c r="W15" s="67"/>
      <c r="X15" s="26"/>
      <c r="Z15" s="4782" t="s">
        <v>5022</v>
      </c>
      <c r="AA15" s="53" t="s">
        <v>5023</v>
      </c>
      <c r="AB15" s="4784" t="s">
        <v>5022</v>
      </c>
      <c r="AC15" s="645"/>
      <c r="AD15" s="39" t="s">
        <v>4695</v>
      </c>
      <c r="AF15" s="4782"/>
      <c r="AG15" s="53" t="s">
        <v>5023</v>
      </c>
      <c r="AH15" s="8445"/>
      <c r="AI15" s="64"/>
      <c r="AJ15" s="645"/>
      <c r="AK15" s="39"/>
      <c r="AM15" s="4782"/>
      <c r="AN15" s="53"/>
      <c r="AO15" s="4784"/>
      <c r="AQ15" s="26"/>
      <c r="AS15" s="4782"/>
      <c r="AT15" s="4783"/>
      <c r="AU15" s="53"/>
      <c r="AV15" s="64"/>
      <c r="AW15" s="65"/>
      <c r="AX15" s="4782"/>
      <c r="AY15" s="53"/>
      <c r="AZ15" s="4784"/>
      <c r="BA15" s="67"/>
      <c r="BB15" s="26"/>
    </row>
    <row r="16" spans="1:54" x14ac:dyDescent="0.35">
      <c r="A16" s="9168"/>
      <c r="B16" s="4779"/>
      <c r="C16" s="4780" t="s">
        <v>5024</v>
      </c>
      <c r="D16" s="197"/>
      <c r="F16" s="4781"/>
      <c r="G16" s="1256"/>
      <c r="H16" s="4782"/>
      <c r="I16" s="4783"/>
      <c r="J16" s="73"/>
      <c r="K16" s="80"/>
      <c r="L16" s="4782"/>
      <c r="M16" s="4784"/>
      <c r="N16" s="67"/>
      <c r="O16" s="4782"/>
      <c r="P16" s="4783"/>
      <c r="Q16" s="53"/>
      <c r="R16" s="64"/>
      <c r="S16" s="80"/>
      <c r="T16" s="4782"/>
      <c r="U16" s="53"/>
      <c r="V16" s="4784"/>
      <c r="W16" s="67"/>
      <c r="X16" s="26"/>
      <c r="Z16" s="4782"/>
      <c r="AA16" s="53"/>
      <c r="AB16" s="4784"/>
      <c r="AC16" s="645"/>
      <c r="AD16" s="39"/>
      <c r="AF16" s="4782"/>
      <c r="AG16" s="53"/>
      <c r="AH16" s="8445"/>
      <c r="AI16" s="64"/>
      <c r="AJ16" s="645"/>
      <c r="AK16" s="39"/>
      <c r="AM16" s="4782"/>
      <c r="AN16" s="53"/>
      <c r="AO16" s="4784"/>
      <c r="AQ16" s="26"/>
      <c r="AS16" s="4782">
        <v>1631.6</v>
      </c>
      <c r="AT16" s="4783">
        <v>986.8</v>
      </c>
      <c r="AU16" s="53"/>
      <c r="AV16" s="64">
        <f>AT16/AS16</f>
        <v>0.60480509928904147</v>
      </c>
      <c r="AW16" s="80"/>
      <c r="AX16" s="4782">
        <v>1855.4</v>
      </c>
      <c r="AY16" s="53" t="s">
        <v>2433</v>
      </c>
      <c r="AZ16" s="4784">
        <v>779.8</v>
      </c>
      <c r="BA16" s="67"/>
      <c r="BB16" s="26"/>
    </row>
    <row r="17" spans="1:54" x14ac:dyDescent="0.35">
      <c r="A17" s="9168"/>
      <c r="B17" s="4785"/>
      <c r="C17" s="4786" t="s">
        <v>466</v>
      </c>
      <c r="D17" s="209"/>
      <c r="F17" s="4787">
        <v>9324.9</v>
      </c>
      <c r="G17" s="1256"/>
      <c r="H17" s="4788">
        <v>12674.8</v>
      </c>
      <c r="I17" s="4789">
        <v>11497.6</v>
      </c>
      <c r="J17" s="91">
        <f>IF(H17=0,0,I17/H17)</f>
        <v>0.90712279483699954</v>
      </c>
      <c r="K17" s="80"/>
      <c r="L17" s="4788">
        <v>12471.7</v>
      </c>
      <c r="M17" s="4790">
        <v>10963.5</v>
      </c>
      <c r="N17" s="67"/>
      <c r="O17" s="4788">
        <v>12471.7</v>
      </c>
      <c r="P17" s="4789">
        <v>10963.5</v>
      </c>
      <c r="Q17" s="95" t="s">
        <v>5025</v>
      </c>
      <c r="R17" s="64">
        <f>P17/O17</f>
        <v>0.87907021496668447</v>
      </c>
      <c r="S17" s="80"/>
      <c r="T17" s="4788">
        <v>11722.1</v>
      </c>
      <c r="U17" s="95" t="s">
        <v>5026</v>
      </c>
      <c r="V17" s="4790">
        <v>10485.5</v>
      </c>
      <c r="W17" s="67"/>
      <c r="X17" s="24"/>
      <c r="Z17" s="4788">
        <v>11473.2</v>
      </c>
      <c r="AA17" s="95"/>
      <c r="AB17" s="4790">
        <v>11525.1</v>
      </c>
      <c r="AC17" s="645"/>
      <c r="AD17" s="39" t="s">
        <v>4695</v>
      </c>
      <c r="AF17" s="4788">
        <v>13400.3</v>
      </c>
      <c r="AG17" s="95"/>
      <c r="AH17" s="8446">
        <v>14085.8</v>
      </c>
      <c r="AI17" s="64">
        <f t="shared" si="0"/>
        <v>1.0511555711439295</v>
      </c>
      <c r="AJ17" s="645"/>
      <c r="AK17" s="39" t="s">
        <v>779</v>
      </c>
      <c r="AM17" s="4788">
        <f>SUM(AM11:AM15)</f>
        <v>14266.8</v>
      </c>
      <c r="AN17" s="95"/>
      <c r="AO17" s="4790">
        <f>SUM(AO11:AO15)</f>
        <v>14009.7</v>
      </c>
      <c r="AQ17" s="24"/>
      <c r="AS17" s="4788">
        <f>SUM(AS11:AS16)</f>
        <v>13022.400000000001</v>
      </c>
      <c r="AT17" s="4789">
        <f>SUM(AT11:AT16)</f>
        <v>13680.5</v>
      </c>
      <c r="AU17" s="95"/>
      <c r="AV17" s="64">
        <f>AT17/AS17</f>
        <v>1.050535999508539</v>
      </c>
      <c r="AW17" s="80"/>
      <c r="AX17" s="4788">
        <f>SUM(AX11:AX16)</f>
        <v>14095.4</v>
      </c>
      <c r="AY17" s="95"/>
      <c r="AZ17" s="4790">
        <f>SUM(AZ11:AZ16)</f>
        <v>11359.1</v>
      </c>
      <c r="BA17" s="67"/>
      <c r="BB17" s="24"/>
    </row>
    <row r="18" spans="1:54" x14ac:dyDescent="0.35">
      <c r="A18" s="9168"/>
      <c r="B18" s="100" t="s">
        <v>468</v>
      </c>
      <c r="C18" s="49"/>
      <c r="D18" s="585"/>
      <c r="E18" s="43"/>
      <c r="F18" s="3645" t="s">
        <v>5027</v>
      </c>
      <c r="G18" s="1256"/>
      <c r="H18" s="1375"/>
      <c r="I18" s="653"/>
      <c r="J18" s="104"/>
      <c r="K18" s="43"/>
      <c r="L18" s="1375"/>
      <c r="M18" s="1377"/>
      <c r="N18" s="43"/>
      <c r="O18" s="1375"/>
      <c r="P18" s="645"/>
      <c r="Q18" s="592" t="s">
        <v>5028</v>
      </c>
      <c r="R18" s="104"/>
      <c r="S18" s="43"/>
      <c r="T18" s="1111"/>
      <c r="U18" s="592" t="s">
        <v>5029</v>
      </c>
      <c r="V18" s="66"/>
      <c r="W18" s="43"/>
      <c r="X18" s="18"/>
      <c r="Z18" s="1111"/>
      <c r="AA18" s="592"/>
      <c r="AB18" s="66"/>
      <c r="AC18" s="168"/>
      <c r="AD18" s="39"/>
      <c r="AF18" s="1111"/>
      <c r="AG18" s="592"/>
      <c r="AH18" s="106"/>
      <c r="AI18" s="104"/>
      <c r="AJ18" s="168"/>
      <c r="AK18" s="39"/>
      <c r="AM18" s="1111" t="s">
        <v>5030</v>
      </c>
      <c r="AN18" s="592"/>
      <c r="AO18" s="66" t="s">
        <v>5030</v>
      </c>
      <c r="AQ18" s="18"/>
      <c r="AS18" s="1375"/>
      <c r="AT18" s="645"/>
      <c r="AU18" s="592" t="s">
        <v>5012</v>
      </c>
      <c r="AV18" s="104"/>
      <c r="AW18" s="43"/>
      <c r="AX18" s="1111"/>
      <c r="AY18" s="592"/>
      <c r="AZ18" s="66"/>
      <c r="BA18" s="43"/>
      <c r="BB18" s="18"/>
    </row>
    <row r="19" spans="1:54" x14ac:dyDescent="0.35">
      <c r="A19" s="9168"/>
      <c r="B19" s="6082"/>
      <c r="C19" s="8479" t="s">
        <v>470</v>
      </c>
      <c r="D19" s="197"/>
      <c r="F19" s="4791">
        <f>F27-SUM(F20:F26)</f>
        <v>5785.1</v>
      </c>
      <c r="G19" s="4792"/>
      <c r="H19" s="1372">
        <f>H27-SUM(H20:H26)</f>
        <v>6872.9</v>
      </c>
      <c r="I19" s="4793">
        <f>I27-SUM(I20:I26)</f>
        <v>8182.5</v>
      </c>
      <c r="J19" s="1171">
        <f t="shared" ref="J19:J27" si="1">IF(H19=0,0,I19/H19)</f>
        <v>1.190545475708944</v>
      </c>
      <c r="K19" s="458"/>
      <c r="L19" s="1372">
        <f>L27-SUM(L20:L26)</f>
        <v>7227.7000000000007</v>
      </c>
      <c r="M19" s="4794">
        <f>M27-SUM(M20:M26)</f>
        <v>7698.7000000000007</v>
      </c>
      <c r="O19" s="595">
        <f>O27-SUM(O20:O26)</f>
        <v>7227.7000000000007</v>
      </c>
      <c r="P19" s="594">
        <f>P27-SUM(P20:P26)</f>
        <v>7698.7000000000007</v>
      </c>
      <c r="Q19" s="53" t="s">
        <v>5031</v>
      </c>
      <c r="R19" s="64">
        <f>P19/O19</f>
        <v>1.0651659587420619</v>
      </c>
      <c r="T19" s="595">
        <f>T27-SUM(T20:T26)</f>
        <v>8815.2000000000007</v>
      </c>
      <c r="U19" s="53" t="s">
        <v>5031</v>
      </c>
      <c r="V19" s="1304">
        <f>V27-SUM(V20:V26)</f>
        <v>8183.2</v>
      </c>
      <c r="X19" s="26"/>
      <c r="Z19" s="595">
        <v>9336.2000000000007</v>
      </c>
      <c r="AA19" s="53" t="s">
        <v>453</v>
      </c>
      <c r="AB19" s="1304">
        <v>10152.299999999999</v>
      </c>
      <c r="AC19" s="4795"/>
      <c r="AD19" s="39" t="s">
        <v>5032</v>
      </c>
      <c r="AF19" s="595">
        <v>11058.1</v>
      </c>
      <c r="AG19" s="53" t="s">
        <v>453</v>
      </c>
      <c r="AH19" s="1358">
        <v>11466.1</v>
      </c>
      <c r="AI19" s="64">
        <f>AH19/AF19</f>
        <v>1.0368960309637278</v>
      </c>
      <c r="AJ19" s="4795"/>
      <c r="AK19" s="39" t="s">
        <v>911</v>
      </c>
      <c r="AM19" s="595">
        <f>10636.4-AM22</f>
        <v>8657.2999999999993</v>
      </c>
      <c r="AN19" s="57"/>
      <c r="AO19" s="623">
        <f>11267.8-AO22</f>
        <v>9227.5999999999985</v>
      </c>
      <c r="AQ19" s="26"/>
      <c r="AS19" s="595"/>
      <c r="AT19" s="594"/>
      <c r="AU19" s="53"/>
      <c r="AV19" s="64"/>
      <c r="AX19" s="595"/>
      <c r="AY19" s="53"/>
      <c r="AZ19" s="1304"/>
      <c r="BB19" s="26" t="s">
        <v>5017</v>
      </c>
    </row>
    <row r="20" spans="1:54" x14ac:dyDescent="0.35">
      <c r="A20" s="9168"/>
      <c r="B20" s="6082"/>
      <c r="C20" s="8479" t="s">
        <v>630</v>
      </c>
      <c r="D20" s="197"/>
      <c r="F20" s="4796">
        <f>1910.9+25.4+0</f>
        <v>1936.3000000000002</v>
      </c>
      <c r="G20" s="4792"/>
      <c r="H20" s="4797">
        <f>1491.4+133+0+475.3+161.6+1555+871.2+161.6</f>
        <v>4849.1000000000004</v>
      </c>
      <c r="I20" s="4798">
        <f>1560.5+112.7+0+459.4+133.2+867.5+610.1+133.2</f>
        <v>3876.5999999999995</v>
      </c>
      <c r="J20" s="1171">
        <f t="shared" si="1"/>
        <v>0.79944732012125941</v>
      </c>
      <c r="K20" s="458"/>
      <c r="L20" s="4797">
        <f>1255.2+39.5+189.7+207.8+886.3+1396.1+207.8</f>
        <v>4182.3999999999996</v>
      </c>
      <c r="M20" s="4794">
        <f>1012.8+39.5+177.8+219.5+707.3+819.5+219.5</f>
        <v>3195.8999999999996</v>
      </c>
      <c r="O20" s="595">
        <f>1255.2+39.5+189.7+207.8+886.3+1396.1+207.8</f>
        <v>4182.3999999999996</v>
      </c>
      <c r="P20" s="594">
        <f>1012.8+39.5+177.8+219.5+707.3+819.5+219.5</f>
        <v>3195.8999999999996</v>
      </c>
      <c r="Q20" s="116" t="s">
        <v>5033</v>
      </c>
      <c r="R20" s="64">
        <f>P20/O20</f>
        <v>0.76413064269319053</v>
      </c>
      <c r="T20" s="595">
        <v>1511.4</v>
      </c>
      <c r="U20" s="116" t="s">
        <v>5034</v>
      </c>
      <c r="V20" s="1304">
        <v>1701.1</v>
      </c>
      <c r="X20" s="26"/>
      <c r="Z20" s="595">
        <v>812.7</v>
      </c>
      <c r="AA20" s="116" t="s">
        <v>5034</v>
      </c>
      <c r="AB20" s="1304">
        <v>601.20000000000005</v>
      </c>
      <c r="AC20" s="4795"/>
      <c r="AD20" s="39"/>
      <c r="AF20" s="595">
        <v>654.20000000000005</v>
      </c>
      <c r="AG20" s="116" t="s">
        <v>5034</v>
      </c>
      <c r="AH20" s="1358">
        <v>564.29999999999995</v>
      </c>
      <c r="AI20" s="64">
        <f t="shared" ref="AI20:AI30" si="2">AH20/AF20</f>
        <v>0.86258025068786293</v>
      </c>
      <c r="AJ20" s="4795"/>
      <c r="AK20" s="39"/>
      <c r="AM20" s="595">
        <v>3737.1</v>
      </c>
      <c r="AN20" s="119"/>
      <c r="AO20" s="608">
        <v>3355</v>
      </c>
      <c r="AQ20" s="26"/>
      <c r="AS20" s="595"/>
      <c r="AT20" s="594"/>
      <c r="AU20" s="116"/>
      <c r="AV20" s="64"/>
      <c r="AX20" s="595"/>
      <c r="AY20" s="53"/>
      <c r="AZ20" s="1304"/>
      <c r="BB20" s="26"/>
    </row>
    <row r="21" spans="1:54" x14ac:dyDescent="0.35">
      <c r="A21" s="9168"/>
      <c r="B21" s="6082"/>
      <c r="C21" s="8479" t="s">
        <v>632</v>
      </c>
      <c r="D21" s="197"/>
      <c r="F21" s="4796">
        <f>1045+213</f>
        <v>1258</v>
      </c>
      <c r="G21" s="4792"/>
      <c r="H21" s="4797">
        <f>871.2+1555</f>
        <v>2426.1999999999998</v>
      </c>
      <c r="I21" s="4798">
        <f>610.1+867.5</f>
        <v>1477.6</v>
      </c>
      <c r="J21" s="1171">
        <f t="shared" si="1"/>
        <v>0.60901821778913523</v>
      </c>
      <c r="K21" s="458"/>
      <c r="L21" s="4797">
        <f>886.3+1396.1</f>
        <v>2282.3999999999996</v>
      </c>
      <c r="M21" s="4794">
        <f>707.3+819.5</f>
        <v>1526.8</v>
      </c>
      <c r="O21" s="595">
        <f>886.3+1396.1</f>
        <v>2282.3999999999996</v>
      </c>
      <c r="P21" s="594">
        <f>707.3+819.5</f>
        <v>1526.8</v>
      </c>
      <c r="Q21" s="116" t="s">
        <v>5035</v>
      </c>
      <c r="R21" s="64">
        <f>P21/O21</f>
        <v>0.66894497020679999</v>
      </c>
      <c r="T21" s="595">
        <f>930.1+1134.2</f>
        <v>2064.3000000000002</v>
      </c>
      <c r="U21" s="116" t="s">
        <v>5036</v>
      </c>
      <c r="V21" s="1304">
        <f>993.8+1430</f>
        <v>2423.8000000000002</v>
      </c>
      <c r="X21" s="26"/>
      <c r="Z21" s="595">
        <f>968.1+452.8</f>
        <v>1420.9</v>
      </c>
      <c r="AA21" s="116" t="s">
        <v>5035</v>
      </c>
      <c r="AB21" s="1304">
        <f>1439.9+576.1</f>
        <v>2016</v>
      </c>
      <c r="AC21" s="4795"/>
      <c r="AD21" s="39"/>
      <c r="AF21" s="595">
        <f>1024.6+593.9</f>
        <v>1618.5</v>
      </c>
      <c r="AG21" s="116" t="s">
        <v>5035</v>
      </c>
      <c r="AH21" s="1358">
        <f>1835.7+791.6</f>
        <v>2627.3</v>
      </c>
      <c r="AI21" s="64">
        <f t="shared" si="2"/>
        <v>1.6232931726907631</v>
      </c>
      <c r="AJ21" s="4795"/>
      <c r="AK21" s="39"/>
      <c r="AM21" s="595">
        <f>943.1+816.9</f>
        <v>1760</v>
      </c>
      <c r="AN21" s="119"/>
      <c r="AO21" s="608">
        <f>943.1+816.9</f>
        <v>1760</v>
      </c>
      <c r="AQ21" s="26"/>
      <c r="AS21" s="595"/>
      <c r="AT21" s="594"/>
      <c r="AU21" s="116"/>
      <c r="AV21" s="64"/>
      <c r="AX21" s="595"/>
      <c r="AY21" s="53"/>
      <c r="AZ21" s="1304"/>
      <c r="BB21" s="26"/>
    </row>
    <row r="22" spans="1:54" x14ac:dyDescent="0.35">
      <c r="A22" s="9168"/>
      <c r="B22" s="6082"/>
      <c r="C22" s="8479" t="s">
        <v>3282</v>
      </c>
      <c r="D22" s="197"/>
      <c r="F22" s="4796">
        <f>416.3</f>
        <v>416.3</v>
      </c>
      <c r="G22" s="4792"/>
      <c r="H22" s="4797">
        <f>955.6</f>
        <v>955.6</v>
      </c>
      <c r="I22" s="4798">
        <f>953.1</f>
        <v>953.1</v>
      </c>
      <c r="J22" s="1171">
        <f t="shared" si="1"/>
        <v>0.99738384261197155</v>
      </c>
      <c r="K22" s="458"/>
      <c r="L22" s="4797">
        <f>1130.1</f>
        <v>1130.0999999999999</v>
      </c>
      <c r="M22" s="4794">
        <f>1074.7</f>
        <v>1074.7</v>
      </c>
      <c r="O22" s="595">
        <f>1130.1</f>
        <v>1130.0999999999999</v>
      </c>
      <c r="P22" s="594">
        <f>1074.7</f>
        <v>1074.7</v>
      </c>
      <c r="Q22" s="116" t="s">
        <v>5037</v>
      </c>
      <c r="R22" s="64">
        <f>P22/O22</f>
        <v>0.95097778957614387</v>
      </c>
      <c r="T22" s="595">
        <v>1443.7</v>
      </c>
      <c r="U22" s="116" t="s">
        <v>5037</v>
      </c>
      <c r="V22" s="1304">
        <v>1264.3</v>
      </c>
      <c r="X22" s="26"/>
      <c r="Z22" s="595">
        <v>1382.9</v>
      </c>
      <c r="AA22" s="116" t="s">
        <v>5038</v>
      </c>
      <c r="AB22" s="1304">
        <v>1633.9</v>
      </c>
      <c r="AC22" s="4795"/>
      <c r="AD22" s="39"/>
      <c r="AF22" s="595">
        <v>1873.5</v>
      </c>
      <c r="AG22" s="116" t="s">
        <v>5038</v>
      </c>
      <c r="AH22" s="1358">
        <v>1853.3</v>
      </c>
      <c r="AI22" s="64">
        <f t="shared" si="2"/>
        <v>0.98921804109954625</v>
      </c>
      <c r="AJ22" s="4795"/>
      <c r="AK22" s="39"/>
      <c r="AM22" s="595">
        <v>1979.1</v>
      </c>
      <c r="AN22" s="119"/>
      <c r="AO22" s="608">
        <v>2040.2</v>
      </c>
      <c r="AQ22" s="26"/>
      <c r="AS22" s="595"/>
      <c r="AT22" s="594"/>
      <c r="AU22" s="116"/>
      <c r="AV22" s="64"/>
      <c r="AX22" s="595"/>
      <c r="AY22" s="116"/>
      <c r="AZ22" s="1304"/>
      <c r="BB22" s="26"/>
    </row>
    <row r="23" spans="1:54" x14ac:dyDescent="0.35">
      <c r="A23" s="9168"/>
      <c r="B23" s="6082"/>
      <c r="C23" s="8479" t="s">
        <v>3285</v>
      </c>
      <c r="D23" s="197"/>
      <c r="F23" s="4796"/>
      <c r="G23" s="4792"/>
      <c r="H23" s="4797"/>
      <c r="I23" s="4798"/>
      <c r="J23" s="1171"/>
      <c r="K23" s="458"/>
      <c r="L23" s="4797"/>
      <c r="M23" s="4794"/>
      <c r="O23" s="595"/>
      <c r="P23" s="594"/>
      <c r="Q23" s="116"/>
      <c r="R23" s="64"/>
      <c r="T23" s="595"/>
      <c r="U23" s="116"/>
      <c r="V23" s="1304"/>
      <c r="X23" s="26"/>
      <c r="Z23" s="595"/>
      <c r="AA23" s="116"/>
      <c r="AB23" s="1304"/>
      <c r="AC23" s="4795"/>
      <c r="AD23" s="39"/>
      <c r="AF23" s="595"/>
      <c r="AG23" s="116"/>
      <c r="AH23" s="1358"/>
      <c r="AI23" s="64"/>
      <c r="AJ23" s="4795"/>
      <c r="AK23" s="39"/>
      <c r="AM23" s="595"/>
      <c r="AN23" s="119"/>
      <c r="AO23" s="608"/>
      <c r="AQ23" s="26"/>
      <c r="AS23" s="595"/>
      <c r="AT23" s="594"/>
      <c r="AU23" s="116"/>
      <c r="AV23" s="64"/>
      <c r="AX23" s="595"/>
      <c r="AY23" s="116"/>
      <c r="AZ23" s="1304"/>
      <c r="BB23" s="26"/>
    </row>
    <row r="24" spans="1:54" x14ac:dyDescent="0.35">
      <c r="A24" s="9168"/>
      <c r="B24" s="6082"/>
      <c r="C24" s="121" t="s">
        <v>5039</v>
      </c>
      <c r="D24" s="197"/>
      <c r="F24" s="4796"/>
      <c r="G24" s="4792"/>
      <c r="H24" s="4797"/>
      <c r="I24" s="4798"/>
      <c r="J24" s="1171"/>
      <c r="K24" s="458"/>
      <c r="L24" s="4797"/>
      <c r="M24" s="4794"/>
      <c r="O24" s="595"/>
      <c r="P24" s="594"/>
      <c r="Q24" s="116"/>
      <c r="R24" s="64"/>
      <c r="T24" s="595"/>
      <c r="U24" s="116"/>
      <c r="V24" s="1304"/>
      <c r="X24" s="26"/>
      <c r="Z24" s="595"/>
      <c r="AA24" s="116"/>
      <c r="AB24" s="1304"/>
      <c r="AC24" s="4795"/>
      <c r="AD24" s="39"/>
      <c r="AF24" s="595"/>
      <c r="AG24" s="116"/>
      <c r="AH24" s="1358"/>
      <c r="AI24" s="64"/>
      <c r="AJ24" s="4795"/>
      <c r="AK24" s="39"/>
      <c r="AM24" s="595"/>
      <c r="AN24" s="119"/>
      <c r="AO24" s="608"/>
      <c r="AQ24" s="26"/>
      <c r="AS24" s="595">
        <f>14047.1-AS25</f>
        <v>11963.2</v>
      </c>
      <c r="AT24" s="594">
        <f>14840.6-AT25</f>
        <v>12711.5</v>
      </c>
      <c r="AU24" s="116"/>
      <c r="AV24" s="64">
        <f>AT24/AS24</f>
        <v>1.062550153805002</v>
      </c>
      <c r="AX24" s="595">
        <f>12746-AX25</f>
        <v>10589.1</v>
      </c>
      <c r="AY24" s="116" t="s">
        <v>2448</v>
      </c>
      <c r="AZ24" s="1304">
        <f>11599.8-AZ25</f>
        <v>9535.4</v>
      </c>
      <c r="BB24" s="26"/>
    </row>
    <row r="25" spans="1:54" x14ac:dyDescent="0.35">
      <c r="A25" s="9168"/>
      <c r="B25" s="6082"/>
      <c r="C25" s="121" t="s">
        <v>3399</v>
      </c>
      <c r="D25" s="197"/>
      <c r="F25" s="4796"/>
      <c r="G25" s="4792"/>
      <c r="H25" s="4797"/>
      <c r="I25" s="4798"/>
      <c r="J25" s="1171"/>
      <c r="K25" s="458"/>
      <c r="L25" s="4797"/>
      <c r="M25" s="4794"/>
      <c r="O25" s="595"/>
      <c r="P25" s="594"/>
      <c r="Q25" s="116"/>
      <c r="R25" s="64"/>
      <c r="T25" s="595"/>
      <c r="U25" s="116"/>
      <c r="V25" s="1304"/>
      <c r="X25" s="26"/>
      <c r="Z25" s="595"/>
      <c r="AA25" s="116"/>
      <c r="AB25" s="1304"/>
      <c r="AC25" s="4795"/>
      <c r="AD25" s="39"/>
      <c r="AF25" s="595"/>
      <c r="AG25" s="116"/>
      <c r="AH25" s="1358"/>
      <c r="AI25" s="64"/>
      <c r="AJ25" s="4795"/>
      <c r="AK25" s="39"/>
      <c r="AM25" s="595"/>
      <c r="AN25" s="119"/>
      <c r="AO25" s="608"/>
      <c r="AQ25" s="26"/>
      <c r="AS25" s="595">
        <v>2083.9</v>
      </c>
      <c r="AT25" s="594">
        <v>2129.1</v>
      </c>
      <c r="AU25" s="116"/>
      <c r="AV25" s="64">
        <f>AT25/AS25</f>
        <v>1.0216901002927203</v>
      </c>
      <c r="AX25" s="595">
        <v>2156.9</v>
      </c>
      <c r="AY25" s="116" t="s">
        <v>2448</v>
      </c>
      <c r="AZ25" s="1304">
        <v>2064.4</v>
      </c>
      <c r="BB25" s="26"/>
    </row>
    <row r="26" spans="1:54" x14ac:dyDescent="0.35">
      <c r="A26" s="9168"/>
      <c r="B26" s="6082"/>
      <c r="C26" s="121" t="s">
        <v>5040</v>
      </c>
      <c r="D26" s="197"/>
      <c r="F26" s="4796">
        <v>-7.1</v>
      </c>
      <c r="G26" s="4799"/>
      <c r="H26" s="4797"/>
      <c r="I26" s="4798"/>
      <c r="J26" s="1171">
        <f t="shared" si="1"/>
        <v>0</v>
      </c>
      <c r="K26" s="458"/>
      <c r="L26" s="4797"/>
      <c r="M26" s="4794"/>
      <c r="O26" s="595"/>
      <c r="P26" s="594"/>
      <c r="Q26" s="116"/>
      <c r="R26" s="64"/>
      <c r="T26" s="595"/>
      <c r="U26" s="116"/>
      <c r="V26" s="1304"/>
      <c r="X26" s="26"/>
      <c r="Z26" s="595"/>
      <c r="AA26" s="116"/>
      <c r="AB26" s="1304"/>
      <c r="AC26" s="4795"/>
      <c r="AD26" s="39"/>
      <c r="AF26" s="595"/>
      <c r="AG26" s="116"/>
      <c r="AH26" s="1358"/>
      <c r="AI26" s="64"/>
      <c r="AJ26" s="4795"/>
      <c r="AK26" s="39"/>
      <c r="AM26" s="595"/>
      <c r="AN26" s="119"/>
      <c r="AO26" s="608"/>
      <c r="AQ26" s="26"/>
      <c r="AS26" s="595">
        <v>2478.8000000000002</v>
      </c>
      <c r="AT26" s="594">
        <v>3011.8</v>
      </c>
      <c r="AU26" s="116"/>
      <c r="AV26" s="64">
        <f>AT26/AS26</f>
        <v>1.2150233984185896</v>
      </c>
      <c r="AX26" s="595">
        <v>5980.5</v>
      </c>
      <c r="AY26" s="116" t="s">
        <v>2448</v>
      </c>
      <c r="AZ26" s="1304">
        <v>6389.5</v>
      </c>
      <c r="BB26" s="26"/>
    </row>
    <row r="27" spans="1:54" x14ac:dyDescent="0.35">
      <c r="A27" s="9168"/>
      <c r="B27" s="128"/>
      <c r="C27" s="129" t="s">
        <v>479</v>
      </c>
      <c r="D27" s="209"/>
      <c r="F27" s="4800">
        <v>9388.6</v>
      </c>
      <c r="G27" s="4799"/>
      <c r="H27" s="4801">
        <v>15103.8</v>
      </c>
      <c r="I27" s="4802">
        <v>14489.8</v>
      </c>
      <c r="J27" s="4803">
        <f t="shared" si="1"/>
        <v>0.95934797865437837</v>
      </c>
      <c r="K27" s="458"/>
      <c r="L27" s="4801">
        <v>14822.6</v>
      </c>
      <c r="M27" s="4804">
        <v>13496.1</v>
      </c>
      <c r="O27" s="602">
        <v>14822.6</v>
      </c>
      <c r="P27" s="602">
        <v>13496.1</v>
      </c>
      <c r="Q27" s="116" t="s">
        <v>5041</v>
      </c>
      <c r="R27" s="64">
        <f>P27/O27</f>
        <v>0.91050827789996358</v>
      </c>
      <c r="T27" s="602">
        <v>13834.6</v>
      </c>
      <c r="U27" s="116" t="s">
        <v>5041</v>
      </c>
      <c r="V27" s="4643">
        <v>13572.4</v>
      </c>
      <c r="X27" s="24"/>
      <c r="Z27" s="602">
        <v>13349.5</v>
      </c>
      <c r="AA27" s="116"/>
      <c r="AB27" s="4643">
        <v>13319.9</v>
      </c>
      <c r="AC27" s="4795"/>
      <c r="AD27" s="39"/>
      <c r="AF27" s="602">
        <v>15297.5</v>
      </c>
      <c r="AG27" s="116"/>
      <c r="AH27" s="8447">
        <v>16134.1</v>
      </c>
      <c r="AI27" s="64">
        <f t="shared" si="2"/>
        <v>1.0546886746200359</v>
      </c>
      <c r="AJ27" s="4795"/>
      <c r="AK27" s="39"/>
      <c r="AM27" s="602">
        <f>SUM(AM19:AM26)</f>
        <v>16133.5</v>
      </c>
      <c r="AN27" s="119"/>
      <c r="AO27" s="604">
        <f>SUM(AO19:AO26)</f>
        <v>16382.8</v>
      </c>
      <c r="AQ27" s="24"/>
      <c r="AS27" s="602">
        <f>SUM(AS19:AS26)</f>
        <v>16525.900000000001</v>
      </c>
      <c r="AT27" s="602">
        <f>SUM(AT19:AT26)</f>
        <v>17852.400000000001</v>
      </c>
      <c r="AU27" s="116"/>
      <c r="AV27" s="64">
        <f>AT27/AS27</f>
        <v>1.0802679430469748</v>
      </c>
      <c r="AX27" s="602">
        <f>SUM(AX19:AX26)</f>
        <v>18726.5</v>
      </c>
      <c r="AY27" s="116"/>
      <c r="AZ27" s="4643">
        <f>SUM(AZ19:AZ26)</f>
        <v>17989.3</v>
      </c>
      <c r="BB27" s="24"/>
    </row>
    <row r="28" spans="1:54" x14ac:dyDescent="0.35">
      <c r="A28" s="9168"/>
      <c r="B28" s="139" t="s">
        <v>480</v>
      </c>
      <c r="C28" s="49"/>
      <c r="D28" s="184"/>
      <c r="E28" s="141"/>
      <c r="F28" s="1320"/>
      <c r="G28" s="1321"/>
      <c r="H28" s="1322"/>
      <c r="I28" s="1127"/>
      <c r="J28" s="146"/>
      <c r="K28" s="141"/>
      <c r="L28" s="1324"/>
      <c r="M28" s="1325"/>
      <c r="N28" s="141"/>
      <c r="O28" s="606"/>
      <c r="P28" s="1127"/>
      <c r="Q28" s="592"/>
      <c r="R28" s="146"/>
      <c r="S28" s="141"/>
      <c r="T28" s="606"/>
      <c r="U28" s="592"/>
      <c r="V28" s="1325"/>
      <c r="W28" s="141"/>
      <c r="X28" s="18"/>
      <c r="Z28" s="606"/>
      <c r="AA28" s="592"/>
      <c r="AB28" s="1325"/>
      <c r="AC28" s="1423"/>
      <c r="AD28" s="39"/>
      <c r="AF28" s="606"/>
      <c r="AG28" s="592"/>
      <c r="AH28" s="8258"/>
      <c r="AI28" s="146"/>
      <c r="AJ28" s="1423"/>
      <c r="AK28" s="39"/>
      <c r="AM28" s="606" t="s">
        <v>5042</v>
      </c>
      <c r="AN28" s="606"/>
      <c r="AO28" s="606" t="s">
        <v>5042</v>
      </c>
      <c r="AS28" s="606"/>
      <c r="AT28" s="1127"/>
      <c r="AU28" s="592"/>
      <c r="AV28" s="146"/>
      <c r="AW28" s="141"/>
      <c r="AX28" s="606"/>
      <c r="AY28" s="592"/>
      <c r="AZ28" s="1325"/>
      <c r="BA28" s="141"/>
      <c r="BB28" s="18"/>
    </row>
    <row r="29" spans="1:54" x14ac:dyDescent="0.35">
      <c r="A29" s="9168"/>
      <c r="B29" s="6082"/>
      <c r="C29" s="110" t="s">
        <v>483</v>
      </c>
      <c r="D29" s="197"/>
      <c r="F29" s="3933">
        <f>1309.9+977+62.9</f>
        <v>2349.8000000000002</v>
      </c>
      <c r="G29" s="1270"/>
      <c r="H29" s="595">
        <f>1852.4+1161.4+64.7+295</f>
        <v>3373.5</v>
      </c>
      <c r="I29" s="594">
        <f>2025.5+1301+63.5+306.9</f>
        <v>3696.9</v>
      </c>
      <c r="J29" s="64">
        <f>IF(H29=0,0,I29/H29)</f>
        <v>1.0958648288128057</v>
      </c>
      <c r="L29" s="607">
        <f>2056.9+1325.3+79.1+321.1</f>
        <v>3782.3999999999996</v>
      </c>
      <c r="M29" s="4032">
        <f>2133.8+1413.6+88.4+298.2</f>
        <v>3934</v>
      </c>
      <c r="O29" s="595">
        <f>2056.9+1325.3+79.1+321.1</f>
        <v>3782.3999999999996</v>
      </c>
      <c r="P29" s="594">
        <f>2133.8+1413.6+88.4+298.2</f>
        <v>3934</v>
      </c>
      <c r="Q29" s="116" t="s">
        <v>564</v>
      </c>
      <c r="R29" s="64">
        <f>P29/O29</f>
        <v>1.040080372250423</v>
      </c>
      <c r="T29" s="595">
        <v>3992.4</v>
      </c>
      <c r="U29" s="116" t="s">
        <v>2424</v>
      </c>
      <c r="V29" s="4032">
        <v>4463.3999999999996</v>
      </c>
      <c r="X29" s="26"/>
      <c r="Z29" s="595">
        <v>3874.6</v>
      </c>
      <c r="AA29" s="116"/>
      <c r="AB29" s="4032">
        <v>4376.3999999999996</v>
      </c>
      <c r="AC29" s="1423"/>
      <c r="AD29" s="39"/>
      <c r="AF29" s="595">
        <v>4663.3999999999996</v>
      </c>
      <c r="AG29" s="116"/>
      <c r="AH29" s="8448">
        <v>5198.3</v>
      </c>
      <c r="AI29" s="64">
        <f t="shared" si="2"/>
        <v>1.1147017197752713</v>
      </c>
      <c r="AJ29" s="1423"/>
      <c r="AK29" s="39"/>
      <c r="AL29" s="1256"/>
      <c r="AM29" s="595">
        <v>4522.6000000000004</v>
      </c>
      <c r="AN29" s="116"/>
      <c r="AO29" s="4032">
        <v>5006.8999999999996</v>
      </c>
      <c r="AQ29" s="18"/>
      <c r="AS29" s="595">
        <v>5323.5</v>
      </c>
      <c r="AT29" s="594">
        <v>5423.8</v>
      </c>
      <c r="AU29" s="116" t="s">
        <v>5043</v>
      </c>
      <c r="AV29" s="64">
        <f>AT29/AS29</f>
        <v>1.0188409880717573</v>
      </c>
      <c r="AX29" s="595">
        <v>5672.8</v>
      </c>
      <c r="AY29" s="116" t="s">
        <v>931</v>
      </c>
      <c r="AZ29" s="4032">
        <v>5762.8</v>
      </c>
      <c r="BB29" s="26"/>
    </row>
    <row r="30" spans="1:54" x14ac:dyDescent="0.35">
      <c r="A30" s="9168"/>
      <c r="B30" s="6082"/>
      <c r="C30" s="110" t="s">
        <v>489</v>
      </c>
      <c r="D30" s="197"/>
      <c r="F30" s="3933"/>
      <c r="G30" s="1270"/>
      <c r="H30" s="595"/>
      <c r="I30" s="594"/>
      <c r="J30" s="64">
        <f>IF(H30=0,0,I30/H30)</f>
        <v>0</v>
      </c>
      <c r="L30" s="607"/>
      <c r="M30" s="4032"/>
      <c r="O30" s="595"/>
      <c r="P30" s="594"/>
      <c r="Q30" s="127"/>
      <c r="R30" s="64"/>
      <c r="T30" s="595">
        <v>3624.1</v>
      </c>
      <c r="U30" s="127"/>
      <c r="V30" s="4032">
        <v>4021.6</v>
      </c>
      <c r="X30" s="26"/>
      <c r="Z30" s="595">
        <v>3516.2</v>
      </c>
      <c r="AA30" s="127"/>
      <c r="AB30" s="4032">
        <v>4201.2</v>
      </c>
      <c r="AC30" s="1423"/>
      <c r="AD30" s="39"/>
      <c r="AF30" s="595">
        <v>4150.2</v>
      </c>
      <c r="AG30" s="127"/>
      <c r="AH30" s="8448">
        <v>4486.3999999999996</v>
      </c>
      <c r="AI30" s="64">
        <f t="shared" si="2"/>
        <v>1.0810081441858224</v>
      </c>
      <c r="AJ30" s="1423"/>
      <c r="AK30" s="39"/>
      <c r="AM30" s="595">
        <f>AM29-355.8</f>
        <v>4166.8</v>
      </c>
      <c r="AN30" s="127" t="s">
        <v>5044</v>
      </c>
      <c r="AO30" s="4032">
        <f>AO29-192.9</f>
        <v>4814</v>
      </c>
      <c r="AQ30" s="26"/>
      <c r="AS30" s="595">
        <v>4860.5</v>
      </c>
      <c r="AT30" s="594">
        <v>4827.5</v>
      </c>
      <c r="AU30" s="116" t="s">
        <v>5043</v>
      </c>
      <c r="AV30" s="64"/>
      <c r="AX30" s="595">
        <v>4542.3999999999996</v>
      </c>
      <c r="AY30" s="3309" t="s">
        <v>458</v>
      </c>
      <c r="AZ30" s="4032">
        <v>4632.3999999999996</v>
      </c>
      <c r="BB30" s="26"/>
    </row>
    <row r="31" spans="1:54" x14ac:dyDescent="0.35">
      <c r="A31" s="9168"/>
      <c r="B31" s="6082"/>
      <c r="C31" s="110" t="s">
        <v>490</v>
      </c>
      <c r="D31" s="197"/>
      <c r="F31" s="3933"/>
      <c r="G31" s="1270"/>
      <c r="H31" s="595"/>
      <c r="I31" s="594"/>
      <c r="J31" s="64">
        <f>IF(H31=0,0,I31/H31)</f>
        <v>0</v>
      </c>
      <c r="L31" s="607"/>
      <c r="M31" s="4032"/>
      <c r="O31" s="595"/>
      <c r="P31" s="594"/>
      <c r="Q31" s="116"/>
      <c r="R31" s="64"/>
      <c r="T31" s="595"/>
      <c r="U31" s="116"/>
      <c r="V31" s="4032"/>
      <c r="X31" s="26"/>
      <c r="Z31" s="595"/>
      <c r="AA31" s="116"/>
      <c r="AB31" s="4032"/>
      <c r="AC31" s="1423"/>
      <c r="AD31" s="39"/>
      <c r="AF31" s="595"/>
      <c r="AG31" s="116"/>
      <c r="AH31" s="8448"/>
      <c r="AI31" s="64"/>
      <c r="AJ31" s="1423"/>
      <c r="AK31" s="39"/>
      <c r="AM31" s="595"/>
      <c r="AN31" s="116"/>
      <c r="AO31" s="4032"/>
      <c r="AQ31" s="26"/>
      <c r="AS31" s="2890"/>
      <c r="AT31" s="8449"/>
      <c r="AU31" s="8450"/>
      <c r="AV31" s="64"/>
      <c r="AX31" s="595"/>
      <c r="AY31" s="116"/>
      <c r="AZ31" s="4032"/>
      <c r="BB31" s="26"/>
    </row>
    <row r="32" spans="1:54" ht="41.5" customHeight="1" x14ac:dyDescent="0.35">
      <c r="A32" s="9168"/>
      <c r="B32" s="6082"/>
      <c r="C32" s="161" t="s">
        <v>497</v>
      </c>
      <c r="D32" s="610"/>
      <c r="F32" s="1335"/>
      <c r="G32" s="1270"/>
      <c r="H32" s="612"/>
      <c r="I32" s="613"/>
      <c r="J32" s="64">
        <f>IF(H32=0,0,I32/H32)</f>
        <v>0</v>
      </c>
      <c r="L32" s="4805"/>
      <c r="M32" s="4032"/>
      <c r="O32" s="612"/>
      <c r="P32" s="613"/>
      <c r="Q32" s="106"/>
      <c r="R32" s="64"/>
      <c r="T32" s="612"/>
      <c r="U32" s="106"/>
      <c r="V32" s="4032"/>
      <c r="X32" s="26"/>
      <c r="Z32" s="612">
        <v>0</v>
      </c>
      <c r="AA32" s="106" t="s">
        <v>1115</v>
      </c>
      <c r="AB32" s="4032">
        <v>0</v>
      </c>
      <c r="AC32" s="1423"/>
      <c r="AD32" s="39"/>
      <c r="AF32" s="612"/>
      <c r="AG32" s="106" t="s">
        <v>1115</v>
      </c>
      <c r="AH32" s="8448"/>
      <c r="AI32" s="64"/>
      <c r="AJ32" s="1423"/>
      <c r="AK32" s="39"/>
      <c r="AM32" s="612"/>
      <c r="AN32" s="106"/>
      <c r="AO32" s="4032"/>
      <c r="AQ32" s="26"/>
      <c r="AS32" s="612"/>
      <c r="AT32" s="613"/>
      <c r="AU32" s="106"/>
      <c r="AV32" s="64"/>
      <c r="AX32" s="612"/>
      <c r="AY32" s="106"/>
      <c r="AZ32" s="4032"/>
      <c r="BB32" s="26"/>
    </row>
    <row r="33" spans="1:54" x14ac:dyDescent="0.35">
      <c r="A33" s="9168"/>
      <c r="B33" s="128"/>
      <c r="C33" s="129" t="s">
        <v>499</v>
      </c>
      <c r="D33" s="209"/>
      <c r="F33" s="169">
        <f>IF(F30=0,0,(F31-F32)/F30)</f>
        <v>0</v>
      </c>
      <c r="G33" s="170"/>
      <c r="H33" s="171">
        <f>IF(H30=0,0,(H31-H32)/H30)</f>
        <v>0</v>
      </c>
      <c r="I33" s="172">
        <f>IF(I30=0,0,(I31-I32)/I30)</f>
        <v>0</v>
      </c>
      <c r="J33" s="173"/>
      <c r="K33" s="170"/>
      <c r="L33" s="174">
        <f>IF(L30=0,0,L31/L30)</f>
        <v>0</v>
      </c>
      <c r="M33" s="175">
        <f>IF(M30=0,0,M31/M30)</f>
        <v>0</v>
      </c>
      <c r="N33" s="176"/>
      <c r="O33" s="171"/>
      <c r="P33" s="177"/>
      <c r="Q33" s="177"/>
      <c r="R33" s="173"/>
      <c r="S33" s="170"/>
      <c r="T33" s="171"/>
      <c r="U33" s="177"/>
      <c r="V33" s="175"/>
      <c r="W33" s="176"/>
      <c r="X33" s="24"/>
      <c r="Z33" s="171">
        <f>IF(Z29=0,0,(Z31-Z32)/Z29)</f>
        <v>0</v>
      </c>
      <c r="AA33" s="177"/>
      <c r="AB33" s="175">
        <f>IF(AB29=0,0,(AB31-AB32)/AB29)</f>
        <v>0</v>
      </c>
      <c r="AC33" s="1022"/>
      <c r="AD33" s="39"/>
      <c r="AF33" s="171">
        <f>IF(AF29=0,0,(AF31-AF32)/AF29)</f>
        <v>0</v>
      </c>
      <c r="AG33" s="177"/>
      <c r="AH33" s="178">
        <f>IF(AH29=0,0,(AH31-AH32)/AH29)</f>
        <v>0</v>
      </c>
      <c r="AI33" s="173"/>
      <c r="AJ33" s="1022"/>
      <c r="AK33" s="39"/>
      <c r="AM33" s="171"/>
      <c r="AN33" s="177"/>
      <c r="AO33" s="175"/>
      <c r="AQ33" s="26"/>
      <c r="AS33" s="171"/>
      <c r="AT33" s="177"/>
      <c r="AU33" s="177"/>
      <c r="AV33" s="173"/>
      <c r="AW33" s="170"/>
      <c r="AX33" s="171"/>
      <c r="AY33" s="177"/>
      <c r="AZ33" s="175"/>
      <c r="BA33" s="176"/>
      <c r="BB33" s="24"/>
    </row>
    <row r="34" spans="1:54" x14ac:dyDescent="0.35">
      <c r="A34" s="9168"/>
      <c r="B34" s="139" t="s">
        <v>501</v>
      </c>
      <c r="C34" s="49"/>
      <c r="D34" s="184"/>
      <c r="F34" s="185">
        <f>977+251.1+312</f>
        <v>1540.1</v>
      </c>
      <c r="H34" s="4635">
        <f>3429.6+247</f>
        <v>3676.6</v>
      </c>
      <c r="I34" s="4636">
        <f>3512.8+230.8</f>
        <v>3743.6000000000004</v>
      </c>
      <c r="J34" s="188">
        <f>IF(H34=0,0,I34/H34)</f>
        <v>1.0182233585377796</v>
      </c>
      <c r="L34" s="4635">
        <f>3335.8+215.6</f>
        <v>3551.4</v>
      </c>
      <c r="M34" s="4637">
        <f>3437.7+232.3</f>
        <v>3670</v>
      </c>
      <c r="O34" s="1151"/>
      <c r="P34" s="190"/>
      <c r="Q34" s="190"/>
      <c r="R34" s="191"/>
      <c r="S34" s="170"/>
      <c r="T34" s="1151"/>
      <c r="U34" s="190"/>
      <c r="V34" s="4637"/>
      <c r="X34" s="3315"/>
      <c r="Z34" s="1151">
        <v>3721.6</v>
      </c>
      <c r="AA34" s="190" t="s">
        <v>5045</v>
      </c>
      <c r="AB34" s="4637">
        <v>3178.5</v>
      </c>
      <c r="AC34" s="4806"/>
      <c r="AD34" s="39"/>
      <c r="AF34" s="1151">
        <v>3856.4</v>
      </c>
      <c r="AG34" s="190" t="s">
        <v>5046</v>
      </c>
      <c r="AH34" s="8451">
        <v>3560.9</v>
      </c>
      <c r="AI34" s="191">
        <f t="shared" ref="AI34:AI36" si="3">AH34/AF34</f>
        <v>0.923374131314179</v>
      </c>
      <c r="AJ34" s="4806"/>
      <c r="AK34" s="39"/>
      <c r="AM34" s="1151" t="s">
        <v>5047</v>
      </c>
      <c r="AN34" s="8452" t="s">
        <v>5048</v>
      </c>
      <c r="AO34" s="4637"/>
      <c r="AQ34" s="18"/>
      <c r="AS34" s="1151"/>
      <c r="AT34" s="190"/>
      <c r="AU34" s="190"/>
      <c r="AV34" s="191"/>
      <c r="AW34" s="170"/>
      <c r="AX34" s="1151"/>
      <c r="AY34" s="190"/>
      <c r="AZ34" s="4637"/>
      <c r="BB34" s="3315"/>
    </row>
    <row r="35" spans="1:54" x14ac:dyDescent="0.35">
      <c r="A35" s="9168"/>
      <c r="B35" s="196"/>
      <c r="C35" s="121" t="s">
        <v>5049</v>
      </c>
      <c r="D35" s="197"/>
      <c r="F35" s="122"/>
      <c r="H35" s="198"/>
      <c r="I35" s="3355"/>
      <c r="J35" s="64"/>
      <c r="L35" s="198"/>
      <c r="M35" s="482"/>
      <c r="O35" s="1154">
        <f>3355.8-O36</f>
        <v>3316.3</v>
      </c>
      <c r="P35" s="643">
        <f>3437.7-P36</f>
        <v>3398.2</v>
      </c>
      <c r="Q35" s="1153" t="s">
        <v>5050</v>
      </c>
      <c r="R35" s="64">
        <f>P35/O35</f>
        <v>1.0246961975695805</v>
      </c>
      <c r="S35" s="170"/>
      <c r="T35" s="1154">
        <f>3709.2-T36</f>
        <v>3686.2</v>
      </c>
      <c r="U35" s="1153" t="s">
        <v>5051</v>
      </c>
      <c r="V35" s="1304">
        <f>3658.4-V36</f>
        <v>3635.4</v>
      </c>
      <c r="X35" s="1788"/>
      <c r="Z35" s="1154">
        <f>Z34-Z36</f>
        <v>3566.6</v>
      </c>
      <c r="AA35" s="1153" t="s">
        <v>5052</v>
      </c>
      <c r="AB35" s="1304">
        <f>AB34-AB36</f>
        <v>2977.5</v>
      </c>
      <c r="AC35" s="4795"/>
      <c r="AD35" s="39" t="s">
        <v>5053</v>
      </c>
      <c r="AF35" s="1154">
        <f>AF34-AF36</f>
        <v>3827.9</v>
      </c>
      <c r="AG35" s="1153" t="s">
        <v>5052</v>
      </c>
      <c r="AH35" s="1358">
        <f>AH34-AH36</f>
        <v>3539.4</v>
      </c>
      <c r="AI35" s="64">
        <f t="shared" si="3"/>
        <v>0.92463230491914628</v>
      </c>
      <c r="AJ35" s="4795"/>
      <c r="AK35" s="39" t="s">
        <v>5053</v>
      </c>
      <c r="AM35" s="1154">
        <v>2457.6</v>
      </c>
      <c r="AN35" s="1153"/>
      <c r="AO35" s="1304">
        <f>1090.8*2</f>
        <v>2181.6</v>
      </c>
      <c r="AQ35" s="26"/>
      <c r="AS35" s="1154">
        <f>2919.3-AS36</f>
        <v>2901.3</v>
      </c>
      <c r="AT35" s="643">
        <f>3123.9-AT36</f>
        <v>3117.4</v>
      </c>
      <c r="AU35" s="1153" t="s">
        <v>5054</v>
      </c>
      <c r="AV35" s="64">
        <f>AT35/AS35</f>
        <v>1.0744838520663151</v>
      </c>
      <c r="AW35" s="170"/>
      <c r="AX35" s="1154">
        <f>3940.3-AX36</f>
        <v>3895.3</v>
      </c>
      <c r="AY35" s="1153" t="s">
        <v>457</v>
      </c>
      <c r="AZ35" s="1304">
        <f>3885.6-AZ36</f>
        <v>3840.6</v>
      </c>
      <c r="BB35" s="1788"/>
    </row>
    <row r="36" spans="1:54" x14ac:dyDescent="0.35">
      <c r="A36" s="9169"/>
      <c r="B36" s="207"/>
      <c r="C36" s="208" t="s">
        <v>1116</v>
      </c>
      <c r="D36" s="209"/>
      <c r="F36" s="210"/>
      <c r="H36" s="211"/>
      <c r="I36" s="1155"/>
      <c r="J36" s="133"/>
      <c r="L36" s="211"/>
      <c r="M36" s="485"/>
      <c r="O36" s="1156">
        <v>39.5</v>
      </c>
      <c r="P36" s="1158">
        <v>39.5</v>
      </c>
      <c r="Q36" s="1159"/>
      <c r="R36" s="133">
        <f>P36/O36</f>
        <v>1</v>
      </c>
      <c r="T36" s="1156">
        <v>23</v>
      </c>
      <c r="U36" s="1160"/>
      <c r="V36" s="4643">
        <v>23</v>
      </c>
      <c r="X36" s="1789"/>
      <c r="Z36" s="1156">
        <v>155</v>
      </c>
      <c r="AA36" s="1160" t="s">
        <v>5055</v>
      </c>
      <c r="AB36" s="4643">
        <v>201</v>
      </c>
      <c r="AC36" s="4795"/>
      <c r="AD36" s="39"/>
      <c r="AF36" s="1156">
        <v>28.5</v>
      </c>
      <c r="AG36" s="1160" t="s">
        <v>5055</v>
      </c>
      <c r="AH36" s="8447">
        <v>21.5</v>
      </c>
      <c r="AI36" s="133">
        <f t="shared" si="3"/>
        <v>0.75438596491228072</v>
      </c>
      <c r="AJ36" s="4795"/>
      <c r="AK36" s="39"/>
      <c r="AM36" s="1156"/>
      <c r="AN36" s="1160"/>
      <c r="AO36" s="4643"/>
      <c r="AQ36" s="24"/>
      <c r="AS36" s="1156">
        <v>18</v>
      </c>
      <c r="AT36" s="1158">
        <v>6.5</v>
      </c>
      <c r="AU36" s="1159" t="s">
        <v>5054</v>
      </c>
      <c r="AV36" s="133">
        <f>AT36/AS36</f>
        <v>0.3611111111111111</v>
      </c>
      <c r="AX36" s="1156">
        <v>45</v>
      </c>
      <c r="AY36" s="1160" t="s">
        <v>457</v>
      </c>
      <c r="AZ36" s="4643">
        <v>45</v>
      </c>
      <c r="BB36" s="1789"/>
    </row>
    <row r="37" spans="1:54" x14ac:dyDescent="0.35">
      <c r="A37" s="220"/>
      <c r="B37" s="220"/>
      <c r="F37" s="106"/>
      <c r="H37" s="106"/>
      <c r="I37" s="106"/>
      <c r="J37" s="221"/>
      <c r="L37" s="106"/>
      <c r="O37" s="106"/>
      <c r="P37" s="106"/>
      <c r="Q37" s="106"/>
      <c r="R37" s="221"/>
      <c r="T37" s="106"/>
      <c r="U37" s="106"/>
      <c r="Z37" s="106"/>
      <c r="AA37" s="106"/>
      <c r="AD37" s="39"/>
      <c r="AF37" s="106"/>
      <c r="AG37" s="106"/>
      <c r="AI37" s="221"/>
      <c r="AK37" s="39"/>
      <c r="AM37" s="106"/>
      <c r="AN37" s="106"/>
      <c r="AS37" s="106"/>
      <c r="AT37" s="106"/>
      <c r="AU37" s="106"/>
      <c r="AV37" s="221"/>
      <c r="AX37" s="106"/>
      <c r="AY37" s="106"/>
    </row>
    <row r="38" spans="1:54" ht="36" x14ac:dyDescent="0.35">
      <c r="A38" s="9167" t="s">
        <v>503</v>
      </c>
      <c r="B38" s="27"/>
      <c r="C38" s="28" t="s">
        <v>427</v>
      </c>
      <c r="D38" s="585" t="s">
        <v>428</v>
      </c>
      <c r="E38" s="30"/>
      <c r="F38" s="222"/>
      <c r="G38" s="223"/>
      <c r="H38" s="9155" t="s">
        <v>4995</v>
      </c>
      <c r="I38" s="9156"/>
      <c r="J38" s="224"/>
      <c r="K38" s="223"/>
      <c r="L38" s="9155" t="s">
        <v>4996</v>
      </c>
      <c r="M38" s="9156"/>
      <c r="N38" s="30"/>
      <c r="O38" s="9489"/>
      <c r="P38" s="9490"/>
      <c r="Q38" s="581"/>
      <c r="R38" s="224"/>
      <c r="S38" s="223"/>
      <c r="T38" s="36"/>
      <c r="U38" s="581"/>
      <c r="V38" s="36"/>
      <c r="W38" s="30"/>
      <c r="X38" s="39"/>
      <c r="Z38" s="36" t="s">
        <v>5001</v>
      </c>
      <c r="AA38" s="581"/>
      <c r="AB38" s="36" t="s">
        <v>5001</v>
      </c>
      <c r="AC38" s="1844"/>
      <c r="AD38" s="39"/>
      <c r="AF38" s="36" t="s">
        <v>5001</v>
      </c>
      <c r="AG38" s="581"/>
      <c r="AH38" s="8314" t="s">
        <v>5001</v>
      </c>
      <c r="AI38" s="224"/>
      <c r="AJ38" s="1844"/>
      <c r="AK38" s="39"/>
      <c r="AM38" s="36"/>
      <c r="AN38" s="35"/>
      <c r="AO38" s="36"/>
      <c r="AQ38" s="39"/>
      <c r="AS38" s="9489"/>
      <c r="AT38" s="9490"/>
      <c r="AU38" s="581"/>
      <c r="AV38" s="224"/>
      <c r="AW38" s="223"/>
      <c r="AX38" s="36"/>
      <c r="AY38" s="581"/>
      <c r="AZ38" s="36"/>
      <c r="BA38" s="30"/>
      <c r="BB38" s="39"/>
    </row>
    <row r="39" spans="1:54" x14ac:dyDescent="0.35">
      <c r="A39" s="9168"/>
      <c r="B39" s="141" t="s">
        <v>514</v>
      </c>
      <c r="C39"/>
      <c r="D39" s="184"/>
      <c r="E39" s="143"/>
      <c r="F39" s="227"/>
      <c r="G39" s="143"/>
      <c r="H39" s="102"/>
      <c r="I39" s="103"/>
      <c r="J39" s="228"/>
      <c r="K39" s="143"/>
      <c r="L39" s="102"/>
      <c r="M39" s="229"/>
      <c r="N39" s="143"/>
      <c r="O39" s="230"/>
      <c r="P39" s="103"/>
      <c r="Q39" s="231" t="s">
        <v>5056</v>
      </c>
      <c r="R39" s="228"/>
      <c r="S39" s="143"/>
      <c r="T39" s="230"/>
      <c r="U39" s="231" t="s">
        <v>5057</v>
      </c>
      <c r="V39" s="105"/>
      <c r="W39" s="143"/>
      <c r="X39" s="18"/>
      <c r="Z39" s="230"/>
      <c r="AA39" s="231"/>
      <c r="AB39" s="105"/>
      <c r="AC39" s="106"/>
      <c r="AD39" s="39"/>
      <c r="AF39" s="230"/>
      <c r="AG39" s="231"/>
      <c r="AH39" s="103"/>
      <c r="AI39" s="228"/>
      <c r="AJ39" s="106"/>
      <c r="AK39" s="39"/>
      <c r="AM39" s="230"/>
      <c r="AN39" s="57" t="s">
        <v>5058</v>
      </c>
      <c r="AO39" s="105"/>
      <c r="AQ39" s="18"/>
      <c r="AS39" s="230"/>
      <c r="AT39" s="103"/>
      <c r="AU39" s="231"/>
      <c r="AV39" s="228"/>
      <c r="AW39" s="143"/>
      <c r="AX39" s="230"/>
      <c r="AY39" s="231"/>
      <c r="AZ39" s="8453"/>
      <c r="BA39" s="143"/>
      <c r="BB39" s="18"/>
    </row>
    <row r="40" spans="1:54" x14ac:dyDescent="0.35">
      <c r="A40" s="9168"/>
      <c r="B40" s="240"/>
      <c r="C40" s="240" t="s">
        <v>5059</v>
      </c>
      <c r="D40" s="197">
        <v>2</v>
      </c>
      <c r="F40" s="1301">
        <f>360.938327+40.573531</f>
        <v>401.51185800000002</v>
      </c>
      <c r="H40" s="593">
        <f>121.1+3.6+724.5+93.3</f>
        <v>942.5</v>
      </c>
      <c r="I40" s="636">
        <f>127.1+3+726.9+97.5</f>
        <v>954.5</v>
      </c>
      <c r="J40" s="64">
        <f>IF(H40=0,0,I40/H40)</f>
        <v>1.0127320954907162</v>
      </c>
      <c r="L40" s="593">
        <v>1025.67</v>
      </c>
      <c r="M40" s="4032">
        <v>977.36</v>
      </c>
      <c r="O40" s="593"/>
      <c r="P40" s="594"/>
      <c r="Q40" s="57"/>
      <c r="R40" s="64"/>
      <c r="T40" s="593">
        <f>T41+T42</f>
        <v>805.71400000000006</v>
      </c>
      <c r="U40" s="57"/>
      <c r="V40" s="596">
        <f>V41+V42</f>
        <v>728.42500000000007</v>
      </c>
      <c r="X40" s="26" t="s">
        <v>5060</v>
      </c>
      <c r="Z40" s="593">
        <v>1092.5</v>
      </c>
      <c r="AA40" s="57" t="s">
        <v>5061</v>
      </c>
      <c r="AB40" s="596">
        <v>569.9</v>
      </c>
      <c r="AC40" s="645"/>
      <c r="AD40" s="39"/>
      <c r="AF40" s="593">
        <v>1185.5</v>
      </c>
      <c r="AG40" s="57" t="s">
        <v>3834</v>
      </c>
      <c r="AH40" s="597">
        <v>600.6</v>
      </c>
      <c r="AI40" s="1171">
        <f>(AH40+AH43)/AF40</f>
        <v>0.93563897089835513</v>
      </c>
      <c r="AJ40" s="645"/>
      <c r="AK40" s="39"/>
      <c r="AM40" s="593">
        <v>296.60000000000002</v>
      </c>
      <c r="AN40" s="57" t="s">
        <v>5062</v>
      </c>
      <c r="AO40" s="596">
        <f>103.8*2</f>
        <v>207.6</v>
      </c>
      <c r="AQ40" s="26" t="s">
        <v>5063</v>
      </c>
      <c r="AS40" s="593"/>
      <c r="AT40" s="594"/>
      <c r="AU40" s="57"/>
      <c r="AV40" s="64"/>
      <c r="AX40" s="593"/>
      <c r="AY40" s="57"/>
      <c r="AZ40" s="596"/>
      <c r="BB40" s="26"/>
    </row>
    <row r="41" spans="1:54" x14ac:dyDescent="0.35">
      <c r="A41" s="9168"/>
      <c r="B41" s="240"/>
      <c r="C41" s="8480" t="s">
        <v>11</v>
      </c>
      <c r="D41" s="197"/>
      <c r="F41" s="1301"/>
      <c r="H41" s="593"/>
      <c r="I41" s="636"/>
      <c r="J41" s="64"/>
      <c r="L41" s="593"/>
      <c r="M41" s="4032"/>
      <c r="O41" s="593">
        <f>605.05+85.04+3.23+4.37+52.89+47.03+21.25+18.82+4.49</f>
        <v>842.17</v>
      </c>
      <c r="P41" s="594">
        <f>583.1+81.03+2.85+3.58+49+43.55+19.87+17.63+3.66</f>
        <v>804.27</v>
      </c>
      <c r="Q41" s="57" t="s">
        <v>5064</v>
      </c>
      <c r="R41" s="64">
        <f>P41/O41</f>
        <v>0.95499720958951284</v>
      </c>
      <c r="T41" s="593">
        <v>622.21400000000006</v>
      </c>
      <c r="U41" s="57" t="s">
        <v>5065</v>
      </c>
      <c r="V41" s="596">
        <v>555.32500000000005</v>
      </c>
      <c r="X41" s="26"/>
      <c r="Z41" s="593">
        <f>Z40*(T41/T40)</f>
        <v>843.68497382445889</v>
      </c>
      <c r="AA41" s="57" t="s">
        <v>5066</v>
      </c>
      <c r="AB41" s="596">
        <f>AB40*(Z41/Z40)</f>
        <v>440.10623943483671</v>
      </c>
      <c r="AC41" s="645"/>
      <c r="AD41" s="39"/>
      <c r="AF41" s="593">
        <f>AF40*(AB41/AB40)</f>
        <v>915.50438120722742</v>
      </c>
      <c r="AG41" s="57" t="s">
        <v>5067</v>
      </c>
      <c r="AH41" s="597">
        <f>AH40*(AF41/AF40)</f>
        <v>463.81436638807321</v>
      </c>
      <c r="AI41" s="64">
        <f t="shared" ref="AI41:AI42" si="4">AH41/AF41</f>
        <v>0.50662167861661744</v>
      </c>
      <c r="AJ41" s="645"/>
      <c r="AK41" s="39"/>
      <c r="AM41" s="593"/>
      <c r="AN41" s="57"/>
      <c r="AO41" s="596"/>
      <c r="AQ41" s="55"/>
      <c r="AS41" s="593"/>
      <c r="AT41" s="594"/>
      <c r="AU41" s="57"/>
      <c r="AV41" s="64"/>
      <c r="AX41" s="593"/>
      <c r="AY41" s="57"/>
      <c r="AZ41" s="596"/>
      <c r="BB41" s="26"/>
    </row>
    <row r="42" spans="1:54" x14ac:dyDescent="0.35">
      <c r="A42" s="9168"/>
      <c r="B42" s="240"/>
      <c r="C42" s="8481" t="s">
        <v>1116</v>
      </c>
      <c r="D42" s="197"/>
      <c r="F42" s="1301"/>
      <c r="H42" s="593"/>
      <c r="I42" s="636"/>
      <c r="J42" s="64"/>
      <c r="L42" s="593"/>
      <c r="M42" s="4032"/>
      <c r="O42" s="595">
        <f>19+154.5+10</f>
        <v>183.5</v>
      </c>
      <c r="P42" s="594">
        <f>16.9+146.2+10</f>
        <v>173.1</v>
      </c>
      <c r="Q42" s="57"/>
      <c r="R42" s="64">
        <f>P42/O42</f>
        <v>0.94332425068119885</v>
      </c>
      <c r="T42" s="595">
        <f>O42</f>
        <v>183.5</v>
      </c>
      <c r="U42" s="57" t="s">
        <v>5066</v>
      </c>
      <c r="V42" s="596">
        <f>P42</f>
        <v>173.1</v>
      </c>
      <c r="X42" s="26"/>
      <c r="Z42" s="595">
        <f>Z40-736</f>
        <v>356.5</v>
      </c>
      <c r="AA42" s="57" t="s">
        <v>5066</v>
      </c>
      <c r="AB42" s="596">
        <f>AB40-AB41</f>
        <v>129.79376056516327</v>
      </c>
      <c r="AC42" s="1354"/>
      <c r="AD42" s="39"/>
      <c r="AF42" s="595">
        <f>AF40-AF41</f>
        <v>269.99561879277258</v>
      </c>
      <c r="AG42" s="57" t="s">
        <v>5067</v>
      </c>
      <c r="AH42" s="597">
        <f>AH40-AH41</f>
        <v>136.78563361192681</v>
      </c>
      <c r="AI42" s="64">
        <f t="shared" si="4"/>
        <v>0.50662167861661755</v>
      </c>
      <c r="AJ42" s="1354"/>
      <c r="AK42" s="39"/>
      <c r="AM42" s="595"/>
      <c r="AN42" s="57"/>
      <c r="AO42" s="596"/>
      <c r="AQ42" s="26"/>
      <c r="AS42" s="595"/>
      <c r="AT42" s="594"/>
      <c r="AU42" s="57"/>
      <c r="AV42" s="64"/>
      <c r="AX42" s="595"/>
      <c r="AY42" s="57"/>
      <c r="AZ42" s="596"/>
      <c r="BB42" s="26"/>
    </row>
    <row r="43" spans="1:54" x14ac:dyDescent="0.35">
      <c r="A43" s="9168"/>
      <c r="B43" s="240"/>
      <c r="C43" s="7508" t="s">
        <v>5068</v>
      </c>
      <c r="D43" s="197"/>
      <c r="F43" s="3933">
        <f>31.687+40.4532+12.9858+9.2048</f>
        <v>94.330800000000011</v>
      </c>
      <c r="H43" s="595">
        <f>47.8+36.6+16+14.5+25.7+18.8+1.8+11.7</f>
        <v>172.9</v>
      </c>
      <c r="I43" s="594">
        <f>47.8+35.7+16+14.5+20.7+8.8+1.8+11.7</f>
        <v>157</v>
      </c>
      <c r="J43" s="64">
        <f>IF(H43=0,0,I43/H43)</f>
        <v>0.90803932909196061</v>
      </c>
      <c r="L43" s="595"/>
      <c r="M43" s="4032"/>
      <c r="O43" s="1172"/>
      <c r="P43" s="594"/>
      <c r="Q43" s="57"/>
      <c r="R43" s="64"/>
      <c r="T43" s="1172"/>
      <c r="U43" s="57"/>
      <c r="V43" s="596"/>
      <c r="X43" s="26"/>
      <c r="Z43" s="1172"/>
      <c r="AA43" s="57" t="s">
        <v>5069</v>
      </c>
      <c r="AB43" s="596">
        <v>504.7</v>
      </c>
      <c r="AC43" s="645"/>
      <c r="AD43" s="39"/>
      <c r="AF43" s="1172"/>
      <c r="AG43" s="57" t="s">
        <v>5070</v>
      </c>
      <c r="AH43" s="597">
        <v>508.6</v>
      </c>
      <c r="AI43" s="64"/>
      <c r="AJ43" s="645"/>
      <c r="AK43" s="39"/>
      <c r="AM43" s="1172"/>
      <c r="AN43" s="57"/>
      <c r="AO43" s="596"/>
      <c r="AQ43" s="26"/>
      <c r="AS43" s="1172"/>
      <c r="AT43" s="594"/>
      <c r="AU43" s="57"/>
      <c r="AV43" s="64"/>
      <c r="AX43" s="1172"/>
      <c r="AY43" s="57"/>
      <c r="AZ43" s="596"/>
      <c r="BB43" s="26"/>
    </row>
    <row r="44" spans="1:54" x14ac:dyDescent="0.35">
      <c r="A44" s="9168"/>
      <c r="B44" s="241"/>
      <c r="C44" s="8482" t="s">
        <v>5071</v>
      </c>
      <c r="D44" s="197"/>
      <c r="F44" s="1335">
        <f>0+8.3+0</f>
        <v>8.3000000000000007</v>
      </c>
      <c r="H44" s="1172"/>
      <c r="I44" s="644">
        <f>0.3+6.5</f>
        <v>6.8</v>
      </c>
      <c r="J44" s="64">
        <f>IF(H44=0,0,I44/H44)</f>
        <v>0</v>
      </c>
      <c r="L44" s="1172"/>
      <c r="M44" s="4032"/>
      <c r="O44" s="1172"/>
      <c r="P44" s="594"/>
      <c r="Q44" s="57"/>
      <c r="R44" s="64"/>
      <c r="T44" s="1172"/>
      <c r="U44" s="57"/>
      <c r="V44" s="596"/>
      <c r="X44" s="26"/>
      <c r="Z44" s="1172"/>
      <c r="AA44" s="57"/>
      <c r="AB44" s="596"/>
      <c r="AC44" s="645"/>
      <c r="AD44" s="39"/>
      <c r="AF44" s="1172"/>
      <c r="AG44" s="57"/>
      <c r="AH44" s="597"/>
      <c r="AI44" s="64"/>
      <c r="AJ44" s="645"/>
      <c r="AK44" s="39"/>
      <c r="AM44" s="1172"/>
      <c r="AN44" s="57"/>
      <c r="AO44" s="596"/>
      <c r="AQ44" s="26"/>
      <c r="AS44" s="1172"/>
      <c r="AT44" s="594"/>
      <c r="AU44" s="57"/>
      <c r="AV44" s="64"/>
      <c r="AX44" s="1172"/>
      <c r="AY44" s="57"/>
      <c r="AZ44" s="596"/>
      <c r="BB44" s="26"/>
    </row>
    <row r="45" spans="1:54" x14ac:dyDescent="0.35">
      <c r="A45" s="9168"/>
      <c r="B45" s="8482"/>
      <c r="C45" s="8482" t="s">
        <v>5072</v>
      </c>
      <c r="D45" s="197"/>
      <c r="F45" s="1335"/>
      <c r="H45" s="1172"/>
      <c r="I45" s="644"/>
      <c r="J45" s="64">
        <f>IF(H45=0,0,I45/H45)</f>
        <v>0</v>
      </c>
      <c r="L45" s="1172"/>
      <c r="M45" s="4032"/>
      <c r="O45" s="242"/>
      <c r="P45" s="594"/>
      <c r="Q45" s="106"/>
      <c r="R45" s="64"/>
      <c r="T45" s="242"/>
      <c r="U45" s="106"/>
      <c r="V45" s="596"/>
      <c r="X45" s="26"/>
      <c r="Z45" s="242"/>
      <c r="AA45" s="106"/>
      <c r="AB45" s="596"/>
      <c r="AC45" s="645"/>
      <c r="AD45" s="39"/>
      <c r="AF45" s="242"/>
      <c r="AG45" s="106"/>
      <c r="AH45" s="597"/>
      <c r="AI45" s="64"/>
      <c r="AJ45" s="645"/>
      <c r="AK45" s="39"/>
      <c r="AM45" s="593">
        <v>191.4</v>
      </c>
      <c r="AN45" s="57"/>
      <c r="AO45" s="596">
        <f>91.8*2</f>
        <v>183.6</v>
      </c>
      <c r="AQ45" s="55" t="s">
        <v>5072</v>
      </c>
      <c r="AR45" t="s">
        <v>107</v>
      </c>
      <c r="AS45" s="1172"/>
      <c r="AT45" s="594"/>
      <c r="AU45" s="57"/>
      <c r="AV45" s="64"/>
      <c r="AX45" s="242"/>
      <c r="AY45" s="106"/>
      <c r="AZ45" s="596"/>
      <c r="BB45" s="26"/>
    </row>
    <row r="46" spans="1:54" x14ac:dyDescent="0.35">
      <c r="A46" s="9168"/>
      <c r="B46" s="8482"/>
      <c r="C46" s="8482" t="s">
        <v>5073</v>
      </c>
      <c r="D46" s="197"/>
      <c r="F46" s="1306"/>
      <c r="H46" s="1163"/>
      <c r="I46" s="1358"/>
      <c r="J46" s="64"/>
      <c r="L46" s="1163"/>
      <c r="M46" s="4032"/>
      <c r="O46" s="198"/>
      <c r="P46" s="1358"/>
      <c r="Q46" s="106"/>
      <c r="R46" s="64"/>
      <c r="T46" s="198"/>
      <c r="U46" s="106"/>
      <c r="V46" s="1304"/>
      <c r="X46" s="26"/>
      <c r="Z46" s="198"/>
      <c r="AA46" s="106"/>
      <c r="AB46" s="1304"/>
      <c r="AC46" s="645"/>
      <c r="AD46" s="39"/>
      <c r="AF46" s="198"/>
      <c r="AG46" s="106"/>
      <c r="AH46" s="1358"/>
      <c r="AI46" s="64"/>
      <c r="AJ46" s="645"/>
      <c r="AK46" s="39"/>
      <c r="AM46" s="1163">
        <v>71.8</v>
      </c>
      <c r="AN46" s="57"/>
      <c r="AO46" s="1304">
        <f>22.6*2</f>
        <v>45.2</v>
      </c>
      <c r="AQ46" s="55"/>
      <c r="AS46" s="4657"/>
      <c r="AT46" s="8454"/>
      <c r="AU46" s="3969"/>
      <c r="AV46" s="1171"/>
      <c r="AW46" s="458"/>
      <c r="AX46" s="4075"/>
      <c r="AY46" s="259"/>
      <c r="AZ46" s="4794"/>
      <c r="BB46" s="26"/>
    </row>
    <row r="47" spans="1:54" x14ac:dyDescent="0.35">
      <c r="A47" s="9168"/>
      <c r="B47" s="8482"/>
      <c r="C47" s="8482" t="s">
        <v>5074</v>
      </c>
      <c r="D47" s="197"/>
      <c r="F47" s="1306"/>
      <c r="H47" s="1163"/>
      <c r="I47" s="1358"/>
      <c r="J47" s="64"/>
      <c r="L47" s="1163"/>
      <c r="M47" s="4032"/>
      <c r="O47" s="198"/>
      <c r="P47" s="1358"/>
      <c r="Q47" s="106"/>
      <c r="R47" s="64"/>
      <c r="T47" s="198"/>
      <c r="U47" s="106"/>
      <c r="V47" s="1304"/>
      <c r="X47" s="26"/>
      <c r="Z47" s="198"/>
      <c r="AA47" s="106"/>
      <c r="AB47" s="1304"/>
      <c r="AC47" s="645"/>
      <c r="AD47" s="39"/>
      <c r="AF47" s="198"/>
      <c r="AG47" s="106"/>
      <c r="AH47" s="1358"/>
      <c r="AI47" s="64"/>
      <c r="AJ47" s="645"/>
      <c r="AK47" s="39"/>
      <c r="AM47" s="1163">
        <v>66.3</v>
      </c>
      <c r="AN47" s="57"/>
      <c r="AO47" s="1304">
        <f>27.1*2</f>
        <v>54.2</v>
      </c>
      <c r="AQ47" s="55"/>
      <c r="AS47" s="1172"/>
      <c r="AT47" s="8455"/>
      <c r="AU47" s="8249"/>
      <c r="AV47" s="64"/>
      <c r="AX47" s="198"/>
      <c r="AY47" s="106"/>
      <c r="AZ47" s="1304"/>
      <c r="BB47" s="26"/>
    </row>
    <row r="48" spans="1:54" x14ac:dyDescent="0.35">
      <c r="A48" s="9168"/>
      <c r="B48" s="8483"/>
      <c r="C48" s="8483" t="s">
        <v>5075</v>
      </c>
      <c r="D48" s="197"/>
      <c r="F48" s="1306"/>
      <c r="H48" s="1163"/>
      <c r="I48" s="1358"/>
      <c r="J48" s="64"/>
      <c r="L48" s="1163"/>
      <c r="M48" s="4032"/>
      <c r="O48" s="198"/>
      <c r="P48" s="1358"/>
      <c r="Q48" s="106"/>
      <c r="R48" s="64"/>
      <c r="T48" s="198"/>
      <c r="U48" s="106"/>
      <c r="V48" s="1304"/>
      <c r="X48" s="26"/>
      <c r="Z48" s="198"/>
      <c r="AA48" s="106"/>
      <c r="AB48" s="1304"/>
      <c r="AC48" s="645"/>
      <c r="AD48" s="39"/>
      <c r="AF48" s="198"/>
      <c r="AG48" s="106"/>
      <c r="AH48" s="1358"/>
      <c r="AI48" s="64"/>
      <c r="AJ48" s="645"/>
      <c r="AK48" s="39"/>
      <c r="AM48" s="1163"/>
      <c r="AN48" s="57"/>
      <c r="AO48" s="1304"/>
      <c r="AQ48" s="55"/>
      <c r="AS48" s="1163"/>
      <c r="AT48" s="8455"/>
      <c r="AU48" s="8249"/>
      <c r="AV48" s="64"/>
      <c r="AX48" s="198"/>
      <c r="AY48" s="106"/>
      <c r="AZ48" s="1304"/>
      <c r="BB48" s="26"/>
    </row>
    <row r="49" spans="1:54" x14ac:dyDescent="0.35">
      <c r="A49" s="9168"/>
      <c r="B49" s="8483"/>
      <c r="C49" s="8483" t="s">
        <v>5076</v>
      </c>
      <c r="D49" s="197"/>
      <c r="F49" s="1306"/>
      <c r="H49" s="1163"/>
      <c r="I49" s="1358"/>
      <c r="J49" s="64"/>
      <c r="L49" s="1163"/>
      <c r="M49" s="4032"/>
      <c r="O49" s="198"/>
      <c r="P49" s="1358"/>
      <c r="Q49" s="106"/>
      <c r="R49" s="64"/>
      <c r="T49" s="198"/>
      <c r="U49" s="106"/>
      <c r="V49" s="1304"/>
      <c r="X49" s="26"/>
      <c r="Z49" s="198"/>
      <c r="AA49" s="106"/>
      <c r="AB49" s="1304"/>
      <c r="AC49" s="645"/>
      <c r="AD49" s="39"/>
      <c r="AF49" s="198"/>
      <c r="AG49" s="106"/>
      <c r="AH49" s="1358"/>
      <c r="AI49" s="64"/>
      <c r="AJ49" s="645"/>
      <c r="AK49" s="39"/>
      <c r="AM49" s="1163"/>
      <c r="AN49" s="57"/>
      <c r="AO49" s="1304"/>
      <c r="AQ49" s="55"/>
      <c r="AS49" s="1163"/>
      <c r="AT49" s="8455"/>
      <c r="AU49" s="8249"/>
      <c r="AV49" s="64"/>
      <c r="AX49" s="198"/>
      <c r="AY49" s="106"/>
      <c r="AZ49" s="1304"/>
      <c r="BB49" s="26"/>
    </row>
    <row r="50" spans="1:54" x14ac:dyDescent="0.35">
      <c r="A50" s="9168"/>
      <c r="B50" s="8483"/>
      <c r="C50" s="8483" t="s">
        <v>5077</v>
      </c>
      <c r="D50" s="197"/>
      <c r="F50" s="1306"/>
      <c r="H50" s="1163"/>
      <c r="I50" s="1358"/>
      <c r="J50" s="64"/>
      <c r="L50" s="1163"/>
      <c r="M50" s="4032"/>
      <c r="O50" s="198"/>
      <c r="P50" s="1358"/>
      <c r="Q50" s="106"/>
      <c r="R50" s="64"/>
      <c r="T50" s="198"/>
      <c r="U50" s="106"/>
      <c r="V50" s="1304"/>
      <c r="X50" s="26"/>
      <c r="Z50" s="198"/>
      <c r="AA50" s="106"/>
      <c r="AB50" s="1304"/>
      <c r="AC50" s="645"/>
      <c r="AD50" s="39"/>
      <c r="AF50" s="198"/>
      <c r="AG50" s="106"/>
      <c r="AH50" s="1358"/>
      <c r="AI50" s="64"/>
      <c r="AJ50" s="645"/>
      <c r="AK50" s="39"/>
      <c r="AM50" s="1163"/>
      <c r="AN50" s="57"/>
      <c r="AO50" s="1304"/>
      <c r="AQ50" s="55"/>
      <c r="AS50" s="1163"/>
      <c r="AT50" s="8455"/>
      <c r="AU50" s="8249"/>
      <c r="AV50" s="64"/>
      <c r="AX50" s="198"/>
      <c r="AY50" s="106"/>
      <c r="AZ50" s="1304"/>
      <c r="BB50" s="26"/>
    </row>
    <row r="51" spans="1:54" ht="14" customHeight="1" x14ac:dyDescent="0.35">
      <c r="A51" s="9168"/>
      <c r="B51" s="8483"/>
      <c r="C51" s="8483" t="s">
        <v>5078</v>
      </c>
      <c r="D51" s="197"/>
      <c r="F51" s="1306"/>
      <c r="H51" s="1163"/>
      <c r="I51" s="1358"/>
      <c r="J51" s="64"/>
      <c r="L51" s="1163"/>
      <c r="M51" s="4032"/>
      <c r="O51" s="198"/>
      <c r="P51" s="1358"/>
      <c r="Q51" s="106"/>
      <c r="R51" s="64"/>
      <c r="T51" s="198"/>
      <c r="U51" s="106"/>
      <c r="V51" s="1304"/>
      <c r="X51" s="26"/>
      <c r="Z51" s="198"/>
      <c r="AA51" s="106"/>
      <c r="AB51" s="1304"/>
      <c r="AC51" s="645"/>
      <c r="AD51" s="39"/>
      <c r="AF51" s="198"/>
      <c r="AG51" s="106"/>
      <c r="AH51" s="1358"/>
      <c r="AI51" s="64"/>
      <c r="AJ51" s="645"/>
      <c r="AK51" s="39"/>
      <c r="AM51" s="1163"/>
      <c r="AN51" s="57"/>
      <c r="AO51" s="1304"/>
      <c r="AQ51" s="55"/>
      <c r="AS51" s="1163"/>
      <c r="AT51" s="8455"/>
      <c r="AU51" s="8249"/>
      <c r="AV51" s="64"/>
      <c r="AX51" s="198"/>
      <c r="AY51" s="106"/>
      <c r="AZ51" s="1304"/>
      <c r="BB51" s="26"/>
    </row>
    <row r="52" spans="1:54" x14ac:dyDescent="0.35">
      <c r="A52" s="9168"/>
      <c r="B52" s="8483"/>
      <c r="C52" s="8483"/>
      <c r="D52" s="197"/>
      <c r="F52" s="1306"/>
      <c r="H52" s="1163"/>
      <c r="I52" s="1358"/>
      <c r="J52" s="64"/>
      <c r="L52" s="1163"/>
      <c r="M52" s="4032"/>
      <c r="O52" s="198"/>
      <c r="P52" s="1358"/>
      <c r="Q52" s="106"/>
      <c r="R52" s="64"/>
      <c r="T52" s="198"/>
      <c r="U52" s="106"/>
      <c r="V52" s="1304"/>
      <c r="X52" s="26"/>
      <c r="Z52" s="198"/>
      <c r="AA52" s="106"/>
      <c r="AB52" s="1304"/>
      <c r="AC52" s="645"/>
      <c r="AD52" s="39"/>
      <c r="AF52" s="198"/>
      <c r="AG52" s="106"/>
      <c r="AH52" s="1358"/>
      <c r="AI52" s="64"/>
      <c r="AJ52" s="645"/>
      <c r="AK52" s="39"/>
      <c r="AM52" s="1163"/>
      <c r="AN52" s="57"/>
      <c r="AO52" s="1304"/>
      <c r="AQ52" s="55"/>
      <c r="AS52" s="1163"/>
      <c r="AT52" s="8455"/>
      <c r="AU52" s="8249"/>
      <c r="AV52" s="64"/>
      <c r="AX52" s="198"/>
      <c r="AY52" s="106"/>
      <c r="AZ52" s="1304"/>
      <c r="BB52" s="26"/>
    </row>
    <row r="53" spans="1:54" x14ac:dyDescent="0.35">
      <c r="A53" s="9168"/>
      <c r="B53" s="8483"/>
      <c r="C53" s="8483"/>
      <c r="D53" s="197"/>
      <c r="F53" s="1306"/>
      <c r="H53" s="1163"/>
      <c r="I53" s="1358"/>
      <c r="J53" s="64"/>
      <c r="L53" s="1163"/>
      <c r="M53" s="4032"/>
      <c r="O53" s="198"/>
      <c r="P53" s="1358"/>
      <c r="Q53" s="106"/>
      <c r="R53" s="64"/>
      <c r="T53" s="198"/>
      <c r="U53" s="106"/>
      <c r="V53" s="1304"/>
      <c r="X53" s="26"/>
      <c r="Z53" s="198"/>
      <c r="AA53" s="106"/>
      <c r="AB53" s="1304"/>
      <c r="AC53" s="645"/>
      <c r="AD53" s="39"/>
      <c r="AF53" s="198"/>
      <c r="AG53" s="106"/>
      <c r="AH53" s="1358"/>
      <c r="AI53" s="64"/>
      <c r="AJ53" s="645"/>
      <c r="AK53" s="39"/>
      <c r="AM53" s="1163"/>
      <c r="AN53" s="57"/>
      <c r="AO53" s="1304"/>
      <c r="AQ53" s="55"/>
      <c r="AS53" s="1163"/>
      <c r="AT53" s="8455"/>
      <c r="AU53" s="8249"/>
      <c r="AV53" s="64"/>
      <c r="AX53" s="198"/>
      <c r="AY53" s="106"/>
      <c r="AZ53" s="1304"/>
      <c r="BB53" s="26"/>
    </row>
    <row r="54" spans="1:54" x14ac:dyDescent="0.35">
      <c r="A54" s="9168"/>
      <c r="B54" s="8483"/>
      <c r="C54" s="8484" t="s">
        <v>3405</v>
      </c>
      <c r="D54" s="197"/>
      <c r="F54" s="1306"/>
      <c r="H54" s="1163"/>
      <c r="I54" s="1358"/>
      <c r="J54" s="64"/>
      <c r="L54" s="1163"/>
      <c r="M54" s="4032"/>
      <c r="O54" s="198"/>
      <c r="P54" s="1358"/>
      <c r="Q54" s="106"/>
      <c r="R54" s="64"/>
      <c r="T54" s="198"/>
      <c r="U54" s="106"/>
      <c r="V54" s="1304"/>
      <c r="X54" s="26"/>
      <c r="Z54" s="198"/>
      <c r="AA54" s="106"/>
      <c r="AB54" s="1304"/>
      <c r="AC54" s="645"/>
      <c r="AD54" s="39"/>
      <c r="AF54" s="198"/>
      <c r="AG54" s="106"/>
      <c r="AH54" s="1358"/>
      <c r="AI54" s="64"/>
      <c r="AJ54" s="645"/>
      <c r="AK54" s="39"/>
      <c r="AM54" s="1163"/>
      <c r="AN54" s="57"/>
      <c r="AO54" s="1304"/>
      <c r="AQ54" s="55"/>
      <c r="AS54"/>
      <c r="AT54"/>
      <c r="AU54"/>
      <c r="AV54"/>
      <c r="AW54"/>
      <c r="BB54" s="26"/>
    </row>
    <row r="55" spans="1:54" x14ac:dyDescent="0.35">
      <c r="A55" s="9168"/>
      <c r="B55" s="8483"/>
      <c r="C55" s="8483" t="s">
        <v>5032</v>
      </c>
      <c r="D55" s="197"/>
      <c r="F55" s="1306"/>
      <c r="H55" s="1163"/>
      <c r="I55" s="1358"/>
      <c r="J55" s="64"/>
      <c r="L55" s="1163"/>
      <c r="M55" s="4032"/>
      <c r="O55" s="198"/>
      <c r="P55" s="1358"/>
      <c r="Q55" s="106"/>
      <c r="R55" s="64"/>
      <c r="T55" s="198"/>
      <c r="U55" s="106"/>
      <c r="V55" s="1304"/>
      <c r="X55" s="26"/>
      <c r="Z55" s="198"/>
      <c r="AA55" s="106"/>
      <c r="AB55" s="1304"/>
      <c r="AC55" s="645"/>
      <c r="AD55" s="39"/>
      <c r="AF55" s="198"/>
      <c r="AG55" s="106"/>
      <c r="AH55" s="1358"/>
      <c r="AI55" s="64"/>
      <c r="AJ55" s="645"/>
      <c r="AK55" s="39"/>
      <c r="AM55" s="1163"/>
      <c r="AN55" s="57"/>
      <c r="AO55" s="1304"/>
      <c r="AQ55" s="55"/>
      <c r="AS55" s="4992">
        <v>483.5</v>
      </c>
      <c r="AT55" s="8456">
        <v>507.4</v>
      </c>
      <c r="AU55" s="1686" t="s">
        <v>5079</v>
      </c>
      <c r="AV55" s="64">
        <f>AT55/AS55</f>
        <v>1.0494312306101343</v>
      </c>
      <c r="AX55" s="1163">
        <f>885.1-AX56</f>
        <v>801.80000000000007</v>
      </c>
      <c r="AY55" s="106" t="s">
        <v>5080</v>
      </c>
      <c r="AZ55" s="1304">
        <f>AX55*(AZ24/AX24)</f>
        <v>722.01449792711378</v>
      </c>
      <c r="BB55" s="26"/>
    </row>
    <row r="56" spans="1:54" x14ac:dyDescent="0.35">
      <c r="A56" s="9168"/>
      <c r="B56" s="8483"/>
      <c r="C56" s="8483" t="s">
        <v>1116</v>
      </c>
      <c r="D56" s="197"/>
      <c r="F56" s="1306"/>
      <c r="H56" s="1163"/>
      <c r="I56" s="1358"/>
      <c r="J56" s="64"/>
      <c r="L56" s="1163"/>
      <c r="M56" s="4032"/>
      <c r="O56" s="198"/>
      <c r="P56" s="1358"/>
      <c r="Q56" s="106"/>
      <c r="R56" s="64"/>
      <c r="T56" s="198"/>
      <c r="U56" s="106"/>
      <c r="V56" s="1304"/>
      <c r="X56" s="26"/>
      <c r="Z56" s="198"/>
      <c r="AA56" s="106"/>
      <c r="AB56" s="1304"/>
      <c r="AC56" s="645"/>
      <c r="AD56" s="39"/>
      <c r="AF56" s="198"/>
      <c r="AG56" s="106"/>
      <c r="AH56" s="1358"/>
      <c r="AI56" s="64"/>
      <c r="AJ56" s="645"/>
      <c r="AK56" s="39"/>
      <c r="AM56" s="1163"/>
      <c r="AN56" s="57"/>
      <c r="AO56" s="1304"/>
      <c r="AQ56" s="55"/>
      <c r="AS56" s="4992">
        <v>131.30000000000001</v>
      </c>
      <c r="AT56" s="8456">
        <v>131.30000000000001</v>
      </c>
      <c r="AU56" s="1686" t="s">
        <v>5079</v>
      </c>
      <c r="AV56" s="64">
        <f>AT56/AS56</f>
        <v>1</v>
      </c>
      <c r="AX56" s="1163">
        <v>83.3</v>
      </c>
      <c r="AY56" s="106" t="s">
        <v>5080</v>
      </c>
      <c r="AZ56" s="1304">
        <f>AX56*(AZ26/AX26)</f>
        <v>88.996797926594766</v>
      </c>
      <c r="BB56" s="26"/>
    </row>
    <row r="57" spans="1:54" x14ac:dyDescent="0.35">
      <c r="A57" s="9168"/>
      <c r="B57" s="8483"/>
      <c r="C57" s="8483" t="s">
        <v>5081</v>
      </c>
      <c r="D57" s="197"/>
      <c r="F57" s="1306"/>
      <c r="H57" s="1163"/>
      <c r="I57" s="1358"/>
      <c r="J57" s="64"/>
      <c r="L57" s="1163"/>
      <c r="M57" s="4032"/>
      <c r="O57" s="198"/>
      <c r="P57" s="1358"/>
      <c r="Q57" s="106"/>
      <c r="R57" s="64"/>
      <c r="T57" s="198"/>
      <c r="U57" s="106"/>
      <c r="V57" s="1304"/>
      <c r="X57" s="26"/>
      <c r="Z57" s="198"/>
      <c r="AA57" s="106"/>
      <c r="AB57" s="1304"/>
      <c r="AC57" s="645"/>
      <c r="AD57" s="39"/>
      <c r="AF57" s="198"/>
      <c r="AG57" s="106"/>
      <c r="AH57" s="1358"/>
      <c r="AI57" s="64"/>
      <c r="AJ57" s="645"/>
      <c r="AK57" s="39"/>
      <c r="AM57" s="1163"/>
      <c r="AN57" s="57"/>
      <c r="AO57" s="1304"/>
      <c r="AQ57" s="55"/>
      <c r="AS57" s="4992">
        <v>1572.9</v>
      </c>
      <c r="AT57" s="8456">
        <v>1670.5</v>
      </c>
      <c r="AU57" s="1686" t="s">
        <v>5082</v>
      </c>
      <c r="AV57" s="64">
        <f t="shared" ref="AV57:AV59" si="5">AT57/AS57</f>
        <v>1.0620509886197469</v>
      </c>
      <c r="AX57" s="1163">
        <v>1379.9</v>
      </c>
      <c r="AY57" s="106" t="s">
        <v>5083</v>
      </c>
      <c r="AZ57" s="1304">
        <f>AX57*(AZ30/AX30)</f>
        <v>1407.2403927439238</v>
      </c>
      <c r="BB57" s="26"/>
    </row>
    <row r="58" spans="1:54" x14ac:dyDescent="0.35">
      <c r="A58" s="9168"/>
      <c r="B58" s="1654"/>
      <c r="C58" s="1654" t="s">
        <v>5084</v>
      </c>
      <c r="D58" s="197"/>
      <c r="F58" s="1306"/>
      <c r="H58" s="1163"/>
      <c r="I58" s="1358"/>
      <c r="J58" s="64"/>
      <c r="L58" s="1163"/>
      <c r="M58" s="4032"/>
      <c r="O58" s="198"/>
      <c r="P58" s="1358"/>
      <c r="Q58" s="106"/>
      <c r="R58" s="64"/>
      <c r="T58" s="198"/>
      <c r="U58" s="106"/>
      <c r="V58" s="1304"/>
      <c r="X58" s="26"/>
      <c r="Z58" s="198"/>
      <c r="AA58" s="106"/>
      <c r="AB58" s="1304"/>
      <c r="AC58" s="645"/>
      <c r="AD58" s="39"/>
      <c r="AF58" s="198"/>
      <c r="AG58" s="106"/>
      <c r="AH58" s="1358"/>
      <c r="AI58" s="64"/>
      <c r="AJ58" s="645"/>
      <c r="AK58" s="39"/>
      <c r="AM58" s="1163">
        <v>33</v>
      </c>
      <c r="AN58" s="57"/>
      <c r="AO58" s="1304">
        <f>13.6*2</f>
        <v>27.2</v>
      </c>
      <c r="AQ58" s="55"/>
      <c r="AS58" s="4992">
        <v>33.700000000000003</v>
      </c>
      <c r="AT58" s="8456">
        <v>33.5</v>
      </c>
      <c r="AU58" s="1686" t="s">
        <v>5082</v>
      </c>
      <c r="AV58" s="64">
        <f t="shared" si="5"/>
        <v>0.9940652818991097</v>
      </c>
      <c r="AX58" s="1163">
        <v>40.200000000000003</v>
      </c>
      <c r="AY58" s="106" t="s">
        <v>5083</v>
      </c>
      <c r="AZ58" s="1304">
        <f>AX58*(AZ29/AX29)</f>
        <v>40.837780284868145</v>
      </c>
      <c r="BB58" s="26"/>
    </row>
    <row r="59" spans="1:54" x14ac:dyDescent="0.35">
      <c r="A59" s="9168"/>
      <c r="B59" s="1654"/>
      <c r="C59" s="1654" t="s">
        <v>5085</v>
      </c>
      <c r="D59" s="197"/>
      <c r="F59" s="1306"/>
      <c r="H59" s="1163"/>
      <c r="I59" s="1358"/>
      <c r="J59" s="64"/>
      <c r="L59" s="1163"/>
      <c r="M59" s="4032"/>
      <c r="O59" s="198"/>
      <c r="P59" s="1358"/>
      <c r="Q59" s="106"/>
      <c r="R59" s="64"/>
      <c r="T59" s="198"/>
      <c r="U59" s="106"/>
      <c r="V59" s="1304"/>
      <c r="X59" s="26"/>
      <c r="Z59" s="198"/>
      <c r="AA59" s="106"/>
      <c r="AB59" s="1304"/>
      <c r="AC59" s="645"/>
      <c r="AD59" s="39"/>
      <c r="AF59" s="198"/>
      <c r="AG59" s="106"/>
      <c r="AH59" s="1358"/>
      <c r="AI59" s="64"/>
      <c r="AJ59" s="645"/>
      <c r="AK59" s="39"/>
      <c r="AM59" s="1163">
        <v>31.5</v>
      </c>
      <c r="AN59" s="57"/>
      <c r="AO59" s="1304">
        <f>10.9*2</f>
        <v>21.8</v>
      </c>
      <c r="AQ59" s="55"/>
      <c r="AS59" s="4992">
        <v>4.4000000000000004</v>
      </c>
      <c r="AT59" s="8457">
        <v>4.4000000000000004</v>
      </c>
      <c r="AU59" s="2819" t="s">
        <v>5082</v>
      </c>
      <c r="AV59" s="64">
        <f t="shared" si="5"/>
        <v>1</v>
      </c>
      <c r="AX59" s="1163"/>
      <c r="AY59" s="106"/>
      <c r="AZ59" s="1304"/>
      <c r="BB59" s="26"/>
    </row>
    <row r="60" spans="1:54" x14ac:dyDescent="0.35">
      <c r="A60" s="9168"/>
      <c r="B60" s="1654"/>
      <c r="C60" s="2892"/>
      <c r="D60" s="197"/>
      <c r="F60" s="1306"/>
      <c r="H60" s="1163"/>
      <c r="I60" s="1358"/>
      <c r="J60" s="64"/>
      <c r="L60" s="1163"/>
      <c r="M60" s="4032"/>
      <c r="O60" s="198"/>
      <c r="P60" s="1358"/>
      <c r="Q60" s="106"/>
      <c r="R60" s="64"/>
      <c r="T60" s="198"/>
      <c r="U60" s="106"/>
      <c r="V60" s="1304"/>
      <c r="X60" s="26"/>
      <c r="Z60" s="198"/>
      <c r="AA60" s="106"/>
      <c r="AB60" s="1304"/>
      <c r="AC60" s="645"/>
      <c r="AD60" s="39"/>
      <c r="AF60" s="198"/>
      <c r="AG60" s="106"/>
      <c r="AH60" s="1358"/>
      <c r="AI60" s="64"/>
      <c r="AJ60" s="645"/>
      <c r="AK60" s="39"/>
      <c r="AM60" s="1163">
        <v>4.5</v>
      </c>
      <c r="AN60" s="57"/>
      <c r="AO60" s="1304">
        <f>1.9*2</f>
        <v>3.8</v>
      </c>
      <c r="AQ60" s="55"/>
      <c r="AS60" s="8458"/>
      <c r="AT60" s="8459"/>
      <c r="AU60" s="7782" t="s">
        <v>5086</v>
      </c>
      <c r="AV60" s="64"/>
      <c r="AW60" s="458"/>
      <c r="AX60" s="7401"/>
      <c r="AY60" s="106"/>
      <c r="AZ60" s="4794"/>
      <c r="BB60" s="26"/>
    </row>
    <row r="61" spans="1:54" x14ac:dyDescent="0.35">
      <c r="A61" s="9168"/>
      <c r="B61" s="1654"/>
      <c r="C61" s="2892" t="s">
        <v>5071</v>
      </c>
      <c r="D61" s="197"/>
      <c r="F61" s="1306"/>
      <c r="H61" s="1163"/>
      <c r="I61" s="1358"/>
      <c r="J61" s="64"/>
      <c r="L61" s="1163"/>
      <c r="M61" s="4032"/>
      <c r="O61" s="198"/>
      <c r="P61" s="1358"/>
      <c r="Q61" s="106"/>
      <c r="R61" s="64"/>
      <c r="T61" s="198"/>
      <c r="U61" s="106"/>
      <c r="V61" s="1304"/>
      <c r="X61" s="26"/>
      <c r="Z61" s="198"/>
      <c r="AA61" s="106"/>
      <c r="AB61" s="1304"/>
      <c r="AC61" s="645"/>
      <c r="AD61" s="39"/>
      <c r="AF61" s="198"/>
      <c r="AG61" s="106"/>
      <c r="AH61" s="1358"/>
      <c r="AI61" s="64"/>
      <c r="AJ61" s="645"/>
      <c r="AK61" s="39"/>
      <c r="AM61" s="7381">
        <v>616.20000000000005</v>
      </c>
      <c r="AN61" s="6841" t="s">
        <v>5087</v>
      </c>
      <c r="AO61" s="7382">
        <f>235*2</f>
        <v>470</v>
      </c>
      <c r="AQ61" s="55"/>
      <c r="AS61" s="4075">
        <f>AT61</f>
        <v>391.57</v>
      </c>
      <c r="AT61" s="8455">
        <f>391.5+0.07</f>
        <v>391.57</v>
      </c>
      <c r="AU61" s="7782" t="s">
        <v>1345</v>
      </c>
      <c r="AV61" s="1171"/>
      <c r="AW61" s="458"/>
      <c r="AX61" s="4075">
        <f>AZ61</f>
        <v>307</v>
      </c>
      <c r="AY61" s="259"/>
      <c r="AZ61" s="4794">
        <f>153.5*2</f>
        <v>307</v>
      </c>
      <c r="BB61" s="26"/>
    </row>
    <row r="62" spans="1:54" x14ac:dyDescent="0.35">
      <c r="A62" s="9168"/>
      <c r="B62" s="141" t="s">
        <v>531</v>
      </c>
      <c r="C62"/>
      <c r="D62" s="197"/>
      <c r="E62" s="143"/>
      <c r="F62" s="4795"/>
      <c r="G62" s="143"/>
      <c r="H62" s="1361"/>
      <c r="I62" s="645"/>
      <c r="J62" s="246"/>
      <c r="K62" s="143"/>
      <c r="L62" s="245"/>
      <c r="M62" s="247"/>
      <c r="N62" s="143"/>
      <c r="O62" s="245"/>
      <c r="P62" s="106"/>
      <c r="Q62" s="106"/>
      <c r="R62" s="246"/>
      <c r="S62" s="143"/>
      <c r="T62" s="245"/>
      <c r="U62" s="106"/>
      <c r="V62" s="66"/>
      <c r="W62" s="143"/>
      <c r="X62" s="18"/>
      <c r="Z62" s="245"/>
      <c r="AA62" s="106"/>
      <c r="AB62" s="66"/>
      <c r="AC62" s="106"/>
      <c r="AD62" s="39"/>
      <c r="AF62" s="245"/>
      <c r="AG62" s="106"/>
      <c r="AH62" s="106"/>
      <c r="AI62" s="246"/>
      <c r="AJ62" s="106"/>
      <c r="AK62" s="39"/>
      <c r="AM62" s="245"/>
      <c r="AN62" s="106"/>
      <c r="AO62" s="66"/>
      <c r="AQ62" s="26"/>
      <c r="AS62" s="245"/>
      <c r="AT62" s="106"/>
      <c r="AU62" s="106"/>
      <c r="AV62" s="246"/>
      <c r="AW62" s="143"/>
      <c r="AX62" s="245"/>
      <c r="AY62" s="106"/>
      <c r="AZ62" s="66"/>
      <c r="BA62" s="143"/>
      <c r="BB62" s="18"/>
    </row>
    <row r="63" spans="1:54" x14ac:dyDescent="0.35">
      <c r="A63" s="9168"/>
      <c r="B63" s="240"/>
      <c r="C63" s="240" t="s">
        <v>532</v>
      </c>
      <c r="D63" s="197"/>
      <c r="F63" s="1301"/>
      <c r="H63" s="593"/>
      <c r="I63" s="636"/>
      <c r="J63" s="64">
        <f>IF(H63=0,0,I63/H63)</f>
        <v>0</v>
      </c>
      <c r="L63" s="112"/>
      <c r="M63" s="611">
        <f>L63*J63</f>
        <v>0</v>
      </c>
      <c r="O63" s="248"/>
      <c r="P63" s="233"/>
      <c r="Q63" s="106"/>
      <c r="R63" s="64"/>
      <c r="T63" s="112"/>
      <c r="U63" s="106"/>
      <c r="V63" s="1034"/>
      <c r="X63" s="26"/>
      <c r="Z63" s="112"/>
      <c r="AA63" s="106"/>
      <c r="AB63" s="1034"/>
      <c r="AC63" s="106"/>
      <c r="AD63" s="39"/>
      <c r="AF63" s="112"/>
      <c r="AG63" s="106"/>
      <c r="AH63" s="1033"/>
      <c r="AI63" s="64"/>
      <c r="AJ63" s="106"/>
      <c r="AK63" s="39"/>
      <c r="AM63" s="112"/>
      <c r="AN63" s="106"/>
      <c r="AO63" s="1034"/>
      <c r="AQ63" s="26"/>
      <c r="AS63" s="248"/>
      <c r="AT63" s="233"/>
      <c r="AU63" s="106"/>
      <c r="AV63" s="64"/>
      <c r="AX63" s="112"/>
      <c r="AY63" s="106"/>
      <c r="AZ63" s="1034"/>
      <c r="BB63" s="26"/>
    </row>
    <row r="64" spans="1:54" x14ac:dyDescent="0.35">
      <c r="A64" s="9168"/>
      <c r="B64" s="240"/>
      <c r="C64" s="240" t="s">
        <v>533</v>
      </c>
      <c r="D64" s="197"/>
      <c r="F64" s="3933"/>
      <c r="H64" s="595"/>
      <c r="I64" s="594"/>
      <c r="J64" s="64">
        <f>IF(H64=0,0,I64/H64)</f>
        <v>0</v>
      </c>
      <c r="L64" s="117"/>
      <c r="M64" s="611">
        <f>L64*J64</f>
        <v>0</v>
      </c>
      <c r="O64" s="200"/>
      <c r="P64" s="201"/>
      <c r="Q64" s="106"/>
      <c r="R64" s="64">
        <f>IF(O64=0,0,P64/O64)</f>
        <v>0</v>
      </c>
      <c r="T64" s="117"/>
      <c r="U64" s="106"/>
      <c r="V64" s="273"/>
      <c r="X64" s="26"/>
      <c r="Z64" s="117"/>
      <c r="AA64" s="106"/>
      <c r="AB64" s="273"/>
      <c r="AC64" s="106"/>
      <c r="AD64" s="39"/>
      <c r="AF64" s="117"/>
      <c r="AG64" s="106"/>
      <c r="AH64" s="204"/>
      <c r="AI64" s="64"/>
      <c r="AJ64" s="106"/>
      <c r="AK64" s="39"/>
      <c r="AM64" s="117"/>
      <c r="AN64" s="106"/>
      <c r="AO64" s="273"/>
      <c r="AQ64" s="26"/>
      <c r="AS64" s="200"/>
      <c r="AT64" s="201"/>
      <c r="AU64" s="106"/>
      <c r="AV64" s="64">
        <f>IF(AS64=0,0,AT64/AS64)</f>
        <v>0</v>
      </c>
      <c r="AX64" s="117"/>
      <c r="AY64" s="106"/>
      <c r="AZ64" s="273"/>
      <c r="BB64" s="26"/>
    </row>
    <row r="65" spans="1:54" x14ac:dyDescent="0.35">
      <c r="A65" s="9168"/>
      <c r="B65" s="250"/>
      <c r="C65" s="250" t="s">
        <v>534</v>
      </c>
      <c r="D65" s="209"/>
      <c r="F65" s="1312"/>
      <c r="H65" s="1172"/>
      <c r="I65" s="644"/>
      <c r="J65" s="64">
        <f>IF(H65=0,0,I65/H65)</f>
        <v>0</v>
      </c>
      <c r="L65" s="131"/>
      <c r="M65" s="1345">
        <f>L65*J65</f>
        <v>0</v>
      </c>
      <c r="O65" s="164"/>
      <c r="P65" s="215"/>
      <c r="Q65" s="216"/>
      <c r="R65" s="64">
        <f>IF(O65=0,0,P65/O65)</f>
        <v>0</v>
      </c>
      <c r="T65" s="131"/>
      <c r="U65" s="216"/>
      <c r="V65" s="658"/>
      <c r="X65" s="24"/>
      <c r="Z65" s="131"/>
      <c r="AA65" s="216"/>
      <c r="AB65" s="658"/>
      <c r="AC65" s="106"/>
      <c r="AD65" s="39"/>
      <c r="AF65" s="131"/>
      <c r="AG65" s="216"/>
      <c r="AH65" s="135"/>
      <c r="AI65" s="64"/>
      <c r="AJ65" s="106"/>
      <c r="AK65" s="39"/>
      <c r="AM65" s="131"/>
      <c r="AN65" s="216"/>
      <c r="AO65" s="658"/>
      <c r="AQ65" s="24"/>
      <c r="AS65" s="164"/>
      <c r="AT65" s="215"/>
      <c r="AU65" s="216"/>
      <c r="AV65" s="64">
        <f>IF(AS65=0,0,AT65/AS65)</f>
        <v>0</v>
      </c>
      <c r="AX65" s="131"/>
      <c r="AY65" s="216"/>
      <c r="AZ65" s="658"/>
      <c r="BB65" s="24"/>
    </row>
    <row r="66" spans="1:54" x14ac:dyDescent="0.35">
      <c r="A66" s="9168"/>
      <c r="B66" s="141" t="s">
        <v>535</v>
      </c>
      <c r="C66" s="141"/>
      <c r="D66" s="197"/>
      <c r="E66" s="143"/>
      <c r="F66" s="4807"/>
      <c r="G66" s="143"/>
      <c r="H66" s="1375"/>
      <c r="I66" s="653"/>
      <c r="J66" s="252"/>
      <c r="K66" s="143"/>
      <c r="L66" s="245"/>
      <c r="M66" s="247"/>
      <c r="N66" s="143"/>
      <c r="O66" s="230"/>
      <c r="P66" s="103"/>
      <c r="Q66" s="57"/>
      <c r="R66" s="252"/>
      <c r="S66" s="143"/>
      <c r="T66" s="230"/>
      <c r="U66" s="57"/>
      <c r="V66" s="105"/>
      <c r="W66" s="143"/>
      <c r="X66" s="26"/>
      <c r="Z66" s="230"/>
      <c r="AA66" s="57"/>
      <c r="AB66" s="105"/>
      <c r="AC66" s="168"/>
      <c r="AD66" s="39"/>
      <c r="AF66" s="230"/>
      <c r="AG66" s="57"/>
      <c r="AH66" s="103"/>
      <c r="AI66" s="252"/>
      <c r="AJ66" s="168"/>
      <c r="AK66" s="39"/>
      <c r="AM66" s="230"/>
      <c r="AN66" s="57" t="s">
        <v>5058</v>
      </c>
      <c r="AO66" s="105"/>
      <c r="AQ66" s="18"/>
      <c r="AS66" s="230"/>
      <c r="AT66" s="103"/>
      <c r="AU66" s="57"/>
      <c r="AV66" s="252"/>
      <c r="AW66" s="143"/>
      <c r="AX66" s="230"/>
      <c r="AY66" s="57"/>
      <c r="AZ66" s="8453" t="s">
        <v>5088</v>
      </c>
      <c r="BA66" s="143"/>
      <c r="BB66" s="26"/>
    </row>
    <row r="67" spans="1:54" x14ac:dyDescent="0.35">
      <c r="A67" s="9168"/>
      <c r="B67" s="240"/>
      <c r="C67" s="240" t="s">
        <v>5089</v>
      </c>
      <c r="D67" s="197"/>
      <c r="F67" s="1301">
        <v>6.1115279999999998</v>
      </c>
      <c r="H67" s="593">
        <f>4.2+2.6</f>
        <v>6.8000000000000007</v>
      </c>
      <c r="I67" s="636">
        <f>4.3+2.5</f>
        <v>6.8</v>
      </c>
      <c r="J67" s="64">
        <f t="shared" ref="J67:J74" si="6">IF(H67=0,0,I67/H67)</f>
        <v>0.99999999999999989</v>
      </c>
      <c r="L67" s="593">
        <v>6.85</v>
      </c>
      <c r="M67" s="4032">
        <v>7.41</v>
      </c>
      <c r="O67" s="1163">
        <v>6.85</v>
      </c>
      <c r="P67" s="1164">
        <v>7.41</v>
      </c>
      <c r="Q67" s="57" t="s">
        <v>5090</v>
      </c>
      <c r="R67" s="64">
        <f>P67/O67</f>
        <v>1.0817518248175184</v>
      </c>
      <c r="S67" s="143"/>
      <c r="T67" s="1163">
        <v>9.1259999999999994</v>
      </c>
      <c r="U67" s="57" t="s">
        <v>5090</v>
      </c>
      <c r="V67" s="3976">
        <v>9.7739999999999991</v>
      </c>
      <c r="X67" s="257"/>
      <c r="Z67" s="1163">
        <v>5.6</v>
      </c>
      <c r="AA67" s="57" t="s">
        <v>5091</v>
      </c>
      <c r="AB67" s="3976">
        <v>5.3</v>
      </c>
      <c r="AC67" s="4808"/>
      <c r="AD67" s="39"/>
      <c r="AF67" s="1163">
        <v>6</v>
      </c>
      <c r="AG67" s="57" t="s">
        <v>5091</v>
      </c>
      <c r="AH67" s="1164">
        <v>7.9</v>
      </c>
      <c r="AI67" s="64">
        <f t="shared" ref="AI67:AI70" si="7">AH67/AF67</f>
        <v>1.3166666666666667</v>
      </c>
      <c r="AJ67" s="4808"/>
      <c r="AK67" s="39"/>
      <c r="AM67" s="7383">
        <v>8</v>
      </c>
      <c r="AN67" s="2669"/>
      <c r="AO67" s="7384">
        <f>3.2*2</f>
        <v>6.4</v>
      </c>
      <c r="AQ67" s="26"/>
      <c r="AS67" s="595">
        <v>9</v>
      </c>
      <c r="AT67" s="643">
        <v>7.7</v>
      </c>
      <c r="AU67" s="57" t="s">
        <v>5092</v>
      </c>
      <c r="AV67" s="64">
        <f>AT67/AS67</f>
        <v>0.85555555555555562</v>
      </c>
      <c r="AW67" s="143"/>
      <c r="AX67" s="7383">
        <v>8.1999999999999993</v>
      </c>
      <c r="AY67" s="57" t="s">
        <v>5093</v>
      </c>
      <c r="AZ67" s="3976">
        <f>AX67*AV67</f>
        <v>7.0155555555555553</v>
      </c>
      <c r="BB67" s="257"/>
    </row>
    <row r="68" spans="1:54" x14ac:dyDescent="0.35">
      <c r="A68" s="9168"/>
      <c r="B68" s="240"/>
      <c r="C68" s="240" t="s">
        <v>5094</v>
      </c>
      <c r="D68" s="197"/>
      <c r="F68" s="1301"/>
      <c r="H68" s="593"/>
      <c r="I68" s="636"/>
      <c r="J68" s="64"/>
      <c r="L68" s="593"/>
      <c r="M68" s="4032"/>
      <c r="O68" s="1163"/>
      <c r="P68" s="1164"/>
      <c r="Q68" s="57"/>
      <c r="R68" s="64"/>
      <c r="S68" s="143"/>
      <c r="T68" s="1163"/>
      <c r="U68" s="57"/>
      <c r="V68" s="3976"/>
      <c r="X68" s="257"/>
      <c r="Z68" s="1163"/>
      <c r="AA68" s="57"/>
      <c r="AB68" s="3976"/>
      <c r="AC68" s="4808"/>
      <c r="AD68" s="39"/>
      <c r="AF68" s="1163"/>
      <c r="AG68" s="57"/>
      <c r="AH68" s="1164"/>
      <c r="AI68" s="64"/>
      <c r="AJ68" s="4808"/>
      <c r="AK68" s="39"/>
      <c r="AM68" s="7383"/>
      <c r="AN68" s="2669"/>
      <c r="AO68" s="7384"/>
      <c r="AQ68" s="26"/>
      <c r="AS68" s="595">
        <v>1</v>
      </c>
      <c r="AT68" s="643">
        <v>1</v>
      </c>
      <c r="AU68" s="57" t="s">
        <v>5092</v>
      </c>
      <c r="AV68" s="64">
        <f t="shared" ref="AV68:AV72" si="8">AT68/AS68</f>
        <v>1</v>
      </c>
      <c r="AW68" s="143"/>
      <c r="AX68" s="7383">
        <v>2</v>
      </c>
      <c r="AY68" s="57" t="s">
        <v>5093</v>
      </c>
      <c r="AZ68" s="3976">
        <f t="shared" ref="AZ68:AZ72" si="9">AX68*AV68</f>
        <v>2</v>
      </c>
      <c r="BB68" s="257"/>
    </row>
    <row r="69" spans="1:54" x14ac:dyDescent="0.35">
      <c r="A69" s="9168"/>
      <c r="B69" s="240"/>
      <c r="C69" s="240" t="s">
        <v>5095</v>
      </c>
      <c r="D69" s="197"/>
      <c r="F69" s="3933">
        <v>3.4474719999999999</v>
      </c>
      <c r="H69" s="595">
        <f>1.5+0.6</f>
        <v>2.1</v>
      </c>
      <c r="I69" s="594">
        <f>2.2+0.6</f>
        <v>2.8000000000000003</v>
      </c>
      <c r="J69" s="64">
        <f t="shared" si="6"/>
        <v>1.3333333333333335</v>
      </c>
      <c r="L69" s="595">
        <v>4.3600000000000003</v>
      </c>
      <c r="M69" s="4032">
        <v>1.92</v>
      </c>
      <c r="O69" s="595">
        <v>4.3600000000000003</v>
      </c>
      <c r="P69" s="642">
        <v>1.92</v>
      </c>
      <c r="Q69" s="57"/>
      <c r="R69" s="64">
        <f>P69/O69</f>
        <v>0.44036697247706419</v>
      </c>
      <c r="T69" s="593">
        <v>2.5209999999999999</v>
      </c>
      <c r="U69" s="57" t="s">
        <v>5096</v>
      </c>
      <c r="V69" s="3977">
        <v>0.86</v>
      </c>
      <c r="X69" s="26"/>
      <c r="Z69" s="593">
        <v>0</v>
      </c>
      <c r="AA69" s="57" t="s">
        <v>5097</v>
      </c>
      <c r="AB69" s="3977">
        <v>1.2</v>
      </c>
      <c r="AC69" s="4808"/>
      <c r="AD69" s="39"/>
      <c r="AF69" s="593">
        <v>0</v>
      </c>
      <c r="AG69" s="57" t="s">
        <v>5097</v>
      </c>
      <c r="AH69" s="8460">
        <v>1.4</v>
      </c>
      <c r="AI69" s="64"/>
      <c r="AJ69" s="4808"/>
      <c r="AK69" s="39"/>
      <c r="AM69" s="7385">
        <v>0</v>
      </c>
      <c r="AN69" s="2669"/>
      <c r="AO69" s="7386">
        <f>0.7*2</f>
        <v>1.4</v>
      </c>
      <c r="AQ69" s="26"/>
      <c r="AS69" s="595">
        <v>0</v>
      </c>
      <c r="AT69" s="643">
        <v>1.4</v>
      </c>
      <c r="AU69" s="57" t="s">
        <v>1069</v>
      </c>
      <c r="AV69" s="64" t="e">
        <f t="shared" si="8"/>
        <v>#DIV/0!</v>
      </c>
      <c r="AX69" s="7385">
        <v>0</v>
      </c>
      <c r="AY69" s="57" t="s">
        <v>5098</v>
      </c>
      <c r="AZ69" s="3976">
        <f>AT69</f>
        <v>1.4</v>
      </c>
      <c r="BB69" s="26"/>
    </row>
    <row r="70" spans="1:54" x14ac:dyDescent="0.35">
      <c r="A70" s="9168"/>
      <c r="B70" s="240"/>
      <c r="C70" s="240" t="s">
        <v>5099</v>
      </c>
      <c r="D70" s="197"/>
      <c r="F70" s="3933">
        <v>2.1844999999999999</v>
      </c>
      <c r="H70" s="595">
        <f>1.2+1.3</f>
        <v>2.5</v>
      </c>
      <c r="I70" s="594">
        <f>1.2+1.3</f>
        <v>2.5</v>
      </c>
      <c r="J70" s="64">
        <f t="shared" si="6"/>
        <v>1</v>
      </c>
      <c r="L70" s="595">
        <v>11.19</v>
      </c>
      <c r="M70" s="4032">
        <v>10.15</v>
      </c>
      <c r="O70" s="595">
        <v>3.57</v>
      </c>
      <c r="P70" s="643">
        <v>3.15</v>
      </c>
      <c r="Q70" s="57"/>
      <c r="R70" s="64">
        <f>P70/O70</f>
        <v>0.88235294117647056</v>
      </c>
      <c r="T70" s="593">
        <v>4.8360000000000003</v>
      </c>
      <c r="U70" s="57" t="s">
        <v>4211</v>
      </c>
      <c r="V70" s="3978">
        <f>4.632</f>
        <v>4.6319999999999997</v>
      </c>
      <c r="X70" s="26"/>
      <c r="Z70" s="593">
        <v>2.5</v>
      </c>
      <c r="AA70" s="57" t="s">
        <v>5100</v>
      </c>
      <c r="AB70" s="3978">
        <v>2.2999999999999998</v>
      </c>
      <c r="AC70" s="4808"/>
      <c r="AD70" s="39"/>
      <c r="AF70" s="593">
        <v>2.4</v>
      </c>
      <c r="AG70" s="57" t="s">
        <v>5100</v>
      </c>
      <c r="AH70" s="8461">
        <v>3.4</v>
      </c>
      <c r="AI70" s="64">
        <f t="shared" si="7"/>
        <v>1.4166666666666667</v>
      </c>
      <c r="AJ70" s="4808"/>
      <c r="AK70" s="39"/>
      <c r="AM70" s="7385">
        <v>5.4</v>
      </c>
      <c r="AN70" s="2669"/>
      <c r="AO70" s="7387">
        <f>1.4*2</f>
        <v>2.8</v>
      </c>
      <c r="AQ70" s="26"/>
      <c r="AS70" s="595">
        <v>3.3</v>
      </c>
      <c r="AT70" s="643">
        <v>2.7</v>
      </c>
      <c r="AU70" s="57" t="s">
        <v>5101</v>
      </c>
      <c r="AV70" s="64">
        <f t="shared" si="8"/>
        <v>0.81818181818181823</v>
      </c>
      <c r="AX70" s="7385">
        <v>3.8</v>
      </c>
      <c r="AY70" s="57" t="s">
        <v>2727</v>
      </c>
      <c r="AZ70" s="3976">
        <f t="shared" si="9"/>
        <v>3.1090909090909093</v>
      </c>
      <c r="BB70" s="26"/>
    </row>
    <row r="71" spans="1:54" x14ac:dyDescent="0.35">
      <c r="A71" s="9168"/>
      <c r="B71" s="240"/>
      <c r="C71" s="639" t="s">
        <v>5102</v>
      </c>
      <c r="D71" s="197"/>
      <c r="F71" s="3933"/>
      <c r="H71" s="595"/>
      <c r="I71" s="594"/>
      <c r="J71" s="64">
        <f t="shared" si="6"/>
        <v>0</v>
      </c>
      <c r="L71" s="595"/>
      <c r="M71" s="4032"/>
      <c r="O71" s="595">
        <v>7.62</v>
      </c>
      <c r="P71" s="642">
        <v>7</v>
      </c>
      <c r="Q71" s="57"/>
      <c r="R71" s="64">
        <f>P71/O71</f>
        <v>0.9186351706036745</v>
      </c>
      <c r="T71" s="1170"/>
      <c r="U71" s="645"/>
      <c r="V71" s="3977"/>
      <c r="X71" s="26"/>
      <c r="Z71" s="1170"/>
      <c r="AA71" s="645"/>
      <c r="AB71" s="3977"/>
      <c r="AC71" s="4808"/>
      <c r="AD71" s="39"/>
      <c r="AF71" s="1170"/>
      <c r="AG71" s="645"/>
      <c r="AH71" s="8460"/>
      <c r="AI71" s="64"/>
      <c r="AJ71" s="4808"/>
      <c r="AK71" s="39"/>
      <c r="AM71" s="7385"/>
      <c r="AN71" s="7388"/>
      <c r="AO71" s="7386"/>
      <c r="AQ71" s="26"/>
      <c r="AS71" s="595">
        <v>0.4</v>
      </c>
      <c r="AT71" s="642">
        <v>0.4</v>
      </c>
      <c r="AU71" s="57"/>
      <c r="AV71" s="64">
        <f t="shared" si="8"/>
        <v>1</v>
      </c>
      <c r="AX71" s="7385">
        <v>1</v>
      </c>
      <c r="AY71" s="57" t="s">
        <v>2727</v>
      </c>
      <c r="AZ71" s="3976">
        <f t="shared" si="9"/>
        <v>1</v>
      </c>
      <c r="BB71" s="26"/>
    </row>
    <row r="72" spans="1:54" ht="15.25" customHeight="1" x14ac:dyDescent="0.35">
      <c r="A72" s="9168"/>
      <c r="B72" s="240"/>
      <c r="C72" s="240" t="s">
        <v>5103</v>
      </c>
      <c r="D72" s="197"/>
      <c r="F72" s="3933"/>
      <c r="H72" s="595"/>
      <c r="I72" s="594"/>
      <c r="J72" s="64">
        <f t="shared" si="6"/>
        <v>0</v>
      </c>
      <c r="L72" s="595"/>
      <c r="M72" s="4032"/>
      <c r="O72" s="595"/>
      <c r="P72" s="643"/>
      <c r="Q72" s="57"/>
      <c r="R72" s="1171"/>
      <c r="T72" s="1170"/>
      <c r="U72" s="645"/>
      <c r="V72" s="3978"/>
      <c r="X72" s="26"/>
      <c r="Z72" s="1170"/>
      <c r="AA72" s="645"/>
      <c r="AB72" s="3978"/>
      <c r="AC72" s="4808"/>
      <c r="AD72" s="39"/>
      <c r="AF72" s="1170"/>
      <c r="AG72" s="645"/>
      <c r="AH72" s="8461"/>
      <c r="AI72" s="1171"/>
      <c r="AJ72" s="4808"/>
      <c r="AK72" s="39"/>
      <c r="AM72" s="7385">
        <v>2.5</v>
      </c>
      <c r="AN72" s="7388"/>
      <c r="AO72" s="7387">
        <f>0.9*2</f>
        <v>1.8</v>
      </c>
      <c r="AQ72" s="26"/>
      <c r="AS72" s="595">
        <v>2.7</v>
      </c>
      <c r="AT72" s="643">
        <v>1.7</v>
      </c>
      <c r="AU72" s="57" t="s">
        <v>3326</v>
      </c>
      <c r="AV72" s="64">
        <f t="shared" si="8"/>
        <v>0.62962962962962954</v>
      </c>
      <c r="AX72" s="7385">
        <v>3.2</v>
      </c>
      <c r="AY72" s="57" t="s">
        <v>5104</v>
      </c>
      <c r="AZ72" s="3976">
        <f t="shared" si="9"/>
        <v>2.0148148148148146</v>
      </c>
      <c r="BB72" s="26"/>
    </row>
    <row r="73" spans="1:54" x14ac:dyDescent="0.35">
      <c r="A73" s="9168"/>
      <c r="B73" s="240"/>
      <c r="C73" s="240" t="s">
        <v>538</v>
      </c>
      <c r="D73" s="197"/>
      <c r="F73" s="3933"/>
      <c r="H73" s="595"/>
      <c r="I73" s="594"/>
      <c r="J73" s="64">
        <f t="shared" si="6"/>
        <v>0</v>
      </c>
      <c r="L73" s="595"/>
      <c r="M73" s="4032"/>
      <c r="O73" s="1172"/>
      <c r="P73" s="1174"/>
      <c r="Q73" s="57"/>
      <c r="R73" s="64"/>
      <c r="T73" s="1176"/>
      <c r="U73" s="1175"/>
      <c r="V73" s="3979"/>
      <c r="X73" s="26"/>
      <c r="Z73" s="1176"/>
      <c r="AA73" s="1175"/>
      <c r="AB73" s="3979"/>
      <c r="AC73" s="4808"/>
      <c r="AD73" s="39"/>
      <c r="AF73" s="1176"/>
      <c r="AG73" s="1175"/>
      <c r="AH73" s="8462"/>
      <c r="AI73" s="64"/>
      <c r="AJ73" s="4808"/>
      <c r="AK73" s="39"/>
      <c r="AM73" s="1176"/>
      <c r="AN73" s="1175"/>
      <c r="AO73" s="3979"/>
      <c r="AQ73" s="26"/>
      <c r="AS73" s="1172"/>
      <c r="AT73" s="1174"/>
      <c r="AU73" s="57"/>
      <c r="AV73" s="64"/>
      <c r="AX73" s="1176"/>
      <c r="AY73" s="1175"/>
      <c r="AZ73" s="3979"/>
      <c r="BB73" s="26"/>
    </row>
    <row r="74" spans="1:54" x14ac:dyDescent="0.35">
      <c r="A74" s="9168"/>
      <c r="B74" s="241"/>
      <c r="C74" s="241" t="s">
        <v>539</v>
      </c>
      <c r="D74" s="209"/>
      <c r="F74" s="1312"/>
      <c r="H74" s="602"/>
      <c r="I74" s="603"/>
      <c r="J74" s="133">
        <f t="shared" si="6"/>
        <v>0</v>
      </c>
      <c r="L74" s="1172"/>
      <c r="M74" s="4032"/>
      <c r="O74" s="602"/>
      <c r="P74" s="603"/>
      <c r="Q74" s="216"/>
      <c r="R74" s="133"/>
      <c r="T74" s="1179"/>
      <c r="U74" s="1178"/>
      <c r="V74" s="3980"/>
      <c r="X74" s="26"/>
      <c r="Z74" s="1179"/>
      <c r="AA74" s="1178"/>
      <c r="AB74" s="3980"/>
      <c r="AC74" s="4808"/>
      <c r="AD74" s="39"/>
      <c r="AF74" s="1179"/>
      <c r="AG74" s="1178"/>
      <c r="AH74" s="8463"/>
      <c r="AI74" s="133"/>
      <c r="AJ74" s="4808"/>
      <c r="AK74" s="39"/>
      <c r="AM74" s="1179"/>
      <c r="AN74" s="1178"/>
      <c r="AO74" s="3980"/>
      <c r="AQ74" s="24"/>
      <c r="AS74" s="602"/>
      <c r="AT74" s="603"/>
      <c r="AU74" s="216"/>
      <c r="AV74" s="133"/>
      <c r="AX74" s="1179"/>
      <c r="AY74" s="1178"/>
      <c r="AZ74" s="3980"/>
      <c r="BB74" s="26"/>
    </row>
    <row r="75" spans="1:54" x14ac:dyDescent="0.35">
      <c r="A75" s="9168"/>
      <c r="B75" s="271" t="s">
        <v>540</v>
      </c>
      <c r="C75" s="271"/>
      <c r="D75" s="184"/>
      <c r="E75" s="141"/>
      <c r="F75" s="4807"/>
      <c r="G75" s="141"/>
      <c r="H75" s="1361"/>
      <c r="I75" s="645"/>
      <c r="J75" s="267"/>
      <c r="K75" s="141"/>
      <c r="L75" s="102"/>
      <c r="M75" s="268"/>
      <c r="N75" s="141"/>
      <c r="O75" s="245"/>
      <c r="P75" s="106"/>
      <c r="Q75" s="106"/>
      <c r="R75" s="267"/>
      <c r="S75" s="141"/>
      <c r="T75" s="102"/>
      <c r="U75" s="106"/>
      <c r="V75" s="66"/>
      <c r="W75" s="141"/>
      <c r="X75" s="18"/>
      <c r="Z75" s="102"/>
      <c r="AA75" s="106"/>
      <c r="AB75" s="66"/>
      <c r="AC75" s="66"/>
      <c r="AD75" s="39"/>
      <c r="AF75" s="102"/>
      <c r="AG75" s="106"/>
      <c r="AH75" s="106"/>
      <c r="AI75" s="267"/>
      <c r="AJ75" s="66"/>
      <c r="AK75" s="39"/>
      <c r="AM75" s="102"/>
      <c r="AN75" s="106"/>
      <c r="AO75" s="66"/>
      <c r="AQ75" s="18"/>
      <c r="AS75" s="245"/>
      <c r="AT75" s="106"/>
      <c r="AU75" s="106"/>
      <c r="AV75" s="267"/>
      <c r="AW75" s="141"/>
      <c r="AX75" s="102"/>
      <c r="AY75" s="106"/>
      <c r="AZ75" s="66"/>
      <c r="BA75" s="141"/>
      <c r="BB75" s="18"/>
    </row>
    <row r="76" spans="1:54" x14ac:dyDescent="0.35">
      <c r="A76" s="9168"/>
      <c r="B76" s="240"/>
      <c r="C76" s="240" t="s">
        <v>5105</v>
      </c>
      <c r="D76" s="197"/>
      <c r="F76" s="1301">
        <f>4.158538+93.692316+1.746031+1.1031</f>
        <v>100.699985</v>
      </c>
      <c r="H76" s="593"/>
      <c r="I76" s="636"/>
      <c r="J76" s="64">
        <f t="shared" ref="J76:J83" si="10">IF(H76=0,0,I76/H76)</f>
        <v>0</v>
      </c>
      <c r="L76" s="112"/>
      <c r="M76" s="611"/>
      <c r="O76" s="112"/>
      <c r="P76" s="233"/>
      <c r="Q76" s="106"/>
      <c r="R76" s="64">
        <f t="shared" ref="R76:R83" si="11">IF(O76=0,0,P76/O76)</f>
        <v>0</v>
      </c>
      <c r="T76" s="112"/>
      <c r="U76" s="106"/>
      <c r="V76" s="1034"/>
      <c r="X76" s="26"/>
      <c r="Z76" s="112"/>
      <c r="AA76" s="106"/>
      <c r="AB76" s="1034"/>
      <c r="AC76" s="66"/>
      <c r="AD76" s="39"/>
      <c r="AF76" s="112"/>
      <c r="AG76" s="106"/>
      <c r="AH76" s="1033"/>
      <c r="AI76" s="64">
        <f t="shared" ref="AI76:AI83" si="12">IF(AF76=0,0,AG76/AF76)</f>
        <v>0</v>
      </c>
      <c r="AJ76" s="66"/>
      <c r="AK76" s="39"/>
      <c r="AM76" s="112"/>
      <c r="AN76" s="106"/>
      <c r="AO76" s="1034"/>
      <c r="AQ76" s="26"/>
      <c r="AS76" s="112"/>
      <c r="AT76" s="233"/>
      <c r="AU76" s="106"/>
      <c r="AV76" s="64">
        <f t="shared" ref="AV76:AV83" si="13">IF(AS76=0,0,AT76/AS76)</f>
        <v>0</v>
      </c>
      <c r="AX76" s="112"/>
      <c r="AY76" s="106"/>
      <c r="AZ76" s="1034"/>
      <c r="BB76" s="26"/>
    </row>
    <row r="77" spans="1:54" x14ac:dyDescent="0.35">
      <c r="A77" s="9168"/>
      <c r="B77" s="240"/>
      <c r="C77" s="240" t="s">
        <v>5106</v>
      </c>
      <c r="D77" s="197"/>
      <c r="F77" s="3933"/>
      <c r="H77" s="595"/>
      <c r="I77" s="594"/>
      <c r="J77" s="64">
        <f t="shared" si="10"/>
        <v>0</v>
      </c>
      <c r="L77" s="117"/>
      <c r="M77" s="611"/>
      <c r="O77" s="112"/>
      <c r="P77" s="201"/>
      <c r="Q77" s="106"/>
      <c r="R77" s="64">
        <f t="shared" si="11"/>
        <v>0</v>
      </c>
      <c r="T77" s="117"/>
      <c r="U77" s="106"/>
      <c r="V77" s="273"/>
      <c r="X77" s="26"/>
      <c r="Z77" s="117"/>
      <c r="AA77" s="106"/>
      <c r="AB77" s="273"/>
      <c r="AC77" s="66"/>
      <c r="AD77" s="39"/>
      <c r="AF77" s="117"/>
      <c r="AG77" s="106"/>
      <c r="AH77" s="204"/>
      <c r="AI77" s="64">
        <f t="shared" si="12"/>
        <v>0</v>
      </c>
      <c r="AJ77" s="66"/>
      <c r="AK77" s="39"/>
      <c r="AM77" s="117"/>
      <c r="AN77" s="106"/>
      <c r="AO77" s="273"/>
      <c r="AQ77" s="26"/>
      <c r="AS77" s="112"/>
      <c r="AT77" s="201"/>
      <c r="AU77" s="106"/>
      <c r="AV77" s="64">
        <f t="shared" si="13"/>
        <v>0</v>
      </c>
      <c r="AX77" s="117"/>
      <c r="AY77" s="106"/>
      <c r="AZ77" s="273"/>
      <c r="BB77" s="26"/>
    </row>
    <row r="78" spans="1:54" ht="14.5" customHeight="1" x14ac:dyDescent="0.35">
      <c r="A78" s="9168"/>
      <c r="B78" s="240"/>
      <c r="C78" s="240" t="s">
        <v>534</v>
      </c>
      <c r="D78" s="197"/>
      <c r="F78" s="163"/>
      <c r="H78" s="1172"/>
      <c r="I78" s="644"/>
      <c r="J78" s="64">
        <f t="shared" si="10"/>
        <v>0</v>
      </c>
      <c r="L78" s="242"/>
      <c r="M78" s="611"/>
      <c r="O78" s="112"/>
      <c r="P78" s="233"/>
      <c r="Q78" s="106"/>
      <c r="R78" s="64">
        <f t="shared" si="11"/>
        <v>0</v>
      </c>
      <c r="T78" s="242"/>
      <c r="U78" s="106"/>
      <c r="V78" s="1034"/>
      <c r="X78" s="26"/>
      <c r="Z78" s="242"/>
      <c r="AA78" s="106"/>
      <c r="AB78" s="1034"/>
      <c r="AC78" s="66"/>
      <c r="AD78" s="39"/>
      <c r="AF78" s="242"/>
      <c r="AG78" s="106"/>
      <c r="AH78" s="1033"/>
      <c r="AI78" s="64">
        <f t="shared" si="12"/>
        <v>0</v>
      </c>
      <c r="AJ78" s="66"/>
      <c r="AK78" s="39"/>
      <c r="AM78" s="242"/>
      <c r="AN78" s="106"/>
      <c r="AO78" s="1034"/>
      <c r="AQ78" s="26"/>
      <c r="AS78" s="112"/>
      <c r="AT78" s="233"/>
      <c r="AU78" s="106"/>
      <c r="AV78" s="64">
        <f t="shared" si="13"/>
        <v>0</v>
      </c>
      <c r="AX78" s="242"/>
      <c r="AY78" s="106"/>
      <c r="AZ78" s="1034"/>
      <c r="BB78" s="26"/>
    </row>
    <row r="79" spans="1:54" x14ac:dyDescent="0.35">
      <c r="A79" s="9168"/>
      <c r="B79" s="240"/>
      <c r="C79" s="240" t="s">
        <v>536</v>
      </c>
      <c r="D79" s="197"/>
      <c r="F79" s="163"/>
      <c r="H79" s="1172"/>
      <c r="I79" s="644"/>
      <c r="J79" s="64">
        <f t="shared" si="10"/>
        <v>0</v>
      </c>
      <c r="L79" s="242"/>
      <c r="M79" s="611"/>
      <c r="O79" s="112"/>
      <c r="P79" s="201"/>
      <c r="Q79" s="57"/>
      <c r="R79" s="64">
        <f t="shared" si="11"/>
        <v>0</v>
      </c>
      <c r="T79" s="242"/>
      <c r="U79" s="57"/>
      <c r="V79" s="273"/>
      <c r="X79" s="26"/>
      <c r="Z79" s="242"/>
      <c r="AA79" s="57"/>
      <c r="AB79" s="273"/>
      <c r="AC79" s="66"/>
      <c r="AD79" s="39"/>
      <c r="AF79" s="242"/>
      <c r="AG79" s="57"/>
      <c r="AH79" s="204"/>
      <c r="AI79" s="64">
        <f t="shared" si="12"/>
        <v>0</v>
      </c>
      <c r="AJ79" s="66"/>
      <c r="AK79" s="39"/>
      <c r="AM79" s="242"/>
      <c r="AN79" s="57"/>
      <c r="AO79" s="273"/>
      <c r="AQ79" s="26"/>
      <c r="AS79" s="112"/>
      <c r="AT79" s="201"/>
      <c r="AU79" s="57"/>
      <c r="AV79" s="64">
        <f t="shared" si="13"/>
        <v>0</v>
      </c>
      <c r="AX79" s="242"/>
      <c r="AY79" s="57"/>
      <c r="AZ79" s="273"/>
      <c r="BB79" s="26"/>
    </row>
    <row r="80" spans="1:54" x14ac:dyDescent="0.35">
      <c r="A80" s="9168"/>
      <c r="B80" s="240"/>
      <c r="C80" s="240" t="s">
        <v>537</v>
      </c>
      <c r="D80" s="197"/>
      <c r="F80" s="163"/>
      <c r="H80" s="1172"/>
      <c r="I80" s="644"/>
      <c r="J80" s="64">
        <f t="shared" si="10"/>
        <v>0</v>
      </c>
      <c r="L80" s="242"/>
      <c r="M80" s="611"/>
      <c r="O80" s="112"/>
      <c r="P80" s="233"/>
      <c r="Q80" s="57"/>
      <c r="R80" s="64">
        <f t="shared" si="11"/>
        <v>0</v>
      </c>
      <c r="T80" s="242"/>
      <c r="U80" s="57"/>
      <c r="V80" s="1034"/>
      <c r="X80" s="26"/>
      <c r="Z80" s="242"/>
      <c r="AA80" s="57"/>
      <c r="AB80" s="1034"/>
      <c r="AC80" s="66"/>
      <c r="AD80" s="39"/>
      <c r="AF80" s="242"/>
      <c r="AG80" s="57"/>
      <c r="AH80" s="1033"/>
      <c r="AI80" s="64">
        <f t="shared" si="12"/>
        <v>0</v>
      </c>
      <c r="AJ80" s="66"/>
      <c r="AK80" s="39"/>
      <c r="AM80" s="242"/>
      <c r="AN80" s="57"/>
      <c r="AO80" s="1034"/>
      <c r="AQ80" s="26"/>
      <c r="AS80" s="112"/>
      <c r="AT80" s="233"/>
      <c r="AU80" s="57"/>
      <c r="AV80" s="64">
        <f t="shared" si="13"/>
        <v>0</v>
      </c>
      <c r="AX80" s="242"/>
      <c r="AY80" s="57"/>
      <c r="AZ80" s="1034"/>
      <c r="BB80" s="26"/>
    </row>
    <row r="81" spans="1:54" x14ac:dyDescent="0.35">
      <c r="A81" s="9168"/>
      <c r="B81" s="240"/>
      <c r="C81" s="240" t="s">
        <v>538</v>
      </c>
      <c r="D81" s="197"/>
      <c r="F81" s="163"/>
      <c r="H81" s="1172"/>
      <c r="I81" s="644"/>
      <c r="J81" s="64">
        <f t="shared" si="10"/>
        <v>0</v>
      </c>
      <c r="L81" s="242"/>
      <c r="M81" s="611"/>
      <c r="O81" s="242"/>
      <c r="P81" s="201"/>
      <c r="Q81" s="106"/>
      <c r="R81" s="64">
        <f t="shared" si="11"/>
        <v>0</v>
      </c>
      <c r="T81" s="242"/>
      <c r="U81" s="106"/>
      <c r="V81" s="273"/>
      <c r="X81" s="26"/>
      <c r="Z81" s="242"/>
      <c r="AA81" s="106"/>
      <c r="AB81" s="273"/>
      <c r="AC81" s="66"/>
      <c r="AD81" s="39"/>
      <c r="AF81" s="242"/>
      <c r="AG81" s="106"/>
      <c r="AH81" s="204"/>
      <c r="AI81" s="64">
        <f t="shared" si="12"/>
        <v>0</v>
      </c>
      <c r="AJ81" s="66"/>
      <c r="AK81" s="39"/>
      <c r="AM81" s="242"/>
      <c r="AN81" s="106"/>
      <c r="AO81" s="273"/>
      <c r="AQ81" s="26"/>
      <c r="AS81" s="242"/>
      <c r="AT81" s="201"/>
      <c r="AU81" s="106"/>
      <c r="AV81" s="64">
        <f t="shared" si="13"/>
        <v>0</v>
      </c>
      <c r="AX81" s="242"/>
      <c r="AY81" s="106"/>
      <c r="AZ81" s="273"/>
      <c r="BB81" s="26"/>
    </row>
    <row r="82" spans="1:54" x14ac:dyDescent="0.35">
      <c r="A82" s="9168"/>
      <c r="B82" s="240"/>
      <c r="C82" s="240" t="s">
        <v>539</v>
      </c>
      <c r="D82" s="197"/>
      <c r="F82" s="163"/>
      <c r="H82" s="1172"/>
      <c r="I82" s="644"/>
      <c r="J82" s="64">
        <f t="shared" si="10"/>
        <v>0</v>
      </c>
      <c r="L82" s="242"/>
      <c r="M82" s="611"/>
      <c r="O82" s="242"/>
      <c r="P82" s="201"/>
      <c r="Q82" s="106"/>
      <c r="R82" s="64">
        <f t="shared" si="11"/>
        <v>0</v>
      </c>
      <c r="T82" s="242"/>
      <c r="U82" s="106"/>
      <c r="V82" s="273"/>
      <c r="X82" s="26"/>
      <c r="Z82" s="242"/>
      <c r="AA82" s="106"/>
      <c r="AB82" s="273"/>
      <c r="AC82" s="66"/>
      <c r="AD82" s="39"/>
      <c r="AF82" s="242"/>
      <c r="AG82" s="106"/>
      <c r="AH82" s="204"/>
      <c r="AI82" s="64">
        <f t="shared" si="12"/>
        <v>0</v>
      </c>
      <c r="AJ82" s="66"/>
      <c r="AK82" s="39"/>
      <c r="AM82" s="242"/>
      <c r="AN82" s="106"/>
      <c r="AO82" s="273"/>
      <c r="AQ82" s="26"/>
      <c r="AS82" s="242"/>
      <c r="AT82" s="201"/>
      <c r="AU82" s="106"/>
      <c r="AV82" s="64">
        <f t="shared" si="13"/>
        <v>0</v>
      </c>
      <c r="AX82" s="242"/>
      <c r="AY82" s="106"/>
      <c r="AZ82" s="273"/>
      <c r="BB82" s="26"/>
    </row>
    <row r="83" spans="1:54" x14ac:dyDescent="0.35">
      <c r="A83" s="9168"/>
      <c r="B83" s="250"/>
      <c r="C83" s="250" t="s">
        <v>704</v>
      </c>
      <c r="D83" s="209"/>
      <c r="F83" s="130"/>
      <c r="H83" s="1172"/>
      <c r="I83" s="644"/>
      <c r="J83" s="64">
        <f t="shared" si="10"/>
        <v>0</v>
      </c>
      <c r="L83" s="242"/>
      <c r="M83" s="611"/>
      <c r="O83" s="242"/>
      <c r="P83" s="201"/>
      <c r="Q83" s="216"/>
      <c r="R83" s="64">
        <f t="shared" si="11"/>
        <v>0</v>
      </c>
      <c r="T83" s="242"/>
      <c r="U83" s="216"/>
      <c r="V83" s="273"/>
      <c r="X83" s="24"/>
      <c r="Z83" s="242"/>
      <c r="AA83" s="216"/>
      <c r="AB83" s="273"/>
      <c r="AC83" s="92"/>
      <c r="AD83" s="39"/>
      <c r="AF83" s="242"/>
      <c r="AG83" s="216"/>
      <c r="AH83" s="204"/>
      <c r="AI83" s="64">
        <f t="shared" si="12"/>
        <v>0</v>
      </c>
      <c r="AJ83" s="92"/>
      <c r="AK83" s="39"/>
      <c r="AM83" s="242"/>
      <c r="AN83" s="216"/>
      <c r="AO83" s="273"/>
      <c r="AQ83" s="24"/>
      <c r="AS83" s="242"/>
      <c r="AT83" s="201"/>
      <c r="AU83" s="216"/>
      <c r="AV83" s="64">
        <f t="shared" si="13"/>
        <v>0</v>
      </c>
      <c r="AX83" s="242"/>
      <c r="AY83" s="216"/>
      <c r="AZ83" s="273"/>
      <c r="BB83" s="24"/>
    </row>
    <row r="84" spans="1:54" x14ac:dyDescent="0.35">
      <c r="A84" s="9168"/>
      <c r="B84" s="271" t="s">
        <v>552</v>
      </c>
      <c r="C84" s="271"/>
      <c r="D84" s="184"/>
      <c r="E84" s="143"/>
      <c r="F84" s="227"/>
      <c r="G84" s="143"/>
      <c r="H84" s="102"/>
      <c r="I84" s="103"/>
      <c r="J84" s="228"/>
      <c r="K84" s="143"/>
      <c r="L84" s="102"/>
      <c r="M84" s="268"/>
      <c r="N84" s="143"/>
      <c r="O84" s="102"/>
      <c r="P84" s="103"/>
      <c r="Q84" s="106"/>
      <c r="R84" s="228"/>
      <c r="S84" s="143"/>
      <c r="T84" s="102"/>
      <c r="U84" s="231" t="s">
        <v>5107</v>
      </c>
      <c r="V84" s="105"/>
      <c r="W84" s="143"/>
      <c r="X84" s="18"/>
      <c r="Z84" s="102"/>
      <c r="AA84" s="231"/>
      <c r="AB84" s="105"/>
      <c r="AC84" s="106"/>
      <c r="AD84" s="39"/>
      <c r="AF84" s="102"/>
      <c r="AG84" s="231"/>
      <c r="AH84" s="103"/>
      <c r="AI84" s="228"/>
      <c r="AJ84" s="106"/>
      <c r="AK84" s="39"/>
      <c r="AM84" s="231" t="s">
        <v>5108</v>
      </c>
      <c r="AN84" s="231"/>
      <c r="AO84" s="3950" t="s">
        <v>5109</v>
      </c>
      <c r="AQ84" s="18"/>
      <c r="AS84" s="102" t="s">
        <v>5110</v>
      </c>
      <c r="AT84" s="8464" t="s">
        <v>5111</v>
      </c>
      <c r="AU84" s="106"/>
      <c r="AV84" s="228"/>
      <c r="AW84" s="143"/>
      <c r="AX84" s="102" t="s">
        <v>5112</v>
      </c>
      <c r="AY84" s="231"/>
      <c r="AZ84" s="8453" t="s">
        <v>5113</v>
      </c>
      <c r="BA84" s="143"/>
      <c r="BB84" s="18"/>
    </row>
    <row r="85" spans="1:54" x14ac:dyDescent="0.35">
      <c r="A85" s="9168"/>
      <c r="B85" s="272"/>
      <c r="C85" s="272" t="s">
        <v>5114</v>
      </c>
      <c r="D85" s="197">
        <v>3</v>
      </c>
      <c r="F85" s="3933">
        <v>45.9983</v>
      </c>
      <c r="H85" s="595">
        <v>96.3</v>
      </c>
      <c r="I85" s="594">
        <v>91.7</v>
      </c>
      <c r="J85" s="64">
        <f>IF(H85=0,0,I85/H85)</f>
        <v>0.95223260643821395</v>
      </c>
      <c r="L85" s="595">
        <f>1.39+3.91+6.33+0+7.72+4.15+4.38+5.19+4.38+9.29+9.58+2+9.02+12.46+9.68+3.09+0.56+6.13+3.71+0+2.01+3.66</f>
        <v>108.64000000000001</v>
      </c>
      <c r="M85" s="4032">
        <f>1.39+3.91+6.33+0+7.72+2.97+4.38+5.19+4.38+9.29+9.57+2+9.02+12.46+9.68+3.09+0.56+6.13+3.71+0+2.01+3.17</f>
        <v>106.96</v>
      </c>
      <c r="O85" s="117">
        <f>1.39+3.91+6.33+0+7.72+4.15+4.38+5.19+4.38+9.29+9.58+2+9.02+12.46+9.68+3.09+0.56+6.13+3.71+0+2.01+3.66</f>
        <v>108.64000000000001</v>
      </c>
      <c r="P85" s="201">
        <f>1.39+3.91+6.33+0+7.72+2.97+4.38+5.19+4.38+9.29+9.57+2+9.02+12.46+9.68+3.09+0.56+6.13+3.71+0+2.01+3.17</f>
        <v>106.96</v>
      </c>
      <c r="Q85" s="106"/>
      <c r="R85" s="64">
        <f>P85/O85</f>
        <v>0.98453608247422664</v>
      </c>
      <c r="T85" s="595">
        <f>2.98+4.844+6.289+7.804+4.426+3.414+5.231+6.092+9.362+10.811+2+9.45+12.755+10.061+2.977+0.965+6.567+5.868+2.673+5.622</f>
        <v>120.19100000000002</v>
      </c>
      <c r="U85" t="s">
        <v>5115</v>
      </c>
      <c r="V85" s="3933">
        <f>2.98+3.985+6.289+7.769+4.426+3.414+5.231+6.092+9.362+10.811+2+9.45+12.755+9.139+2.977+0.965+6.567+5.868+2.673+5.622</f>
        <v>118.37499999999999</v>
      </c>
      <c r="X85" s="26" t="s">
        <v>5116</v>
      </c>
      <c r="Z85" s="595">
        <v>118</v>
      </c>
      <c r="AA85" t="s">
        <v>5116</v>
      </c>
      <c r="AB85" s="3933">
        <v>118</v>
      </c>
      <c r="AC85" s="645"/>
      <c r="AD85" s="39"/>
      <c r="AF85" s="595">
        <v>166</v>
      </c>
      <c r="AG85" t="s">
        <v>5116</v>
      </c>
      <c r="AH85" s="1154">
        <v>127.6</v>
      </c>
      <c r="AI85" s="64">
        <f t="shared" ref="AI85:AI87" si="14">AH85/AF85</f>
        <v>0.76867469879518069</v>
      </c>
      <c r="AJ85" s="645"/>
      <c r="AK85" s="39"/>
      <c r="AM85" s="595">
        <v>116.0954</v>
      </c>
      <c r="AN85" t="s">
        <v>5117</v>
      </c>
      <c r="AO85" s="3933">
        <f>AM85*AH85/AF85</f>
        <v>89.239596626506014</v>
      </c>
      <c r="AQ85" s="26"/>
      <c r="AS85" s="117">
        <v>116.0954</v>
      </c>
      <c r="AT85" s="201">
        <f>AS85*AV35</f>
        <v>124.74263259917969</v>
      </c>
      <c r="AU85" t="s">
        <v>5117</v>
      </c>
      <c r="AV85" s="64">
        <f>AT85/AS85</f>
        <v>1.0744838520663151</v>
      </c>
      <c r="AX85" s="595">
        <v>128.5051</v>
      </c>
      <c r="AY85" t="s">
        <v>5117</v>
      </c>
      <c r="AZ85" s="3933">
        <f>AX85*($AZ$35/$AX$35)</f>
        <v>126.7005588940518</v>
      </c>
      <c r="BB85" s="26" t="s">
        <v>5116</v>
      </c>
    </row>
    <row r="86" spans="1:54" x14ac:dyDescent="0.35">
      <c r="A86" s="9168"/>
      <c r="B86" s="274"/>
      <c r="C86" s="272" t="s">
        <v>5084</v>
      </c>
      <c r="D86" s="197">
        <v>4</v>
      </c>
      <c r="F86" s="1335">
        <f>1.032+2.106+1.274+1.163+1.156+1.068+0.525+0.931+0.614+1.163+2.008+0.89+0.962+1.144+0.778+0.89+1.311+2.214+1.001</f>
        <v>22.229999999999997</v>
      </c>
      <c r="H86" s="1172">
        <v>27.1</v>
      </c>
      <c r="I86" s="644">
        <v>26.6</v>
      </c>
      <c r="J86" s="64"/>
      <c r="L86" s="1172">
        <f>1.59+0.94+2.55+0+1.16+1.48+0.89+1.07+1.31+0.98+1.16+7.01+2.71+1.16+1.3+0.61+0.89+1.49+3.57+2.1+0.33+0.52</f>
        <v>34.82</v>
      </c>
      <c r="M86" s="4032">
        <f>1.02+0.56+1.53+0+0.76+0.92+0.7+0.84+1+0.77+0.9+4.71+1.99+0.85+1.01+0.48+0.7+1.17+2.79+2.51+0.33+0.4</f>
        <v>25.939999999999998</v>
      </c>
      <c r="O86" s="117">
        <f>1.59+0.94+2.55+0+1.16+1.48+0.89+1.07+1.31+0.98+1.16+7.01+2.71+1.16+1.3+0.61+0.89+1.49+3.57+2.1+0.33+0.52</f>
        <v>34.82</v>
      </c>
      <c r="P86" s="201">
        <f>1.02+0.56+1.53+0+0.76+0.92+0.7+0.84+1+0.77+0.9+4.71+1.99+0.85+1.01+0.48+0.7+1.17+2.79+2.51+0.33+0.4</f>
        <v>25.939999999999998</v>
      </c>
      <c r="Q86" s="106"/>
      <c r="R86" s="64">
        <f>P86/O86</f>
        <v>0.74497415278575529</v>
      </c>
      <c r="T86" s="595">
        <f>3.571+0.8+2.316+1.5+1.4+0.8+0.9+1.1+0.8+1+5+1.7+1+1.1+0.55+0.85+1.1+3+1.5+0.25+0.4</f>
        <v>30.637000000000008</v>
      </c>
      <c r="U86" t="s">
        <v>5118</v>
      </c>
      <c r="V86" s="608">
        <f>3.571+0.626+2.316+1.5+1.4+0.8+0.9+1.1+0.8+1+5+1.7+1+1.1+0.55+0.85+1.1+3+1.5+0.25+0.4</f>
        <v>30.463000000000005</v>
      </c>
      <c r="X86" s="26" t="s">
        <v>5119</v>
      </c>
      <c r="Z86" s="595">
        <v>29.3</v>
      </c>
      <c r="AA86" t="s">
        <v>5119</v>
      </c>
      <c r="AB86" s="608">
        <v>107.4</v>
      </c>
      <c r="AC86" s="645"/>
      <c r="AD86" s="39"/>
      <c r="AF86" s="595">
        <v>127.5</v>
      </c>
      <c r="AG86" t="s">
        <v>5119</v>
      </c>
      <c r="AH86" s="609">
        <v>122.8</v>
      </c>
      <c r="AI86" s="64">
        <f t="shared" si="14"/>
        <v>0.96313725490196078</v>
      </c>
      <c r="AJ86" s="645"/>
      <c r="AK86" s="39"/>
      <c r="AM86" s="595">
        <v>33.658799999999999</v>
      </c>
      <c r="AO86" s="3933">
        <f>AM86*AH86/AF86</f>
        <v>32.418044235294111</v>
      </c>
      <c r="AQ86" s="26"/>
      <c r="AS86" s="117"/>
      <c r="AT86" s="201"/>
      <c r="AU86" t="s">
        <v>5120</v>
      </c>
      <c r="AV86" s="64" t="e">
        <f>AT86/AS86</f>
        <v>#DIV/0!</v>
      </c>
      <c r="AX86" s="595"/>
      <c r="AY86" t="s">
        <v>5120</v>
      </c>
      <c r="AZ86" s="3933"/>
      <c r="BB86" s="26"/>
    </row>
    <row r="87" spans="1:54" x14ac:dyDescent="0.35">
      <c r="A87" s="9168"/>
      <c r="B87" s="274"/>
      <c r="C87" s="272" t="s">
        <v>5121</v>
      </c>
      <c r="D87" s="197">
        <v>5</v>
      </c>
      <c r="F87" s="1335">
        <f>37.944+35.65+43.784+47.048+50.407+38.524+9.118+46.096+12.711+30.605+70.802+24.007+16.247+24.643+40.017+63.775+59.99+32.962+26.654</f>
        <v>710.98400000000004</v>
      </c>
      <c r="H87" s="1172">
        <v>831.1</v>
      </c>
      <c r="I87" s="4809">
        <f>H87</f>
        <v>831.1</v>
      </c>
      <c r="J87" s="64"/>
      <c r="L87" s="1172">
        <f>25.71+16.11+28.05+0+35.44+16.99+43.95+32.09+64.07+50.42+66.85+89.92+65.75+44.22+33.65+14.83+33.4+57.35+40.64+35.65+13.85+21.53</f>
        <v>830.46999999999991</v>
      </c>
      <c r="M87" s="657">
        <f>L87</f>
        <v>830.46999999999991</v>
      </c>
      <c r="O87" s="242">
        <f>25.71+16.11+28.05+0+35.44+16.99+43.95+32.09+64.07+50.42+66.85+89.92+65.75+44.22+33.65+14.83+33.4+57.35+40.64+35.65+13.85+21.53</f>
        <v>830.46999999999991</v>
      </c>
      <c r="P87" s="621">
        <f>O87</f>
        <v>830.46999999999991</v>
      </c>
      <c r="Q87" s="106"/>
      <c r="R87" s="64">
        <f>P87/O87</f>
        <v>1</v>
      </c>
      <c r="T87" s="242">
        <f>25.713+17.719+41.186+54.291+18.692+54.943+35.295+70.471+55.466+73.53+129.55+72.321+48.647+48.753+21.832+49.062+63.082+44.708+51.97+19.455+26.593</f>
        <v>1023.2790000000001</v>
      </c>
      <c r="U87" t="s">
        <v>5122</v>
      </c>
      <c r="V87" s="608">
        <f>46.115+18.353+61.902+60.786+27.048+94.125+76.125+87.797+69.906+96.25+142.2+93.615+80.302+48.833+21.112+43.96+81.746+53.407+66.671+21.183+44.069</f>
        <v>1335.5050000000001</v>
      </c>
      <c r="X87" s="26" t="s">
        <v>5123</v>
      </c>
      <c r="Z87" s="242">
        <v>1108.5999999999999</v>
      </c>
      <c r="AA87" t="s">
        <v>5124</v>
      </c>
      <c r="AB87" s="608">
        <v>1342.4</v>
      </c>
      <c r="AC87" s="645"/>
      <c r="AD87" s="39"/>
      <c r="AF87" s="242">
        <v>1164.2</v>
      </c>
      <c r="AG87" t="s">
        <v>5125</v>
      </c>
      <c r="AH87" s="609">
        <v>1535.6</v>
      </c>
      <c r="AI87" s="64">
        <f t="shared" si="14"/>
        <v>1.3190173509706236</v>
      </c>
      <c r="AJ87" s="645"/>
      <c r="AK87" s="39"/>
      <c r="AM87" s="1172">
        <v>1333.8442</v>
      </c>
      <c r="AO87" s="3933">
        <f>AM87*AVERAGE(AH87/AF87,AB87/Z87)</f>
        <v>1687.2555425911021</v>
      </c>
      <c r="AP87" s="645"/>
      <c r="AQ87" s="26"/>
      <c r="AS87" s="242"/>
      <c r="AT87" s="8465"/>
      <c r="AU87" t="s">
        <v>5120</v>
      </c>
      <c r="AV87" s="64" t="e">
        <f>AT87/AS87</f>
        <v>#DIV/0!</v>
      </c>
      <c r="AX87" s="242"/>
      <c r="AY87" t="s">
        <v>5120</v>
      </c>
      <c r="AZ87" s="3933"/>
      <c r="BB87" s="26"/>
    </row>
    <row r="88" spans="1:54" x14ac:dyDescent="0.35">
      <c r="A88" s="9168"/>
      <c r="B88" s="277"/>
      <c r="C88" s="277" t="s">
        <v>555</v>
      </c>
      <c r="D88" s="209"/>
      <c r="F88" s="665">
        <f>SUM(F85:F87)/SUM(F34:F36)</f>
        <v>0.50594915914551009</v>
      </c>
      <c r="G88" s="666"/>
      <c r="H88" s="283">
        <f>SUM(H85:H87)/SUM(H34:H36)</f>
        <v>0.25961486155687319</v>
      </c>
      <c r="I88" s="667">
        <f>SUM(I85:I87)/SUM(I34:I36)</f>
        <v>0.25360615450368629</v>
      </c>
      <c r="J88" s="133"/>
      <c r="L88" s="283">
        <f>SUM(L85:L87)/SUM(L34:L36)</f>
        <v>0.27423832854648866</v>
      </c>
      <c r="M88" s="4041">
        <f>SUM(M85:M87)/SUM(M34:M36)</f>
        <v>0.26249863760217979</v>
      </c>
      <c r="O88" s="283">
        <f>SUM(O85:O87)/SUM(O34:O36)</f>
        <v>0.29022289766970616</v>
      </c>
      <c r="P88" s="3393">
        <f>SUM(P85:P87)/SUM(P34:P36)</f>
        <v>0.28023678622334697</v>
      </c>
      <c r="Q88" s="284"/>
      <c r="R88" s="64"/>
      <c r="T88" s="283">
        <f>SUM(T85:T87)/SUM(T34:T36)</f>
        <v>0.3165391459074734</v>
      </c>
      <c r="U88" s="284"/>
      <c r="V88" s="4810">
        <f>SUM(V85:V87)/SUM(V34:V36)</f>
        <v>0.40573556746118522</v>
      </c>
      <c r="X88" s="24"/>
      <c r="Z88" s="283">
        <f>SUM(Z85:Z87)/SUM(Z35:Z36)</f>
        <v>0.33746238177128113</v>
      </c>
      <c r="AA88" s="284"/>
      <c r="AB88" s="4810">
        <f>SUM(AB85:AB87)/SUM(AB35:AB36)</f>
        <v>0.49325153374233133</v>
      </c>
      <c r="AC88" s="4811"/>
      <c r="AD88" s="39"/>
      <c r="AF88" s="283">
        <f>SUM(AF85:AF87)/SUM(AF35:AF36)</f>
        <v>0.37799502126335444</v>
      </c>
      <c r="AG88" s="284"/>
      <c r="AH88" s="8466">
        <f>SUM(AH85:AH87)/SUM(AH35:AH36)</f>
        <v>0.50155859473728548</v>
      </c>
      <c r="AI88" s="64"/>
      <c r="AJ88" s="4811"/>
      <c r="AK88" s="39"/>
      <c r="AM88" s="283">
        <f>SUM(AM85:AM87)/SUM(AM35:AM36)</f>
        <v>0.60367773437500005</v>
      </c>
      <c r="AN88" s="284"/>
      <c r="AO88" s="4810">
        <f>SUM(AO85:AO87)/SUM(AO35:AO36)</f>
        <v>0.82916812589516964</v>
      </c>
      <c r="AP88" s="106"/>
      <c r="AQ88" s="24"/>
      <c r="AS88" s="283"/>
      <c r="AT88" s="3393"/>
      <c r="AU88" s="284"/>
      <c r="AV88" s="64"/>
      <c r="AX88" s="283"/>
      <c r="AY88" s="284"/>
      <c r="AZ88" s="4810"/>
      <c r="BB88" s="24"/>
    </row>
    <row r="89" spans="1:54" ht="14.5" customHeight="1" x14ac:dyDescent="0.35">
      <c r="A89" s="9168"/>
      <c r="B89" s="139" t="s">
        <v>556</v>
      </c>
      <c r="C89" s="908"/>
      <c r="D89" s="184"/>
      <c r="E89" s="143"/>
      <c r="F89" s="1387"/>
      <c r="G89" s="290"/>
      <c r="H89" s="1388"/>
      <c r="I89" s="520"/>
      <c r="J89" s="293"/>
      <c r="L89" s="1388"/>
      <c r="M89" s="4812"/>
      <c r="N89" s="143"/>
      <c r="O89" s="1388"/>
      <c r="P89" s="520"/>
      <c r="Q89" s="313" t="s">
        <v>1115</v>
      </c>
      <c r="R89" s="293"/>
      <c r="T89" s="1388"/>
      <c r="U89" s="106" t="s">
        <v>1115</v>
      </c>
      <c r="V89" s="4812"/>
      <c r="W89" s="143"/>
      <c r="X89" s="18"/>
      <c r="Z89" s="1388" t="s">
        <v>1115</v>
      </c>
      <c r="AA89" s="106"/>
      <c r="AB89" s="4812"/>
      <c r="AC89" s="4813"/>
      <c r="AD89" s="39"/>
      <c r="AF89" s="1388" t="s">
        <v>1115</v>
      </c>
      <c r="AG89" s="106"/>
      <c r="AH89" s="8467"/>
      <c r="AI89" s="293"/>
      <c r="AJ89" s="4813"/>
      <c r="AK89" s="39"/>
      <c r="AM89" s="1388" t="s">
        <v>1115</v>
      </c>
      <c r="AN89" s="106"/>
      <c r="AO89" s="4812"/>
      <c r="AP89" s="7389"/>
      <c r="AQ89" s="18"/>
      <c r="AS89" s="1388"/>
      <c r="AT89" s="520"/>
      <c r="AU89" s="313" t="s">
        <v>1115</v>
      </c>
      <c r="AV89" s="293"/>
      <c r="AX89" s="1388"/>
      <c r="AY89" s="106" t="s">
        <v>1115</v>
      </c>
      <c r="AZ89" s="4812"/>
      <c r="BA89" s="143"/>
      <c r="BB89" s="18"/>
    </row>
    <row r="90" spans="1:54" x14ac:dyDescent="0.35">
      <c r="A90" s="9168"/>
      <c r="B90" s="4814"/>
      <c r="C90" s="4777" t="s">
        <v>4177</v>
      </c>
      <c r="D90" s="197"/>
      <c r="F90" s="4815"/>
      <c r="G90" s="272"/>
      <c r="H90" s="4816"/>
      <c r="I90" s="4817"/>
      <c r="J90" s="297">
        <f>IF(H90=0,0,I90/H90)</f>
        <v>0</v>
      </c>
      <c r="L90" s="4816"/>
      <c r="M90" s="4818">
        <f>L90*J90</f>
        <v>0</v>
      </c>
      <c r="O90" s="4816"/>
      <c r="P90" s="4817"/>
      <c r="Q90" s="57"/>
      <c r="R90" s="297"/>
      <c r="T90" s="4816"/>
      <c r="U90" s="332"/>
      <c r="V90" s="4818"/>
      <c r="X90" s="26"/>
      <c r="Z90" s="4816"/>
      <c r="AA90" s="332"/>
      <c r="AB90" s="4818"/>
      <c r="AC90" s="3484"/>
      <c r="AD90" s="39"/>
      <c r="AF90" s="4816"/>
      <c r="AG90" s="332"/>
      <c r="AH90" s="8468"/>
      <c r="AI90" s="297"/>
      <c r="AJ90" s="3484"/>
      <c r="AK90" s="39"/>
      <c r="AM90" s="4816"/>
      <c r="AN90" s="332"/>
      <c r="AO90" s="4818"/>
      <c r="AP90" s="7266"/>
      <c r="AQ90" s="26"/>
      <c r="AS90" s="4816"/>
      <c r="AT90" s="4817"/>
      <c r="AU90" s="57"/>
      <c r="AV90" s="297"/>
      <c r="AX90" s="4816"/>
      <c r="AY90" s="332"/>
      <c r="AZ90" s="4818"/>
      <c r="BB90" s="26"/>
    </row>
    <row r="91" spans="1:54" x14ac:dyDescent="0.35">
      <c r="A91" s="9168"/>
      <c r="B91" s="4814"/>
      <c r="C91" s="4777" t="s">
        <v>4182</v>
      </c>
      <c r="D91" s="197"/>
      <c r="F91" s="4819"/>
      <c r="G91" s="272"/>
      <c r="H91" s="4820"/>
      <c r="I91" s="4821"/>
      <c r="J91" s="297">
        <f>IF(H91=0,0,I91/H91)</f>
        <v>0</v>
      </c>
      <c r="L91" s="4820"/>
      <c r="M91" s="4818">
        <f>L91*J91</f>
        <v>0</v>
      </c>
      <c r="O91" s="4820"/>
      <c r="P91" s="4821"/>
      <c r="Q91" s="57"/>
      <c r="R91" s="297"/>
      <c r="T91" s="4820"/>
      <c r="U91" s="106"/>
      <c r="V91" s="4818"/>
      <c r="X91" s="26"/>
      <c r="Z91" s="4820"/>
      <c r="AA91" s="106"/>
      <c r="AB91" s="4818"/>
      <c r="AC91" s="3484"/>
      <c r="AD91" s="39"/>
      <c r="AF91" s="4820"/>
      <c r="AG91" s="106"/>
      <c r="AH91" s="8468"/>
      <c r="AI91" s="297"/>
      <c r="AJ91" s="3484"/>
      <c r="AK91" s="39"/>
      <c r="AM91" s="4820"/>
      <c r="AN91" s="106"/>
      <c r="AO91" s="4818"/>
      <c r="AP91" s="7266"/>
      <c r="AQ91" s="26"/>
      <c r="AS91" s="4820"/>
      <c r="AT91" s="4821"/>
      <c r="AU91" s="57"/>
      <c r="AV91" s="297"/>
      <c r="AX91" s="4820"/>
      <c r="AY91" s="106"/>
      <c r="AZ91" s="4818"/>
      <c r="BB91" s="26"/>
    </row>
    <row r="92" spans="1:54" x14ac:dyDescent="0.35">
      <c r="A92" s="9168"/>
      <c r="B92" s="4822"/>
      <c r="C92" s="4772" t="s">
        <v>534</v>
      </c>
      <c r="D92" s="197"/>
      <c r="F92" s="4819"/>
      <c r="G92" s="272"/>
      <c r="H92" s="4820"/>
      <c r="I92" s="4821"/>
      <c r="J92" s="297">
        <f>IF(H92=0,0,I92/H92)</f>
        <v>0</v>
      </c>
      <c r="L92" s="4820"/>
      <c r="M92" s="4818">
        <f>L92*J92</f>
        <v>0</v>
      </c>
      <c r="O92" s="4820"/>
      <c r="P92" s="4821"/>
      <c r="Q92" s="57"/>
      <c r="R92" s="297"/>
      <c r="T92" s="4820"/>
      <c r="U92" s="106"/>
      <c r="V92" s="4818"/>
      <c r="X92" s="26"/>
      <c r="Z92" s="4820"/>
      <c r="AA92" s="106"/>
      <c r="AB92" s="4818"/>
      <c r="AC92" s="3484"/>
      <c r="AD92" s="39"/>
      <c r="AF92" s="4820"/>
      <c r="AG92" s="106"/>
      <c r="AH92" s="8468"/>
      <c r="AI92" s="297"/>
      <c r="AJ92" s="3484"/>
      <c r="AK92" s="39"/>
      <c r="AM92" s="4820"/>
      <c r="AN92" s="106"/>
      <c r="AO92" s="4818"/>
      <c r="AP92" s="7266"/>
      <c r="AQ92" s="26"/>
      <c r="AS92" s="4820"/>
      <c r="AT92" s="4821"/>
      <c r="AU92" s="57"/>
      <c r="AV92" s="297"/>
      <c r="AX92" s="4820"/>
      <c r="AY92" s="106"/>
      <c r="AZ92" s="4818"/>
      <c r="BB92" s="26"/>
    </row>
    <row r="93" spans="1:54" x14ac:dyDescent="0.35">
      <c r="A93" s="9169"/>
      <c r="B93" s="4823"/>
      <c r="C93" s="4786" t="s">
        <v>536</v>
      </c>
      <c r="D93" s="209"/>
      <c r="F93" s="4824"/>
      <c r="G93" s="274"/>
      <c r="H93" s="4825"/>
      <c r="I93" s="4826"/>
      <c r="J93" s="307">
        <f>IF(H93=0,0,I93/H93)</f>
        <v>0</v>
      </c>
      <c r="L93" s="4825"/>
      <c r="M93" s="4827">
        <f>L93*J93</f>
        <v>0</v>
      </c>
      <c r="O93" s="4825"/>
      <c r="P93" s="4826"/>
      <c r="Q93" s="216"/>
      <c r="R93" s="307"/>
      <c r="T93" s="4825"/>
      <c r="U93" s="216"/>
      <c r="V93" s="4827"/>
      <c r="X93" s="24"/>
      <c r="Z93" s="4825"/>
      <c r="AA93" s="216"/>
      <c r="AB93" s="4827"/>
      <c r="AC93" s="3484"/>
      <c r="AD93" s="39"/>
      <c r="AF93" s="4825"/>
      <c r="AG93" s="216"/>
      <c r="AH93" s="8469"/>
      <c r="AI93" s="307"/>
      <c r="AJ93" s="3484"/>
      <c r="AK93" s="39"/>
      <c r="AM93" s="4825"/>
      <c r="AN93" s="216"/>
      <c r="AO93" s="4827"/>
      <c r="AP93" s="7266"/>
      <c r="AQ93" s="24"/>
      <c r="AS93" s="4825"/>
      <c r="AT93" s="4826"/>
      <c r="AU93" s="216"/>
      <c r="AV93" s="307"/>
      <c r="AX93" s="4825"/>
      <c r="AY93" s="216"/>
      <c r="AZ93" s="4827"/>
      <c r="BB93" s="24"/>
    </row>
    <row r="94" spans="1:54" x14ac:dyDescent="0.35">
      <c r="A94" s="310"/>
      <c r="B94" s="310"/>
      <c r="F94" s="106"/>
      <c r="H94" s="106"/>
      <c r="I94" s="106"/>
      <c r="J94" s="311"/>
      <c r="L94" s="106"/>
      <c r="M94" s="312"/>
      <c r="O94" s="106"/>
      <c r="P94" s="106"/>
      <c r="Q94" s="106"/>
      <c r="R94" s="311"/>
      <c r="T94" s="106"/>
      <c r="U94" s="106"/>
      <c r="V94" s="312"/>
      <c r="Z94" s="106"/>
      <c r="AA94" s="106"/>
      <c r="AB94" s="312"/>
      <c r="AC94" s="3484"/>
      <c r="AD94" s="39"/>
      <c r="AF94" s="106"/>
      <c r="AG94" s="106"/>
      <c r="AH94" s="312"/>
      <c r="AI94" s="311"/>
      <c r="AJ94" s="3484"/>
      <c r="AK94" s="39"/>
      <c r="AM94" s="106"/>
      <c r="AN94" s="106"/>
      <c r="AO94" s="106"/>
      <c r="AP94" s="106"/>
      <c r="AQ94" s="106"/>
      <c r="AS94" s="106"/>
      <c r="AT94" s="106"/>
      <c r="AU94" s="106"/>
      <c r="AV94" s="311"/>
      <c r="AX94" s="106"/>
      <c r="AY94" s="106"/>
      <c r="AZ94" s="312"/>
    </row>
    <row r="95" spans="1:54" x14ac:dyDescent="0.35">
      <c r="A95" s="9226" t="s">
        <v>1114</v>
      </c>
      <c r="B95" s="317"/>
      <c r="C95" s="315"/>
      <c r="D95" s="184"/>
      <c r="F95" s="316"/>
      <c r="H95" s="317"/>
      <c r="I95" s="318"/>
      <c r="J95" s="319"/>
      <c r="L95" s="317"/>
      <c r="M95" s="318"/>
      <c r="O95" s="320"/>
      <c r="P95" s="321"/>
      <c r="Q95" s="481" t="s">
        <v>1115</v>
      </c>
      <c r="R95" s="293"/>
      <c r="T95" s="317"/>
      <c r="U95" s="481" t="s">
        <v>1115</v>
      </c>
      <c r="V95" s="323"/>
      <c r="W95"/>
      <c r="Z95" s="317" t="s">
        <v>1115</v>
      </c>
      <c r="AA95" s="481"/>
      <c r="AB95" s="323"/>
      <c r="AC95" s="4813"/>
      <c r="AD95" s="39"/>
      <c r="AF95" s="317" t="s">
        <v>1115</v>
      </c>
      <c r="AG95" s="481"/>
      <c r="AH95" s="4098"/>
      <c r="AI95" s="293"/>
      <c r="AJ95" s="4813"/>
      <c r="AK95" s="39"/>
      <c r="AM95" s="1388" t="s">
        <v>1115</v>
      </c>
      <c r="AN95" s="481"/>
      <c r="AO95" s="268"/>
      <c r="AP95" s="7389"/>
      <c r="AQ95" s="18"/>
      <c r="AS95" s="320"/>
      <c r="AT95" s="321"/>
      <c r="AU95" s="481" t="s">
        <v>1115</v>
      </c>
      <c r="AV95" s="293"/>
      <c r="AX95" s="317"/>
      <c r="AY95" s="481" t="s">
        <v>1115</v>
      </c>
      <c r="AZ95" s="323"/>
      <c r="BA95"/>
    </row>
    <row r="96" spans="1:54" x14ac:dyDescent="0.35">
      <c r="A96" s="9227"/>
      <c r="B96" s="325"/>
      <c r="C96" s="326" t="s">
        <v>11</v>
      </c>
      <c r="D96" s="197"/>
      <c r="F96" s="327"/>
      <c r="H96" s="325"/>
      <c r="I96" s="328"/>
      <c r="J96" s="329"/>
      <c r="L96" s="325"/>
      <c r="M96" s="328"/>
      <c r="O96" s="339"/>
      <c r="P96" s="340"/>
      <c r="Q96" s="57"/>
      <c r="R96" s="3989"/>
      <c r="T96" s="339"/>
      <c r="U96" s="57"/>
      <c r="V96" s="1199"/>
      <c r="W96"/>
      <c r="Z96" s="339"/>
      <c r="AA96" s="57"/>
      <c r="AB96" s="1199"/>
      <c r="AC96" s="4806"/>
      <c r="AD96" s="39"/>
      <c r="AF96" s="339"/>
      <c r="AG96" s="57"/>
      <c r="AH96" s="8470"/>
      <c r="AI96" s="3989"/>
      <c r="AJ96" s="4806"/>
      <c r="AK96" s="39"/>
      <c r="AM96" s="339"/>
      <c r="AN96" s="57"/>
      <c r="AO96" s="1199"/>
      <c r="AP96" s="7390"/>
      <c r="AQ96" s="26"/>
      <c r="AS96" s="339"/>
      <c r="AT96" s="340"/>
      <c r="AU96" s="57"/>
      <c r="AV96" s="3989"/>
      <c r="AX96" s="339"/>
      <c r="AY96" s="57"/>
      <c r="AZ96" s="1199"/>
      <c r="BA96"/>
    </row>
    <row r="97" spans="1:54" x14ac:dyDescent="0.35">
      <c r="A97" s="9227"/>
      <c r="B97" s="330"/>
      <c r="C97" s="326" t="s">
        <v>1116</v>
      </c>
      <c r="D97" s="197"/>
      <c r="F97" s="336"/>
      <c r="H97" s="330"/>
      <c r="I97" s="337"/>
      <c r="J97" s="329"/>
      <c r="L97" s="330"/>
      <c r="M97" s="337"/>
      <c r="O97" s="339"/>
      <c r="P97" s="340"/>
      <c r="Q97" s="106"/>
      <c r="R97" s="297"/>
      <c r="T97" s="330"/>
      <c r="U97" s="106"/>
      <c r="V97" s="1199"/>
      <c r="W97"/>
      <c r="Z97" s="330"/>
      <c r="AA97" s="106"/>
      <c r="AB97" s="1199"/>
      <c r="AC97" s="4806"/>
      <c r="AD97" s="39"/>
      <c r="AF97" s="330"/>
      <c r="AG97" s="106"/>
      <c r="AH97" s="8470"/>
      <c r="AI97" s="297"/>
      <c r="AJ97" s="4806"/>
      <c r="AK97" s="39"/>
      <c r="AM97" s="330"/>
      <c r="AN97" s="106"/>
      <c r="AO97" s="1199"/>
      <c r="AP97" s="7390"/>
      <c r="AQ97" s="26"/>
      <c r="AS97" s="339"/>
      <c r="AT97" s="340"/>
      <c r="AU97" s="106"/>
      <c r="AV97" s="297"/>
      <c r="AX97" s="330"/>
      <c r="AY97" s="106"/>
      <c r="AZ97" s="1199"/>
      <c r="BA97"/>
    </row>
    <row r="98" spans="1:54" x14ac:dyDescent="0.35">
      <c r="A98" s="9227"/>
      <c r="B98" s="330"/>
      <c r="C98" s="326"/>
      <c r="D98" s="197"/>
      <c r="F98" s="336"/>
      <c r="H98" s="330"/>
      <c r="I98" s="337"/>
      <c r="J98" s="329"/>
      <c r="L98" s="330"/>
      <c r="M98" s="337"/>
      <c r="O98" s="339"/>
      <c r="P98" s="340"/>
      <c r="Q98" s="106"/>
      <c r="R98" s="297"/>
      <c r="T98" s="330"/>
      <c r="U98" s="106"/>
      <c r="V98" s="333"/>
      <c r="W98"/>
      <c r="Z98" s="330"/>
      <c r="AA98" s="106"/>
      <c r="AB98" s="333"/>
      <c r="AC98" s="3484"/>
      <c r="AD98" s="39"/>
      <c r="AF98" s="330"/>
      <c r="AG98" s="106"/>
      <c r="AH98" s="4099"/>
      <c r="AI98" s="297"/>
      <c r="AJ98" s="3484"/>
      <c r="AK98" s="39"/>
      <c r="AM98" s="330"/>
      <c r="AN98" s="106"/>
      <c r="AO98" s="333"/>
      <c r="AP98" s="7266"/>
      <c r="AQ98" s="26"/>
      <c r="AS98" s="339"/>
      <c r="AT98" s="340"/>
      <c r="AU98" s="106"/>
      <c r="AV98" s="297"/>
      <c r="AX98" s="330"/>
      <c r="AY98" s="106"/>
      <c r="AZ98" s="333"/>
      <c r="BA98"/>
    </row>
    <row r="99" spans="1:54" x14ac:dyDescent="0.35">
      <c r="A99" s="9227"/>
      <c r="B99" s="330"/>
      <c r="C99" s="326"/>
      <c r="D99" s="197"/>
      <c r="F99" s="336"/>
      <c r="H99" s="330"/>
      <c r="I99" s="337"/>
      <c r="J99" s="329"/>
      <c r="L99" s="330"/>
      <c r="M99" s="337"/>
      <c r="O99" s="339"/>
      <c r="P99" s="340"/>
      <c r="Q99" s="106"/>
      <c r="R99" s="297"/>
      <c r="T99" s="330"/>
      <c r="U99" s="106"/>
      <c r="V99" s="333"/>
      <c r="W99"/>
      <c r="Z99" s="330"/>
      <c r="AA99" s="106"/>
      <c r="AB99" s="333"/>
      <c r="AC99" s="3484"/>
      <c r="AD99" s="39"/>
      <c r="AF99" s="330"/>
      <c r="AG99" s="106"/>
      <c r="AH99" s="4099"/>
      <c r="AI99" s="297"/>
      <c r="AJ99" s="3484"/>
      <c r="AK99" s="39"/>
      <c r="AM99" s="330"/>
      <c r="AN99" s="106"/>
      <c r="AO99" s="333"/>
      <c r="AP99" s="7266"/>
      <c r="AQ99" s="26"/>
      <c r="AS99" s="339"/>
      <c r="AT99" s="340"/>
      <c r="AU99" s="106"/>
      <c r="AV99" s="297"/>
      <c r="AX99" s="330"/>
      <c r="AY99" s="106"/>
      <c r="AZ99" s="333"/>
      <c r="BA99"/>
    </row>
    <row r="100" spans="1:54" x14ac:dyDescent="0.35">
      <c r="A100" s="9227"/>
      <c r="B100" s="330"/>
      <c r="C100" s="326"/>
      <c r="D100" s="197"/>
      <c r="F100" s="336"/>
      <c r="H100" s="330"/>
      <c r="I100" s="337"/>
      <c r="J100" s="329"/>
      <c r="L100" s="330"/>
      <c r="M100" s="337"/>
      <c r="O100" s="339"/>
      <c r="P100" s="340"/>
      <c r="Q100" s="106"/>
      <c r="R100" s="297"/>
      <c r="T100" s="330"/>
      <c r="U100" s="106"/>
      <c r="V100" s="333"/>
      <c r="W100"/>
      <c r="Z100" s="330"/>
      <c r="AA100" s="106"/>
      <c r="AB100" s="333"/>
      <c r="AC100" s="3484"/>
      <c r="AD100" s="39"/>
      <c r="AF100" s="330"/>
      <c r="AG100" s="106"/>
      <c r="AH100" s="4099"/>
      <c r="AI100" s="297"/>
      <c r="AJ100" s="3484"/>
      <c r="AK100" s="39"/>
      <c r="AM100" s="330"/>
      <c r="AN100" s="106"/>
      <c r="AO100" s="333"/>
      <c r="AP100" s="7266"/>
      <c r="AQ100" s="26"/>
      <c r="AS100" s="339"/>
      <c r="AT100" s="340"/>
      <c r="AU100" s="106"/>
      <c r="AV100" s="297"/>
      <c r="AX100" s="330"/>
      <c r="AY100" s="106"/>
      <c r="AZ100" s="333"/>
      <c r="BA100"/>
    </row>
    <row r="101" spans="1:54" x14ac:dyDescent="0.35">
      <c r="A101" s="9227"/>
      <c r="B101" s="330"/>
      <c r="C101" s="326"/>
      <c r="D101" s="197"/>
      <c r="F101" s="336"/>
      <c r="H101" s="330"/>
      <c r="I101" s="337"/>
      <c r="J101" s="329"/>
      <c r="L101" s="330"/>
      <c r="M101" s="337"/>
      <c r="O101" s="339"/>
      <c r="P101" s="340"/>
      <c r="Q101" s="106"/>
      <c r="R101" s="297"/>
      <c r="T101" s="330"/>
      <c r="U101" s="106"/>
      <c r="V101" s="333"/>
      <c r="W101"/>
      <c r="Z101" s="330"/>
      <c r="AA101" s="106"/>
      <c r="AB101" s="333"/>
      <c r="AC101" s="3484"/>
      <c r="AD101" s="39"/>
      <c r="AF101" s="330"/>
      <c r="AG101" s="106"/>
      <c r="AH101" s="4099"/>
      <c r="AI101" s="297"/>
      <c r="AJ101" s="3484"/>
      <c r="AK101" s="39"/>
      <c r="AM101" s="330"/>
      <c r="AN101" s="106"/>
      <c r="AO101" s="333"/>
      <c r="AP101" s="7266"/>
      <c r="AQ101" s="26"/>
      <c r="AS101" s="339"/>
      <c r="AT101" s="340"/>
      <c r="AU101" s="106"/>
      <c r="AV101" s="297"/>
      <c r="AX101" s="330"/>
      <c r="AY101" s="106"/>
      <c r="AZ101" s="333"/>
      <c r="BA101"/>
    </row>
    <row r="102" spans="1:54" x14ac:dyDescent="0.35">
      <c r="A102" s="9227"/>
      <c r="B102" s="330"/>
      <c r="C102" s="326"/>
      <c r="D102" s="197"/>
      <c r="F102" s="336"/>
      <c r="H102" s="330"/>
      <c r="I102" s="337"/>
      <c r="J102" s="329"/>
      <c r="L102" s="330"/>
      <c r="M102" s="337"/>
      <c r="O102" s="339"/>
      <c r="P102" s="340"/>
      <c r="Q102" s="106"/>
      <c r="R102" s="297"/>
      <c r="T102" s="330"/>
      <c r="U102" s="106"/>
      <c r="V102" s="333"/>
      <c r="W102"/>
      <c r="Z102" s="330"/>
      <c r="AA102" s="106"/>
      <c r="AB102" s="333"/>
      <c r="AC102" s="3484"/>
      <c r="AD102" s="39"/>
      <c r="AF102" s="330"/>
      <c r="AG102" s="106"/>
      <c r="AH102" s="4099"/>
      <c r="AI102" s="297"/>
      <c r="AJ102" s="3484"/>
      <c r="AK102" s="39"/>
      <c r="AM102" s="330"/>
      <c r="AN102" s="106"/>
      <c r="AO102" s="333"/>
      <c r="AP102" s="7266"/>
      <c r="AQ102" s="26"/>
      <c r="AS102" s="339"/>
      <c r="AT102" s="340"/>
      <c r="AU102" s="106"/>
      <c r="AV102" s="297"/>
      <c r="AX102" s="330"/>
      <c r="AY102" s="106"/>
      <c r="AZ102" s="333"/>
      <c r="BA102"/>
    </row>
    <row r="103" spans="1:54" x14ac:dyDescent="0.35">
      <c r="A103" s="9227"/>
      <c r="B103" s="330"/>
      <c r="C103" s="337"/>
      <c r="D103" s="197"/>
      <c r="F103" s="336"/>
      <c r="H103" s="330"/>
      <c r="I103" s="337"/>
      <c r="J103" s="329"/>
      <c r="L103" s="330"/>
      <c r="M103" s="337"/>
      <c r="O103" s="339"/>
      <c r="P103" s="340"/>
      <c r="Q103" s="106"/>
      <c r="R103" s="297"/>
      <c r="T103" s="330"/>
      <c r="U103" s="106"/>
      <c r="V103" s="333"/>
      <c r="W103"/>
      <c r="Z103" s="330"/>
      <c r="AA103" s="106"/>
      <c r="AB103" s="333"/>
      <c r="AC103" s="3484"/>
      <c r="AD103" s="39"/>
      <c r="AF103" s="330"/>
      <c r="AG103" s="106"/>
      <c r="AH103" s="4099"/>
      <c r="AI103" s="297"/>
      <c r="AJ103" s="3484"/>
      <c r="AK103" s="39"/>
      <c r="AM103" s="330"/>
      <c r="AN103" s="106"/>
      <c r="AO103" s="333"/>
      <c r="AP103" s="7266"/>
      <c r="AQ103" s="26"/>
      <c r="AS103" s="339"/>
      <c r="AT103" s="340"/>
      <c r="AU103" s="106"/>
      <c r="AV103" s="297"/>
      <c r="AX103" s="330"/>
      <c r="AY103" s="106"/>
      <c r="AZ103" s="333"/>
      <c r="BA103"/>
    </row>
    <row r="104" spans="1:54" x14ac:dyDescent="0.35">
      <c r="A104" s="9228"/>
      <c r="B104" s="341"/>
      <c r="C104" s="342"/>
      <c r="D104" s="209"/>
      <c r="F104" s="343"/>
      <c r="H104" s="341"/>
      <c r="I104" s="342"/>
      <c r="J104" s="344"/>
      <c r="L104" s="341"/>
      <c r="M104" s="342"/>
      <c r="O104" s="345"/>
      <c r="P104" s="346"/>
      <c r="Q104" s="216"/>
      <c r="R104" s="307"/>
      <c r="T104" s="341"/>
      <c r="U104" s="216"/>
      <c r="V104" s="347"/>
      <c r="W104"/>
      <c r="Z104" s="341"/>
      <c r="AA104" s="216"/>
      <c r="AB104" s="347"/>
      <c r="AC104" s="3484"/>
      <c r="AD104" s="39"/>
      <c r="AF104" s="341"/>
      <c r="AG104" s="216"/>
      <c r="AH104" s="4101"/>
      <c r="AI104" s="307"/>
      <c r="AJ104" s="3484"/>
      <c r="AK104" s="39"/>
      <c r="AM104" s="341"/>
      <c r="AN104" s="216"/>
      <c r="AO104" s="347"/>
      <c r="AP104" s="7266"/>
      <c r="AQ104" s="24"/>
      <c r="AS104" s="345"/>
      <c r="AT104" s="346"/>
      <c r="AU104" s="216"/>
      <c r="AV104" s="307"/>
      <c r="AX104" s="341"/>
      <c r="AY104" s="216"/>
      <c r="AZ104" s="347"/>
      <c r="BA104"/>
    </row>
    <row r="105" spans="1:54" x14ac:dyDescent="0.35">
      <c r="A105" s="310"/>
      <c r="B105" s="310"/>
      <c r="F105" s="106"/>
      <c r="H105" s="106"/>
      <c r="I105" s="106"/>
      <c r="J105" s="311"/>
      <c r="L105" s="106"/>
      <c r="M105" s="312"/>
      <c r="O105" s="106"/>
      <c r="P105" s="106"/>
      <c r="Q105" s="106"/>
      <c r="R105" s="311"/>
      <c r="T105" s="106"/>
      <c r="U105" s="106"/>
      <c r="V105" s="312"/>
      <c r="Z105" s="106"/>
      <c r="AA105" s="106"/>
      <c r="AB105" s="312"/>
      <c r="AC105" s="3484"/>
      <c r="AD105" s="39"/>
      <c r="AF105" s="106"/>
      <c r="AG105" s="106"/>
      <c r="AH105" s="312"/>
      <c r="AI105" s="311"/>
      <c r="AJ105" s="3484"/>
      <c r="AK105" s="39"/>
      <c r="AM105" s="106"/>
      <c r="AN105" s="106"/>
      <c r="AO105" s="106"/>
      <c r="AP105" s="106"/>
      <c r="AQ105" s="106"/>
      <c r="AS105" s="106"/>
      <c r="AT105" s="106"/>
      <c r="AU105" s="106"/>
      <c r="AV105" s="311"/>
      <c r="AX105" s="106"/>
      <c r="AY105" s="106"/>
      <c r="AZ105" s="312"/>
    </row>
    <row r="106" spans="1:54" s="462" customFormat="1" x14ac:dyDescent="0.35">
      <c r="A106" s="9167" t="s">
        <v>566</v>
      </c>
      <c r="B106" s="139" t="s">
        <v>567</v>
      </c>
      <c r="C106" s="348"/>
      <c r="D106" s="49"/>
      <c r="E106" s="141"/>
      <c r="F106" s="227"/>
      <c r="G106" s="141"/>
      <c r="H106" s="102"/>
      <c r="I106" s="103"/>
      <c r="J106" s="228"/>
      <c r="K106" s="141"/>
      <c r="L106" s="102"/>
      <c r="M106" s="268"/>
      <c r="N106" s="141"/>
      <c r="O106" s="102"/>
      <c r="P106" s="103"/>
      <c r="Q106" s="103"/>
      <c r="R106" s="228"/>
      <c r="S106" s="141"/>
      <c r="T106" s="102"/>
      <c r="U106" s="103"/>
      <c r="V106" s="268"/>
      <c r="W106" s="141"/>
      <c r="X106"/>
      <c r="Y106"/>
      <c r="Z106" s="102"/>
      <c r="AA106" s="103"/>
      <c r="AB106" s="268"/>
      <c r="AC106" s="3248"/>
      <c r="AD106" s="39"/>
      <c r="AE106"/>
      <c r="AF106" s="102"/>
      <c r="AG106" s="103"/>
      <c r="AH106" s="2909"/>
      <c r="AI106" s="228"/>
      <c r="AJ106" s="3248"/>
      <c r="AK106" s="39"/>
      <c r="AL106"/>
      <c r="AM106" s="102"/>
      <c r="AN106" s="103"/>
      <c r="AO106" s="268"/>
      <c r="AP106" s="3697"/>
      <c r="AQ106"/>
      <c r="AR106"/>
      <c r="AS106" s="102"/>
      <c r="AT106" s="103"/>
      <c r="AU106" s="103"/>
      <c r="AV106" s="228"/>
      <c r="AW106" s="141"/>
      <c r="AX106" s="102"/>
      <c r="AY106" s="103"/>
      <c r="AZ106" s="268"/>
      <c r="BA106" s="141"/>
      <c r="BB106"/>
    </row>
    <row r="107" spans="1:54" s="462" customFormat="1" x14ac:dyDescent="0.35">
      <c r="A107" s="9168"/>
      <c r="B107" s="6082"/>
      <c r="C107"/>
      <c r="D107" s="110" t="s">
        <v>568</v>
      </c>
      <c r="E107" s="1"/>
      <c r="F107" s="3657">
        <f>SUM(F40:F45)-SUM(F63:F65)</f>
        <v>504.14265800000004</v>
      </c>
      <c r="G107" s="1446"/>
      <c r="H107" s="354">
        <f>SUM(H40:H45)-SUM(H63:H65)</f>
        <v>1115.4000000000001</v>
      </c>
      <c r="I107" s="355">
        <f>SUM(I40:I45)-SUM(I63:I65)</f>
        <v>1118.3</v>
      </c>
      <c r="J107" s="1363"/>
      <c r="K107" s="1446"/>
      <c r="L107" s="354">
        <f>SUM(L40:L45)-SUM(L63:L65)</f>
        <v>1025.67</v>
      </c>
      <c r="M107" s="1201">
        <f>SUM(M40:M45)-SUM(M63:M65)</f>
        <v>977.36</v>
      </c>
      <c r="N107" s="1"/>
      <c r="O107" s="354">
        <f>SUM(O41:O45)-SUM(O63:O65)</f>
        <v>1025.67</v>
      </c>
      <c r="P107" s="355">
        <f>SUM(P41:P45)-SUM(P63:P65)</f>
        <v>977.37</v>
      </c>
      <c r="Q107" s="352"/>
      <c r="R107" s="246"/>
      <c r="S107" s="350"/>
      <c r="T107" s="354">
        <f>SUM(T41:T45)-SUM(T63:T65)</f>
        <v>805.71400000000006</v>
      </c>
      <c r="U107" s="355"/>
      <c r="V107" s="1201">
        <f>SUM(V41:V45)-SUM(V63:V65)</f>
        <v>728.42500000000007</v>
      </c>
      <c r="W107" s="1"/>
      <c r="X107"/>
      <c r="Y107"/>
      <c r="Z107" s="354">
        <f>SUM(Z41:Z45)-SUM(Z63:Z65)</f>
        <v>1200.1849738244589</v>
      </c>
      <c r="AA107" s="355"/>
      <c r="AB107" s="1201">
        <f>SUM(AB41:AB45)-SUM(AB63:AB65)</f>
        <v>1074.5999999999999</v>
      </c>
      <c r="AC107" s="3657"/>
      <c r="AD107" s="39"/>
      <c r="AE107"/>
      <c r="AF107" s="354">
        <f>SUM(AF41:AF45)-SUM(AF63:AF65)</f>
        <v>1185.5</v>
      </c>
      <c r="AG107" s="355"/>
      <c r="AH107" s="355">
        <f>SUM(AH41:AH45)-SUM(AH63:AH65)</f>
        <v>1109.2</v>
      </c>
      <c r="AI107" s="246"/>
      <c r="AJ107" s="3657"/>
      <c r="AK107" s="39"/>
      <c r="AL107"/>
      <c r="AM107" s="354">
        <f>SUM(AM40:AM61)-SUM(AM63:AM65)</f>
        <v>1311.3</v>
      </c>
      <c r="AN107" s="355"/>
      <c r="AO107" s="1201">
        <f>SUM(AO40:AO61)-SUM(AO63:AO65)</f>
        <v>1013.3999999999999</v>
      </c>
      <c r="AP107" s="354"/>
      <c r="AQ107"/>
      <c r="AR107"/>
      <c r="AS107" s="354">
        <f>SUM(AS55:AS61)</f>
        <v>2617.37</v>
      </c>
      <c r="AT107" s="355">
        <f>SUM(AT55:AT61)</f>
        <v>2738.67</v>
      </c>
      <c r="AU107" s="259" t="s">
        <v>5126</v>
      </c>
      <c r="AV107" s="246"/>
      <c r="AW107" s="350"/>
      <c r="AX107" s="354">
        <f>SUM(AX55:AX61)</f>
        <v>2612.1999999999998</v>
      </c>
      <c r="AY107" s="355"/>
      <c r="AZ107" s="1201">
        <f>SUM(AZ55:AZ61)</f>
        <v>2566.0894688825006</v>
      </c>
      <c r="BA107" s="1"/>
      <c r="BB107"/>
    </row>
    <row r="108" spans="1:54" s="462" customFormat="1" ht="12" customHeight="1" x14ac:dyDescent="0.35">
      <c r="A108" s="9168"/>
      <c r="B108" s="6082"/>
      <c r="C108"/>
      <c r="D108" s="110" t="s">
        <v>569</v>
      </c>
      <c r="E108" s="1"/>
      <c r="F108" s="3657">
        <f>SUM(F67:F74)</f>
        <v>11.743499999999999</v>
      </c>
      <c r="G108" s="1446"/>
      <c r="H108" s="354">
        <f>SUM(H67:H74)</f>
        <v>11.4</v>
      </c>
      <c r="I108" s="355">
        <f>SUM(I67:I74)</f>
        <v>12.1</v>
      </c>
      <c r="J108" s="1363"/>
      <c r="K108" s="1446"/>
      <c r="L108" s="354">
        <f>SUM(L67:L74)</f>
        <v>22.4</v>
      </c>
      <c r="M108" s="1201">
        <f>SUM(M67:M74)</f>
        <v>19.48</v>
      </c>
      <c r="N108" s="1"/>
      <c r="O108" s="354">
        <f>SUM(O67:O74)</f>
        <v>22.400000000000002</v>
      </c>
      <c r="P108" s="355">
        <f>SUM(P67:P74)</f>
        <v>19.48</v>
      </c>
      <c r="Q108" s="352"/>
      <c r="R108" s="246"/>
      <c r="S108" s="350"/>
      <c r="T108" s="354">
        <f>SUM(T67:T74)</f>
        <v>16.482999999999997</v>
      </c>
      <c r="U108" s="355"/>
      <c r="V108" s="1201">
        <f>SUM(V67:V74)</f>
        <v>15.265999999999998</v>
      </c>
      <c r="W108" s="1"/>
      <c r="X108"/>
      <c r="Y108"/>
      <c r="Z108" s="354">
        <f>SUM(Z67:Z74)</f>
        <v>8.1</v>
      </c>
      <c r="AA108" s="355"/>
      <c r="AB108" s="1201">
        <f>SUM(AB67:AB74)</f>
        <v>8.8000000000000007</v>
      </c>
      <c r="AC108" s="3657"/>
      <c r="AD108" s="39"/>
      <c r="AE108"/>
      <c r="AF108" s="354">
        <f>SUM(AF67:AF74)</f>
        <v>8.4</v>
      </c>
      <c r="AG108" s="355"/>
      <c r="AH108" s="355">
        <f>SUM(AH67:AH74)</f>
        <v>12.700000000000001</v>
      </c>
      <c r="AI108" s="246"/>
      <c r="AJ108" s="3657"/>
      <c r="AK108" s="39"/>
      <c r="AL108"/>
      <c r="AM108" s="354">
        <f>SUM(AM67:AM74)</f>
        <v>15.9</v>
      </c>
      <c r="AN108" s="355"/>
      <c r="AO108" s="1201">
        <f>SUM(AO67:AO74)</f>
        <v>12.400000000000002</v>
      </c>
      <c r="AP108" s="354"/>
      <c r="AQ108"/>
      <c r="AR108"/>
      <c r="AS108" s="354">
        <f>SUM(AS67:AS73)</f>
        <v>16.400000000000002</v>
      </c>
      <c r="AT108" s="355">
        <f>SUM(AT67:AT73)</f>
        <v>14.9</v>
      </c>
      <c r="AU108" s="352"/>
      <c r="AV108" s="246"/>
      <c r="AW108" s="350"/>
      <c r="AX108" s="354">
        <f>SUM(AX67:AX73)</f>
        <v>18.2</v>
      </c>
      <c r="AY108" s="355"/>
      <c r="AZ108" s="1201">
        <f>SUM(AZ67:AZ73)</f>
        <v>16.539461279461278</v>
      </c>
      <c r="BA108" s="1"/>
      <c r="BB108"/>
    </row>
    <row r="109" spans="1:54" s="462" customFormat="1" x14ac:dyDescent="0.35">
      <c r="A109" s="9168"/>
      <c r="B109" s="6082"/>
      <c r="C109"/>
      <c r="D109" s="110" t="s">
        <v>570</v>
      </c>
      <c r="E109" s="1"/>
      <c r="F109" s="3657">
        <f>SUM(F76:F83)*F33</f>
        <v>0</v>
      </c>
      <c r="G109" s="1446"/>
      <c r="H109" s="354">
        <f>SUM(H76:H83)*H33</f>
        <v>0</v>
      </c>
      <c r="I109" s="355">
        <f>SUM(I76:I83)*I33</f>
        <v>0</v>
      </c>
      <c r="J109" s="1363"/>
      <c r="K109" s="1446"/>
      <c r="L109" s="354">
        <f>SUM(L76:L83)*L33</f>
        <v>0</v>
      </c>
      <c r="M109" s="1201">
        <f>SUM(M76:M83)*M33</f>
        <v>0</v>
      </c>
      <c r="N109" s="1"/>
      <c r="O109" s="354">
        <f>SUM(O76:O83)*O33</f>
        <v>0</v>
      </c>
      <c r="P109" s="355">
        <f>SUM(P76:P83)*P33</f>
        <v>0</v>
      </c>
      <c r="Q109" s="352"/>
      <c r="R109" s="246"/>
      <c r="S109" s="350"/>
      <c r="T109" s="354">
        <f>SUM(T76:T83)*T33</f>
        <v>0</v>
      </c>
      <c r="U109" s="355"/>
      <c r="V109" s="1201">
        <f>SUM(V76:V83)*V33</f>
        <v>0</v>
      </c>
      <c r="W109" s="1"/>
      <c r="X109"/>
      <c r="Y109"/>
      <c r="Z109" s="354">
        <f>SUM(Z76:Z83)*Z33</f>
        <v>0</v>
      </c>
      <c r="AA109" s="355"/>
      <c r="AB109" s="1201">
        <f>SUM(AB76:AB83)*AB33</f>
        <v>0</v>
      </c>
      <c r="AC109" s="3657"/>
      <c r="AD109" s="39"/>
      <c r="AE109"/>
      <c r="AF109" s="354">
        <f>SUM(AF76:AF83)*AF33</f>
        <v>0</v>
      </c>
      <c r="AG109" s="355"/>
      <c r="AH109" s="355">
        <f>SUM(AH76:AH83)*AH33</f>
        <v>0</v>
      </c>
      <c r="AI109" s="246"/>
      <c r="AJ109" s="3657"/>
      <c r="AK109" s="39"/>
      <c r="AL109"/>
      <c r="AM109" s="354">
        <f>SUM(AM76:AM83)*AM33</f>
        <v>0</v>
      </c>
      <c r="AN109" s="355"/>
      <c r="AO109" s="1201">
        <f>SUM(AO76:AO83)*AO33</f>
        <v>0</v>
      </c>
      <c r="AP109" s="354"/>
      <c r="AQ109"/>
      <c r="AR109"/>
      <c r="AS109" s="354">
        <f>SUM(AS76:AS83)*AS33</f>
        <v>0</v>
      </c>
      <c r="AT109" s="355">
        <f>SUM(AT76:AT83)*AT33</f>
        <v>0</v>
      </c>
      <c r="AU109" s="352"/>
      <c r="AV109" s="246"/>
      <c r="AW109" s="350"/>
      <c r="AX109" s="354">
        <f>SUM(AX76:AX83)*AX33</f>
        <v>0</v>
      </c>
      <c r="AY109" s="355"/>
      <c r="AZ109" s="1201">
        <f>SUM(AZ76:AZ83)*AZ33</f>
        <v>0</v>
      </c>
      <c r="BA109" s="1"/>
      <c r="BB109"/>
    </row>
    <row r="110" spans="1:54" s="462" customFormat="1" x14ac:dyDescent="0.35">
      <c r="A110" s="9168"/>
      <c r="B110" s="6082"/>
      <c r="C110"/>
      <c r="D110" s="110" t="s">
        <v>552</v>
      </c>
      <c r="E110" s="1"/>
      <c r="F110" s="3657">
        <f>SUM(F85:F87)</f>
        <v>779.21230000000003</v>
      </c>
      <c r="G110" s="1446"/>
      <c r="H110" s="354">
        <f>SUM(H85:H87)</f>
        <v>954.5</v>
      </c>
      <c r="I110" s="355">
        <f>SUM(I85:I87)</f>
        <v>949.40000000000009</v>
      </c>
      <c r="J110" s="1363"/>
      <c r="K110" s="1446"/>
      <c r="L110" s="354">
        <f>SUM(L85:L87)</f>
        <v>973.93</v>
      </c>
      <c r="M110" s="1201">
        <f>SUM(M85:M87)</f>
        <v>963.36999999999989</v>
      </c>
      <c r="N110" s="1"/>
      <c r="O110" s="354">
        <f>SUM(O85:O87)</f>
        <v>973.93</v>
      </c>
      <c r="P110" s="355">
        <f>SUM(P85:P87)</f>
        <v>963.36999999999989</v>
      </c>
      <c r="Q110" s="352"/>
      <c r="R110" s="246"/>
      <c r="S110" s="350"/>
      <c r="T110" s="354">
        <f>SUM(T85:T87)</f>
        <v>1174.1070000000002</v>
      </c>
      <c r="U110" s="355"/>
      <c r="V110" s="1201">
        <f>SUM(V85:V87)</f>
        <v>1484.3430000000001</v>
      </c>
      <c r="W110" s="1"/>
      <c r="X110"/>
      <c r="Y110"/>
      <c r="Z110" s="354">
        <f>SUM(Z85:Z87)</f>
        <v>1255.8999999999999</v>
      </c>
      <c r="AA110" s="355"/>
      <c r="AB110" s="1201">
        <f>SUM(AB85:AB87)</f>
        <v>1567.8000000000002</v>
      </c>
      <c r="AC110" s="3657"/>
      <c r="AD110" s="39"/>
      <c r="AE110"/>
      <c r="AF110" s="354">
        <f>SUM(AF85:AF87)</f>
        <v>1457.7</v>
      </c>
      <c r="AG110" s="355"/>
      <c r="AH110" s="355">
        <f>SUM(AH85:AH87)</f>
        <v>1786</v>
      </c>
      <c r="AI110" s="246"/>
      <c r="AJ110" s="3657"/>
      <c r="AK110" s="39"/>
      <c r="AL110"/>
      <c r="AM110" s="354">
        <f>SUM(AM85:AM87)</f>
        <v>1483.5984000000001</v>
      </c>
      <c r="AN110" s="355"/>
      <c r="AO110" s="1201">
        <f>SUM(AO85:AO87)</f>
        <v>1808.9131834529021</v>
      </c>
      <c r="AP110" s="354"/>
      <c r="AQ110"/>
      <c r="AR110"/>
      <c r="AS110" s="354">
        <f>SUM(AS85:AS87)</f>
        <v>116.0954</v>
      </c>
      <c r="AT110" s="355">
        <f>SUM(AT85:AT87)</f>
        <v>124.74263259917969</v>
      </c>
      <c r="AU110" s="7782"/>
      <c r="AV110" s="246"/>
      <c r="AW110" s="350"/>
      <c r="AX110" s="354">
        <f>SUM(AX85:AX87)</f>
        <v>128.5051</v>
      </c>
      <c r="AY110" s="355"/>
      <c r="AZ110" s="1201">
        <f>SUM(AZ85:AZ87)</f>
        <v>126.7005588940518</v>
      </c>
      <c r="BA110" s="1"/>
      <c r="BB110"/>
    </row>
    <row r="111" spans="1:54" s="462" customFormat="1" x14ac:dyDescent="0.35">
      <c r="A111" s="9168"/>
      <c r="B111" s="6082"/>
      <c r="C111"/>
      <c r="D111" s="356" t="s">
        <v>571</v>
      </c>
      <c r="E111" s="143"/>
      <c r="F111" s="3658">
        <f>SUM(F107:F110)</f>
        <v>1295.0984579999999</v>
      </c>
      <c r="G111" s="1448"/>
      <c r="H111" s="363">
        <f>SUM(H107:H110)</f>
        <v>2081.3000000000002</v>
      </c>
      <c r="I111" s="364">
        <f>SUM(I107:I110)</f>
        <v>2079.8000000000002</v>
      </c>
      <c r="J111" s="1447"/>
      <c r="K111" s="1448"/>
      <c r="L111" s="363">
        <f>SUM(L107:L110)</f>
        <v>2022</v>
      </c>
      <c r="M111" s="1202">
        <f>SUM(M107:M110)</f>
        <v>1960.21</v>
      </c>
      <c r="N111" s="143"/>
      <c r="O111" s="363">
        <f>SUM(O107:O110)</f>
        <v>2022</v>
      </c>
      <c r="P111" s="364">
        <f>SUM(P107:P110)</f>
        <v>1960.2199999999998</v>
      </c>
      <c r="Q111" s="360"/>
      <c r="R111" s="361"/>
      <c r="S111" s="358"/>
      <c r="T111" s="363">
        <f>SUM(T107:T110)</f>
        <v>1996.3040000000001</v>
      </c>
      <c r="U111" s="364"/>
      <c r="V111" s="1202">
        <f>SUM(V107:V110)</f>
        <v>2228.0340000000001</v>
      </c>
      <c r="W111" s="143"/>
      <c r="X111"/>
      <c r="Y111"/>
      <c r="Z111" s="363">
        <f>SUM(Z107:Z110)</f>
        <v>2464.1849738244587</v>
      </c>
      <c r="AA111" s="364"/>
      <c r="AB111" s="1202">
        <f>SUM(AB107:AB110)</f>
        <v>2651.2</v>
      </c>
      <c r="AC111" s="3658"/>
      <c r="AD111" s="39"/>
      <c r="AE111"/>
      <c r="AF111" s="363">
        <f>SUM(AF107:AF110)</f>
        <v>2651.6000000000004</v>
      </c>
      <c r="AG111" s="364"/>
      <c r="AH111" s="364">
        <f>SUM(AH107:AH110)</f>
        <v>2907.9</v>
      </c>
      <c r="AI111" s="361"/>
      <c r="AJ111" s="3658"/>
      <c r="AK111" s="39"/>
      <c r="AL111"/>
      <c r="AM111" s="363">
        <f>SUM(AM107:AM110)</f>
        <v>2810.7984000000001</v>
      </c>
      <c r="AN111" s="364"/>
      <c r="AO111" s="1202">
        <f>SUM(AO107:AO110)</f>
        <v>2834.7131834529018</v>
      </c>
      <c r="AP111" s="363"/>
      <c r="AQ111"/>
      <c r="AR111"/>
      <c r="AS111" s="363">
        <f>SUM(AS107:AS110)</f>
        <v>2749.8654000000001</v>
      </c>
      <c r="AT111" s="364">
        <f>SUM(AT107:AT110)</f>
        <v>2878.3126325991798</v>
      </c>
      <c r="AU111" s="360"/>
      <c r="AV111" s="361"/>
      <c r="AW111" s="358"/>
      <c r="AX111" s="363">
        <f>SUM(AX107:AX110)</f>
        <v>2758.9050999999995</v>
      </c>
      <c r="AY111" s="364"/>
      <c r="AZ111" s="1202">
        <f>SUM(AZ107:AZ110)</f>
        <v>2709.3294890560137</v>
      </c>
      <c r="BA111" s="143"/>
      <c r="BB111"/>
    </row>
    <row r="112" spans="1:54" s="462" customFormat="1" ht="15.5" x14ac:dyDescent="0.35">
      <c r="A112" s="9168"/>
      <c r="B112" s="6082"/>
      <c r="C112"/>
      <c r="D112" s="356" t="s">
        <v>572</v>
      </c>
      <c r="E112" s="1"/>
      <c r="F112" s="366">
        <f>F111/(F19+F20+F21)</f>
        <v>0.14422995500812968</v>
      </c>
      <c r="G112" s="367"/>
      <c r="H112" s="368">
        <f>H111/(H19+H20+H21)</f>
        <v>0.14710705248724221</v>
      </c>
      <c r="I112" s="369">
        <f>I111/(I19+I20+I21)</f>
        <v>0.1536415817739922</v>
      </c>
      <c r="J112" s="370"/>
      <c r="K112" s="367"/>
      <c r="L112" s="368">
        <f>L111/(L19+L20+L21)</f>
        <v>0.14767208325725761</v>
      </c>
      <c r="M112" s="370">
        <f>M111/(M19+M20+M21)</f>
        <v>0.15780910364371167</v>
      </c>
      <c r="N112" s="1"/>
      <c r="O112" s="368">
        <f>O111/(O19+O20+O21)</f>
        <v>0.14767208325725761</v>
      </c>
      <c r="P112" s="369">
        <f>P111/(P19+P20+P21)</f>
        <v>0.15780990870594297</v>
      </c>
      <c r="Q112" s="369"/>
      <c r="R112" s="370"/>
      <c r="S112" s="367"/>
      <c r="T112" s="368">
        <f>T111/(T19+T20+T21)</f>
        <v>0.16111049237747055</v>
      </c>
      <c r="U112" s="369"/>
      <c r="V112" s="370">
        <f>V111/(V19+V20+V21)</f>
        <v>0.18102176615399618</v>
      </c>
      <c r="W112" s="1"/>
      <c r="X112"/>
      <c r="Y112"/>
      <c r="Z112" s="368">
        <f>Z111/(Z19+Z20+Z21)</f>
        <v>0.21298423255583143</v>
      </c>
      <c r="AA112" s="369"/>
      <c r="AB112" s="370">
        <f>AB111/(AB19+AB20+AB21)</f>
        <v>0.20761971886134931</v>
      </c>
      <c r="AC112" s="366"/>
      <c r="AD112" s="39"/>
      <c r="AE112"/>
      <c r="AF112" s="368">
        <f>AF111/(AF19+AF20+AF21)</f>
        <v>0.19890779248057133</v>
      </c>
      <c r="AG112" s="369"/>
      <c r="AH112" s="369">
        <f>AH111/(AH19+AH20+AH21)</f>
        <v>0.19838719580834646</v>
      </c>
      <c r="AI112" s="370"/>
      <c r="AJ112" s="366"/>
      <c r="AK112" s="8471"/>
      <c r="AL112" s="3201"/>
      <c r="AM112" s="368">
        <f>AM111/(AM19+AM20+AM21)</f>
        <v>0.1985812468207766</v>
      </c>
      <c r="AN112" s="369"/>
      <c r="AO112" s="370">
        <f>AO111/(AO19+AO20+AO21)</f>
        <v>0.19764290877894539</v>
      </c>
      <c r="AP112" s="368"/>
      <c r="AQ112"/>
      <c r="AR112"/>
      <c r="AS112" s="368">
        <f>AS111/(AS24+AS26)</f>
        <v>0.19040751973410885</v>
      </c>
      <c r="AT112" s="369">
        <f>AT111/(AT24+AT26)</f>
        <v>0.18306033927987</v>
      </c>
      <c r="AU112" s="369"/>
      <c r="AV112" s="370"/>
      <c r="AW112" s="367"/>
      <c r="AX112" s="368">
        <f>AX111/(AX24+AX26)</f>
        <v>0.16650402544418694</v>
      </c>
      <c r="AY112" s="369"/>
      <c r="AZ112" s="370">
        <f>AZ111/(AZ24+AZ26)</f>
        <v>0.17013164849110599</v>
      </c>
      <c r="BA112" s="1"/>
      <c r="BB112"/>
    </row>
    <row r="113" spans="1:54" s="462" customFormat="1" x14ac:dyDescent="0.35">
      <c r="A113" s="9168"/>
      <c r="B113" s="4828"/>
      <c r="C113" s="4829"/>
      <c r="D113" s="4830" t="s">
        <v>573</v>
      </c>
      <c r="E113" s="374"/>
      <c r="F113" s="4831"/>
      <c r="G113" s="4832"/>
      <c r="H113" s="4833"/>
      <c r="I113" s="4834"/>
      <c r="J113" s="4835"/>
      <c r="K113" s="4832"/>
      <c r="L113" s="4836"/>
      <c r="M113" s="4837"/>
      <c r="N113" s="1"/>
      <c r="O113" s="4836">
        <f>O41+SUM(O67:O71)+O85+O86+O87</f>
        <v>1838.5</v>
      </c>
      <c r="P113" s="4834">
        <f>P41+SUM(P67:P71)+P85+P86+P87</f>
        <v>1787.12</v>
      </c>
      <c r="Q113" s="383"/>
      <c r="R113" s="384"/>
      <c r="S113" s="385"/>
      <c r="T113" s="4836">
        <f>T41+SUM(T67:T71)+T85+T86+T87</f>
        <v>1812.8040000000001</v>
      </c>
      <c r="U113" s="383"/>
      <c r="V113" s="4837">
        <f>V41+SUM(V67:V71)+V85+V86+V87</f>
        <v>2054.9340000000002</v>
      </c>
      <c r="W113" s="1"/>
      <c r="X113"/>
      <c r="Y113"/>
      <c r="Z113" s="4836">
        <f>Z41+Z43+Z67+Z69+Z70+Z85+Z86+Z87</f>
        <v>2107.6849738244587</v>
      </c>
      <c r="AA113" s="383"/>
      <c r="AB113" s="4837">
        <f>AB41+AB43+AB67+AB69+AB70+AB85+AB86+AB87</f>
        <v>2521.4062394348366</v>
      </c>
      <c r="AC113" s="4838"/>
      <c r="AD113" s="39"/>
      <c r="AE113"/>
      <c r="AF113" s="4836">
        <f>AF41+AF43+AF67+AF69+AF70+AF85+AF86+AF87</f>
        <v>2381.6043812072276</v>
      </c>
      <c r="AG113" s="383"/>
      <c r="AH113" s="4834">
        <f>AH41+AH43+AH67+AH69+AH70+AH85+AH86+AH87</f>
        <v>2771.114366388073</v>
      </c>
      <c r="AI113" s="384"/>
      <c r="AJ113" s="4838"/>
      <c r="AK113" s="39"/>
      <c r="AL113"/>
      <c r="AM113" s="4836">
        <f>AM41+AM43+AM67+AM69+AM70+AM85+AM86+AM87</f>
        <v>1496.9983999999999</v>
      </c>
      <c r="AN113" s="383"/>
      <c r="AO113" s="4837">
        <f>AO41+AO43+AO67+AO69+AO70+AO85+AO86+AO87</f>
        <v>1819.5131834529022</v>
      </c>
      <c r="AP113" s="8472"/>
      <c r="AQ113"/>
      <c r="AR113"/>
      <c r="AS113" s="8473">
        <f>AS55+AS57+AS58+AS59+AS60+AS85+AS86+AS87</f>
        <v>2210.5954000000002</v>
      </c>
      <c r="AT113" s="8474">
        <f>AT55+AT57+AT58+AT59+AT60+AT85+AT86+AT87</f>
        <v>2340.5426325991798</v>
      </c>
      <c r="AU113" s="383"/>
      <c r="AV113" s="384"/>
      <c r="AW113" s="385"/>
      <c r="AX113" s="4836">
        <f>AX55+AX57+AX58+AX59+AX60+AX85+AX86+AX87</f>
        <v>2350.4050999999999</v>
      </c>
      <c r="AY113" s="383"/>
      <c r="AZ113" s="4837">
        <f>AZ55+AZ57+AZ58+AZ59+AZ60+AZ85+AZ86+AZ87</f>
        <v>2296.7932298499577</v>
      </c>
      <c r="BA113" s="1"/>
      <c r="BB113"/>
    </row>
    <row r="114" spans="1:54" s="462" customFormat="1" x14ac:dyDescent="0.35">
      <c r="A114" s="9168"/>
      <c r="B114" s="4771"/>
      <c r="C114" s="4839"/>
      <c r="D114" s="4772" t="s">
        <v>575</v>
      </c>
      <c r="E114" s="392"/>
      <c r="F114" s="4840"/>
      <c r="G114" s="401"/>
      <c r="H114" s="4841"/>
      <c r="I114" s="4842"/>
      <c r="J114" s="400"/>
      <c r="K114" s="401"/>
      <c r="L114" s="4843"/>
      <c r="M114" s="4844"/>
      <c r="N114" s="1"/>
      <c r="O114" s="4843">
        <f>(O111-O113)/((O20+O21))</f>
        <v>2.8384482118549687E-2</v>
      </c>
      <c r="P114" s="4842">
        <f>(P111-P113)/((P20+P21))</f>
        <v>3.6652762191119466E-2</v>
      </c>
      <c r="Q114" s="399"/>
      <c r="R114" s="400"/>
      <c r="S114" s="401"/>
      <c r="T114" s="4843">
        <f>(T111-T113)/((T20+T21))</f>
        <v>5.1318622926979328E-2</v>
      </c>
      <c r="U114" s="399"/>
      <c r="V114" s="4844">
        <f>(V111-V113)/((V20+V21))</f>
        <v>4.1964653688574251E-2</v>
      </c>
      <c r="W114" s="1"/>
      <c r="X114"/>
      <c r="Y114"/>
      <c r="Z114" s="4843">
        <f>(Z111-Z113)/((Z20+Z21))</f>
        <v>0.1596078080229226</v>
      </c>
      <c r="AA114" s="399"/>
      <c r="AB114" s="4844">
        <f>(AB111-AB113)/((AB20+AB21))</f>
        <v>4.9592602997540584E-2</v>
      </c>
      <c r="AC114" s="4811"/>
      <c r="AD114" s="39"/>
      <c r="AE114"/>
      <c r="AF114" s="4843">
        <f>(AF111-AF113)/((AF20+AF21))</f>
        <v>0.1187994978627944</v>
      </c>
      <c r="AG114" s="399"/>
      <c r="AH114" s="4842">
        <f>(AH111-AH113)/((AH20+AH21))</f>
        <v>4.2858012787293856E-2</v>
      </c>
      <c r="AI114" s="400"/>
      <c r="AJ114" s="4811"/>
      <c r="AK114" s="39"/>
      <c r="AL114"/>
      <c r="AM114" s="4843">
        <f>(AM111-AM113)/((AM20+AM21))</f>
        <v>0.23899874479270891</v>
      </c>
      <c r="AN114" s="399"/>
      <c r="AO114" s="4844">
        <f>(AO111-AO113)/((AO20+AO21))</f>
        <v>0.19847507331378292</v>
      </c>
      <c r="AP114" s="8475"/>
      <c r="AQ114"/>
      <c r="AR114"/>
      <c r="AS114" s="4843">
        <f>(AS111-AS113)/((AS26))</f>
        <v>0.21755284815233175</v>
      </c>
      <c r="AT114" s="4842">
        <f>(AT111-AT113)/((AT26))</f>
        <v>0.17855435287867719</v>
      </c>
      <c r="AU114" s="399"/>
      <c r="AV114" s="400"/>
      <c r="AW114" s="401"/>
      <c r="AX114" s="4843">
        <f>(AX111-AX113)/((AX26))</f>
        <v>6.8305325641668677E-2</v>
      </c>
      <c r="AY114" s="399"/>
      <c r="AZ114" s="4844">
        <f>(AZ111-AZ113)/((AZ26))</f>
        <v>6.4564716989757576E-2</v>
      </c>
      <c r="BA114" s="1"/>
      <c r="BB114"/>
    </row>
    <row r="115" spans="1:54" s="462" customFormat="1" x14ac:dyDescent="0.35">
      <c r="A115" s="9168"/>
      <c r="B115" s="4771"/>
      <c r="C115" s="4839"/>
      <c r="D115" s="4772" t="s">
        <v>576</v>
      </c>
      <c r="E115" s="392"/>
      <c r="F115" s="4840"/>
      <c r="G115" s="401"/>
      <c r="H115" s="4841"/>
      <c r="I115" s="4842"/>
      <c r="J115" s="400"/>
      <c r="K115" s="401"/>
      <c r="L115" s="4843"/>
      <c r="M115" s="4844"/>
      <c r="N115" s="1"/>
      <c r="O115" s="4843">
        <f>O113/(O19)</f>
        <v>0.25436860965452357</v>
      </c>
      <c r="P115" s="4842">
        <f>P113/(P19)</f>
        <v>0.23213269772818784</v>
      </c>
      <c r="Q115" s="399"/>
      <c r="R115" s="400"/>
      <c r="S115" s="401"/>
      <c r="T115" s="4843">
        <f>T113/(T19)</f>
        <v>0.20564524911516471</v>
      </c>
      <c r="U115" s="399"/>
      <c r="V115" s="4844">
        <f>V113/(V19)</f>
        <v>0.25111618926581292</v>
      </c>
      <c r="W115" s="1"/>
      <c r="X115"/>
      <c r="Y115"/>
      <c r="Z115" s="4843">
        <f>Z113/(Z19)</f>
        <v>0.22575405130829015</v>
      </c>
      <c r="AA115" s="399"/>
      <c r="AB115" s="4844">
        <f>AB113/(AB19)</f>
        <v>0.24835812962923051</v>
      </c>
      <c r="AC115" s="4811"/>
      <c r="AD115" s="39"/>
      <c r="AE115"/>
      <c r="AF115" s="4843">
        <f>AF113/(AF19)</f>
        <v>0.21537193380483333</v>
      </c>
      <c r="AG115" s="399"/>
      <c r="AH115" s="4842">
        <f>AH113/(AH19)</f>
        <v>0.24167889399081405</v>
      </c>
      <c r="AI115" s="400"/>
      <c r="AJ115" s="4811"/>
      <c r="AK115" s="39"/>
      <c r="AL115"/>
      <c r="AM115" s="4843">
        <f>AM113/(AM19)</f>
        <v>0.17291746849479631</v>
      </c>
      <c r="AN115" s="399"/>
      <c r="AO115" s="4844">
        <f>AO113/(AO19)</f>
        <v>0.19718162723274768</v>
      </c>
      <c r="AP115" s="8475"/>
      <c r="AQ115"/>
      <c r="AR115"/>
      <c r="AS115" s="4843">
        <f>AS113/(AS24)</f>
        <v>0.18478295104988632</v>
      </c>
      <c r="AT115" s="4842">
        <f>AT113/(AT24)</f>
        <v>0.18412796543281121</v>
      </c>
      <c r="AU115" s="399"/>
      <c r="AV115" s="400"/>
      <c r="AW115" s="401"/>
      <c r="AX115" s="4843">
        <f>AX113/(AX24)</f>
        <v>0.22196457678178502</v>
      </c>
      <c r="AY115" s="399"/>
      <c r="AZ115" s="4844">
        <f>AZ113/(AZ24)</f>
        <v>0.24087015016149901</v>
      </c>
      <c r="BA115" s="1"/>
      <c r="BB115"/>
    </row>
    <row r="116" spans="1:54" s="462" customFormat="1" x14ac:dyDescent="0.35">
      <c r="A116" s="9168"/>
      <c r="B116" s="4771"/>
      <c r="C116" s="4839"/>
      <c r="D116" s="4772"/>
      <c r="E116" s="392"/>
      <c r="F116" s="4845"/>
      <c r="G116" s="4846"/>
      <c r="H116" s="4847"/>
      <c r="I116" s="4848"/>
      <c r="J116" s="4849"/>
      <c r="K116" s="4846"/>
      <c r="L116" s="4850"/>
      <c r="M116" s="4851"/>
      <c r="N116" s="1"/>
      <c r="O116" s="4850"/>
      <c r="P116" s="4848"/>
      <c r="Q116" s="4852"/>
      <c r="R116" s="4849"/>
      <c r="S116" s="4846"/>
      <c r="T116" s="4850"/>
      <c r="U116" s="4852"/>
      <c r="V116" s="4851"/>
      <c r="W116" s="1"/>
      <c r="X116"/>
      <c r="Y116"/>
      <c r="Z116" s="4850"/>
      <c r="AA116" s="4852"/>
      <c r="AB116" s="4851"/>
      <c r="AC116" s="4853"/>
      <c r="AD116" s="39"/>
      <c r="AE116"/>
      <c r="AF116" s="4850"/>
      <c r="AG116" s="4852"/>
      <c r="AH116" s="4848"/>
      <c r="AI116" s="4849"/>
      <c r="AJ116" s="4853"/>
      <c r="AK116" s="39"/>
      <c r="AL116"/>
      <c r="AM116" s="4850"/>
      <c r="AN116" s="4852"/>
      <c r="AO116" s="4851"/>
      <c r="AP116" s="7391"/>
      <c r="AQ116"/>
      <c r="AR116"/>
      <c r="AS116" s="4850"/>
      <c r="AT116" s="4848"/>
      <c r="AU116" s="4852"/>
      <c r="AV116" s="4849"/>
      <c r="AW116" s="4846"/>
      <c r="AX116" s="4850"/>
      <c r="AY116" s="4852"/>
      <c r="AZ116" s="4851"/>
      <c r="BA116" s="1"/>
      <c r="BB116"/>
    </row>
    <row r="117" spans="1:54" s="462" customFormat="1" x14ac:dyDescent="0.35">
      <c r="A117" s="9168"/>
      <c r="B117" s="4771"/>
      <c r="C117" s="4839"/>
      <c r="D117" s="4772" t="s">
        <v>577</v>
      </c>
      <c r="E117" s="392"/>
      <c r="F117" s="4840">
        <f>F111/F11</f>
        <v>0.15641474631336127</v>
      </c>
      <c r="G117" s="401"/>
      <c r="H117" s="4841">
        <f>H111/H11</f>
        <v>0.18717063256533395</v>
      </c>
      <c r="I117" s="4842">
        <f>I111/I11</f>
        <v>0.19565196940762553</v>
      </c>
      <c r="J117" s="400"/>
      <c r="K117" s="401"/>
      <c r="L117" s="4843">
        <f>L111/L11</f>
        <v>0.1825634728592582</v>
      </c>
      <c r="M117" s="4844">
        <f>M111/M11</f>
        <v>0.19323836750788645</v>
      </c>
      <c r="N117" s="1"/>
      <c r="O117" s="4843">
        <f>O111/O11</f>
        <v>0.1825634728592582</v>
      </c>
      <c r="P117" s="4842">
        <f>P111/P11</f>
        <v>0.19323935331230283</v>
      </c>
      <c r="Q117" s="399"/>
      <c r="R117" s="400"/>
      <c r="S117" s="401"/>
      <c r="T117" s="4843">
        <f>T111/T11</f>
        <v>0.18854401208915755</v>
      </c>
      <c r="U117" s="399"/>
      <c r="V117" s="4844">
        <f>V111/V11</f>
        <v>0.24604207387775387</v>
      </c>
      <c r="W117" s="1"/>
      <c r="X117"/>
      <c r="Y117"/>
      <c r="Z117" s="4843">
        <f>Z111/Z11</f>
        <v>0.23457258199185707</v>
      </c>
      <c r="AA117" s="399"/>
      <c r="AB117" s="4844">
        <f>AB111/AB11</f>
        <v>0.2628854734754586</v>
      </c>
      <c r="AC117" s="4811"/>
      <c r="AD117" s="39"/>
      <c r="AE117"/>
      <c r="AF117" s="4843">
        <f>AF111/AF11</f>
        <v>0.2337529532070948</v>
      </c>
      <c r="AG117" s="399"/>
      <c r="AH117" s="4842">
        <f>AH111/AH11</f>
        <v>0.23737765405996689</v>
      </c>
      <c r="AI117" s="400"/>
      <c r="AJ117" s="4811"/>
      <c r="AK117" s="39"/>
      <c r="AL117"/>
      <c r="AM117" s="4843">
        <f>AM111/AM11</f>
        <v>0.21096230026193927</v>
      </c>
      <c r="AN117" s="399"/>
      <c r="AO117" s="4844">
        <f>AO111/AO11</f>
        <v>0.21694344232263188</v>
      </c>
      <c r="AP117" s="8475"/>
      <c r="AQ117"/>
      <c r="AR117"/>
      <c r="AS117" s="4843">
        <f>AS111/(AS12+AS16)</f>
        <v>0.22765105593867194</v>
      </c>
      <c r="AT117" s="4842">
        <f>AT111/(AT12+AT16)</f>
        <v>0.2417754565430352</v>
      </c>
      <c r="AU117" s="399"/>
      <c r="AV117" s="400"/>
      <c r="AW117" s="401"/>
      <c r="AX117" s="4843">
        <f>AX111/(AX12+AX16)</f>
        <v>0.20959068774547412</v>
      </c>
      <c r="AY117" s="399"/>
      <c r="AZ117" s="4844">
        <f>AZ111/(AZ12+AZ16)</f>
        <v>0.25983787178057099</v>
      </c>
      <c r="BA117" s="1"/>
      <c r="BB117"/>
    </row>
    <row r="118" spans="1:54" s="462" customFormat="1" x14ac:dyDescent="0.35">
      <c r="A118" s="9168"/>
      <c r="B118" s="4771"/>
      <c r="C118" s="4839"/>
      <c r="D118" s="4772" t="s">
        <v>578</v>
      </c>
      <c r="E118" s="392"/>
      <c r="F118" s="4854"/>
      <c r="G118" s="392"/>
      <c r="H118" s="4855"/>
      <c r="I118" s="4856"/>
      <c r="J118" s="229"/>
      <c r="K118" s="392"/>
      <c r="L118" s="4857"/>
      <c r="M118" s="4858"/>
      <c r="N118" s="1"/>
      <c r="O118" s="4857"/>
      <c r="P118" s="4856"/>
      <c r="Q118" s="254"/>
      <c r="R118" s="247"/>
      <c r="S118" s="1742"/>
      <c r="T118" s="4857"/>
      <c r="U118" s="254"/>
      <c r="V118" s="4858"/>
      <c r="W118" s="1"/>
      <c r="X118"/>
      <c r="Y118"/>
      <c r="Z118" s="4857"/>
      <c r="AA118" s="254"/>
      <c r="AB118" s="4858"/>
      <c r="AC118" s="26"/>
      <c r="AD118" s="39"/>
      <c r="AE118"/>
      <c r="AF118" s="4857"/>
      <c r="AG118" s="254"/>
      <c r="AH118" s="4856"/>
      <c r="AI118" s="247"/>
      <c r="AJ118" s="26"/>
      <c r="AK118" s="39"/>
      <c r="AL118"/>
      <c r="AM118" s="4857"/>
      <c r="AN118" s="254"/>
      <c r="AO118" s="4858"/>
      <c r="AP118" s="943"/>
      <c r="AQ118"/>
      <c r="AR118"/>
      <c r="AS118" s="4857"/>
      <c r="AT118" s="4856"/>
      <c r="AU118" s="254"/>
      <c r="AV118" s="247"/>
      <c r="AW118" s="1742"/>
      <c r="AX118" s="4857"/>
      <c r="AY118" s="254"/>
      <c r="AZ118" s="4858"/>
      <c r="BA118" s="1"/>
      <c r="BB118"/>
    </row>
    <row r="119" spans="1:54" s="462" customFormat="1" x14ac:dyDescent="0.35">
      <c r="A119" s="9168"/>
      <c r="B119" s="4771"/>
      <c r="C119" s="4839"/>
      <c r="D119" s="4772" t="s">
        <v>579</v>
      </c>
      <c r="E119" s="392"/>
      <c r="F119" s="4854"/>
      <c r="G119" s="392"/>
      <c r="H119" s="4855"/>
      <c r="I119" s="4856"/>
      <c r="J119" s="229"/>
      <c r="K119" s="392"/>
      <c r="L119" s="4857"/>
      <c r="M119" s="4858"/>
      <c r="N119" s="1"/>
      <c r="O119" s="4857"/>
      <c r="P119" s="4856"/>
      <c r="Q119" s="407"/>
      <c r="R119" s="408"/>
      <c r="S119" s="409"/>
      <c r="T119" s="4857"/>
      <c r="U119" s="407"/>
      <c r="V119" s="4858"/>
      <c r="W119" s="1"/>
      <c r="X119"/>
      <c r="Y119"/>
      <c r="Z119" s="4857"/>
      <c r="AA119" s="407"/>
      <c r="AB119" s="4858"/>
      <c r="AC119" s="26"/>
      <c r="AD119" s="39"/>
      <c r="AE119"/>
      <c r="AF119" s="4857"/>
      <c r="AG119" s="407"/>
      <c r="AH119" s="4856"/>
      <c r="AI119" s="408"/>
      <c r="AJ119" s="26"/>
      <c r="AK119" s="39"/>
      <c r="AL119"/>
      <c r="AM119" s="4857"/>
      <c r="AN119" s="407"/>
      <c r="AO119" s="4858"/>
      <c r="AP119" s="943"/>
      <c r="AQ119"/>
      <c r="AR119"/>
      <c r="AS119" s="4857"/>
      <c r="AT119" s="4856"/>
      <c r="AU119" s="407"/>
      <c r="AV119" s="408"/>
      <c r="AW119" s="409"/>
      <c r="AX119" s="4857"/>
      <c r="AY119" s="407"/>
      <c r="AZ119" s="4858"/>
      <c r="BA119" s="1"/>
      <c r="BB119"/>
    </row>
    <row r="120" spans="1:54" s="462" customFormat="1" x14ac:dyDescent="0.35">
      <c r="A120" s="9168"/>
      <c r="B120" s="4771"/>
      <c r="C120" s="4839"/>
      <c r="D120" s="4772"/>
      <c r="E120" s="392"/>
      <c r="F120" s="4854"/>
      <c r="G120" s="392"/>
      <c r="H120" s="4855"/>
      <c r="I120" s="4856"/>
      <c r="J120" s="229"/>
      <c r="K120" s="392"/>
      <c r="L120" s="4857"/>
      <c r="M120" s="4858"/>
      <c r="N120" s="1"/>
      <c r="O120" s="4857"/>
      <c r="P120" s="4856"/>
      <c r="Q120" s="407"/>
      <c r="R120" s="408"/>
      <c r="S120" s="409"/>
      <c r="T120" s="4857"/>
      <c r="U120" s="407"/>
      <c r="V120" s="4858"/>
      <c r="W120" s="1"/>
      <c r="X120"/>
      <c r="Y120"/>
      <c r="Z120" s="4857"/>
      <c r="AA120" s="407"/>
      <c r="AB120" s="4858"/>
      <c r="AC120" s="26"/>
      <c r="AD120" s="39"/>
      <c r="AE120"/>
      <c r="AF120" s="4857"/>
      <c r="AG120" s="407"/>
      <c r="AH120" s="4856"/>
      <c r="AI120" s="408"/>
      <c r="AJ120" s="26"/>
      <c r="AK120" s="39"/>
      <c r="AL120"/>
      <c r="AM120" s="4857"/>
      <c r="AN120" s="407"/>
      <c r="AO120" s="4858"/>
      <c r="AP120" s="943"/>
      <c r="AQ120"/>
      <c r="AR120"/>
      <c r="AS120" s="4857"/>
      <c r="AT120" s="4856"/>
      <c r="AU120" s="407"/>
      <c r="AV120" s="408"/>
      <c r="AW120" s="409"/>
      <c r="AX120" s="4857"/>
      <c r="AY120" s="407"/>
      <c r="AZ120" s="4858"/>
      <c r="BA120" s="1"/>
      <c r="BB120"/>
    </row>
    <row r="121" spans="1:54" s="462" customFormat="1" x14ac:dyDescent="0.35">
      <c r="A121" s="9168"/>
      <c r="B121" s="4771"/>
      <c r="C121" s="4839"/>
      <c r="D121" s="4772" t="s">
        <v>580</v>
      </c>
      <c r="E121" s="424"/>
      <c r="F121" s="4859"/>
      <c r="G121" s="982"/>
      <c r="H121" s="4860"/>
      <c r="I121" s="4861"/>
      <c r="J121" s="246"/>
      <c r="K121" s="982"/>
      <c r="L121" s="4862"/>
      <c r="M121" s="4863"/>
      <c r="N121" s="1"/>
      <c r="O121" s="4862"/>
      <c r="P121" s="4861"/>
      <c r="Q121" s="407"/>
      <c r="R121" s="408"/>
      <c r="S121" s="409"/>
      <c r="T121" s="4862"/>
      <c r="U121" s="407"/>
      <c r="V121" s="4863"/>
      <c r="W121" s="1"/>
      <c r="X121"/>
      <c r="Y121"/>
      <c r="Z121" s="4862"/>
      <c r="AA121" s="407"/>
      <c r="AB121" s="4863"/>
      <c r="AC121" s="4864"/>
      <c r="AD121" s="39"/>
      <c r="AE121"/>
      <c r="AF121" s="4862"/>
      <c r="AG121" s="407"/>
      <c r="AH121" s="4861"/>
      <c r="AI121" s="408"/>
      <c r="AJ121" s="4864"/>
      <c r="AK121" s="39"/>
      <c r="AL121"/>
      <c r="AM121" s="4862"/>
      <c r="AN121" s="407"/>
      <c r="AO121" s="4863"/>
      <c r="AP121" s="7392"/>
      <c r="AQ121"/>
      <c r="AR121"/>
      <c r="AS121" s="4862"/>
      <c r="AT121" s="4861"/>
      <c r="AU121" s="407"/>
      <c r="AV121" s="408"/>
      <c r="AW121" s="409"/>
      <c r="AX121" s="4862"/>
      <c r="AY121" s="407"/>
      <c r="AZ121" s="4863"/>
      <c r="BA121" s="1"/>
      <c r="BB121"/>
    </row>
    <row r="122" spans="1:54" s="462" customFormat="1" x14ac:dyDescent="0.35">
      <c r="A122" s="9169"/>
      <c r="B122" s="4785"/>
      <c r="C122" s="4865"/>
      <c r="D122" s="4786" t="s">
        <v>581</v>
      </c>
      <c r="E122" s="274"/>
      <c r="F122" s="4866"/>
      <c r="G122" s="460"/>
      <c r="H122" s="4867"/>
      <c r="I122" s="4868"/>
      <c r="J122" s="706"/>
      <c r="K122" s="460"/>
      <c r="L122" s="4869"/>
      <c r="M122" s="4870"/>
      <c r="N122" s="1"/>
      <c r="O122" s="4869"/>
      <c r="P122" s="4868"/>
      <c r="Q122" s="1534"/>
      <c r="R122" s="706"/>
      <c r="S122" s="694"/>
      <c r="T122" s="4869"/>
      <c r="U122" s="1534"/>
      <c r="V122" s="4870"/>
      <c r="W122" s="1"/>
      <c r="X122"/>
      <c r="Y122"/>
      <c r="Z122" s="4869"/>
      <c r="AA122" s="1534"/>
      <c r="AB122" s="4870"/>
      <c r="AC122" s="4871"/>
      <c r="AD122" s="39"/>
      <c r="AE122"/>
      <c r="AF122" s="4869"/>
      <c r="AG122" s="1534"/>
      <c r="AH122" s="4868"/>
      <c r="AI122" s="706"/>
      <c r="AJ122" s="4871"/>
      <c r="AK122" s="39"/>
      <c r="AL122"/>
      <c r="AM122" s="4869"/>
      <c r="AN122" s="1534"/>
      <c r="AO122" s="4870"/>
      <c r="AP122" s="8476"/>
      <c r="AQ122"/>
      <c r="AR122"/>
      <c r="AS122" s="4869"/>
      <c r="AT122" s="4868"/>
      <c r="AU122" s="1534"/>
      <c r="AV122" s="706"/>
      <c r="AW122" s="694"/>
      <c r="AX122" s="4869"/>
      <c r="AY122" s="1534"/>
      <c r="AZ122" s="4870"/>
      <c r="BA122" s="1"/>
      <c r="BB122"/>
    </row>
    <row r="123" spans="1:54" s="462" customFormat="1" ht="93" customHeight="1" x14ac:dyDescent="0.3">
      <c r="A123" s="9170"/>
      <c r="B123" s="9171"/>
      <c r="C123" s="9171"/>
      <c r="D123" s="9171"/>
      <c r="E123" s="9171"/>
      <c r="F123" s="9171"/>
      <c r="G123" s="9171"/>
      <c r="H123" s="9171"/>
      <c r="I123" s="9171"/>
      <c r="J123" s="9171"/>
      <c r="K123" s="9171"/>
      <c r="L123" s="9171"/>
      <c r="M123" s="9172"/>
      <c r="N123" s="456"/>
      <c r="O123" s="459"/>
      <c r="P123" s="459"/>
      <c r="Q123" s="459"/>
      <c r="R123" s="7"/>
      <c r="S123" s="456"/>
      <c r="W123" s="456"/>
      <c r="AI123" s="7"/>
      <c r="AS123" s="459"/>
      <c r="AT123" s="459"/>
      <c r="AU123" s="459"/>
      <c r="AV123" s="7"/>
      <c r="AW123" s="456"/>
      <c r="BA123" s="456"/>
    </row>
    <row r="124" spans="1:54" x14ac:dyDescent="0.35">
      <c r="A124" s="455" t="s">
        <v>582</v>
      </c>
      <c r="B124" s="455"/>
      <c r="C124" s="456"/>
      <c r="E124" s="456"/>
      <c r="F124" s="456"/>
      <c r="G124" s="456"/>
      <c r="H124" s="459"/>
      <c r="I124" s="459"/>
      <c r="K124" s="456"/>
      <c r="L124" s="462"/>
      <c r="M124" s="462"/>
      <c r="N124" s="456"/>
      <c r="O124" s="459"/>
      <c r="P124" s="459"/>
      <c r="Q124" s="459"/>
      <c r="S124" s="456"/>
      <c r="T124" s="462"/>
      <c r="U124" s="462"/>
      <c r="V124" s="462"/>
      <c r="W124" s="456"/>
      <c r="X124" s="462"/>
      <c r="Y124" s="462"/>
      <c r="Z124" s="462"/>
      <c r="AA124" s="462"/>
      <c r="AB124" s="462"/>
      <c r="AC124" s="462"/>
      <c r="AD124" s="462"/>
      <c r="AE124" s="462"/>
      <c r="AF124" s="462"/>
      <c r="AG124" s="462"/>
      <c r="AH124" s="462"/>
      <c r="AJ124" s="462"/>
      <c r="AK124" s="462"/>
      <c r="AL124" s="462"/>
      <c r="AM124" s="462"/>
      <c r="AN124" s="462"/>
      <c r="AO124" s="462"/>
      <c r="AP124" s="462"/>
      <c r="AQ124" s="462"/>
      <c r="AR124" s="462"/>
      <c r="AS124" s="459"/>
      <c r="AT124" s="459"/>
      <c r="AU124" s="459"/>
      <c r="AW124" s="456"/>
      <c r="AX124" s="462"/>
      <c r="AY124" s="462"/>
      <c r="AZ124" s="462"/>
      <c r="BA124" s="456"/>
      <c r="BB124" s="462"/>
    </row>
    <row r="125" spans="1:54" x14ac:dyDescent="0.35">
      <c r="A125" s="463">
        <v>1</v>
      </c>
      <c r="B125" s="464" t="str">
        <f>X9</f>
        <v>http://www.treasury.gov.pg/html/national_budget/files/2012/budget_html/related_budget_documents.htm</v>
      </c>
      <c r="C125" s="462"/>
      <c r="D125" s="709"/>
      <c r="E125" s="466"/>
      <c r="F125" s="466"/>
      <c r="G125" s="466"/>
      <c r="H125" s="466"/>
      <c r="I125" s="466"/>
      <c r="J125" s="467"/>
      <c r="K125" s="466"/>
      <c r="L125" s="466"/>
      <c r="M125" s="466"/>
      <c r="N125" s="456"/>
      <c r="O125" s="466"/>
      <c r="P125" s="466"/>
      <c r="Q125" s="466"/>
      <c r="R125" s="467"/>
      <c r="S125" s="466"/>
      <c r="T125" s="466"/>
      <c r="U125" s="466"/>
      <c r="V125" s="466"/>
      <c r="W125" s="456"/>
      <c r="X125" s="577"/>
      <c r="Y125" s="462"/>
      <c r="Z125" s="462"/>
      <c r="AA125" s="462"/>
      <c r="AB125" s="462"/>
      <c r="AC125" s="462"/>
      <c r="AD125" s="462"/>
      <c r="AE125" s="462"/>
      <c r="AF125" s="462"/>
      <c r="AG125" s="462"/>
      <c r="AH125" s="462"/>
      <c r="AI125" s="467"/>
      <c r="AJ125" s="462"/>
      <c r="AK125" s="462"/>
      <c r="AL125" s="462"/>
      <c r="AM125" s="462"/>
      <c r="AN125" s="462"/>
      <c r="AO125" s="462"/>
      <c r="AP125" s="462"/>
      <c r="AQ125" s="462"/>
      <c r="AR125" s="462"/>
      <c r="AS125" s="466"/>
      <c r="AT125" s="466"/>
      <c r="AU125" s="466"/>
      <c r="AV125" s="467"/>
      <c r="AW125" s="466"/>
      <c r="AX125" s="466"/>
      <c r="AY125" s="466"/>
      <c r="AZ125" s="466"/>
      <c r="BA125" s="456"/>
      <c r="BB125" s="577"/>
    </row>
    <row r="126" spans="1:54" x14ac:dyDescent="0.35">
      <c r="A126" s="468">
        <v>2</v>
      </c>
      <c r="B126" s="469" t="str">
        <f>X40</f>
        <v>Department of education + Department of Higher Education + Universities + Maritime college + National Research institute + PNG Science &amp; Technology</v>
      </c>
      <c r="C126" s="462"/>
      <c r="E126" s="456"/>
      <c r="F126" s="456"/>
      <c r="G126" s="456"/>
      <c r="H126" s="459"/>
      <c r="I126" s="459"/>
      <c r="K126" s="456"/>
      <c r="L126" s="462"/>
      <c r="M126" s="462"/>
      <c r="N126" s="456"/>
      <c r="O126" s="459"/>
      <c r="P126" s="459"/>
      <c r="Q126" s="459"/>
      <c r="S126" s="456"/>
      <c r="T126" s="462"/>
      <c r="U126" s="462"/>
      <c r="V126" s="462"/>
      <c r="W126" s="456"/>
      <c r="X126" s="577"/>
      <c r="Y126" s="462"/>
      <c r="Z126" s="462"/>
      <c r="AA126" s="462"/>
      <c r="AB126" s="462"/>
      <c r="AC126" s="462"/>
      <c r="AD126" s="462"/>
      <c r="AE126" s="462"/>
      <c r="AF126" s="462"/>
      <c r="AG126" s="462"/>
      <c r="AH126" s="462"/>
      <c r="AJ126" s="462"/>
      <c r="AK126" s="462"/>
      <c r="AL126" s="462"/>
      <c r="AM126" s="462"/>
      <c r="AN126" s="462"/>
      <c r="AO126" s="462"/>
      <c r="AP126" s="462"/>
      <c r="AQ126" s="462"/>
      <c r="AR126" s="462"/>
      <c r="AS126" s="459"/>
      <c r="AT126" s="459"/>
      <c r="AU126" s="459"/>
      <c r="AW126" s="456"/>
      <c r="AX126" s="462"/>
      <c r="AY126" s="462"/>
      <c r="AZ126" s="462"/>
      <c r="BA126" s="456"/>
      <c r="BB126" s="577"/>
    </row>
    <row r="127" spans="1:54" x14ac:dyDescent="0.35">
      <c r="A127" s="463">
        <v>3</v>
      </c>
      <c r="B127" s="469" t="str">
        <f>X85</f>
        <v>Education Function grant</v>
      </c>
      <c r="C127" s="462"/>
      <c r="E127" s="456"/>
      <c r="F127" s="456"/>
      <c r="G127" s="456"/>
      <c r="H127" s="459"/>
      <c r="I127" s="459"/>
      <c r="K127" s="456"/>
      <c r="L127" s="462"/>
      <c r="M127" s="462"/>
      <c r="N127" s="456"/>
      <c r="O127" s="459"/>
      <c r="P127" s="459"/>
      <c r="Q127" s="459"/>
      <c r="S127" s="456"/>
      <c r="T127" s="462"/>
      <c r="U127" s="462"/>
      <c r="V127" s="462"/>
      <c r="W127" s="456"/>
      <c r="X127" s="577"/>
      <c r="Y127" s="462"/>
      <c r="Z127" s="462"/>
      <c r="AA127" s="462"/>
      <c r="AB127" s="462"/>
      <c r="AC127" s="462"/>
      <c r="AD127" s="462"/>
      <c r="AE127" s="462"/>
      <c r="AF127" s="462"/>
      <c r="AG127" s="462"/>
      <c r="AH127" s="462"/>
      <c r="AJ127" s="462"/>
      <c r="AK127" s="462"/>
      <c r="AL127" s="462"/>
      <c r="AM127" s="462"/>
      <c r="AN127" s="462"/>
      <c r="AO127" s="462"/>
      <c r="AP127" s="462"/>
      <c r="AQ127" s="462"/>
      <c r="AR127" s="462"/>
      <c r="AS127" s="459"/>
      <c r="AT127" s="459"/>
      <c r="AU127" s="459"/>
      <c r="AW127" s="456"/>
      <c r="AX127" s="462"/>
      <c r="AY127" s="462"/>
      <c r="AZ127" s="462"/>
      <c r="BA127" s="456"/>
      <c r="BB127" s="577"/>
    </row>
    <row r="128" spans="1:54" x14ac:dyDescent="0.35">
      <c r="A128" s="468">
        <v>4</v>
      </c>
      <c r="B128" s="469" t="str">
        <f>X86</f>
        <v>Teachers leave fares</v>
      </c>
      <c r="C128" s="462"/>
      <c r="E128" s="456"/>
      <c r="F128" s="456"/>
      <c r="G128" s="456"/>
      <c r="H128" s="459"/>
      <c r="I128" s="459"/>
      <c r="K128" s="456"/>
      <c r="L128" s="462"/>
      <c r="M128" s="462"/>
      <c r="N128" s="456"/>
      <c r="O128" s="459"/>
      <c r="P128" s="459"/>
      <c r="Q128" s="459"/>
      <c r="S128" s="456"/>
      <c r="T128" s="462"/>
      <c r="U128" s="462"/>
      <c r="V128" s="462"/>
      <c r="W128" s="456"/>
      <c r="X128" s="577"/>
      <c r="Y128" s="462"/>
      <c r="Z128" s="462"/>
      <c r="AA128" s="462"/>
      <c r="AB128" s="462"/>
      <c r="AC128" s="462"/>
      <c r="AD128" s="462"/>
      <c r="AE128" s="462"/>
      <c r="AF128" s="462"/>
      <c r="AG128" s="462"/>
      <c r="AH128" s="462"/>
      <c r="AJ128" s="462"/>
      <c r="AK128" s="462"/>
      <c r="AL128" s="462"/>
      <c r="AM128" s="462"/>
      <c r="AN128" s="462"/>
      <c r="AO128" s="462"/>
      <c r="AP128" s="462"/>
      <c r="AQ128" s="462"/>
      <c r="AR128" s="462"/>
      <c r="AS128" s="459"/>
      <c r="AT128" s="459"/>
      <c r="AU128" s="459"/>
      <c r="AW128" s="456"/>
      <c r="AX128" s="462"/>
      <c r="AY128" s="462"/>
      <c r="AZ128" s="462"/>
      <c r="BA128" s="456"/>
      <c r="BB128" s="577"/>
    </row>
    <row r="129" spans="1:54" x14ac:dyDescent="0.35">
      <c r="A129" s="463">
        <v>5</v>
      </c>
      <c r="B129" s="469" t="str">
        <f>X87</f>
        <v>Teachers Salaries (TSC) are not separated from other staff in execution figures. Budget figures have been used</v>
      </c>
      <c r="C129" s="462"/>
      <c r="E129" s="456"/>
      <c r="F129" s="456"/>
      <c r="G129" s="456"/>
      <c r="H129" s="459"/>
      <c r="I129" s="459"/>
      <c r="K129" s="456"/>
      <c r="L129" s="462"/>
      <c r="M129" s="462"/>
      <c r="N129" s="456"/>
      <c r="O129" s="462"/>
      <c r="P129" s="462"/>
      <c r="Q129" s="462"/>
      <c r="R129" s="462"/>
      <c r="S129" s="462"/>
      <c r="T129" s="462"/>
      <c r="U129" s="462"/>
      <c r="V129" s="462"/>
      <c r="W129" s="456"/>
      <c r="X129" s="577"/>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c r="AV129" s="462"/>
      <c r="AW129" s="462"/>
      <c r="AX129" s="462"/>
      <c r="AY129" s="462"/>
      <c r="AZ129" s="462"/>
      <c r="BA129" s="456"/>
      <c r="BB129" s="577"/>
    </row>
    <row r="130" spans="1:54" x14ac:dyDescent="0.35">
      <c r="A130" s="468"/>
      <c r="B130" s="469"/>
      <c r="C130" s="462"/>
      <c r="E130" s="456"/>
      <c r="F130" s="456"/>
      <c r="G130" s="456"/>
      <c r="H130" s="459"/>
      <c r="I130" s="459"/>
      <c r="K130" s="456"/>
      <c r="L130" s="462"/>
      <c r="M130" s="462"/>
      <c r="N130" s="456"/>
      <c r="O130" s="462"/>
      <c r="P130" s="462"/>
      <c r="Q130" s="462"/>
      <c r="R130" s="462"/>
      <c r="S130" s="462"/>
      <c r="T130" s="462"/>
      <c r="U130" s="462"/>
      <c r="V130" s="462"/>
      <c r="W130" s="456"/>
      <c r="X130" s="577"/>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c r="AV130" s="462"/>
      <c r="AW130" s="462"/>
      <c r="AX130" s="462"/>
      <c r="AY130" s="462"/>
      <c r="AZ130" s="462"/>
      <c r="BA130" s="456"/>
      <c r="BB130" s="577"/>
    </row>
    <row r="131" spans="1:54" x14ac:dyDescent="0.35">
      <c r="A131" s="468"/>
      <c r="B131" s="469"/>
      <c r="C131" s="462"/>
      <c r="E131" s="456"/>
      <c r="F131" s="456"/>
      <c r="G131" s="456"/>
      <c r="H131" s="459"/>
      <c r="I131" s="459"/>
      <c r="K131" s="456"/>
      <c r="L131" s="462"/>
      <c r="M131" s="462"/>
      <c r="N131" s="456"/>
      <c r="O131" s="462"/>
      <c r="P131" s="462"/>
      <c r="Q131" s="462"/>
      <c r="R131" s="462"/>
      <c r="S131" s="462"/>
      <c r="T131" s="462"/>
      <c r="U131" s="462"/>
      <c r="V131" s="462"/>
      <c r="W131" s="456"/>
      <c r="X131" s="577"/>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c r="AV131" s="462"/>
      <c r="AW131" s="462"/>
      <c r="AX131" s="462"/>
      <c r="AY131" s="462"/>
      <c r="AZ131" s="462"/>
      <c r="BA131" s="456"/>
      <c r="BB131" s="577"/>
    </row>
    <row r="132" spans="1:54" x14ac:dyDescent="0.35">
      <c r="A132" s="468"/>
      <c r="B132" s="469"/>
      <c r="C132" s="462"/>
      <c r="E132" s="456"/>
      <c r="F132" s="456"/>
      <c r="G132" s="456"/>
      <c r="H132" s="459"/>
      <c r="I132" s="459"/>
      <c r="K132" s="456"/>
      <c r="L132" s="462"/>
      <c r="M132" s="462"/>
      <c r="N132" s="456"/>
      <c r="O132" s="462"/>
      <c r="P132" s="462"/>
      <c r="Q132" s="462"/>
      <c r="R132" s="462"/>
      <c r="S132" s="462"/>
      <c r="T132" s="462"/>
      <c r="U132" s="462"/>
      <c r="V132" s="462"/>
      <c r="W132" s="456"/>
      <c r="X132" s="577"/>
      <c r="Y132" s="462"/>
      <c r="Z132" s="462"/>
      <c r="AA132" s="462"/>
      <c r="AB132" s="462"/>
      <c r="AC132" s="462"/>
      <c r="AD132" s="462"/>
      <c r="AE132" s="462"/>
      <c r="AF132" s="462"/>
      <c r="AG132" s="462"/>
      <c r="AH132" s="462"/>
      <c r="AI132" s="462"/>
      <c r="AJ132" s="462"/>
      <c r="AK132" s="462"/>
      <c r="AL132" s="462"/>
      <c r="AM132" s="462"/>
      <c r="AN132" s="462"/>
      <c r="AO132" s="462"/>
      <c r="AP132" s="462"/>
      <c r="AQ132" s="462"/>
      <c r="AR132" s="462"/>
      <c r="AS132" s="462"/>
      <c r="AT132" s="462"/>
      <c r="AU132" s="462"/>
      <c r="AV132" s="462"/>
      <c r="AW132" s="462"/>
      <c r="AX132" s="462"/>
      <c r="AY132" s="462"/>
      <c r="AZ132" s="462"/>
      <c r="BA132" s="456"/>
      <c r="BB132" s="577"/>
    </row>
    <row r="133" spans="1:54" x14ac:dyDescent="0.35">
      <c r="A133" s="468"/>
      <c r="B133" s="469"/>
      <c r="C133" s="462"/>
      <c r="E133" s="456"/>
      <c r="F133" s="456"/>
      <c r="G133" s="456"/>
      <c r="H133" s="459"/>
      <c r="I133" s="459"/>
      <c r="K133" s="456"/>
      <c r="L133" s="462"/>
      <c r="M133" s="462"/>
      <c r="N133" s="456"/>
      <c r="O133" s="462"/>
      <c r="P133" s="462"/>
      <c r="Q133" s="462"/>
      <c r="R133" s="462"/>
      <c r="S133" s="462"/>
      <c r="T133" s="462"/>
      <c r="U133" s="462"/>
      <c r="V133" s="462"/>
      <c r="W133" s="456"/>
      <c r="X133" s="577"/>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c r="AV133" s="462"/>
      <c r="AW133" s="462"/>
      <c r="AX133" s="462"/>
      <c r="AY133" s="462"/>
      <c r="AZ133" s="462"/>
      <c r="BA133" s="456"/>
      <c r="BB133" s="577"/>
    </row>
    <row r="134" spans="1:54" x14ac:dyDescent="0.35">
      <c r="A134" s="468"/>
      <c r="B134" s="469"/>
      <c r="C134" s="462"/>
      <c r="E134" s="456"/>
      <c r="F134" s="456"/>
      <c r="G134" s="456"/>
      <c r="H134" s="459"/>
      <c r="I134" s="459"/>
      <c r="K134" s="456"/>
      <c r="L134" s="462"/>
      <c r="M134" s="462"/>
      <c r="N134" s="456"/>
      <c r="O134" s="462"/>
      <c r="P134" s="462"/>
      <c r="Q134" s="462"/>
      <c r="R134" s="462"/>
      <c r="S134" s="462"/>
      <c r="T134" s="462"/>
      <c r="U134" s="462"/>
      <c r="V134" s="462"/>
      <c r="W134" s="456"/>
      <c r="X134" s="577"/>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c r="AW134" s="462"/>
      <c r="AX134" s="462"/>
      <c r="AY134" s="462"/>
      <c r="AZ134" s="462"/>
      <c r="BA134" s="456"/>
      <c r="BB134" s="577"/>
    </row>
    <row r="135" spans="1:54" x14ac:dyDescent="0.35">
      <c r="A135" s="468"/>
      <c r="B135" s="469"/>
      <c r="C135" s="462"/>
      <c r="E135" s="456"/>
      <c r="F135" s="456"/>
      <c r="G135" s="456"/>
      <c r="H135" s="459"/>
      <c r="I135" s="459"/>
      <c r="K135" s="456"/>
      <c r="L135" s="462"/>
      <c r="M135" s="462"/>
      <c r="N135" s="456"/>
      <c r="O135" s="462"/>
      <c r="P135" s="462"/>
      <c r="Q135" s="462"/>
      <c r="R135" s="462"/>
      <c r="S135" s="462"/>
      <c r="T135" s="462"/>
      <c r="U135" s="462"/>
      <c r="V135" s="462"/>
      <c r="W135" s="456"/>
      <c r="X135" s="577"/>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c r="AV135" s="462"/>
      <c r="AW135" s="462"/>
      <c r="AX135" s="462"/>
      <c r="AY135" s="462"/>
      <c r="AZ135" s="462"/>
      <c r="BA135" s="456"/>
      <c r="BB135" s="577"/>
    </row>
    <row r="136" spans="1:54" x14ac:dyDescent="0.35">
      <c r="A136" s="468"/>
      <c r="B136" s="469"/>
      <c r="C136" s="462"/>
      <c r="E136" s="456"/>
      <c r="F136" s="456"/>
      <c r="G136" s="456"/>
      <c r="H136" s="459"/>
      <c r="I136" s="459"/>
      <c r="K136" s="456"/>
      <c r="L136" s="462"/>
      <c r="M136" s="462"/>
      <c r="N136" s="456"/>
      <c r="O136" s="459"/>
      <c r="P136" s="459"/>
      <c r="Q136" s="459"/>
      <c r="S136" s="456"/>
      <c r="T136" s="462"/>
      <c r="U136" s="462"/>
      <c r="V136" s="462"/>
      <c r="W136" s="456"/>
      <c r="X136" s="577"/>
      <c r="Y136" s="462"/>
      <c r="Z136" s="462"/>
      <c r="AA136" s="462"/>
      <c r="AB136" s="462"/>
      <c r="AC136" s="462"/>
      <c r="AD136" s="462"/>
      <c r="AE136" s="462"/>
      <c r="AF136" s="462"/>
      <c r="AG136" s="462"/>
      <c r="AH136" s="462"/>
      <c r="AJ136" s="462"/>
      <c r="AK136" s="462"/>
      <c r="AL136" s="462"/>
      <c r="AM136" s="462"/>
      <c r="AN136" s="462"/>
      <c r="AO136" s="462"/>
      <c r="AP136" s="462"/>
      <c r="AQ136" s="462"/>
      <c r="AR136" s="462"/>
      <c r="AS136" s="459"/>
      <c r="AT136" s="459"/>
      <c r="AU136" s="459"/>
      <c r="AW136" s="456"/>
      <c r="AX136" s="462"/>
      <c r="AY136" s="462"/>
      <c r="AZ136" s="462"/>
      <c r="BA136" s="456"/>
      <c r="BB136" s="577"/>
    </row>
    <row r="137" spans="1:54" x14ac:dyDescent="0.35">
      <c r="A137" s="468"/>
      <c r="B137" s="469"/>
      <c r="C137" s="462"/>
      <c r="E137" s="456"/>
      <c r="F137" s="456"/>
      <c r="G137" s="456"/>
      <c r="H137" s="459"/>
      <c r="I137" s="459"/>
      <c r="K137" s="456"/>
      <c r="L137" s="462"/>
      <c r="M137" s="462"/>
      <c r="N137" s="456"/>
      <c r="O137" s="459"/>
      <c r="P137" s="459"/>
      <c r="Q137" s="459"/>
      <c r="S137" s="456"/>
      <c r="T137" s="462"/>
      <c r="U137" s="462"/>
      <c r="V137" s="462"/>
      <c r="W137" s="456"/>
      <c r="X137" s="577"/>
      <c r="Y137" s="462"/>
      <c r="Z137" s="462"/>
      <c r="AA137" s="462"/>
      <c r="AB137" s="462"/>
      <c r="AC137" s="462"/>
      <c r="AD137" s="462"/>
      <c r="AE137" s="462"/>
      <c r="AF137" s="462"/>
      <c r="AG137" s="462"/>
      <c r="AH137" s="462"/>
      <c r="AJ137" s="462"/>
      <c r="AK137" s="462"/>
      <c r="AL137" s="462"/>
      <c r="AM137" s="462"/>
      <c r="AN137" s="462"/>
      <c r="AO137" s="462"/>
      <c r="AP137" s="462"/>
      <c r="AQ137" s="462"/>
      <c r="AR137" s="462"/>
      <c r="AS137" s="459"/>
      <c r="AT137" s="459"/>
      <c r="AU137" s="459"/>
      <c r="AW137" s="456"/>
      <c r="AX137" s="462"/>
      <c r="AY137" s="462"/>
      <c r="AZ137" s="462"/>
      <c r="BA137" s="456"/>
      <c r="BB137" s="577"/>
    </row>
    <row r="138" spans="1:54" x14ac:dyDescent="0.35">
      <c r="A138" s="468"/>
      <c r="B138" s="469"/>
      <c r="C138" s="462"/>
      <c r="E138" s="456"/>
      <c r="F138" s="456"/>
      <c r="G138" s="456"/>
      <c r="H138" s="459"/>
      <c r="I138" s="459"/>
      <c r="K138" s="456"/>
      <c r="L138" s="462"/>
      <c r="M138" s="462"/>
      <c r="N138" s="456"/>
      <c r="O138" s="459"/>
      <c r="P138" s="459"/>
      <c r="Q138" s="459"/>
      <c r="S138" s="456"/>
      <c r="T138" s="462"/>
      <c r="U138" s="462"/>
      <c r="V138" s="462"/>
      <c r="W138" s="456"/>
      <c r="X138" s="577"/>
      <c r="Y138" s="462"/>
      <c r="Z138" s="462"/>
      <c r="AA138" s="462"/>
      <c r="AB138" s="462"/>
      <c r="AC138" s="462"/>
      <c r="AD138" s="462"/>
      <c r="AE138" s="462"/>
      <c r="AF138" s="462"/>
      <c r="AG138" s="462"/>
      <c r="AH138" s="462"/>
      <c r="AJ138" s="462"/>
      <c r="AK138" s="462"/>
      <c r="AL138" s="462"/>
      <c r="AM138" s="462"/>
      <c r="AN138" s="462"/>
      <c r="AO138" s="462"/>
      <c r="AP138" s="462"/>
      <c r="AQ138" s="462"/>
      <c r="AR138" s="462"/>
      <c r="AS138" s="459"/>
      <c r="AT138" s="459"/>
      <c r="AU138" s="459"/>
      <c r="AW138" s="456"/>
      <c r="AX138" s="462"/>
      <c r="AY138" s="462"/>
      <c r="AZ138" s="462"/>
      <c r="BA138" s="456"/>
      <c r="BB138" s="577"/>
    </row>
    <row r="139" spans="1:54" x14ac:dyDescent="0.35">
      <c r="A139" s="455" t="s">
        <v>583</v>
      </c>
      <c r="B139" s="455"/>
      <c r="C139" s="456"/>
      <c r="E139" s="456"/>
      <c r="F139" s="456"/>
      <c r="G139" s="456"/>
      <c r="H139" s="459"/>
      <c r="I139" s="459"/>
      <c r="K139" s="456"/>
      <c r="L139" s="462"/>
      <c r="M139" s="462"/>
      <c r="N139" s="456"/>
      <c r="W139" s="456"/>
      <c r="X139" s="577"/>
      <c r="Y139" s="462"/>
      <c r="Z139" s="462"/>
      <c r="AA139" s="462"/>
      <c r="AB139" s="462"/>
      <c r="AC139" s="462"/>
      <c r="AD139" s="462"/>
      <c r="AE139" s="462"/>
      <c r="AF139" s="462"/>
      <c r="AG139" s="462"/>
      <c r="AH139" s="462"/>
      <c r="AJ139" s="462"/>
      <c r="AK139" s="462"/>
      <c r="AL139" s="462"/>
      <c r="AM139" s="462"/>
      <c r="AN139" s="462"/>
      <c r="AO139" s="462"/>
      <c r="AP139" s="462"/>
      <c r="AQ139" s="462"/>
      <c r="AR139" s="462"/>
      <c r="BA139" s="456"/>
      <c r="BB139" s="577"/>
    </row>
    <row r="140" spans="1:54" x14ac:dyDescent="0.35">
      <c r="N140" s="456"/>
      <c r="W140" s="456"/>
      <c r="X140" s="577"/>
      <c r="Y140" s="462"/>
      <c r="Z140" s="462"/>
      <c r="AA140" s="462"/>
      <c r="AB140" s="462"/>
      <c r="AC140" s="462"/>
      <c r="AD140" s="462"/>
      <c r="AE140" s="462"/>
      <c r="AF140" s="462"/>
      <c r="AG140" s="462"/>
      <c r="AH140" s="462"/>
      <c r="AJ140" s="462"/>
      <c r="AK140" s="462"/>
      <c r="AL140" s="462"/>
      <c r="AM140" s="462"/>
      <c r="AN140" s="462"/>
      <c r="AO140" s="462"/>
      <c r="AP140" s="462"/>
      <c r="AQ140" s="462"/>
      <c r="AR140" s="462"/>
      <c r="BA140" s="456"/>
      <c r="BB140" s="577"/>
    </row>
  </sheetData>
  <mergeCells count="55">
    <mergeCell ref="AS38:AT38"/>
    <mergeCell ref="A9:A36"/>
    <mergeCell ref="A38:A93"/>
    <mergeCell ref="AI6:AI7"/>
    <mergeCell ref="AS6:AT6"/>
    <mergeCell ref="R6:R7"/>
    <mergeCell ref="T6:V6"/>
    <mergeCell ref="Z6:AB6"/>
    <mergeCell ref="H38:I38"/>
    <mergeCell ref="L38:M38"/>
    <mergeCell ref="O38:P38"/>
    <mergeCell ref="AV6:AV7"/>
    <mergeCell ref="AX6:AZ6"/>
    <mergeCell ref="AS9:AT9"/>
    <mergeCell ref="AS1:AZ1"/>
    <mergeCell ref="AK3:AK4"/>
    <mergeCell ref="AS3:AV3"/>
    <mergeCell ref="AX3:AZ3"/>
    <mergeCell ref="AF1:AK1"/>
    <mergeCell ref="AF6:AH6"/>
    <mergeCell ref="AM1:AO1"/>
    <mergeCell ref="AQ3:AQ4"/>
    <mergeCell ref="AM4:AO4"/>
    <mergeCell ref="AM6:AO6"/>
    <mergeCell ref="BB3:BB4"/>
    <mergeCell ref="AS4:AV4"/>
    <mergeCell ref="AX4:AZ4"/>
    <mergeCell ref="H3:J3"/>
    <mergeCell ref="L3:M3"/>
    <mergeCell ref="O3:R3"/>
    <mergeCell ref="T3:V3"/>
    <mergeCell ref="X3:X4"/>
    <mergeCell ref="Z3:AB3"/>
    <mergeCell ref="AD3:AD4"/>
    <mergeCell ref="AF3:AH3"/>
    <mergeCell ref="H4:J4"/>
    <mergeCell ref="L4:M4"/>
    <mergeCell ref="O4:R4"/>
    <mergeCell ref="AF4:AH4"/>
    <mergeCell ref="AM3:AO3"/>
    <mergeCell ref="F1:M1"/>
    <mergeCell ref="O1:V1"/>
    <mergeCell ref="Z1:AD1"/>
    <mergeCell ref="T4:V4"/>
    <mergeCell ref="Z4:AB4"/>
    <mergeCell ref="A123:M123"/>
    <mergeCell ref="H9:I9"/>
    <mergeCell ref="L9:M9"/>
    <mergeCell ref="O9:P9"/>
    <mergeCell ref="H6:I6"/>
    <mergeCell ref="J6:J7"/>
    <mergeCell ref="L6:M6"/>
    <mergeCell ref="O6:P6"/>
    <mergeCell ref="A95:A104"/>
    <mergeCell ref="A106:A122"/>
  </mergeCells>
  <hyperlinks>
    <hyperlink ref="X9" r:id="rId1" xr:uid="{F5928220-B8BD-4DE7-BEE5-F24C7B880055}"/>
    <hyperlink ref="AA9" r:id="rId2" xr:uid="{E1C5A061-DB19-4000-8D4F-AE8C97C3DA5C}"/>
    <hyperlink ref="AG9" r:id="rId3" xr:uid="{A23655AA-67C9-4B77-A5B9-8CFE543FA06D}"/>
    <hyperlink ref="AN9" r:id="rId4" xr:uid="{1BA0BAA3-CA80-4D5E-A66F-D14B65F7A26F}"/>
    <hyperlink ref="AU9" r:id="rId5" xr:uid="{3A42BA3A-D01C-460D-B22F-C9629C6A3C21}"/>
  </hyperlinks>
  <pageMargins left="0.23622047244094491" right="0.23622047244094491" top="0.35433070866141736" bottom="0.35433070866141736" header="0.31496062992125984" footer="0.31496062992125984"/>
  <pageSetup paperSize="9" scale="56" orientation="portrait" horizontalDpi="4294967293" r:id="rId6"/>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G141"/>
  <sheetViews>
    <sheetView topLeftCell="A77" zoomScale="90" zoomScaleNormal="90" workbookViewId="0">
      <pane xSplit="4" topLeftCell="AQ1" activePane="topRight" state="frozen"/>
      <selection pane="topRight" activeCell="BE114" sqref="BE114"/>
    </sheetView>
  </sheetViews>
  <sheetFormatPr defaultColWidth="9.1796875" defaultRowHeight="14.5" x14ac:dyDescent="0.35"/>
  <cols>
    <col min="1" max="1" width="6.6328125" style="462" customWidth="1"/>
    <col min="2" max="2" width="15.81640625" style="462" customWidth="1"/>
    <col min="3" max="3" width="19.36328125" style="456" customWidth="1"/>
    <col min="4" max="4" width="3.453125" style="456" customWidth="1"/>
    <col min="5" max="5" width="1.6328125" style="456" customWidth="1"/>
    <col min="6" max="6" width="21.6328125" style="456" customWidth="1"/>
    <col min="7" max="7" width="1.6328125" style="456" customWidth="1"/>
    <col min="8" max="9" width="21.6328125" style="459" customWidth="1"/>
    <col min="10" max="10" width="8.6328125" style="459" customWidth="1"/>
    <col min="11" max="11" width="1.6328125" style="456" customWidth="1"/>
    <col min="12" max="13" width="21.6328125" style="462" customWidth="1"/>
    <col min="14" max="14" width="1.6328125" style="1" customWidth="1"/>
    <col min="15" max="17" width="12.453125" style="6" customWidth="1"/>
    <col min="18" max="18" width="9.453125" style="7" customWidth="1"/>
    <col min="19" max="19" width="1.6328125" style="1" customWidth="1"/>
    <col min="20" max="22" width="13.1796875" customWidth="1"/>
    <col min="23" max="23" width="1.6328125" style="1" customWidth="1"/>
    <col min="24" max="26" width="11.6328125" style="6" customWidth="1"/>
    <col min="27" max="27" width="8.6328125" style="7" customWidth="1"/>
    <col min="28" max="28" width="1.6328125" style="1" customWidth="1"/>
    <col min="29" max="31" width="12.453125" customWidth="1"/>
    <col min="32" max="32" width="1.6328125" style="1" customWidth="1"/>
    <col min="33" max="33" width="5.36328125" style="711" customWidth="1"/>
    <col min="34" max="34" width="1.6328125" style="1" customWidth="1"/>
    <col min="35" max="37" width="11.6328125" style="6" customWidth="1"/>
    <col min="38" max="38" width="1.6328125" style="1" customWidth="1"/>
    <col min="39" max="41" width="12.453125" customWidth="1"/>
    <col min="42" max="42" width="1.6328125" style="1" customWidth="1"/>
    <col min="43" max="43" width="7.81640625" style="711" customWidth="1"/>
    <col min="44" max="44" width="2.81640625" style="462" customWidth="1"/>
    <col min="45" max="47" width="13.81640625" style="6" customWidth="1"/>
    <col min="48" max="48" width="5.453125" style="1" customWidth="1"/>
    <col min="49" max="49" width="1.6328125" style="1" customWidth="1"/>
    <col min="50" max="52" width="15.453125" customWidth="1"/>
    <col min="53" max="54" width="1.6328125" style="1" customWidth="1"/>
    <col min="55" max="57" width="15.453125" customWidth="1"/>
    <col min="58" max="58" width="1.6328125" style="1" customWidth="1"/>
    <col min="59" max="59" width="37.1796875" style="711" customWidth="1"/>
    <col min="60" max="16384" width="9.1796875" style="462"/>
  </cols>
  <sheetData>
    <row r="1" spans="1:59" s="470" customFormat="1" ht="31" x14ac:dyDescent="0.7">
      <c r="F1" s="9118" t="s">
        <v>394</v>
      </c>
      <c r="G1" s="9119"/>
      <c r="H1" s="9119"/>
      <c r="I1" s="9119"/>
      <c r="J1" s="9119"/>
      <c r="K1" s="9119"/>
      <c r="L1" s="9119"/>
      <c r="M1" s="9120"/>
      <c r="N1" s="710"/>
      <c r="O1" s="9121" t="s">
        <v>395</v>
      </c>
      <c r="P1" s="9122"/>
      <c r="Q1" s="9122"/>
      <c r="R1" s="9122"/>
      <c r="S1" s="9122"/>
      <c r="T1" s="9122"/>
      <c r="U1" s="9122"/>
      <c r="V1" s="9123"/>
      <c r="W1" s="710"/>
      <c r="X1" s="9312" t="s">
        <v>396</v>
      </c>
      <c r="Y1" s="9313"/>
      <c r="Z1" s="9313"/>
      <c r="AA1" s="9313"/>
      <c r="AB1" s="9313"/>
      <c r="AC1" s="9313"/>
      <c r="AD1" s="9313"/>
      <c r="AE1" s="9317"/>
      <c r="AF1" s="710"/>
      <c r="AH1" s="710"/>
      <c r="AI1" s="9174" t="s">
        <v>397</v>
      </c>
      <c r="AJ1" s="9175"/>
      <c r="AK1" s="9175"/>
      <c r="AL1" s="9175"/>
      <c r="AM1" s="9175"/>
      <c r="AN1" s="9175"/>
      <c r="AO1" s="9176"/>
      <c r="AP1" s="710"/>
      <c r="AS1" s="9174" t="s">
        <v>398</v>
      </c>
      <c r="AT1" s="9175"/>
      <c r="AU1" s="9175"/>
      <c r="AV1" s="9175"/>
      <c r="AW1" s="9175"/>
      <c r="AX1" s="9175"/>
      <c r="AY1" s="9175"/>
      <c r="AZ1" s="9176"/>
      <c r="BA1" s="710"/>
      <c r="BB1" s="710"/>
      <c r="BC1" s="9115" t="s">
        <v>399</v>
      </c>
      <c r="BD1" s="9116"/>
      <c r="BE1" s="9117"/>
      <c r="BF1" s="710"/>
    </row>
    <row r="2" spans="1:59" ht="21" x14ac:dyDescent="0.5">
      <c r="B2" s="456" t="s">
        <v>9</v>
      </c>
      <c r="C2" s="4" t="s">
        <v>63</v>
      </c>
      <c r="H2" s="462"/>
    </row>
    <row r="3" spans="1:59" x14ac:dyDescent="0.35">
      <c r="F3" s="459"/>
      <c r="H3" s="462"/>
    </row>
    <row r="4" spans="1:59" ht="14.5" customHeight="1" x14ac:dyDescent="0.3">
      <c r="F4" s="8323" t="s">
        <v>400</v>
      </c>
      <c r="G4" s="712"/>
      <c r="H4" s="9133" t="s">
        <v>401</v>
      </c>
      <c r="I4" s="9134"/>
      <c r="J4" s="9135"/>
      <c r="K4" s="712"/>
      <c r="L4" s="9133" t="s">
        <v>402</v>
      </c>
      <c r="M4" s="9135"/>
      <c r="N4" s="8"/>
      <c r="O4" s="9130" t="s">
        <v>403</v>
      </c>
      <c r="P4" s="9131"/>
      <c r="Q4" s="9131"/>
      <c r="R4" s="9132"/>
      <c r="S4" s="8"/>
      <c r="T4" s="9130" t="s">
        <v>402</v>
      </c>
      <c r="U4" s="9131"/>
      <c r="V4" s="9132"/>
      <c r="W4" s="8"/>
      <c r="X4" s="9130" t="s">
        <v>403</v>
      </c>
      <c r="Y4" s="9131"/>
      <c r="Z4" s="9131"/>
      <c r="AA4" s="9132"/>
      <c r="AB4" s="8"/>
      <c r="AC4" s="9130" t="s">
        <v>402</v>
      </c>
      <c r="AD4" s="9131"/>
      <c r="AE4" s="9132"/>
      <c r="AF4" s="8"/>
      <c r="AG4" s="9136" t="s">
        <v>404</v>
      </c>
      <c r="AH4" s="8"/>
      <c r="AI4" s="9130" t="s">
        <v>403</v>
      </c>
      <c r="AJ4" s="9131"/>
      <c r="AK4" s="9131"/>
      <c r="AL4" s="8"/>
      <c r="AM4" s="9130" t="s">
        <v>402</v>
      </c>
      <c r="AN4" s="9131"/>
      <c r="AO4" s="9132"/>
      <c r="AP4" s="8"/>
      <c r="AQ4" s="9136" t="s">
        <v>404</v>
      </c>
      <c r="AS4" s="9522" t="s">
        <v>403</v>
      </c>
      <c r="AT4" s="9333"/>
      <c r="AU4" s="9333"/>
      <c r="AV4" s="9333"/>
      <c r="AW4" s="8"/>
      <c r="AX4" s="9130" t="s">
        <v>402</v>
      </c>
      <c r="AY4" s="9131"/>
      <c r="AZ4" s="9132"/>
      <c r="BA4" s="8"/>
      <c r="BB4" s="8"/>
      <c r="BC4" s="9130" t="s">
        <v>402</v>
      </c>
      <c r="BD4" s="9131"/>
      <c r="BE4" s="9132"/>
      <c r="BF4" s="8"/>
      <c r="BG4" s="9136" t="s">
        <v>404</v>
      </c>
    </row>
    <row r="5" spans="1:59" x14ac:dyDescent="0.3">
      <c r="B5" s="456" t="s">
        <v>406</v>
      </c>
      <c r="C5" s="714">
        <v>2006</v>
      </c>
      <c r="F5" s="8324" t="s">
        <v>5127</v>
      </c>
      <c r="G5" s="12"/>
      <c r="H5" s="9138" t="s">
        <v>2771</v>
      </c>
      <c r="I5" s="9139"/>
      <c r="J5" s="9140"/>
      <c r="K5" s="12"/>
      <c r="L5" s="9138" t="s">
        <v>738</v>
      </c>
      <c r="M5" s="9140"/>
      <c r="N5" s="12"/>
      <c r="O5" s="9138" t="s">
        <v>738</v>
      </c>
      <c r="P5" s="9139"/>
      <c r="Q5" s="9139"/>
      <c r="R5" s="9140"/>
      <c r="S5" s="12"/>
      <c r="T5" s="9138" t="s">
        <v>739</v>
      </c>
      <c r="U5" s="9139"/>
      <c r="V5" s="9140"/>
      <c r="W5" s="12"/>
      <c r="X5" s="9138" t="s">
        <v>739</v>
      </c>
      <c r="Y5" s="9139"/>
      <c r="Z5" s="9139"/>
      <c r="AA5" s="9140"/>
      <c r="AB5" s="12"/>
      <c r="AC5" s="9138" t="s">
        <v>740</v>
      </c>
      <c r="AD5" s="9139"/>
      <c r="AE5" s="9140"/>
      <c r="AF5" s="12"/>
      <c r="AG5" s="9137"/>
      <c r="AH5" s="12"/>
      <c r="AI5" s="9138" t="s">
        <v>740</v>
      </c>
      <c r="AJ5" s="9139"/>
      <c r="AK5" s="9139"/>
      <c r="AL5" s="12"/>
      <c r="AM5" s="9138" t="s">
        <v>741</v>
      </c>
      <c r="AN5" s="9139"/>
      <c r="AO5" s="9140"/>
      <c r="AP5" s="12"/>
      <c r="AQ5" s="9137"/>
      <c r="AS5" s="9523" t="s">
        <v>741</v>
      </c>
      <c r="AT5" s="9336"/>
      <c r="AU5" s="9336"/>
      <c r="AV5" s="9336"/>
      <c r="AW5" s="12"/>
      <c r="AX5" s="9138" t="s">
        <v>742</v>
      </c>
      <c r="AY5" s="9139"/>
      <c r="AZ5" s="9140"/>
      <c r="BA5" s="12"/>
      <c r="BB5" s="12"/>
      <c r="BC5" s="9138" t="s">
        <v>5128</v>
      </c>
      <c r="BD5" s="9139"/>
      <c r="BE5" s="9140"/>
      <c r="BF5" s="12"/>
      <c r="BG5" s="9137"/>
    </row>
    <row r="6" spans="1:59" x14ac:dyDescent="0.35">
      <c r="F6" s="459"/>
      <c r="L6" s="715"/>
      <c r="T6" s="14"/>
      <c r="U6" s="14"/>
      <c r="AC6" s="14"/>
      <c r="AD6" s="14"/>
      <c r="AG6" s="716"/>
      <c r="AM6" s="14"/>
      <c r="AN6" s="14"/>
      <c r="AQ6" s="716"/>
      <c r="AX6" s="14"/>
      <c r="AY6" s="14"/>
      <c r="BC6" s="14"/>
      <c r="BD6" s="14"/>
      <c r="BG6" s="716"/>
    </row>
    <row r="7" spans="1:59" ht="15.25" customHeight="1" x14ac:dyDescent="0.35">
      <c r="B7" s="456" t="s">
        <v>101</v>
      </c>
      <c r="C7" s="714" t="s">
        <v>5129</v>
      </c>
      <c r="D7" s="456" t="s">
        <v>417</v>
      </c>
      <c r="F7" s="717" t="s">
        <v>1590</v>
      </c>
      <c r="H7" s="9141" t="s">
        <v>1590</v>
      </c>
      <c r="I7" s="9142"/>
      <c r="J7" s="9143" t="s">
        <v>419</v>
      </c>
      <c r="L7" s="9145" t="s">
        <v>1590</v>
      </c>
      <c r="M7" s="9146"/>
      <c r="O7" s="9145" t="s">
        <v>1590</v>
      </c>
      <c r="P7" s="9146"/>
      <c r="Q7" s="16"/>
      <c r="R7" s="9147" t="s">
        <v>419</v>
      </c>
      <c r="T7" s="9149" t="s">
        <v>1590</v>
      </c>
      <c r="U7" s="9150"/>
      <c r="V7" s="9151"/>
      <c r="X7" s="9145" t="s">
        <v>1590</v>
      </c>
      <c r="Y7" s="9146"/>
      <c r="Z7" s="16"/>
      <c r="AA7" s="9147" t="s">
        <v>419</v>
      </c>
      <c r="AC7" s="9149" t="s">
        <v>1590</v>
      </c>
      <c r="AD7" s="9150"/>
      <c r="AE7" s="9151"/>
      <c r="AG7" s="718"/>
      <c r="AI7" s="9145" t="s">
        <v>1590</v>
      </c>
      <c r="AJ7" s="9146"/>
      <c r="AK7" s="16"/>
      <c r="AM7" s="9149" t="s">
        <v>1590</v>
      </c>
      <c r="AN7" s="9150"/>
      <c r="AO7" s="9151"/>
      <c r="AQ7" s="718"/>
      <c r="AS7" s="9145" t="s">
        <v>1590</v>
      </c>
      <c r="AT7" s="9403"/>
      <c r="AU7" s="9348" t="s">
        <v>425</v>
      </c>
      <c r="AV7" s="9521" t="s">
        <v>860</v>
      </c>
      <c r="AX7" s="9149" t="s">
        <v>1590</v>
      </c>
      <c r="AY7" s="9150"/>
      <c r="AZ7" s="9151"/>
      <c r="BC7" s="9149" t="s">
        <v>1590</v>
      </c>
      <c r="BD7" s="9150"/>
      <c r="BE7" s="9151"/>
      <c r="BG7" s="718"/>
    </row>
    <row r="8" spans="1:59" s="712" customFormat="1" ht="15.25" customHeight="1" x14ac:dyDescent="0.35">
      <c r="B8" s="456" t="s">
        <v>420</v>
      </c>
      <c r="C8" s="714" t="s">
        <v>747</v>
      </c>
      <c r="F8" s="720" t="s">
        <v>96</v>
      </c>
      <c r="G8" s="456"/>
      <c r="H8" s="720" t="s">
        <v>423</v>
      </c>
      <c r="I8" s="720" t="s">
        <v>96</v>
      </c>
      <c r="J8" s="9144"/>
      <c r="K8" s="456"/>
      <c r="L8" s="721" t="s">
        <v>423</v>
      </c>
      <c r="M8" s="720" t="s">
        <v>96</v>
      </c>
      <c r="N8" s="1"/>
      <c r="O8" s="20" t="s">
        <v>424</v>
      </c>
      <c r="P8" s="20" t="s">
        <v>5130</v>
      </c>
      <c r="Q8" s="22" t="s">
        <v>425</v>
      </c>
      <c r="R8" s="9148"/>
      <c r="S8" s="1"/>
      <c r="T8" s="1987" t="s">
        <v>5131</v>
      </c>
      <c r="U8" s="22" t="s">
        <v>425</v>
      </c>
      <c r="V8" s="20" t="s">
        <v>5130</v>
      </c>
      <c r="W8" s="1"/>
      <c r="X8" s="20" t="s">
        <v>424</v>
      </c>
      <c r="Y8" s="20" t="s">
        <v>5130</v>
      </c>
      <c r="Z8" s="22" t="s">
        <v>425</v>
      </c>
      <c r="AA8" s="9148"/>
      <c r="AB8" s="1"/>
      <c r="AC8" s="1987" t="s">
        <v>5131</v>
      </c>
      <c r="AD8" s="22" t="s">
        <v>425</v>
      </c>
      <c r="AE8" s="20" t="s">
        <v>5130</v>
      </c>
      <c r="AF8" s="1"/>
      <c r="AG8" s="722"/>
      <c r="AH8" s="1"/>
      <c r="AI8" s="20" t="s">
        <v>424</v>
      </c>
      <c r="AJ8" s="20" t="s">
        <v>5130</v>
      </c>
      <c r="AK8" s="22" t="s">
        <v>425</v>
      </c>
      <c r="AL8" s="1"/>
      <c r="AM8" s="1987" t="s">
        <v>5131</v>
      </c>
      <c r="AN8" s="22" t="s">
        <v>425</v>
      </c>
      <c r="AO8" s="20" t="s">
        <v>5130</v>
      </c>
      <c r="AP8" s="1"/>
      <c r="AQ8" s="722"/>
      <c r="AS8" s="2983" t="s">
        <v>5131</v>
      </c>
      <c r="AT8" s="6089" t="s">
        <v>5130</v>
      </c>
      <c r="AU8" s="9348"/>
      <c r="AV8" s="9521"/>
      <c r="AW8" s="1"/>
      <c r="AX8" s="1987" t="s">
        <v>5131</v>
      </c>
      <c r="AY8" s="22" t="s">
        <v>425</v>
      </c>
      <c r="AZ8" s="20" t="s">
        <v>5130</v>
      </c>
      <c r="BA8" s="1"/>
      <c r="BB8" s="1"/>
      <c r="BC8" s="1987" t="s">
        <v>5131</v>
      </c>
      <c r="BD8" s="22" t="s">
        <v>425</v>
      </c>
      <c r="BE8" s="20" t="s">
        <v>5130</v>
      </c>
      <c r="BF8" s="1"/>
      <c r="BG8" s="722"/>
    </row>
    <row r="9" spans="1:59" x14ac:dyDescent="0.35">
      <c r="F9" s="462"/>
      <c r="G9" s="462"/>
      <c r="H9" s="462"/>
      <c r="I9" s="462"/>
      <c r="J9" s="462"/>
      <c r="K9" s="462"/>
      <c r="N9"/>
      <c r="O9"/>
      <c r="P9"/>
      <c r="Q9"/>
      <c r="R9" s="25"/>
      <c r="S9"/>
      <c r="W9"/>
      <c r="X9"/>
      <c r="Y9"/>
      <c r="Z9"/>
      <c r="AA9" s="25"/>
      <c r="AB9"/>
      <c r="AF9"/>
      <c r="AH9"/>
      <c r="AI9"/>
      <c r="AJ9"/>
      <c r="AK9"/>
      <c r="AL9"/>
      <c r="AP9"/>
      <c r="AS9"/>
      <c r="AT9"/>
      <c r="AU9"/>
      <c r="AV9"/>
      <c r="AW9"/>
      <c r="BA9"/>
      <c r="BB9"/>
      <c r="BF9"/>
    </row>
    <row r="10" spans="1:59" ht="62.25" customHeight="1" x14ac:dyDescent="0.35">
      <c r="A10" s="9152" t="s">
        <v>426</v>
      </c>
      <c r="B10" s="724"/>
      <c r="C10" s="725" t="s">
        <v>427</v>
      </c>
      <c r="D10" s="580" t="s">
        <v>428</v>
      </c>
      <c r="F10" s="31" t="s">
        <v>5132</v>
      </c>
      <c r="G10"/>
      <c r="H10" s="31" t="s">
        <v>5133</v>
      </c>
      <c r="I10" s="31" t="s">
        <v>5133</v>
      </c>
      <c r="J10" s="32"/>
      <c r="K10" s="33"/>
      <c r="L10" s="31" t="s">
        <v>5134</v>
      </c>
      <c r="M10" s="36" t="s">
        <v>5135</v>
      </c>
      <c r="N10" s="33"/>
      <c r="O10" s="31" t="s">
        <v>5134</v>
      </c>
      <c r="P10" s="31" t="s">
        <v>5134</v>
      </c>
      <c r="Q10" s="581" t="s">
        <v>5136</v>
      </c>
      <c r="R10" s="32"/>
      <c r="S10" s="33"/>
      <c r="T10" s="31" t="s">
        <v>5137</v>
      </c>
      <c r="U10" s="727" t="s">
        <v>5138</v>
      </c>
      <c r="V10" s="31" t="s">
        <v>5137</v>
      </c>
      <c r="W10" s="33"/>
      <c r="X10" s="31" t="s">
        <v>5137</v>
      </c>
      <c r="Y10" s="31" t="s">
        <v>5137</v>
      </c>
      <c r="Z10" s="4744" t="s">
        <v>5138</v>
      </c>
      <c r="AA10" s="32"/>
      <c r="AB10" s="33"/>
      <c r="AC10" s="31" t="s">
        <v>5139</v>
      </c>
      <c r="AD10" s="727" t="s">
        <v>5140</v>
      </c>
      <c r="AE10" s="31" t="s">
        <v>5139</v>
      </c>
      <c r="AF10" s="33"/>
      <c r="AG10" s="726"/>
      <c r="AH10" s="33"/>
      <c r="AI10" s="31" t="s">
        <v>5141</v>
      </c>
      <c r="AJ10" s="31" t="s">
        <v>5139</v>
      </c>
      <c r="AK10" s="4744" t="s">
        <v>5138</v>
      </c>
      <c r="AL10" s="33"/>
      <c r="AM10" s="31" t="s">
        <v>5142</v>
      </c>
      <c r="AN10" s="727" t="s">
        <v>5143</v>
      </c>
      <c r="AO10" s="31" t="s">
        <v>5144</v>
      </c>
      <c r="AP10" s="33"/>
      <c r="AQ10" s="726"/>
      <c r="AS10" s="9155" t="s">
        <v>5145</v>
      </c>
      <c r="AT10" s="9156"/>
      <c r="AU10" s="5370" t="s">
        <v>5146</v>
      </c>
      <c r="AV10" s="6613"/>
      <c r="AW10" s="33"/>
      <c r="AX10" s="31" t="s">
        <v>5147</v>
      </c>
      <c r="AY10" s="7393" t="s">
        <v>5143</v>
      </c>
      <c r="AZ10" s="31" t="s">
        <v>5147</v>
      </c>
      <c r="BA10" s="33"/>
      <c r="BB10" s="33"/>
      <c r="BC10" s="31" t="s">
        <v>5148</v>
      </c>
      <c r="BD10" s="727" t="s">
        <v>5149</v>
      </c>
      <c r="BE10" s="31" t="s">
        <v>5148</v>
      </c>
      <c r="BF10" s="33"/>
      <c r="BG10" s="726"/>
    </row>
    <row r="11" spans="1:59" ht="12.75" customHeight="1" x14ac:dyDescent="0.3">
      <c r="A11" s="9153"/>
      <c r="B11" s="40" t="s">
        <v>451</v>
      </c>
      <c r="C11" s="728"/>
      <c r="D11" s="729"/>
      <c r="F11" s="730"/>
      <c r="G11" s="731"/>
      <c r="H11" s="732"/>
      <c r="I11" s="733"/>
      <c r="J11" s="734"/>
      <c r="K11" s="731"/>
      <c r="L11" s="732"/>
      <c r="M11" s="735"/>
      <c r="N11" s="48"/>
      <c r="O11" s="736"/>
      <c r="P11" s="737"/>
      <c r="Q11" s="474"/>
      <c r="R11" s="47"/>
      <c r="S11" s="48"/>
      <c r="T11" s="46"/>
      <c r="U11" s="474"/>
      <c r="V11" s="46"/>
      <c r="W11" s="48"/>
      <c r="X11" s="736"/>
      <c r="Y11" s="737"/>
      <c r="Z11" s="474"/>
      <c r="AA11" s="47"/>
      <c r="AB11" s="48"/>
      <c r="AC11" s="46"/>
      <c r="AD11" s="474"/>
      <c r="AE11" s="46"/>
      <c r="AF11" s="50"/>
      <c r="AG11" s="718"/>
      <c r="AH11" s="50"/>
      <c r="AI11" s="46"/>
      <c r="AJ11" s="46"/>
      <c r="AK11" s="474"/>
      <c r="AL11" s="48"/>
      <c r="AM11" s="46"/>
      <c r="AN11" s="474"/>
      <c r="AO11" s="46"/>
      <c r="AP11" s="50"/>
      <c r="AQ11" s="718"/>
      <c r="AS11" s="154"/>
      <c r="AT11" s="54"/>
      <c r="AU11" s="1298" t="s">
        <v>5145</v>
      </c>
      <c r="AV11" s="1927"/>
      <c r="AW11" s="50"/>
      <c r="AX11" s="7394"/>
      <c r="AY11" s="592" t="s">
        <v>5147</v>
      </c>
      <c r="AZ11" s="586"/>
      <c r="BA11" s="50"/>
      <c r="BB11" s="50"/>
      <c r="BC11" s="7394"/>
      <c r="BD11" s="592" t="s">
        <v>5147</v>
      </c>
      <c r="BE11" s="586"/>
      <c r="BF11" s="50"/>
      <c r="BG11" s="718"/>
    </row>
    <row r="12" spans="1:59" x14ac:dyDescent="0.35">
      <c r="A12" s="9153"/>
      <c r="B12" s="58"/>
      <c r="C12" s="743" t="s">
        <v>456</v>
      </c>
      <c r="F12" s="744">
        <f>325.5*12/9</f>
        <v>434</v>
      </c>
      <c r="G12" s="745"/>
      <c r="H12" s="746">
        <v>873.8</v>
      </c>
      <c r="I12" s="747">
        <v>862.1</v>
      </c>
      <c r="J12" s="997">
        <f>IF(H12=0,0,I12/H12)</f>
        <v>0.98661020828564894</v>
      </c>
      <c r="K12" s="745"/>
      <c r="L12" s="746">
        <v>997.4</v>
      </c>
      <c r="M12" s="749">
        <v>1002.8</v>
      </c>
      <c r="N12" s="65"/>
      <c r="O12" s="298">
        <v>997.4</v>
      </c>
      <c r="P12" s="1988">
        <v>1002.8</v>
      </c>
      <c r="Q12" s="789" t="s">
        <v>1691</v>
      </c>
      <c r="R12" s="64">
        <f>IF(O12=0,0,P12/O12)</f>
        <v>1.0054140765991577</v>
      </c>
      <c r="S12" s="65"/>
      <c r="T12" s="1988">
        <f>1104.1</f>
        <v>1104.0999999999999</v>
      </c>
      <c r="U12" s="106" t="s">
        <v>1393</v>
      </c>
      <c r="V12" s="1988">
        <f>1166.2</f>
        <v>1166.2</v>
      </c>
      <c r="W12" s="65"/>
      <c r="X12" s="298">
        <f>1104.1</f>
        <v>1104.0999999999999</v>
      </c>
      <c r="Y12" s="1988">
        <f>1166.2</f>
        <v>1166.2</v>
      </c>
      <c r="Z12" s="106" t="s">
        <v>1393</v>
      </c>
      <c r="AA12" s="64">
        <f>IF(X12=0,0,Y12/X12)</f>
        <v>1.056244905352776</v>
      </c>
      <c r="AB12" s="65"/>
      <c r="AC12" s="1988">
        <v>1240.5</v>
      </c>
      <c r="AD12" s="106" t="s">
        <v>1691</v>
      </c>
      <c r="AE12" s="1988">
        <v>1285.5999999999999</v>
      </c>
      <c r="AF12" s="67"/>
      <c r="AG12" s="723"/>
      <c r="AH12" s="67"/>
      <c r="AI12" s="1988">
        <v>1240.5</v>
      </c>
      <c r="AJ12" s="1988">
        <v>1285.5999999999999</v>
      </c>
      <c r="AK12" s="106" t="s">
        <v>1393</v>
      </c>
      <c r="AL12" s="65"/>
      <c r="AM12" s="1988">
        <v>1473.2</v>
      </c>
      <c r="AN12" s="106" t="s">
        <v>1691</v>
      </c>
      <c r="AO12" s="1988">
        <v>1460.2</v>
      </c>
      <c r="AP12" s="67"/>
      <c r="AQ12" s="723"/>
      <c r="AS12" s="298">
        <v>1473.2</v>
      </c>
      <c r="AT12" s="7395">
        <v>1460.2</v>
      </c>
      <c r="AU12" s="106" t="s">
        <v>4681</v>
      </c>
      <c r="AV12" s="7396">
        <f>AT12/AS12</f>
        <v>0.99117567200651646</v>
      </c>
      <c r="AW12" s="67"/>
      <c r="AX12" s="298">
        <v>1635.8</v>
      </c>
      <c r="AY12" s="106" t="s">
        <v>4681</v>
      </c>
      <c r="AZ12" s="4587">
        <v>1670.2</v>
      </c>
      <c r="BA12" s="67"/>
      <c r="BB12" s="67"/>
      <c r="BC12" s="298">
        <f>1408.3+241.7</f>
        <v>1650</v>
      </c>
      <c r="BD12" s="106" t="s">
        <v>4681</v>
      </c>
      <c r="BE12" s="4587">
        <f>1523.6+231.8</f>
        <v>1755.3999999999999</v>
      </c>
      <c r="BF12" s="67"/>
      <c r="BG12" s="723"/>
    </row>
    <row r="13" spans="1:59" x14ac:dyDescent="0.35">
      <c r="A13" s="9153"/>
      <c r="B13" s="58"/>
      <c r="C13" s="752" t="s">
        <v>774</v>
      </c>
      <c r="E13" s="462"/>
      <c r="F13" s="753">
        <f>374.2*12/9</f>
        <v>498.93333333333328</v>
      </c>
      <c r="G13" s="745"/>
      <c r="H13" s="746">
        <v>463</v>
      </c>
      <c r="I13" s="747">
        <v>474.3</v>
      </c>
      <c r="J13" s="754">
        <f>IF(H13=0,0,I13/H13)</f>
        <v>1.0244060475161987</v>
      </c>
      <c r="K13" s="745"/>
      <c r="L13" s="746">
        <v>417.1</v>
      </c>
      <c r="M13" s="749">
        <v>415.9</v>
      </c>
      <c r="N13" s="65"/>
      <c r="O13" s="298">
        <v>417.1</v>
      </c>
      <c r="P13" s="1988">
        <v>415.9</v>
      </c>
      <c r="Q13" s="789" t="s">
        <v>5150</v>
      </c>
      <c r="R13" s="73">
        <f>IF(O13=0,0,P13/O13)</f>
        <v>0.99712299208822819</v>
      </c>
      <c r="S13" s="65"/>
      <c r="T13" s="1988">
        <v>374.8</v>
      </c>
      <c r="U13" s="106" t="s">
        <v>4122</v>
      </c>
      <c r="V13" s="1988">
        <v>373.7</v>
      </c>
      <c r="W13" s="65"/>
      <c r="X13" s="298">
        <v>374.8</v>
      </c>
      <c r="Y13" s="1988">
        <v>373.7</v>
      </c>
      <c r="Z13" s="106" t="s">
        <v>4122</v>
      </c>
      <c r="AA13" s="73">
        <f>IF(X13=0,0,Y13/X13)</f>
        <v>0.99706510138740656</v>
      </c>
      <c r="AB13" s="65"/>
      <c r="AC13" s="1988">
        <v>183.6</v>
      </c>
      <c r="AD13" s="106" t="s">
        <v>1826</v>
      </c>
      <c r="AE13" s="1988">
        <v>183.8</v>
      </c>
      <c r="AF13" s="67"/>
      <c r="AG13" s="723"/>
      <c r="AH13" s="67"/>
      <c r="AI13" s="1988">
        <v>183.6</v>
      </c>
      <c r="AJ13" s="1988">
        <v>183.8</v>
      </c>
      <c r="AK13" s="106" t="s">
        <v>4122</v>
      </c>
      <c r="AL13" s="65"/>
      <c r="AM13" s="1988">
        <v>347.4</v>
      </c>
      <c r="AN13" s="106" t="s">
        <v>2261</v>
      </c>
      <c r="AO13" s="1988">
        <v>358.4</v>
      </c>
      <c r="AP13" s="67"/>
      <c r="AQ13" s="723"/>
      <c r="AS13" s="298">
        <v>347.4</v>
      </c>
      <c r="AT13" s="7395">
        <v>358.4</v>
      </c>
      <c r="AU13" s="106" t="s">
        <v>4681</v>
      </c>
      <c r="AV13" s="7396">
        <f t="shared" ref="AV13:AV23" si="0">AT13/AS13</f>
        <v>1.031663788140472</v>
      </c>
      <c r="AW13" s="67"/>
      <c r="AX13" s="298">
        <v>425.4</v>
      </c>
      <c r="AY13" s="106" t="s">
        <v>4681</v>
      </c>
      <c r="AZ13" s="4587">
        <v>394.8</v>
      </c>
      <c r="BA13" s="67"/>
      <c r="BB13" s="67"/>
      <c r="BC13" s="298">
        <v>432.1</v>
      </c>
      <c r="BD13" s="106" t="s">
        <v>4681</v>
      </c>
      <c r="BE13" s="4587">
        <v>437.6</v>
      </c>
      <c r="BF13" s="67"/>
      <c r="BG13" s="723"/>
    </row>
    <row r="14" spans="1:59" ht="15.25" customHeight="1" x14ac:dyDescent="0.35">
      <c r="A14" s="9153"/>
      <c r="B14" s="75"/>
      <c r="C14" s="755" t="s">
        <v>465</v>
      </c>
      <c r="E14" s="462"/>
      <c r="F14" s="756"/>
      <c r="G14" s="745"/>
      <c r="H14" s="757"/>
      <c r="I14" s="758"/>
      <c r="J14" s="754"/>
      <c r="K14" s="745"/>
      <c r="L14" s="746"/>
      <c r="M14" s="749"/>
      <c r="N14" s="80"/>
      <c r="O14" s="298">
        <v>212.6</v>
      </c>
      <c r="P14" s="1988">
        <v>202.9</v>
      </c>
      <c r="Q14" s="789" t="s">
        <v>5150</v>
      </c>
      <c r="R14" s="73">
        <f>IF(O14=0,0,P14/O14)</f>
        <v>0.95437441204139228</v>
      </c>
      <c r="S14" s="80"/>
      <c r="T14" s="3643">
        <v>258.7</v>
      </c>
      <c r="U14" s="106" t="s">
        <v>4122</v>
      </c>
      <c r="V14" s="3643">
        <v>243.7</v>
      </c>
      <c r="W14" s="80"/>
      <c r="X14" s="298">
        <v>258.7</v>
      </c>
      <c r="Y14" s="1988">
        <v>243.7</v>
      </c>
      <c r="Z14" s="106" t="s">
        <v>4122</v>
      </c>
      <c r="AA14" s="73">
        <f>IF(X14=0,0,Y14/X14)</f>
        <v>0.94201778121376112</v>
      </c>
      <c r="AB14" s="80"/>
      <c r="AC14" s="3643">
        <v>197.9</v>
      </c>
      <c r="AD14" s="106" t="s">
        <v>1826</v>
      </c>
      <c r="AE14" s="3643">
        <v>160.69999999999999</v>
      </c>
      <c r="AF14" s="67"/>
      <c r="AG14" s="723"/>
      <c r="AH14" s="67"/>
      <c r="AI14" s="3643">
        <v>197.9</v>
      </c>
      <c r="AJ14" s="3643">
        <v>160.69999999999999</v>
      </c>
      <c r="AK14" s="106" t="s">
        <v>4122</v>
      </c>
      <c r="AL14" s="80"/>
      <c r="AM14" s="3643">
        <v>351.8</v>
      </c>
      <c r="AN14" s="106" t="s">
        <v>2261</v>
      </c>
      <c r="AO14" s="3643">
        <v>343.9</v>
      </c>
      <c r="AP14" s="67"/>
      <c r="AQ14" s="723"/>
      <c r="AS14" s="588"/>
      <c r="AT14" s="7397"/>
      <c r="AU14" s="106"/>
      <c r="AV14" s="7396"/>
      <c r="AW14" s="67"/>
      <c r="AX14" s="588"/>
      <c r="AY14" s="106"/>
      <c r="AZ14" s="4598"/>
      <c r="BA14" s="67"/>
      <c r="BB14" s="67"/>
      <c r="BC14" s="588"/>
      <c r="BD14" s="106"/>
      <c r="BE14" s="4598"/>
      <c r="BF14" s="67"/>
      <c r="BG14" s="723"/>
    </row>
    <row r="15" spans="1:59" ht="12.75" customHeight="1" x14ac:dyDescent="0.35">
      <c r="A15" s="9153"/>
      <c r="B15" s="85"/>
      <c r="C15" s="762" t="s">
        <v>466</v>
      </c>
      <c r="E15" s="223"/>
      <c r="F15" s="763">
        <f>SUM(F12:F13)</f>
        <v>932.93333333333328</v>
      </c>
      <c r="G15" s="745"/>
      <c r="H15" s="764">
        <f>SUM(H12:H13)</f>
        <v>1336.8</v>
      </c>
      <c r="I15" s="765">
        <f>SUM(I12:I13)</f>
        <v>1336.4</v>
      </c>
      <c r="J15" s="766">
        <f>IF(H15=0,0,I15/H15)</f>
        <v>0.9997007779772592</v>
      </c>
      <c r="K15" s="745"/>
      <c r="L15" s="764">
        <f>SUM(L12:L13)</f>
        <v>1414.5</v>
      </c>
      <c r="M15" s="767">
        <f>SUM(M12:M13)</f>
        <v>1418.6999999999998</v>
      </c>
      <c r="N15" s="80"/>
      <c r="O15" s="89">
        <f>SUM(O12:O14)</f>
        <v>1627.1</v>
      </c>
      <c r="P15" s="90">
        <f>SUM(P12:P14)</f>
        <v>1621.6</v>
      </c>
      <c r="Q15" s="1000" t="s">
        <v>5151</v>
      </c>
      <c r="R15" s="91">
        <f>IF(O15=0,0,P15/O15)</f>
        <v>0.99661975293466909</v>
      </c>
      <c r="S15" s="80"/>
      <c r="T15" s="1989">
        <f>SUM(T12:T14)</f>
        <v>1737.6</v>
      </c>
      <c r="U15" s="216" t="s">
        <v>5151</v>
      </c>
      <c r="V15" s="1989">
        <f>SUM(V12:V14)</f>
        <v>1783.6000000000001</v>
      </c>
      <c r="W15" s="80"/>
      <c r="X15" s="89">
        <f>SUM(X12:X14)</f>
        <v>1737.6</v>
      </c>
      <c r="Y15" s="90">
        <f>SUM(Y12:Y14)</f>
        <v>1783.6000000000001</v>
      </c>
      <c r="Z15" s="216" t="s">
        <v>5151</v>
      </c>
      <c r="AA15" s="91">
        <f>IF(X15=0,0,Y15/X15)</f>
        <v>1.0264732965009209</v>
      </c>
      <c r="AB15" s="80"/>
      <c r="AC15" s="1989">
        <f>SUM(AC12:AC14)</f>
        <v>1622</v>
      </c>
      <c r="AD15" s="216" t="s">
        <v>5151</v>
      </c>
      <c r="AE15" s="1989">
        <f>SUM(AE12:AE14)</f>
        <v>1630.1</v>
      </c>
      <c r="AF15" s="67"/>
      <c r="AG15" s="722"/>
      <c r="AH15" s="67"/>
      <c r="AI15" s="1989">
        <f>SUM(AI12:AI14)</f>
        <v>1622</v>
      </c>
      <c r="AJ15" s="1989">
        <f>SUM(AJ12:AJ14)</f>
        <v>1630.1</v>
      </c>
      <c r="AK15" s="216" t="s">
        <v>5151</v>
      </c>
      <c r="AL15" s="80"/>
      <c r="AM15" s="1989">
        <v>1820.6</v>
      </c>
      <c r="AN15" s="216" t="s">
        <v>5151</v>
      </c>
      <c r="AO15" s="1989">
        <v>1818.6</v>
      </c>
      <c r="AP15" s="67"/>
      <c r="AQ15" s="722"/>
      <c r="AS15" s="590">
        <v>1820.6</v>
      </c>
      <c r="AT15" s="7398">
        <v>1818.6</v>
      </c>
      <c r="AU15" s="216" t="s">
        <v>4681</v>
      </c>
      <c r="AV15" s="7399">
        <f t="shared" si="0"/>
        <v>0.99890146105679445</v>
      </c>
      <c r="AW15" s="67"/>
      <c r="AX15" s="590">
        <v>2061.1999999999998</v>
      </c>
      <c r="AY15" s="216" t="s">
        <v>4681</v>
      </c>
      <c r="AZ15" s="4601">
        <v>2065</v>
      </c>
      <c r="BA15" s="67"/>
      <c r="BB15" s="67"/>
      <c r="BC15" s="590">
        <f>SUM(BC12:BC14)</f>
        <v>2082.1</v>
      </c>
      <c r="BD15" s="216" t="s">
        <v>4681</v>
      </c>
      <c r="BE15" s="4601">
        <f>SUM(BE12:BE14)</f>
        <v>2193</v>
      </c>
      <c r="BF15" s="67"/>
      <c r="BG15" s="722"/>
    </row>
    <row r="16" spans="1:59" x14ac:dyDescent="0.35">
      <c r="A16" s="9153"/>
      <c r="B16" s="100" t="s">
        <v>468</v>
      </c>
      <c r="C16" s="771"/>
      <c r="D16" s="729"/>
      <c r="E16" s="729"/>
      <c r="F16" s="772"/>
      <c r="G16" s="729"/>
      <c r="H16" s="773"/>
      <c r="I16" s="774"/>
      <c r="J16" s="775"/>
      <c r="K16" s="729"/>
      <c r="L16" s="773"/>
      <c r="M16" s="776"/>
      <c r="N16" s="43"/>
      <c r="O16" s="102"/>
      <c r="P16" s="106"/>
      <c r="Q16" s="106"/>
      <c r="R16" s="104"/>
      <c r="S16" s="43"/>
      <c r="T16" s="102"/>
      <c r="U16" s="103"/>
      <c r="V16" s="4745"/>
      <c r="W16" s="43"/>
      <c r="X16" s="102"/>
      <c r="Y16" s="106"/>
      <c r="Z16" s="106"/>
      <c r="AA16" s="104"/>
      <c r="AB16" s="43"/>
      <c r="AC16" s="102"/>
      <c r="AD16" s="103"/>
      <c r="AE16" s="4745"/>
      <c r="AF16" s="43"/>
      <c r="AG16" s="718"/>
      <c r="AH16" s="43"/>
      <c r="AI16" s="102"/>
      <c r="AJ16" s="4745"/>
      <c r="AK16" s="106"/>
      <c r="AL16" s="43"/>
      <c r="AM16" s="102"/>
      <c r="AN16" s="103"/>
      <c r="AO16" s="4745"/>
      <c r="AP16" s="43"/>
      <c r="AQ16" s="718"/>
      <c r="AS16" s="245"/>
      <c r="AT16" s="106"/>
      <c r="AU16" s="103"/>
      <c r="AV16" s="1927"/>
      <c r="AW16" s="43"/>
      <c r="AX16" s="102"/>
      <c r="AY16" s="103"/>
      <c r="AZ16" s="4745"/>
      <c r="BA16" s="43"/>
      <c r="BB16" s="43"/>
      <c r="BC16" s="102"/>
      <c r="BD16" s="103"/>
      <c r="BE16" s="4745"/>
      <c r="BF16" s="43"/>
      <c r="BG16" s="718"/>
    </row>
    <row r="17" spans="1:59" x14ac:dyDescent="0.35">
      <c r="A17" s="9153"/>
      <c r="B17" s="6082"/>
      <c r="C17" s="778" t="s">
        <v>470</v>
      </c>
      <c r="F17" s="779">
        <f>435*12/9</f>
        <v>580</v>
      </c>
      <c r="H17" s="780">
        <v>760.9</v>
      </c>
      <c r="I17" s="781">
        <v>776.7</v>
      </c>
      <c r="J17" s="1003">
        <f>IF(H17=0,0,I17/H17)</f>
        <v>1.0207648836903667</v>
      </c>
      <c r="L17" s="780">
        <v>794.4</v>
      </c>
      <c r="M17" s="783">
        <v>834</v>
      </c>
      <c r="O17" s="593">
        <f>794.4-O21</f>
        <v>751.5</v>
      </c>
      <c r="P17" s="594">
        <f>834-P21</f>
        <v>788.8</v>
      </c>
      <c r="Q17" s="789" t="s">
        <v>1826</v>
      </c>
      <c r="R17" s="64">
        <f>IF(O17=0,0,P17/O17)</f>
        <v>1.0496340652029275</v>
      </c>
      <c r="T17" s="1154">
        <f>899.9-T21</f>
        <v>843.8</v>
      </c>
      <c r="U17" s="645" t="s">
        <v>1826</v>
      </c>
      <c r="V17" s="643">
        <f>926.8-V21</f>
        <v>870.09999999999991</v>
      </c>
      <c r="X17" s="593">
        <f>899.9-X21</f>
        <v>843.8</v>
      </c>
      <c r="Y17" s="594">
        <f>926.8-Y21</f>
        <v>870.09999999999991</v>
      </c>
      <c r="Z17" s="789" t="s">
        <v>1826</v>
      </c>
      <c r="AA17" s="64">
        <f>IF(X17=0,0,Y17/X17)</f>
        <v>1.0311685233467647</v>
      </c>
      <c r="AC17" s="1154">
        <f>1040-AC21</f>
        <v>961.4</v>
      </c>
      <c r="AD17" s="645" t="s">
        <v>2328</v>
      </c>
      <c r="AE17" s="643">
        <f>1069.6-AE21</f>
        <v>997.39999999999986</v>
      </c>
      <c r="AG17" s="723" t="s">
        <v>5152</v>
      </c>
      <c r="AI17" s="1154">
        <f>1040-AI21</f>
        <v>961.4</v>
      </c>
      <c r="AJ17" s="643">
        <f>1069.6-AJ21</f>
        <v>997.39999999999986</v>
      </c>
      <c r="AK17" s="789" t="s">
        <v>1826</v>
      </c>
      <c r="AM17" s="595">
        <f>1159.4-AM21</f>
        <v>1082.9000000000001</v>
      </c>
      <c r="AN17" s="3227" t="s">
        <v>2342</v>
      </c>
      <c r="AO17" s="1304">
        <f>1176.4-AO21</f>
        <v>1089.6000000000001</v>
      </c>
      <c r="AQ17" s="723" t="s">
        <v>5152</v>
      </c>
      <c r="AS17" s="595">
        <f>1159.4-AS21</f>
        <v>1067.2</v>
      </c>
      <c r="AT17" s="597">
        <f>1176.4-AT21</f>
        <v>1085.3000000000002</v>
      </c>
      <c r="AU17" s="106" t="s">
        <v>4681</v>
      </c>
      <c r="AV17" s="7396">
        <f t="shared" si="0"/>
        <v>1.0169602698650675</v>
      </c>
      <c r="AX17" s="595">
        <f>1301.2-AX21</f>
        <v>1198.1000000000001</v>
      </c>
      <c r="AY17" s="106" t="s">
        <v>4681</v>
      </c>
      <c r="AZ17" s="1304">
        <f>1343.4-AZ21</f>
        <v>1240.9000000000001</v>
      </c>
      <c r="BC17" s="595">
        <f>1558.4-BC21</f>
        <v>1406.6000000000001</v>
      </c>
      <c r="BD17" s="106" t="s">
        <v>4681</v>
      </c>
      <c r="BE17" s="1304">
        <f>1502.1-BE21</f>
        <v>1363</v>
      </c>
      <c r="BG17" s="723" t="s">
        <v>5152</v>
      </c>
    </row>
    <row r="18" spans="1:59" x14ac:dyDescent="0.35">
      <c r="A18" s="9153"/>
      <c r="B18" s="6082"/>
      <c r="C18" s="778" t="s">
        <v>474</v>
      </c>
      <c r="F18" s="779">
        <f>377.7*12/9</f>
        <v>503.59999999999997</v>
      </c>
      <c r="H18" s="785">
        <v>750.1</v>
      </c>
      <c r="I18" s="786">
        <v>712</v>
      </c>
      <c r="J18" s="1003">
        <f>IF(H18=0,0,I18/H18)</f>
        <v>0.94920677243034257</v>
      </c>
      <c r="L18" s="785">
        <v>787</v>
      </c>
      <c r="M18" s="783">
        <v>754</v>
      </c>
      <c r="O18" s="595">
        <v>787</v>
      </c>
      <c r="P18" s="594">
        <v>754</v>
      </c>
      <c r="Q18" s="789" t="s">
        <v>1826</v>
      </c>
      <c r="R18" s="64">
        <f>IF(O18=0,0,P18/O18)</f>
        <v>0.95806861499364671</v>
      </c>
      <c r="T18" s="595">
        <v>776.3</v>
      </c>
      <c r="U18" s="3227" t="s">
        <v>1826</v>
      </c>
      <c r="V18" s="1304">
        <v>720.8</v>
      </c>
      <c r="X18" s="595"/>
      <c r="Y18" s="594"/>
      <c r="Z18" s="789" t="s">
        <v>1826</v>
      </c>
      <c r="AA18" s="64">
        <f>IF(X18=0,0,Y18/X18)</f>
        <v>0</v>
      </c>
      <c r="AC18" s="595"/>
      <c r="AD18" s="3227"/>
      <c r="AE18" s="1304"/>
      <c r="AG18" s="723"/>
      <c r="AI18" s="595"/>
      <c r="AJ18" s="1304"/>
      <c r="AK18" s="789" t="s">
        <v>1826</v>
      </c>
      <c r="AM18" s="595"/>
      <c r="AN18" s="3227" t="s">
        <v>2342</v>
      </c>
      <c r="AO18" s="1304"/>
      <c r="AQ18" s="723"/>
      <c r="AS18" s="595"/>
      <c r="AT18" s="597"/>
      <c r="AU18" s="106"/>
      <c r="AV18" s="110"/>
      <c r="AX18" s="595"/>
      <c r="AY18" s="106"/>
      <c r="AZ18" s="1304"/>
      <c r="BC18" s="595"/>
      <c r="BD18" s="106"/>
      <c r="BE18" s="1304"/>
      <c r="BG18" s="723"/>
    </row>
    <row r="19" spans="1:59" x14ac:dyDescent="0.35">
      <c r="A19" s="9153"/>
      <c r="B19" s="6082"/>
      <c r="C19" s="787" t="s">
        <v>5153</v>
      </c>
      <c r="F19" s="779"/>
      <c r="H19" s="785"/>
      <c r="I19" s="786"/>
      <c r="J19" s="1003"/>
      <c r="L19" s="785"/>
      <c r="M19" s="783"/>
      <c r="O19" s="595"/>
      <c r="P19" s="594"/>
      <c r="Q19" s="789"/>
      <c r="R19" s="64"/>
      <c r="T19" s="1154"/>
      <c r="U19" s="645"/>
      <c r="V19" s="1358"/>
      <c r="X19" s="595">
        <v>488.5</v>
      </c>
      <c r="Y19" s="594">
        <v>446.9</v>
      </c>
      <c r="Z19" s="789"/>
      <c r="AA19" s="64"/>
      <c r="AC19" s="1154">
        <v>398</v>
      </c>
      <c r="AD19" s="645" t="s">
        <v>2328</v>
      </c>
      <c r="AE19" s="1358">
        <v>418.2</v>
      </c>
      <c r="AG19" s="723"/>
      <c r="AI19" s="1154">
        <v>398</v>
      </c>
      <c r="AJ19" s="1358">
        <v>418.2</v>
      </c>
      <c r="AK19" s="789"/>
      <c r="AM19" s="1154">
        <v>486.6</v>
      </c>
      <c r="AN19" s="645" t="s">
        <v>2342</v>
      </c>
      <c r="AO19" s="1358">
        <v>463.2</v>
      </c>
      <c r="AQ19" s="723"/>
      <c r="AS19" s="595">
        <v>486.6</v>
      </c>
      <c r="AT19" s="597">
        <v>463.2</v>
      </c>
      <c r="AU19" s="106" t="s">
        <v>4681</v>
      </c>
      <c r="AV19" s="7396">
        <f t="shared" si="0"/>
        <v>0.95191122071516643</v>
      </c>
      <c r="AX19" s="1154">
        <v>625.29999999999995</v>
      </c>
      <c r="AY19" s="106" t="s">
        <v>4681</v>
      </c>
      <c r="AZ19" s="1358">
        <v>623.70000000000005</v>
      </c>
      <c r="BC19" s="1154">
        <v>747.1</v>
      </c>
      <c r="BD19" s="106" t="s">
        <v>4681</v>
      </c>
      <c r="BE19" s="1358">
        <v>646.1</v>
      </c>
      <c r="BG19" s="723"/>
    </row>
    <row r="20" spans="1:59" x14ac:dyDescent="0.35">
      <c r="A20" s="9153"/>
      <c r="B20" s="6082"/>
      <c r="C20" s="787" t="s">
        <v>5154</v>
      </c>
      <c r="F20" s="779"/>
      <c r="H20" s="785"/>
      <c r="I20" s="786"/>
      <c r="J20" s="1003"/>
      <c r="L20" s="785"/>
      <c r="M20" s="783"/>
      <c r="O20" s="595"/>
      <c r="P20" s="594"/>
      <c r="Q20" s="789"/>
      <c r="R20" s="64"/>
      <c r="T20" s="1154"/>
      <c r="U20" s="645"/>
      <c r="V20" s="1358"/>
      <c r="X20" s="595">
        <v>287.7</v>
      </c>
      <c r="Y20" s="594">
        <v>274</v>
      </c>
      <c r="Z20" s="789"/>
      <c r="AA20" s="64"/>
      <c r="AC20" s="1154">
        <v>343.9</v>
      </c>
      <c r="AD20" s="645" t="s">
        <v>2328</v>
      </c>
      <c r="AE20" s="1358">
        <v>341.3</v>
      </c>
      <c r="AG20" s="723"/>
      <c r="AI20" s="1154">
        <v>343.9</v>
      </c>
      <c r="AJ20" s="1358">
        <v>341.3</v>
      </c>
      <c r="AK20" s="789"/>
      <c r="AM20" s="1154">
        <v>301.10000000000002</v>
      </c>
      <c r="AN20" s="645" t="s">
        <v>2342</v>
      </c>
      <c r="AO20" s="1358">
        <v>349.2</v>
      </c>
      <c r="AQ20" s="723"/>
      <c r="AS20" s="595">
        <v>301.10000000000002</v>
      </c>
      <c r="AT20" s="597">
        <v>349.2</v>
      </c>
      <c r="AU20" s="106" t="s">
        <v>4681</v>
      </c>
      <c r="AV20" s="7396">
        <f t="shared" si="0"/>
        <v>1.1597475921620723</v>
      </c>
      <c r="AX20" s="1154">
        <v>402.3</v>
      </c>
      <c r="AY20" s="106" t="s">
        <v>4681</v>
      </c>
      <c r="AZ20" s="1358">
        <v>402.3</v>
      </c>
      <c r="BC20" s="1154">
        <v>547.70000000000005</v>
      </c>
      <c r="BD20" s="106" t="s">
        <v>4681</v>
      </c>
      <c r="BE20" s="1358">
        <v>547.79999999999995</v>
      </c>
      <c r="BG20" s="723"/>
    </row>
    <row r="21" spans="1:59" x14ac:dyDescent="0.35">
      <c r="A21" s="9153"/>
      <c r="B21" s="6082"/>
      <c r="C21" s="787" t="s">
        <v>2281</v>
      </c>
      <c r="F21" s="788"/>
      <c r="H21" s="785"/>
      <c r="I21" s="786"/>
      <c r="J21" s="1003">
        <f>IF(H21=0,0,I21/H21)</f>
        <v>0</v>
      </c>
      <c r="L21" s="785"/>
      <c r="M21" s="783">
        <f>L21*J21</f>
        <v>0</v>
      </c>
      <c r="O21" s="595">
        <v>42.9</v>
      </c>
      <c r="P21" s="594">
        <v>45.2</v>
      </c>
      <c r="Q21" s="789" t="s">
        <v>1826</v>
      </c>
      <c r="R21" s="64">
        <f>IF(O21=0,0,P21/O21)</f>
        <v>1.0536130536130537</v>
      </c>
      <c r="T21" s="1154">
        <v>56.1</v>
      </c>
      <c r="U21" s="645" t="s">
        <v>1826</v>
      </c>
      <c r="V21" s="643">
        <v>56.7</v>
      </c>
      <c r="X21" s="595">
        <v>56.1</v>
      </c>
      <c r="Y21" s="594">
        <v>56.7</v>
      </c>
      <c r="Z21" s="789" t="s">
        <v>1826</v>
      </c>
      <c r="AA21" s="64">
        <f>IF(X21=0,0,Y21/X21)</f>
        <v>1.0106951871657754</v>
      </c>
      <c r="AC21" s="1154">
        <v>78.599999999999994</v>
      </c>
      <c r="AD21" s="645" t="s">
        <v>2328</v>
      </c>
      <c r="AE21" s="643">
        <v>72.2</v>
      </c>
      <c r="AG21" s="723" t="s">
        <v>5155</v>
      </c>
      <c r="AI21" s="1154">
        <v>78.599999999999994</v>
      </c>
      <c r="AJ21" s="643">
        <v>72.2</v>
      </c>
      <c r="AK21" s="789" t="s">
        <v>1826</v>
      </c>
      <c r="AM21" s="1154">
        <f>63.6+12.9</f>
        <v>76.5</v>
      </c>
      <c r="AN21" s="645" t="s">
        <v>2342</v>
      </c>
      <c r="AO21" s="643">
        <f>73.4+13.4</f>
        <v>86.800000000000011</v>
      </c>
      <c r="AQ21" s="723" t="s">
        <v>5155</v>
      </c>
      <c r="AS21" s="595">
        <v>92.2</v>
      </c>
      <c r="AT21" s="597">
        <v>91.1</v>
      </c>
      <c r="AU21" s="106" t="s">
        <v>4681</v>
      </c>
      <c r="AV21" s="7396">
        <f t="shared" si="0"/>
        <v>0.9880694143167027</v>
      </c>
      <c r="AX21" s="1154">
        <v>103.1</v>
      </c>
      <c r="AY21" s="106" t="s">
        <v>4681</v>
      </c>
      <c r="AZ21" s="643">
        <v>102.5</v>
      </c>
      <c r="BC21" s="1154">
        <v>151.80000000000001</v>
      </c>
      <c r="BD21" s="106" t="s">
        <v>4681</v>
      </c>
      <c r="BE21" s="643">
        <v>139.1</v>
      </c>
      <c r="BG21" s="723" t="s">
        <v>5155</v>
      </c>
    </row>
    <row r="22" spans="1:59" x14ac:dyDescent="0.35">
      <c r="A22" s="9153"/>
      <c r="B22" s="6082"/>
      <c r="C22" s="787" t="s">
        <v>478</v>
      </c>
      <c r="F22" s="790"/>
      <c r="H22" s="791"/>
      <c r="I22" s="792"/>
      <c r="J22" s="1003"/>
      <c r="L22" s="785"/>
      <c r="M22" s="783"/>
      <c r="O22" s="595"/>
      <c r="P22" s="599"/>
      <c r="Q22" s="789"/>
      <c r="R22" s="64">
        <f>IF(O22=0,0,P22/O22)</f>
        <v>0</v>
      </c>
      <c r="T22" s="1163"/>
      <c r="U22" s="645"/>
      <c r="V22" s="4638"/>
      <c r="X22" s="595">
        <v>108.8</v>
      </c>
      <c r="Y22" s="599">
        <v>88.4</v>
      </c>
      <c r="Z22" s="789"/>
      <c r="AA22" s="64">
        <f>IF(X22=0,0,Y22/X22)</f>
        <v>0.81250000000000011</v>
      </c>
      <c r="AC22" s="1163">
        <v>115.8</v>
      </c>
      <c r="AD22" s="645" t="s">
        <v>5156</v>
      </c>
      <c r="AE22" s="4638">
        <v>116.4</v>
      </c>
      <c r="AG22" s="723"/>
      <c r="AI22" s="1163">
        <v>115.8</v>
      </c>
      <c r="AJ22" s="4638">
        <v>116.4</v>
      </c>
      <c r="AK22" s="789"/>
      <c r="AM22" s="1163">
        <v>178</v>
      </c>
      <c r="AN22" s="645" t="s">
        <v>5156</v>
      </c>
      <c r="AO22" s="4638">
        <v>160</v>
      </c>
      <c r="AQ22" s="723"/>
      <c r="AS22" s="2890"/>
      <c r="AT22" s="7675"/>
      <c r="AU22" s="106"/>
      <c r="AV22" s="7396"/>
      <c r="AX22" s="7401"/>
      <c r="AY22" s="789"/>
      <c r="AZ22" s="7402"/>
      <c r="BC22" s="7401"/>
      <c r="BD22" s="789"/>
      <c r="BE22" s="7402"/>
      <c r="BG22" s="723"/>
    </row>
    <row r="23" spans="1:59" x14ac:dyDescent="0.35">
      <c r="A23" s="9153"/>
      <c r="B23" s="128"/>
      <c r="C23" s="794" t="s">
        <v>479</v>
      </c>
      <c r="D23" s="456">
        <v>1</v>
      </c>
      <c r="E23" s="729"/>
      <c r="F23" s="795">
        <f>SUM(F17:F21)</f>
        <v>1083.5999999999999</v>
      </c>
      <c r="H23" s="796">
        <f>SUM(H17:H21)</f>
        <v>1511</v>
      </c>
      <c r="I23" s="797">
        <f>SUM(I17:I21)</f>
        <v>1488.7</v>
      </c>
      <c r="J23" s="1004">
        <f>IF(H23=0,0,I23/H23)</f>
        <v>0.98524156187955003</v>
      </c>
      <c r="L23" s="796">
        <f>SUM(L17:L21)</f>
        <v>1581.4</v>
      </c>
      <c r="M23" s="799">
        <f>SUM(M17:M21)</f>
        <v>1588</v>
      </c>
      <c r="O23" s="602">
        <f>1700.2-118.8</f>
        <v>1581.4</v>
      </c>
      <c r="P23" s="603">
        <f>1681.2-93.2</f>
        <v>1588</v>
      </c>
      <c r="Q23" s="789" t="s">
        <v>5157</v>
      </c>
      <c r="R23" s="133">
        <f>IF(O23=0,0,P23/O23)</f>
        <v>1.0041735171367143</v>
      </c>
      <c r="T23" s="1156">
        <f>1785-108.8</f>
        <v>1676.2</v>
      </c>
      <c r="U23" s="645" t="s">
        <v>1826</v>
      </c>
      <c r="V23" s="1158">
        <f>1736.1-88.4</f>
        <v>1647.6999999999998</v>
      </c>
      <c r="X23" s="602">
        <f>SUM(X17:X22)</f>
        <v>1784.8999999999999</v>
      </c>
      <c r="Y23" s="603">
        <f>SUM(Y17:Y22)</f>
        <v>1736.1000000000001</v>
      </c>
      <c r="Z23" s="789" t="s">
        <v>5157</v>
      </c>
      <c r="AA23" s="133">
        <f>IF(X23=0,0,Y23/X23)</f>
        <v>0.97265953274693273</v>
      </c>
      <c r="AC23" s="1156">
        <f>SUM(AC17:AC22)</f>
        <v>1897.7</v>
      </c>
      <c r="AD23" s="645" t="s">
        <v>2328</v>
      </c>
      <c r="AE23" s="1158">
        <f>SUM(AE17:AE22)</f>
        <v>1945.5</v>
      </c>
      <c r="AG23" s="723" t="s">
        <v>5158</v>
      </c>
      <c r="AI23" s="1156">
        <f>SUM(AI17:AI22)</f>
        <v>1897.7</v>
      </c>
      <c r="AJ23" s="1158">
        <f>SUM(AJ17:AJ22)</f>
        <v>1945.5</v>
      </c>
      <c r="AK23" s="789" t="s">
        <v>5157</v>
      </c>
      <c r="AM23" s="1156">
        <f>SUM(AM17:AM22)</f>
        <v>2125.1</v>
      </c>
      <c r="AN23" s="645" t="s">
        <v>2342</v>
      </c>
      <c r="AO23" s="1158">
        <f>SUM(AO17:AO22)</f>
        <v>2148.8000000000002</v>
      </c>
      <c r="AQ23" s="723" t="s">
        <v>5158</v>
      </c>
      <c r="AS23" s="602">
        <v>2125.1999999999998</v>
      </c>
      <c r="AT23" s="7403">
        <v>2148.6999999999998</v>
      </c>
      <c r="AU23" s="216" t="s">
        <v>4681</v>
      </c>
      <c r="AV23" s="7399">
        <f t="shared" si="0"/>
        <v>1.0110577827969132</v>
      </c>
      <c r="AX23" s="1156">
        <v>2518.8000000000002</v>
      </c>
      <c r="AY23" s="789" t="s">
        <v>4681</v>
      </c>
      <c r="AZ23" s="1158">
        <v>2565.6999999999998</v>
      </c>
      <c r="BC23" s="1156">
        <f>SUM(BC17:BC22)</f>
        <v>2853.2000000000007</v>
      </c>
      <c r="BD23" s="789" t="s">
        <v>4681</v>
      </c>
      <c r="BE23" s="1158">
        <f>SUM(BE17:BE22)</f>
        <v>2695.9999999999995</v>
      </c>
      <c r="BG23" s="723" t="s">
        <v>5158</v>
      </c>
    </row>
    <row r="24" spans="1:59" x14ac:dyDescent="0.35">
      <c r="A24" s="9153"/>
      <c r="B24" s="139" t="s">
        <v>480</v>
      </c>
      <c r="C24" s="771"/>
      <c r="D24" s="801"/>
      <c r="F24" s="802"/>
      <c r="G24" s="801"/>
      <c r="H24" s="803"/>
      <c r="I24" s="804"/>
      <c r="J24" s="1005"/>
      <c r="K24" s="801"/>
      <c r="L24" s="147"/>
      <c r="M24" s="806"/>
      <c r="N24" s="141"/>
      <c r="O24" s="1322"/>
      <c r="P24" s="1127"/>
      <c r="Q24" s="145"/>
      <c r="R24" s="146"/>
      <c r="S24" s="141"/>
      <c r="T24" s="147"/>
      <c r="U24" s="145"/>
      <c r="V24" s="4746"/>
      <c r="W24" s="141"/>
      <c r="X24" s="1322"/>
      <c r="Y24" s="1127"/>
      <c r="Z24" s="145"/>
      <c r="AA24" s="146"/>
      <c r="AB24" s="141"/>
      <c r="AC24" s="147"/>
      <c r="AD24" s="145"/>
      <c r="AE24" s="4746"/>
      <c r="AF24" s="141"/>
      <c r="AG24" s="718"/>
      <c r="AH24" s="141"/>
      <c r="AI24" s="147"/>
      <c r="AJ24" s="4746"/>
      <c r="AK24" s="145"/>
      <c r="AL24" s="141"/>
      <c r="AM24" s="147"/>
      <c r="AN24" s="145"/>
      <c r="AO24" s="4746"/>
      <c r="AP24" s="141"/>
      <c r="AQ24" s="718"/>
      <c r="AS24" s="147"/>
      <c r="AT24" s="4746"/>
      <c r="AU24" s="3463"/>
      <c r="AV24" s="141"/>
      <c r="AW24" s="141"/>
      <c r="AX24" s="147"/>
      <c r="AY24" s="145"/>
      <c r="AZ24" s="4746"/>
      <c r="BA24" s="141"/>
      <c r="BB24" s="141"/>
      <c r="BC24" s="147"/>
      <c r="BD24" s="145"/>
      <c r="BE24" s="4746"/>
      <c r="BF24" s="141"/>
      <c r="BG24" s="718"/>
    </row>
    <row r="25" spans="1:59" x14ac:dyDescent="0.35">
      <c r="A25" s="9153"/>
      <c r="B25" s="6082"/>
      <c r="C25" s="778" t="s">
        <v>483</v>
      </c>
      <c r="F25" s="788">
        <f>96.7*12/9</f>
        <v>128.93333333333334</v>
      </c>
      <c r="H25" s="785">
        <v>195.2</v>
      </c>
      <c r="I25" s="786">
        <v>187.9</v>
      </c>
      <c r="J25" s="1003">
        <f>IF(H25=0,0,I25/H25)</f>
        <v>0.96260245901639352</v>
      </c>
      <c r="L25" s="807">
        <v>207</v>
      </c>
      <c r="M25" s="808">
        <v>203.9</v>
      </c>
      <c r="O25" s="595"/>
      <c r="P25" s="594"/>
      <c r="Q25" s="789"/>
      <c r="R25" s="64">
        <f>IF(O25=0,0,P25/O25)</f>
        <v>0</v>
      </c>
      <c r="T25" s="159"/>
      <c r="U25" s="106"/>
      <c r="V25" s="158">
        <f>T25*R25</f>
        <v>0</v>
      </c>
      <c r="X25" s="595"/>
      <c r="Y25" s="594"/>
      <c r="Z25" s="789"/>
      <c r="AA25" s="64">
        <f>IF(X25=0,0,Y25/X25)</f>
        <v>0</v>
      </c>
      <c r="AC25" s="159"/>
      <c r="AD25" s="106"/>
      <c r="AE25" s="158">
        <f>AC25*AA25</f>
        <v>0</v>
      </c>
      <c r="AG25" s="723"/>
      <c r="AI25" s="159"/>
      <c r="AJ25" s="158">
        <f>AH25*AF25</f>
        <v>0</v>
      </c>
      <c r="AK25" s="789"/>
      <c r="AM25" s="159"/>
      <c r="AN25" s="106"/>
      <c r="AO25" s="158"/>
      <c r="AQ25" s="723"/>
      <c r="AS25" s="159"/>
      <c r="AT25" s="158"/>
      <c r="AU25" s="789"/>
      <c r="AX25" s="159"/>
      <c r="AY25" s="106"/>
      <c r="AZ25" s="158"/>
      <c r="BC25" s="159"/>
      <c r="BD25" s="106"/>
      <c r="BE25" s="158"/>
      <c r="BG25" s="723"/>
    </row>
    <row r="26" spans="1:59" x14ac:dyDescent="0.35">
      <c r="A26" s="9153"/>
      <c r="B26" s="6082"/>
      <c r="C26" s="778" t="s">
        <v>489</v>
      </c>
      <c r="F26" s="788"/>
      <c r="H26" s="785"/>
      <c r="I26" s="786"/>
      <c r="J26" s="1003">
        <f>IF(H26=0,0,I26/H26)</f>
        <v>0</v>
      </c>
      <c r="L26" s="807"/>
      <c r="M26" s="808">
        <f>L26*J26</f>
        <v>0</v>
      </c>
      <c r="O26" s="595">
        <v>207</v>
      </c>
      <c r="P26" s="594">
        <v>203.9</v>
      </c>
      <c r="Q26" s="789" t="s">
        <v>1826</v>
      </c>
      <c r="R26" s="64">
        <f>IF(O26=0,0,P26/O26)</f>
        <v>0.98502415458937198</v>
      </c>
      <c r="T26" s="4747">
        <v>226.3</v>
      </c>
      <c r="U26" s="106" t="s">
        <v>1826</v>
      </c>
      <c r="V26" s="4748">
        <v>242.3</v>
      </c>
      <c r="X26" s="595">
        <v>226.3</v>
      </c>
      <c r="Y26" s="594">
        <v>242.3</v>
      </c>
      <c r="Z26" s="789" t="s">
        <v>1826</v>
      </c>
      <c r="AA26" s="64">
        <f>IF(X26=0,0,Y26/X26)</f>
        <v>1.070702607158639</v>
      </c>
      <c r="AC26" s="4747">
        <v>258.3</v>
      </c>
      <c r="AD26" s="106" t="s">
        <v>1826</v>
      </c>
      <c r="AE26" s="4748">
        <v>295.8</v>
      </c>
      <c r="AG26" s="723"/>
      <c r="AI26" s="4747">
        <v>258.3</v>
      </c>
      <c r="AJ26" s="4748">
        <v>295.8</v>
      </c>
      <c r="AK26" s="789" t="s">
        <v>1826</v>
      </c>
      <c r="AM26" s="4747">
        <v>325</v>
      </c>
      <c r="AN26" s="106" t="s">
        <v>2342</v>
      </c>
      <c r="AO26" s="4748">
        <v>324.3</v>
      </c>
      <c r="AQ26" s="723"/>
      <c r="AS26" s="4747">
        <v>325</v>
      </c>
      <c r="AT26" s="4748">
        <v>324.3</v>
      </c>
      <c r="AU26" s="789" t="s">
        <v>5159</v>
      </c>
      <c r="AV26" s="7396">
        <f>AT26/AS26</f>
        <v>0.99784615384615383</v>
      </c>
      <c r="AX26" s="4747">
        <v>367.5</v>
      </c>
      <c r="AY26" s="106" t="s">
        <v>3275</v>
      </c>
      <c r="AZ26" s="4748">
        <v>366.2</v>
      </c>
      <c r="BC26" s="4747">
        <v>423.3</v>
      </c>
      <c r="BD26" s="106" t="s">
        <v>3275</v>
      </c>
      <c r="BE26" s="4748">
        <v>399.8</v>
      </c>
      <c r="BG26" s="723"/>
    </row>
    <row r="27" spans="1:59" x14ac:dyDescent="0.35">
      <c r="A27" s="9153"/>
      <c r="B27" s="6082"/>
      <c r="C27" s="778" t="s">
        <v>490</v>
      </c>
      <c r="D27" s="456">
        <v>2</v>
      </c>
      <c r="F27" s="788"/>
      <c r="H27" s="785"/>
      <c r="I27" s="786"/>
      <c r="J27" s="1003">
        <f>IF(H27=0,0,I27/H27)</f>
        <v>0</v>
      </c>
      <c r="L27" s="807"/>
      <c r="M27" s="808">
        <f>L27*J27</f>
        <v>0</v>
      </c>
      <c r="O27" s="117"/>
      <c r="P27" s="115"/>
      <c r="Q27" s="789"/>
      <c r="R27" s="64">
        <f>IF(O27=0,0,P27/O27)</f>
        <v>0</v>
      </c>
      <c r="T27" s="159"/>
      <c r="U27" s="106"/>
      <c r="V27" s="158">
        <f>T27*R27</f>
        <v>0</v>
      </c>
      <c r="X27" s="117"/>
      <c r="Y27" s="115"/>
      <c r="Z27" s="789"/>
      <c r="AA27" s="64">
        <f>IF(X27=0,0,Y27/X27)</f>
        <v>0</v>
      </c>
      <c r="AC27" s="159"/>
      <c r="AD27" s="106"/>
      <c r="AE27" s="158">
        <f>AC27*AA27</f>
        <v>0</v>
      </c>
      <c r="AG27" s="723" t="s">
        <v>5160</v>
      </c>
      <c r="AI27" s="159"/>
      <c r="AJ27" s="158">
        <f>AH27*AF27</f>
        <v>0</v>
      </c>
      <c r="AK27" s="789"/>
      <c r="AM27" s="159"/>
      <c r="AN27" s="106"/>
      <c r="AO27" s="158"/>
      <c r="AQ27" s="723" t="s">
        <v>5160</v>
      </c>
      <c r="AS27" s="159"/>
      <c r="AT27" s="158"/>
      <c r="AU27" s="789"/>
      <c r="AX27" s="159"/>
      <c r="AY27" s="106"/>
      <c r="AZ27" s="158"/>
      <c r="BC27" s="159"/>
      <c r="BD27" s="106"/>
      <c r="BE27" s="158"/>
      <c r="BG27" s="723" t="s">
        <v>5160</v>
      </c>
    </row>
    <row r="28" spans="1:59" x14ac:dyDescent="0.35">
      <c r="A28" s="9153"/>
      <c r="B28" s="6082"/>
      <c r="C28" s="817" t="s">
        <v>497</v>
      </c>
      <c r="E28" s="801"/>
      <c r="F28" s="790"/>
      <c r="H28" s="818"/>
      <c r="I28" s="819"/>
      <c r="J28" s="1003">
        <f>IF(H28=0,0,I28/H28)</f>
        <v>0</v>
      </c>
      <c r="L28" s="820"/>
      <c r="M28" s="808">
        <f>L28*J28</f>
        <v>0</v>
      </c>
      <c r="O28" s="164"/>
      <c r="P28" s="165"/>
      <c r="Q28" s="106"/>
      <c r="R28" s="64">
        <f>IF(O28=0,0,P28/O28)</f>
        <v>0</v>
      </c>
      <c r="T28" s="159"/>
      <c r="U28" s="106"/>
      <c r="V28" s="158">
        <f>T28*R28</f>
        <v>0</v>
      </c>
      <c r="X28" s="164"/>
      <c r="Y28" s="165"/>
      <c r="Z28" s="106"/>
      <c r="AA28" s="64">
        <f>IF(X28=0,0,Y28/X28)</f>
        <v>0</v>
      </c>
      <c r="AC28" s="159"/>
      <c r="AD28" s="106"/>
      <c r="AE28" s="158">
        <f>AC28*AA28</f>
        <v>0</v>
      </c>
      <c r="AG28" s="723"/>
      <c r="AI28" s="159"/>
      <c r="AJ28" s="158">
        <f>AH28*AF28</f>
        <v>0</v>
      </c>
      <c r="AK28" s="106"/>
      <c r="AM28" s="159"/>
      <c r="AN28" s="106"/>
      <c r="AO28" s="158"/>
      <c r="AQ28" s="723"/>
      <c r="AS28" s="159"/>
      <c r="AT28" s="158"/>
      <c r="AU28" s="106"/>
      <c r="AX28" s="159"/>
      <c r="AY28" s="106"/>
      <c r="AZ28" s="158"/>
      <c r="BC28" s="159"/>
      <c r="BD28" s="106"/>
      <c r="BE28" s="158"/>
      <c r="BG28" s="723"/>
    </row>
    <row r="29" spans="1:59" ht="13" x14ac:dyDescent="0.3">
      <c r="A29" s="9153"/>
      <c r="B29" s="128"/>
      <c r="C29" s="794" t="s">
        <v>499</v>
      </c>
      <c r="F29" s="1010">
        <f>IF(F26=0,0,(F27-F28)/F26)</f>
        <v>0</v>
      </c>
      <c r="G29" s="823"/>
      <c r="H29" s="1011">
        <f>IF(H26=0,0,(H27-H28)/H26)</f>
        <v>0</v>
      </c>
      <c r="I29" s="1012">
        <f>IF(I26=0,0,(I27-I28)/I26)</f>
        <v>0</v>
      </c>
      <c r="J29" s="1013"/>
      <c r="K29" s="823"/>
      <c r="L29" s="1014">
        <f>IF(L26=0,0,L27/L26)</f>
        <v>0</v>
      </c>
      <c r="M29" s="1015">
        <f>IF(M26=0,0,M27/M26)</f>
        <v>0</v>
      </c>
      <c r="N29" s="170"/>
      <c r="O29" s="171"/>
      <c r="P29" s="177"/>
      <c r="Q29" s="177"/>
      <c r="R29" s="173"/>
      <c r="S29" s="170"/>
      <c r="T29" s="174">
        <f>IF(T26=0,0,T27/T26)</f>
        <v>0</v>
      </c>
      <c r="U29" s="177"/>
      <c r="V29" s="180">
        <f>IF(V26=0,0,V27/V26)</f>
        <v>0</v>
      </c>
      <c r="W29" s="170"/>
      <c r="X29" s="171"/>
      <c r="Y29" s="177"/>
      <c r="Z29" s="177"/>
      <c r="AA29" s="173"/>
      <c r="AB29" s="170"/>
      <c r="AC29" s="174">
        <f>IF(AC26=0,0,AC27/AC26)</f>
        <v>0</v>
      </c>
      <c r="AD29" s="177"/>
      <c r="AE29" s="180">
        <f>IF(AE26=0,0,AE27/AE26)</f>
        <v>0</v>
      </c>
      <c r="AF29" s="170"/>
      <c r="AG29" s="723"/>
      <c r="AH29" s="170"/>
      <c r="AI29" s="174">
        <f>IF(AI26=0,0,AI27/AI26)</f>
        <v>0</v>
      </c>
      <c r="AJ29" s="180">
        <f>IF(AJ26=0,0,AJ27/AJ26)</f>
        <v>0</v>
      </c>
      <c r="AK29" s="177"/>
      <c r="AL29" s="170"/>
      <c r="AM29" s="174">
        <f>IF(AM26=0,0,AM27/AM26)</f>
        <v>0</v>
      </c>
      <c r="AN29" s="177"/>
      <c r="AO29" s="180">
        <f>IF(AO26=0,0,AO27/AO26)</f>
        <v>0</v>
      </c>
      <c r="AP29" s="170"/>
      <c r="AQ29" s="723"/>
      <c r="AS29" s="495">
        <f>IF(AS26=0,0,AS27/AS26)</f>
        <v>0</v>
      </c>
      <c r="AT29" s="6354">
        <f>IF(AT26=0,0,AT27/AT26)</f>
        <v>0</v>
      </c>
      <c r="AU29" s="497"/>
      <c r="AV29" s="170"/>
      <c r="AW29" s="170"/>
      <c r="AX29" s="495">
        <f>IF(AX26=0,0,AX27/AX26)</f>
        <v>0</v>
      </c>
      <c r="AY29" s="497"/>
      <c r="AZ29" s="6354">
        <f>IF(AZ26=0,0,AZ27/AZ26)</f>
        <v>0</v>
      </c>
      <c r="BA29" s="170"/>
      <c r="BB29" s="170"/>
      <c r="BC29" s="174">
        <f>IF(BC26=0,0,BC27/BC26)</f>
        <v>0</v>
      </c>
      <c r="BD29" s="177"/>
      <c r="BE29" s="180">
        <f>IF(BE26=0,0,BE27/BE26)</f>
        <v>0</v>
      </c>
      <c r="BF29" s="170"/>
      <c r="BG29" s="723"/>
    </row>
    <row r="30" spans="1:59" x14ac:dyDescent="0.35">
      <c r="A30" s="9153"/>
      <c r="B30" s="139" t="s">
        <v>501</v>
      </c>
      <c r="C30" s="831"/>
      <c r="E30" s="1"/>
      <c r="F30" s="205"/>
      <c r="G30" s="170"/>
      <c r="H30" s="1018"/>
      <c r="I30" s="202"/>
      <c r="J30" s="203">
        <f>IF(H30=0,0,I30/H30)</f>
        <v>0</v>
      </c>
      <c r="K30" s="170"/>
      <c r="L30" s="1019"/>
      <c r="M30" s="1020">
        <f>L30*J30</f>
        <v>0</v>
      </c>
      <c r="N30" s="170"/>
      <c r="O30" s="189"/>
      <c r="P30" s="190"/>
      <c r="Q30" s="190"/>
      <c r="R30" s="191"/>
      <c r="S30" s="170"/>
      <c r="T30" s="1019"/>
      <c r="U30" s="202"/>
      <c r="V30" s="1022"/>
      <c r="W30" s="170"/>
      <c r="X30" s="189"/>
      <c r="Y30" s="190"/>
      <c r="Z30" s="190"/>
      <c r="AA30" s="191"/>
      <c r="AB30" s="170"/>
      <c r="AC30" s="1019"/>
      <c r="AD30" s="202"/>
      <c r="AE30" s="1022"/>
      <c r="AF30" s="170"/>
      <c r="AG30" s="718"/>
      <c r="AH30" s="170"/>
      <c r="AI30" s="1019"/>
      <c r="AJ30" s="1022"/>
      <c r="AK30" s="190"/>
      <c r="AL30" s="170"/>
      <c r="AM30" s="1019"/>
      <c r="AN30" s="202"/>
      <c r="AO30" s="1022"/>
      <c r="AP30" s="170"/>
      <c r="AQ30" s="718"/>
      <c r="AS30" s="836"/>
      <c r="AT30" s="5341"/>
      <c r="AU30" s="839"/>
      <c r="AV30" s="170"/>
      <c r="AW30" s="170"/>
      <c r="AX30" s="836"/>
      <c r="AY30" s="834"/>
      <c r="AZ30" s="5341"/>
      <c r="BA30" s="170"/>
      <c r="BB30" s="170"/>
      <c r="BC30" s="1019"/>
      <c r="BD30" s="202"/>
      <c r="BE30" s="1022"/>
      <c r="BF30" s="170"/>
      <c r="BG30" s="718"/>
    </row>
    <row r="31" spans="1:59" x14ac:dyDescent="0.35">
      <c r="A31" s="9153"/>
      <c r="B31" s="6082"/>
      <c r="C31" s="121" t="s">
        <v>11</v>
      </c>
      <c r="E31" s="1"/>
      <c r="F31" s="841"/>
      <c r="G31" s="170"/>
      <c r="H31" s="112"/>
      <c r="I31" s="113"/>
      <c r="J31" s="64"/>
      <c r="K31" s="170"/>
      <c r="L31" s="117"/>
      <c r="M31" s="842"/>
      <c r="N31" s="170"/>
      <c r="O31" s="595">
        <v>28.7</v>
      </c>
      <c r="P31" s="594">
        <v>31</v>
      </c>
      <c r="Q31" s="789" t="s">
        <v>1826</v>
      </c>
      <c r="R31" s="1023">
        <f>IF(O31=0,0,P31/O31)</f>
        <v>1.0801393728222997</v>
      </c>
      <c r="S31" s="170"/>
      <c r="T31" s="1154">
        <v>55.5</v>
      </c>
      <c r="U31" s="202"/>
      <c r="V31" s="609">
        <v>40.4</v>
      </c>
      <c r="W31" s="170"/>
      <c r="X31" s="595">
        <v>55.5</v>
      </c>
      <c r="Y31" s="594">
        <v>40.4</v>
      </c>
      <c r="Z31" s="789" t="s">
        <v>1826</v>
      </c>
      <c r="AA31" s="1023">
        <f>IF(X31=0,0,Y31/X31)</f>
        <v>0.72792792792792793</v>
      </c>
      <c r="AB31" s="170"/>
      <c r="AC31" s="1154">
        <v>54.2</v>
      </c>
      <c r="AD31" s="202"/>
      <c r="AE31" s="609">
        <v>47.9</v>
      </c>
      <c r="AF31" s="170"/>
      <c r="AG31" s="4749" t="s">
        <v>5161</v>
      </c>
      <c r="AH31" s="170"/>
      <c r="AI31" s="1154">
        <v>54.2</v>
      </c>
      <c r="AJ31" s="609">
        <v>47.9</v>
      </c>
      <c r="AK31" s="789" t="s">
        <v>1826</v>
      </c>
      <c r="AL31" s="170"/>
      <c r="AM31" s="1154">
        <v>52.2</v>
      </c>
      <c r="AN31" s="202"/>
      <c r="AO31" s="609">
        <f>AJ31/AI31*AM31</f>
        <v>46.132472324723246</v>
      </c>
      <c r="AP31" s="170"/>
      <c r="AQ31" s="4749" t="s">
        <v>5162</v>
      </c>
      <c r="AS31" s="7404"/>
      <c r="AT31" s="7405"/>
      <c r="AU31" s="7295"/>
      <c r="AV31" s="1338"/>
      <c r="AW31" s="170"/>
      <c r="AX31" s="7404"/>
      <c r="AY31" s="7406"/>
      <c r="AZ31" s="7405"/>
      <c r="BA31" s="170"/>
      <c r="BB31" s="170"/>
      <c r="BC31" s="7404"/>
      <c r="BD31" s="622"/>
      <c r="BE31" s="7405"/>
      <c r="BF31" s="170"/>
      <c r="BG31" s="4749" t="s">
        <v>5162</v>
      </c>
    </row>
    <row r="32" spans="1:59" x14ac:dyDescent="0.35">
      <c r="A32" s="9154"/>
      <c r="B32" s="844"/>
      <c r="C32" s="208" t="s">
        <v>502</v>
      </c>
      <c r="E32" s="1"/>
      <c r="F32" s="210"/>
      <c r="G32" s="1"/>
      <c r="H32" s="217"/>
      <c r="I32" s="845"/>
      <c r="J32" s="133"/>
      <c r="K32" s="1"/>
      <c r="L32" s="131"/>
      <c r="M32" s="846"/>
      <c r="O32" s="131"/>
      <c r="P32" s="132"/>
      <c r="Q32" s="216"/>
      <c r="R32" s="133">
        <f>IF(O32=0,0,P32/O32)</f>
        <v>0</v>
      </c>
      <c r="T32" s="211"/>
      <c r="U32" s="216"/>
      <c r="V32" s="212">
        <f>T32*R32</f>
        <v>0</v>
      </c>
      <c r="X32" s="131"/>
      <c r="Y32" s="132"/>
      <c r="Z32" s="216"/>
      <c r="AA32" s="133">
        <f>IF(X32=0,0,Y32/X32)</f>
        <v>0</v>
      </c>
      <c r="AC32" s="211"/>
      <c r="AD32" s="216"/>
      <c r="AE32" s="212">
        <f>AC32*AA32</f>
        <v>0</v>
      </c>
      <c r="AG32" s="722"/>
      <c r="AI32" s="211"/>
      <c r="AJ32" s="212">
        <f>AH32*AF32</f>
        <v>0</v>
      </c>
      <c r="AK32" s="216"/>
      <c r="AM32" s="211"/>
      <c r="AN32" s="216"/>
      <c r="AO32" s="212"/>
      <c r="AQ32" s="722"/>
      <c r="AS32" s="211"/>
      <c r="AT32" s="212">
        <f>AR32*AP32</f>
        <v>0</v>
      </c>
      <c r="AU32" s="216"/>
      <c r="AX32" s="211"/>
      <c r="AY32" s="216"/>
      <c r="AZ32" s="212"/>
      <c r="BC32" s="211"/>
      <c r="BD32" s="216"/>
      <c r="BE32" s="212"/>
      <c r="BG32" s="722"/>
    </row>
    <row r="33" spans="1:59" ht="12" x14ac:dyDescent="0.3">
      <c r="F33" s="847"/>
      <c r="H33" s="847"/>
      <c r="I33" s="847"/>
      <c r="J33" s="847"/>
      <c r="L33" s="847"/>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S33" s="462"/>
      <c r="AT33" s="462"/>
      <c r="AU33" s="462"/>
      <c r="AV33" s="462"/>
      <c r="AW33" s="462"/>
      <c r="AX33" s="462"/>
      <c r="AY33" s="462"/>
      <c r="AZ33" s="462"/>
      <c r="BA33" s="462"/>
      <c r="BB33" s="462"/>
      <c r="BC33" s="462"/>
      <c r="BD33" s="462"/>
      <c r="BE33" s="462"/>
      <c r="BF33" s="462"/>
      <c r="BG33" s="462"/>
    </row>
    <row r="34" spans="1:59" ht="23.5" customHeight="1" x14ac:dyDescent="0.35">
      <c r="A34" s="9152" t="s">
        <v>503</v>
      </c>
      <c r="B34" s="848"/>
      <c r="C34" s="725" t="s">
        <v>427</v>
      </c>
      <c r="D34" s="456" t="s">
        <v>428</v>
      </c>
      <c r="F34" s="849"/>
      <c r="G34" s="223"/>
      <c r="H34" s="850" t="s">
        <v>5133</v>
      </c>
      <c r="I34" s="8327" t="s">
        <v>5133</v>
      </c>
      <c r="J34" s="851"/>
      <c r="K34" s="223"/>
      <c r="L34" s="850" t="s">
        <v>5163</v>
      </c>
      <c r="M34" s="8315"/>
      <c r="N34" s="170"/>
      <c r="O34" s="1024"/>
      <c r="P34" s="1025"/>
      <c r="Q34" s="1026"/>
      <c r="R34" s="1027"/>
      <c r="S34" s="170"/>
      <c r="T34" s="503"/>
      <c r="U34" s="1026"/>
      <c r="V34" s="503"/>
      <c r="W34" s="170"/>
      <c r="X34" s="1024"/>
      <c r="Y34" s="1025"/>
      <c r="Z34" s="1026"/>
      <c r="AA34" s="1027"/>
      <c r="AB34" s="170"/>
      <c r="AC34" s="4750" t="s">
        <v>5164</v>
      </c>
      <c r="AD34" s="1026"/>
      <c r="AE34" s="4750" t="s">
        <v>5164</v>
      </c>
      <c r="AF34" s="170"/>
      <c r="AG34" s="858"/>
      <c r="AH34" s="170"/>
      <c r="AI34" s="4750" t="s">
        <v>5164</v>
      </c>
      <c r="AJ34" s="4750" t="s">
        <v>5164</v>
      </c>
      <c r="AK34" s="1026"/>
      <c r="AL34" s="170"/>
      <c r="AM34" s="4750" t="s">
        <v>5164</v>
      </c>
      <c r="AN34" s="1026"/>
      <c r="AO34" s="4750" t="s">
        <v>5164</v>
      </c>
      <c r="AP34" s="170"/>
      <c r="AQ34" s="858"/>
      <c r="AS34" s="4750" t="s">
        <v>5165</v>
      </c>
      <c r="AT34" s="7407" t="s">
        <v>5166</v>
      </c>
      <c r="AU34" s="7408"/>
      <c r="AV34" s="7409"/>
      <c r="AW34" s="170"/>
      <c r="AX34" s="4750" t="s">
        <v>5165</v>
      </c>
      <c r="AY34" s="854"/>
      <c r="AZ34" s="4750" t="s">
        <v>5167</v>
      </c>
      <c r="BA34" s="170"/>
      <c r="BB34" s="170"/>
      <c r="BC34" s="8239" t="s">
        <v>5168</v>
      </c>
      <c r="BD34" s="1026"/>
      <c r="BE34" s="8239" t="s">
        <v>5168</v>
      </c>
      <c r="BF34" s="170"/>
      <c r="BG34" s="858"/>
    </row>
    <row r="35" spans="1:59" x14ac:dyDescent="0.35">
      <c r="A35" s="9153"/>
      <c r="B35" s="863" t="s">
        <v>514</v>
      </c>
      <c r="C35" s="864"/>
      <c r="F35" s="4751" t="s">
        <v>4470</v>
      </c>
      <c r="G35" s="457"/>
      <c r="H35" s="866" t="s">
        <v>5169</v>
      </c>
      <c r="I35" s="4751" t="s">
        <v>4470</v>
      </c>
      <c r="J35" s="776"/>
      <c r="K35" s="457"/>
      <c r="L35" s="4751" t="s">
        <v>4470</v>
      </c>
      <c r="M35" s="4751" t="s">
        <v>4470</v>
      </c>
      <c r="O35" s="4751" t="s">
        <v>4470</v>
      </c>
      <c r="P35" s="4751" t="s">
        <v>4470</v>
      </c>
      <c r="Q35" s="103"/>
      <c r="R35" s="188"/>
      <c r="T35" s="4751" t="s">
        <v>4470</v>
      </c>
      <c r="U35" s="103"/>
      <c r="V35" s="4751" t="s">
        <v>4470</v>
      </c>
      <c r="X35" s="4751" t="s">
        <v>4470</v>
      </c>
      <c r="Y35" s="4751" t="s">
        <v>4470</v>
      </c>
      <c r="Z35" s="103"/>
      <c r="AA35" s="188"/>
      <c r="AC35" s="4751" t="s">
        <v>4470</v>
      </c>
      <c r="AD35" s="103"/>
      <c r="AE35" s="4751" t="s">
        <v>4470</v>
      </c>
      <c r="AG35" s="718"/>
      <c r="AI35" s="4751" t="s">
        <v>4470</v>
      </c>
      <c r="AJ35" s="4751" t="s">
        <v>4470</v>
      </c>
      <c r="AK35" s="103"/>
      <c r="AM35" s="4751" t="s">
        <v>4470</v>
      </c>
      <c r="AN35" s="103"/>
      <c r="AO35" s="4751" t="s">
        <v>4470</v>
      </c>
      <c r="AQ35" s="718"/>
      <c r="AS35" s="7410" t="s">
        <v>5170</v>
      </c>
      <c r="AT35" s="7411"/>
      <c r="AU35" s="348" t="s">
        <v>5171</v>
      </c>
      <c r="AV35" s="831"/>
      <c r="AX35" s="7410" t="s">
        <v>5172</v>
      </c>
      <c r="AY35" s="103"/>
      <c r="AZ35" s="7412"/>
      <c r="BC35" s="7410"/>
      <c r="BD35" s="3726" t="s">
        <v>5173</v>
      </c>
      <c r="BE35" s="7412"/>
      <c r="BG35" s="718"/>
    </row>
    <row r="36" spans="1:59" ht="15.5" customHeight="1" x14ac:dyDescent="0.35">
      <c r="A36" s="9153"/>
      <c r="B36" s="873"/>
      <c r="C36" s="874" t="s">
        <v>5174</v>
      </c>
      <c r="D36" s="456">
        <v>3</v>
      </c>
      <c r="F36" s="779">
        <v>169.49275749540999</v>
      </c>
      <c r="H36" s="780">
        <v>219.5</v>
      </c>
      <c r="I36" s="781">
        <v>212.2</v>
      </c>
      <c r="J36" s="1003">
        <f>IF(H36=0,0,I36/H36)</f>
        <v>0.96674259681093389</v>
      </c>
      <c r="L36" s="780">
        <f>132.407+102.191</f>
        <v>234.59800000000001</v>
      </c>
      <c r="M36" s="875">
        <f>L36*J36</f>
        <v>226.79587972665149</v>
      </c>
      <c r="O36" s="4752">
        <v>203.2</v>
      </c>
      <c r="P36" s="4753">
        <v>202.6</v>
      </c>
      <c r="Q36" s="106" t="s">
        <v>909</v>
      </c>
      <c r="R36" s="877">
        <f>IF(O36=0,0,P36/O36)</f>
        <v>0.99704724409448819</v>
      </c>
      <c r="T36" s="4754">
        <v>206.6</v>
      </c>
      <c r="U36" s="106" t="s">
        <v>909</v>
      </c>
      <c r="V36" s="4755">
        <v>204.8</v>
      </c>
      <c r="X36" s="4752">
        <v>206.6</v>
      </c>
      <c r="Y36" s="4753">
        <v>204.8</v>
      </c>
      <c r="Z36" s="106" t="s">
        <v>909</v>
      </c>
      <c r="AA36" s="877">
        <f>IF(X36=0,0,Y36/X36)</f>
        <v>0.99128751210067767</v>
      </c>
      <c r="AC36" s="4754">
        <v>100.73615624999999</v>
      </c>
      <c r="AD36" s="106" t="s">
        <v>5175</v>
      </c>
      <c r="AE36" s="4755">
        <v>99.886707623000007</v>
      </c>
      <c r="AG36" s="723" t="s">
        <v>5176</v>
      </c>
      <c r="AI36" s="4754">
        <v>100.73615624999999</v>
      </c>
      <c r="AJ36" s="4755">
        <v>99.886707623000007</v>
      </c>
      <c r="AK36" s="106" t="s">
        <v>909</v>
      </c>
      <c r="AM36" s="4754">
        <v>240.8</v>
      </c>
      <c r="AN36" s="652" t="s">
        <v>5177</v>
      </c>
      <c r="AO36" s="4755">
        <v>240.5</v>
      </c>
      <c r="AQ36" s="723"/>
      <c r="AS36" s="5114">
        <f>207.6+38.2</f>
        <v>245.8</v>
      </c>
      <c r="AT36" s="5115">
        <v>221.47316388499999</v>
      </c>
      <c r="AV36" s="7396">
        <f>AT36/AS36</f>
        <v>0.90102995884865733</v>
      </c>
      <c r="AX36" s="4754">
        <f>226.5+46.5</f>
        <v>273</v>
      </c>
      <c r="AY36" s="4127" t="s">
        <v>5178</v>
      </c>
      <c r="AZ36" s="4755">
        <f>35.496834153+62.950374387+58.094779746+96.611944074</f>
        <v>253.15393236</v>
      </c>
      <c r="BC36" s="4754">
        <v>284.27142561099998</v>
      </c>
      <c r="BD36" s="4127" t="s">
        <v>5159</v>
      </c>
      <c r="BE36" s="4755">
        <f>57.971185345+74.734617594+64.22883509+61.651657256</f>
        <v>258.58629528500001</v>
      </c>
      <c r="BG36" s="723"/>
    </row>
    <row r="37" spans="1:59" x14ac:dyDescent="0.35">
      <c r="A37" s="9153"/>
      <c r="B37" s="873"/>
      <c r="C37" s="874" t="s">
        <v>5179</v>
      </c>
      <c r="F37" s="788"/>
      <c r="H37" s="785"/>
      <c r="I37" s="786"/>
      <c r="J37" s="1003">
        <f>IF(H37=0,0,I37/H37)</f>
        <v>0</v>
      </c>
      <c r="L37" s="785"/>
      <c r="M37" s="881">
        <f>L37*J37</f>
        <v>0</v>
      </c>
      <c r="N37" s="223"/>
      <c r="O37" s="785"/>
      <c r="P37" s="882">
        <f>O37*M37</f>
        <v>0</v>
      </c>
      <c r="Q37" s="1039"/>
      <c r="R37" s="883">
        <f>IF(O37=0,0,P37/O37)</f>
        <v>0</v>
      </c>
      <c r="S37" s="223"/>
      <c r="T37" s="1035"/>
      <c r="U37" s="1039"/>
      <c r="V37" s="1038">
        <f>T37*R37</f>
        <v>0</v>
      </c>
      <c r="W37" s="223"/>
      <c r="X37" s="785"/>
      <c r="Y37" s="882">
        <f>X37*V37</f>
        <v>0</v>
      </c>
      <c r="Z37" s="1039"/>
      <c r="AA37" s="883">
        <f>IF(X37=0,0,Y37/X37)</f>
        <v>0</v>
      </c>
      <c r="AB37" s="223"/>
      <c r="AC37" s="1035"/>
      <c r="AD37" s="1039"/>
      <c r="AE37" s="1038">
        <f>AC37*AA37</f>
        <v>0</v>
      </c>
      <c r="AF37" s="223"/>
      <c r="AG37" s="723"/>
      <c r="AH37" s="223"/>
      <c r="AI37" s="1035"/>
      <c r="AJ37" s="1038">
        <f>AH37*AF37</f>
        <v>0</v>
      </c>
      <c r="AK37" s="1039"/>
      <c r="AL37" s="223"/>
      <c r="AM37" s="1035"/>
      <c r="AN37" s="1039"/>
      <c r="AO37" s="1038"/>
      <c r="AP37" s="223"/>
      <c r="AQ37" s="723"/>
      <c r="AS37" s="785"/>
      <c r="AT37" s="3228"/>
      <c r="AU37" s="1039"/>
      <c r="AV37" s="510"/>
      <c r="AW37" s="223"/>
      <c r="AX37" s="1035"/>
      <c r="AY37" s="1039"/>
      <c r="AZ37" s="1038"/>
      <c r="BA37" s="223"/>
      <c r="BB37" s="223"/>
      <c r="BC37" s="1035"/>
      <c r="BD37" s="1039"/>
      <c r="BE37" s="1038"/>
      <c r="BF37" s="223"/>
      <c r="BG37" s="723"/>
    </row>
    <row r="38" spans="1:59" x14ac:dyDescent="0.35">
      <c r="A38" s="9153"/>
      <c r="B38" s="873"/>
      <c r="C38" s="874" t="s">
        <v>534</v>
      </c>
      <c r="F38" s="790"/>
      <c r="H38" s="791"/>
      <c r="I38" s="792"/>
      <c r="J38" s="1003">
        <f>IF(H38=0,0,I38/H38)</f>
        <v>0</v>
      </c>
      <c r="L38" s="785"/>
      <c r="M38" s="881">
        <f>L38*J38</f>
        <v>0</v>
      </c>
      <c r="N38" s="223"/>
      <c r="O38" s="791"/>
      <c r="P38" s="882">
        <f>O38*M38</f>
        <v>0</v>
      </c>
      <c r="Q38" s="1039"/>
      <c r="R38" s="883">
        <f>IF(O38=0,0,P38/O38)</f>
        <v>0</v>
      </c>
      <c r="S38" s="223"/>
      <c r="T38" s="818"/>
      <c r="U38" s="1039"/>
      <c r="V38" s="1040">
        <f>T38*R38</f>
        <v>0</v>
      </c>
      <c r="W38" s="223"/>
      <c r="X38" s="791"/>
      <c r="Y38" s="882">
        <f>X38*V38</f>
        <v>0</v>
      </c>
      <c r="Z38" s="1039"/>
      <c r="AA38" s="883">
        <f>IF(X38=0,0,Y38/X38)</f>
        <v>0</v>
      </c>
      <c r="AB38" s="223"/>
      <c r="AC38" s="818"/>
      <c r="AD38" s="1039"/>
      <c r="AE38" s="1040">
        <f>AC38*AA38</f>
        <v>0</v>
      </c>
      <c r="AF38" s="223"/>
      <c r="AG38" s="723"/>
      <c r="AH38" s="223"/>
      <c r="AI38" s="818"/>
      <c r="AJ38" s="1040">
        <f>AH38*AF38</f>
        <v>0</v>
      </c>
      <c r="AK38" s="1039"/>
      <c r="AL38" s="223"/>
      <c r="AM38" s="818"/>
      <c r="AN38" s="1039"/>
      <c r="AO38" s="1040"/>
      <c r="AP38" s="223"/>
      <c r="AQ38" s="723"/>
      <c r="AS38" s="785"/>
      <c r="AT38" s="3228"/>
      <c r="AU38" s="1039"/>
      <c r="AV38" s="510"/>
      <c r="AW38" s="223"/>
      <c r="AX38" s="818"/>
      <c r="AY38" s="1039"/>
      <c r="AZ38" s="1040"/>
      <c r="BA38" s="223"/>
      <c r="BB38" s="223"/>
      <c r="BC38" s="818"/>
      <c r="BD38" s="1039"/>
      <c r="BE38" s="1040"/>
      <c r="BF38" s="223"/>
      <c r="BG38" s="723"/>
    </row>
    <row r="39" spans="1:59" x14ac:dyDescent="0.35">
      <c r="A39" s="9153"/>
      <c r="B39" s="885"/>
      <c r="C39" s="886" t="s">
        <v>536</v>
      </c>
      <c r="E39" s="223"/>
      <c r="F39" s="790"/>
      <c r="H39" s="791"/>
      <c r="I39" s="792"/>
      <c r="J39" s="1003">
        <f>IF(H39=0,0,I39/H39)</f>
        <v>0</v>
      </c>
      <c r="L39" s="791"/>
      <c r="M39" s="808">
        <f>L39*J39</f>
        <v>0</v>
      </c>
      <c r="N39" s="143"/>
      <c r="O39" s="791"/>
      <c r="P39" s="887">
        <f>O39*M39</f>
        <v>0</v>
      </c>
      <c r="Q39" s="106"/>
      <c r="R39" s="877">
        <f>IF(O39=0,0,P39/O39)</f>
        <v>0</v>
      </c>
      <c r="S39" s="143"/>
      <c r="T39" s="818"/>
      <c r="U39" s="106"/>
      <c r="V39" s="1040">
        <f>T39*R39</f>
        <v>0</v>
      </c>
      <c r="W39" s="143"/>
      <c r="X39" s="791"/>
      <c r="Y39" s="887">
        <f>X39*V39</f>
        <v>0</v>
      </c>
      <c r="Z39" s="106"/>
      <c r="AA39" s="877">
        <f>IF(X39=0,0,Y39/X39)</f>
        <v>0</v>
      </c>
      <c r="AB39" s="143"/>
      <c r="AC39" s="818"/>
      <c r="AD39" s="106"/>
      <c r="AE39" s="1040">
        <f>AC39*AA39</f>
        <v>0</v>
      </c>
      <c r="AF39" s="143"/>
      <c r="AG39" s="723"/>
      <c r="AH39" s="143"/>
      <c r="AI39" s="818"/>
      <c r="AJ39" s="1040">
        <f>AH39*AF39</f>
        <v>0</v>
      </c>
      <c r="AK39" s="106"/>
      <c r="AL39" s="143"/>
      <c r="AM39" s="818"/>
      <c r="AN39" s="106"/>
      <c r="AO39" s="1040"/>
      <c r="AP39" s="143"/>
      <c r="AQ39" s="723"/>
      <c r="AS39" s="785"/>
      <c r="AT39" s="3228"/>
      <c r="AU39" s="106"/>
      <c r="AV39" s="356"/>
      <c r="AW39" s="143"/>
      <c r="AX39" s="818"/>
      <c r="AY39" s="106"/>
      <c r="AZ39" s="1040"/>
      <c r="BA39" s="143"/>
      <c r="BB39" s="143"/>
      <c r="BC39" s="818"/>
      <c r="BD39" s="106"/>
      <c r="BE39" s="1040"/>
      <c r="BF39" s="143"/>
      <c r="BG39" s="723"/>
    </row>
    <row r="40" spans="1:59" x14ac:dyDescent="0.35">
      <c r="A40" s="9153"/>
      <c r="B40" s="196" t="s">
        <v>531</v>
      </c>
      <c r="C40" s="889"/>
      <c r="E40" s="457"/>
      <c r="F40" s="865"/>
      <c r="G40" s="457"/>
      <c r="H40" s="866"/>
      <c r="I40" s="847"/>
      <c r="J40" s="890"/>
      <c r="K40" s="457"/>
      <c r="L40" s="866"/>
      <c r="M40" s="891"/>
      <c r="O40" s="866"/>
      <c r="P40" s="892"/>
      <c r="Q40" s="106"/>
      <c r="R40" s="64"/>
      <c r="T40" s="866"/>
      <c r="U40" s="106"/>
      <c r="V40" s="890"/>
      <c r="X40" s="866"/>
      <c r="Y40" s="892"/>
      <c r="Z40" s="106"/>
      <c r="AA40" s="64"/>
      <c r="AC40" s="866"/>
      <c r="AD40" s="106"/>
      <c r="AE40" s="890"/>
      <c r="AG40" s="893"/>
      <c r="AI40" s="866"/>
      <c r="AJ40" s="890"/>
      <c r="AK40" s="106"/>
      <c r="AM40" s="866"/>
      <c r="AN40" s="106"/>
      <c r="AO40" s="890"/>
      <c r="AQ40" s="893"/>
      <c r="AS40" s="866"/>
      <c r="AT40" s="847"/>
      <c r="AU40" s="106"/>
      <c r="AV40" s="110"/>
      <c r="AX40" s="866"/>
      <c r="AY40" s="106"/>
      <c r="AZ40" s="890"/>
      <c r="BC40" s="866"/>
      <c r="BD40" s="106"/>
      <c r="BE40" s="890"/>
      <c r="BG40" s="893"/>
    </row>
    <row r="41" spans="1:59" x14ac:dyDescent="0.35">
      <c r="A41" s="9153"/>
      <c r="B41" s="873"/>
      <c r="C41" s="874" t="s">
        <v>532</v>
      </c>
      <c r="F41" s="779"/>
      <c r="H41" s="780"/>
      <c r="I41" s="781"/>
      <c r="J41" s="1003">
        <f>IF(H41=0,0,I41/H41)</f>
        <v>0</v>
      </c>
      <c r="L41" s="780"/>
      <c r="M41" s="875">
        <f>L41*J41</f>
        <v>0</v>
      </c>
      <c r="O41" s="780"/>
      <c r="P41" s="876">
        <f>O41*M41</f>
        <v>0</v>
      </c>
      <c r="Q41" s="106"/>
      <c r="R41" s="64">
        <f>IF(O41=0,0,P41/O41)</f>
        <v>0</v>
      </c>
      <c r="T41" s="878"/>
      <c r="U41" s="106"/>
      <c r="V41" s="1042">
        <f>T41*R41</f>
        <v>0</v>
      </c>
      <c r="X41" s="780"/>
      <c r="Y41" s="876">
        <f>X41*V41</f>
        <v>0</v>
      </c>
      <c r="Z41" s="106"/>
      <c r="AA41" s="64">
        <f>IF(X41=0,0,Y41/X41)</f>
        <v>0</v>
      </c>
      <c r="AC41" s="878"/>
      <c r="AD41" s="106"/>
      <c r="AE41" s="1042">
        <f>AC41*AA41</f>
        <v>0</v>
      </c>
      <c r="AG41" s="723"/>
      <c r="AI41" s="878"/>
      <c r="AJ41" s="1042">
        <f>AH41*AF41</f>
        <v>0</v>
      </c>
      <c r="AK41" s="106"/>
      <c r="AM41" s="878"/>
      <c r="AN41" s="106"/>
      <c r="AO41" s="1042"/>
      <c r="AQ41" s="723"/>
      <c r="AS41" s="785"/>
      <c r="AT41" s="3228"/>
      <c r="AU41" s="106"/>
      <c r="AV41" s="110"/>
      <c r="AX41" s="878"/>
      <c r="AY41" s="106"/>
      <c r="AZ41" s="1042"/>
      <c r="BC41" s="878"/>
      <c r="BD41" s="106"/>
      <c r="BE41" s="1042"/>
      <c r="BG41" s="723"/>
    </row>
    <row r="42" spans="1:59" x14ac:dyDescent="0.35">
      <c r="A42" s="9153"/>
      <c r="B42" s="873"/>
      <c r="C42" s="874" t="s">
        <v>533</v>
      </c>
      <c r="F42" s="788"/>
      <c r="H42" s="785"/>
      <c r="I42" s="786"/>
      <c r="J42" s="1003">
        <f>IF(H42=0,0,I42/H42)</f>
        <v>0</v>
      </c>
      <c r="L42" s="785"/>
      <c r="M42" s="881">
        <f>L42*J42</f>
        <v>0</v>
      </c>
      <c r="O42" s="785"/>
      <c r="P42" s="882">
        <f>O42*M42</f>
        <v>0</v>
      </c>
      <c r="Q42" s="106"/>
      <c r="R42" s="64">
        <f>IF(O42=0,0,P42/O42)</f>
        <v>0</v>
      </c>
      <c r="T42" s="1035"/>
      <c r="U42" s="106"/>
      <c r="V42" s="1038">
        <f>T42*R42</f>
        <v>0</v>
      </c>
      <c r="X42" s="785"/>
      <c r="Y42" s="882">
        <f>X42*V42</f>
        <v>0</v>
      </c>
      <c r="Z42" s="106"/>
      <c r="AA42" s="64">
        <f>IF(X42=0,0,Y42/X42)</f>
        <v>0</v>
      </c>
      <c r="AC42" s="1035"/>
      <c r="AD42" s="106"/>
      <c r="AE42" s="1038">
        <f>AC42*AA42</f>
        <v>0</v>
      </c>
      <c r="AG42" s="723"/>
      <c r="AI42" s="1035"/>
      <c r="AJ42" s="1038">
        <f>AH42*AF42</f>
        <v>0</v>
      </c>
      <c r="AK42" s="106"/>
      <c r="AM42" s="1035"/>
      <c r="AN42" s="106"/>
      <c r="AO42" s="1038"/>
      <c r="AQ42" s="723"/>
      <c r="AS42" s="785"/>
      <c r="AT42" s="3228"/>
      <c r="AU42" s="106"/>
      <c r="AV42" s="110"/>
      <c r="AX42" s="1035"/>
      <c r="AY42" s="106"/>
      <c r="AZ42" s="1038"/>
      <c r="BC42" s="1035"/>
      <c r="BD42" s="106"/>
      <c r="BE42" s="1038"/>
      <c r="BG42" s="723"/>
    </row>
    <row r="43" spans="1:59" x14ac:dyDescent="0.35">
      <c r="A43" s="9153"/>
      <c r="B43" s="895"/>
      <c r="C43" s="896" t="s">
        <v>534</v>
      </c>
      <c r="F43" s="795"/>
      <c r="H43" s="791"/>
      <c r="I43" s="792"/>
      <c r="J43" s="1003">
        <f>IF(H43=0,0,I43/H43)</f>
        <v>0</v>
      </c>
      <c r="L43" s="796"/>
      <c r="M43" s="897">
        <f>L43*J43</f>
        <v>0</v>
      </c>
      <c r="O43" s="796"/>
      <c r="P43" s="898">
        <f>O43*M43</f>
        <v>0</v>
      </c>
      <c r="Q43" s="216"/>
      <c r="R43" s="133">
        <f>IF(O43=0,0,P43/O43)</f>
        <v>0</v>
      </c>
      <c r="T43" s="1044"/>
      <c r="U43" s="216"/>
      <c r="V43" s="1046">
        <f>T43*R43</f>
        <v>0</v>
      </c>
      <c r="X43" s="796"/>
      <c r="Y43" s="898">
        <f>X43*V43</f>
        <v>0</v>
      </c>
      <c r="Z43" s="216"/>
      <c r="AA43" s="133">
        <f>IF(X43=0,0,Y43/X43)</f>
        <v>0</v>
      </c>
      <c r="AC43" s="1044"/>
      <c r="AD43" s="216"/>
      <c r="AE43" s="1046">
        <f>AC43*AA43</f>
        <v>0</v>
      </c>
      <c r="AG43" s="722"/>
      <c r="AI43" s="1044"/>
      <c r="AJ43" s="1046">
        <f>AH43*AF43</f>
        <v>0</v>
      </c>
      <c r="AK43" s="216"/>
      <c r="AM43" s="1044"/>
      <c r="AN43" s="216"/>
      <c r="AO43" s="1046"/>
      <c r="AQ43" s="722"/>
      <c r="AS43" s="796"/>
      <c r="AT43" s="7413"/>
      <c r="AU43" s="216"/>
      <c r="AV43" s="129"/>
      <c r="AX43" s="1044"/>
      <c r="AY43" s="216"/>
      <c r="AZ43" s="1046"/>
      <c r="BC43" s="1044"/>
      <c r="BD43" s="216"/>
      <c r="BE43" s="1046"/>
      <c r="BG43" s="722"/>
    </row>
    <row r="44" spans="1:59" x14ac:dyDescent="0.35">
      <c r="A44" s="9153"/>
      <c r="B44" s="141" t="s">
        <v>535</v>
      </c>
      <c r="C44" s="899"/>
      <c r="E44" s="457"/>
      <c r="F44" s="870"/>
      <c r="G44" s="457"/>
      <c r="H44" s="773"/>
      <c r="I44" s="774"/>
      <c r="J44" s="1047"/>
      <c r="K44" s="457"/>
      <c r="L44" s="866"/>
      <c r="M44" s="891"/>
      <c r="N44" s="143"/>
      <c r="O44" s="866"/>
      <c r="P44" s="892"/>
      <c r="Q44" s="106"/>
      <c r="R44" s="877"/>
      <c r="S44" s="143"/>
      <c r="T44" s="866"/>
      <c r="U44" s="106"/>
      <c r="V44" s="890"/>
      <c r="W44" s="143"/>
      <c r="X44" s="866"/>
      <c r="Y44" s="892"/>
      <c r="Z44" s="106"/>
      <c r="AA44" s="877"/>
      <c r="AB44" s="143"/>
      <c r="AC44" s="866"/>
      <c r="AD44" s="106"/>
      <c r="AE44" s="890"/>
      <c r="AF44" s="143"/>
      <c r="AG44" s="718"/>
      <c r="AH44" s="143"/>
      <c r="AI44" s="866"/>
      <c r="AJ44" s="890"/>
      <c r="AK44" s="106"/>
      <c r="AL44" s="143"/>
      <c r="AM44" s="866"/>
      <c r="AN44" s="106"/>
      <c r="AO44" s="890"/>
      <c r="AP44" s="143"/>
      <c r="AQ44" s="718"/>
      <c r="AS44" s="866"/>
      <c r="AT44" s="847"/>
      <c r="AU44" s="106"/>
      <c r="AV44" s="356"/>
      <c r="AW44" s="143"/>
      <c r="AX44" s="866"/>
      <c r="AY44" s="106"/>
      <c r="AZ44" s="890"/>
      <c r="BA44" s="143"/>
      <c r="BB44" s="143"/>
      <c r="BC44" s="866"/>
      <c r="BD44" s="106"/>
      <c r="BE44" s="890"/>
      <c r="BF44" s="143"/>
      <c r="BG44" s="718"/>
    </row>
    <row r="45" spans="1:59" x14ac:dyDescent="0.35">
      <c r="A45" s="9153"/>
      <c r="B45" s="240"/>
      <c r="C45" s="874" t="s">
        <v>532</v>
      </c>
      <c r="F45" s="779"/>
      <c r="H45" s="780"/>
      <c r="I45" s="781"/>
      <c r="J45" s="1003">
        <f t="shared" ref="J45:J47" si="1">IF(H45=0,0,I45/H45)</f>
        <v>0</v>
      </c>
      <c r="L45" s="780"/>
      <c r="M45" s="902">
        <f t="shared" ref="M45:M47" si="2">L45*J45</f>
        <v>0</v>
      </c>
      <c r="O45" s="780"/>
      <c r="P45" s="882">
        <f t="shared" ref="P45:P47" si="3">O45*M45</f>
        <v>0</v>
      </c>
      <c r="Q45" s="106"/>
      <c r="R45" s="64">
        <f t="shared" ref="R45:R47" si="4">IF(O45=0,0,P45/O45)</f>
        <v>0</v>
      </c>
      <c r="T45" s="878"/>
      <c r="U45" s="106"/>
      <c r="V45" s="1042">
        <f t="shared" ref="V45:V47" si="5">T45*R45</f>
        <v>0</v>
      </c>
      <c r="X45" s="780"/>
      <c r="Y45" s="882">
        <f t="shared" ref="Y45:Y47" si="6">X45*V45</f>
        <v>0</v>
      </c>
      <c r="Z45" s="106"/>
      <c r="AA45" s="64">
        <f t="shared" ref="AA45:AA47" si="7">IF(X45=0,0,Y45/X45)</f>
        <v>0</v>
      </c>
      <c r="AC45" s="878"/>
      <c r="AD45" s="106"/>
      <c r="AE45" s="1042">
        <f t="shared" ref="AE45:AE47" si="8">AC45*AA45</f>
        <v>0</v>
      </c>
      <c r="AG45" s="903"/>
      <c r="AI45" s="878"/>
      <c r="AJ45" s="1042">
        <f t="shared" ref="AJ45:AJ47" si="9">AH45*AF45</f>
        <v>0</v>
      </c>
      <c r="AK45" s="106"/>
      <c r="AM45" s="878"/>
      <c r="AN45" s="106"/>
      <c r="AO45" s="1042"/>
      <c r="AQ45" s="903"/>
      <c r="AS45" s="780"/>
      <c r="AT45" s="3226"/>
      <c r="AU45" s="106"/>
      <c r="AV45" s="110"/>
      <c r="AX45" s="4754"/>
      <c r="AY45" s="106"/>
      <c r="AZ45" s="1042"/>
      <c r="BC45" s="4754"/>
      <c r="BD45" s="106"/>
      <c r="BE45" s="1042"/>
      <c r="BG45" s="903"/>
    </row>
    <row r="46" spans="1:59" x14ac:dyDescent="0.35">
      <c r="A46" s="9153"/>
      <c r="B46" s="240"/>
      <c r="C46" s="874" t="s">
        <v>533</v>
      </c>
      <c r="F46" s="788"/>
      <c r="H46" s="785"/>
      <c r="I46" s="786"/>
      <c r="J46" s="1003">
        <f t="shared" si="1"/>
        <v>0</v>
      </c>
      <c r="L46" s="785"/>
      <c r="M46" s="905">
        <f t="shared" si="2"/>
        <v>0</v>
      </c>
      <c r="O46" s="785"/>
      <c r="P46" s="882">
        <f t="shared" si="3"/>
        <v>0</v>
      </c>
      <c r="Q46" s="106"/>
      <c r="R46" s="64">
        <f t="shared" si="4"/>
        <v>0</v>
      </c>
      <c r="T46" s="1035"/>
      <c r="U46" s="106"/>
      <c r="V46" s="1038">
        <f t="shared" si="5"/>
        <v>0</v>
      </c>
      <c r="X46" s="785"/>
      <c r="Y46" s="882">
        <f t="shared" si="6"/>
        <v>0</v>
      </c>
      <c r="Z46" s="106"/>
      <c r="AA46" s="64">
        <f t="shared" si="7"/>
        <v>0</v>
      </c>
      <c r="AC46" s="1035"/>
      <c r="AD46" s="106"/>
      <c r="AE46" s="1038">
        <f t="shared" si="8"/>
        <v>0</v>
      </c>
      <c r="AG46" s="723"/>
      <c r="AI46" s="1035"/>
      <c r="AJ46" s="1038">
        <f t="shared" si="9"/>
        <v>0</v>
      </c>
      <c r="AK46" s="106"/>
      <c r="AM46" s="1035"/>
      <c r="AN46" s="106"/>
      <c r="AO46" s="1038"/>
      <c r="AQ46" s="723"/>
      <c r="AS46" s="785"/>
      <c r="AT46" s="3228"/>
      <c r="AU46" s="106"/>
      <c r="AV46" s="110"/>
      <c r="AX46" s="7414"/>
      <c r="AY46" s="106"/>
      <c r="AZ46" s="1038"/>
      <c r="BC46" s="7414"/>
      <c r="BD46" s="106"/>
      <c r="BE46" s="1038"/>
      <c r="BG46" s="723"/>
    </row>
    <row r="47" spans="1:59" x14ac:dyDescent="0.35">
      <c r="A47" s="9153"/>
      <c r="B47" s="241"/>
      <c r="C47" s="874" t="s">
        <v>539</v>
      </c>
      <c r="F47" s="795"/>
      <c r="H47" s="796"/>
      <c r="I47" s="797"/>
      <c r="J47" s="1004">
        <f t="shared" si="1"/>
        <v>0</v>
      </c>
      <c r="L47" s="791"/>
      <c r="M47" s="906">
        <f t="shared" si="2"/>
        <v>0</v>
      </c>
      <c r="O47" s="791"/>
      <c r="P47" s="907">
        <f t="shared" si="3"/>
        <v>0</v>
      </c>
      <c r="Q47" s="216"/>
      <c r="R47" s="133">
        <f t="shared" si="4"/>
        <v>0</v>
      </c>
      <c r="T47" s="818"/>
      <c r="U47" s="216"/>
      <c r="V47" s="1040">
        <f t="shared" si="5"/>
        <v>0</v>
      </c>
      <c r="X47" s="791"/>
      <c r="Y47" s="907">
        <f t="shared" si="6"/>
        <v>0</v>
      </c>
      <c r="Z47" s="216"/>
      <c r="AA47" s="133">
        <f t="shared" si="7"/>
        <v>0</v>
      </c>
      <c r="AC47" s="818"/>
      <c r="AD47" s="216"/>
      <c r="AE47" s="1040">
        <f t="shared" si="8"/>
        <v>0</v>
      </c>
      <c r="AG47" s="722"/>
      <c r="AI47" s="818"/>
      <c r="AJ47" s="1040">
        <f t="shared" si="9"/>
        <v>0</v>
      </c>
      <c r="AK47" s="216"/>
      <c r="AM47" s="818"/>
      <c r="AN47" s="216"/>
      <c r="AO47" s="1040"/>
      <c r="AQ47" s="722"/>
      <c r="AS47" s="796"/>
      <c r="AT47" s="7413"/>
      <c r="AU47" s="216"/>
      <c r="AV47" s="129"/>
      <c r="AX47" s="818"/>
      <c r="AY47" s="216"/>
      <c r="AZ47" s="1040"/>
      <c r="BC47" s="818"/>
      <c r="BD47" s="216"/>
      <c r="BE47" s="1040"/>
      <c r="BG47" s="722"/>
    </row>
    <row r="48" spans="1:59" x14ac:dyDescent="0.35">
      <c r="A48" s="9153"/>
      <c r="B48" s="139" t="s">
        <v>540</v>
      </c>
      <c r="C48" s="908"/>
      <c r="F48" s="870"/>
      <c r="G48" s="801"/>
      <c r="H48" s="866"/>
      <c r="I48" s="847"/>
      <c r="J48" s="1048"/>
      <c r="K48" s="801"/>
      <c r="L48" s="773"/>
      <c r="M48" s="910"/>
      <c r="O48" s="773"/>
      <c r="P48" s="912"/>
      <c r="Q48" s="106"/>
      <c r="R48" s="64"/>
      <c r="T48" s="773"/>
      <c r="U48" s="106"/>
      <c r="V48" s="776"/>
      <c r="X48" s="773"/>
      <c r="Y48" s="912"/>
      <c r="Z48" s="106"/>
      <c r="AA48" s="64"/>
      <c r="AC48" s="773"/>
      <c r="AD48" s="106"/>
      <c r="AE48" s="776"/>
      <c r="AG48" s="718"/>
      <c r="AI48" s="773"/>
      <c r="AJ48" s="776"/>
      <c r="AK48" s="106"/>
      <c r="AM48" s="773"/>
      <c r="AN48" s="106"/>
      <c r="AO48" s="776"/>
      <c r="AQ48" s="718"/>
      <c r="AS48" s="773"/>
      <c r="AT48" s="774"/>
      <c r="AU48" s="103"/>
      <c r="AV48" s="831"/>
      <c r="AX48" s="773"/>
      <c r="AY48" s="106"/>
      <c r="AZ48" s="776"/>
      <c r="BC48" s="773"/>
      <c r="BD48" s="106"/>
      <c r="BE48" s="776"/>
      <c r="BG48" s="718"/>
    </row>
    <row r="49" spans="1:59" x14ac:dyDescent="0.35">
      <c r="A49" s="9153"/>
      <c r="B49" s="873"/>
      <c r="C49" s="914" t="s">
        <v>532</v>
      </c>
      <c r="F49" s="779"/>
      <c r="H49" s="780"/>
      <c r="I49" s="781"/>
      <c r="J49" s="1003">
        <f>IF(H49=0,0,I49/H49)</f>
        <v>0</v>
      </c>
      <c r="L49" s="780"/>
      <c r="M49" s="902">
        <f>L49*J49</f>
        <v>0</v>
      </c>
      <c r="O49" s="780"/>
      <c r="P49" s="876">
        <f t="shared" ref="P49:P55" si="10">O49*M49</f>
        <v>0</v>
      </c>
      <c r="Q49" s="106"/>
      <c r="R49" s="64">
        <f t="shared" ref="R49:R56" si="11">IF(O49=0,0,P49/O49)</f>
        <v>0</v>
      </c>
      <c r="T49" s="878"/>
      <c r="U49" s="106"/>
      <c r="V49" s="1042">
        <f t="shared" ref="V49:V56" si="12">T49*R49</f>
        <v>0</v>
      </c>
      <c r="X49" s="780"/>
      <c r="Y49" s="876">
        <f t="shared" ref="Y49:Y55" si="13">X49*V49</f>
        <v>0</v>
      </c>
      <c r="Z49" s="106"/>
      <c r="AA49" s="64">
        <f t="shared" ref="AA49:AA56" si="14">IF(X49=0,0,Y49/X49)</f>
        <v>0</v>
      </c>
      <c r="AC49" s="878"/>
      <c r="AD49" s="106"/>
      <c r="AE49" s="1042">
        <f t="shared" ref="AE49:AE56" si="15">AC49*AA49</f>
        <v>0</v>
      </c>
      <c r="AG49" s="723"/>
      <c r="AI49" s="878"/>
      <c r="AJ49" s="1042">
        <f t="shared" ref="AJ49:AJ56" si="16">AH49*AF49</f>
        <v>0</v>
      </c>
      <c r="AK49" s="106"/>
      <c r="AM49" s="878"/>
      <c r="AN49" s="106"/>
      <c r="AO49" s="1042"/>
      <c r="AQ49" s="723"/>
      <c r="AS49" s="878"/>
      <c r="AT49" s="1041"/>
      <c r="AU49" s="106"/>
      <c r="AV49" s="110"/>
      <c r="AX49" s="878"/>
      <c r="AY49" s="106"/>
      <c r="AZ49" s="1042"/>
      <c r="BC49" s="878"/>
      <c r="BD49" s="106"/>
      <c r="BE49" s="1042"/>
      <c r="BG49" s="723"/>
    </row>
    <row r="50" spans="1:59" x14ac:dyDescent="0.35">
      <c r="A50" s="9153"/>
      <c r="B50" s="873"/>
      <c r="C50" s="914" t="s">
        <v>533</v>
      </c>
      <c r="F50" s="788"/>
      <c r="H50" s="785"/>
      <c r="I50" s="786"/>
      <c r="J50" s="1003">
        <f>IF(H50=0,0,I50/H50)</f>
        <v>0</v>
      </c>
      <c r="L50" s="785"/>
      <c r="M50" s="905">
        <f>L50*J50</f>
        <v>0</v>
      </c>
      <c r="O50" s="785"/>
      <c r="P50" s="882">
        <f t="shared" si="10"/>
        <v>0</v>
      </c>
      <c r="Q50" s="106"/>
      <c r="R50" s="64">
        <f t="shared" si="11"/>
        <v>0</v>
      </c>
      <c r="T50" s="1035"/>
      <c r="U50" s="106"/>
      <c r="V50" s="1038">
        <f t="shared" si="12"/>
        <v>0</v>
      </c>
      <c r="X50" s="785"/>
      <c r="Y50" s="882">
        <f t="shared" si="13"/>
        <v>0</v>
      </c>
      <c r="Z50" s="106"/>
      <c r="AA50" s="64">
        <f t="shared" si="14"/>
        <v>0</v>
      </c>
      <c r="AC50" s="1035"/>
      <c r="AD50" s="106"/>
      <c r="AE50" s="1038">
        <f t="shared" si="15"/>
        <v>0</v>
      </c>
      <c r="AG50" s="723"/>
      <c r="AI50" s="1035"/>
      <c r="AJ50" s="1038">
        <f t="shared" si="16"/>
        <v>0</v>
      </c>
      <c r="AK50" s="106"/>
      <c r="AM50" s="1035"/>
      <c r="AN50" s="106"/>
      <c r="AO50" s="1038"/>
      <c r="AQ50" s="723"/>
      <c r="AS50" s="1035"/>
      <c r="AT50" s="1037"/>
      <c r="AU50" s="106"/>
      <c r="AV50" s="110"/>
      <c r="AX50" s="1035"/>
      <c r="AY50" s="106"/>
      <c r="AZ50" s="1038"/>
      <c r="BC50" s="1035"/>
      <c r="BD50" s="106"/>
      <c r="BE50" s="1038"/>
      <c r="BG50" s="723"/>
    </row>
    <row r="51" spans="1:59" x14ac:dyDescent="0.35">
      <c r="A51" s="9153"/>
      <c r="B51" s="873"/>
      <c r="C51" s="914" t="s">
        <v>534</v>
      </c>
      <c r="F51" s="790"/>
      <c r="H51" s="791"/>
      <c r="I51" s="792"/>
      <c r="J51" s="1003">
        <f>IF(H51=0,0,I51/H51)</f>
        <v>0</v>
      </c>
      <c r="L51" s="791"/>
      <c r="M51" s="905">
        <f>L51*J51</f>
        <v>0</v>
      </c>
      <c r="O51" s="791"/>
      <c r="P51" s="882">
        <f t="shared" si="10"/>
        <v>0</v>
      </c>
      <c r="Q51" s="106"/>
      <c r="R51" s="64">
        <f t="shared" si="11"/>
        <v>0</v>
      </c>
      <c r="T51" s="818"/>
      <c r="U51" s="106"/>
      <c r="V51" s="1040">
        <f t="shared" si="12"/>
        <v>0</v>
      </c>
      <c r="X51" s="791"/>
      <c r="Y51" s="882">
        <f t="shared" si="13"/>
        <v>0</v>
      </c>
      <c r="Z51" s="106"/>
      <c r="AA51" s="64">
        <f t="shared" si="14"/>
        <v>0</v>
      </c>
      <c r="AC51" s="818"/>
      <c r="AD51" s="106"/>
      <c r="AE51" s="1040">
        <f t="shared" si="15"/>
        <v>0</v>
      </c>
      <c r="AG51" s="723"/>
      <c r="AI51" s="818"/>
      <c r="AJ51" s="1040">
        <f t="shared" si="16"/>
        <v>0</v>
      </c>
      <c r="AK51" s="106"/>
      <c r="AM51" s="818"/>
      <c r="AN51" s="106"/>
      <c r="AO51" s="1040"/>
      <c r="AQ51" s="723"/>
      <c r="AS51" s="818"/>
      <c r="AT51" s="819"/>
      <c r="AU51" s="106"/>
      <c r="AV51" s="110"/>
      <c r="AX51" s="818"/>
      <c r="AY51" s="106"/>
      <c r="AZ51" s="1040"/>
      <c r="BC51" s="818"/>
      <c r="BD51" s="106"/>
      <c r="BE51" s="1040"/>
      <c r="BG51" s="723"/>
    </row>
    <row r="52" spans="1:59" x14ac:dyDescent="0.35">
      <c r="A52" s="9153"/>
      <c r="B52" s="873"/>
      <c r="C52" s="914" t="s">
        <v>536</v>
      </c>
      <c r="E52" s="801"/>
      <c r="F52" s="790"/>
      <c r="H52" s="791"/>
      <c r="I52" s="792"/>
      <c r="J52" s="1003">
        <f>IF(H52=0,0,I52/H52)</f>
        <v>0</v>
      </c>
      <c r="L52" s="791"/>
      <c r="M52" s="905">
        <f>L52*J52</f>
        <v>0</v>
      </c>
      <c r="N52" s="141"/>
      <c r="O52" s="791"/>
      <c r="P52" s="882">
        <f t="shared" si="10"/>
        <v>0</v>
      </c>
      <c r="Q52" s="106"/>
      <c r="R52" s="64">
        <f t="shared" si="11"/>
        <v>0</v>
      </c>
      <c r="S52" s="141"/>
      <c r="T52" s="818"/>
      <c r="U52" s="106"/>
      <c r="V52" s="1040">
        <f t="shared" si="12"/>
        <v>0</v>
      </c>
      <c r="W52" s="141"/>
      <c r="X52" s="791"/>
      <c r="Y52" s="882">
        <f t="shared" si="13"/>
        <v>0</v>
      </c>
      <c r="Z52" s="106"/>
      <c r="AA52" s="64">
        <f t="shared" si="14"/>
        <v>0</v>
      </c>
      <c r="AB52" s="141"/>
      <c r="AC52" s="818"/>
      <c r="AD52" s="106"/>
      <c r="AE52" s="1040">
        <f t="shared" si="15"/>
        <v>0</v>
      </c>
      <c r="AF52" s="141"/>
      <c r="AG52" s="893"/>
      <c r="AH52" s="141"/>
      <c r="AI52" s="818"/>
      <c r="AJ52" s="1040">
        <f t="shared" si="16"/>
        <v>0</v>
      </c>
      <c r="AK52" s="106"/>
      <c r="AL52" s="141"/>
      <c r="AM52" s="818"/>
      <c r="AN52" s="106"/>
      <c r="AO52" s="1040"/>
      <c r="AP52" s="141"/>
      <c r="AQ52" s="893"/>
      <c r="AS52" s="818"/>
      <c r="AT52" s="819"/>
      <c r="AU52" s="106"/>
      <c r="AV52" s="5595"/>
      <c r="AW52" s="141"/>
      <c r="AX52" s="818"/>
      <c r="AY52" s="106"/>
      <c r="AZ52" s="1040"/>
      <c r="BA52" s="141"/>
      <c r="BB52" s="141"/>
      <c r="BC52" s="818"/>
      <c r="BD52" s="106"/>
      <c r="BE52" s="1040"/>
      <c r="BF52" s="141"/>
      <c r="BG52" s="893"/>
    </row>
    <row r="53" spans="1:59" x14ac:dyDescent="0.35">
      <c r="A53" s="9153"/>
      <c r="B53" s="873"/>
      <c r="C53" s="914" t="s">
        <v>537</v>
      </c>
      <c r="F53" s="790"/>
      <c r="H53" s="791"/>
      <c r="I53" s="792"/>
      <c r="J53" s="1003">
        <f>IF(H53=0,0,I53/H53)</f>
        <v>0</v>
      </c>
      <c r="L53" s="791"/>
      <c r="M53" s="905">
        <f>L53*J53</f>
        <v>0</v>
      </c>
      <c r="O53" s="791"/>
      <c r="P53" s="882">
        <f t="shared" si="10"/>
        <v>0</v>
      </c>
      <c r="Q53" s="106"/>
      <c r="R53" s="64">
        <f t="shared" si="11"/>
        <v>0</v>
      </c>
      <c r="T53" s="818"/>
      <c r="U53" s="106"/>
      <c r="V53" s="1040">
        <f t="shared" si="12"/>
        <v>0</v>
      </c>
      <c r="X53" s="791"/>
      <c r="Y53" s="882">
        <f t="shared" si="13"/>
        <v>0</v>
      </c>
      <c r="Z53" s="106"/>
      <c r="AA53" s="64">
        <f t="shared" si="14"/>
        <v>0</v>
      </c>
      <c r="AC53" s="818"/>
      <c r="AD53" s="106"/>
      <c r="AE53" s="1040">
        <f t="shared" si="15"/>
        <v>0</v>
      </c>
      <c r="AG53" s="723"/>
      <c r="AI53" s="818"/>
      <c r="AJ53" s="1040">
        <f t="shared" si="16"/>
        <v>0</v>
      </c>
      <c r="AK53" s="106"/>
      <c r="AM53" s="818"/>
      <c r="AN53" s="106"/>
      <c r="AO53" s="1040"/>
      <c r="AQ53" s="723"/>
      <c r="AS53" s="818"/>
      <c r="AT53" s="819"/>
      <c r="AU53" s="106"/>
      <c r="AV53" s="110"/>
      <c r="AX53" s="818"/>
      <c r="AY53" s="106"/>
      <c r="AZ53" s="1040"/>
      <c r="BC53" s="818"/>
      <c r="BD53" s="106"/>
      <c r="BE53" s="1040"/>
      <c r="BG53" s="723"/>
    </row>
    <row r="54" spans="1:59" x14ac:dyDescent="0.35">
      <c r="A54" s="9153"/>
      <c r="B54" s="873"/>
      <c r="C54" s="914" t="s">
        <v>538</v>
      </c>
      <c r="F54" s="790"/>
      <c r="H54" s="791"/>
      <c r="I54" s="792"/>
      <c r="J54" s="1003"/>
      <c r="L54" s="791"/>
      <c r="M54" s="905"/>
      <c r="O54" s="791"/>
      <c r="P54" s="882">
        <f t="shared" si="10"/>
        <v>0</v>
      </c>
      <c r="Q54" s="106"/>
      <c r="R54" s="64">
        <f t="shared" si="11"/>
        <v>0</v>
      </c>
      <c r="T54" s="818"/>
      <c r="U54" s="106"/>
      <c r="V54" s="1040">
        <f t="shared" si="12"/>
        <v>0</v>
      </c>
      <c r="X54" s="791"/>
      <c r="Y54" s="882">
        <f t="shared" si="13"/>
        <v>0</v>
      </c>
      <c r="Z54" s="106"/>
      <c r="AA54" s="64">
        <f t="shared" si="14"/>
        <v>0</v>
      </c>
      <c r="AC54" s="818"/>
      <c r="AD54" s="106"/>
      <c r="AE54" s="1040">
        <f t="shared" si="15"/>
        <v>0</v>
      </c>
      <c r="AG54" s="723"/>
      <c r="AI54" s="818"/>
      <c r="AJ54" s="1040">
        <f t="shared" si="16"/>
        <v>0</v>
      </c>
      <c r="AK54" s="106"/>
      <c r="AM54" s="818"/>
      <c r="AN54" s="106"/>
      <c r="AO54" s="1040"/>
      <c r="AQ54" s="723"/>
      <c r="AS54" s="818"/>
      <c r="AT54" s="819"/>
      <c r="AU54" s="106"/>
      <c r="AV54" s="110"/>
      <c r="AX54" s="818"/>
      <c r="AY54" s="106"/>
      <c r="AZ54" s="1040"/>
      <c r="BC54" s="818"/>
      <c r="BD54" s="106"/>
      <c r="BE54" s="1040"/>
      <c r="BG54" s="723"/>
    </row>
    <row r="55" spans="1:59" x14ac:dyDescent="0.35">
      <c r="A55" s="9153"/>
      <c r="B55" s="873"/>
      <c r="C55" s="914" t="s">
        <v>539</v>
      </c>
      <c r="F55" s="790"/>
      <c r="H55" s="791"/>
      <c r="I55" s="792"/>
      <c r="J55" s="1003">
        <f>IF(H55=0,0,I55/H55)</f>
        <v>0</v>
      </c>
      <c r="L55" s="791"/>
      <c r="M55" s="905">
        <f>L55*J55</f>
        <v>0</v>
      </c>
      <c r="O55" s="791"/>
      <c r="P55" s="882">
        <f t="shared" si="10"/>
        <v>0</v>
      </c>
      <c r="Q55" s="106"/>
      <c r="R55" s="64">
        <f t="shared" si="11"/>
        <v>0</v>
      </c>
      <c r="T55" s="818"/>
      <c r="U55" s="106"/>
      <c r="V55" s="1040">
        <f t="shared" si="12"/>
        <v>0</v>
      </c>
      <c r="X55" s="791"/>
      <c r="Y55" s="882">
        <f t="shared" si="13"/>
        <v>0</v>
      </c>
      <c r="Z55" s="106"/>
      <c r="AA55" s="64">
        <f t="shared" si="14"/>
        <v>0</v>
      </c>
      <c r="AC55" s="818"/>
      <c r="AD55" s="106"/>
      <c r="AE55" s="1040">
        <f t="shared" si="15"/>
        <v>0</v>
      </c>
      <c r="AG55" s="723"/>
      <c r="AI55" s="818"/>
      <c r="AJ55" s="1040">
        <f t="shared" si="16"/>
        <v>0</v>
      </c>
      <c r="AK55" s="106"/>
      <c r="AM55" s="818"/>
      <c r="AN55" s="106"/>
      <c r="AO55" s="1040"/>
      <c r="AQ55" s="723"/>
      <c r="AS55" s="818"/>
      <c r="AT55" s="819"/>
      <c r="AU55" s="106"/>
      <c r="AV55" s="110"/>
      <c r="AX55" s="818"/>
      <c r="AY55" s="106"/>
      <c r="AZ55" s="1040"/>
      <c r="BC55" s="818"/>
      <c r="BD55" s="106"/>
      <c r="BE55" s="1040"/>
      <c r="BG55" s="723"/>
    </row>
    <row r="56" spans="1:59" x14ac:dyDescent="0.35">
      <c r="A56" s="9153"/>
      <c r="B56" s="895"/>
      <c r="C56" s="917" t="s">
        <v>704</v>
      </c>
      <c r="F56" s="795"/>
      <c r="H56" s="791"/>
      <c r="I56" s="792"/>
      <c r="J56" s="1003">
        <f>IF(H56=0,0,I56/H56)</f>
        <v>0</v>
      </c>
      <c r="L56" s="791"/>
      <c r="M56" s="906">
        <f>L56*J56</f>
        <v>0</v>
      </c>
      <c r="O56" s="796"/>
      <c r="P56" s="898">
        <f>M56*O56</f>
        <v>0</v>
      </c>
      <c r="Q56" s="216"/>
      <c r="R56" s="133">
        <f t="shared" si="11"/>
        <v>0</v>
      </c>
      <c r="T56" s="1044"/>
      <c r="U56" s="216"/>
      <c r="V56" s="1046">
        <f t="shared" si="12"/>
        <v>0</v>
      </c>
      <c r="X56" s="796"/>
      <c r="Y56" s="898">
        <f>V56*X56</f>
        <v>0</v>
      </c>
      <c r="Z56" s="216"/>
      <c r="AA56" s="133">
        <f t="shared" si="14"/>
        <v>0</v>
      </c>
      <c r="AC56" s="1044"/>
      <c r="AD56" s="216"/>
      <c r="AE56" s="1046">
        <f t="shared" si="15"/>
        <v>0</v>
      </c>
      <c r="AG56" s="722"/>
      <c r="AI56" s="1044"/>
      <c r="AJ56" s="1046">
        <f t="shared" si="16"/>
        <v>0</v>
      </c>
      <c r="AK56" s="216"/>
      <c r="AM56" s="1044"/>
      <c r="AN56" s="216"/>
      <c r="AO56" s="1046"/>
      <c r="AQ56" s="722"/>
      <c r="AS56" s="1044"/>
      <c r="AT56" s="1045"/>
      <c r="AU56" s="216"/>
      <c r="AV56" s="129"/>
      <c r="AX56" s="1044"/>
      <c r="AY56" s="216"/>
      <c r="AZ56" s="1046"/>
      <c r="BC56" s="1044"/>
      <c r="BD56" s="216"/>
      <c r="BE56" s="1046"/>
      <c r="BG56" s="722"/>
    </row>
    <row r="57" spans="1:59" x14ac:dyDescent="0.35">
      <c r="A57" s="9153"/>
      <c r="B57" s="139" t="s">
        <v>552</v>
      </c>
      <c r="C57" s="908"/>
      <c r="F57" s="870"/>
      <c r="G57" s="457"/>
      <c r="H57" s="773"/>
      <c r="I57" s="774"/>
      <c r="J57" s="776"/>
      <c r="K57" s="457"/>
      <c r="L57" s="773"/>
      <c r="M57" s="910"/>
      <c r="O57" s="919"/>
      <c r="P57" s="920"/>
      <c r="Q57" s="106"/>
      <c r="R57" s="64"/>
      <c r="T57" s="245"/>
      <c r="U57" s="106"/>
      <c r="V57" s="66"/>
      <c r="X57" s="919"/>
      <c r="Y57" s="920"/>
      <c r="Z57" s="106"/>
      <c r="AA57" s="64"/>
      <c r="AC57" s="4751" t="s">
        <v>4470</v>
      </c>
      <c r="AD57" s="231" t="s">
        <v>5164</v>
      </c>
      <c r="AE57" s="4751" t="s">
        <v>4470</v>
      </c>
      <c r="AG57" s="723"/>
      <c r="AI57" s="4751" t="s">
        <v>4470</v>
      </c>
      <c r="AJ57" s="4751" t="s">
        <v>4470</v>
      </c>
      <c r="AK57" s="106"/>
      <c r="AM57" s="4751"/>
      <c r="AN57" s="231"/>
      <c r="AO57" s="4751"/>
      <c r="AQ57" s="723"/>
      <c r="AS57" s="7415" t="s">
        <v>5180</v>
      </c>
      <c r="AT57" s="7410"/>
      <c r="AU57" s="103"/>
      <c r="AV57" s="831"/>
      <c r="AX57" s="1642" t="s">
        <v>5181</v>
      </c>
      <c r="AY57" s="231"/>
      <c r="AZ57" s="7412"/>
      <c r="BC57" s="1642"/>
      <c r="BD57" s="7416" t="s">
        <v>5182</v>
      </c>
      <c r="BE57" s="7412"/>
      <c r="BG57" s="723"/>
    </row>
    <row r="58" spans="1:59" x14ac:dyDescent="0.35">
      <c r="A58" s="9153"/>
      <c r="B58" s="65"/>
      <c r="C58" s="921" t="s">
        <v>553</v>
      </c>
      <c r="F58" s="779"/>
      <c r="H58" s="780"/>
      <c r="I58" s="781"/>
      <c r="J58" s="1003">
        <f>IF(H58=0,0,I58/H58)</f>
        <v>0</v>
      </c>
      <c r="L58" s="780"/>
      <c r="M58" s="902">
        <f>M30*M89</f>
        <v>0</v>
      </c>
      <c r="O58" s="242"/>
      <c r="P58" s="201"/>
      <c r="Q58" s="106"/>
      <c r="R58" s="64">
        <f>IF(O58=0,0,P58/O58)</f>
        <v>0</v>
      </c>
      <c r="T58" s="164"/>
      <c r="U58" s="106"/>
      <c r="V58" s="276">
        <f>T58*R58</f>
        <v>0</v>
      </c>
      <c r="X58" s="242"/>
      <c r="Y58" s="201"/>
      <c r="Z58" s="106"/>
      <c r="AA58" s="64">
        <f>IF(X58=0,0,Y58/X58)</f>
        <v>0</v>
      </c>
      <c r="AC58" s="612">
        <v>120.036873665</v>
      </c>
      <c r="AD58" s="1161" t="s">
        <v>5183</v>
      </c>
      <c r="AE58" s="614">
        <v>113.980895191</v>
      </c>
      <c r="AG58" s="723"/>
      <c r="AI58" s="612">
        <v>120.036873665</v>
      </c>
      <c r="AJ58" s="614">
        <v>113.980895191</v>
      </c>
      <c r="AK58" s="106"/>
      <c r="AM58" s="612"/>
      <c r="AN58" s="1161"/>
      <c r="AO58" s="614"/>
      <c r="AQ58" s="723"/>
      <c r="AS58" s="595"/>
      <c r="AT58" s="7400"/>
      <c r="AU58" s="106"/>
      <c r="AV58" s="110"/>
      <c r="AX58" s="612"/>
      <c r="AY58" s="7416" t="s">
        <v>5182</v>
      </c>
      <c r="AZ58" s="7417"/>
      <c r="BC58" s="612"/>
      <c r="BE58" s="7417"/>
      <c r="BG58" s="723"/>
    </row>
    <row r="59" spans="1:59" x14ac:dyDescent="0.35">
      <c r="A59" s="9153"/>
      <c r="B59" s="80"/>
      <c r="C59" s="921"/>
      <c r="F59" s="779"/>
      <c r="H59" s="780"/>
      <c r="I59" s="781"/>
      <c r="J59" s="1003"/>
      <c r="L59" s="780"/>
      <c r="M59" s="902"/>
      <c r="O59" s="242"/>
      <c r="P59" s="201"/>
      <c r="Q59" s="106"/>
      <c r="R59" s="64"/>
      <c r="T59" s="164"/>
      <c r="U59" s="106"/>
      <c r="V59" s="276"/>
      <c r="X59" s="242"/>
      <c r="Y59" s="201"/>
      <c r="Z59" s="106"/>
      <c r="AA59" s="64"/>
      <c r="AC59" s="612"/>
      <c r="AD59" s="1161"/>
      <c r="AE59" s="614"/>
      <c r="AG59" s="723"/>
      <c r="AI59" s="612"/>
      <c r="AJ59" s="614"/>
      <c r="AK59" s="106"/>
      <c r="AM59" s="612"/>
      <c r="AN59" s="1161"/>
      <c r="AO59" s="614"/>
      <c r="AQ59" s="723"/>
      <c r="AS59" s="595"/>
      <c r="AT59" s="7400"/>
      <c r="AU59" s="106"/>
      <c r="AV59" s="110"/>
      <c r="AX59" s="612">
        <v>4.6190488070000004</v>
      </c>
      <c r="AY59" s="1161" t="s">
        <v>5184</v>
      </c>
      <c r="AZ59" s="7417"/>
      <c r="BC59" s="612"/>
      <c r="BD59" s="1161"/>
      <c r="BE59" s="7417"/>
      <c r="BG59" s="723"/>
    </row>
    <row r="60" spans="1:59" x14ac:dyDescent="0.35">
      <c r="A60" s="9153"/>
      <c r="B60" s="80"/>
      <c r="C60" s="921"/>
      <c r="F60" s="779"/>
      <c r="H60" s="780"/>
      <c r="I60" s="781"/>
      <c r="J60" s="1003"/>
      <c r="L60" s="780"/>
      <c r="M60" s="902"/>
      <c r="O60" s="242"/>
      <c r="P60" s="201"/>
      <c r="Q60" s="106"/>
      <c r="R60" s="64"/>
      <c r="T60" s="164"/>
      <c r="U60" s="106"/>
      <c r="V60" s="276"/>
      <c r="X60" s="242"/>
      <c r="Y60" s="201"/>
      <c r="Z60" s="106"/>
      <c r="AA60" s="64"/>
      <c r="AC60" s="612"/>
      <c r="AD60" s="1161"/>
      <c r="AE60" s="614"/>
      <c r="AG60" s="723"/>
      <c r="AI60" s="612"/>
      <c r="AJ60" s="614"/>
      <c r="AK60" s="106"/>
      <c r="AM60" s="612"/>
      <c r="AN60" s="1161"/>
      <c r="AO60" s="614"/>
      <c r="AQ60" s="723"/>
      <c r="AS60" s="595"/>
      <c r="AT60" s="7400"/>
      <c r="AU60" s="106"/>
      <c r="AV60" s="110"/>
      <c r="AX60" s="612">
        <v>4.7579436709999996</v>
      </c>
      <c r="AY60" s="1161" t="s">
        <v>5185</v>
      </c>
      <c r="AZ60" s="7417"/>
      <c r="BC60" s="612"/>
      <c r="BD60" s="1161"/>
      <c r="BE60" s="7417"/>
      <c r="BG60" s="723"/>
    </row>
    <row r="61" spans="1:59" x14ac:dyDescent="0.35">
      <c r="A61" s="9153"/>
      <c r="B61" s="80"/>
      <c r="C61" s="921"/>
      <c r="F61" s="779"/>
      <c r="H61" s="780"/>
      <c r="I61" s="781"/>
      <c r="J61" s="1003"/>
      <c r="L61" s="780"/>
      <c r="M61" s="902"/>
      <c r="O61" s="242"/>
      <c r="P61" s="201"/>
      <c r="Q61" s="106"/>
      <c r="R61" s="64"/>
      <c r="T61" s="164"/>
      <c r="U61" s="106"/>
      <c r="V61" s="276"/>
      <c r="X61" s="242"/>
      <c r="Y61" s="201"/>
      <c r="Z61" s="106"/>
      <c r="AA61" s="64"/>
      <c r="AC61" s="612"/>
      <c r="AD61" s="1161"/>
      <c r="AE61" s="614"/>
      <c r="AG61" s="723"/>
      <c r="AI61" s="612"/>
      <c r="AJ61" s="614"/>
      <c r="AK61" s="106"/>
      <c r="AM61" s="612"/>
      <c r="AN61" s="1161"/>
      <c r="AO61" s="614"/>
      <c r="AQ61" s="723"/>
      <c r="AS61" s="595"/>
      <c r="AT61" s="7400"/>
      <c r="AU61" s="106"/>
      <c r="AV61" s="110"/>
      <c r="AX61" s="612">
        <v>6.4624543560000003</v>
      </c>
      <c r="AY61" s="1161" t="s">
        <v>5186</v>
      </c>
      <c r="AZ61" s="7417"/>
      <c r="BC61" s="612"/>
      <c r="BD61" s="1161"/>
      <c r="BE61" s="7417"/>
      <c r="BG61" s="723"/>
    </row>
    <row r="62" spans="1:59" x14ac:dyDescent="0.35">
      <c r="A62" s="9153"/>
      <c r="B62" s="80"/>
      <c r="C62" s="921"/>
      <c r="F62" s="779"/>
      <c r="H62" s="780"/>
      <c r="I62" s="781"/>
      <c r="J62" s="1003"/>
      <c r="L62" s="780"/>
      <c r="M62" s="902"/>
      <c r="O62" s="242"/>
      <c r="P62" s="201"/>
      <c r="Q62" s="106"/>
      <c r="R62" s="64"/>
      <c r="T62" s="164"/>
      <c r="U62" s="106"/>
      <c r="V62" s="276"/>
      <c r="X62" s="242"/>
      <c r="Y62" s="201"/>
      <c r="Z62" s="106"/>
      <c r="AA62" s="64"/>
      <c r="AC62" s="612"/>
      <c r="AD62" s="1161"/>
      <c r="AE62" s="614"/>
      <c r="AG62" s="723"/>
      <c r="AI62" s="612"/>
      <c r="AJ62" s="614"/>
      <c r="AK62" s="106"/>
      <c r="AM62" s="612"/>
      <c r="AN62" s="1161"/>
      <c r="AO62" s="614"/>
      <c r="AQ62" s="723"/>
      <c r="AS62" s="595"/>
      <c r="AT62" s="7400"/>
      <c r="AU62" s="106"/>
      <c r="AV62" s="110"/>
      <c r="AX62" s="612">
        <v>4.655082749</v>
      </c>
      <c r="AY62" s="1161" t="s">
        <v>5187</v>
      </c>
      <c r="AZ62" s="7417"/>
      <c r="BC62" s="612"/>
      <c r="BD62" s="1161"/>
      <c r="BE62" s="7417"/>
      <c r="BG62" s="723"/>
    </row>
    <row r="63" spans="1:59" x14ac:dyDescent="0.35">
      <c r="A63" s="9153"/>
      <c r="B63" s="80"/>
      <c r="C63" s="921"/>
      <c r="F63" s="779"/>
      <c r="H63" s="780"/>
      <c r="I63" s="781"/>
      <c r="J63" s="1003"/>
      <c r="L63" s="780"/>
      <c r="M63" s="902"/>
      <c r="O63" s="242"/>
      <c r="P63" s="201"/>
      <c r="Q63" s="106"/>
      <c r="R63" s="64"/>
      <c r="T63" s="164"/>
      <c r="U63" s="106"/>
      <c r="V63" s="276"/>
      <c r="X63" s="242"/>
      <c r="Y63" s="201"/>
      <c r="Z63" s="106"/>
      <c r="AA63" s="64"/>
      <c r="AC63" s="612"/>
      <c r="AD63" s="1161"/>
      <c r="AE63" s="614"/>
      <c r="AG63" s="723"/>
      <c r="AI63" s="612"/>
      <c r="AJ63" s="614"/>
      <c r="AK63" s="106"/>
      <c r="AM63" s="612"/>
      <c r="AN63" s="1161"/>
      <c r="AO63" s="614"/>
      <c r="AQ63" s="723"/>
      <c r="AS63" s="595"/>
      <c r="AT63" s="7400"/>
      <c r="AU63" s="106"/>
      <c r="AV63" s="110"/>
      <c r="AX63" s="612">
        <v>4.4323052919999997</v>
      </c>
      <c r="AY63" s="1161" t="s">
        <v>5188</v>
      </c>
      <c r="AZ63" s="7417"/>
      <c r="BC63" s="612"/>
      <c r="BD63" s="1161"/>
      <c r="BE63" s="7417"/>
      <c r="BG63" s="723"/>
    </row>
    <row r="64" spans="1:59" x14ac:dyDescent="0.35">
      <c r="A64" s="9153"/>
      <c r="B64" s="80"/>
      <c r="C64" s="921"/>
      <c r="F64" s="779"/>
      <c r="H64" s="780"/>
      <c r="I64" s="781"/>
      <c r="J64" s="1003"/>
      <c r="L64" s="780"/>
      <c r="M64" s="902"/>
      <c r="O64" s="242"/>
      <c r="P64" s="201"/>
      <c r="Q64" s="106"/>
      <c r="R64" s="64"/>
      <c r="T64" s="164"/>
      <c r="U64" s="106"/>
      <c r="V64" s="276"/>
      <c r="X64" s="242"/>
      <c r="Y64" s="201"/>
      <c r="Z64" s="106"/>
      <c r="AA64" s="64"/>
      <c r="AC64" s="612"/>
      <c r="AD64" s="1161"/>
      <c r="AE64" s="614"/>
      <c r="AG64" s="723"/>
      <c r="AI64" s="612"/>
      <c r="AJ64" s="614"/>
      <c r="AK64" s="106"/>
      <c r="AM64" s="612"/>
      <c r="AN64" s="1161"/>
      <c r="AO64" s="614"/>
      <c r="AQ64" s="723"/>
      <c r="AS64" s="595"/>
      <c r="AT64" s="7400"/>
      <c r="AU64" s="106"/>
      <c r="AV64" s="110"/>
      <c r="AX64" s="612">
        <v>5.533248682</v>
      </c>
      <c r="AY64" s="1161" t="s">
        <v>5189</v>
      </c>
      <c r="AZ64" s="7417"/>
      <c r="BC64" s="612"/>
      <c r="BD64" s="1161"/>
      <c r="BE64" s="7417"/>
      <c r="BG64" s="723"/>
    </row>
    <row r="65" spans="1:59" x14ac:dyDescent="0.35">
      <c r="A65" s="9153"/>
      <c r="B65" s="80"/>
      <c r="C65" s="921"/>
      <c r="F65" s="779"/>
      <c r="H65" s="780"/>
      <c r="I65" s="781"/>
      <c r="J65" s="1003"/>
      <c r="L65" s="780"/>
      <c r="M65" s="902"/>
      <c r="O65" s="242"/>
      <c r="P65" s="201"/>
      <c r="Q65" s="106"/>
      <c r="R65" s="64"/>
      <c r="T65" s="164"/>
      <c r="U65" s="106"/>
      <c r="V65" s="276"/>
      <c r="X65" s="242"/>
      <c r="Y65" s="201"/>
      <c r="Z65" s="106"/>
      <c r="AA65" s="64"/>
      <c r="AC65" s="612"/>
      <c r="AD65" s="1161"/>
      <c r="AE65" s="614"/>
      <c r="AG65" s="723"/>
      <c r="AI65" s="612"/>
      <c r="AJ65" s="614"/>
      <c r="AK65" s="106"/>
      <c r="AM65" s="612"/>
      <c r="AN65" s="1161"/>
      <c r="AO65" s="614"/>
      <c r="AQ65" s="723"/>
      <c r="AS65" s="595"/>
      <c r="AT65" s="7400"/>
      <c r="AU65" s="106"/>
      <c r="AV65" s="110"/>
      <c r="AX65" s="612">
        <v>4.5811790749999997</v>
      </c>
      <c r="AY65" s="1161" t="s">
        <v>5190</v>
      </c>
      <c r="AZ65" s="7417"/>
      <c r="BC65" s="612"/>
      <c r="BD65" s="1161"/>
      <c r="BE65" s="7417"/>
      <c r="BG65" s="723"/>
    </row>
    <row r="66" spans="1:59" x14ac:dyDescent="0.35">
      <c r="A66" s="9153"/>
      <c r="B66" s="80"/>
      <c r="C66" s="921"/>
      <c r="F66" s="779"/>
      <c r="H66" s="780"/>
      <c r="I66" s="781"/>
      <c r="J66" s="1003"/>
      <c r="L66" s="780"/>
      <c r="M66" s="902"/>
      <c r="O66" s="242"/>
      <c r="P66" s="201"/>
      <c r="Q66" s="106"/>
      <c r="R66" s="64"/>
      <c r="T66" s="164"/>
      <c r="U66" s="106"/>
      <c r="V66" s="276"/>
      <c r="X66" s="242"/>
      <c r="Y66" s="201"/>
      <c r="Z66" s="106"/>
      <c r="AA66" s="64"/>
      <c r="AC66" s="612"/>
      <c r="AD66" s="1161"/>
      <c r="AE66" s="614"/>
      <c r="AG66" s="723"/>
      <c r="AI66" s="612"/>
      <c r="AJ66" s="614"/>
      <c r="AK66" s="106"/>
      <c r="AM66" s="612"/>
      <c r="AN66" s="1161"/>
      <c r="AO66" s="614"/>
      <c r="AQ66" s="723"/>
      <c r="AS66" s="595"/>
      <c r="AT66" s="7400"/>
      <c r="AU66" s="106"/>
      <c r="AV66" s="110"/>
      <c r="AX66" s="612">
        <v>5.0340518650000003</v>
      </c>
      <c r="AY66" s="1161" t="s">
        <v>5191</v>
      </c>
      <c r="AZ66" s="7417"/>
      <c r="BC66" s="612"/>
      <c r="BD66" s="1161"/>
      <c r="BE66" s="7417"/>
      <c r="BG66" s="723"/>
    </row>
    <row r="67" spans="1:59" x14ac:dyDescent="0.35">
      <c r="A67" s="9153"/>
      <c r="B67" s="80"/>
      <c r="C67" s="921"/>
      <c r="F67" s="779"/>
      <c r="H67" s="780"/>
      <c r="I67" s="781"/>
      <c r="J67" s="1003"/>
      <c r="L67" s="780"/>
      <c r="M67" s="902"/>
      <c r="O67" s="242"/>
      <c r="P67" s="201"/>
      <c r="Q67" s="106"/>
      <c r="R67" s="64"/>
      <c r="T67" s="164"/>
      <c r="U67" s="106"/>
      <c r="V67" s="276"/>
      <c r="X67" s="242"/>
      <c r="Y67" s="201"/>
      <c r="Z67" s="106"/>
      <c r="AA67" s="64"/>
      <c r="AC67" s="612"/>
      <c r="AD67" s="1161"/>
      <c r="AE67" s="614"/>
      <c r="AG67" s="723"/>
      <c r="AI67" s="612"/>
      <c r="AJ67" s="614"/>
      <c r="AK67" s="106"/>
      <c r="AM67" s="612"/>
      <c r="AN67" s="1161"/>
      <c r="AO67" s="614"/>
      <c r="AQ67" s="723"/>
      <c r="AS67" s="595"/>
      <c r="AT67" s="7400"/>
      <c r="AU67" s="106"/>
      <c r="AV67" s="110"/>
      <c r="AX67" s="612">
        <v>5.9736324559999998</v>
      </c>
      <c r="AY67" s="1161" t="s">
        <v>5192</v>
      </c>
      <c r="AZ67" s="7417"/>
      <c r="BC67" s="612"/>
      <c r="BD67" s="1161"/>
      <c r="BE67" s="7417"/>
      <c r="BG67" s="723"/>
    </row>
    <row r="68" spans="1:59" x14ac:dyDescent="0.35">
      <c r="A68" s="9153"/>
      <c r="B68" s="80"/>
      <c r="C68" s="921"/>
      <c r="F68" s="779"/>
      <c r="H68" s="780"/>
      <c r="I68" s="781"/>
      <c r="J68" s="1003"/>
      <c r="L68" s="780"/>
      <c r="M68" s="902"/>
      <c r="O68" s="242"/>
      <c r="P68" s="201"/>
      <c r="Q68" s="106"/>
      <c r="R68" s="64"/>
      <c r="T68" s="164"/>
      <c r="U68" s="106"/>
      <c r="V68" s="276"/>
      <c r="X68" s="242"/>
      <c r="Y68" s="201"/>
      <c r="Z68" s="106"/>
      <c r="AA68" s="64"/>
      <c r="AC68" s="612"/>
      <c r="AD68" s="1161"/>
      <c r="AE68" s="614"/>
      <c r="AG68" s="723"/>
      <c r="AI68" s="612"/>
      <c r="AJ68" s="614"/>
      <c r="AK68" s="106"/>
      <c r="AM68" s="612"/>
      <c r="AN68" s="1161"/>
      <c r="AO68" s="614"/>
      <c r="AQ68" s="723"/>
      <c r="AS68" s="595"/>
      <c r="AT68" s="7400"/>
      <c r="AU68" s="106"/>
      <c r="AV68" s="110"/>
      <c r="AX68" s="612">
        <v>4.9934330549999997</v>
      </c>
      <c r="AY68" s="1161" t="s">
        <v>5193</v>
      </c>
      <c r="AZ68" s="7417"/>
      <c r="BC68" s="612"/>
      <c r="BD68" s="1161"/>
      <c r="BE68" s="7417"/>
      <c r="BG68" s="723"/>
    </row>
    <row r="69" spans="1:59" x14ac:dyDescent="0.35">
      <c r="A69" s="9153"/>
      <c r="B69" s="80"/>
      <c r="C69" s="921"/>
      <c r="F69" s="779"/>
      <c r="H69" s="780"/>
      <c r="I69" s="781"/>
      <c r="J69" s="1003"/>
      <c r="L69" s="780"/>
      <c r="M69" s="902"/>
      <c r="O69" s="242"/>
      <c r="P69" s="201"/>
      <c r="Q69" s="106"/>
      <c r="R69" s="64"/>
      <c r="T69" s="164"/>
      <c r="U69" s="106"/>
      <c r="V69" s="276"/>
      <c r="X69" s="242"/>
      <c r="Y69" s="201"/>
      <c r="Z69" s="106"/>
      <c r="AA69" s="64"/>
      <c r="AC69" s="612"/>
      <c r="AD69" s="1161"/>
      <c r="AE69" s="614"/>
      <c r="AG69" s="723"/>
      <c r="AI69" s="612"/>
      <c r="AJ69" s="614"/>
      <c r="AK69" s="106"/>
      <c r="AM69" s="612"/>
      <c r="AN69" s="1161"/>
      <c r="AO69" s="614"/>
      <c r="AQ69" s="723"/>
      <c r="AS69" s="595"/>
      <c r="AT69" s="7400"/>
      <c r="AU69" s="106"/>
      <c r="AV69" s="110"/>
      <c r="AX69" s="612">
        <v>4.6873263060000001</v>
      </c>
      <c r="AY69" s="1161" t="s">
        <v>5194</v>
      </c>
      <c r="AZ69" s="7417"/>
      <c r="BC69" s="612"/>
      <c r="BD69" s="1161"/>
      <c r="BE69" s="7417"/>
      <c r="BG69" s="723"/>
    </row>
    <row r="70" spans="1:59" x14ac:dyDescent="0.35">
      <c r="A70" s="9153"/>
      <c r="B70" s="80"/>
      <c r="C70" s="921"/>
      <c r="F70" s="779"/>
      <c r="H70" s="780"/>
      <c r="I70" s="781"/>
      <c r="J70" s="1003"/>
      <c r="L70" s="780"/>
      <c r="M70" s="902"/>
      <c r="O70" s="242"/>
      <c r="P70" s="201"/>
      <c r="Q70" s="106"/>
      <c r="R70" s="64"/>
      <c r="T70" s="164"/>
      <c r="U70" s="106"/>
      <c r="V70" s="276"/>
      <c r="X70" s="242"/>
      <c r="Y70" s="201"/>
      <c r="Z70" s="106"/>
      <c r="AA70" s="64"/>
      <c r="AC70" s="612"/>
      <c r="AD70" s="1161"/>
      <c r="AE70" s="614"/>
      <c r="AG70" s="723"/>
      <c r="AI70" s="612"/>
      <c r="AJ70" s="614"/>
      <c r="AK70" s="106"/>
      <c r="AM70" s="612"/>
      <c r="AN70" s="1161"/>
      <c r="AO70" s="614"/>
      <c r="AQ70" s="723"/>
      <c r="AS70" s="595"/>
      <c r="AT70" s="7400"/>
      <c r="AU70" s="106"/>
      <c r="AV70" s="110"/>
      <c r="AX70" s="612">
        <v>4.8648741549999999</v>
      </c>
      <c r="AY70" s="1161" t="s">
        <v>5195</v>
      </c>
      <c r="AZ70" s="7417"/>
      <c r="BC70" s="612"/>
      <c r="BD70" s="1161"/>
      <c r="BE70" s="7417"/>
      <c r="BG70" s="723"/>
    </row>
    <row r="71" spans="1:59" x14ac:dyDescent="0.35">
      <c r="A71" s="9153"/>
      <c r="B71" s="80"/>
      <c r="C71" s="921"/>
      <c r="F71" s="779"/>
      <c r="H71" s="780"/>
      <c r="I71" s="781"/>
      <c r="J71" s="1003"/>
      <c r="L71" s="780"/>
      <c r="M71" s="902"/>
      <c r="O71" s="242"/>
      <c r="P71" s="201"/>
      <c r="Q71" s="106"/>
      <c r="R71" s="64"/>
      <c r="T71" s="164"/>
      <c r="U71" s="106"/>
      <c r="V71" s="276"/>
      <c r="X71" s="242"/>
      <c r="Y71" s="201"/>
      <c r="Z71" s="106"/>
      <c r="AA71" s="64"/>
      <c r="AC71" s="612"/>
      <c r="AD71" s="1161"/>
      <c r="AE71" s="614"/>
      <c r="AG71" s="723"/>
      <c r="AI71" s="612"/>
      <c r="AJ71" s="614"/>
      <c r="AK71" s="106"/>
      <c r="AM71" s="612"/>
      <c r="AN71" s="1161"/>
      <c r="AO71" s="614"/>
      <c r="AQ71" s="723"/>
      <c r="AS71" s="595"/>
      <c r="AT71" s="7400"/>
      <c r="AU71" s="106"/>
      <c r="AV71" s="110"/>
      <c r="AX71" s="612">
        <v>4.7535845490000002</v>
      </c>
      <c r="AY71" s="1161" t="s">
        <v>5196</v>
      </c>
      <c r="AZ71" s="7417"/>
      <c r="BC71" s="612"/>
      <c r="BD71" s="1161"/>
      <c r="BE71" s="7417"/>
      <c r="BG71" s="723"/>
    </row>
    <row r="72" spans="1:59" x14ac:dyDescent="0.35">
      <c r="A72" s="9153"/>
      <c r="B72" s="80"/>
      <c r="C72" s="921"/>
      <c r="F72" s="779"/>
      <c r="H72" s="780"/>
      <c r="I72" s="781"/>
      <c r="J72" s="1003"/>
      <c r="L72" s="780"/>
      <c r="M72" s="902"/>
      <c r="O72" s="242"/>
      <c r="P72" s="201"/>
      <c r="Q72" s="106"/>
      <c r="R72" s="64"/>
      <c r="T72" s="164"/>
      <c r="U72" s="106"/>
      <c r="V72" s="276"/>
      <c r="X72" s="242"/>
      <c r="Y72" s="201"/>
      <c r="Z72" s="106"/>
      <c r="AA72" s="64"/>
      <c r="AC72" s="612"/>
      <c r="AD72" s="1161"/>
      <c r="AE72" s="614"/>
      <c r="AG72" s="723"/>
      <c r="AI72" s="612"/>
      <c r="AJ72" s="614"/>
      <c r="AK72" s="106"/>
      <c r="AM72" s="612"/>
      <c r="AN72" s="1161"/>
      <c r="AO72" s="614"/>
      <c r="AQ72" s="723"/>
      <c r="AS72" s="595"/>
      <c r="AT72" s="7400"/>
      <c r="AU72" s="106"/>
      <c r="AV72" s="110"/>
      <c r="AX72" s="612">
        <v>4.8119103550000002</v>
      </c>
      <c r="AY72" s="1161" t="s">
        <v>5197</v>
      </c>
      <c r="AZ72" s="7417"/>
      <c r="BC72" s="612"/>
      <c r="BD72" s="1161"/>
      <c r="BE72" s="7417"/>
      <c r="BG72" s="723"/>
    </row>
    <row r="73" spans="1:59" x14ac:dyDescent="0.35">
      <c r="A73" s="9153"/>
      <c r="B73" s="80"/>
      <c r="C73" s="921"/>
      <c r="F73" s="779"/>
      <c r="H73" s="780"/>
      <c r="I73" s="781"/>
      <c r="J73" s="1003"/>
      <c r="L73" s="780"/>
      <c r="M73" s="902"/>
      <c r="O73" s="242"/>
      <c r="P73" s="201"/>
      <c r="Q73" s="106"/>
      <c r="R73" s="64"/>
      <c r="T73" s="164"/>
      <c r="U73" s="106"/>
      <c r="V73" s="276"/>
      <c r="X73" s="242"/>
      <c r="Y73" s="201"/>
      <c r="Z73" s="106"/>
      <c r="AA73" s="64"/>
      <c r="AC73" s="612"/>
      <c r="AD73" s="1161"/>
      <c r="AE73" s="614"/>
      <c r="AG73" s="723"/>
      <c r="AI73" s="612"/>
      <c r="AJ73" s="614"/>
      <c r="AK73" s="106"/>
      <c r="AM73" s="612"/>
      <c r="AN73" s="1161"/>
      <c r="AO73" s="614"/>
      <c r="AQ73" s="723"/>
      <c r="AS73" s="595"/>
      <c r="AT73" s="7400"/>
      <c r="AU73" s="106"/>
      <c r="AV73" s="110"/>
      <c r="AX73" s="612">
        <v>5.8557806140000004</v>
      </c>
      <c r="AY73" s="1161" t="s">
        <v>5198</v>
      </c>
      <c r="AZ73" s="7417"/>
      <c r="BC73" s="612"/>
      <c r="BD73" s="1161"/>
      <c r="BE73" s="7417"/>
      <c r="BG73" s="723"/>
    </row>
    <row r="74" spans="1:59" x14ac:dyDescent="0.35">
      <c r="A74" s="9153"/>
      <c r="B74" s="80"/>
      <c r="C74" s="921"/>
      <c r="F74" s="779"/>
      <c r="H74" s="780"/>
      <c r="I74" s="781"/>
      <c r="J74" s="1003"/>
      <c r="L74" s="780"/>
      <c r="M74" s="902"/>
      <c r="O74" s="242"/>
      <c r="P74" s="201"/>
      <c r="Q74" s="106"/>
      <c r="R74" s="64"/>
      <c r="T74" s="164"/>
      <c r="U74" s="106"/>
      <c r="V74" s="276"/>
      <c r="X74" s="242"/>
      <c r="Y74" s="201"/>
      <c r="Z74" s="106"/>
      <c r="AA74" s="64"/>
      <c r="AC74" s="612"/>
      <c r="AD74" s="1161"/>
      <c r="AE74" s="614"/>
      <c r="AG74" s="723"/>
      <c r="AI74" s="612"/>
      <c r="AJ74" s="614"/>
      <c r="AK74" s="106"/>
      <c r="AM74" s="612"/>
      <c r="AN74" s="1161"/>
      <c r="AO74" s="614"/>
      <c r="AQ74" s="723"/>
      <c r="AS74" s="595"/>
      <c r="AT74" s="7400"/>
      <c r="AU74" s="106"/>
      <c r="AV74" s="110"/>
      <c r="AX74" s="612">
        <v>4.8246190389999999</v>
      </c>
      <c r="AY74" s="1161" t="s">
        <v>5199</v>
      </c>
      <c r="AZ74" s="7417"/>
      <c r="BC74" s="612"/>
      <c r="BD74" s="1161"/>
      <c r="BE74" s="7417"/>
      <c r="BG74" s="723"/>
    </row>
    <row r="75" spans="1:59" x14ac:dyDescent="0.35">
      <c r="A75" s="9153"/>
      <c r="B75" s="80"/>
      <c r="C75" s="921"/>
      <c r="F75" s="779"/>
      <c r="H75" s="780"/>
      <c r="I75" s="781"/>
      <c r="J75" s="1003"/>
      <c r="L75" s="780"/>
      <c r="M75" s="902"/>
      <c r="O75" s="242"/>
      <c r="P75" s="201"/>
      <c r="Q75" s="106"/>
      <c r="R75" s="64"/>
      <c r="T75" s="164"/>
      <c r="U75" s="106"/>
      <c r="V75" s="276"/>
      <c r="X75" s="242"/>
      <c r="Y75" s="201"/>
      <c r="Z75" s="106"/>
      <c r="AA75" s="64"/>
      <c r="AC75" s="612"/>
      <c r="AD75" s="1161"/>
      <c r="AE75" s="614"/>
      <c r="AG75" s="723"/>
      <c r="AI75" s="612"/>
      <c r="AJ75" s="614"/>
      <c r="AK75" s="106"/>
      <c r="AM75" s="612"/>
      <c r="AN75" s="1161"/>
      <c r="AO75" s="614"/>
      <c r="AQ75" s="723"/>
      <c r="AS75" s="595"/>
      <c r="AT75" s="7400"/>
      <c r="AU75" s="106"/>
      <c r="AV75" s="110"/>
      <c r="AX75" s="612">
        <v>5.4164560780000004</v>
      </c>
      <c r="AY75" s="1161" t="s">
        <v>5200</v>
      </c>
      <c r="AZ75" s="7417"/>
      <c r="BC75" s="612"/>
      <c r="BD75" s="1161"/>
      <c r="BE75" s="7417"/>
      <c r="BG75" s="723"/>
    </row>
    <row r="76" spans="1:59" x14ac:dyDescent="0.35">
      <c r="A76" s="9153"/>
      <c r="B76" s="80"/>
      <c r="C76" s="921"/>
      <c r="F76" s="779"/>
      <c r="H76" s="780"/>
      <c r="I76" s="781"/>
      <c r="J76" s="1003"/>
      <c r="L76" s="780"/>
      <c r="M76" s="902"/>
      <c r="O76" s="242"/>
      <c r="P76" s="201"/>
      <c r="Q76" s="106"/>
      <c r="R76" s="64"/>
      <c r="T76" s="164"/>
      <c r="U76" s="106"/>
      <c r="V76" s="276"/>
      <c r="X76" s="242"/>
      <c r="Y76" s="201"/>
      <c r="Z76" s="106"/>
      <c r="AA76" s="64"/>
      <c r="AC76" s="612"/>
      <c r="AD76" s="1161"/>
      <c r="AE76" s="614"/>
      <c r="AG76" s="723"/>
      <c r="AI76" s="612"/>
      <c r="AJ76" s="614"/>
      <c r="AK76" s="106"/>
      <c r="AM76" s="612"/>
      <c r="AN76" s="1161"/>
      <c r="AO76" s="614"/>
      <c r="AQ76" s="723"/>
      <c r="AS76" s="595"/>
      <c r="AT76" s="7400"/>
      <c r="AU76" s="106"/>
      <c r="AV76" s="110"/>
      <c r="AX76" s="612">
        <v>5.111955493</v>
      </c>
      <c r="AY76" s="1161" t="s">
        <v>5201</v>
      </c>
      <c r="AZ76" s="7417"/>
      <c r="BC76" s="612"/>
      <c r="BD76" s="1161"/>
      <c r="BE76" s="7417"/>
      <c r="BG76" s="723"/>
    </row>
    <row r="77" spans="1:59" x14ac:dyDescent="0.35">
      <c r="A77" s="9153"/>
      <c r="B77" s="80"/>
      <c r="C77" s="921"/>
      <c r="F77" s="779"/>
      <c r="H77" s="780"/>
      <c r="I77" s="781"/>
      <c r="J77" s="1003"/>
      <c r="L77" s="780"/>
      <c r="M77" s="902"/>
      <c r="O77" s="242"/>
      <c r="P77" s="201"/>
      <c r="Q77" s="106"/>
      <c r="R77" s="64"/>
      <c r="T77" s="164"/>
      <c r="U77" s="106"/>
      <c r="V77" s="276"/>
      <c r="X77" s="242"/>
      <c r="Y77" s="201"/>
      <c r="Z77" s="106"/>
      <c r="AA77" s="64"/>
      <c r="AC77" s="612"/>
      <c r="AD77" s="1161"/>
      <c r="AE77" s="614"/>
      <c r="AG77" s="723"/>
      <c r="AI77" s="612"/>
      <c r="AJ77" s="614"/>
      <c r="AK77" s="106"/>
      <c r="AM77" s="612"/>
      <c r="AN77" s="1161"/>
      <c r="AO77" s="614"/>
      <c r="AQ77" s="723"/>
      <c r="AS77" s="595"/>
      <c r="AT77" s="7400"/>
      <c r="AU77" s="106"/>
      <c r="AV77" s="110"/>
      <c r="AX77" s="612">
        <v>4.6690511389999996</v>
      </c>
      <c r="AY77" s="1161" t="s">
        <v>5202</v>
      </c>
      <c r="AZ77" s="7417"/>
      <c r="BC77" s="612"/>
      <c r="BD77" s="1161"/>
      <c r="BE77" s="7417"/>
      <c r="BG77" s="723"/>
    </row>
    <row r="78" spans="1:59" x14ac:dyDescent="0.35">
      <c r="A78" s="9153"/>
      <c r="B78" s="80"/>
      <c r="C78" s="921"/>
      <c r="F78" s="779"/>
      <c r="H78" s="780"/>
      <c r="I78" s="781"/>
      <c r="J78" s="1003"/>
      <c r="L78" s="780"/>
      <c r="M78" s="902"/>
      <c r="O78" s="242"/>
      <c r="P78" s="201"/>
      <c r="Q78" s="106"/>
      <c r="R78" s="64"/>
      <c r="T78" s="164"/>
      <c r="U78" s="106"/>
      <c r="V78" s="276"/>
      <c r="X78" s="242"/>
      <c r="Y78" s="201"/>
      <c r="Z78" s="106"/>
      <c r="AA78" s="64"/>
      <c r="AC78" s="612"/>
      <c r="AD78" s="1161"/>
      <c r="AE78" s="614"/>
      <c r="AG78" s="723"/>
      <c r="AI78" s="612"/>
      <c r="AJ78" s="614"/>
      <c r="AK78" s="106"/>
      <c r="AM78" s="612"/>
      <c r="AN78" s="1161"/>
      <c r="AO78" s="614"/>
      <c r="AQ78" s="723"/>
      <c r="AS78" s="595"/>
      <c r="AT78" s="7400"/>
      <c r="AU78" s="106"/>
      <c r="AV78" s="110"/>
      <c r="AX78" s="612">
        <v>5.9193736699999997</v>
      </c>
      <c r="AY78" s="1161" t="s">
        <v>5203</v>
      </c>
      <c r="AZ78" s="7417"/>
      <c r="BC78" s="612"/>
      <c r="BD78" s="1161"/>
      <c r="BE78" s="7417"/>
      <c r="BG78" s="723"/>
    </row>
    <row r="79" spans="1:59" x14ac:dyDescent="0.35">
      <c r="A79" s="9153"/>
      <c r="B79" s="80"/>
      <c r="C79" s="921"/>
      <c r="F79" s="779"/>
      <c r="H79" s="780"/>
      <c r="I79" s="781"/>
      <c r="J79" s="1003"/>
      <c r="L79" s="780"/>
      <c r="M79" s="902"/>
      <c r="O79" s="242"/>
      <c r="P79" s="201"/>
      <c r="Q79" s="106"/>
      <c r="R79" s="64"/>
      <c r="T79" s="164"/>
      <c r="U79" s="106"/>
      <c r="V79" s="276"/>
      <c r="X79" s="242"/>
      <c r="Y79" s="201"/>
      <c r="Z79" s="106"/>
      <c r="AA79" s="64"/>
      <c r="AC79" s="612"/>
      <c r="AD79" s="1161"/>
      <c r="AE79" s="614"/>
      <c r="AG79" s="723"/>
      <c r="AI79" s="612"/>
      <c r="AJ79" s="614"/>
      <c r="AK79" s="106"/>
      <c r="AM79" s="612"/>
      <c r="AN79" s="1161"/>
      <c r="AO79" s="614"/>
      <c r="AQ79" s="723"/>
      <c r="AS79" s="595"/>
      <c r="AT79" s="7400"/>
      <c r="AU79" s="106"/>
      <c r="AV79" s="110"/>
      <c r="AX79" s="612">
        <v>4.6349309700000001</v>
      </c>
      <c r="AY79" s="1161" t="s">
        <v>5204</v>
      </c>
      <c r="AZ79" s="7417"/>
      <c r="BC79" s="612"/>
      <c r="BD79" s="1161"/>
      <c r="BE79" s="7417"/>
      <c r="BG79" s="723"/>
    </row>
    <row r="80" spans="1:59" x14ac:dyDescent="0.35">
      <c r="A80" s="9153"/>
      <c r="B80" s="80"/>
      <c r="C80" s="921"/>
      <c r="F80" s="779"/>
      <c r="H80" s="780"/>
      <c r="I80" s="781"/>
      <c r="J80" s="1003"/>
      <c r="L80" s="780"/>
      <c r="M80" s="902"/>
      <c r="O80" s="242"/>
      <c r="P80" s="201"/>
      <c r="Q80" s="106"/>
      <c r="R80" s="64"/>
      <c r="T80" s="164"/>
      <c r="U80" s="106"/>
      <c r="V80" s="276"/>
      <c r="X80" s="242"/>
      <c r="Y80" s="201"/>
      <c r="Z80" s="106"/>
      <c r="AA80" s="64"/>
      <c r="AC80" s="612"/>
      <c r="AD80" s="1161"/>
      <c r="AE80" s="614"/>
      <c r="AG80" s="723"/>
      <c r="AI80" s="612"/>
      <c r="AJ80" s="614"/>
      <c r="AK80" s="106"/>
      <c r="AM80" s="612"/>
      <c r="AN80" s="1161"/>
      <c r="AO80" s="614"/>
      <c r="AQ80" s="723"/>
      <c r="AS80" s="595"/>
      <c r="AT80" s="7400"/>
      <c r="AU80" s="106"/>
      <c r="AV80" s="110"/>
      <c r="AX80" s="612">
        <v>5.7844858620000004</v>
      </c>
      <c r="AY80" s="1161" t="s">
        <v>5205</v>
      </c>
      <c r="AZ80" s="7417"/>
      <c r="BC80" s="612"/>
      <c r="BD80" s="1161"/>
      <c r="BE80" s="7417"/>
      <c r="BG80" s="723"/>
    </row>
    <row r="81" spans="1:59" x14ac:dyDescent="0.35">
      <c r="A81" s="9153"/>
      <c r="B81" s="80"/>
      <c r="C81" s="921"/>
      <c r="F81" s="779"/>
      <c r="H81" s="780"/>
      <c r="I81" s="781"/>
      <c r="J81" s="1003"/>
      <c r="L81" s="780"/>
      <c r="M81" s="902"/>
      <c r="O81" s="242"/>
      <c r="P81" s="201"/>
      <c r="Q81" s="106"/>
      <c r="R81" s="64"/>
      <c r="T81" s="164"/>
      <c r="U81" s="106"/>
      <c r="V81" s="276"/>
      <c r="X81" s="242"/>
      <c r="Y81" s="201"/>
      <c r="Z81" s="106"/>
      <c r="AA81" s="64"/>
      <c r="AC81" s="612"/>
      <c r="AD81" s="1161"/>
      <c r="AE81" s="614"/>
      <c r="AG81" s="723"/>
      <c r="AI81" s="612"/>
      <c r="AJ81" s="614"/>
      <c r="AK81" s="106"/>
      <c r="AM81" s="612"/>
      <c r="AN81" s="1161"/>
      <c r="AO81" s="614"/>
      <c r="AQ81" s="723"/>
      <c r="AS81" s="595"/>
      <c r="AT81" s="7400"/>
      <c r="AU81" s="106"/>
      <c r="AV81" s="110"/>
      <c r="AX81" s="612">
        <v>5.817883009</v>
      </c>
      <c r="AY81" s="1161" t="s">
        <v>5206</v>
      </c>
      <c r="AZ81" s="7417"/>
      <c r="BC81" s="612"/>
      <c r="BD81" s="1161"/>
      <c r="BE81" s="7417"/>
      <c r="BG81" s="723"/>
    </row>
    <row r="82" spans="1:59" x14ac:dyDescent="0.35">
      <c r="A82" s="9153"/>
      <c r="B82" s="80"/>
      <c r="C82" s="921"/>
      <c r="F82" s="779"/>
      <c r="H82" s="780"/>
      <c r="I82" s="781"/>
      <c r="J82" s="1003"/>
      <c r="L82" s="780"/>
      <c r="M82" s="902"/>
      <c r="O82" s="242"/>
      <c r="P82" s="201"/>
      <c r="Q82" s="106"/>
      <c r="R82" s="64"/>
      <c r="T82" s="164"/>
      <c r="U82" s="106"/>
      <c r="V82" s="276"/>
      <c r="X82" s="242"/>
      <c r="Y82" s="201"/>
      <c r="Z82" s="106"/>
      <c r="AA82" s="64"/>
      <c r="AC82" s="612"/>
      <c r="AD82" s="1161"/>
      <c r="AE82" s="614"/>
      <c r="AG82" s="723"/>
      <c r="AI82" s="612"/>
      <c r="AJ82" s="614"/>
      <c r="AK82" s="106"/>
      <c r="AM82" s="612"/>
      <c r="AN82" s="1161"/>
      <c r="AO82" s="614"/>
      <c r="AQ82" s="723"/>
      <c r="AS82" s="595"/>
      <c r="AT82" s="7400"/>
      <c r="AU82" s="106"/>
      <c r="AV82" s="110"/>
      <c r="AX82" s="612">
        <v>5.539922389</v>
      </c>
      <c r="AY82" s="1161" t="s">
        <v>5207</v>
      </c>
      <c r="AZ82" s="7417"/>
      <c r="BC82" s="612"/>
      <c r="BD82" s="1161"/>
      <c r="BE82" s="7417"/>
      <c r="BG82" s="723"/>
    </row>
    <row r="83" spans="1:59" x14ac:dyDescent="0.35">
      <c r="A83" s="9153"/>
      <c r="B83" s="80"/>
      <c r="C83" s="921"/>
      <c r="F83" s="779"/>
      <c r="H83" s="780"/>
      <c r="I83" s="781"/>
      <c r="J83" s="1003"/>
      <c r="L83" s="780"/>
      <c r="M83" s="902"/>
      <c r="O83" s="242"/>
      <c r="P83" s="201"/>
      <c r="Q83" s="106"/>
      <c r="R83" s="64"/>
      <c r="T83" s="164"/>
      <c r="U83" s="106"/>
      <c r="V83" s="276"/>
      <c r="X83" s="242"/>
      <c r="Y83" s="201"/>
      <c r="Z83" s="106"/>
      <c r="AA83" s="64"/>
      <c r="AC83" s="612"/>
      <c r="AD83" s="1161"/>
      <c r="AE83" s="614"/>
      <c r="AG83" s="723"/>
      <c r="AI83" s="612"/>
      <c r="AJ83" s="614"/>
      <c r="AK83" s="106"/>
      <c r="AM83" s="612"/>
      <c r="AN83" s="1161"/>
      <c r="AO83" s="614"/>
      <c r="AQ83" s="723"/>
      <c r="AS83" s="595"/>
      <c r="AT83" s="7400"/>
      <c r="AU83" s="106"/>
      <c r="AV83" s="110"/>
      <c r="AX83" s="612">
        <v>5.0463861830000001</v>
      </c>
      <c r="AY83" s="1161" t="s">
        <v>5208</v>
      </c>
      <c r="AZ83" s="7417"/>
      <c r="BC83" s="612"/>
      <c r="BD83" s="1161"/>
      <c r="BE83" s="7417"/>
      <c r="BG83" s="723"/>
    </row>
    <row r="84" spans="1:59" x14ac:dyDescent="0.35">
      <c r="A84" s="9153"/>
      <c r="B84" s="80"/>
      <c r="C84" s="921"/>
      <c r="F84" s="779"/>
      <c r="H84" s="780"/>
      <c r="I84" s="781"/>
      <c r="J84" s="1003"/>
      <c r="L84" s="780"/>
      <c r="M84" s="902"/>
      <c r="O84" s="242"/>
      <c r="P84" s="201"/>
      <c r="Q84" s="106"/>
      <c r="R84" s="64"/>
      <c r="T84" s="164"/>
      <c r="U84" s="106"/>
      <c r="V84" s="276"/>
      <c r="X84" s="242"/>
      <c r="Y84" s="201"/>
      <c r="Z84" s="106"/>
      <c r="AA84" s="64"/>
      <c r="AC84" s="612"/>
      <c r="AD84" s="1161"/>
      <c r="AE84" s="614"/>
      <c r="AG84" s="723"/>
      <c r="AI84" s="612"/>
      <c r="AJ84" s="614"/>
      <c r="AK84" s="106"/>
      <c r="AM84" s="612"/>
      <c r="AN84" s="1161"/>
      <c r="AO84" s="614"/>
      <c r="AQ84" s="723"/>
      <c r="AS84" s="595"/>
      <c r="AT84" s="7400"/>
      <c r="AU84" s="106"/>
      <c r="AV84" s="110"/>
      <c r="AX84" s="612">
        <v>5.1628856760000001</v>
      </c>
      <c r="AY84" s="1161" t="s">
        <v>5209</v>
      </c>
      <c r="AZ84" s="7417"/>
      <c r="BC84" s="612"/>
      <c r="BD84" s="1161"/>
      <c r="BE84" s="7417"/>
      <c r="BG84" s="723"/>
    </row>
    <row r="85" spans="1:59" x14ac:dyDescent="0.35">
      <c r="A85" s="9153"/>
      <c r="B85" s="80"/>
      <c r="C85" s="921"/>
      <c r="F85" s="779"/>
      <c r="H85" s="780"/>
      <c r="I85" s="781"/>
      <c r="J85" s="1003"/>
      <c r="L85" s="780"/>
      <c r="M85" s="902"/>
      <c r="O85" s="242"/>
      <c r="P85" s="201"/>
      <c r="Q85" s="106"/>
      <c r="R85" s="64"/>
      <c r="T85" s="164"/>
      <c r="U85" s="106"/>
      <c r="V85" s="276"/>
      <c r="X85" s="242"/>
      <c r="Y85" s="201"/>
      <c r="Z85" s="106"/>
      <c r="AA85" s="64"/>
      <c r="AC85" s="612"/>
      <c r="AD85" s="1161"/>
      <c r="AE85" s="614"/>
      <c r="AG85" s="723"/>
      <c r="AI85" s="612"/>
      <c r="AJ85" s="614"/>
      <c r="AK85" s="106"/>
      <c r="AM85" s="612"/>
      <c r="AN85" s="1161"/>
      <c r="AO85" s="614"/>
      <c r="AQ85" s="723"/>
      <c r="AS85" s="595"/>
      <c r="AT85" s="7400"/>
      <c r="AU85" s="106"/>
      <c r="AV85" s="110"/>
      <c r="AX85" s="612">
        <v>4.7951799660000001</v>
      </c>
      <c r="AY85" s="1161" t="s">
        <v>5210</v>
      </c>
      <c r="AZ85" s="7417"/>
      <c r="BC85" s="612"/>
      <c r="BD85" s="1161"/>
      <c r="BE85" s="7417"/>
      <c r="BG85" s="723"/>
    </row>
    <row r="86" spans="1:59" x14ac:dyDescent="0.35">
      <c r="A86" s="9153"/>
      <c r="B86" s="80"/>
      <c r="C86" s="921"/>
      <c r="F86" s="779"/>
      <c r="H86" s="780"/>
      <c r="I86" s="781"/>
      <c r="J86" s="1003"/>
      <c r="L86" s="780"/>
      <c r="M86" s="902"/>
      <c r="O86" s="242"/>
      <c r="P86" s="201"/>
      <c r="Q86" s="106"/>
      <c r="R86" s="64"/>
      <c r="T86" s="164"/>
      <c r="U86" s="106"/>
      <c r="V86" s="276"/>
      <c r="X86" s="242"/>
      <c r="Y86" s="201"/>
      <c r="Z86" s="106"/>
      <c r="AA86" s="64"/>
      <c r="AC86" s="612"/>
      <c r="AD86" s="1161"/>
      <c r="AE86" s="614"/>
      <c r="AG86" s="723"/>
      <c r="AI86" s="612"/>
      <c r="AJ86" s="614"/>
      <c r="AK86" s="106"/>
      <c r="AM86" s="612"/>
      <c r="AN86" s="1161"/>
      <c r="AO86" s="614"/>
      <c r="AQ86" s="723"/>
      <c r="AS86" s="595"/>
      <c r="AT86" s="7400"/>
      <c r="AU86" s="106"/>
      <c r="AV86" s="110"/>
      <c r="AX86" s="612">
        <v>3.375445955</v>
      </c>
      <c r="AY86" s="1161" t="s">
        <v>5211</v>
      </c>
      <c r="AZ86" s="7417"/>
      <c r="BC86" s="612"/>
      <c r="BD86" s="1161"/>
      <c r="BE86" s="7417"/>
      <c r="BG86" s="723"/>
    </row>
    <row r="87" spans="1:59" x14ac:dyDescent="0.35">
      <c r="A87" s="9153"/>
      <c r="B87" s="80"/>
      <c r="C87" s="921"/>
      <c r="F87" s="788"/>
      <c r="H87" s="785"/>
      <c r="I87" s="786"/>
      <c r="J87" s="1003"/>
      <c r="L87" s="785"/>
      <c r="M87" s="905"/>
      <c r="O87" s="242"/>
      <c r="P87" s="201"/>
      <c r="Q87" s="106"/>
      <c r="R87" s="64">
        <f>IF(O87=0,0,P87/O87)</f>
        <v>0</v>
      </c>
      <c r="T87" s="164"/>
      <c r="U87" s="106"/>
      <c r="V87" s="276">
        <f>T87*R87</f>
        <v>0</v>
      </c>
      <c r="X87" s="242"/>
      <c r="Y87" s="201"/>
      <c r="Z87" s="106"/>
      <c r="AA87" s="64">
        <f>IF(X87=0,0,Y87/X87)</f>
        <v>0</v>
      </c>
      <c r="AC87" s="164"/>
      <c r="AD87" s="106"/>
      <c r="AE87" s="276"/>
      <c r="AG87" s="723"/>
      <c r="AI87" s="164"/>
      <c r="AJ87" s="276"/>
      <c r="AK87" s="106"/>
      <c r="AM87" s="164"/>
      <c r="AN87" s="106"/>
      <c r="AO87" s="276"/>
      <c r="AQ87" s="723"/>
      <c r="AS87" s="595"/>
      <c r="AT87" s="7400"/>
      <c r="AU87" s="106"/>
      <c r="AV87" s="110"/>
      <c r="AX87" s="612">
        <v>4.6534955619999998</v>
      </c>
      <c r="AY87" s="1161" t="s">
        <v>5212</v>
      </c>
      <c r="AZ87" s="7417"/>
      <c r="BC87" s="612"/>
      <c r="BD87" s="1161"/>
      <c r="BE87" s="7417"/>
      <c r="BG87" s="723"/>
    </row>
    <row r="88" spans="1:59" x14ac:dyDescent="0.35">
      <c r="A88" s="9153"/>
      <c r="B88" s="80"/>
      <c r="C88" s="7439"/>
      <c r="F88" s="790"/>
      <c r="H88" s="791"/>
      <c r="I88" s="792"/>
      <c r="J88" s="1003"/>
      <c r="L88" s="791"/>
      <c r="M88" s="906"/>
      <c r="O88" s="242"/>
      <c r="P88" s="201"/>
      <c r="Q88" s="106"/>
      <c r="R88" s="64"/>
      <c r="T88" s="164"/>
      <c r="U88" s="106"/>
      <c r="V88" s="276"/>
      <c r="X88" s="242"/>
      <c r="Y88" s="201"/>
      <c r="Z88" s="106"/>
      <c r="AA88" s="64"/>
      <c r="AC88" s="164"/>
      <c r="AD88" s="106"/>
      <c r="AE88" s="276"/>
      <c r="AG88" s="723"/>
      <c r="AI88" s="164"/>
      <c r="AJ88" s="276"/>
      <c r="AK88" s="106"/>
      <c r="AM88" s="164"/>
      <c r="AN88" s="106"/>
      <c r="AO88" s="276"/>
      <c r="AQ88" s="723"/>
      <c r="AS88" s="595"/>
      <c r="AT88" s="7400"/>
      <c r="AU88" s="106"/>
      <c r="AV88" s="110"/>
      <c r="AX88" s="612">
        <v>4.4613875829999996</v>
      </c>
      <c r="AY88" s="1161" t="s">
        <v>5213</v>
      </c>
      <c r="AZ88" s="7417"/>
      <c r="BC88" s="612"/>
      <c r="BD88" s="1161"/>
      <c r="BE88" s="7417"/>
      <c r="BG88" s="723"/>
    </row>
    <row r="89" spans="1:59" x14ac:dyDescent="0.35">
      <c r="A89" s="9153"/>
      <c r="B89" s="922"/>
      <c r="C89" s="923" t="s">
        <v>555</v>
      </c>
      <c r="F89" s="924"/>
      <c r="H89" s="925"/>
      <c r="I89" s="926"/>
      <c r="J89" s="1004"/>
      <c r="L89" s="925"/>
      <c r="M89" s="927"/>
      <c r="O89" s="242"/>
      <c r="P89" s="201"/>
      <c r="Q89" s="216"/>
      <c r="R89" s="64">
        <f>IF(O89=0,0,P89/O89)</f>
        <v>0</v>
      </c>
      <c r="T89" s="1156"/>
      <c r="U89" s="1200"/>
      <c r="V89" s="604">
        <f>T89*R89</f>
        <v>0</v>
      </c>
      <c r="X89" s="242"/>
      <c r="Y89" s="201"/>
      <c r="Z89" s="216"/>
      <c r="AA89" s="64">
        <f>IF(X89=0,0,Y89/X89)</f>
        <v>0</v>
      </c>
      <c r="AC89" s="1156"/>
      <c r="AD89" s="1200"/>
      <c r="AE89" s="604"/>
      <c r="AG89" s="722"/>
      <c r="AI89" s="1156"/>
      <c r="AJ89" s="604"/>
      <c r="AK89" s="216"/>
      <c r="AM89" s="1156"/>
      <c r="AN89" s="1200"/>
      <c r="AO89" s="604"/>
      <c r="AQ89" s="722"/>
      <c r="AS89" s="602"/>
      <c r="AT89" s="7403"/>
      <c r="AU89" s="216"/>
      <c r="AV89" s="129"/>
      <c r="AX89" s="1156"/>
      <c r="AY89" s="1200"/>
      <c r="AZ89" s="604"/>
      <c r="BC89" s="1156"/>
      <c r="BD89" s="1200"/>
      <c r="BE89" s="604"/>
      <c r="BG89" s="722"/>
    </row>
    <row r="90" spans="1:59" x14ac:dyDescent="0.35">
      <c r="A90" s="9153"/>
      <c r="B90" s="287" t="s">
        <v>556</v>
      </c>
      <c r="C90" s="288"/>
      <c r="E90" s="457"/>
      <c r="F90" s="289"/>
      <c r="H90" s="928"/>
      <c r="I90" s="929"/>
      <c r="J90" s="1049"/>
      <c r="L90" s="928"/>
      <c r="M90" s="931"/>
      <c r="N90" s="143"/>
      <c r="O90" s="928"/>
      <c r="P90" s="929"/>
      <c r="Q90" s="106"/>
      <c r="R90" s="293"/>
      <c r="T90" s="2940"/>
      <c r="U90" s="653"/>
      <c r="V90" s="4756"/>
      <c r="X90" s="928"/>
      <c r="Y90" s="929"/>
      <c r="Z90" s="106"/>
      <c r="AA90" s="293"/>
      <c r="AC90" s="2940"/>
      <c r="AD90" s="653"/>
      <c r="AE90" s="4756"/>
      <c r="AG90" s="718"/>
      <c r="AI90" s="2940"/>
      <c r="AJ90" s="4756"/>
      <c r="AK90" s="106"/>
      <c r="AM90" s="2940"/>
      <c r="AN90" s="653"/>
      <c r="AO90" s="4756"/>
      <c r="AQ90" s="718"/>
      <c r="AS90" s="1389"/>
      <c r="AT90" s="7091"/>
      <c r="AU90" s="103"/>
      <c r="AV90" s="831"/>
      <c r="AX90" s="1389"/>
      <c r="AY90" s="653"/>
      <c r="AZ90" s="7418"/>
      <c r="BC90" s="1389"/>
      <c r="BD90" s="653"/>
      <c r="BE90" s="7418"/>
      <c r="BG90" s="718"/>
    </row>
    <row r="91" spans="1:59" x14ac:dyDescent="0.35">
      <c r="A91" s="9153"/>
      <c r="B91" s="302"/>
      <c r="C91" s="59" t="s">
        <v>532</v>
      </c>
      <c r="F91" s="521"/>
      <c r="G91" s="457"/>
      <c r="H91" s="304"/>
      <c r="I91" s="932"/>
      <c r="J91" s="890">
        <f>IF(H91=0,0,I91/H91)</f>
        <v>0</v>
      </c>
      <c r="K91" s="457"/>
      <c r="L91" s="304"/>
      <c r="M91" s="933">
        <f>L91*J91</f>
        <v>0</v>
      </c>
      <c r="O91" s="304"/>
      <c r="P91" s="932"/>
      <c r="Q91" s="332"/>
      <c r="R91" s="297">
        <f>IF(O91=0,0,P91/O91)</f>
        <v>0</v>
      </c>
      <c r="T91" s="4757"/>
      <c r="U91" s="1404"/>
      <c r="V91" s="4758"/>
      <c r="X91" s="304"/>
      <c r="Y91" s="932"/>
      <c r="Z91" s="332"/>
      <c r="AA91" s="297">
        <f>IF(X91=0,0,Y91/X91)</f>
        <v>0</v>
      </c>
      <c r="AC91" s="4757"/>
      <c r="AD91" s="1404"/>
      <c r="AE91" s="4758"/>
      <c r="AG91" s="723"/>
      <c r="AI91" s="4757"/>
      <c r="AJ91" s="4758"/>
      <c r="AK91" s="332"/>
      <c r="AM91" s="4757"/>
      <c r="AN91" s="1404"/>
      <c r="AO91" s="4758"/>
      <c r="AQ91" s="723"/>
      <c r="AS91" s="7419"/>
      <c r="AT91" s="7420"/>
      <c r="AU91" s="332"/>
      <c r="AV91" s="110"/>
      <c r="AX91" s="4757"/>
      <c r="AY91" s="1404"/>
      <c r="AZ91" s="4758"/>
      <c r="BC91" s="4757"/>
      <c r="BD91" s="1404"/>
      <c r="BE91" s="4758"/>
      <c r="BG91" s="723"/>
    </row>
    <row r="92" spans="1:59" x14ac:dyDescent="0.35">
      <c r="A92" s="9153"/>
      <c r="B92" s="302"/>
      <c r="C92" s="59" t="s">
        <v>533</v>
      </c>
      <c r="F92" s="61"/>
      <c r="H92" s="62"/>
      <c r="I92" s="72"/>
      <c r="J92" s="1003">
        <f>IF(H92=0,0,I92/H92)</f>
        <v>0</v>
      </c>
      <c r="L92" s="62"/>
      <c r="M92" s="934">
        <f>L92*J92</f>
        <v>0</v>
      </c>
      <c r="O92" s="62"/>
      <c r="P92" s="72"/>
      <c r="Q92" s="106"/>
      <c r="R92" s="297">
        <f>IF(O92=0,0,P92/O92)</f>
        <v>0</v>
      </c>
      <c r="T92" s="68"/>
      <c r="U92" s="645"/>
      <c r="V92" s="4682">
        <f>T92*R92</f>
        <v>0</v>
      </c>
      <c r="X92" s="62"/>
      <c r="Y92" s="72"/>
      <c r="Z92" s="106"/>
      <c r="AA92" s="297">
        <f>IF(X92=0,0,Y92/X92)</f>
        <v>0</v>
      </c>
      <c r="AC92" s="68"/>
      <c r="AD92" s="645"/>
      <c r="AE92" s="4682">
        <f>AC92*AA92</f>
        <v>0</v>
      </c>
      <c r="AG92" s="723"/>
      <c r="AI92" s="68"/>
      <c r="AJ92" s="4682">
        <f>AH92*AF92</f>
        <v>0</v>
      </c>
      <c r="AK92" s="106"/>
      <c r="AM92" s="68"/>
      <c r="AN92" s="645"/>
      <c r="AO92" s="4682"/>
      <c r="AQ92" s="723"/>
      <c r="AS92" s="298"/>
      <c r="AT92" s="7395">
        <f>AR92*AP92</f>
        <v>0</v>
      </c>
      <c r="AU92" s="106"/>
      <c r="AV92" s="110"/>
      <c r="AX92" s="68"/>
      <c r="AY92" s="645"/>
      <c r="AZ92" s="4682"/>
      <c r="BC92" s="68"/>
      <c r="BD92" s="645"/>
      <c r="BE92" s="4682"/>
      <c r="BG92" s="723"/>
    </row>
    <row r="93" spans="1:59" x14ac:dyDescent="0.35">
      <c r="A93" s="9153"/>
      <c r="B93" s="305"/>
      <c r="C93" s="59" t="s">
        <v>534</v>
      </c>
      <c r="F93" s="61"/>
      <c r="H93" s="62"/>
      <c r="I93" s="72"/>
      <c r="J93" s="1003">
        <f>IF(H93=0,0,I93/H93)</f>
        <v>0</v>
      </c>
      <c r="L93" s="62"/>
      <c r="M93" s="934">
        <f>L93*J93</f>
        <v>0</v>
      </c>
      <c r="O93" s="62"/>
      <c r="P93" s="72"/>
      <c r="Q93" s="106"/>
      <c r="R93" s="297">
        <f>IF(O93=0,0,P93/O93)</f>
        <v>0</v>
      </c>
      <c r="T93" s="68"/>
      <c r="U93" s="645"/>
      <c r="V93" s="4682">
        <f>T93*R93</f>
        <v>0</v>
      </c>
      <c r="X93" s="62"/>
      <c r="Y93" s="72"/>
      <c r="Z93" s="106"/>
      <c r="AA93" s="297">
        <f>IF(X93=0,0,Y93/X93)</f>
        <v>0</v>
      </c>
      <c r="AC93" s="68"/>
      <c r="AD93" s="645"/>
      <c r="AE93" s="4682">
        <f>AC93*AA93</f>
        <v>0</v>
      </c>
      <c r="AG93" s="723"/>
      <c r="AI93" s="68"/>
      <c r="AJ93" s="4682">
        <f>AH93*AF93</f>
        <v>0</v>
      </c>
      <c r="AK93" s="106"/>
      <c r="AM93" s="68"/>
      <c r="AN93" s="645"/>
      <c r="AO93" s="4682"/>
      <c r="AQ93" s="723"/>
      <c r="AS93" s="298"/>
      <c r="AT93" s="7395">
        <f>AR93*AP93</f>
        <v>0</v>
      </c>
      <c r="AU93" s="106"/>
      <c r="AV93" s="110"/>
      <c r="AX93" s="68"/>
      <c r="AY93" s="645"/>
      <c r="AZ93" s="4682"/>
      <c r="BC93" s="68"/>
      <c r="BD93" s="645"/>
      <c r="BE93" s="4682"/>
      <c r="BG93" s="723"/>
    </row>
    <row r="94" spans="1:59" x14ac:dyDescent="0.35">
      <c r="A94" s="9154"/>
      <c r="B94" s="306"/>
      <c r="C94" s="86" t="s">
        <v>536</v>
      </c>
      <c r="F94" s="88"/>
      <c r="H94" s="89"/>
      <c r="I94" s="308"/>
      <c r="J94" s="1004">
        <f>IF(H94=0,0,I94/H94)</f>
        <v>0</v>
      </c>
      <c r="L94" s="89"/>
      <c r="M94" s="935">
        <f>L94*J94</f>
        <v>0</v>
      </c>
      <c r="O94" s="89"/>
      <c r="P94" s="308"/>
      <c r="Q94" s="216"/>
      <c r="R94" s="307">
        <f>IF(O94=0,0,P94/O94)</f>
        <v>0</v>
      </c>
      <c r="T94" s="93"/>
      <c r="U94" s="1200"/>
      <c r="V94" s="4759">
        <f>T94*R94</f>
        <v>0</v>
      </c>
      <c r="X94" s="89"/>
      <c r="Y94" s="308"/>
      <c r="Z94" s="216"/>
      <c r="AA94" s="307">
        <f>IF(X94=0,0,Y94/X94)</f>
        <v>0</v>
      </c>
      <c r="AC94" s="93"/>
      <c r="AD94" s="1200"/>
      <c r="AE94" s="4759">
        <f>AC94*AA94</f>
        <v>0</v>
      </c>
      <c r="AG94" s="722"/>
      <c r="AI94" s="93"/>
      <c r="AJ94" s="4759">
        <f>AH94*AF94</f>
        <v>0</v>
      </c>
      <c r="AK94" s="216"/>
      <c r="AM94" s="93"/>
      <c r="AN94" s="1200"/>
      <c r="AO94" s="4759"/>
      <c r="AQ94" s="722"/>
      <c r="AS94" s="590"/>
      <c r="AT94" s="7398">
        <f>AR94*AP94</f>
        <v>0</v>
      </c>
      <c r="AU94" s="216"/>
      <c r="AV94" s="129"/>
      <c r="AX94" s="93"/>
      <c r="AY94" s="1200"/>
      <c r="AZ94" s="4759"/>
      <c r="BC94" s="93"/>
      <c r="BD94" s="1200"/>
      <c r="BE94" s="4759"/>
      <c r="BG94" s="722"/>
    </row>
    <row r="95" spans="1:59" x14ac:dyDescent="0.35">
      <c r="A95" s="936"/>
      <c r="B95" s="936"/>
      <c r="E95" s="457"/>
      <c r="F95" s="847"/>
      <c r="H95" s="847"/>
      <c r="I95" s="847"/>
      <c r="J95" s="1052"/>
      <c r="L95" s="847"/>
      <c r="M95" s="938"/>
      <c r="O95" s="106"/>
      <c r="P95" s="106"/>
      <c r="Q95" s="106"/>
      <c r="R95" s="311"/>
      <c r="T95" s="645"/>
      <c r="U95" s="645"/>
      <c r="V95" s="1423"/>
      <c r="X95" s="106"/>
      <c r="Y95" s="106"/>
      <c r="Z95" s="106"/>
      <c r="AA95" s="311"/>
      <c r="AC95" s="645"/>
      <c r="AD95" s="645"/>
      <c r="AE95" s="1423"/>
      <c r="AI95" s="645"/>
      <c r="AJ95" s="1423"/>
      <c r="AK95" s="106"/>
      <c r="AM95" s="645"/>
      <c r="AN95" s="645"/>
      <c r="AO95" s="1423"/>
      <c r="AS95" s="645"/>
      <c r="AT95" s="1423"/>
      <c r="AU95" s="106"/>
      <c r="AX95" s="645"/>
      <c r="AY95" s="645"/>
      <c r="AZ95" s="1423"/>
      <c r="BC95" s="645"/>
      <c r="BD95" s="645"/>
      <c r="BE95" s="1423"/>
    </row>
    <row r="96" spans="1:59" customFormat="1" ht="15.25" customHeight="1" x14ac:dyDescent="0.35">
      <c r="A96" s="9159" t="s">
        <v>559</v>
      </c>
      <c r="B96" s="939" t="s">
        <v>560</v>
      </c>
      <c r="C96" s="940"/>
      <c r="D96" s="184"/>
      <c r="E96" s="1"/>
      <c r="F96" s="316"/>
      <c r="G96" s="290"/>
      <c r="H96" s="941"/>
      <c r="I96" s="942"/>
      <c r="J96" s="293"/>
      <c r="K96" s="1"/>
      <c r="L96" s="317"/>
      <c r="M96" s="268"/>
      <c r="N96" s="1"/>
      <c r="O96" s="941"/>
      <c r="P96" s="942"/>
      <c r="Q96" s="103"/>
      <c r="R96" s="293"/>
      <c r="S96" s="1"/>
      <c r="T96" s="320"/>
      <c r="U96" s="653"/>
      <c r="V96" s="1429"/>
      <c r="W96" s="1"/>
      <c r="X96" s="941"/>
      <c r="Y96" s="942"/>
      <c r="Z96" s="103"/>
      <c r="AA96" s="293"/>
      <c r="AB96" s="1"/>
      <c r="AC96" s="320"/>
      <c r="AD96" s="653"/>
      <c r="AE96" s="1429"/>
      <c r="AF96" s="1"/>
      <c r="AG96" s="18"/>
      <c r="AH96" s="1"/>
      <c r="AI96" s="320"/>
      <c r="AJ96" s="1429"/>
      <c r="AK96" s="103"/>
      <c r="AL96" s="1"/>
      <c r="AM96" s="320"/>
      <c r="AN96" s="653"/>
      <c r="AO96" s="1429"/>
      <c r="AP96" s="1"/>
      <c r="AQ96" s="18"/>
      <c r="AS96" s="1389"/>
      <c r="AT96" s="1317" t="s">
        <v>5171</v>
      </c>
      <c r="AU96" s="103"/>
      <c r="AV96" s="831"/>
      <c r="AW96" s="1"/>
      <c r="AX96" s="1389"/>
      <c r="AY96" s="653"/>
      <c r="AZ96" s="7421" t="s">
        <v>5214</v>
      </c>
      <c r="BA96" s="1"/>
      <c r="BB96" s="1"/>
      <c r="BC96" s="1389"/>
      <c r="BD96" s="653"/>
      <c r="BE96" s="7421" t="s">
        <v>5173</v>
      </c>
      <c r="BF96" s="1"/>
      <c r="BG96" s="18"/>
    </row>
    <row r="97" spans="1:59" customFormat="1" x14ac:dyDescent="0.35">
      <c r="A97" s="9160"/>
      <c r="B97" s="944"/>
      <c r="C97" s="945" t="s">
        <v>5215</v>
      </c>
      <c r="D97" s="197"/>
      <c r="E97" s="1"/>
      <c r="F97" s="327"/>
      <c r="G97" s="272"/>
      <c r="H97" s="325"/>
      <c r="I97" s="946"/>
      <c r="J97" s="297">
        <f t="shared" ref="J97:J105" si="17">IF(H97=0,0,I97/H97)</f>
        <v>0</v>
      </c>
      <c r="K97" s="1"/>
      <c r="L97" s="325"/>
      <c r="M97" s="157">
        <f t="shared" ref="M97:M105" si="18">L97*J97</f>
        <v>0</v>
      </c>
      <c r="N97" s="1"/>
      <c r="O97" s="325"/>
      <c r="P97" s="947"/>
      <c r="Q97" s="332"/>
      <c r="R97" s="297">
        <f t="shared" ref="R97:R105" si="19">IF(O97=0,0,P97/O97)</f>
        <v>0</v>
      </c>
      <c r="S97" s="1"/>
      <c r="T97" s="4760">
        <v>72.988069999999993</v>
      </c>
      <c r="U97" s="2719" t="s">
        <v>5216</v>
      </c>
      <c r="V97" s="1199">
        <v>71.757265000000004</v>
      </c>
      <c r="W97" s="1"/>
      <c r="X97" s="674">
        <v>72.988069999999993</v>
      </c>
      <c r="Y97" s="675">
        <v>71.757265000000004</v>
      </c>
      <c r="Z97" s="2719" t="s">
        <v>5216</v>
      </c>
      <c r="AA97" s="297">
        <f t="shared" ref="AA97:AA105" si="20">IF(X97=0,0,Y97/X97)</f>
        <v>0.98313690168818013</v>
      </c>
      <c r="AB97" s="1"/>
      <c r="AC97" s="4760">
        <v>72.988069999999993</v>
      </c>
      <c r="AD97" s="2719" t="s">
        <v>5216</v>
      </c>
      <c r="AE97" s="1199">
        <v>71.757265000000004</v>
      </c>
      <c r="AF97" s="1"/>
      <c r="AG97" s="26"/>
      <c r="AH97" s="1"/>
      <c r="AI97" s="4760">
        <v>72.988069999999993</v>
      </c>
      <c r="AJ97" s="1199">
        <v>71.757265000000004</v>
      </c>
      <c r="AK97" s="2719" t="s">
        <v>5216</v>
      </c>
      <c r="AL97" s="1"/>
      <c r="AM97" s="4760">
        <v>92.5</v>
      </c>
      <c r="AN97" s="652" t="s">
        <v>5177</v>
      </c>
      <c r="AO97" s="1199">
        <f>AJ97/AI97*AM97</f>
        <v>90.940163406156657</v>
      </c>
      <c r="AP97" s="1"/>
      <c r="AQ97" s="4761" t="s">
        <v>2384</v>
      </c>
      <c r="AS97" s="4760"/>
      <c r="AT97" s="7422">
        <v>87.033142362000007</v>
      </c>
      <c r="AU97" s="2719" t="s">
        <v>5217</v>
      </c>
      <c r="AV97" s="110"/>
      <c r="AW97" s="1"/>
      <c r="AX97" s="4760"/>
      <c r="AY97" s="2719" t="s">
        <v>5217</v>
      </c>
      <c r="AZ97" s="1199">
        <f>21.915095534+29.534673148+28.042511362+24.238879773</f>
        <v>103.73115981699999</v>
      </c>
      <c r="BA97" s="1"/>
      <c r="BB97" s="1"/>
      <c r="BC97" s="4760">
        <v>100.588426306</v>
      </c>
      <c r="BD97" s="2719"/>
      <c r="BE97" s="1199">
        <f>26.106574722+29.505531719+18.76614349+20.599643308</f>
        <v>94.977893238999997</v>
      </c>
      <c r="BF97" s="1"/>
      <c r="BG97" s="4761"/>
    </row>
    <row r="98" spans="1:59" customFormat="1" x14ac:dyDescent="0.35">
      <c r="A98" s="9160"/>
      <c r="B98" s="944"/>
      <c r="C98" s="945"/>
      <c r="D98" s="197"/>
      <c r="E98" s="1"/>
      <c r="F98" s="336"/>
      <c r="G98" s="272"/>
      <c r="H98" s="330"/>
      <c r="I98" s="948"/>
      <c r="J98" s="297">
        <f t="shared" si="17"/>
        <v>0</v>
      </c>
      <c r="K98" s="1"/>
      <c r="L98" s="330"/>
      <c r="M98" s="157">
        <f t="shared" si="18"/>
        <v>0</v>
      </c>
      <c r="N98" s="1"/>
      <c r="O98" s="330"/>
      <c r="P98" s="331"/>
      <c r="Q98" s="106"/>
      <c r="R98" s="297">
        <f t="shared" si="19"/>
        <v>0</v>
      </c>
      <c r="S98" s="1"/>
      <c r="T98" s="339"/>
      <c r="U98" s="645"/>
      <c r="V98" s="1199">
        <f t="shared" ref="V98:V105" si="21">T98*R98</f>
        <v>0</v>
      </c>
      <c r="W98" s="1"/>
      <c r="X98" s="330"/>
      <c r="Y98" s="331"/>
      <c r="Z98" s="106"/>
      <c r="AA98" s="297">
        <f t="shared" si="20"/>
        <v>0</v>
      </c>
      <c r="AB98" s="1"/>
      <c r="AC98" s="339"/>
      <c r="AD98" s="645"/>
      <c r="AE98" s="1199">
        <f t="shared" ref="AE98:AE105" si="22">AC98*AA98</f>
        <v>0</v>
      </c>
      <c r="AF98" s="1"/>
      <c r="AG98" s="26"/>
      <c r="AH98" s="1"/>
      <c r="AI98" s="339"/>
      <c r="AJ98" s="1199">
        <f t="shared" ref="AJ98:AJ105" si="23">AH98*AF98</f>
        <v>0</v>
      </c>
      <c r="AK98" s="106"/>
      <c r="AL98" s="1"/>
      <c r="AM98" s="339"/>
      <c r="AN98" s="645"/>
      <c r="AO98" s="1199"/>
      <c r="AP98" s="1"/>
      <c r="AQ98" s="26"/>
      <c r="AS98" s="339"/>
      <c r="AT98" s="7423"/>
      <c r="AU98" s="106"/>
      <c r="AV98" s="110"/>
      <c r="AW98" s="1"/>
      <c r="AX98" s="339"/>
      <c r="AY98" s="645"/>
      <c r="AZ98" s="1199"/>
      <c r="BA98" s="1"/>
      <c r="BB98" s="1"/>
      <c r="BC98" s="339"/>
      <c r="BD98" s="645"/>
      <c r="BE98" s="1199"/>
      <c r="BF98" s="1"/>
      <c r="BG98" s="26"/>
    </row>
    <row r="99" spans="1:59" customFormat="1" x14ac:dyDescent="0.35">
      <c r="A99" s="9160"/>
      <c r="B99" s="944"/>
      <c r="C99" s="945"/>
      <c r="D99" s="197"/>
      <c r="E99" s="1"/>
      <c r="F99" s="336"/>
      <c r="G99" s="272"/>
      <c r="H99" s="330"/>
      <c r="I99" s="948"/>
      <c r="J99" s="297">
        <f t="shared" si="17"/>
        <v>0</v>
      </c>
      <c r="K99" s="1"/>
      <c r="L99" s="330"/>
      <c r="M99" s="157">
        <f t="shared" si="18"/>
        <v>0</v>
      </c>
      <c r="N99" s="1"/>
      <c r="O99" s="330"/>
      <c r="P99" s="331"/>
      <c r="Q99" s="106"/>
      <c r="R99" s="297">
        <f t="shared" si="19"/>
        <v>0</v>
      </c>
      <c r="S99" s="1"/>
      <c r="T99" s="330"/>
      <c r="U99" s="106"/>
      <c r="V99" s="333">
        <f t="shared" si="21"/>
        <v>0</v>
      </c>
      <c r="W99" s="1"/>
      <c r="X99" s="330"/>
      <c r="Y99" s="331"/>
      <c r="Z99" s="106"/>
      <c r="AA99" s="297">
        <f t="shared" si="20"/>
        <v>0</v>
      </c>
      <c r="AB99" s="1"/>
      <c r="AC99" s="330"/>
      <c r="AD99" s="106"/>
      <c r="AE99" s="333">
        <f t="shared" si="22"/>
        <v>0</v>
      </c>
      <c r="AF99" s="1"/>
      <c r="AG99" s="26"/>
      <c r="AH99" s="1"/>
      <c r="AI99" s="330"/>
      <c r="AJ99" s="333">
        <f t="shared" si="23"/>
        <v>0</v>
      </c>
      <c r="AK99" s="106"/>
      <c r="AL99" s="1"/>
      <c r="AM99" s="330"/>
      <c r="AN99" s="106"/>
      <c r="AO99" s="333"/>
      <c r="AP99" s="1"/>
      <c r="AQ99" s="26"/>
      <c r="AS99" s="330"/>
      <c r="AT99" s="6794"/>
      <c r="AU99" s="106"/>
      <c r="AV99" s="110"/>
      <c r="AW99" s="1"/>
      <c r="AX99" s="330"/>
      <c r="AY99" s="106"/>
      <c r="AZ99" s="333"/>
      <c r="BA99" s="1"/>
      <c r="BB99" s="1"/>
      <c r="BC99" s="330"/>
      <c r="BD99" s="106"/>
      <c r="BE99" s="333"/>
      <c r="BF99" s="1"/>
      <c r="BG99" s="26"/>
    </row>
    <row r="100" spans="1:59" customFormat="1" x14ac:dyDescent="0.35">
      <c r="A100" s="9160"/>
      <c r="B100" s="944"/>
      <c r="C100" s="945"/>
      <c r="D100" s="197"/>
      <c r="E100" s="1"/>
      <c r="F100" s="336"/>
      <c r="G100" s="272"/>
      <c r="H100" s="330"/>
      <c r="I100" s="948"/>
      <c r="J100" s="297">
        <f t="shared" si="17"/>
        <v>0</v>
      </c>
      <c r="K100" s="1"/>
      <c r="L100" s="330"/>
      <c r="M100" s="157">
        <f t="shared" si="18"/>
        <v>0</v>
      </c>
      <c r="N100" s="1"/>
      <c r="O100" s="330"/>
      <c r="P100" s="331"/>
      <c r="Q100" s="106"/>
      <c r="R100" s="297">
        <f t="shared" si="19"/>
        <v>0</v>
      </c>
      <c r="S100" s="1"/>
      <c r="T100" s="330"/>
      <c r="U100" s="106"/>
      <c r="V100" s="333">
        <f t="shared" si="21"/>
        <v>0</v>
      </c>
      <c r="W100" s="1"/>
      <c r="X100" s="330"/>
      <c r="Y100" s="331"/>
      <c r="Z100" s="106"/>
      <c r="AA100" s="297">
        <f t="shared" si="20"/>
        <v>0</v>
      </c>
      <c r="AB100" s="1"/>
      <c r="AC100" s="330"/>
      <c r="AD100" s="106"/>
      <c r="AE100" s="333">
        <f t="shared" si="22"/>
        <v>0</v>
      </c>
      <c r="AF100" s="1"/>
      <c r="AG100" s="26"/>
      <c r="AH100" s="1"/>
      <c r="AI100" s="330"/>
      <c r="AJ100" s="333">
        <f t="shared" si="23"/>
        <v>0</v>
      </c>
      <c r="AK100" s="106"/>
      <c r="AL100" s="1"/>
      <c r="AM100" s="330"/>
      <c r="AN100" s="106"/>
      <c r="AO100" s="333"/>
      <c r="AP100" s="1"/>
      <c r="AQ100" s="26"/>
      <c r="AS100" s="330"/>
      <c r="AT100" s="6794"/>
      <c r="AU100" s="106"/>
      <c r="AV100" s="110"/>
      <c r="AW100" s="1"/>
      <c r="AX100" s="330"/>
      <c r="AY100" s="106"/>
      <c r="AZ100" s="333"/>
      <c r="BA100" s="1"/>
      <c r="BB100" s="1"/>
      <c r="BC100" s="330"/>
      <c r="BD100" s="106"/>
      <c r="BE100" s="333"/>
      <c r="BF100" s="1"/>
      <c r="BG100" s="26"/>
    </row>
    <row r="101" spans="1:59" customFormat="1" x14ac:dyDescent="0.35">
      <c r="A101" s="9160"/>
      <c r="B101" s="944"/>
      <c r="C101" s="945"/>
      <c r="D101" s="197"/>
      <c r="E101" s="1"/>
      <c r="F101" s="336"/>
      <c r="G101" s="272"/>
      <c r="H101" s="330"/>
      <c r="I101" s="948"/>
      <c r="J101" s="297">
        <f t="shared" si="17"/>
        <v>0</v>
      </c>
      <c r="K101" s="1"/>
      <c r="L101" s="330"/>
      <c r="M101" s="157">
        <f t="shared" si="18"/>
        <v>0</v>
      </c>
      <c r="N101" s="1"/>
      <c r="O101" s="330"/>
      <c r="P101" s="331"/>
      <c r="Q101" s="106"/>
      <c r="R101" s="297">
        <f t="shared" si="19"/>
        <v>0</v>
      </c>
      <c r="S101" s="1"/>
      <c r="T101" s="330"/>
      <c r="U101" s="106"/>
      <c r="V101" s="333">
        <f t="shared" si="21"/>
        <v>0</v>
      </c>
      <c r="W101" s="1"/>
      <c r="X101" s="330"/>
      <c r="Y101" s="331"/>
      <c r="Z101" s="106"/>
      <c r="AA101" s="297">
        <f t="shared" si="20"/>
        <v>0</v>
      </c>
      <c r="AB101" s="1"/>
      <c r="AC101" s="330"/>
      <c r="AD101" s="106"/>
      <c r="AE101" s="333">
        <f t="shared" si="22"/>
        <v>0</v>
      </c>
      <c r="AF101" s="1"/>
      <c r="AG101" s="26"/>
      <c r="AH101" s="1"/>
      <c r="AI101" s="330"/>
      <c r="AJ101" s="333">
        <f t="shared" si="23"/>
        <v>0</v>
      </c>
      <c r="AK101" s="106"/>
      <c r="AL101" s="1"/>
      <c r="AM101" s="330"/>
      <c r="AN101" s="106"/>
      <c r="AO101" s="333"/>
      <c r="AP101" s="1"/>
      <c r="AQ101" s="26"/>
      <c r="AS101" s="330"/>
      <c r="AT101" s="6794"/>
      <c r="AU101" s="106"/>
      <c r="AV101" s="110"/>
      <c r="AW101" s="1"/>
      <c r="AX101" s="330"/>
      <c r="AY101" s="106"/>
      <c r="AZ101" s="333"/>
      <c r="BA101" s="1"/>
      <c r="BB101" s="1"/>
      <c r="BC101" s="330"/>
      <c r="BD101" s="106"/>
      <c r="BE101" s="333"/>
      <c r="BF101" s="1"/>
      <c r="BG101" s="26"/>
    </row>
    <row r="102" spans="1:59" customFormat="1" x14ac:dyDescent="0.35">
      <c r="A102" s="9160"/>
      <c r="B102" s="944"/>
      <c r="C102" s="945"/>
      <c r="D102" s="197"/>
      <c r="E102" s="1"/>
      <c r="F102" s="336"/>
      <c r="G102" s="272"/>
      <c r="H102" s="330"/>
      <c r="I102" s="948"/>
      <c r="J102" s="297">
        <f t="shared" si="17"/>
        <v>0</v>
      </c>
      <c r="K102" s="1"/>
      <c r="L102" s="330"/>
      <c r="M102" s="157">
        <f t="shared" si="18"/>
        <v>0</v>
      </c>
      <c r="N102" s="1"/>
      <c r="O102" s="330"/>
      <c r="P102" s="331"/>
      <c r="Q102" s="106"/>
      <c r="R102" s="297">
        <f t="shared" si="19"/>
        <v>0</v>
      </c>
      <c r="S102" s="1"/>
      <c r="T102" s="330"/>
      <c r="U102" s="106"/>
      <c r="V102" s="333">
        <f t="shared" si="21"/>
        <v>0</v>
      </c>
      <c r="W102" s="1"/>
      <c r="X102" s="330"/>
      <c r="Y102" s="331"/>
      <c r="Z102" s="106"/>
      <c r="AA102" s="297">
        <f t="shared" si="20"/>
        <v>0</v>
      </c>
      <c r="AB102" s="1"/>
      <c r="AC102" s="330"/>
      <c r="AD102" s="106"/>
      <c r="AE102" s="333">
        <f t="shared" si="22"/>
        <v>0</v>
      </c>
      <c r="AF102" s="1"/>
      <c r="AG102" s="26"/>
      <c r="AH102" s="1"/>
      <c r="AI102" s="330"/>
      <c r="AJ102" s="333">
        <f t="shared" si="23"/>
        <v>0</v>
      </c>
      <c r="AK102" s="106"/>
      <c r="AL102" s="1"/>
      <c r="AM102" s="330"/>
      <c r="AN102" s="106"/>
      <c r="AO102" s="333"/>
      <c r="AP102" s="1"/>
      <c r="AQ102" s="26"/>
      <c r="AS102" s="330"/>
      <c r="AT102" s="6794"/>
      <c r="AU102" s="106"/>
      <c r="AV102" s="110"/>
      <c r="AW102" s="1"/>
      <c r="AX102" s="330"/>
      <c r="AY102" s="106"/>
      <c r="AZ102" s="333"/>
      <c r="BA102" s="1"/>
      <c r="BB102" s="1"/>
      <c r="BC102" s="330"/>
      <c r="BD102" s="106"/>
      <c r="BE102" s="333"/>
      <c r="BF102" s="1"/>
      <c r="BG102" s="26"/>
    </row>
    <row r="103" spans="1:59" customFormat="1" x14ac:dyDescent="0.35">
      <c r="A103" s="9160"/>
      <c r="B103" s="944"/>
      <c r="C103" s="945"/>
      <c r="D103" s="197"/>
      <c r="E103" s="1"/>
      <c r="F103" s="336"/>
      <c r="G103" s="272"/>
      <c r="H103" s="330"/>
      <c r="I103" s="948"/>
      <c r="J103" s="297">
        <f t="shared" si="17"/>
        <v>0</v>
      </c>
      <c r="K103" s="1"/>
      <c r="L103" s="330"/>
      <c r="M103" s="157">
        <f t="shared" si="18"/>
        <v>0</v>
      </c>
      <c r="N103" s="1"/>
      <c r="O103" s="330"/>
      <c r="P103" s="331"/>
      <c r="Q103" s="106"/>
      <c r="R103" s="297">
        <f t="shared" si="19"/>
        <v>0</v>
      </c>
      <c r="S103" s="1"/>
      <c r="T103" s="330"/>
      <c r="U103" s="106"/>
      <c r="V103" s="333">
        <f t="shared" si="21"/>
        <v>0</v>
      </c>
      <c r="W103" s="1"/>
      <c r="X103" s="330"/>
      <c r="Y103" s="331"/>
      <c r="Z103" s="106"/>
      <c r="AA103" s="297">
        <f t="shared" si="20"/>
        <v>0</v>
      </c>
      <c r="AB103" s="1"/>
      <c r="AC103" s="330"/>
      <c r="AD103" s="106"/>
      <c r="AE103" s="333">
        <f t="shared" si="22"/>
        <v>0</v>
      </c>
      <c r="AF103" s="1"/>
      <c r="AG103" s="26"/>
      <c r="AH103" s="1"/>
      <c r="AI103" s="330"/>
      <c r="AJ103" s="333">
        <f t="shared" si="23"/>
        <v>0</v>
      </c>
      <c r="AK103" s="106"/>
      <c r="AL103" s="1"/>
      <c r="AM103" s="330"/>
      <c r="AN103" s="106"/>
      <c r="AO103" s="333"/>
      <c r="AP103" s="1"/>
      <c r="AQ103" s="26"/>
      <c r="AS103" s="330"/>
      <c r="AT103" s="6794"/>
      <c r="AU103" s="106"/>
      <c r="AV103" s="110"/>
      <c r="AW103" s="1"/>
      <c r="AX103" s="330"/>
      <c r="AY103" s="106"/>
      <c r="AZ103" s="333"/>
      <c r="BA103" s="1"/>
      <c r="BB103" s="1"/>
      <c r="BC103" s="330"/>
      <c r="BD103" s="106"/>
      <c r="BE103" s="333"/>
      <c r="BF103" s="1"/>
      <c r="BG103" s="26"/>
    </row>
    <row r="104" spans="1:59" customFormat="1" x14ac:dyDescent="0.35">
      <c r="A104" s="9160"/>
      <c r="B104" s="944"/>
      <c r="C104" s="945"/>
      <c r="D104" s="197"/>
      <c r="E104" s="1"/>
      <c r="F104" s="336"/>
      <c r="G104" s="272"/>
      <c r="H104" s="330"/>
      <c r="I104" s="948"/>
      <c r="J104" s="297">
        <f t="shared" si="17"/>
        <v>0</v>
      </c>
      <c r="K104" s="1"/>
      <c r="L104" s="330"/>
      <c r="M104" s="157">
        <f t="shared" si="18"/>
        <v>0</v>
      </c>
      <c r="N104" s="1"/>
      <c r="O104" s="330"/>
      <c r="P104" s="331"/>
      <c r="Q104" s="106"/>
      <c r="R104" s="297">
        <f t="shared" si="19"/>
        <v>0</v>
      </c>
      <c r="S104" s="1"/>
      <c r="T104" s="330"/>
      <c r="U104" s="106"/>
      <c r="V104" s="333">
        <f t="shared" si="21"/>
        <v>0</v>
      </c>
      <c r="W104" s="1"/>
      <c r="X104" s="330"/>
      <c r="Y104" s="331"/>
      <c r="Z104" s="106"/>
      <c r="AA104" s="297">
        <f t="shared" si="20"/>
        <v>0</v>
      </c>
      <c r="AB104" s="1"/>
      <c r="AC104" s="330"/>
      <c r="AD104" s="106"/>
      <c r="AE104" s="333">
        <f t="shared" si="22"/>
        <v>0</v>
      </c>
      <c r="AF104" s="1"/>
      <c r="AG104" s="26"/>
      <c r="AH104" s="1"/>
      <c r="AI104" s="330"/>
      <c r="AJ104" s="333">
        <f t="shared" si="23"/>
        <v>0</v>
      </c>
      <c r="AK104" s="106"/>
      <c r="AL104" s="1"/>
      <c r="AM104" s="330"/>
      <c r="AN104" s="106"/>
      <c r="AO104" s="333"/>
      <c r="AP104" s="1"/>
      <c r="AQ104" s="26"/>
      <c r="AS104" s="330"/>
      <c r="AT104" s="6794"/>
      <c r="AU104" s="106"/>
      <c r="AV104" s="110"/>
      <c r="AW104" s="1"/>
      <c r="AX104" s="330"/>
      <c r="AY104" s="106"/>
      <c r="AZ104" s="333"/>
      <c r="BA104" s="1"/>
      <c r="BB104" s="1"/>
      <c r="BC104" s="330"/>
      <c r="BD104" s="106"/>
      <c r="BE104" s="333"/>
      <c r="BF104" s="1"/>
      <c r="BG104" s="26"/>
    </row>
    <row r="105" spans="1:59" customFormat="1" x14ac:dyDescent="0.35">
      <c r="A105" s="9161"/>
      <c r="B105" s="949"/>
      <c r="C105" s="950" t="s">
        <v>10</v>
      </c>
      <c r="D105" s="209"/>
      <c r="E105" s="1"/>
      <c r="F105" s="343"/>
      <c r="G105" s="274"/>
      <c r="H105" s="341"/>
      <c r="I105" s="951"/>
      <c r="J105" s="307">
        <f t="shared" si="17"/>
        <v>0</v>
      </c>
      <c r="K105" s="1"/>
      <c r="L105" s="341"/>
      <c r="M105" s="213">
        <f t="shared" si="18"/>
        <v>0</v>
      </c>
      <c r="N105" s="1"/>
      <c r="O105" s="341"/>
      <c r="P105" s="952"/>
      <c r="Q105" s="216"/>
      <c r="R105" s="307">
        <f t="shared" si="19"/>
        <v>0</v>
      </c>
      <c r="S105" s="1"/>
      <c r="T105" s="341"/>
      <c r="U105" s="216"/>
      <c r="V105" s="347">
        <f t="shared" si="21"/>
        <v>0</v>
      </c>
      <c r="W105" s="1"/>
      <c r="X105" s="341"/>
      <c r="Y105" s="952"/>
      <c r="Z105" s="216"/>
      <c r="AA105" s="307">
        <f t="shared" si="20"/>
        <v>0</v>
      </c>
      <c r="AB105" s="1"/>
      <c r="AC105" s="341"/>
      <c r="AD105" s="216"/>
      <c r="AE105" s="347">
        <f t="shared" si="22"/>
        <v>0</v>
      </c>
      <c r="AF105" s="1"/>
      <c r="AG105" s="24"/>
      <c r="AH105" s="1"/>
      <c r="AI105" s="341"/>
      <c r="AJ105" s="347">
        <f t="shared" si="23"/>
        <v>0</v>
      </c>
      <c r="AK105" s="216"/>
      <c r="AL105" s="1"/>
      <c r="AM105" s="341"/>
      <c r="AN105" s="216"/>
      <c r="AO105" s="347"/>
      <c r="AP105" s="1"/>
      <c r="AQ105" s="24"/>
      <c r="AS105" s="341"/>
      <c r="AT105" s="6796"/>
      <c r="AU105" s="216"/>
      <c r="AV105" s="129"/>
      <c r="AW105" s="1"/>
      <c r="AX105" s="341"/>
      <c r="AY105" s="216"/>
      <c r="AZ105" s="347"/>
      <c r="BA105" s="1"/>
      <c r="BB105" s="1"/>
      <c r="BC105" s="341"/>
      <c r="BD105" s="216"/>
      <c r="BE105" s="347"/>
      <c r="BF105" s="1"/>
      <c r="BG105" s="24"/>
    </row>
    <row r="106" spans="1:59" x14ac:dyDescent="0.35">
      <c r="A106" s="936"/>
      <c r="B106" s="936"/>
      <c r="E106" s="457"/>
      <c r="F106" s="847"/>
      <c r="H106" s="847"/>
      <c r="I106" s="847"/>
      <c r="J106" s="1052"/>
      <c r="L106" s="847"/>
      <c r="M106" s="938"/>
      <c r="O106" s="106"/>
      <c r="P106" s="106"/>
      <c r="Q106" s="106"/>
      <c r="R106" s="311"/>
      <c r="T106" s="106"/>
      <c r="U106" s="106"/>
      <c r="V106" s="312"/>
      <c r="X106" s="106"/>
      <c r="Y106" s="106"/>
      <c r="Z106" s="106"/>
      <c r="AA106" s="311"/>
      <c r="AC106" s="106"/>
      <c r="AD106" s="106"/>
      <c r="AE106" s="312"/>
      <c r="AI106" s="106"/>
      <c r="AJ106" s="312"/>
      <c r="AK106" s="106"/>
      <c r="AM106" s="106"/>
      <c r="AN106" s="106"/>
      <c r="AO106" s="312"/>
      <c r="AS106" s="106"/>
      <c r="AT106" s="312"/>
      <c r="AU106" s="106"/>
      <c r="AX106" s="106"/>
      <c r="AY106" s="106"/>
      <c r="AZ106" s="312"/>
      <c r="BC106" s="106"/>
      <c r="BD106" s="106"/>
      <c r="BE106" s="312"/>
    </row>
    <row r="107" spans="1:59" customFormat="1" ht="15.25" customHeight="1" x14ac:dyDescent="0.35">
      <c r="A107" s="9152" t="s">
        <v>566</v>
      </c>
      <c r="B107" s="139" t="s">
        <v>567</v>
      </c>
      <c r="C107" s="348"/>
      <c r="D107" s="49"/>
      <c r="E107" s="141"/>
      <c r="F107" s="227"/>
      <c r="G107" s="141"/>
      <c r="H107" s="102"/>
      <c r="I107" s="103"/>
      <c r="J107" s="228"/>
      <c r="K107" s="141"/>
      <c r="L107" s="102"/>
      <c r="M107" s="268"/>
      <c r="N107" s="141"/>
      <c r="O107" s="102"/>
      <c r="P107" s="103"/>
      <c r="Q107" s="103"/>
      <c r="R107" s="228"/>
      <c r="S107" s="141"/>
      <c r="T107" s="102"/>
      <c r="U107" s="103"/>
      <c r="V107" s="268"/>
      <c r="W107" s="141"/>
      <c r="X107" s="102"/>
      <c r="Y107" s="103"/>
      <c r="Z107" s="103"/>
      <c r="AA107" s="228"/>
      <c r="AB107" s="141"/>
      <c r="AC107" s="102"/>
      <c r="AD107" s="103"/>
      <c r="AE107" s="268"/>
      <c r="AF107" s="141"/>
      <c r="AH107" s="141"/>
      <c r="AI107" s="102"/>
      <c r="AJ107" s="268"/>
      <c r="AK107" s="103"/>
      <c r="AL107" s="141"/>
      <c r="AM107" s="102"/>
      <c r="AN107" s="103"/>
      <c r="AO107" s="268"/>
      <c r="AP107" s="141"/>
      <c r="AS107" s="102"/>
      <c r="AT107" s="2909"/>
      <c r="AU107" s="103"/>
      <c r="AV107" s="908"/>
      <c r="AW107" s="141"/>
      <c r="AX107" s="102"/>
      <c r="AY107" s="103"/>
      <c r="AZ107" s="268"/>
      <c r="BA107" s="141"/>
      <c r="BB107" s="141"/>
      <c r="BC107" s="102"/>
      <c r="BD107" s="103"/>
      <c r="BE107" s="268"/>
      <c r="BF107" s="141"/>
    </row>
    <row r="108" spans="1:59" customFormat="1" ht="14.5" customHeight="1" x14ac:dyDescent="0.35">
      <c r="A108" s="9153"/>
      <c r="B108" s="6082"/>
      <c r="C108" s="110"/>
      <c r="D108" s="1" t="s">
        <v>568</v>
      </c>
      <c r="E108" s="1"/>
      <c r="F108" s="3657">
        <f>SUM(F36:F38)-SUM(F41:F43)</f>
        <v>169.49275749540999</v>
      </c>
      <c r="G108" s="1446"/>
      <c r="H108" s="354">
        <f>SUM(H36:H38)-SUM(H41:H43)</f>
        <v>219.5</v>
      </c>
      <c r="I108" s="355">
        <f>SUM(I36:I38)-SUM(I41:I43)</f>
        <v>212.2</v>
      </c>
      <c r="J108" s="1363"/>
      <c r="K108" s="1446"/>
      <c r="L108" s="354">
        <f>SUM(L36:L38)-SUM(L41:L43)</f>
        <v>234.59800000000001</v>
      </c>
      <c r="M108" s="1201">
        <f>SUM(M36:M38)-SUM(M41:M43)</f>
        <v>226.79587972665149</v>
      </c>
      <c r="N108" s="1446"/>
      <c r="O108" s="354">
        <f>SUM(O36:O39)-SUM(O41:O43)</f>
        <v>203.2</v>
      </c>
      <c r="P108" s="355">
        <f>SUM(P36:P39)-SUM(P41:P43)</f>
        <v>202.6</v>
      </c>
      <c r="Q108" s="355"/>
      <c r="R108" s="1363"/>
      <c r="S108" s="1446"/>
      <c r="T108" s="354">
        <f>SUM(T36:T39)-SUM(T41:T43)</f>
        <v>206.6</v>
      </c>
      <c r="U108" s="355"/>
      <c r="V108" s="1201">
        <f>SUM(V36:V39)-SUM(V41:V43)</f>
        <v>204.8</v>
      </c>
      <c r="W108" s="1446"/>
      <c r="X108" s="354">
        <f>SUM(X36:X39)-SUM(X41:X43)</f>
        <v>206.6</v>
      </c>
      <c r="Y108" s="355">
        <f>SUM(Y36:Y39)-SUM(Y41:Y43)</f>
        <v>204.8</v>
      </c>
      <c r="Z108" s="355"/>
      <c r="AA108" s="1363"/>
      <c r="AB108" s="1446"/>
      <c r="AC108" s="354">
        <f>SUM(AC36:AC39)-SUM(AC41:AC43)</f>
        <v>100.73615624999999</v>
      </c>
      <c r="AD108" s="355"/>
      <c r="AE108" s="1201">
        <f>SUM(AE36:AE39)-SUM(AE41:AE43)</f>
        <v>99.886707623000007</v>
      </c>
      <c r="AF108" s="350"/>
      <c r="AH108" s="350"/>
      <c r="AI108" s="354">
        <f>SUM(AI36:AI39)-SUM(AI41:AI43)</f>
        <v>100.73615624999999</v>
      </c>
      <c r="AJ108" s="1201">
        <f>SUM(AJ36:AJ39)-SUM(AJ41:AJ43)</f>
        <v>99.886707623000007</v>
      </c>
      <c r="AK108" s="355"/>
      <c r="AL108" s="1446"/>
      <c r="AM108" s="354">
        <f>SUM(AM36:AM39)-SUM(AM41:AM43)</f>
        <v>240.8</v>
      </c>
      <c r="AN108" s="355"/>
      <c r="AO108" s="1201">
        <f>SUM(AO36:AO39)-SUM(AO41:AO43)</f>
        <v>240.5</v>
      </c>
      <c r="AP108" s="350"/>
      <c r="AS108" s="354">
        <f>SUM(AS36:AS39)-SUM(AS41:AS43)</f>
        <v>245.8</v>
      </c>
      <c r="AT108" s="355">
        <f>SUM(AT36:AT39)-SUM(AT41:AT43)</f>
        <v>221.47316388499999</v>
      </c>
      <c r="AU108" s="355"/>
      <c r="AV108" s="7424"/>
      <c r="AW108" s="350"/>
      <c r="AX108" s="354">
        <f>SUM(AX36:AX39)-SUM(AX41:AX43)</f>
        <v>273</v>
      </c>
      <c r="AY108" s="355"/>
      <c r="AZ108" s="1201">
        <f>SUM(AZ36:AZ39)-SUM(AZ41:AZ43)</f>
        <v>253.15393236</v>
      </c>
      <c r="BA108" s="350"/>
      <c r="BB108" s="350"/>
      <c r="BC108" s="354">
        <f>SUM(BC36:BC39)-SUM(BC41:BC43)</f>
        <v>284.27142561099998</v>
      </c>
      <c r="BD108" s="355"/>
      <c r="BE108" s="1201">
        <f>SUM(BE36:BE39)-SUM(BE41:BE43)</f>
        <v>258.58629528500001</v>
      </c>
      <c r="BF108" s="350"/>
    </row>
    <row r="109" spans="1:59" customFormat="1" x14ac:dyDescent="0.35">
      <c r="A109" s="9153"/>
      <c r="B109" s="6082"/>
      <c r="C109" s="110"/>
      <c r="D109" s="1" t="s">
        <v>569</v>
      </c>
      <c r="E109" s="1"/>
      <c r="F109" s="3657">
        <f>SUM(F45:F47)</f>
        <v>0</v>
      </c>
      <c r="G109" s="1446"/>
      <c r="H109" s="354">
        <f>SUM(H45:H47)</f>
        <v>0</v>
      </c>
      <c r="I109" s="355">
        <f>SUM(I45:I47)</f>
        <v>0</v>
      </c>
      <c r="J109" s="1363"/>
      <c r="K109" s="1446"/>
      <c r="L109" s="354">
        <f>SUM(L45:L47)</f>
        <v>0</v>
      </c>
      <c r="M109" s="1201">
        <f>SUM(M45:M47)</f>
        <v>0</v>
      </c>
      <c r="N109" s="1446"/>
      <c r="O109" s="354">
        <f>SUM(O45:O47)</f>
        <v>0</v>
      </c>
      <c r="P109" s="355">
        <f>SUM(P45:P47)</f>
        <v>0</v>
      </c>
      <c r="Q109" s="355"/>
      <c r="R109" s="1363"/>
      <c r="S109" s="1446"/>
      <c r="T109" s="354">
        <f>SUM(T45:T47)</f>
        <v>0</v>
      </c>
      <c r="U109" s="355"/>
      <c r="V109" s="1201">
        <f>SUM(V45:V47)</f>
        <v>0</v>
      </c>
      <c r="W109" s="1446"/>
      <c r="X109" s="354">
        <f>SUM(X45:X47)</f>
        <v>0</v>
      </c>
      <c r="Y109" s="355">
        <f>SUM(Y45:Y47)</f>
        <v>0</v>
      </c>
      <c r="Z109" s="355"/>
      <c r="AA109" s="1363"/>
      <c r="AB109" s="1446"/>
      <c r="AC109" s="354">
        <f>SUM(AC45:AC47)</f>
        <v>0</v>
      </c>
      <c r="AD109" s="355"/>
      <c r="AE109" s="1201">
        <f>SUM(AE45:AE47)</f>
        <v>0</v>
      </c>
      <c r="AF109" s="350"/>
      <c r="AH109" s="350"/>
      <c r="AI109" s="354">
        <f>SUM(AI45:AI47)</f>
        <v>0</v>
      </c>
      <c r="AJ109" s="1201">
        <f>SUM(AJ45:AJ47)</f>
        <v>0</v>
      </c>
      <c r="AK109" s="355"/>
      <c r="AL109" s="1446"/>
      <c r="AM109" s="354">
        <f>SUM(AM45:AM47)</f>
        <v>0</v>
      </c>
      <c r="AN109" s="355"/>
      <c r="AO109" s="1201">
        <f>SUM(AO45:AO47)</f>
        <v>0</v>
      </c>
      <c r="AP109" s="350"/>
      <c r="AS109" s="354">
        <f>SUM(AS45:AS47)</f>
        <v>0</v>
      </c>
      <c r="AT109" s="355">
        <f>SUM(AT45:AT47)</f>
        <v>0</v>
      </c>
      <c r="AU109" s="355"/>
      <c r="AV109" s="7424"/>
      <c r="AW109" s="350"/>
      <c r="AX109" s="354">
        <f>SUM(AX45:AX47)</f>
        <v>0</v>
      </c>
      <c r="AY109" s="355"/>
      <c r="AZ109" s="1201">
        <f>SUM(AZ45:AZ47)</f>
        <v>0</v>
      </c>
      <c r="BA109" s="350"/>
      <c r="BB109" s="350"/>
      <c r="BC109" s="354">
        <f>SUM(BC45:BC47)</f>
        <v>0</v>
      </c>
      <c r="BD109" s="355"/>
      <c r="BE109" s="1201">
        <f>SUM(BE45:BE47)</f>
        <v>0</v>
      </c>
      <c r="BF109" s="350"/>
    </row>
    <row r="110" spans="1:59" customFormat="1" x14ac:dyDescent="0.35">
      <c r="A110" s="9153"/>
      <c r="B110" s="6082"/>
      <c r="C110" s="110"/>
      <c r="D110" s="1" t="s">
        <v>570</v>
      </c>
      <c r="E110" s="1"/>
      <c r="F110" s="3657">
        <f>SUM(F49:F56)*F29</f>
        <v>0</v>
      </c>
      <c r="G110" s="1446"/>
      <c r="H110" s="354">
        <f>SUM(H49:H56)*H29</f>
        <v>0</v>
      </c>
      <c r="I110" s="355">
        <f>SUM(I49:I56)*I29</f>
        <v>0</v>
      </c>
      <c r="J110" s="1363"/>
      <c r="K110" s="1446"/>
      <c r="L110" s="354">
        <f>SUM(L49:L56)*L29</f>
        <v>0</v>
      </c>
      <c r="M110" s="1201">
        <f>SUM(M49:M56)*M29</f>
        <v>0</v>
      </c>
      <c r="N110" s="1446"/>
      <c r="O110" s="354">
        <f>SUM(O49:O56)*O29</f>
        <v>0</v>
      </c>
      <c r="P110" s="355">
        <f>SUM(P49:P56)*P29</f>
        <v>0</v>
      </c>
      <c r="Q110" s="355"/>
      <c r="R110" s="1363"/>
      <c r="S110" s="1446"/>
      <c r="T110" s="354">
        <f>SUM(T49:T56)*T29</f>
        <v>0</v>
      </c>
      <c r="U110" s="355"/>
      <c r="V110" s="1201">
        <f>SUM(V49:V56)*V29</f>
        <v>0</v>
      </c>
      <c r="W110" s="1446"/>
      <c r="X110" s="354">
        <f>SUM(X49:X56)*X29</f>
        <v>0</v>
      </c>
      <c r="Y110" s="355">
        <f>SUM(Y49:Y56)*Y29</f>
        <v>0</v>
      </c>
      <c r="Z110" s="355"/>
      <c r="AA110" s="1363"/>
      <c r="AB110" s="1446"/>
      <c r="AC110" s="354">
        <f>SUM(AC49:AC56)*AC29</f>
        <v>0</v>
      </c>
      <c r="AD110" s="355"/>
      <c r="AE110" s="1201">
        <f>SUM(AE49:AE56)*AE29</f>
        <v>0</v>
      </c>
      <c r="AF110" s="350"/>
      <c r="AH110" s="350"/>
      <c r="AI110" s="354">
        <f>SUM(AI49:AI56)*AI29</f>
        <v>0</v>
      </c>
      <c r="AJ110" s="1201">
        <f>SUM(AJ49:AJ56)*AJ29</f>
        <v>0</v>
      </c>
      <c r="AK110" s="355"/>
      <c r="AL110" s="1446"/>
      <c r="AM110" s="354">
        <f>SUM(AM49:AM56)*AM29</f>
        <v>0</v>
      </c>
      <c r="AN110" s="355"/>
      <c r="AO110" s="1201">
        <f>SUM(AO49:AO56)*AO29</f>
        <v>0</v>
      </c>
      <c r="AP110" s="350"/>
      <c r="AS110" s="354">
        <f>SUM(AS49:AS56)*AS29</f>
        <v>0</v>
      </c>
      <c r="AT110" s="355">
        <f>SUM(AT49:AT56)*AT29</f>
        <v>0</v>
      </c>
      <c r="AU110" s="355"/>
      <c r="AV110" s="7424"/>
      <c r="AW110" s="350"/>
      <c r="AX110" s="354">
        <f>SUM(AX49:AX56)*AX29</f>
        <v>0</v>
      </c>
      <c r="AY110" s="355"/>
      <c r="AZ110" s="1201">
        <f>SUM(AZ49:AZ56)*AZ29</f>
        <v>0</v>
      </c>
      <c r="BA110" s="350"/>
      <c r="BB110" s="350"/>
      <c r="BC110" s="354">
        <f>SUM(BC49:BC56)*BC29</f>
        <v>0</v>
      </c>
      <c r="BD110" s="355"/>
      <c r="BE110" s="1201">
        <f>SUM(BE49:BE56)*BE29</f>
        <v>0</v>
      </c>
      <c r="BF110" s="350"/>
    </row>
    <row r="111" spans="1:59" customFormat="1" x14ac:dyDescent="0.35">
      <c r="A111" s="9153"/>
      <c r="B111" s="6082"/>
      <c r="C111" s="110"/>
      <c r="D111" s="1" t="s">
        <v>552</v>
      </c>
      <c r="E111" s="1"/>
      <c r="F111" s="3657">
        <f>F58</f>
        <v>0</v>
      </c>
      <c r="G111" s="1446"/>
      <c r="H111" s="354">
        <f>H58</f>
        <v>0</v>
      </c>
      <c r="I111" s="355">
        <f>I58</f>
        <v>0</v>
      </c>
      <c r="J111" s="1363"/>
      <c r="K111" s="1446"/>
      <c r="L111" s="354">
        <f>L58</f>
        <v>0</v>
      </c>
      <c r="M111" s="1201">
        <f>M58</f>
        <v>0</v>
      </c>
      <c r="N111" s="1446"/>
      <c r="O111" s="354">
        <f>O58+O87</f>
        <v>0</v>
      </c>
      <c r="P111" s="355">
        <f>P58+P87</f>
        <v>0</v>
      </c>
      <c r="Q111" s="355"/>
      <c r="R111" s="1363"/>
      <c r="S111" s="1446"/>
      <c r="T111" s="354">
        <f>T58+T87</f>
        <v>0</v>
      </c>
      <c r="U111" s="355"/>
      <c r="V111" s="1201">
        <f>V58+V87</f>
        <v>0</v>
      </c>
      <c r="W111" s="1446"/>
      <c r="X111" s="354">
        <f>X58+X87</f>
        <v>0</v>
      </c>
      <c r="Y111" s="355">
        <f>Y58+Y87</f>
        <v>0</v>
      </c>
      <c r="Z111" s="355"/>
      <c r="AA111" s="1363"/>
      <c r="AB111" s="1446"/>
      <c r="AC111" s="354">
        <f>AC58+AC87</f>
        <v>120.036873665</v>
      </c>
      <c r="AD111" s="355"/>
      <c r="AE111" s="1201">
        <f>AE58+AE87</f>
        <v>113.980895191</v>
      </c>
      <c r="AF111" s="350"/>
      <c r="AH111" s="350"/>
      <c r="AI111" s="354">
        <f>AI58+AI87</f>
        <v>120.036873665</v>
      </c>
      <c r="AJ111" s="1201">
        <f>AJ58+AJ87</f>
        <v>113.980895191</v>
      </c>
      <c r="AK111" s="355"/>
      <c r="AL111" s="1446"/>
      <c r="AM111" s="354">
        <f>AM58+AM87</f>
        <v>0</v>
      </c>
      <c r="AN111" s="355"/>
      <c r="AO111" s="1201">
        <f>AO58+AO87</f>
        <v>0</v>
      </c>
      <c r="AP111" s="350"/>
      <c r="AS111" s="354">
        <f>AS58</f>
        <v>0</v>
      </c>
      <c r="AT111" s="355">
        <f>AT58</f>
        <v>0</v>
      </c>
      <c r="AU111" s="355"/>
      <c r="AV111" s="7424"/>
      <c r="AW111" s="350"/>
      <c r="AX111" s="354">
        <f>AX58</f>
        <v>0</v>
      </c>
      <c r="AY111" s="355"/>
      <c r="AZ111" s="1201">
        <f>AZ58</f>
        <v>0</v>
      </c>
      <c r="BA111" s="350"/>
      <c r="BB111" s="350"/>
      <c r="BC111" s="354">
        <f>BC58</f>
        <v>0</v>
      </c>
      <c r="BD111" s="355"/>
      <c r="BE111" s="1201">
        <f>BE58</f>
        <v>0</v>
      </c>
      <c r="BF111" s="350"/>
    </row>
    <row r="112" spans="1:59" customFormat="1" x14ac:dyDescent="0.35">
      <c r="A112" s="9153"/>
      <c r="B112" s="6082"/>
      <c r="C112" s="356"/>
      <c r="D112" s="1" t="s">
        <v>571</v>
      </c>
      <c r="E112" s="143"/>
      <c r="F112" s="3658">
        <f>SUM(F108:F111)</f>
        <v>169.49275749540999</v>
      </c>
      <c r="G112" s="1448"/>
      <c r="H112" s="363">
        <f>SUM(H108:H111)</f>
        <v>219.5</v>
      </c>
      <c r="I112" s="364">
        <f>SUM(I108:I111)</f>
        <v>212.2</v>
      </c>
      <c r="J112" s="1447"/>
      <c r="K112" s="1448"/>
      <c r="L112" s="363">
        <f>SUM(L108:L111)</f>
        <v>234.59800000000001</v>
      </c>
      <c r="M112" s="1202">
        <f>SUM(M108:M111)</f>
        <v>226.79587972665149</v>
      </c>
      <c r="N112" s="1448"/>
      <c r="O112" s="363">
        <f>SUM(O108:O111)</f>
        <v>203.2</v>
      </c>
      <c r="P112" s="364">
        <f>SUM(P108:P111)</f>
        <v>202.6</v>
      </c>
      <c r="Q112" s="364"/>
      <c r="R112" s="1447"/>
      <c r="S112" s="1448"/>
      <c r="T112" s="363">
        <f>SUM(T108:T111)</f>
        <v>206.6</v>
      </c>
      <c r="U112" s="364"/>
      <c r="V112" s="1202">
        <f>SUM(V108:V111)</f>
        <v>204.8</v>
      </c>
      <c r="W112" s="1448"/>
      <c r="X112" s="363">
        <f>SUM(X108:X111)</f>
        <v>206.6</v>
      </c>
      <c r="Y112" s="364">
        <f>SUM(Y108:Y111)</f>
        <v>204.8</v>
      </c>
      <c r="Z112" s="364"/>
      <c r="AA112" s="1447"/>
      <c r="AB112" s="1448"/>
      <c r="AC112" s="363">
        <f>SUM(AC108:AC111)</f>
        <v>220.773029915</v>
      </c>
      <c r="AD112" s="364"/>
      <c r="AE112" s="1202">
        <f>SUM(AE108:AE111)</f>
        <v>213.86760281400001</v>
      </c>
      <c r="AF112" s="358"/>
      <c r="AH112" s="358"/>
      <c r="AI112" s="363">
        <f>SUM(AI108:AI111)</f>
        <v>220.773029915</v>
      </c>
      <c r="AJ112" s="1202">
        <f>SUM(AJ108:AJ111)</f>
        <v>213.86760281400001</v>
      </c>
      <c r="AK112" s="364"/>
      <c r="AL112" s="1448"/>
      <c r="AM112" s="363">
        <f>SUM(AM108:AM111)</f>
        <v>240.8</v>
      </c>
      <c r="AN112" s="364"/>
      <c r="AO112" s="1202">
        <f>SUM(AO108:AO111)</f>
        <v>240.5</v>
      </c>
      <c r="AP112" s="358"/>
      <c r="AS112" s="363">
        <f>SUM(AS108:AS111)</f>
        <v>245.8</v>
      </c>
      <c r="AT112" s="364">
        <f>SUM(AT108:AT111)</f>
        <v>221.47316388499999</v>
      </c>
      <c r="AU112" s="364"/>
      <c r="AV112" s="7425"/>
      <c r="AW112" s="358"/>
      <c r="AX112" s="363">
        <f>SUM(AX108:AX111)</f>
        <v>273</v>
      </c>
      <c r="AY112" s="364"/>
      <c r="AZ112" s="1202">
        <f>SUM(AZ108:AZ111)</f>
        <v>253.15393236</v>
      </c>
      <c r="BA112" s="358"/>
      <c r="BB112" s="358"/>
      <c r="BC112" s="363">
        <f>SUM(BC108:BC111)</f>
        <v>284.27142561099998</v>
      </c>
      <c r="BD112" s="364"/>
      <c r="BE112" s="1202">
        <f>SUM(BE108:BE111)</f>
        <v>258.58629528500001</v>
      </c>
      <c r="BF112" s="358"/>
    </row>
    <row r="113" spans="1:59" customFormat="1" ht="15.5" x14ac:dyDescent="0.35">
      <c r="A113" s="9153"/>
      <c r="B113" s="6082"/>
      <c r="C113" s="356"/>
      <c r="D113" s="1" t="s">
        <v>572</v>
      </c>
      <c r="E113" s="1"/>
      <c r="F113" s="366">
        <f>F112/(F17+F18)</f>
        <v>0.15641635058638798</v>
      </c>
      <c r="G113" s="367"/>
      <c r="H113" s="368">
        <f>H112/(H17+H18)</f>
        <v>0.14526803441429517</v>
      </c>
      <c r="I113" s="369">
        <f>I112/(I17+I18)</f>
        <v>0.1425404715523611</v>
      </c>
      <c r="J113" s="370"/>
      <c r="K113" s="367"/>
      <c r="L113" s="368">
        <f>L112/(L17+L18)</f>
        <v>0.14834829897559124</v>
      </c>
      <c r="M113" s="370">
        <f>M112/(M17+M18)</f>
        <v>0.14281856405960422</v>
      </c>
      <c r="N113" s="367"/>
      <c r="O113" s="368">
        <f>O112/(O23-O21-O22)</f>
        <v>0.13207669808254793</v>
      </c>
      <c r="P113" s="369">
        <f>P112/(P23-P21-P22)</f>
        <v>0.13131967850661136</v>
      </c>
      <c r="Q113" s="369"/>
      <c r="R113" s="370"/>
      <c r="S113" s="367"/>
      <c r="T113" s="368">
        <f>T112/(T23-T21-T22)</f>
        <v>0.12752299240787604</v>
      </c>
      <c r="U113" s="369"/>
      <c r="V113" s="370">
        <f>V112/(V23-V21-V22)</f>
        <v>0.12872407291011945</v>
      </c>
      <c r="W113" s="367"/>
      <c r="X113" s="368">
        <f>X112/(X23-X21-X22)</f>
        <v>0.12753086419753087</v>
      </c>
      <c r="Y113" s="369">
        <f>Y112/(Y23-Y21-Y22)</f>
        <v>0.12872407291011942</v>
      </c>
      <c r="Z113" s="369"/>
      <c r="AA113" s="370"/>
      <c r="AB113" s="367"/>
      <c r="AC113" s="368">
        <f>AC112/(AC23-AC21-AC22)</f>
        <v>0.12961488282451711</v>
      </c>
      <c r="AD113" s="369"/>
      <c r="AE113" s="370">
        <f>AE112/(AE23-AE21-AE22)</f>
        <v>0.12173009437873529</v>
      </c>
      <c r="AF113" s="367"/>
      <c r="AH113" s="367"/>
      <c r="AI113" s="368">
        <f>AI112/(AI23-AI21-AI22)</f>
        <v>0.12961488282451711</v>
      </c>
      <c r="AJ113" s="370">
        <f>AJ112/(AJ23-AJ21-AJ22)</f>
        <v>0.12173009437873529</v>
      </c>
      <c r="AK113" s="369"/>
      <c r="AL113" s="367"/>
      <c r="AM113" s="368">
        <f>AM112/(AM23-AM21-AM22)</f>
        <v>0.12872875013364696</v>
      </c>
      <c r="AN113" s="369"/>
      <c r="AO113" s="370">
        <f>AO112/(AO23-AO21-AO22)</f>
        <v>0.12644584647739221</v>
      </c>
      <c r="AP113" s="367"/>
      <c r="AS113" s="561">
        <f>AS112/(AS23-AS21-AS22)</f>
        <v>0.1209050664043286</v>
      </c>
      <c r="AT113" s="562">
        <f>AT112/(AT23-AT21-AT22)</f>
        <v>0.10763664652264775</v>
      </c>
      <c r="AU113" s="562"/>
      <c r="AV113" s="6800"/>
      <c r="AW113" s="560"/>
      <c r="AX113" s="561">
        <f>AX112/(AX23-AX21-AX22)</f>
        <v>0.1130107215299913</v>
      </c>
      <c r="AY113" s="562"/>
      <c r="AZ113" s="563">
        <f>AZ112/(AZ23-AZ21-AZ22)</f>
        <v>0.10277441229295227</v>
      </c>
      <c r="BA113" s="560"/>
      <c r="BB113" s="367"/>
      <c r="BC113" s="368">
        <f>BC112/(BC23-BC21-BC22)</f>
        <v>0.10523114888983487</v>
      </c>
      <c r="BD113" s="369"/>
      <c r="BE113" s="370">
        <f>BE112/(BE23-BE21-BE22)</f>
        <v>0.10113273701943762</v>
      </c>
      <c r="BF113" s="367"/>
    </row>
    <row r="114" spans="1:59" customFormat="1" x14ac:dyDescent="0.35">
      <c r="A114" s="9153"/>
      <c r="B114" s="371"/>
      <c r="C114" s="1053"/>
      <c r="D114" s="296" t="s">
        <v>573</v>
      </c>
      <c r="E114" s="374"/>
      <c r="F114" s="1054"/>
      <c r="G114" s="1055"/>
      <c r="H114" s="1056"/>
      <c r="I114" s="953"/>
      <c r="J114" s="1057"/>
      <c r="K114" s="1055"/>
      <c r="L114" s="1056"/>
      <c r="M114" s="1058"/>
      <c r="N114" s="1055"/>
      <c r="O114" s="1056"/>
      <c r="P114" s="953"/>
      <c r="Q114" s="1820"/>
      <c r="R114" s="1057"/>
      <c r="S114" s="1055"/>
      <c r="T114" s="1203"/>
      <c r="U114" s="4762"/>
      <c r="V114" s="1058"/>
      <c r="W114" s="1055"/>
      <c r="X114" s="1056"/>
      <c r="Y114" s="953"/>
      <c r="Z114" s="1820"/>
      <c r="AA114" s="1057"/>
      <c r="AB114" s="1055"/>
      <c r="AC114" s="1203"/>
      <c r="AD114" s="4762"/>
      <c r="AE114" s="1058"/>
      <c r="AF114" s="1060"/>
      <c r="AH114" s="1060"/>
      <c r="AI114" s="1203"/>
      <c r="AJ114" s="1058"/>
      <c r="AK114" s="1820"/>
      <c r="AL114" s="1055"/>
      <c r="AM114" s="1203"/>
      <c r="AN114" s="4762"/>
      <c r="AO114" s="1058"/>
      <c r="AP114" s="1060"/>
      <c r="AS114" s="1203"/>
      <c r="AT114" s="953"/>
      <c r="AU114" s="3622"/>
      <c r="AV114" s="7426"/>
      <c r="AW114" s="6144"/>
      <c r="AX114" s="1203"/>
      <c r="AY114" s="7427"/>
      <c r="AZ114" s="1058"/>
      <c r="BA114" s="6144"/>
      <c r="BB114" s="1060"/>
      <c r="BC114" s="1203"/>
      <c r="BD114" s="4762"/>
      <c r="BE114" s="1058"/>
      <c r="BF114" s="1060"/>
    </row>
    <row r="115" spans="1:59" s="972" customFormat="1" x14ac:dyDescent="0.35">
      <c r="A115" s="9153"/>
      <c r="B115" s="959"/>
      <c r="C115" s="960"/>
      <c r="D115" s="389" t="s">
        <v>574</v>
      </c>
      <c r="E115" s="961"/>
      <c r="F115" s="962"/>
      <c r="G115" s="1467"/>
      <c r="H115" s="964"/>
      <c r="I115" s="965"/>
      <c r="J115" s="1470"/>
      <c r="K115" s="1467"/>
      <c r="L115" s="964"/>
      <c r="M115" s="967"/>
      <c r="N115" s="1467"/>
      <c r="O115" s="964"/>
      <c r="P115" s="965"/>
      <c r="Q115" s="1472"/>
      <c r="R115" s="1470"/>
      <c r="S115" s="1467"/>
      <c r="T115" s="969"/>
      <c r="U115" s="1474"/>
      <c r="V115" s="967"/>
      <c r="W115" s="1476"/>
      <c r="X115" s="964"/>
      <c r="Y115" s="965"/>
      <c r="Z115" s="1472"/>
      <c r="AA115" s="1470"/>
      <c r="AB115" s="1467"/>
      <c r="AC115" s="969"/>
      <c r="AD115" s="1474"/>
      <c r="AE115" s="967"/>
      <c r="AF115" s="1477"/>
      <c r="AH115" s="1477"/>
      <c r="AI115" s="969"/>
      <c r="AJ115" s="967"/>
      <c r="AK115" s="1472"/>
      <c r="AL115" s="1467"/>
      <c r="AM115" s="969"/>
      <c r="AN115" s="1474"/>
      <c r="AO115" s="967"/>
      <c r="AP115" s="1477"/>
      <c r="AS115" s="969"/>
      <c r="AT115" s="965"/>
      <c r="AU115" s="968"/>
      <c r="AV115" s="7428"/>
      <c r="AW115" s="5415"/>
      <c r="AX115" s="969"/>
      <c r="AY115" s="970"/>
      <c r="AZ115" s="967"/>
      <c r="BA115" s="5415"/>
      <c r="BB115" s="1477"/>
      <c r="BC115" s="969"/>
      <c r="BD115" s="1474"/>
      <c r="BE115" s="967"/>
      <c r="BF115" s="1477"/>
    </row>
    <row r="116" spans="1:59" customFormat="1" x14ac:dyDescent="0.35">
      <c r="A116" s="9153"/>
      <c r="B116" s="58"/>
      <c r="C116" s="390"/>
      <c r="D116" s="296" t="s">
        <v>575</v>
      </c>
      <c r="E116" s="392"/>
      <c r="F116" s="393"/>
      <c r="G116" s="392"/>
      <c r="H116" s="394"/>
      <c r="I116" s="395"/>
      <c r="J116" s="229"/>
      <c r="K116" s="392"/>
      <c r="L116" s="394"/>
      <c r="M116" s="977"/>
      <c r="N116" s="392"/>
      <c r="O116" s="394"/>
      <c r="P116" s="395"/>
      <c r="R116" s="229"/>
      <c r="S116" s="392"/>
      <c r="T116" s="396"/>
      <c r="U116" s="978"/>
      <c r="V116" s="977"/>
      <c r="W116" s="392"/>
      <c r="X116" s="394"/>
      <c r="Y116" s="395"/>
      <c r="AA116" s="229"/>
      <c r="AB116" s="392"/>
      <c r="AC116" s="396"/>
      <c r="AD116" s="978"/>
      <c r="AE116" s="977"/>
      <c r="AI116" s="396"/>
      <c r="AJ116" s="977"/>
      <c r="AL116" s="392"/>
      <c r="AM116" s="396"/>
      <c r="AN116" s="978"/>
      <c r="AO116" s="977"/>
      <c r="AS116" s="396"/>
      <c r="AT116" s="395"/>
      <c r="AV116" s="229"/>
      <c r="AX116" s="396"/>
      <c r="AY116" s="978"/>
      <c r="AZ116" s="977"/>
      <c r="BC116" s="396"/>
      <c r="BD116" s="978"/>
      <c r="BE116" s="977"/>
    </row>
    <row r="117" spans="1:59" customFormat="1" x14ac:dyDescent="0.35">
      <c r="A117" s="9153"/>
      <c r="B117" s="58"/>
      <c r="C117" s="390"/>
      <c r="D117" s="296" t="s">
        <v>576</v>
      </c>
      <c r="E117" s="392"/>
      <c r="F117" s="393"/>
      <c r="G117" s="392"/>
      <c r="H117" s="394"/>
      <c r="I117" s="395"/>
      <c r="J117" s="229"/>
      <c r="K117" s="392"/>
      <c r="L117" s="394"/>
      <c r="M117" s="977"/>
      <c r="N117" s="392"/>
      <c r="O117" s="394"/>
      <c r="P117" s="395"/>
      <c r="R117" s="229"/>
      <c r="S117" s="392"/>
      <c r="T117" s="396"/>
      <c r="U117" s="978"/>
      <c r="V117" s="977"/>
      <c r="W117" s="392"/>
      <c r="X117" s="394"/>
      <c r="Y117" s="395"/>
      <c r="AA117" s="229"/>
      <c r="AB117" s="392"/>
      <c r="AC117" s="396"/>
      <c r="AD117" s="978"/>
      <c r="AE117" s="977"/>
      <c r="AI117" s="396"/>
      <c r="AJ117" s="977"/>
      <c r="AL117" s="392"/>
      <c r="AM117" s="396"/>
      <c r="AN117" s="978"/>
      <c r="AO117" s="977"/>
      <c r="AS117" s="396"/>
      <c r="AT117" s="395"/>
      <c r="AV117" s="229"/>
      <c r="AX117" s="396"/>
      <c r="AY117" s="978"/>
      <c r="AZ117" s="977"/>
      <c r="BC117" s="396"/>
      <c r="BD117" s="978"/>
      <c r="BE117" s="977"/>
    </row>
    <row r="118" spans="1:59" customFormat="1" x14ac:dyDescent="0.35">
      <c r="A118" s="9153"/>
      <c r="B118" s="58"/>
      <c r="C118" s="390"/>
      <c r="D118" s="296"/>
      <c r="E118" s="392"/>
      <c r="F118" s="393"/>
      <c r="G118" s="392"/>
      <c r="H118" s="394"/>
      <c r="I118" s="395"/>
      <c r="J118" s="229"/>
      <c r="K118" s="392"/>
      <c r="L118" s="394"/>
      <c r="M118" s="977"/>
      <c r="N118" s="392"/>
      <c r="O118" s="394"/>
      <c r="P118" s="395"/>
      <c r="R118" s="229"/>
      <c r="S118" s="392"/>
      <c r="T118" s="396"/>
      <c r="U118" s="978"/>
      <c r="V118" s="977"/>
      <c r="W118" s="392"/>
      <c r="X118" s="394"/>
      <c r="Y118" s="395"/>
      <c r="AA118" s="229"/>
      <c r="AB118" s="392"/>
      <c r="AC118" s="396"/>
      <c r="AD118" s="978"/>
      <c r="AE118" s="977"/>
      <c r="AI118" s="396"/>
      <c r="AJ118" s="977"/>
      <c r="AL118" s="392"/>
      <c r="AM118" s="396"/>
      <c r="AN118" s="978"/>
      <c r="AO118" s="977"/>
      <c r="AS118" s="396"/>
      <c r="AT118" s="395"/>
      <c r="AV118" s="229"/>
      <c r="AX118" s="396"/>
      <c r="AY118" s="978"/>
      <c r="AZ118" s="977"/>
      <c r="BC118" s="396"/>
      <c r="BD118" s="978"/>
      <c r="BE118" s="977"/>
    </row>
    <row r="119" spans="1:59" customFormat="1" x14ac:dyDescent="0.35">
      <c r="A119" s="9153"/>
      <c r="B119" s="58"/>
      <c r="C119" s="390"/>
      <c r="D119" s="296" t="s">
        <v>577</v>
      </c>
      <c r="E119" s="392"/>
      <c r="F119" s="683">
        <f>F112/F12</f>
        <v>0.39053630759311059</v>
      </c>
      <c r="G119" s="392"/>
      <c r="H119" s="397">
        <f>H112/H12</f>
        <v>0.25120164797436484</v>
      </c>
      <c r="I119" s="398">
        <f>I112/I12</f>
        <v>0.24614313884700148</v>
      </c>
      <c r="J119" s="400"/>
      <c r="K119" s="401"/>
      <c r="L119" s="397">
        <f>L112/L12</f>
        <v>0.23520954481652298</v>
      </c>
      <c r="M119" s="684">
        <f>M112/M12</f>
        <v>0.22616262437839199</v>
      </c>
      <c r="N119" s="392"/>
      <c r="O119" s="397">
        <f>O112/O12</f>
        <v>0.20372969721275316</v>
      </c>
      <c r="P119" s="398">
        <f>P112/P12</f>
        <v>0.20203430394894295</v>
      </c>
      <c r="Q119" s="399"/>
      <c r="R119" s="400"/>
      <c r="S119" s="401"/>
      <c r="T119" s="402">
        <f>T112/T12</f>
        <v>0.18712073181777014</v>
      </c>
      <c r="U119" s="1061"/>
      <c r="V119" s="684">
        <f>V112/V12</f>
        <v>0.17561310238381067</v>
      </c>
      <c r="W119" s="392"/>
      <c r="X119" s="397">
        <f>X112/X12</f>
        <v>0.18712073181777014</v>
      </c>
      <c r="Y119" s="398">
        <f>Y112/Y12</f>
        <v>0.17561310238381067</v>
      </c>
      <c r="Z119" s="399"/>
      <c r="AA119" s="400"/>
      <c r="AB119" s="401"/>
      <c r="AC119" s="402">
        <f>AC112/AC12</f>
        <v>0.17797100355904877</v>
      </c>
      <c r="AD119" s="1061"/>
      <c r="AE119" s="684">
        <f>AE112/AE12</f>
        <v>0.16635625607809584</v>
      </c>
      <c r="AI119" s="402">
        <f>AI112/AI12</f>
        <v>0.17797100355904877</v>
      </c>
      <c r="AJ119" s="684">
        <f>AJ112/AJ12</f>
        <v>0.16635625607809584</v>
      </c>
      <c r="AK119" s="399"/>
      <c r="AL119" s="401"/>
      <c r="AM119" s="402">
        <f>AM112/AM12</f>
        <v>0.16345370621775726</v>
      </c>
      <c r="AN119" s="1061"/>
      <c r="AO119" s="684">
        <f>AO112/AO12</f>
        <v>0.16470346527872895</v>
      </c>
      <c r="AS119" s="6152">
        <f>AS112/AS12</f>
        <v>0.16684767852294324</v>
      </c>
      <c r="AT119" s="6149">
        <f>AT112/AT12</f>
        <v>0.15167317071976441</v>
      </c>
      <c r="AU119" s="6150"/>
      <c r="AV119" s="6151"/>
      <c r="AX119" s="6152">
        <f>AX112/AX12</f>
        <v>0.16689081794840446</v>
      </c>
      <c r="AY119" s="6153"/>
      <c r="AZ119" s="6154">
        <f>AZ112/AZ12</f>
        <v>0.15157102883487006</v>
      </c>
      <c r="BC119" s="1211">
        <f>BC112/BC12</f>
        <v>0.17228571249151514</v>
      </c>
      <c r="BD119" s="8240"/>
      <c r="BE119" s="7736">
        <f>BE112/BE12</f>
        <v>0.14730904368519998</v>
      </c>
    </row>
    <row r="120" spans="1:59" customFormat="1" x14ac:dyDescent="0.35">
      <c r="A120" s="9153"/>
      <c r="B120" s="58"/>
      <c r="C120" s="390"/>
      <c r="D120" s="59" t="s">
        <v>578</v>
      </c>
      <c r="E120" s="392"/>
      <c r="F120" s="393"/>
      <c r="G120" s="392"/>
      <c r="H120" s="394"/>
      <c r="I120" s="395"/>
      <c r="J120" s="229"/>
      <c r="K120" s="392"/>
      <c r="L120" s="394"/>
      <c r="M120" s="977"/>
      <c r="N120" s="392"/>
      <c r="O120" s="1062"/>
      <c r="P120" s="1063"/>
      <c r="Q120" s="1064"/>
      <c r="R120" s="1065"/>
      <c r="S120" s="1066"/>
      <c r="T120" s="1067"/>
      <c r="U120" s="1068"/>
      <c r="V120" s="1069"/>
      <c r="W120" s="392"/>
      <c r="X120" s="1062"/>
      <c r="Y120" s="1063"/>
      <c r="Z120" s="1064"/>
      <c r="AA120" s="1065"/>
      <c r="AB120" s="1066"/>
      <c r="AC120" s="1067"/>
      <c r="AD120" s="1068"/>
      <c r="AE120" s="1069"/>
      <c r="AI120" s="1067"/>
      <c r="AJ120" s="1069"/>
      <c r="AK120" s="1064"/>
      <c r="AL120" s="1066"/>
      <c r="AM120" s="1067"/>
      <c r="AN120" s="1068"/>
      <c r="AO120" s="1069"/>
      <c r="AS120" s="7429"/>
      <c r="AT120" s="7430"/>
      <c r="AU120" s="7431"/>
      <c r="AV120" s="7432"/>
      <c r="AX120" s="7429"/>
      <c r="AY120" s="7433"/>
      <c r="AZ120" s="7434"/>
      <c r="BC120" s="8241"/>
      <c r="BD120" s="8242"/>
      <c r="BE120" s="8243"/>
    </row>
    <row r="121" spans="1:59" customFormat="1" x14ac:dyDescent="0.35">
      <c r="A121" s="9153"/>
      <c r="B121" s="58"/>
      <c r="C121" s="390"/>
      <c r="D121" s="296" t="s">
        <v>579</v>
      </c>
      <c r="E121" s="392"/>
      <c r="F121" s="393"/>
      <c r="G121" s="392"/>
      <c r="H121" s="394"/>
      <c r="I121" s="395"/>
      <c r="J121" s="229"/>
      <c r="K121" s="392"/>
      <c r="L121" s="394"/>
      <c r="M121" s="977"/>
      <c r="N121" s="392"/>
      <c r="O121" s="397"/>
      <c r="P121" s="398"/>
      <c r="Q121" s="399"/>
      <c r="R121" s="400"/>
      <c r="S121" s="401"/>
      <c r="T121" s="402"/>
      <c r="U121" s="1061"/>
      <c r="V121" s="684"/>
      <c r="W121" s="392"/>
      <c r="X121" s="397"/>
      <c r="Y121" s="398"/>
      <c r="Z121" s="399"/>
      <c r="AA121" s="400"/>
      <c r="AB121" s="401"/>
      <c r="AC121" s="402"/>
      <c r="AD121" s="1061"/>
      <c r="AE121" s="684"/>
      <c r="AI121" s="402"/>
      <c r="AJ121" s="684"/>
      <c r="AK121" s="399"/>
      <c r="AL121" s="401"/>
      <c r="AM121" s="402"/>
      <c r="AN121" s="1061"/>
      <c r="AO121" s="684"/>
      <c r="AS121" s="6152"/>
      <c r="AT121" s="6149"/>
      <c r="AU121" s="6150"/>
      <c r="AV121" s="6151"/>
      <c r="AX121" s="6152"/>
      <c r="AY121" s="6153"/>
      <c r="AZ121" s="6154"/>
      <c r="BC121" s="1211"/>
      <c r="BD121" s="8240"/>
      <c r="BE121" s="7736"/>
    </row>
    <row r="122" spans="1:59" customFormat="1" x14ac:dyDescent="0.35">
      <c r="A122" s="9153"/>
      <c r="B122" s="58"/>
      <c r="C122" s="390"/>
      <c r="D122" s="296"/>
      <c r="E122" s="392"/>
      <c r="F122" s="393"/>
      <c r="G122" s="392"/>
      <c r="H122" s="394"/>
      <c r="I122" s="395"/>
      <c r="J122" s="229"/>
      <c r="K122" s="392"/>
      <c r="L122" s="394"/>
      <c r="M122" s="977"/>
      <c r="N122" s="392"/>
      <c r="O122" s="397"/>
      <c r="P122" s="398"/>
      <c r="Q122" s="399"/>
      <c r="R122" s="400"/>
      <c r="S122" s="401"/>
      <c r="T122" s="402"/>
      <c r="U122" s="1061"/>
      <c r="V122" s="684"/>
      <c r="W122" s="392"/>
      <c r="X122" s="397"/>
      <c r="Y122" s="398"/>
      <c r="Z122" s="399"/>
      <c r="AA122" s="400"/>
      <c r="AB122" s="401"/>
      <c r="AC122" s="402"/>
      <c r="AD122" s="1061"/>
      <c r="AE122" s="684"/>
      <c r="AI122" s="402"/>
      <c r="AJ122" s="684"/>
      <c r="AK122" s="399"/>
      <c r="AL122" s="401"/>
      <c r="AM122" s="402"/>
      <c r="AN122" s="1061"/>
      <c r="AO122" s="684"/>
      <c r="AS122" s="6152"/>
      <c r="AT122" s="6149"/>
      <c r="AU122" s="6150"/>
      <c r="AV122" s="6151"/>
      <c r="AX122" s="6152"/>
      <c r="AY122" s="6153"/>
      <c r="AZ122" s="6154"/>
      <c r="BC122" s="1211"/>
      <c r="BD122" s="8240"/>
      <c r="BE122" s="7736"/>
    </row>
    <row r="123" spans="1:59" customFormat="1" x14ac:dyDescent="0.35">
      <c r="A123" s="9153"/>
      <c r="B123" s="58"/>
      <c r="C123" s="1070"/>
      <c r="D123" s="980" t="s">
        <v>580</v>
      </c>
      <c r="E123" s="424"/>
      <c r="F123" s="981"/>
      <c r="G123" s="982"/>
      <c r="H123" s="983"/>
      <c r="I123" s="979"/>
      <c r="J123" s="246"/>
      <c r="K123" s="982"/>
      <c r="L123" s="983"/>
      <c r="M123" s="984"/>
      <c r="N123" s="982"/>
      <c r="O123" s="1071">
        <f>O97/O112</f>
        <v>0</v>
      </c>
      <c r="P123" s="1072">
        <f>P97/P112</f>
        <v>0</v>
      </c>
      <c r="Q123" s="1073"/>
      <c r="R123" s="1074"/>
      <c r="S123" s="445"/>
      <c r="T123" s="1075">
        <f>T97/T112</f>
        <v>0.35328204259438528</v>
      </c>
      <c r="U123" s="1076"/>
      <c r="V123" s="1077">
        <f>V97/V112</f>
        <v>0.35037727050781248</v>
      </c>
      <c r="W123" s="982"/>
      <c r="X123" s="1071">
        <f t="shared" ref="X123:Y123" si="24">X97/X112</f>
        <v>0.35328204259438528</v>
      </c>
      <c r="Y123" s="1072">
        <f t="shared" si="24"/>
        <v>0.35037727050781248</v>
      </c>
      <c r="Z123" s="1073"/>
      <c r="AA123" s="1074"/>
      <c r="AB123" s="445"/>
      <c r="AC123" s="1075">
        <f>AC97/AC112</f>
        <v>0.33060229335123581</v>
      </c>
      <c r="AD123" s="1076"/>
      <c r="AE123" s="1077">
        <f>AE97/AE112</f>
        <v>0.3355219025969402</v>
      </c>
      <c r="AF123" s="1078"/>
      <c r="AH123" s="1078"/>
      <c r="AI123" s="1075">
        <f>AI97/AI112</f>
        <v>0.33060229335123581</v>
      </c>
      <c r="AJ123" s="1077">
        <f>AJ97/AJ112</f>
        <v>0.3355219025969402</v>
      </c>
      <c r="AK123" s="1073"/>
      <c r="AL123" s="445"/>
      <c r="AM123" s="1075">
        <f>AM97/AM112</f>
        <v>0.38413621262458469</v>
      </c>
      <c r="AN123" s="1076"/>
      <c r="AO123" s="1077">
        <f>AO97/AO112</f>
        <v>0.37812957757237697</v>
      </c>
      <c r="AP123" s="1078"/>
      <c r="AS123" s="1075"/>
      <c r="AT123" s="1072">
        <f>AT97/AT112</f>
        <v>0.39297376185582461</v>
      </c>
      <c r="AU123" s="7435"/>
      <c r="AV123" s="518"/>
      <c r="AW123" s="1078"/>
      <c r="AX123" s="1075"/>
      <c r="AY123" s="7436"/>
      <c r="AZ123" s="1077">
        <f>AZ97/AZ112</f>
        <v>0.40975527754981933</v>
      </c>
      <c r="BA123" s="1078"/>
      <c r="BB123" s="1078"/>
      <c r="BC123" s="1075">
        <f>BC97/BC112</f>
        <v>0.35384642015918361</v>
      </c>
      <c r="BD123" s="1076"/>
      <c r="BE123" s="1077">
        <f>BE97/BE112</f>
        <v>0.36729670122045888</v>
      </c>
      <c r="BF123" s="1078"/>
    </row>
    <row r="124" spans="1:59" customFormat="1" x14ac:dyDescent="0.35">
      <c r="A124" s="9154"/>
      <c r="B124" s="85"/>
      <c r="C124" s="1079"/>
      <c r="D124" s="86" t="s">
        <v>581</v>
      </c>
      <c r="E124" s="274"/>
      <c r="F124" s="702"/>
      <c r="G124" s="460"/>
      <c r="H124" s="704"/>
      <c r="I124" s="705"/>
      <c r="J124" s="706"/>
      <c r="K124" s="460"/>
      <c r="L124" s="704"/>
      <c r="M124" s="708"/>
      <c r="N124" s="460"/>
      <c r="O124" s="1080"/>
      <c r="P124" s="1081"/>
      <c r="Q124" s="1082"/>
      <c r="R124" s="444"/>
      <c r="S124" s="1083"/>
      <c r="T124" s="1084"/>
      <c r="U124" s="1085"/>
      <c r="V124" s="1086"/>
      <c r="W124" s="460"/>
      <c r="X124" s="1080"/>
      <c r="Y124" s="1081"/>
      <c r="Z124" s="1082"/>
      <c r="AA124" s="444"/>
      <c r="AB124" s="1083"/>
      <c r="AC124" s="1084"/>
      <c r="AD124" s="1085"/>
      <c r="AE124" s="1086"/>
      <c r="AF124" s="1078"/>
      <c r="AH124" s="1078"/>
      <c r="AI124" s="1084"/>
      <c r="AJ124" s="1086"/>
      <c r="AK124" s="1082"/>
      <c r="AL124" s="1083"/>
      <c r="AM124" s="1084"/>
      <c r="AN124" s="1085"/>
      <c r="AO124" s="1086"/>
      <c r="AP124" s="1078"/>
      <c r="AS124" s="1084"/>
      <c r="AT124" s="1081"/>
      <c r="AU124" s="7437"/>
      <c r="AV124" s="988"/>
      <c r="AW124" s="1078"/>
      <c r="AX124" s="1084"/>
      <c r="AY124" s="7438"/>
      <c r="AZ124" s="1086"/>
      <c r="BA124" s="1078"/>
      <c r="BB124" s="1078"/>
      <c r="BC124" s="1084"/>
      <c r="BD124" s="1085"/>
      <c r="BE124" s="1086"/>
      <c r="BF124" s="1078"/>
    </row>
    <row r="125" spans="1:59" s="449" customFormat="1" ht="15.5" x14ac:dyDescent="0.35">
      <c r="C125" s="450"/>
      <c r="D125" s="450"/>
      <c r="E125" s="450"/>
      <c r="F125" s="451">
        <f>((F112-F114)/F112)</f>
        <v>1</v>
      </c>
      <c r="G125" s="450"/>
      <c r="H125" s="451">
        <f t="shared" ref="H125:I125" si="25">((H112-H114)/H112)</f>
        <v>1</v>
      </c>
      <c r="I125" s="451">
        <f t="shared" si="25"/>
        <v>1</v>
      </c>
      <c r="J125" s="452"/>
      <c r="K125" s="450"/>
      <c r="L125" s="451">
        <f t="shared" ref="L125:M125" si="26">((L112-L114)/L112)</f>
        <v>1</v>
      </c>
      <c r="M125" s="451">
        <f t="shared" si="26"/>
        <v>1</v>
      </c>
      <c r="N125" s="453"/>
      <c r="O125" s="451">
        <f t="shared" ref="O125:P125" si="27">((O112-O114)/O112)</f>
        <v>1</v>
      </c>
      <c r="P125" s="451">
        <f t="shared" si="27"/>
        <v>1</v>
      </c>
      <c r="Q125" s="454"/>
      <c r="R125" s="454"/>
      <c r="S125" s="454"/>
      <c r="T125" s="451">
        <f t="shared" ref="T125" si="28">((T112-T114)/T112)</f>
        <v>1</v>
      </c>
      <c r="U125" s="454"/>
      <c r="V125" s="451">
        <f t="shared" ref="V125" si="29">((V112-V114)/V112)</f>
        <v>1</v>
      </c>
      <c r="W125" s="454"/>
      <c r="X125" s="451">
        <f t="shared" ref="X125:Y125" si="30">((X112-X114)/X112)</f>
        <v>1</v>
      </c>
      <c r="Y125" s="451">
        <f t="shared" si="30"/>
        <v>1</v>
      </c>
      <c r="Z125" s="454"/>
      <c r="AA125" s="454"/>
      <c r="AB125" s="454"/>
      <c r="AC125" s="451">
        <f t="shared" ref="AC125" si="31">((AC112-AC114)/AC112)</f>
        <v>1</v>
      </c>
      <c r="AD125" s="454"/>
      <c r="AE125" s="451">
        <f t="shared" ref="AE125" si="32">((AE112-AE114)/AE112)</f>
        <v>1</v>
      </c>
      <c r="AF125" s="1536"/>
      <c r="AH125" s="1536"/>
      <c r="AI125" s="451">
        <f t="shared" ref="AI125:AJ125" si="33">((AI112-AI114)/AI112)</f>
        <v>1</v>
      </c>
      <c r="AJ125" s="451">
        <f t="shared" si="33"/>
        <v>1</v>
      </c>
      <c r="AK125" s="454"/>
      <c r="AL125" s="454"/>
      <c r="AM125" s="451">
        <f t="shared" ref="AM125" si="34">((AM112-AM114)/AM112)</f>
        <v>1</v>
      </c>
      <c r="AN125" s="454"/>
      <c r="AO125" s="451">
        <f t="shared" ref="AO125" si="35">((AO112-AO114)/AO112)</f>
        <v>1</v>
      </c>
      <c r="AP125" s="1536"/>
      <c r="AS125" s="451">
        <f>((AS112-AS114)/AS112)</f>
        <v>1</v>
      </c>
      <c r="AT125" s="451">
        <f>((AT112-AT114)/AT112)</f>
        <v>1</v>
      </c>
      <c r="AU125" s="454"/>
      <c r="AV125" s="454"/>
      <c r="AW125" s="1536"/>
      <c r="AX125" s="451">
        <f>((AX112-AX114)/AX112)</f>
        <v>1</v>
      </c>
      <c r="AY125" s="454"/>
      <c r="AZ125" s="451">
        <f>((AZ112-AZ114)/AZ112)</f>
        <v>1</v>
      </c>
      <c r="BA125" s="1536"/>
      <c r="BB125" s="1536"/>
      <c r="BC125" s="451">
        <f>((BC112-BC114)/BC112)</f>
        <v>1</v>
      </c>
      <c r="BD125" s="454"/>
      <c r="BE125" s="451">
        <f>((BE112-BE114)/BE112)</f>
        <v>1</v>
      </c>
      <c r="BF125" s="1536"/>
    </row>
    <row r="126" spans="1:59" ht="15.25" customHeight="1" x14ac:dyDescent="0.35">
      <c r="A126" s="455" t="s">
        <v>582</v>
      </c>
      <c r="B126" s="455"/>
      <c r="E126" s="457"/>
      <c r="F126" s="458"/>
      <c r="H126" s="458"/>
      <c r="I126" s="458"/>
      <c r="L126" s="458"/>
      <c r="M126" s="458"/>
      <c r="N126" s="460"/>
      <c r="O126" s="458"/>
      <c r="P126" s="458"/>
      <c r="Q126" s="461"/>
      <c r="R126" s="461"/>
      <c r="S126" s="461"/>
      <c r="T126" s="458"/>
      <c r="U126" s="458"/>
      <c r="V126" s="458"/>
      <c r="W126" s="461"/>
      <c r="X126" s="458"/>
      <c r="Y126" s="458"/>
      <c r="Z126" s="461"/>
      <c r="AA126" s="461"/>
      <c r="AB126" s="461"/>
      <c r="AC126" s="458"/>
      <c r="AD126" s="458"/>
      <c r="AE126" s="458"/>
      <c r="AF126" s="461"/>
      <c r="AG126"/>
      <c r="AH126" s="461"/>
      <c r="AI126" s="458"/>
      <c r="AJ126" s="458"/>
      <c r="AK126" s="461"/>
      <c r="AL126" s="461"/>
      <c r="AM126" s="458"/>
      <c r="AN126" s="458"/>
      <c r="AO126" s="458"/>
      <c r="AP126" s="461"/>
      <c r="AQ126"/>
      <c r="AS126" s="458"/>
      <c r="AT126" s="458"/>
      <c r="AU126" s="461"/>
      <c r="AV126" s="461"/>
      <c r="AW126" s="461"/>
      <c r="AX126" s="458"/>
      <c r="AY126" s="458"/>
      <c r="AZ126" s="458"/>
      <c r="BA126" s="461"/>
      <c r="BB126" s="461"/>
      <c r="BC126" s="458"/>
      <c r="BD126" s="458"/>
      <c r="BE126" s="458"/>
      <c r="BF126" s="461"/>
      <c r="BG126"/>
    </row>
    <row r="127" spans="1:59" ht="12" customHeight="1" x14ac:dyDescent="0.35">
      <c r="A127" s="577">
        <v>1</v>
      </c>
      <c r="B127" s="577" t="str">
        <f>AG23</f>
        <v>Net lending not included</v>
      </c>
      <c r="C127" s="577"/>
      <c r="D127" s="577"/>
      <c r="E127" s="577"/>
      <c r="F127" s="577"/>
      <c r="G127" s="577"/>
      <c r="H127" s="577"/>
      <c r="I127" s="577"/>
      <c r="J127" s="577"/>
      <c r="K127" s="577"/>
      <c r="L127" s="577"/>
      <c r="M127" s="577"/>
      <c r="N127" s="456"/>
      <c r="O127" s="461"/>
      <c r="P127" s="461"/>
      <c r="Q127" s="461"/>
      <c r="R127" s="461"/>
      <c r="S127" s="461"/>
      <c r="T127" s="461"/>
      <c r="U127" s="461"/>
      <c r="V127" s="461"/>
      <c r="W127" s="461"/>
      <c r="X127" s="461"/>
      <c r="Y127" s="461"/>
      <c r="Z127" s="461"/>
      <c r="AA127" s="461"/>
      <c r="AB127" s="461"/>
      <c r="AC127" s="461"/>
      <c r="AD127" s="461"/>
      <c r="AE127" s="461"/>
      <c r="AF127" s="461"/>
      <c r="AG127"/>
      <c r="AH127" s="461"/>
      <c r="AI127" s="461"/>
      <c r="AJ127" s="461"/>
      <c r="AK127" s="461"/>
      <c r="AL127" s="461"/>
      <c r="AM127" s="461"/>
      <c r="AN127" s="461"/>
      <c r="AO127" s="461"/>
      <c r="AP127" s="461"/>
      <c r="AQ127"/>
      <c r="AS127" s="461"/>
      <c r="AT127" s="461"/>
      <c r="AU127" s="461"/>
      <c r="AV127" s="461"/>
      <c r="AW127" s="461"/>
      <c r="AX127" s="461"/>
      <c r="AY127" s="461"/>
      <c r="AZ127" s="461"/>
      <c r="BA127" s="461"/>
      <c r="BB127" s="461"/>
      <c r="BC127" s="461"/>
      <c r="BD127" s="461"/>
      <c r="BE127" s="461"/>
      <c r="BF127" s="461"/>
      <c r="BG127"/>
    </row>
    <row r="128" spans="1:59" x14ac:dyDescent="0.35">
      <c r="A128" s="462">
        <v>2</v>
      </c>
      <c r="B128" s="462" t="str">
        <f>AG27</f>
        <v>included in compensation of staff for each Ministry</v>
      </c>
      <c r="AG128"/>
      <c r="AQ128"/>
      <c r="BG128"/>
    </row>
    <row r="129" spans="1:59" x14ac:dyDescent="0.35">
      <c r="A129" s="462">
        <v>3</v>
      </c>
      <c r="B129" s="462" t="str">
        <f>AG36</f>
        <v>MINEDUC including WDA REB Univ HEC + Districts</v>
      </c>
      <c r="AG129"/>
      <c r="AQ129"/>
      <c r="BG129"/>
    </row>
    <row r="130" spans="1:59" x14ac:dyDescent="0.35">
      <c r="AG130"/>
      <c r="AQ130"/>
      <c r="BG130"/>
    </row>
    <row r="131" spans="1:59" x14ac:dyDescent="0.35">
      <c r="AG131"/>
      <c r="AQ131"/>
      <c r="BG131"/>
    </row>
    <row r="132" spans="1:59" x14ac:dyDescent="0.35">
      <c r="AG132"/>
      <c r="AQ132"/>
      <c r="BG132"/>
    </row>
    <row r="133" spans="1:59" x14ac:dyDescent="0.35">
      <c r="AG133"/>
      <c r="AQ133"/>
      <c r="BG133"/>
    </row>
    <row r="134" spans="1:59" x14ac:dyDescent="0.35">
      <c r="AG134"/>
      <c r="AQ134"/>
      <c r="BG134"/>
    </row>
    <row r="135" spans="1:59" x14ac:dyDescent="0.35">
      <c r="AG135"/>
      <c r="AQ135"/>
      <c r="BG135"/>
    </row>
    <row r="136" spans="1:59" x14ac:dyDescent="0.35">
      <c r="AG136"/>
      <c r="AQ136"/>
      <c r="BG136"/>
    </row>
    <row r="141" spans="1:59" x14ac:dyDescent="0.35">
      <c r="A141" s="462" t="s">
        <v>583</v>
      </c>
    </row>
  </sheetData>
  <mergeCells count="52">
    <mergeCell ref="F1:M1"/>
    <mergeCell ref="O1:V1"/>
    <mergeCell ref="X1:AE1"/>
    <mergeCell ref="AI1:AO1"/>
    <mergeCell ref="H4:J4"/>
    <mergeCell ref="L4:M4"/>
    <mergeCell ref="O4:R4"/>
    <mergeCell ref="T4:V4"/>
    <mergeCell ref="X4:AA4"/>
    <mergeCell ref="AC4:AE4"/>
    <mergeCell ref="L7:M7"/>
    <mergeCell ref="O7:P7"/>
    <mergeCell ref="R7:R8"/>
    <mergeCell ref="AQ4:AQ5"/>
    <mergeCell ref="H5:J5"/>
    <mergeCell ref="L5:M5"/>
    <mergeCell ref="O5:R5"/>
    <mergeCell ref="T5:V5"/>
    <mergeCell ref="X5:AA5"/>
    <mergeCell ref="AC5:AE5"/>
    <mergeCell ref="AI5:AK5"/>
    <mergeCell ref="AM5:AO5"/>
    <mergeCell ref="AM4:AO4"/>
    <mergeCell ref="AG4:AG5"/>
    <mergeCell ref="AI4:AK4"/>
    <mergeCell ref="BC1:BE1"/>
    <mergeCell ref="BC4:BE4"/>
    <mergeCell ref="BG4:BG5"/>
    <mergeCell ref="BC5:BE5"/>
    <mergeCell ref="A107:A124"/>
    <mergeCell ref="AC7:AE7"/>
    <mergeCell ref="AI7:AJ7"/>
    <mergeCell ref="AM7:AO7"/>
    <mergeCell ref="A10:A32"/>
    <mergeCell ref="A34:A94"/>
    <mergeCell ref="A96:A105"/>
    <mergeCell ref="T7:V7"/>
    <mergeCell ref="X7:Y7"/>
    <mergeCell ref="AA7:AA8"/>
    <mergeCell ref="H7:I7"/>
    <mergeCell ref="J7:J8"/>
    <mergeCell ref="AS10:AT10"/>
    <mergeCell ref="AS1:AZ1"/>
    <mergeCell ref="AS4:AV4"/>
    <mergeCell ref="AX4:AZ4"/>
    <mergeCell ref="AS5:AV5"/>
    <mergeCell ref="AX5:AZ5"/>
    <mergeCell ref="BC7:BE7"/>
    <mergeCell ref="AS7:AT7"/>
    <mergeCell ref="AU7:AU8"/>
    <mergeCell ref="AV7:AV8"/>
    <mergeCell ref="AX7:AZ7"/>
  </mergeCells>
  <hyperlinks>
    <hyperlink ref="Q10" r:id="rId1" xr:uid="{00000000-0004-0000-2400-000000000000}"/>
    <hyperlink ref="U10" r:id="rId2" xr:uid="{00000000-0004-0000-2400-000001000000}"/>
    <hyperlink ref="Z10" r:id="rId3" xr:uid="{00000000-0004-0000-2400-000002000000}"/>
    <hyperlink ref="AD10" r:id="rId4" xr:uid="{00000000-0004-0000-2400-000003000000}"/>
    <hyperlink ref="AK10" r:id="rId5" xr:uid="{00000000-0004-0000-2400-000004000000}"/>
    <hyperlink ref="AN10" r:id="rId6" xr:uid="{00000000-0004-0000-2400-000005000000}"/>
    <hyperlink ref="AN97" r:id="rId7" xr:uid="{00000000-0004-0000-2400-000006000000}"/>
    <hyperlink ref="AN36" r:id="rId8" xr:uid="{00000000-0004-0000-2400-000007000000}"/>
    <hyperlink ref="AU10" r:id="rId9" xr:uid="{944F06BE-80F8-4121-8D94-C821B12A65E6}"/>
    <hyperlink ref="AY10" r:id="rId10" xr:uid="{EA55F097-3AD6-4586-8ABB-21069A4423C5}"/>
    <hyperlink ref="BD10" r:id="rId11" xr:uid="{9B5F07AF-1413-47CE-91B1-3EDF4129C9A3}"/>
  </hyperlinks>
  <pageMargins left="0.23622047244094491" right="0.23622047244094491" top="0.35433070866141736" bottom="0.35433070866141736" header="0.31496062992125984" footer="0.31496062992125984"/>
  <pageSetup paperSize="9" scale="36" orientation="portrait" horizontalDpi="4294967293" r:id="rId12"/>
  <legacyDrawing r:id="rId1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L121"/>
  <sheetViews>
    <sheetView zoomScale="76" zoomScaleNormal="70" zoomScalePageLayoutView="93" workbookViewId="0">
      <pane xSplit="4" topLeftCell="E1" activePane="topRight" state="frozen"/>
      <selection pane="topRight" activeCell="L15" sqref="L15"/>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1796875" customWidth="1"/>
    <col min="22" max="22" width="21.6328125" customWidth="1"/>
    <col min="23" max="23" width="1.6328125" style="1" customWidth="1"/>
    <col min="24" max="26" width="21.6328125" style="6" customWidth="1"/>
    <col min="27" max="27" width="8.6328125" style="7" customWidth="1"/>
    <col min="28" max="28" width="1.6328125" style="1" customWidth="1"/>
    <col min="29" max="29" width="21.6328125" customWidth="1"/>
    <col min="30" max="30" width="23.1796875" customWidth="1"/>
    <col min="31" max="31" width="21.6328125" customWidth="1"/>
    <col min="32" max="32" width="1.6328125" style="1" customWidth="1"/>
    <col min="33" max="35" width="21.6328125" style="6" customWidth="1"/>
    <col min="36" max="36" width="8.6328125" style="7" customWidth="1"/>
    <col min="37" max="37" width="1.6328125" style="1" customWidth="1"/>
    <col min="38" max="38" width="21.6328125" customWidth="1"/>
    <col min="39" max="39" width="23.1796875" customWidth="1"/>
    <col min="40" max="40" width="21.6328125" customWidth="1"/>
    <col min="41" max="41" width="1.6328125" style="1" customWidth="1"/>
    <col min="42" max="42" width="3.1796875" customWidth="1"/>
    <col min="44" max="44" width="17.36328125" style="6" customWidth="1"/>
    <col min="45" max="45" width="20.453125" style="6" customWidth="1"/>
    <col min="46" max="46" width="17.36328125" style="6" customWidth="1"/>
    <col min="47" max="47" width="9.81640625" style="7" customWidth="1"/>
    <col min="48" max="48" width="1.453125" style="1" customWidth="1"/>
    <col min="49" max="51" width="17.36328125" customWidth="1"/>
    <col min="52" max="52" width="2.453125" style="1" customWidth="1"/>
    <col min="53" max="53" width="3.6328125" customWidth="1"/>
    <col min="55" max="55" width="23.36328125" style="6" bestFit="1" customWidth="1"/>
    <col min="56" max="56" width="15" style="6" customWidth="1"/>
    <col min="57" max="57" width="11.453125" style="6" customWidth="1"/>
    <col min="58" max="58" width="11.453125" style="7" customWidth="1"/>
    <col min="59" max="59" width="0.81640625" style="1" customWidth="1"/>
    <col min="60" max="60" width="18.36328125" customWidth="1"/>
    <col min="61" max="61" width="11.453125" customWidth="1"/>
    <col min="62" max="62" width="20.36328125" customWidth="1"/>
    <col min="63" max="63" width="2.6328125" style="1" customWidth="1"/>
    <col min="64" max="64" width="11.453125" customWidth="1"/>
  </cols>
  <sheetData>
    <row r="1" spans="1:64" ht="31" x14ac:dyDescent="0.7">
      <c r="F1" s="9118" t="s">
        <v>394</v>
      </c>
      <c r="G1" s="9119"/>
      <c r="H1" s="9119"/>
      <c r="I1" s="9119"/>
      <c r="J1" s="9119"/>
      <c r="K1" s="9119"/>
      <c r="L1" s="9119"/>
      <c r="M1" s="9120"/>
      <c r="N1"/>
      <c r="O1" s="9121" t="s">
        <v>395</v>
      </c>
      <c r="P1" s="9122"/>
      <c r="Q1" s="9122"/>
      <c r="R1" s="9122"/>
      <c r="S1" s="9122"/>
      <c r="T1" s="9122"/>
      <c r="U1" s="9122"/>
      <c r="V1" s="9123"/>
      <c r="W1"/>
      <c r="X1" s="9207" t="s">
        <v>396</v>
      </c>
      <c r="Y1" s="9208"/>
      <c r="Z1" s="9208"/>
      <c r="AA1" s="9208"/>
      <c r="AB1" s="9208"/>
      <c r="AC1" s="9208"/>
      <c r="AD1" s="9208"/>
      <c r="AE1" s="9209"/>
      <c r="AF1"/>
      <c r="AG1" s="9477" t="s">
        <v>397</v>
      </c>
      <c r="AH1" s="9478"/>
      <c r="AI1" s="9478"/>
      <c r="AJ1" s="9478"/>
      <c r="AK1" s="9478"/>
      <c r="AL1" s="9478"/>
      <c r="AM1" s="9478"/>
      <c r="AN1" s="9479"/>
      <c r="AO1"/>
      <c r="AR1" s="9187" t="s">
        <v>398</v>
      </c>
      <c r="AS1" s="9188"/>
      <c r="AT1" s="9188"/>
      <c r="AU1" s="9188"/>
      <c r="AV1" s="9188"/>
      <c r="AW1" s="9188"/>
      <c r="AX1" s="9188"/>
      <c r="AY1" s="9189"/>
      <c r="AZ1"/>
      <c r="BC1" s="9524" t="s">
        <v>399</v>
      </c>
      <c r="BD1" s="9525"/>
      <c r="BE1" s="9525"/>
      <c r="BF1" s="9525"/>
      <c r="BG1" s="9525"/>
      <c r="BH1" s="9525"/>
      <c r="BI1" s="9525"/>
      <c r="BJ1" s="9525"/>
      <c r="BK1" s="9525"/>
      <c r="BL1" s="9525"/>
    </row>
    <row r="2" spans="1:64" ht="21" x14ac:dyDescent="0.5">
      <c r="B2" s="1" t="s">
        <v>9</v>
      </c>
      <c r="C2" s="4" t="s">
        <v>5218</v>
      </c>
      <c r="H2"/>
    </row>
    <row r="4" spans="1:64"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G4" s="9130" t="s">
        <v>403</v>
      </c>
      <c r="AH4" s="9131"/>
      <c r="AI4" s="9131"/>
      <c r="AJ4" s="9132"/>
      <c r="AL4" s="9130" t="s">
        <v>402</v>
      </c>
      <c r="AM4" s="9131"/>
      <c r="AN4" s="9132"/>
      <c r="AP4" s="9180" t="s">
        <v>404</v>
      </c>
      <c r="AR4" s="9130" t="s">
        <v>403</v>
      </c>
      <c r="AS4" s="9131"/>
      <c r="AT4" s="9131"/>
      <c r="AU4" s="9132"/>
      <c r="AW4" s="9130" t="s">
        <v>402</v>
      </c>
      <c r="AX4" s="9131"/>
      <c r="AY4" s="9132"/>
      <c r="BA4" s="9180" t="s">
        <v>404</v>
      </c>
      <c r="BC4" s="9130" t="s">
        <v>403</v>
      </c>
      <c r="BD4" s="9131"/>
      <c r="BE4" s="9131"/>
      <c r="BF4" s="9132"/>
      <c r="BH4" s="9130" t="s">
        <v>402</v>
      </c>
      <c r="BI4" s="9131"/>
      <c r="BJ4" s="9132"/>
      <c r="BL4" s="9180" t="s">
        <v>404</v>
      </c>
    </row>
    <row r="5" spans="1:64" x14ac:dyDescent="0.35">
      <c r="B5" s="1" t="s">
        <v>406</v>
      </c>
      <c r="C5" s="11">
        <v>2007</v>
      </c>
      <c r="F5" s="8324">
        <v>2011</v>
      </c>
      <c r="G5" s="12"/>
      <c r="H5" s="9138">
        <v>2014</v>
      </c>
      <c r="I5" s="9139"/>
      <c r="J5" s="9140"/>
      <c r="K5" s="12"/>
      <c r="L5" s="9138">
        <v>2015</v>
      </c>
      <c r="M5" s="9140"/>
      <c r="O5" s="9138">
        <v>2015</v>
      </c>
      <c r="P5" s="9139"/>
      <c r="Q5" s="9139"/>
      <c r="R5" s="9140"/>
      <c r="S5" s="12"/>
      <c r="T5" s="9138">
        <v>2016</v>
      </c>
      <c r="U5" s="9139"/>
      <c r="V5" s="9140"/>
      <c r="X5" s="9138">
        <v>2016</v>
      </c>
      <c r="Y5" s="9139"/>
      <c r="Z5" s="9139"/>
      <c r="AA5" s="9140"/>
      <c r="AB5" s="12"/>
      <c r="AC5" s="9138">
        <v>2017</v>
      </c>
      <c r="AD5" s="9139"/>
      <c r="AE5" s="9140"/>
      <c r="AG5" s="9138">
        <v>2017</v>
      </c>
      <c r="AH5" s="9139"/>
      <c r="AI5" s="9139"/>
      <c r="AJ5" s="9140"/>
      <c r="AK5" s="12"/>
      <c r="AL5" s="9138">
        <v>2018</v>
      </c>
      <c r="AM5" s="9139"/>
      <c r="AN5" s="9140"/>
      <c r="AP5" s="9181"/>
      <c r="AR5" s="9138">
        <v>2018</v>
      </c>
      <c r="AS5" s="9139"/>
      <c r="AT5" s="9139"/>
      <c r="AU5" s="9140"/>
      <c r="AV5" s="12"/>
      <c r="AW5" s="9138">
        <v>2019</v>
      </c>
      <c r="AX5" s="9139"/>
      <c r="AY5" s="9140"/>
      <c r="BA5" s="9181"/>
      <c r="BC5" s="9138">
        <v>2019</v>
      </c>
      <c r="BD5" s="9139"/>
      <c r="BE5" s="9139"/>
      <c r="BF5" s="9140"/>
      <c r="BG5" s="12"/>
      <c r="BH5" s="9138">
        <v>2020</v>
      </c>
      <c r="BI5" s="9139"/>
      <c r="BJ5" s="9140"/>
      <c r="BL5" s="9181"/>
    </row>
    <row r="6" spans="1:64" x14ac:dyDescent="0.35">
      <c r="C6"/>
      <c r="F6" s="6"/>
      <c r="L6" s="14"/>
      <c r="T6" s="14"/>
      <c r="U6" s="14"/>
      <c r="AC6" s="14"/>
      <c r="AD6" s="14"/>
      <c r="AL6" s="14"/>
      <c r="AM6" s="14"/>
      <c r="AN6" t="s">
        <v>5219</v>
      </c>
      <c r="AP6" s="6"/>
      <c r="AW6" s="14"/>
      <c r="AX6" s="14"/>
      <c r="BA6" s="6"/>
      <c r="BH6" s="14"/>
      <c r="BI6" s="14"/>
      <c r="BL6" s="6"/>
    </row>
    <row r="7" spans="1:64" ht="12.75" customHeight="1" x14ac:dyDescent="0.35">
      <c r="B7" s="1" t="s">
        <v>101</v>
      </c>
      <c r="C7" s="15" t="s">
        <v>5220</v>
      </c>
      <c r="D7" s="2" t="s">
        <v>417</v>
      </c>
      <c r="F7" s="8322" t="s">
        <v>1914</v>
      </c>
      <c r="H7" s="9149" t="s">
        <v>1914</v>
      </c>
      <c r="I7" s="9151"/>
      <c r="J7" s="9147" t="s">
        <v>419</v>
      </c>
      <c r="L7" s="9149" t="s">
        <v>1914</v>
      </c>
      <c r="M7" s="9151"/>
      <c r="O7" s="9173" t="str">
        <f>L7</f>
        <v>million</v>
      </c>
      <c r="P7" s="9173"/>
      <c r="Q7" s="16"/>
      <c r="R7" s="9147" t="s">
        <v>419</v>
      </c>
      <c r="T7" s="9149" t="str">
        <f>O7</f>
        <v>million</v>
      </c>
      <c r="U7" s="9150"/>
      <c r="V7" s="9151"/>
      <c r="X7" s="9173" t="s">
        <v>1914</v>
      </c>
      <c r="Y7" s="9173"/>
      <c r="Z7" s="16"/>
      <c r="AA7" s="9147" t="s">
        <v>419</v>
      </c>
      <c r="AC7" s="9149" t="s">
        <v>1914</v>
      </c>
      <c r="AD7" s="9150"/>
      <c r="AE7" s="9151"/>
      <c r="AG7" s="9173" t="s">
        <v>1914</v>
      </c>
      <c r="AH7" s="9173"/>
      <c r="AI7" s="16"/>
      <c r="AJ7" s="9147" t="s">
        <v>419</v>
      </c>
      <c r="AL7" s="9149" t="s">
        <v>1914</v>
      </c>
      <c r="AM7" s="9150"/>
      <c r="AN7" s="9151"/>
      <c r="AP7" s="18"/>
      <c r="AR7" s="9173" t="s">
        <v>1914</v>
      </c>
      <c r="AS7" s="9173"/>
      <c r="AT7" s="16"/>
      <c r="AU7" s="9147" t="s">
        <v>419</v>
      </c>
      <c r="AW7" s="9149" t="s">
        <v>1914</v>
      </c>
      <c r="AX7" s="9150"/>
      <c r="AY7" s="9151"/>
      <c r="BA7" s="18"/>
      <c r="BC7" s="9173" t="s">
        <v>1914</v>
      </c>
      <c r="BD7" s="9173"/>
      <c r="BE7" s="16"/>
      <c r="BF7" s="9147" t="s">
        <v>419</v>
      </c>
      <c r="BH7" s="9149" t="s">
        <v>1914</v>
      </c>
      <c r="BI7" s="9150"/>
      <c r="BJ7" s="9151"/>
      <c r="BL7" s="18"/>
    </row>
    <row r="8" spans="1:64" x14ac:dyDescent="0.35">
      <c r="B8" s="1" t="s">
        <v>420</v>
      </c>
      <c r="C8" s="19" t="s">
        <v>589</v>
      </c>
      <c r="F8" s="1987" t="s">
        <v>424</v>
      </c>
      <c r="H8" s="20" t="s">
        <v>423</v>
      </c>
      <c r="I8" s="20" t="s">
        <v>96</v>
      </c>
      <c r="J8" s="9148"/>
      <c r="L8" s="21" t="s">
        <v>423</v>
      </c>
      <c r="M8" s="1987" t="s">
        <v>1019</v>
      </c>
      <c r="O8" s="20" t="s">
        <v>424</v>
      </c>
      <c r="P8" s="20" t="s">
        <v>96</v>
      </c>
      <c r="Q8" s="22" t="s">
        <v>425</v>
      </c>
      <c r="R8" s="9148"/>
      <c r="T8" s="21" t="s">
        <v>424</v>
      </c>
      <c r="U8" s="22" t="s">
        <v>425</v>
      </c>
      <c r="V8" s="20" t="s">
        <v>96</v>
      </c>
      <c r="X8" s="20" t="s">
        <v>424</v>
      </c>
      <c r="Y8" s="20" t="s">
        <v>96</v>
      </c>
      <c r="Z8" s="22" t="s">
        <v>425</v>
      </c>
      <c r="AA8" s="9148"/>
      <c r="AC8" s="21" t="s">
        <v>424</v>
      </c>
      <c r="AD8" s="22" t="s">
        <v>425</v>
      </c>
      <c r="AE8" s="20" t="s">
        <v>96</v>
      </c>
      <c r="AG8" s="20" t="s">
        <v>424</v>
      </c>
      <c r="AH8" s="20" t="s">
        <v>96</v>
      </c>
      <c r="AI8" s="22" t="s">
        <v>425</v>
      </c>
      <c r="AJ8" s="9148"/>
      <c r="AL8" s="21" t="s">
        <v>424</v>
      </c>
      <c r="AM8" s="22" t="s">
        <v>425</v>
      </c>
      <c r="AN8" s="20" t="s">
        <v>96</v>
      </c>
      <c r="AP8" s="24"/>
      <c r="AR8" s="20" t="s">
        <v>424</v>
      </c>
      <c r="AS8" s="20" t="s">
        <v>96</v>
      </c>
      <c r="AT8" s="22" t="s">
        <v>425</v>
      </c>
      <c r="AU8" s="9148"/>
      <c r="AW8" s="21" t="s">
        <v>424</v>
      </c>
      <c r="AX8" s="22" t="s">
        <v>425</v>
      </c>
      <c r="AY8" s="20" t="s">
        <v>96</v>
      </c>
      <c r="BA8" s="24"/>
      <c r="BC8" s="20" t="s">
        <v>424</v>
      </c>
      <c r="BD8" s="20" t="s">
        <v>96</v>
      </c>
      <c r="BE8" s="22" t="s">
        <v>425</v>
      </c>
      <c r="BF8" s="9148"/>
      <c r="BH8" s="21" t="s">
        <v>424</v>
      </c>
      <c r="BI8" s="22" t="s">
        <v>425</v>
      </c>
      <c r="BJ8" s="20" t="s">
        <v>96</v>
      </c>
      <c r="BL8" s="24"/>
    </row>
    <row r="9" spans="1:64" x14ac:dyDescent="0.35">
      <c r="C9"/>
      <c r="E9"/>
      <c r="F9"/>
      <c r="G9"/>
      <c r="I9"/>
      <c r="J9" s="25"/>
      <c r="K9"/>
      <c r="N9"/>
      <c r="O9"/>
      <c r="P9"/>
      <c r="Q9"/>
      <c r="R9" s="25"/>
      <c r="S9"/>
      <c r="W9"/>
      <c r="X9"/>
      <c r="Y9"/>
      <c r="Z9"/>
      <c r="AA9" s="25"/>
      <c r="AB9"/>
      <c r="AF9"/>
      <c r="AG9"/>
      <c r="AH9"/>
      <c r="AI9"/>
      <c r="AJ9" s="25"/>
      <c r="AK9"/>
      <c r="AO9"/>
      <c r="AR9"/>
      <c r="AS9"/>
      <c r="AT9"/>
      <c r="AU9" s="25"/>
      <c r="AV9"/>
      <c r="AZ9"/>
      <c r="BC9"/>
      <c r="BD9"/>
      <c r="BE9"/>
      <c r="BF9" s="25"/>
      <c r="BG9"/>
      <c r="BK9"/>
    </row>
    <row r="10" spans="1:64" ht="33.25" customHeight="1" x14ac:dyDescent="0.35">
      <c r="A10" s="9167" t="s">
        <v>426</v>
      </c>
      <c r="B10" s="27"/>
      <c r="C10" s="28" t="s">
        <v>427</v>
      </c>
      <c r="D10" s="580" t="s">
        <v>428</v>
      </c>
      <c r="E10" s="30"/>
      <c r="F10" s="222" t="s">
        <v>5221</v>
      </c>
      <c r="G10"/>
      <c r="H10" s="222" t="s">
        <v>5222</v>
      </c>
      <c r="I10" s="3651"/>
      <c r="J10" s="224"/>
      <c r="K10" s="223"/>
      <c r="L10" s="222" t="s">
        <v>5223</v>
      </c>
      <c r="M10" s="851"/>
      <c r="N10" s="33"/>
      <c r="O10" s="9155" t="s">
        <v>5224</v>
      </c>
      <c r="P10" s="9156"/>
      <c r="Q10" s="581" t="s">
        <v>5225</v>
      </c>
      <c r="R10" s="32"/>
      <c r="S10" s="33"/>
      <c r="T10" s="36" t="s">
        <v>5226</v>
      </c>
      <c r="U10" s="581" t="s">
        <v>5227</v>
      </c>
      <c r="V10" s="36" t="s">
        <v>5226</v>
      </c>
      <c r="W10" s="33"/>
      <c r="X10" s="850" t="s">
        <v>5224</v>
      </c>
      <c r="Y10" s="36" t="s">
        <v>5228</v>
      </c>
      <c r="Z10" s="581" t="s">
        <v>5229</v>
      </c>
      <c r="AA10" s="32"/>
      <c r="AB10" s="33"/>
      <c r="AC10" s="36" t="s">
        <v>5228</v>
      </c>
      <c r="AD10" s="581" t="s">
        <v>5229</v>
      </c>
      <c r="AE10" s="36" t="s">
        <v>5228</v>
      </c>
      <c r="AF10" s="33"/>
      <c r="AG10" s="850" t="str">
        <f>AC10</f>
        <v>Tabela de Operações Financeiras do Estado - TOFE 2018</v>
      </c>
      <c r="AH10" s="36" t="s">
        <v>5230</v>
      </c>
      <c r="AI10" s="581" t="s">
        <v>5231</v>
      </c>
      <c r="AJ10" s="32"/>
      <c r="AK10" s="33"/>
      <c r="AL10" s="36" t="s">
        <v>5230</v>
      </c>
      <c r="AM10" s="581" t="s">
        <v>5231</v>
      </c>
      <c r="AN10" s="36" t="s">
        <v>5230</v>
      </c>
      <c r="AO10" s="33"/>
      <c r="AP10" s="39"/>
      <c r="AR10" s="8314" t="s">
        <v>5232</v>
      </c>
      <c r="AS10" s="36" t="s">
        <v>5233</v>
      </c>
      <c r="AT10" s="581" t="s">
        <v>5234</v>
      </c>
      <c r="AU10" s="32"/>
      <c r="AV10" s="33"/>
      <c r="AW10" s="36" t="s">
        <v>5233</v>
      </c>
      <c r="AX10" s="581" t="s">
        <v>5234</v>
      </c>
      <c r="AY10" s="36" t="s">
        <v>5233</v>
      </c>
      <c r="AZ10" s="33"/>
      <c r="BA10" s="39"/>
      <c r="BC10" s="8314" t="s">
        <v>5235</v>
      </c>
      <c r="BD10" s="36" t="s">
        <v>5235</v>
      </c>
      <c r="BE10" s="581" t="s">
        <v>5236</v>
      </c>
      <c r="BF10" s="32"/>
      <c r="BG10" s="33"/>
      <c r="BH10" s="36" t="s">
        <v>5237</v>
      </c>
      <c r="BI10" s="581" t="s">
        <v>5238</v>
      </c>
      <c r="BJ10" s="36" t="s">
        <v>5237</v>
      </c>
      <c r="BK10" s="33"/>
      <c r="BL10" s="39"/>
    </row>
    <row r="11" spans="1:64" ht="18" customHeight="1" x14ac:dyDescent="0.35">
      <c r="A11" s="9168"/>
      <c r="B11" s="40" t="s">
        <v>451</v>
      </c>
      <c r="C11" s="41"/>
      <c r="D11" s="585"/>
      <c r="E11" s="43"/>
      <c r="F11" s="3641"/>
      <c r="G11"/>
      <c r="H11" s="51"/>
      <c r="I11" s="46"/>
      <c r="J11" s="47"/>
      <c r="K11" s="48"/>
      <c r="L11" s="3642"/>
      <c r="M11" s="49"/>
      <c r="N11" s="50"/>
      <c r="O11" s="51"/>
      <c r="P11" s="52" t="s">
        <v>5239</v>
      </c>
      <c r="Q11" s="592"/>
      <c r="R11" s="47"/>
      <c r="S11" s="48"/>
      <c r="T11" s="52" t="s">
        <v>5239</v>
      </c>
      <c r="U11" s="592"/>
      <c r="V11" s="738"/>
      <c r="W11" s="50"/>
      <c r="X11" s="3928"/>
      <c r="Y11" s="3929" t="s">
        <v>5240</v>
      </c>
      <c r="Z11" s="592"/>
      <c r="AA11" s="47"/>
      <c r="AB11" s="48"/>
      <c r="AC11" s="3929" t="s">
        <v>5241</v>
      </c>
      <c r="AD11" s="592"/>
      <c r="AE11" s="586" t="s">
        <v>5242</v>
      </c>
      <c r="AF11" s="50"/>
      <c r="AG11" s="3928"/>
      <c r="AH11" s="3929" t="s">
        <v>5243</v>
      </c>
      <c r="AI11" s="592"/>
      <c r="AJ11" s="47"/>
      <c r="AK11" s="48"/>
      <c r="AL11" s="3929" t="s">
        <v>5244</v>
      </c>
      <c r="AM11" s="592"/>
      <c r="AN11" s="586" t="s">
        <v>5245</v>
      </c>
      <c r="AO11" s="50"/>
      <c r="AP11" s="18"/>
      <c r="AR11" s="3928"/>
      <c r="AS11" s="586" t="s">
        <v>5245</v>
      </c>
      <c r="AT11" s="592"/>
      <c r="AU11" s="47"/>
      <c r="AV11" s="48"/>
      <c r="AW11" s="3929"/>
      <c r="AX11" s="592"/>
      <c r="AY11" s="1846" t="s">
        <v>5246</v>
      </c>
      <c r="AZ11" s="50"/>
      <c r="BA11" s="18"/>
      <c r="BC11" s="3928"/>
      <c r="BD11" s="586"/>
      <c r="BE11" s="592"/>
      <c r="BF11" s="47"/>
      <c r="BG11" s="48"/>
      <c r="BH11" s="3929"/>
      <c r="BI11" s="592"/>
      <c r="BJ11" s="1846" t="s">
        <v>5247</v>
      </c>
      <c r="BK11" s="50"/>
      <c r="BL11" s="18"/>
    </row>
    <row r="12" spans="1:64" x14ac:dyDescent="0.35">
      <c r="A12" s="9168"/>
      <c r="B12" s="58"/>
      <c r="C12" s="59" t="s">
        <v>456</v>
      </c>
      <c r="D12" s="197"/>
      <c r="F12" s="3930">
        <v>787229</v>
      </c>
      <c r="G12" s="1256"/>
      <c r="H12" s="298">
        <v>1076139</v>
      </c>
      <c r="I12" s="1988">
        <v>974054</v>
      </c>
      <c r="J12" s="64">
        <f>IF(H12=0,0,I12/H12)</f>
        <v>0.90513771919798469</v>
      </c>
      <c r="K12" s="65"/>
      <c r="L12" s="298">
        <v>1196435</v>
      </c>
      <c r="M12" s="66">
        <f>L12*J12</f>
        <v>1082938.4470686407</v>
      </c>
      <c r="N12" s="67"/>
      <c r="O12" s="68">
        <v>1196435</v>
      </c>
      <c r="P12" s="69">
        <v>1088193</v>
      </c>
      <c r="Q12" s="53" t="s">
        <v>5248</v>
      </c>
      <c r="R12" s="64"/>
      <c r="S12" s="65"/>
      <c r="T12" s="68">
        <v>1276226</v>
      </c>
      <c r="U12" s="53" t="s">
        <v>5248</v>
      </c>
      <c r="V12" s="69">
        <v>1208709</v>
      </c>
      <c r="W12" s="67"/>
      <c r="X12" s="68">
        <v>1276226</v>
      </c>
      <c r="Y12" s="69">
        <v>1129732</v>
      </c>
      <c r="Z12" s="53" t="s">
        <v>5248</v>
      </c>
      <c r="AA12" s="64"/>
      <c r="AB12" s="65"/>
      <c r="AC12" s="68">
        <v>1300916</v>
      </c>
      <c r="AD12" s="53" t="s">
        <v>5248</v>
      </c>
      <c r="AE12" s="69">
        <v>1206280</v>
      </c>
      <c r="AF12" s="67"/>
      <c r="AG12" s="68">
        <f>AC12</f>
        <v>1300916</v>
      </c>
      <c r="AH12" s="69">
        <v>1179589</v>
      </c>
      <c r="AI12" s="53" t="s">
        <v>5248</v>
      </c>
      <c r="AJ12" s="64"/>
      <c r="AK12" s="65"/>
      <c r="AL12" s="68">
        <v>1366590</v>
      </c>
      <c r="AM12" s="53" t="s">
        <v>5248</v>
      </c>
      <c r="AN12" s="69">
        <v>1365306</v>
      </c>
      <c r="AO12" s="67"/>
      <c r="AP12" s="26"/>
      <c r="AR12" s="68">
        <f>AL12</f>
        <v>1366590</v>
      </c>
      <c r="AS12" s="69">
        <v>1365306</v>
      </c>
      <c r="AT12" s="53"/>
      <c r="AU12" s="64">
        <f>AS12/AR12</f>
        <v>0.99906043509757869</v>
      </c>
      <c r="AV12" s="65"/>
      <c r="AW12" s="68">
        <v>1331900</v>
      </c>
      <c r="AX12" s="53"/>
      <c r="AY12" s="69">
        <f>AW12*AU12</f>
        <v>1330648.593506465</v>
      </c>
      <c r="AZ12" s="67"/>
      <c r="BA12" s="26"/>
      <c r="BC12" s="68">
        <v>1331900</v>
      </c>
      <c r="BD12" s="69">
        <v>1468304</v>
      </c>
      <c r="BE12" s="53"/>
      <c r="BF12" s="64">
        <f>BD12/BC12</f>
        <v>1.1024130940761319</v>
      </c>
      <c r="BG12" s="65"/>
      <c r="BH12" s="68">
        <v>1319870</v>
      </c>
      <c r="BI12" s="53" t="s">
        <v>5150</v>
      </c>
      <c r="BJ12" s="69">
        <f>1123840*4/3</f>
        <v>1498453.3333333333</v>
      </c>
      <c r="BK12" s="67"/>
      <c r="BL12" s="26"/>
    </row>
    <row r="13" spans="1:64" x14ac:dyDescent="0.35">
      <c r="A13" s="9168"/>
      <c r="B13" s="58"/>
      <c r="C13" s="587" t="s">
        <v>462</v>
      </c>
      <c r="D13" s="197"/>
      <c r="F13" s="3930">
        <v>977282</v>
      </c>
      <c r="G13" s="1256"/>
      <c r="H13" s="298">
        <v>912136</v>
      </c>
      <c r="I13" s="1988">
        <v>657005</v>
      </c>
      <c r="J13" s="73">
        <f>IF(H13=0,0,I13/H13)</f>
        <v>0.72029280721295952</v>
      </c>
      <c r="K13" s="65"/>
      <c r="L13" s="298">
        <v>1083733</v>
      </c>
      <c r="M13" s="66">
        <f>L13*J13</f>
        <v>780605.08483932225</v>
      </c>
      <c r="N13" s="67"/>
      <c r="O13" s="68">
        <v>1083733</v>
      </c>
      <c r="P13" s="69">
        <v>908113</v>
      </c>
      <c r="Q13" s="53" t="s">
        <v>5249</v>
      </c>
      <c r="R13" s="64"/>
      <c r="S13" s="65"/>
      <c r="T13" s="68">
        <v>1348948</v>
      </c>
      <c r="U13" s="53" t="s">
        <v>5249</v>
      </c>
      <c r="V13" s="69">
        <v>1138795</v>
      </c>
      <c r="W13" s="67"/>
      <c r="X13" s="68">
        <v>1348948</v>
      </c>
      <c r="Y13" s="69">
        <v>934783</v>
      </c>
      <c r="Z13" s="53" t="s">
        <v>5249</v>
      </c>
      <c r="AA13" s="64"/>
      <c r="AB13" s="65"/>
      <c r="AC13" s="68">
        <v>1237023</v>
      </c>
      <c r="AD13" s="53" t="s">
        <v>5249</v>
      </c>
      <c r="AE13" s="69">
        <v>835583</v>
      </c>
      <c r="AF13" s="67"/>
      <c r="AG13" s="68">
        <f>AC13</f>
        <v>1237023</v>
      </c>
      <c r="AH13" s="69">
        <v>1102958</v>
      </c>
      <c r="AI13" s="53" t="s">
        <v>5249</v>
      </c>
      <c r="AJ13" s="64"/>
      <c r="AK13" s="65"/>
      <c r="AL13" s="68">
        <v>1669060</v>
      </c>
      <c r="AM13" s="53" t="s">
        <v>5249</v>
      </c>
      <c r="AN13" s="69">
        <v>665506</v>
      </c>
      <c r="AO13" s="67"/>
      <c r="AP13" s="26"/>
      <c r="AR13" s="68">
        <f>AL13</f>
        <v>1669060</v>
      </c>
      <c r="AS13" s="69">
        <v>715510</v>
      </c>
      <c r="AT13" s="53"/>
      <c r="AU13" s="64">
        <f t="shared" ref="AU13:AU22" si="0">AS13/AR13</f>
        <v>0.42869040058476027</v>
      </c>
      <c r="AV13" s="65"/>
      <c r="AW13" s="68">
        <v>1628294</v>
      </c>
      <c r="AX13" s="53"/>
      <c r="AY13" s="69">
        <f>AW13*AU13</f>
        <v>698034.00712976162</v>
      </c>
      <c r="AZ13" s="67"/>
      <c r="BA13" s="26"/>
      <c r="BC13" s="68">
        <v>1628294</v>
      </c>
      <c r="BD13" s="69">
        <v>604659</v>
      </c>
      <c r="BE13" s="53"/>
      <c r="BF13" s="64">
        <f t="shared" ref="BF13" si="1">BD13/BC13</f>
        <v>0.37134510106897156</v>
      </c>
      <c r="BG13" s="65"/>
      <c r="BH13" s="68">
        <v>1423069</v>
      </c>
      <c r="BI13" s="53" t="s">
        <v>5150</v>
      </c>
      <c r="BJ13" s="69">
        <f>650968*4/3</f>
        <v>867957.33333333337</v>
      </c>
      <c r="BK13" s="67"/>
      <c r="BL13" s="26"/>
    </row>
    <row r="14" spans="1:64" x14ac:dyDescent="0.35">
      <c r="A14" s="9168"/>
      <c r="B14" s="75"/>
      <c r="C14" s="1096" t="s">
        <v>3267</v>
      </c>
      <c r="D14" s="197"/>
      <c r="F14" s="3931"/>
      <c r="G14" s="1256"/>
      <c r="H14" s="588"/>
      <c r="I14" s="3643"/>
      <c r="J14" s="73"/>
      <c r="K14" s="80"/>
      <c r="L14" s="588"/>
      <c r="M14" s="66"/>
      <c r="N14" s="67"/>
      <c r="O14" s="68"/>
      <c r="P14" s="69"/>
      <c r="Q14" s="53"/>
      <c r="R14" s="64"/>
      <c r="S14" s="65"/>
      <c r="T14" s="298"/>
      <c r="U14" s="53"/>
      <c r="V14" s="69"/>
      <c r="W14" s="67"/>
      <c r="X14" s="68"/>
      <c r="Y14" s="69"/>
      <c r="Z14" s="53"/>
      <c r="AA14" s="64"/>
      <c r="AB14" s="65"/>
      <c r="AC14" s="298"/>
      <c r="AD14" s="53"/>
      <c r="AE14" s="69"/>
      <c r="AF14" s="67"/>
      <c r="AG14" s="68"/>
      <c r="AH14" s="69"/>
      <c r="AI14" s="53"/>
      <c r="AJ14" s="64"/>
      <c r="AK14" s="65"/>
      <c r="AL14" s="298"/>
      <c r="AM14" s="53"/>
      <c r="AN14" s="69"/>
      <c r="AO14" s="67"/>
      <c r="AP14" s="26"/>
      <c r="AR14" s="68"/>
      <c r="AS14" s="69"/>
      <c r="AT14" s="53"/>
      <c r="AU14" s="64"/>
      <c r="AV14" s="65"/>
      <c r="AW14" s="298"/>
      <c r="AX14" s="53"/>
      <c r="AY14" s="69"/>
      <c r="AZ14" s="67"/>
      <c r="BA14" s="26"/>
      <c r="BC14" s="68"/>
      <c r="BD14" s="69"/>
      <c r="BE14" s="53"/>
      <c r="BF14" s="64"/>
      <c r="BG14" s="65"/>
      <c r="BH14" s="298"/>
      <c r="BI14" s="53"/>
      <c r="BJ14" s="69"/>
      <c r="BK14" s="67"/>
      <c r="BL14" s="26"/>
    </row>
    <row r="15" spans="1:64" x14ac:dyDescent="0.35">
      <c r="A15" s="9168"/>
      <c r="B15" s="85"/>
      <c r="C15" s="86" t="s">
        <v>466</v>
      </c>
      <c r="D15" s="209"/>
      <c r="F15" s="3932">
        <f>SUM(F12:F13)</f>
        <v>1764511</v>
      </c>
      <c r="G15" s="1256"/>
      <c r="H15" s="590">
        <f>SUM(H12:H13)</f>
        <v>1988275</v>
      </c>
      <c r="I15" s="1989">
        <f>SUM(I12:I13)</f>
        <v>1631059</v>
      </c>
      <c r="J15" s="91">
        <f>IF(H15=0,0,I15/H15)</f>
        <v>0.8203387358388553</v>
      </c>
      <c r="K15" s="80"/>
      <c r="L15" s="590">
        <f>SUM(L12:L13)</f>
        <v>2280168</v>
      </c>
      <c r="M15" s="92">
        <f>SUM(M12:M13)</f>
        <v>1863543.5319079631</v>
      </c>
      <c r="N15" s="67"/>
      <c r="O15" s="93">
        <f>SUM(O12:O14)</f>
        <v>2280168</v>
      </c>
      <c r="P15" s="94">
        <f>SUM(P12:P14)</f>
        <v>1996306</v>
      </c>
      <c r="Q15" s="95" t="s">
        <v>5250</v>
      </c>
      <c r="R15" s="64"/>
      <c r="S15" s="80"/>
      <c r="T15" s="590">
        <f>SUM(T12:T14)</f>
        <v>2625174</v>
      </c>
      <c r="U15" s="95" t="s">
        <v>5250</v>
      </c>
      <c r="V15" s="94">
        <f>SUM(V12:V14)</f>
        <v>2347504</v>
      </c>
      <c r="W15" s="67"/>
      <c r="X15" s="93">
        <f>SUM(X12:X14)</f>
        <v>2625174</v>
      </c>
      <c r="Y15" s="94">
        <f>SUM(Y12:Y14)</f>
        <v>2064515</v>
      </c>
      <c r="Z15" s="95" t="s">
        <v>5250</v>
      </c>
      <c r="AA15" s="64"/>
      <c r="AB15" s="80"/>
      <c r="AC15" s="590">
        <f>SUM(AC12:AC14)</f>
        <v>2537939</v>
      </c>
      <c r="AD15" s="95" t="s">
        <v>5250</v>
      </c>
      <c r="AE15" s="94">
        <f>SUM(AE12:AE14)</f>
        <v>2041863</v>
      </c>
      <c r="AF15" s="67"/>
      <c r="AG15" s="93">
        <f>SUM(AG12:AG14)</f>
        <v>2537939</v>
      </c>
      <c r="AH15" s="94">
        <f>SUM(AH12:AH14)</f>
        <v>2282547</v>
      </c>
      <c r="AI15" s="95" t="s">
        <v>5250</v>
      </c>
      <c r="AJ15" s="64"/>
      <c r="AK15" s="80"/>
      <c r="AL15" s="590">
        <f>SUM(AL12:AL14)</f>
        <v>3035650</v>
      </c>
      <c r="AM15" s="95" t="s">
        <v>5250</v>
      </c>
      <c r="AN15" s="94">
        <f>SUM(AN12:AN14)</f>
        <v>2030812</v>
      </c>
      <c r="AO15" s="67"/>
      <c r="AP15" s="24"/>
      <c r="AR15" s="93">
        <f>SUM(AR12:AR14)</f>
        <v>3035650</v>
      </c>
      <c r="AS15" s="94">
        <f>SUM(AS12:AS14)</f>
        <v>2080816</v>
      </c>
      <c r="AT15" s="95"/>
      <c r="AU15" s="64">
        <f t="shared" si="0"/>
        <v>0.68545978620723735</v>
      </c>
      <c r="AV15" s="80"/>
      <c r="AW15" s="590">
        <f>SUM(AW12:AW14)</f>
        <v>2960194</v>
      </c>
      <c r="AX15" s="95"/>
      <c r="AY15" s="94">
        <f>SUM(AY12:AY14)</f>
        <v>2028682.6006362266</v>
      </c>
      <c r="AZ15" s="67"/>
      <c r="BA15" s="3644"/>
      <c r="BC15" s="93">
        <f>SUM(BC12:BC14)</f>
        <v>2960194</v>
      </c>
      <c r="BD15" s="94">
        <f>SUM(BD12:BD14)</f>
        <v>2072963</v>
      </c>
      <c r="BE15" s="95"/>
      <c r="BF15" s="64">
        <f t="shared" ref="BF15" si="2">BD15/BC15</f>
        <v>0.70027944114473584</v>
      </c>
      <c r="BG15" s="80"/>
      <c r="BH15" s="590">
        <f>SUM(BH12:BH14)</f>
        <v>2742939</v>
      </c>
      <c r="BI15" s="95"/>
      <c r="BJ15" s="94">
        <f>SUM(BJ12:BJ14)</f>
        <v>2366410.6666666665</v>
      </c>
      <c r="BK15" s="67"/>
      <c r="BL15" s="3644"/>
    </row>
    <row r="16" spans="1:64" x14ac:dyDescent="0.35">
      <c r="A16" s="9168"/>
      <c r="B16" s="100" t="s">
        <v>468</v>
      </c>
      <c r="C16" s="49"/>
      <c r="D16" s="585"/>
      <c r="E16" s="43"/>
      <c r="F16" s="3645"/>
      <c r="G16" s="1256"/>
      <c r="H16" s="1368"/>
      <c r="I16" s="653"/>
      <c r="J16" s="104"/>
      <c r="K16" s="43"/>
      <c r="L16" s="230"/>
      <c r="M16" s="105"/>
      <c r="N16" s="43"/>
      <c r="O16" s="102"/>
      <c r="P16" s="106"/>
      <c r="Q16" s="592"/>
      <c r="R16" s="104"/>
      <c r="S16" s="43"/>
      <c r="T16" s="107"/>
      <c r="U16" s="592"/>
      <c r="V16" s="105"/>
      <c r="W16" s="43"/>
      <c r="X16" s="102"/>
      <c r="Y16" s="106"/>
      <c r="Z16" s="592"/>
      <c r="AA16" s="104"/>
      <c r="AB16" s="43"/>
      <c r="AC16" s="107"/>
      <c r="AD16" s="592"/>
      <c r="AE16" s="105"/>
      <c r="AF16" s="43"/>
      <c r="AG16" s="102"/>
      <c r="AH16" s="106"/>
      <c r="AI16" s="592"/>
      <c r="AJ16" s="104"/>
      <c r="AK16" s="43"/>
      <c r="AL16" s="107"/>
      <c r="AM16" s="592"/>
      <c r="AN16" s="105"/>
      <c r="AO16" s="43"/>
      <c r="AP16" s="18"/>
      <c r="AR16" s="102"/>
      <c r="AS16" s="106"/>
      <c r="AT16" s="592"/>
      <c r="AU16" s="104"/>
      <c r="AV16" s="43"/>
      <c r="AW16" s="107"/>
      <c r="AX16" s="592"/>
      <c r="AY16" s="105"/>
      <c r="AZ16" s="43"/>
      <c r="BA16" s="18"/>
      <c r="BC16" s="102"/>
      <c r="BD16" s="106"/>
      <c r="BE16" s="592"/>
      <c r="BF16" s="104"/>
      <c r="BG16" s="43"/>
      <c r="BH16" s="107"/>
      <c r="BI16" s="592"/>
      <c r="BJ16" s="1846" t="s">
        <v>5247</v>
      </c>
      <c r="BK16" s="43"/>
      <c r="BL16" s="18"/>
    </row>
    <row r="17" spans="1:64" x14ac:dyDescent="0.35">
      <c r="A17" s="9168"/>
      <c r="B17" s="6082"/>
      <c r="C17" s="110" t="s">
        <v>470</v>
      </c>
      <c r="D17" s="197">
        <v>1</v>
      </c>
      <c r="F17" s="1301">
        <f>850538-23824</f>
        <v>826714</v>
      </c>
      <c r="G17" s="1256"/>
      <c r="H17" s="593">
        <f>1170728-36863</f>
        <v>1133865</v>
      </c>
      <c r="I17" s="636">
        <f>1150618-27702</f>
        <v>1122916</v>
      </c>
      <c r="J17" s="64">
        <f>IF(H17=0,0,I17/H17)</f>
        <v>0.99034364761237004</v>
      </c>
      <c r="L17" s="593">
        <f>1346223-30686</f>
        <v>1315537</v>
      </c>
      <c r="M17" s="66">
        <f>L17*J17</f>
        <v>1302833.7111490346</v>
      </c>
      <c r="O17" s="593">
        <f>1346223-O20</f>
        <v>1315537</v>
      </c>
      <c r="P17" s="594">
        <f>1332093-P20</f>
        <v>1279960</v>
      </c>
      <c r="Q17" s="116"/>
      <c r="R17" s="64"/>
      <c r="T17" s="595">
        <v>1345608</v>
      </c>
      <c r="U17" s="116" t="s">
        <v>5251</v>
      </c>
      <c r="V17" s="596">
        <f>1378495-V20</f>
        <v>1322021</v>
      </c>
      <c r="X17" s="593">
        <v>1345608</v>
      </c>
      <c r="Y17" s="594">
        <f>1358295-Y20</f>
        <v>1324200</v>
      </c>
      <c r="Z17" s="116" t="s">
        <v>5251</v>
      </c>
      <c r="AA17" s="64"/>
      <c r="AC17" s="595">
        <f>1423081-AC20</f>
        <v>1370666</v>
      </c>
      <c r="AD17" s="116" t="s">
        <v>5251</v>
      </c>
      <c r="AE17" s="596">
        <f>1345408-AE20</f>
        <v>1286333</v>
      </c>
      <c r="AG17" s="593">
        <f t="shared" ref="AG17:AG21" si="3">AC17</f>
        <v>1370666</v>
      </c>
      <c r="AH17" s="594">
        <f>1404577-AH20</f>
        <v>1365942</v>
      </c>
      <c r="AI17" s="116" t="s">
        <v>5251</v>
      </c>
      <c r="AJ17" s="64"/>
      <c r="AL17" s="595">
        <f>1511839-AL20</f>
        <v>1461600</v>
      </c>
      <c r="AM17" s="116" t="s">
        <v>5251</v>
      </c>
      <c r="AN17" s="596">
        <f>1401433-AN20</f>
        <v>1367440</v>
      </c>
      <c r="AP17" s="26" t="s">
        <v>5252</v>
      </c>
      <c r="AR17" s="595">
        <f>1511839-AR20</f>
        <v>1461510</v>
      </c>
      <c r="AS17" s="594">
        <f>1473182-AS20</f>
        <v>1438940</v>
      </c>
      <c r="AT17" s="116"/>
      <c r="AU17" s="64">
        <f t="shared" si="0"/>
        <v>0.98455706769026552</v>
      </c>
      <c r="AW17" s="595">
        <f>1539272-AW20</f>
        <v>1476447</v>
      </c>
      <c r="AX17" s="116"/>
      <c r="AY17" s="596">
        <f>AW17*AU17</f>
        <v>1453646.3289200894</v>
      </c>
      <c r="BA17" s="257"/>
      <c r="BC17" s="595">
        <f>1476447</f>
        <v>1476447</v>
      </c>
      <c r="BD17" s="594">
        <f>1677258</f>
        <v>1677258</v>
      </c>
      <c r="BE17" s="116" t="s">
        <v>5253</v>
      </c>
      <c r="BF17" s="64">
        <f t="shared" ref="BF17:BF22" si="4">BD17/BC17</f>
        <v>1.1360096231019468</v>
      </c>
      <c r="BH17" s="595">
        <f>1896546-BH20</f>
        <v>1854261</v>
      </c>
      <c r="BI17" s="116" t="s">
        <v>896</v>
      </c>
      <c r="BJ17" s="596">
        <f>(1615199-210627)*4/3+210627-BJ20</f>
        <v>2038029.6666666667</v>
      </c>
      <c r="BL17" s="26"/>
    </row>
    <row r="18" spans="1:64" x14ac:dyDescent="0.35">
      <c r="A18" s="9168"/>
      <c r="B18" s="6082"/>
      <c r="C18" s="121" t="s">
        <v>630</v>
      </c>
      <c r="D18" s="197"/>
      <c r="F18" s="1301">
        <v>1466277</v>
      </c>
      <c r="G18" s="1256"/>
      <c r="H18" s="593">
        <v>1772129</v>
      </c>
      <c r="I18" s="636">
        <v>834770</v>
      </c>
      <c r="J18" s="64">
        <f>IF(H18=0,0,I18/H18)</f>
        <v>0.47105487241617289</v>
      </c>
      <c r="L18" s="593">
        <v>1625871</v>
      </c>
      <c r="M18" s="66">
        <f>L18*J18</f>
        <v>765874.45647015539</v>
      </c>
      <c r="O18" s="598">
        <v>133151</v>
      </c>
      <c r="P18" s="594">
        <v>61451</v>
      </c>
      <c r="Q18" s="127"/>
      <c r="R18" s="64"/>
      <c r="T18" s="595">
        <v>608226</v>
      </c>
      <c r="U18" s="116" t="s">
        <v>5254</v>
      </c>
      <c r="V18" s="596">
        <v>173234</v>
      </c>
      <c r="X18" s="598">
        <v>608226</v>
      </c>
      <c r="Y18" s="594">
        <v>69566</v>
      </c>
      <c r="Z18" s="127" t="s">
        <v>5254</v>
      </c>
      <c r="AA18" s="64"/>
      <c r="AC18" s="595">
        <v>181696</v>
      </c>
      <c r="AD18" s="116" t="s">
        <v>5254</v>
      </c>
      <c r="AE18" s="596">
        <v>47947</v>
      </c>
      <c r="AG18" s="598">
        <f t="shared" si="3"/>
        <v>181696</v>
      </c>
      <c r="AH18" s="594">
        <v>50185</v>
      </c>
      <c r="AI18" s="127" t="s">
        <v>5254</v>
      </c>
      <c r="AJ18" s="64"/>
      <c r="AL18" s="595">
        <v>48540</v>
      </c>
      <c r="AM18" s="116" t="s">
        <v>5254</v>
      </c>
      <c r="AN18" s="596">
        <v>25248</v>
      </c>
      <c r="AP18" s="26"/>
      <c r="AR18" s="595">
        <v>48540</v>
      </c>
      <c r="AS18" s="594">
        <v>25248</v>
      </c>
      <c r="AT18" s="127"/>
      <c r="AU18" s="64">
        <f t="shared" si="0"/>
        <v>0.52014833127317672</v>
      </c>
      <c r="AW18" s="595">
        <v>41561</v>
      </c>
      <c r="AX18" s="116"/>
      <c r="AY18" s="596">
        <f t="shared" ref="AY18:AY21" si="5">AW18*AU18</f>
        <v>21617.884796044498</v>
      </c>
      <c r="BA18" s="257"/>
      <c r="BC18" s="595">
        <v>41561</v>
      </c>
      <c r="BD18" s="594">
        <v>18266.759999999998</v>
      </c>
      <c r="BE18" s="127"/>
      <c r="BF18" s="64">
        <f t="shared" si="4"/>
        <v>0.43951685474362978</v>
      </c>
      <c r="BH18" s="595">
        <v>46147</v>
      </c>
      <c r="BI18" s="116" t="s">
        <v>896</v>
      </c>
      <c r="BJ18" s="596">
        <f>17000*4/3</f>
        <v>22666.666666666668</v>
      </c>
      <c r="BL18" s="257"/>
    </row>
    <row r="19" spans="1:64" x14ac:dyDescent="0.35">
      <c r="A19" s="9168"/>
      <c r="B19" s="6082"/>
      <c r="C19" s="121" t="s">
        <v>632</v>
      </c>
      <c r="D19" s="197"/>
      <c r="F19" s="1301"/>
      <c r="G19" s="1256"/>
      <c r="H19" s="593"/>
      <c r="I19" s="636"/>
      <c r="J19" s="64"/>
      <c r="L19" s="593"/>
      <c r="M19" s="66"/>
      <c r="O19" s="598">
        <v>1492720</v>
      </c>
      <c r="P19" s="594">
        <v>1107189</v>
      </c>
      <c r="Q19" s="127"/>
      <c r="R19" s="64"/>
      <c r="T19" s="595">
        <v>1533924</v>
      </c>
      <c r="U19" s="116" t="s">
        <v>5255</v>
      </c>
      <c r="V19" s="596">
        <v>925724</v>
      </c>
      <c r="X19" s="598">
        <v>1533924</v>
      </c>
      <c r="Y19" s="594">
        <v>991126</v>
      </c>
      <c r="Z19" s="127" t="s">
        <v>5255</v>
      </c>
      <c r="AA19" s="64"/>
      <c r="AC19" s="595">
        <v>1376320</v>
      </c>
      <c r="AD19" s="116" t="s">
        <v>5255</v>
      </c>
      <c r="AE19" s="596">
        <v>786509</v>
      </c>
      <c r="AG19" s="598">
        <f t="shared" si="3"/>
        <v>1376320</v>
      </c>
      <c r="AH19" s="594">
        <v>1150419</v>
      </c>
      <c r="AI19" s="127" t="s">
        <v>5255</v>
      </c>
      <c r="AJ19" s="64"/>
      <c r="AL19" s="595">
        <v>1602002</v>
      </c>
      <c r="AM19" s="116" t="s">
        <v>5255</v>
      </c>
      <c r="AN19" s="596">
        <v>760436</v>
      </c>
      <c r="AP19" s="26"/>
      <c r="AR19" s="595">
        <v>1602002</v>
      </c>
      <c r="AS19" s="594">
        <v>760512</v>
      </c>
      <c r="AT19" s="127"/>
      <c r="AU19" s="64">
        <f t="shared" si="0"/>
        <v>0.47472599909363411</v>
      </c>
      <c r="AW19" s="595">
        <v>1425174</v>
      </c>
      <c r="AX19" s="116"/>
      <c r="AY19" s="596">
        <f t="shared" si="5"/>
        <v>676567.15103227086</v>
      </c>
      <c r="BA19" s="257"/>
      <c r="BC19" s="595">
        <v>1425174</v>
      </c>
      <c r="BD19" s="594">
        <v>445104</v>
      </c>
      <c r="BE19" s="127"/>
      <c r="BF19" s="64">
        <f t="shared" si="4"/>
        <v>0.31231554883824714</v>
      </c>
      <c r="BH19" s="595">
        <v>1136958</v>
      </c>
      <c r="BI19" s="116" t="s">
        <v>896</v>
      </c>
      <c r="BJ19" s="596">
        <f>332670*4/3</f>
        <v>443560</v>
      </c>
      <c r="BL19" s="257"/>
    </row>
    <row r="20" spans="1:64" x14ac:dyDescent="0.35">
      <c r="A20" s="9168"/>
      <c r="B20" s="6082"/>
      <c r="C20" s="121" t="s">
        <v>3967</v>
      </c>
      <c r="D20" s="197">
        <v>2</v>
      </c>
      <c r="F20" s="1301">
        <v>23824</v>
      </c>
      <c r="G20" s="1256"/>
      <c r="H20" s="593">
        <v>36863</v>
      </c>
      <c r="I20" s="636">
        <v>27702</v>
      </c>
      <c r="J20" s="64">
        <f>IF(H20=0,0,I20/H20)</f>
        <v>0.75148522909150095</v>
      </c>
      <c r="L20" s="593">
        <f>30686+112408</f>
        <v>143094</v>
      </c>
      <c r="M20" s="66">
        <f>L20*J20</f>
        <v>107533.02737161923</v>
      </c>
      <c r="O20" s="598">
        <v>30686</v>
      </c>
      <c r="P20" s="599">
        <v>52133</v>
      </c>
      <c r="Q20" s="116"/>
      <c r="R20" s="64"/>
      <c r="T20" s="598">
        <v>56474</v>
      </c>
      <c r="U20" s="116" t="s">
        <v>5256</v>
      </c>
      <c r="V20" s="600">
        <v>56474</v>
      </c>
      <c r="X20" s="598">
        <v>56474</v>
      </c>
      <c r="Y20" s="599">
        <v>34095</v>
      </c>
      <c r="Z20" s="116" t="s">
        <v>5256</v>
      </c>
      <c r="AA20" s="64"/>
      <c r="AC20" s="598">
        <v>52415</v>
      </c>
      <c r="AD20" s="116" t="s">
        <v>5256</v>
      </c>
      <c r="AE20" s="600">
        <v>59075</v>
      </c>
      <c r="AG20" s="598">
        <f t="shared" si="3"/>
        <v>52415</v>
      </c>
      <c r="AH20" s="599">
        <v>38635</v>
      </c>
      <c r="AI20" s="116" t="s">
        <v>5256</v>
      </c>
      <c r="AJ20" s="64"/>
      <c r="AL20" s="598">
        <v>50239</v>
      </c>
      <c r="AM20" s="116" t="s">
        <v>5256</v>
      </c>
      <c r="AN20" s="600">
        <v>33993</v>
      </c>
      <c r="AP20" s="26" t="s">
        <v>5257</v>
      </c>
      <c r="AR20" s="595">
        <v>50329</v>
      </c>
      <c r="AS20" s="594">
        <v>34242</v>
      </c>
      <c r="AT20" s="116"/>
      <c r="AU20" s="64">
        <f t="shared" si="0"/>
        <v>0.68036321007768885</v>
      </c>
      <c r="AW20" s="595">
        <v>62825</v>
      </c>
      <c r="AX20" s="116"/>
      <c r="AY20" s="596">
        <f t="shared" si="5"/>
        <v>42743.818673130801</v>
      </c>
      <c r="BA20" s="257"/>
      <c r="BC20" s="595">
        <v>62825</v>
      </c>
      <c r="BD20" s="594">
        <v>65520</v>
      </c>
      <c r="BE20" s="116"/>
      <c r="BF20" s="64">
        <f t="shared" si="4"/>
        <v>1.0428969359331477</v>
      </c>
      <c r="BH20" s="2789">
        <v>42285</v>
      </c>
      <c r="BI20" s="6934" t="s">
        <v>896</v>
      </c>
      <c r="BJ20" s="2797">
        <f>34020*4/3</f>
        <v>45360</v>
      </c>
      <c r="BL20" s="257"/>
    </row>
    <row r="21" spans="1:64" x14ac:dyDescent="0.35">
      <c r="A21" s="9168"/>
      <c r="B21" s="6082"/>
      <c r="C21" s="121" t="s">
        <v>3285</v>
      </c>
      <c r="D21" s="197"/>
      <c r="F21" s="1306"/>
      <c r="G21" s="1256"/>
      <c r="H21" s="598"/>
      <c r="I21" s="599"/>
      <c r="J21" s="64"/>
      <c r="L21" s="598"/>
      <c r="M21" s="66"/>
      <c r="O21" s="598">
        <v>112408</v>
      </c>
      <c r="P21" s="599">
        <v>179000</v>
      </c>
      <c r="Q21" s="127"/>
      <c r="R21" s="64"/>
      <c r="T21" s="598">
        <v>181101</v>
      </c>
      <c r="U21" s="116" t="s">
        <v>5258</v>
      </c>
      <c r="V21" s="600">
        <v>181101</v>
      </c>
      <c r="X21" s="598">
        <v>181101</v>
      </c>
      <c r="Y21" s="599">
        <v>119855</v>
      </c>
      <c r="Z21" s="127" t="s">
        <v>5258</v>
      </c>
      <c r="AA21" s="64"/>
      <c r="AC21" s="598">
        <v>179279</v>
      </c>
      <c r="AD21" s="116" t="s">
        <v>5258</v>
      </c>
      <c r="AE21" s="600">
        <v>126868</v>
      </c>
      <c r="AG21" s="598">
        <f t="shared" si="3"/>
        <v>179279</v>
      </c>
      <c r="AH21" s="599">
        <v>111555</v>
      </c>
      <c r="AI21" s="127" t="s">
        <v>5258</v>
      </c>
      <c r="AJ21" s="64"/>
      <c r="AL21" s="598">
        <v>115884</v>
      </c>
      <c r="AM21" s="116" t="s">
        <v>5258</v>
      </c>
      <c r="AN21" s="600">
        <v>86397</v>
      </c>
      <c r="AP21" s="26"/>
      <c r="AR21" s="598">
        <v>115884</v>
      </c>
      <c r="AS21" s="594">
        <v>86397</v>
      </c>
      <c r="AT21" s="127"/>
      <c r="AU21" s="64">
        <f t="shared" si="0"/>
        <v>0.74554727140934041</v>
      </c>
      <c r="AW21" s="598">
        <v>154261</v>
      </c>
      <c r="AX21" s="116"/>
      <c r="AY21" s="596">
        <f t="shared" si="5"/>
        <v>115008.86763487627</v>
      </c>
      <c r="BA21" s="257"/>
      <c r="BC21" s="598">
        <v>154261</v>
      </c>
      <c r="BD21" s="594">
        <v>116344</v>
      </c>
      <c r="BE21" s="127"/>
      <c r="BF21" s="64">
        <f t="shared" si="4"/>
        <v>0.75420229351553536</v>
      </c>
      <c r="BH21" s="2758">
        <v>104853</v>
      </c>
      <c r="BI21" s="6934" t="s">
        <v>896</v>
      </c>
      <c r="BJ21" s="2797">
        <f>113012*4/3</f>
        <v>150682.66666666666</v>
      </c>
      <c r="BL21" s="257"/>
    </row>
    <row r="22" spans="1:64" x14ac:dyDescent="0.35">
      <c r="A22" s="9168"/>
      <c r="B22" s="128"/>
      <c r="C22" s="129" t="s">
        <v>479</v>
      </c>
      <c r="D22" s="209"/>
      <c r="F22" s="1312">
        <f>SUM(F17:F20)</f>
        <v>2316815</v>
      </c>
      <c r="G22" s="1270"/>
      <c r="H22" s="602">
        <f>SUM(H17:H20)</f>
        <v>2942857</v>
      </c>
      <c r="I22" s="603">
        <f>SUM(I17:I20)</f>
        <v>1985388</v>
      </c>
      <c r="J22" s="133">
        <f>IF(H22=0,0,I22/H22)</f>
        <v>0.67464644051681755</v>
      </c>
      <c r="L22" s="602">
        <f>SUM(L17:L20)</f>
        <v>3084502</v>
      </c>
      <c r="M22" s="628">
        <f>SUM(M17:M20)</f>
        <v>2176241.1949908091</v>
      </c>
      <c r="O22" s="602">
        <f>SUM(O17:O21)</f>
        <v>3084502</v>
      </c>
      <c r="P22" s="602">
        <f>SUM(P17:P21)</f>
        <v>2679733</v>
      </c>
      <c r="Q22" s="116"/>
      <c r="R22" s="64"/>
      <c r="T22" s="602">
        <f>SUM(T17:T21)</f>
        <v>3725333</v>
      </c>
      <c r="U22" s="134" t="s">
        <v>5259</v>
      </c>
      <c r="V22" s="604">
        <f>SUM(V17:V21)</f>
        <v>2658554</v>
      </c>
      <c r="X22" s="602">
        <f>SUM(X17:X21)</f>
        <v>3725333</v>
      </c>
      <c r="Y22" s="602">
        <f>SUM(Y17:Y21)</f>
        <v>2538842</v>
      </c>
      <c r="Z22" s="116" t="s">
        <v>5259</v>
      </c>
      <c r="AA22" s="64"/>
      <c r="AC22" s="602">
        <f>SUM(AC17:AC21)</f>
        <v>3160376</v>
      </c>
      <c r="AD22" s="134" t="s">
        <v>5259</v>
      </c>
      <c r="AE22" s="604">
        <f>SUM(AE17:AE21)</f>
        <v>2306732</v>
      </c>
      <c r="AG22" s="602">
        <f>SUM(AG17:AG21)</f>
        <v>3160376</v>
      </c>
      <c r="AH22" s="602">
        <f>SUM(AH17:AH21)</f>
        <v>2716736</v>
      </c>
      <c r="AI22" s="116" t="s">
        <v>5259</v>
      </c>
      <c r="AJ22" s="64"/>
      <c r="AL22" s="602">
        <f>SUM(AL17:AL21)</f>
        <v>3278265</v>
      </c>
      <c r="AM22" s="134" t="s">
        <v>5259</v>
      </c>
      <c r="AN22" s="604">
        <f>SUM(AN17:AN21)</f>
        <v>2273514</v>
      </c>
      <c r="AP22" s="24"/>
      <c r="AR22" s="602">
        <f>SUM(AR17:AR21)</f>
        <v>3278265</v>
      </c>
      <c r="AS22" s="602">
        <f>SUM(AS17:AS21)</f>
        <v>2345339</v>
      </c>
      <c r="AT22" s="116"/>
      <c r="AU22" s="64">
        <f t="shared" si="0"/>
        <v>0.71542080948306497</v>
      </c>
      <c r="AW22" s="602">
        <f>SUM(AW17:AW21)</f>
        <v>3160268</v>
      </c>
      <c r="AX22" s="134"/>
      <c r="AY22" s="604">
        <f>SUM(AY17:AY21)</f>
        <v>2309584.0510564116</v>
      </c>
      <c r="BA22" s="24"/>
      <c r="BC22" s="602">
        <f>SUM(BC17:BC21)</f>
        <v>3160268</v>
      </c>
      <c r="BD22" s="602">
        <f>SUM(BD17:BD21)</f>
        <v>2322492.7599999998</v>
      </c>
      <c r="BE22" s="116"/>
      <c r="BF22" s="64">
        <f t="shared" si="4"/>
        <v>0.73490373601226222</v>
      </c>
      <c r="BH22" s="2769">
        <f>SUM(BH17:BH21)</f>
        <v>3184504</v>
      </c>
      <c r="BI22" s="8346"/>
      <c r="BJ22" s="6317">
        <f>SUM(BJ17:BJ21)</f>
        <v>2700299</v>
      </c>
      <c r="BL22" s="24"/>
    </row>
    <row r="23" spans="1:64" x14ac:dyDescent="0.35">
      <c r="A23" s="9168"/>
      <c r="B23" s="139" t="s">
        <v>480</v>
      </c>
      <c r="C23" s="49"/>
      <c r="D23" s="184"/>
      <c r="E23" s="141"/>
      <c r="F23" s="3646"/>
      <c r="G23" s="1321"/>
      <c r="H23" s="3647"/>
      <c r="I23" s="1127"/>
      <c r="J23" s="146"/>
      <c r="K23" s="141"/>
      <c r="L23" s="3648"/>
      <c r="M23" s="49"/>
      <c r="N23" s="141"/>
      <c r="O23" s="606"/>
      <c r="P23" s="145"/>
      <c r="Q23" s="145"/>
      <c r="R23" s="146"/>
      <c r="S23" s="141"/>
      <c r="T23" s="151"/>
      <c r="U23" s="145"/>
      <c r="V23" s="148"/>
      <c r="W23" s="141"/>
      <c r="X23" s="606"/>
      <c r="Y23" s="145"/>
      <c r="Z23" s="145"/>
      <c r="AA23" s="146"/>
      <c r="AB23" s="141"/>
      <c r="AC23" s="151"/>
      <c r="AD23" s="145"/>
      <c r="AE23" s="148"/>
      <c r="AF23" s="141"/>
      <c r="AG23" s="606"/>
      <c r="AH23" s="145"/>
      <c r="AI23" s="145"/>
      <c r="AJ23" s="146"/>
      <c r="AK23" s="141"/>
      <c r="AL23" s="151"/>
      <c r="AM23" s="145"/>
      <c r="AN23" s="148"/>
      <c r="AO23" s="141"/>
      <c r="AP23" s="18"/>
      <c r="AR23" s="606"/>
      <c r="AS23" s="145"/>
      <c r="AT23" s="145"/>
      <c r="AU23" s="146"/>
      <c r="AV23" s="141"/>
      <c r="AW23" s="151"/>
      <c r="AX23" s="145"/>
      <c r="AY23" s="148"/>
      <c r="AZ23" s="141"/>
      <c r="BA23" s="18"/>
      <c r="BC23" s="606"/>
      <c r="BD23" s="145"/>
      <c r="BE23" s="145"/>
      <c r="BF23" s="146"/>
      <c r="BG23" s="141"/>
      <c r="BH23" s="8347" t="s">
        <v>5260</v>
      </c>
      <c r="BI23" s="8348"/>
      <c r="BJ23" s="8349" t="s">
        <v>5260</v>
      </c>
      <c r="BK23" s="141"/>
      <c r="BL23" s="18" t="s">
        <v>5261</v>
      </c>
    </row>
    <row r="24" spans="1:64" x14ac:dyDescent="0.35">
      <c r="A24" s="9168"/>
      <c r="B24" s="6082"/>
      <c r="C24" s="110" t="s">
        <v>483</v>
      </c>
      <c r="D24" s="197">
        <v>3</v>
      </c>
      <c r="F24" s="3933">
        <v>369185</v>
      </c>
      <c r="G24" s="1270"/>
      <c r="H24" s="156">
        <v>542226</v>
      </c>
      <c r="I24" s="594">
        <v>569453</v>
      </c>
      <c r="J24" s="64">
        <f>IF(H24=0,0,I24/H24)</f>
        <v>1.0502133796608795</v>
      </c>
      <c r="L24" s="156">
        <v>630812</v>
      </c>
      <c r="M24" s="66">
        <f>L24*J24</f>
        <v>662487.20245063875</v>
      </c>
      <c r="O24" s="595">
        <v>630812</v>
      </c>
      <c r="P24" s="594">
        <v>630812</v>
      </c>
      <c r="Q24" s="116" t="s">
        <v>5262</v>
      </c>
      <c r="R24" s="64"/>
      <c r="T24" s="607">
        <v>676084</v>
      </c>
      <c r="U24" s="116" t="s">
        <v>5262</v>
      </c>
      <c r="V24" s="596">
        <v>676084</v>
      </c>
      <c r="X24" s="595">
        <v>676084</v>
      </c>
      <c r="Y24" s="594">
        <v>684309</v>
      </c>
      <c r="Z24" s="116" t="s">
        <v>5262</v>
      </c>
      <c r="AA24" s="64"/>
      <c r="AC24" s="607">
        <v>701615</v>
      </c>
      <c r="AD24" s="116" t="s">
        <v>5262</v>
      </c>
      <c r="AE24" s="596">
        <v>701615</v>
      </c>
      <c r="AG24" s="598">
        <f t="shared" ref="AG24:AG25" si="6">AC24</f>
        <v>701615</v>
      </c>
      <c r="AH24" s="594">
        <v>745213</v>
      </c>
      <c r="AI24" s="116" t="s">
        <v>5262</v>
      </c>
      <c r="AJ24" s="64"/>
      <c r="AL24" s="607">
        <v>749258</v>
      </c>
      <c r="AM24" s="116" t="s">
        <v>5262</v>
      </c>
      <c r="AN24" s="596">
        <v>735475</v>
      </c>
      <c r="AP24" s="26" t="s">
        <v>5262</v>
      </c>
      <c r="AR24" s="598">
        <v>749258</v>
      </c>
      <c r="AS24" s="594">
        <v>795975</v>
      </c>
      <c r="AT24" s="116"/>
      <c r="AU24" s="64">
        <f>AS24/AR24</f>
        <v>1.0623510192750694</v>
      </c>
      <c r="AW24" s="607">
        <v>809224</v>
      </c>
      <c r="AX24" s="116"/>
      <c r="AY24" s="596">
        <f>AW24*AU24</f>
        <v>859679.94122184871</v>
      </c>
      <c r="BA24" s="26"/>
      <c r="BC24" s="607">
        <v>809224</v>
      </c>
      <c r="BD24" s="594">
        <v>847549</v>
      </c>
      <c r="BE24" s="116"/>
      <c r="BF24" s="64">
        <f>BD24/BC24</f>
        <v>1.0473601870433897</v>
      </c>
      <c r="BH24" s="6321">
        <v>980529</v>
      </c>
      <c r="BI24" s="6934"/>
      <c r="BJ24" s="2797">
        <f>704030*4/3</f>
        <v>938706.66666666663</v>
      </c>
      <c r="BL24" s="26"/>
    </row>
    <row r="25" spans="1:64" x14ac:dyDescent="0.35">
      <c r="A25" s="9168"/>
      <c r="B25" s="6082"/>
      <c r="C25" s="110" t="s">
        <v>489</v>
      </c>
      <c r="D25" s="197">
        <v>4</v>
      </c>
      <c r="F25" s="3933">
        <v>121624</v>
      </c>
      <c r="G25" s="1270"/>
      <c r="H25" s="117">
        <v>167480</v>
      </c>
      <c r="I25" s="594"/>
      <c r="J25" s="64">
        <f>IF(H25=0,0,I25/H25)</f>
        <v>0</v>
      </c>
      <c r="L25" s="156"/>
      <c r="M25" s="66">
        <f>L25*J25</f>
        <v>0</v>
      </c>
      <c r="O25" s="595">
        <v>167924</v>
      </c>
      <c r="P25" s="594">
        <v>153650</v>
      </c>
      <c r="Q25" s="116" t="s">
        <v>5263</v>
      </c>
      <c r="R25" s="64"/>
      <c r="T25" s="156">
        <v>193365</v>
      </c>
      <c r="U25" s="116" t="s">
        <v>5263</v>
      </c>
      <c r="V25" s="596">
        <v>193365</v>
      </c>
      <c r="X25" s="595">
        <v>193365</v>
      </c>
      <c r="Y25" s="594">
        <v>210101</v>
      </c>
      <c r="Z25" s="116" t="s">
        <v>5263</v>
      </c>
      <c r="AA25" s="64"/>
      <c r="AC25" s="156">
        <v>186080</v>
      </c>
      <c r="AD25" s="116" t="s">
        <v>5263</v>
      </c>
      <c r="AE25" s="596">
        <v>186080</v>
      </c>
      <c r="AG25" s="598">
        <f t="shared" si="6"/>
        <v>186080</v>
      </c>
      <c r="AH25" s="594">
        <v>310307</v>
      </c>
      <c r="AI25" s="116" t="s">
        <v>5263</v>
      </c>
      <c r="AJ25" s="64"/>
      <c r="AL25" s="156">
        <v>311110</v>
      </c>
      <c r="AM25" s="116" t="s">
        <v>5263</v>
      </c>
      <c r="AN25" s="596">
        <v>293318</v>
      </c>
      <c r="AP25" s="26" t="s">
        <v>5263</v>
      </c>
      <c r="AR25" s="598">
        <v>311110</v>
      </c>
      <c r="AS25" s="594">
        <v>225895</v>
      </c>
      <c r="AT25" s="116"/>
      <c r="AU25" s="64">
        <f>AS25/AR25</f>
        <v>0.72609366462023084</v>
      </c>
      <c r="AW25" s="156">
        <v>227662</v>
      </c>
      <c r="AX25" s="116"/>
      <c r="AY25" s="596">
        <f>AW25*AU25</f>
        <v>165303.93587477101</v>
      </c>
      <c r="BA25" s="26"/>
      <c r="BC25" s="156">
        <v>227662</v>
      </c>
      <c r="BD25" s="594">
        <v>219588</v>
      </c>
      <c r="BE25" s="116"/>
      <c r="BF25" s="64">
        <f>BD25/BC25</f>
        <v>0.96453514420500563</v>
      </c>
      <c r="BH25" s="3222" t="s">
        <v>5264</v>
      </c>
      <c r="BI25" s="6934"/>
      <c r="BJ25" s="2797">
        <f>185616*4/3</f>
        <v>247488</v>
      </c>
      <c r="BL25" s="26"/>
    </row>
    <row r="26" spans="1:64" x14ac:dyDescent="0.35">
      <c r="A26" s="9168"/>
      <c r="B26" s="6082"/>
      <c r="C26" s="110" t="s">
        <v>490</v>
      </c>
      <c r="D26" s="197">
        <v>5</v>
      </c>
      <c r="F26" s="3933"/>
      <c r="G26" s="1270"/>
      <c r="H26" s="159"/>
      <c r="I26" s="594"/>
      <c r="J26" s="64">
        <f>IF(H26=0,0,I26/H26)</f>
        <v>0</v>
      </c>
      <c r="L26" s="159"/>
      <c r="M26" s="66">
        <f>L26*J26</f>
        <v>0</v>
      </c>
      <c r="O26" s="595"/>
      <c r="P26" s="594"/>
      <c r="Q26" s="116"/>
      <c r="R26" s="64"/>
      <c r="T26" s="156"/>
      <c r="U26" s="127"/>
      <c r="V26" s="596"/>
      <c r="X26" s="595"/>
      <c r="Y26" s="594"/>
      <c r="Z26" s="116"/>
      <c r="AA26" s="64"/>
      <c r="AC26" s="156"/>
      <c r="AD26" s="127"/>
      <c r="AE26" s="596"/>
      <c r="AG26" s="595"/>
      <c r="AH26" s="594"/>
      <c r="AI26" s="116"/>
      <c r="AJ26" s="64"/>
      <c r="AL26" s="156"/>
      <c r="AM26" s="127"/>
      <c r="AN26" s="596"/>
      <c r="AP26" s="26" t="s">
        <v>5265</v>
      </c>
      <c r="AR26" s="595"/>
      <c r="AS26" s="594"/>
      <c r="AT26" s="116"/>
      <c r="AU26" s="64"/>
      <c r="AW26" s="156"/>
      <c r="AX26" s="127"/>
      <c r="AY26" s="596"/>
      <c r="BA26" s="26"/>
      <c r="BC26" s="595"/>
      <c r="BD26" s="594"/>
      <c r="BE26" s="116"/>
      <c r="BF26" s="64"/>
      <c r="BH26" s="3222"/>
      <c r="BI26" s="8350"/>
      <c r="BJ26" s="2797"/>
      <c r="BL26" s="26"/>
    </row>
    <row r="27" spans="1:64" x14ac:dyDescent="0.35">
      <c r="A27" s="9168"/>
      <c r="B27" s="6082"/>
      <c r="C27" s="161" t="s">
        <v>497</v>
      </c>
      <c r="D27" s="610"/>
      <c r="F27" s="1335"/>
      <c r="G27" s="1270"/>
      <c r="H27" s="612"/>
      <c r="I27" s="613"/>
      <c r="J27" s="64">
        <f>IF(H27=0,0,I27/H27)</f>
        <v>0</v>
      </c>
      <c r="L27" s="166"/>
      <c r="M27" s="157"/>
      <c r="O27" s="612"/>
      <c r="P27" s="613"/>
      <c r="Q27" s="106"/>
      <c r="R27" s="64"/>
      <c r="T27" s="156"/>
      <c r="U27" s="106"/>
      <c r="V27" s="614"/>
      <c r="X27" s="612"/>
      <c r="Y27" s="613"/>
      <c r="Z27" s="106"/>
      <c r="AA27" s="64"/>
      <c r="AC27" s="156"/>
      <c r="AD27" s="106"/>
      <c r="AE27" s="614"/>
      <c r="AG27" s="612"/>
      <c r="AH27" s="613"/>
      <c r="AI27" s="106"/>
      <c r="AJ27" s="64"/>
      <c r="AL27" s="156"/>
      <c r="AM27" s="106"/>
      <c r="AN27" s="614"/>
      <c r="AP27" s="26"/>
      <c r="AR27" s="612"/>
      <c r="AS27" s="613"/>
      <c r="AT27" s="106"/>
      <c r="AU27" s="64"/>
      <c r="AW27" s="156"/>
      <c r="AX27" s="106"/>
      <c r="AY27" s="614"/>
      <c r="BA27" s="26"/>
      <c r="BC27" s="612"/>
      <c r="BD27" s="613"/>
      <c r="BE27" s="106"/>
      <c r="BF27" s="64"/>
      <c r="BH27" s="156"/>
      <c r="BI27" s="106"/>
      <c r="BJ27" s="614"/>
      <c r="BL27" s="26"/>
    </row>
    <row r="28" spans="1:64" x14ac:dyDescent="0.35">
      <c r="A28" s="9168"/>
      <c r="B28" s="128"/>
      <c r="C28" s="129" t="s">
        <v>499</v>
      </c>
      <c r="D28" s="209"/>
      <c r="F28" s="3934">
        <f>IF(F25=0,0,(F26-F27)/F25)</f>
        <v>0</v>
      </c>
      <c r="G28" s="170"/>
      <c r="H28" s="171">
        <f>IF(H25=0,0,(H26-H27)/H25)</f>
        <v>0</v>
      </c>
      <c r="I28" s="3935">
        <f>IF(I25=0,0,(I26-I27)/I25)</f>
        <v>0</v>
      </c>
      <c r="J28" s="173"/>
      <c r="K28" s="170"/>
      <c r="L28" s="171">
        <f>IF(L25=0,0,(L26-L27)/L25)</f>
        <v>0</v>
      </c>
      <c r="M28" s="1139">
        <f>L28</f>
        <v>0</v>
      </c>
      <c r="N28" s="176"/>
      <c r="O28" s="171"/>
      <c r="P28" s="177"/>
      <c r="Q28" s="177"/>
      <c r="R28" s="173"/>
      <c r="S28" s="170"/>
      <c r="T28" s="174"/>
      <c r="U28" s="177"/>
      <c r="V28" s="175"/>
      <c r="W28" s="176"/>
      <c r="X28" s="171"/>
      <c r="Y28" s="177"/>
      <c r="Z28" s="177"/>
      <c r="AA28" s="173"/>
      <c r="AB28" s="170"/>
      <c r="AC28" s="174"/>
      <c r="AD28" s="177"/>
      <c r="AE28" s="175"/>
      <c r="AF28" s="176"/>
      <c r="AG28" s="171"/>
      <c r="AH28" s="177"/>
      <c r="AI28" s="177"/>
      <c r="AJ28" s="173"/>
      <c r="AK28" s="170"/>
      <c r="AL28" s="174"/>
      <c r="AM28" s="177"/>
      <c r="AN28" s="175"/>
      <c r="AO28" s="176"/>
      <c r="AP28" s="24"/>
      <c r="AR28" s="171"/>
      <c r="AS28" s="177"/>
      <c r="AT28" s="177"/>
      <c r="AU28" s="173"/>
      <c r="AV28" s="170"/>
      <c r="AW28" s="174"/>
      <c r="AX28" s="177"/>
      <c r="AY28" s="175"/>
      <c r="AZ28" s="176"/>
      <c r="BA28" s="24"/>
      <c r="BC28" s="171"/>
      <c r="BD28" s="177"/>
      <c r="BE28" s="177"/>
      <c r="BF28" s="173"/>
      <c r="BG28" s="170"/>
      <c r="BH28" s="174"/>
      <c r="BI28" s="177"/>
      <c r="BJ28" s="175"/>
      <c r="BK28" s="176"/>
      <c r="BL28" s="24"/>
    </row>
    <row r="29" spans="1:64" x14ac:dyDescent="0.35">
      <c r="A29" s="9168"/>
      <c r="B29" s="139" t="s">
        <v>552</v>
      </c>
      <c r="C29" s="49"/>
      <c r="D29" s="184"/>
      <c r="F29" s="185"/>
      <c r="H29" s="186"/>
      <c r="I29" s="187"/>
      <c r="J29" s="188"/>
      <c r="L29" s="186"/>
      <c r="M29" s="148">
        <f t="shared" ref="M29" si="7">L29*J29</f>
        <v>0</v>
      </c>
      <c r="O29" s="189"/>
      <c r="P29" s="190"/>
      <c r="Q29" s="190"/>
      <c r="R29" s="191"/>
      <c r="S29" s="170"/>
      <c r="T29" s="192"/>
      <c r="U29" s="190"/>
      <c r="V29" s="616"/>
      <c r="X29" s="189"/>
      <c r="Y29" s="190"/>
      <c r="Z29" s="190"/>
      <c r="AA29" s="191"/>
      <c r="AB29" s="170"/>
      <c r="AC29" s="192"/>
      <c r="AD29" s="190"/>
      <c r="AE29" s="616"/>
      <c r="AG29" s="189"/>
      <c r="AH29" s="190"/>
      <c r="AI29" s="190"/>
      <c r="AJ29" s="191"/>
      <c r="AK29" s="170"/>
      <c r="AL29" s="192"/>
      <c r="AM29" s="190"/>
      <c r="AN29" s="616"/>
      <c r="AP29" s="18"/>
      <c r="AR29" s="189"/>
      <c r="AS29" s="190"/>
      <c r="AT29" s="190"/>
      <c r="AU29" s="191"/>
      <c r="AV29" s="170"/>
      <c r="AW29" s="192"/>
      <c r="AX29" s="190"/>
      <c r="AY29" s="616"/>
      <c r="BA29" s="18"/>
      <c r="BC29" s="189"/>
      <c r="BD29" s="190"/>
      <c r="BE29" s="190"/>
      <c r="BF29" s="191"/>
      <c r="BG29" s="170"/>
      <c r="BH29" s="192"/>
      <c r="BI29" s="190"/>
      <c r="BJ29" s="616"/>
      <c r="BL29" s="18"/>
    </row>
    <row r="30" spans="1:64" x14ac:dyDescent="0.35">
      <c r="A30" s="9168"/>
      <c r="B30" s="196"/>
      <c r="C30" s="121" t="s">
        <v>470</v>
      </c>
      <c r="D30" s="197"/>
      <c r="F30" s="122"/>
      <c r="H30" s="198"/>
      <c r="I30" s="199"/>
      <c r="J30" s="64"/>
      <c r="L30" s="198"/>
      <c r="M30" s="157"/>
      <c r="O30" s="200"/>
      <c r="P30" s="201"/>
      <c r="Q30" s="202"/>
      <c r="R30" s="203"/>
      <c r="S30" s="170"/>
      <c r="T30" s="117"/>
      <c r="U30" s="202"/>
      <c r="V30" s="619"/>
      <c r="X30" s="200"/>
      <c r="Y30" s="201"/>
      <c r="Z30" s="202"/>
      <c r="AA30" s="203"/>
      <c r="AB30" s="170"/>
      <c r="AC30" s="117"/>
      <c r="AD30" s="202"/>
      <c r="AE30" s="273"/>
      <c r="AG30" s="200"/>
      <c r="AH30" s="201"/>
      <c r="AI30" s="202"/>
      <c r="AJ30" s="203"/>
      <c r="AK30" s="170"/>
      <c r="AL30" s="117"/>
      <c r="AM30" s="202"/>
      <c r="AN30" s="273"/>
      <c r="AP30" s="26"/>
      <c r="AR30" s="200"/>
      <c r="AS30" s="201"/>
      <c r="AT30" s="202"/>
      <c r="AU30" s="203"/>
      <c r="AV30" s="170"/>
      <c r="AW30" s="117"/>
      <c r="AX30" s="202"/>
      <c r="AY30" s="273"/>
      <c r="BA30" s="26"/>
      <c r="BC30" s="200"/>
      <c r="BD30" s="201"/>
      <c r="BE30" s="202"/>
      <c r="BF30" s="203"/>
      <c r="BG30" s="170"/>
      <c r="BH30" s="117"/>
      <c r="BI30" s="202"/>
      <c r="BJ30" s="273"/>
      <c r="BL30" s="26"/>
    </row>
    <row r="31" spans="1:64" x14ac:dyDescent="0.35">
      <c r="A31" s="9169"/>
      <c r="B31" s="207"/>
      <c r="C31" s="208" t="s">
        <v>1116</v>
      </c>
      <c r="D31" s="209"/>
      <c r="F31" s="210"/>
      <c r="H31" s="211"/>
      <c r="I31" s="212"/>
      <c r="J31" s="133"/>
      <c r="L31" s="211"/>
      <c r="M31" s="213"/>
      <c r="O31" s="214"/>
      <c r="P31" s="215"/>
      <c r="Q31" s="216"/>
      <c r="R31" s="133"/>
      <c r="T31" s="217"/>
      <c r="U31" s="216"/>
      <c r="V31" s="628"/>
      <c r="X31" s="214"/>
      <c r="Y31" s="215"/>
      <c r="Z31" s="216"/>
      <c r="AA31" s="133"/>
      <c r="AC31" s="217"/>
      <c r="AD31" s="216"/>
      <c r="AE31" s="658"/>
      <c r="AG31" s="214"/>
      <c r="AH31" s="215"/>
      <c r="AI31" s="216"/>
      <c r="AJ31" s="133"/>
      <c r="AL31" s="217"/>
      <c r="AM31" s="216"/>
      <c r="AN31" s="658"/>
      <c r="AP31" s="24"/>
      <c r="AR31" s="214"/>
      <c r="AS31" s="215"/>
      <c r="AT31" s="216"/>
      <c r="AU31" s="133"/>
      <c r="AW31" s="217"/>
      <c r="AX31" s="216"/>
      <c r="AY31" s="658"/>
      <c r="BA31" s="24"/>
      <c r="BC31" s="214"/>
      <c r="BD31" s="215"/>
      <c r="BE31" s="216"/>
      <c r="BF31" s="133"/>
      <c r="BH31" s="217"/>
      <c r="BI31" s="216"/>
      <c r="BJ31" s="658"/>
      <c r="BL31" s="24"/>
    </row>
    <row r="32" spans="1:64" x14ac:dyDescent="0.35">
      <c r="A32" s="220"/>
      <c r="B32" s="220"/>
      <c r="F32" s="106"/>
      <c r="H32" s="106"/>
      <c r="I32" s="106"/>
      <c r="J32" s="221"/>
      <c r="L32" s="106"/>
      <c r="O32" s="106"/>
      <c r="P32" s="106"/>
      <c r="Q32" s="106"/>
      <c r="R32" s="221"/>
      <c r="T32" s="106"/>
      <c r="U32" s="106"/>
      <c r="X32" s="106"/>
      <c r="Y32" s="106"/>
      <c r="Z32" s="106"/>
      <c r="AA32" s="221"/>
      <c r="AC32" s="106"/>
      <c r="AD32" s="106"/>
      <c r="AG32" s="106"/>
      <c r="AH32" s="106"/>
      <c r="AI32" s="106"/>
      <c r="AJ32" s="221"/>
      <c r="AL32" s="106"/>
      <c r="AM32" s="106"/>
      <c r="AR32" s="106"/>
      <c r="AS32" s="106"/>
      <c r="AT32" s="106"/>
      <c r="AU32" s="221"/>
      <c r="AW32" s="106"/>
      <c r="AX32" s="106"/>
      <c r="BC32" s="106"/>
      <c r="BD32" s="106"/>
      <c r="BE32" s="106"/>
      <c r="BF32" s="221"/>
      <c r="BH32" s="106"/>
      <c r="BI32" s="106"/>
    </row>
    <row r="33" spans="1:64" ht="34.5" customHeight="1" x14ac:dyDescent="0.35">
      <c r="A33" s="9167" t="s">
        <v>503</v>
      </c>
      <c r="B33" s="27"/>
      <c r="C33" s="28" t="s">
        <v>427</v>
      </c>
      <c r="D33" s="585" t="s">
        <v>428</v>
      </c>
      <c r="E33" s="30"/>
      <c r="F33" s="222" t="s">
        <v>5266</v>
      </c>
      <c r="G33" s="223"/>
      <c r="H33" s="222" t="s">
        <v>5267</v>
      </c>
      <c r="I33" s="222" t="s">
        <v>5267</v>
      </c>
      <c r="J33" s="224"/>
      <c r="K33" s="223"/>
      <c r="L33" s="222" t="s">
        <v>5268</v>
      </c>
      <c r="M33" s="511"/>
      <c r="N33" s="30"/>
      <c r="O33" s="36" t="s">
        <v>5268</v>
      </c>
      <c r="P33" s="3936"/>
      <c r="Q33" s="35" t="s">
        <v>5269</v>
      </c>
      <c r="R33" s="224"/>
      <c r="S33" s="223"/>
      <c r="T33" s="36" t="s">
        <v>5270</v>
      </c>
      <c r="U33" s="225" t="s">
        <v>5271</v>
      </c>
      <c r="V33" s="34" t="s">
        <v>5272</v>
      </c>
      <c r="W33" s="30"/>
      <c r="X33" s="36" t="s">
        <v>5270</v>
      </c>
      <c r="Y33" s="36" t="s">
        <v>5272</v>
      </c>
      <c r="Z33" s="35" t="s">
        <v>5271</v>
      </c>
      <c r="AA33" s="224"/>
      <c r="AB33" s="223"/>
      <c r="AC33" s="36" t="s">
        <v>5270</v>
      </c>
      <c r="AD33" s="225" t="s">
        <v>5271</v>
      </c>
      <c r="AE33" s="36" t="s">
        <v>5273</v>
      </c>
      <c r="AF33" s="30"/>
      <c r="AG33" s="36" t="s">
        <v>5270</v>
      </c>
      <c r="AH33" s="36" t="s">
        <v>5273</v>
      </c>
      <c r="AI33" s="35" t="s">
        <v>5271</v>
      </c>
      <c r="AJ33" s="224"/>
      <c r="AK33" s="223"/>
      <c r="AL33" s="36" t="s">
        <v>5274</v>
      </c>
      <c r="AM33" s="225" t="s">
        <v>5275</v>
      </c>
      <c r="AN33" s="36" t="s">
        <v>5276</v>
      </c>
      <c r="AO33" s="30"/>
      <c r="AP33" s="39"/>
      <c r="AR33" s="36" t="s">
        <v>5274</v>
      </c>
      <c r="AS33" s="36" t="s">
        <v>5277</v>
      </c>
      <c r="AT33" s="35"/>
      <c r="AU33" s="224"/>
      <c r="AV33" s="223"/>
      <c r="AW33" s="36" t="s">
        <v>5278</v>
      </c>
      <c r="AX33" s="225" t="s">
        <v>5279</v>
      </c>
      <c r="AY33" s="36" t="s">
        <v>5278</v>
      </c>
      <c r="AZ33" s="30"/>
      <c r="BA33" s="39"/>
      <c r="BC33" s="36" t="s">
        <v>5280</v>
      </c>
      <c r="BD33" s="36" t="s">
        <v>5280</v>
      </c>
      <c r="BE33" s="35" t="s">
        <v>5236</v>
      </c>
      <c r="BF33" s="224"/>
      <c r="BG33" s="223"/>
      <c r="BH33" s="36" t="s">
        <v>5237</v>
      </c>
      <c r="BI33" s="225" t="s">
        <v>5238</v>
      </c>
      <c r="BJ33" s="36" t="s">
        <v>5237</v>
      </c>
      <c r="BK33" s="30"/>
      <c r="BL33" s="39"/>
    </row>
    <row r="34" spans="1:64" x14ac:dyDescent="0.35">
      <c r="A34" s="9168"/>
      <c r="B34" s="141" t="s">
        <v>514</v>
      </c>
      <c r="C34"/>
      <c r="D34" s="184"/>
      <c r="E34" s="143"/>
      <c r="F34" s="3652"/>
      <c r="G34" s="143"/>
      <c r="H34" s="1368"/>
      <c r="I34" s="103"/>
      <c r="J34" s="228"/>
      <c r="K34" s="143"/>
      <c r="L34" s="230"/>
      <c r="M34" s="229"/>
      <c r="N34" s="143"/>
      <c r="O34" s="230"/>
      <c r="P34" s="103"/>
      <c r="Q34" s="57" t="s">
        <v>5267</v>
      </c>
      <c r="R34" s="228"/>
      <c r="S34" s="143"/>
      <c r="T34" s="230"/>
      <c r="U34" s="231" t="s">
        <v>5281</v>
      </c>
      <c r="V34" s="49"/>
      <c r="W34" s="143"/>
      <c r="X34" s="230"/>
      <c r="Y34" s="103"/>
      <c r="Z34" s="57"/>
      <c r="AA34" s="228"/>
      <c r="AB34" s="143"/>
      <c r="AC34" s="230"/>
      <c r="AD34" s="231"/>
      <c r="AE34" s="1659" t="s">
        <v>5282</v>
      </c>
      <c r="AF34" s="143"/>
      <c r="AG34" s="230"/>
      <c r="AH34" s="231" t="s">
        <v>5283</v>
      </c>
      <c r="AI34" s="57"/>
      <c r="AJ34" s="228"/>
      <c r="AK34" s="143"/>
      <c r="AL34" s="230" t="s">
        <v>5284</v>
      </c>
      <c r="AM34" s="231"/>
      <c r="AN34" s="1659" t="s">
        <v>5285</v>
      </c>
      <c r="AO34" s="143"/>
      <c r="AP34" s="18"/>
      <c r="AR34" s="7718" t="s">
        <v>5286</v>
      </c>
      <c r="AS34" s="231" t="s">
        <v>5287</v>
      </c>
      <c r="AT34" s="57"/>
      <c r="AU34" s="228"/>
      <c r="AV34" s="143"/>
      <c r="AW34" s="230"/>
      <c r="AX34" s="231"/>
      <c r="AY34" s="1846" t="s">
        <v>5246</v>
      </c>
      <c r="AZ34" s="143"/>
      <c r="BA34" s="18"/>
      <c r="BB34" t="s">
        <v>107</v>
      </c>
      <c r="BC34" s="7718"/>
      <c r="BD34" s="231" t="s">
        <v>5287</v>
      </c>
      <c r="BE34" s="57"/>
      <c r="BF34" s="228"/>
      <c r="BG34" s="143"/>
      <c r="BH34" s="230"/>
      <c r="BI34" s="231"/>
      <c r="BJ34" s="1846" t="s">
        <v>5247</v>
      </c>
      <c r="BK34" s="143"/>
      <c r="BL34" s="18"/>
    </row>
    <row r="35" spans="1:64" x14ac:dyDescent="0.35">
      <c r="A35" s="9168"/>
      <c r="B35" s="240"/>
      <c r="C35" s="240" t="s">
        <v>5288</v>
      </c>
      <c r="D35" s="197"/>
      <c r="F35" s="111">
        <f>43170.98068+150040.997235</f>
        <v>193211.977915</v>
      </c>
      <c r="H35" s="242"/>
      <c r="I35" s="243"/>
      <c r="J35" s="64">
        <f>IF(H35=0,0,I35/H35)</f>
        <v>0</v>
      </c>
      <c r="L35" s="112"/>
      <c r="M35" s="157">
        <f>L35*J35</f>
        <v>0</v>
      </c>
      <c r="O35" s="593"/>
      <c r="P35" s="3937">
        <f>O35*J35</f>
        <v>0</v>
      </c>
      <c r="Q35" s="57"/>
      <c r="R35" s="64"/>
      <c r="T35" s="112"/>
      <c r="U35" s="57"/>
      <c r="V35" s="619"/>
      <c r="X35" s="593"/>
      <c r="Y35" s="233">
        <f>X35*S35</f>
        <v>0</v>
      </c>
      <c r="Z35" s="57"/>
      <c r="AA35" s="64"/>
      <c r="AC35" s="112"/>
      <c r="AD35" s="57"/>
      <c r="AE35" s="1034"/>
      <c r="AG35" s="593"/>
      <c r="AH35" s="233"/>
      <c r="AI35" s="57"/>
      <c r="AJ35" s="64"/>
      <c r="AL35" s="112"/>
      <c r="AM35" s="57"/>
      <c r="AN35" s="1034"/>
      <c r="AP35" s="26"/>
      <c r="AR35" s="593">
        <v>546253</v>
      </c>
      <c r="AS35" s="233">
        <v>461214</v>
      </c>
      <c r="AT35" s="57" t="s">
        <v>3637</v>
      </c>
      <c r="AU35" s="64">
        <f>AS35/AR35</f>
        <v>0.84432305177271338</v>
      </c>
      <c r="AW35" s="112">
        <v>555968</v>
      </c>
      <c r="AX35" s="57" t="s">
        <v>5289</v>
      </c>
      <c r="AY35" s="1034">
        <f>AW35*AU35</f>
        <v>469416.59844797192</v>
      </c>
      <c r="BA35" s="257"/>
      <c r="BC35" s="593">
        <v>555968</v>
      </c>
      <c r="BD35" s="233">
        <v>398998</v>
      </c>
      <c r="BE35" s="57" t="s">
        <v>5290</v>
      </c>
      <c r="BF35" s="64">
        <f>BD35/BC35</f>
        <v>0.7176636065385058</v>
      </c>
      <c r="BH35" s="112">
        <v>590916</v>
      </c>
      <c r="BI35" s="57" t="s">
        <v>1165</v>
      </c>
      <c r="BJ35" s="1034">
        <f>323654*4/3</f>
        <v>431538.66666666669</v>
      </c>
      <c r="BL35" s="257"/>
    </row>
    <row r="36" spans="1:64" x14ac:dyDescent="0.35">
      <c r="A36" s="9168"/>
      <c r="B36" s="240"/>
      <c r="C36" s="639" t="s">
        <v>5291</v>
      </c>
      <c r="D36" s="197"/>
      <c r="F36" s="163"/>
      <c r="H36" s="242">
        <v>95092.717000000004</v>
      </c>
      <c r="I36" s="243">
        <v>19962.978999999999</v>
      </c>
      <c r="J36" s="64">
        <f>IF(H36=0,0,I36/H36)</f>
        <v>0.20993173430936882</v>
      </c>
      <c r="L36" s="593">
        <v>86219.376999999993</v>
      </c>
      <c r="M36" s="157">
        <f>L36*J36</f>
        <v>18100.183344683304</v>
      </c>
      <c r="O36" s="593">
        <v>86219.376999999993</v>
      </c>
      <c r="P36" s="3937">
        <f t="shared" ref="P36:P38" si="8">O36*J36</f>
        <v>18100.183344683304</v>
      </c>
      <c r="Q36" s="106"/>
      <c r="R36" s="64"/>
      <c r="T36" s="593">
        <v>137754</v>
      </c>
      <c r="U36" s="106"/>
      <c r="V36" s="619">
        <f>55360.261*12/8</f>
        <v>83040.391499999998</v>
      </c>
      <c r="X36" s="593">
        <v>137754.06266900001</v>
      </c>
      <c r="Y36" s="201">
        <f>55360.261*12/8</f>
        <v>83040.391499999998</v>
      </c>
      <c r="Z36" s="106"/>
      <c r="AA36" s="64"/>
      <c r="AC36" s="593">
        <v>132763</v>
      </c>
      <c r="AD36" s="57" t="s">
        <v>5292</v>
      </c>
      <c r="AE36" s="3938">
        <f>414552*Y36/(Y37+Y36)</f>
        <v>86448.573848034503</v>
      </c>
      <c r="AG36" s="593">
        <f>AC36</f>
        <v>132763</v>
      </c>
      <c r="AH36" s="201"/>
      <c r="AI36" s="106"/>
      <c r="AJ36" s="64"/>
      <c r="AL36" s="593">
        <v>113649</v>
      </c>
      <c r="AM36" s="57"/>
      <c r="AN36" s="3938"/>
      <c r="AP36" s="26"/>
      <c r="AR36" s="593"/>
      <c r="AS36" s="201"/>
      <c r="AT36" s="106"/>
      <c r="AU36" s="64"/>
      <c r="AW36" s="593"/>
      <c r="AX36" s="57"/>
      <c r="AY36" s="3938"/>
      <c r="BA36" s="26"/>
      <c r="BC36" s="593"/>
      <c r="BD36" s="201"/>
      <c r="BE36" s="106"/>
      <c r="BF36" s="64"/>
      <c r="BH36" s="593"/>
      <c r="BI36" s="57"/>
      <c r="BJ36" s="3938"/>
      <c r="BL36" s="26"/>
    </row>
    <row r="37" spans="1:64" x14ac:dyDescent="0.35">
      <c r="A37" s="9168"/>
      <c r="B37" s="241"/>
      <c r="C37" s="639" t="s">
        <v>5293</v>
      </c>
      <c r="D37" s="197"/>
      <c r="F37" s="163"/>
      <c r="H37" s="242">
        <v>296290.99699999997</v>
      </c>
      <c r="I37" s="243">
        <v>275201.75699999998</v>
      </c>
      <c r="J37" s="64">
        <f>IF(H37=0,0,I37/H37)</f>
        <v>0.92882254198226621</v>
      </c>
      <c r="L37" s="595">
        <v>273034.71799999999</v>
      </c>
      <c r="M37" s="157">
        <f>L37*J37</f>
        <v>253600.80082217121</v>
      </c>
      <c r="O37" s="595">
        <v>273034.71799999999</v>
      </c>
      <c r="P37" s="3937">
        <f t="shared" si="8"/>
        <v>253600.80082217121</v>
      </c>
      <c r="Q37" s="106"/>
      <c r="R37" s="64"/>
      <c r="T37" s="595">
        <v>305233</v>
      </c>
      <c r="U37" s="106"/>
      <c r="V37" s="619">
        <f>210112.099*12/8</f>
        <v>315168.14850000001</v>
      </c>
      <c r="X37" s="595">
        <v>305233.112746</v>
      </c>
      <c r="Y37" s="233">
        <f>210112.099*12/8</f>
        <v>315168.14850000001</v>
      </c>
      <c r="Z37" s="106"/>
      <c r="AA37" s="64"/>
      <c r="AC37" s="595">
        <v>309004</v>
      </c>
      <c r="AD37" s="57" t="s">
        <v>5292</v>
      </c>
      <c r="AE37" s="3939">
        <f>414552*Y37/(Y37+Y36)</f>
        <v>328103.42615196545</v>
      </c>
      <c r="AG37" s="593">
        <f>AC37</f>
        <v>309004</v>
      </c>
      <c r="AH37" s="233">
        <v>414552</v>
      </c>
      <c r="AI37" s="106" t="s">
        <v>5294</v>
      </c>
      <c r="AJ37" s="64"/>
      <c r="AL37" s="595">
        <v>305055</v>
      </c>
      <c r="AM37" s="235" t="s">
        <v>5295</v>
      </c>
      <c r="AN37" s="1034">
        <v>451214</v>
      </c>
      <c r="AP37" s="26"/>
      <c r="AR37" s="593"/>
      <c r="AS37" s="233"/>
      <c r="AT37" s="106"/>
      <c r="AU37" s="64"/>
      <c r="AW37" s="595"/>
      <c r="AX37" s="235"/>
      <c r="AY37" s="1034"/>
      <c r="BA37" s="26"/>
      <c r="BC37" s="593"/>
      <c r="BD37" s="233"/>
      <c r="BE37" s="106"/>
      <c r="BF37" s="64"/>
      <c r="BH37" s="595"/>
      <c r="BI37" s="235"/>
      <c r="BJ37" s="1034"/>
      <c r="BL37" s="26"/>
    </row>
    <row r="38" spans="1:64" x14ac:dyDescent="0.35">
      <c r="A38" s="9168"/>
      <c r="B38" s="241"/>
      <c r="C38" s="241" t="s">
        <v>536</v>
      </c>
      <c r="D38" s="197"/>
      <c r="F38" s="163"/>
      <c r="H38" s="242"/>
      <c r="I38" s="243"/>
      <c r="J38" s="64">
        <f>IF(H38=0,0,I38/H38)</f>
        <v>0</v>
      </c>
      <c r="L38" s="242"/>
      <c r="M38" s="157">
        <f>L38*J38</f>
        <v>0</v>
      </c>
      <c r="O38" s="242"/>
      <c r="P38" s="3937">
        <f t="shared" si="8"/>
        <v>0</v>
      </c>
      <c r="Q38" s="106"/>
      <c r="R38" s="64"/>
      <c r="T38" s="242"/>
      <c r="U38" s="106"/>
      <c r="V38" s="619"/>
      <c r="X38" s="242"/>
      <c r="Y38" s="201">
        <f t="shared" ref="Y38" si="9">X38*S38</f>
        <v>0</v>
      </c>
      <c r="Z38" s="106"/>
      <c r="AA38" s="64"/>
      <c r="AC38" s="242"/>
      <c r="AD38" s="106"/>
      <c r="AE38" s="273"/>
      <c r="AG38" s="242"/>
      <c r="AH38" s="201"/>
      <c r="AI38" s="106"/>
      <c r="AJ38" s="64"/>
      <c r="AL38" s="242"/>
      <c r="AM38" s="106"/>
      <c r="AN38" s="273"/>
      <c r="AP38" s="26"/>
      <c r="AR38" s="242"/>
      <c r="AS38" s="201"/>
      <c r="AT38" s="106"/>
      <c r="AU38" s="64"/>
      <c r="AW38" s="242"/>
      <c r="AX38" s="106"/>
      <c r="AY38" s="273"/>
      <c r="BA38" s="26"/>
      <c r="BC38" s="242"/>
      <c r="BD38" s="201"/>
      <c r="BE38" s="106"/>
      <c r="BF38" s="64"/>
      <c r="BH38" s="242"/>
      <c r="BI38" s="106"/>
      <c r="BJ38" s="273"/>
      <c r="BL38" s="26"/>
    </row>
    <row r="39" spans="1:64" x14ac:dyDescent="0.35">
      <c r="A39" s="9168"/>
      <c r="B39" s="141" t="s">
        <v>531</v>
      </c>
      <c r="C39"/>
      <c r="D39" s="197"/>
      <c r="E39" s="143"/>
      <c r="F39" s="168"/>
      <c r="G39" s="143"/>
      <c r="H39" s="245"/>
      <c r="I39" s="106"/>
      <c r="J39" s="246"/>
      <c r="K39" s="143"/>
      <c r="L39" s="245"/>
      <c r="M39" s="247"/>
      <c r="N39" s="143"/>
      <c r="O39" s="245"/>
      <c r="P39" s="106"/>
      <c r="Q39" s="106"/>
      <c r="R39" s="246"/>
      <c r="S39" s="143"/>
      <c r="T39" s="245"/>
      <c r="U39" s="106"/>
      <c r="V39" s="619"/>
      <c r="W39" s="143"/>
      <c r="X39" s="245"/>
      <c r="Y39" s="106"/>
      <c r="Z39" s="106"/>
      <c r="AA39" s="246"/>
      <c r="AB39" s="143"/>
      <c r="AC39" s="245"/>
      <c r="AD39" s="106"/>
      <c r="AE39" s="66"/>
      <c r="AF39" s="143"/>
      <c r="AG39" s="245"/>
      <c r="AH39" s="106"/>
      <c r="AI39" s="106"/>
      <c r="AJ39" s="246"/>
      <c r="AK39" s="143"/>
      <c r="AL39" s="245"/>
      <c r="AM39" s="106"/>
      <c r="AN39" s="66"/>
      <c r="AO39" s="143"/>
      <c r="AP39" s="18"/>
      <c r="AR39" s="245"/>
      <c r="AS39" s="106"/>
      <c r="AT39" s="106"/>
      <c r="AU39" s="246"/>
      <c r="AV39" s="143"/>
      <c r="AW39" s="245"/>
      <c r="AX39" s="106"/>
      <c r="AY39" s="66"/>
      <c r="AZ39" s="143"/>
      <c r="BA39" s="18"/>
      <c r="BC39" s="245"/>
      <c r="BD39" s="106"/>
      <c r="BE39" s="106"/>
      <c r="BF39" s="246"/>
      <c r="BG39" s="143"/>
      <c r="BH39" s="245"/>
      <c r="BI39" s="106"/>
      <c r="BJ39" s="66"/>
      <c r="BK39" s="143"/>
      <c r="BL39" s="18"/>
    </row>
    <row r="40" spans="1:64" x14ac:dyDescent="0.35">
      <c r="A40" s="9168"/>
      <c r="B40" s="240"/>
      <c r="C40" s="240" t="s">
        <v>532</v>
      </c>
      <c r="D40" s="197"/>
      <c r="F40" s="111"/>
      <c r="H40" s="112"/>
      <c r="I40" s="113"/>
      <c r="J40" s="64">
        <f>IF(H40=0,0,I40/H40)</f>
        <v>0</v>
      </c>
      <c r="L40" s="112"/>
      <c r="M40" s="157">
        <f>L40*J40</f>
        <v>0</v>
      </c>
      <c r="O40" s="248"/>
      <c r="P40" s="233"/>
      <c r="Q40" s="106"/>
      <c r="R40" s="64"/>
      <c r="T40" s="112"/>
      <c r="U40" s="106"/>
      <c r="V40" s="619"/>
      <c r="X40" s="248"/>
      <c r="Y40" s="233"/>
      <c r="Z40" s="106"/>
      <c r="AA40" s="64"/>
      <c r="AC40" s="112"/>
      <c r="AD40" s="106"/>
      <c r="AE40" s="1034"/>
      <c r="AG40" s="248"/>
      <c r="AH40" s="233"/>
      <c r="AI40" s="106"/>
      <c r="AJ40" s="64"/>
      <c r="AL40" s="112"/>
      <c r="AM40" s="106"/>
      <c r="AN40" s="1034"/>
      <c r="AP40" s="26"/>
      <c r="AR40" s="248"/>
      <c r="AS40" s="233"/>
      <c r="AT40" s="106"/>
      <c r="AU40" s="64"/>
      <c r="AW40" s="112"/>
      <c r="AX40" s="106"/>
      <c r="AY40" s="1034"/>
      <c r="BA40" s="26"/>
      <c r="BC40" s="248"/>
      <c r="BD40" s="233"/>
      <c r="BE40" s="106"/>
      <c r="BF40" s="64"/>
      <c r="BH40" s="112"/>
      <c r="BI40" s="106"/>
      <c r="BJ40" s="1034"/>
      <c r="BL40" s="26"/>
    </row>
    <row r="41" spans="1:64" x14ac:dyDescent="0.35">
      <c r="A41" s="9168"/>
      <c r="B41" s="240"/>
      <c r="C41" s="240" t="s">
        <v>533</v>
      </c>
      <c r="D41" s="197"/>
      <c r="F41" s="155"/>
      <c r="H41" s="117"/>
      <c r="I41" s="115"/>
      <c r="J41" s="64">
        <f>IF(H41=0,0,I41/H41)</f>
        <v>0</v>
      </c>
      <c r="L41" s="117"/>
      <c r="M41" s="157">
        <f>L41*J41</f>
        <v>0</v>
      </c>
      <c r="O41" s="200"/>
      <c r="P41" s="201"/>
      <c r="Q41" s="106"/>
      <c r="R41" s="64"/>
      <c r="T41" s="117"/>
      <c r="U41" s="106"/>
      <c r="V41" s="619"/>
      <c r="X41" s="200"/>
      <c r="Y41" s="201"/>
      <c r="Z41" s="106"/>
      <c r="AA41" s="64"/>
      <c r="AC41" s="117"/>
      <c r="AD41" s="106"/>
      <c r="AE41" s="273"/>
      <c r="AG41" s="200"/>
      <c r="AH41" s="201"/>
      <c r="AI41" s="106"/>
      <c r="AJ41" s="64"/>
      <c r="AL41" s="117"/>
      <c r="AM41" s="106"/>
      <c r="AN41" s="273"/>
      <c r="AP41" s="26"/>
      <c r="AR41" s="200"/>
      <c r="AS41" s="201"/>
      <c r="AT41" s="106"/>
      <c r="AU41" s="64"/>
      <c r="AW41" s="117"/>
      <c r="AX41" s="106"/>
      <c r="AY41" s="273"/>
      <c r="BA41" s="26"/>
      <c r="BC41" s="200"/>
      <c r="BD41" s="201"/>
      <c r="BE41" s="106"/>
      <c r="BF41" s="64"/>
      <c r="BH41" s="117"/>
      <c r="BI41" s="106"/>
      <c r="BJ41" s="273"/>
      <c r="BL41" s="26"/>
    </row>
    <row r="42" spans="1:64" x14ac:dyDescent="0.35">
      <c r="A42" s="9168"/>
      <c r="B42" s="250"/>
      <c r="C42" s="250" t="s">
        <v>534</v>
      </c>
      <c r="D42" s="209"/>
      <c r="F42" s="130"/>
      <c r="H42" s="242"/>
      <c r="I42" s="243"/>
      <c r="J42" s="64">
        <f>IF(H42=0,0,I42/H42)</f>
        <v>0</v>
      </c>
      <c r="L42" s="131"/>
      <c r="M42" s="213">
        <f>L42*J42</f>
        <v>0</v>
      </c>
      <c r="O42" s="164"/>
      <c r="P42" s="215"/>
      <c r="Q42" s="216"/>
      <c r="R42" s="64"/>
      <c r="T42" s="131"/>
      <c r="U42" s="216"/>
      <c r="V42" s="628"/>
      <c r="X42" s="164"/>
      <c r="Y42" s="215"/>
      <c r="Z42" s="216"/>
      <c r="AA42" s="64"/>
      <c r="AC42" s="131"/>
      <c r="AD42" s="216"/>
      <c r="AE42" s="658"/>
      <c r="AG42" s="164"/>
      <c r="AH42" s="215"/>
      <c r="AI42" s="216"/>
      <c r="AJ42" s="64"/>
      <c r="AL42" s="131"/>
      <c r="AM42" s="216"/>
      <c r="AN42" s="658"/>
      <c r="AP42" s="24"/>
      <c r="AR42" s="164"/>
      <c r="AS42" s="215"/>
      <c r="AT42" s="216"/>
      <c r="AU42" s="64"/>
      <c r="AW42" s="131"/>
      <c r="AX42" s="216"/>
      <c r="AY42" s="658"/>
      <c r="BA42" s="24"/>
      <c r="BC42" s="164"/>
      <c r="BD42" s="215"/>
      <c r="BE42" s="216"/>
      <c r="BF42" s="64"/>
      <c r="BH42" s="131"/>
      <c r="BI42" s="216"/>
      <c r="BJ42" s="658"/>
      <c r="BL42" s="24"/>
    </row>
    <row r="43" spans="1:64" x14ac:dyDescent="0.35">
      <c r="A43" s="9168"/>
      <c r="B43" s="141" t="s">
        <v>535</v>
      </c>
      <c r="C43" s="141"/>
      <c r="D43" s="197"/>
      <c r="E43" s="143"/>
      <c r="F43" s="227"/>
      <c r="G43" s="143"/>
      <c r="H43" s="102"/>
      <c r="I43" s="103"/>
      <c r="J43" s="252"/>
      <c r="K43" s="143"/>
      <c r="L43" s="245"/>
      <c r="M43" s="247"/>
      <c r="N43" s="143"/>
      <c r="O43" s="102"/>
      <c r="P43" s="103"/>
      <c r="Q43" s="106"/>
      <c r="R43" s="252"/>
      <c r="S43" s="143"/>
      <c r="T43" s="245"/>
      <c r="U43" s="106"/>
      <c r="V43" s="247"/>
      <c r="W43" s="143"/>
      <c r="X43" s="102"/>
      <c r="Y43" s="103"/>
      <c r="Z43" s="106"/>
      <c r="AA43" s="252"/>
      <c r="AB43" s="143"/>
      <c r="AC43" s="102"/>
      <c r="AD43" s="103"/>
      <c r="AE43" s="105"/>
      <c r="AF43" s="143"/>
      <c r="AG43" s="102"/>
      <c r="AH43" s="103"/>
      <c r="AI43" s="106"/>
      <c r="AJ43" s="252"/>
      <c r="AK43" s="143"/>
      <c r="AL43" s="102"/>
      <c r="AM43" s="103"/>
      <c r="AN43" s="105"/>
      <c r="AO43" s="143"/>
      <c r="AP43" s="26"/>
      <c r="AR43" s="102"/>
      <c r="AS43" s="103"/>
      <c r="AT43" s="106"/>
      <c r="AU43" s="252"/>
      <c r="AV43" s="143"/>
      <c r="AW43" s="102"/>
      <c r="AX43" s="103"/>
      <c r="AY43" s="105"/>
      <c r="AZ43" s="143"/>
      <c r="BA43" s="26"/>
      <c r="BC43" s="102"/>
      <c r="BD43" s="103"/>
      <c r="BE43" s="106"/>
      <c r="BF43" s="252"/>
      <c r="BG43" s="143"/>
      <c r="BH43" s="102"/>
      <c r="BI43" s="103"/>
      <c r="BJ43" s="105"/>
      <c r="BK43" s="143"/>
      <c r="BL43" s="26"/>
    </row>
    <row r="44" spans="1:64" ht="15.75" customHeight="1" x14ac:dyDescent="0.35">
      <c r="A44" s="9168"/>
      <c r="B44" s="240"/>
      <c r="C44" s="240" t="s">
        <v>532</v>
      </c>
      <c r="D44" s="197"/>
      <c r="F44" s="111"/>
      <c r="H44" s="112"/>
      <c r="I44" s="113"/>
      <c r="J44" s="64">
        <f t="shared" ref="J44:J50" si="10">IF(H44=0,0,I44/H44)</f>
        <v>0</v>
      </c>
      <c r="L44" s="593"/>
      <c r="M44" s="1352">
        <f t="shared" ref="M44:M50" si="11">L44*J44</f>
        <v>0</v>
      </c>
      <c r="O44" s="117"/>
      <c r="P44" s="233"/>
      <c r="Q44" s="106"/>
      <c r="R44" s="64"/>
      <c r="T44" s="262"/>
      <c r="U44" s="106"/>
      <c r="V44" s="157"/>
      <c r="X44" s="117"/>
      <c r="Y44" s="233"/>
      <c r="Z44" s="106"/>
      <c r="AA44" s="64"/>
      <c r="AC44" s="3940"/>
      <c r="AD44" s="106"/>
      <c r="AE44" s="3941"/>
      <c r="AG44" s="117"/>
      <c r="AH44" s="233"/>
      <c r="AI44" s="106"/>
      <c r="AJ44" s="64"/>
      <c r="AL44" s="3940"/>
      <c r="AM44" s="106"/>
      <c r="AN44" s="3941"/>
      <c r="AP44" s="26"/>
      <c r="AR44" s="117"/>
      <c r="AS44" s="233"/>
      <c r="AT44" s="106"/>
      <c r="AU44" s="64"/>
      <c r="AW44" s="3940"/>
      <c r="AX44" s="106"/>
      <c r="AY44" s="3941"/>
      <c r="BA44" s="257"/>
      <c r="BC44" s="117"/>
      <c r="BD44" s="233"/>
      <c r="BE44" s="106"/>
      <c r="BF44" s="64"/>
      <c r="BH44" s="3940"/>
      <c r="BI44" s="106"/>
      <c r="BJ44" s="3941"/>
      <c r="BL44" s="257"/>
    </row>
    <row r="45" spans="1:64" x14ac:dyDescent="0.35">
      <c r="A45" s="9168"/>
      <c r="B45" s="240"/>
      <c r="C45" s="240" t="s">
        <v>533</v>
      </c>
      <c r="D45" s="197"/>
      <c r="F45" s="155"/>
      <c r="H45" s="117"/>
      <c r="I45" s="115"/>
      <c r="J45" s="64">
        <f t="shared" si="10"/>
        <v>0</v>
      </c>
      <c r="L45" s="595"/>
      <c r="M45" s="1352">
        <f t="shared" si="11"/>
        <v>0</v>
      </c>
      <c r="O45" s="117"/>
      <c r="P45" s="201"/>
      <c r="Q45" s="106"/>
      <c r="R45" s="64"/>
      <c r="T45" s="262"/>
      <c r="U45" s="106"/>
      <c r="V45" s="157"/>
      <c r="X45" s="117"/>
      <c r="Y45" s="201"/>
      <c r="Z45" s="106"/>
      <c r="AA45" s="64"/>
      <c r="AC45" s="3940"/>
      <c r="AD45" s="106"/>
      <c r="AE45" s="3941"/>
      <c r="AG45" s="117"/>
      <c r="AH45" s="201"/>
      <c r="AI45" s="106"/>
      <c r="AJ45" s="64"/>
      <c r="AL45" s="3940"/>
      <c r="AM45" s="106"/>
      <c r="AN45" s="3941"/>
      <c r="AP45" s="26"/>
      <c r="AR45" s="117"/>
      <c r="AS45" s="201"/>
      <c r="AT45" s="106"/>
      <c r="AU45" s="64"/>
      <c r="AW45" s="3940"/>
      <c r="AX45" s="106"/>
      <c r="AY45" s="3941"/>
      <c r="BA45" s="26"/>
      <c r="BC45" s="117"/>
      <c r="BD45" s="201"/>
      <c r="BE45" s="106"/>
      <c r="BF45" s="64"/>
      <c r="BH45" s="3940"/>
      <c r="BI45" s="106"/>
      <c r="BJ45" s="3941"/>
      <c r="BL45" s="26"/>
    </row>
    <row r="46" spans="1:64" x14ac:dyDescent="0.35">
      <c r="A46" s="9168"/>
      <c r="B46" s="240"/>
      <c r="C46" s="240" t="s">
        <v>534</v>
      </c>
      <c r="D46" s="197"/>
      <c r="F46" s="155"/>
      <c r="H46" s="117"/>
      <c r="I46" s="115"/>
      <c r="J46" s="64">
        <f t="shared" si="10"/>
        <v>0</v>
      </c>
      <c r="L46" s="595"/>
      <c r="M46" s="1352">
        <f t="shared" si="11"/>
        <v>0</v>
      </c>
      <c r="O46" s="117"/>
      <c r="P46" s="233"/>
      <c r="Q46" s="106"/>
      <c r="R46" s="64"/>
      <c r="T46" s="262"/>
      <c r="U46" s="106"/>
      <c r="V46" s="157"/>
      <c r="X46" s="117"/>
      <c r="Y46" s="233"/>
      <c r="Z46" s="106"/>
      <c r="AA46" s="64"/>
      <c r="AC46" s="3940"/>
      <c r="AD46" s="106"/>
      <c r="AE46" s="3941"/>
      <c r="AG46" s="117"/>
      <c r="AH46" s="233"/>
      <c r="AI46" s="106"/>
      <c r="AJ46" s="64"/>
      <c r="AL46" s="3940"/>
      <c r="AM46" s="106"/>
      <c r="AN46" s="3941"/>
      <c r="AP46" s="26"/>
      <c r="AR46" s="117"/>
      <c r="AS46" s="233"/>
      <c r="AT46" s="106"/>
      <c r="AU46" s="64"/>
      <c r="AW46" s="3940"/>
      <c r="AX46" s="106"/>
      <c r="AY46" s="3941"/>
      <c r="BA46" s="26"/>
      <c r="BC46" s="117"/>
      <c r="BD46" s="233"/>
      <c r="BE46" s="106"/>
      <c r="BF46" s="64"/>
      <c r="BH46" s="3940"/>
      <c r="BI46" s="106"/>
      <c r="BJ46" s="3941"/>
      <c r="BL46" s="26"/>
    </row>
    <row r="47" spans="1:64" x14ac:dyDescent="0.35">
      <c r="A47" s="9168"/>
      <c r="B47" s="240"/>
      <c r="C47" s="240" t="s">
        <v>536</v>
      </c>
      <c r="D47" s="197"/>
      <c r="F47" s="155"/>
      <c r="H47" s="117"/>
      <c r="I47" s="115"/>
      <c r="J47" s="64">
        <f t="shared" si="10"/>
        <v>0</v>
      </c>
      <c r="L47" s="595"/>
      <c r="M47" s="1352">
        <f t="shared" si="11"/>
        <v>0</v>
      </c>
      <c r="O47" s="117"/>
      <c r="P47" s="201"/>
      <c r="Q47" s="106"/>
      <c r="R47" s="64"/>
      <c r="T47" s="262"/>
      <c r="U47" s="106"/>
      <c r="V47" s="157"/>
      <c r="X47" s="117"/>
      <c r="Y47" s="201"/>
      <c r="Z47" s="106"/>
      <c r="AA47" s="64"/>
      <c r="AC47" s="3940"/>
      <c r="AD47" s="106"/>
      <c r="AE47" s="3941"/>
      <c r="AG47" s="117"/>
      <c r="AH47" s="201"/>
      <c r="AI47" s="106"/>
      <c r="AJ47" s="64"/>
      <c r="AL47" s="3940"/>
      <c r="AM47" s="106"/>
      <c r="AN47" s="3941"/>
      <c r="AP47" s="26"/>
      <c r="AR47" s="117"/>
      <c r="AS47" s="201"/>
      <c r="AT47" s="106"/>
      <c r="AU47" s="64"/>
      <c r="AW47" s="3940"/>
      <c r="AX47" s="106"/>
      <c r="AY47" s="3941"/>
      <c r="BA47" s="26"/>
      <c r="BC47" s="117"/>
      <c r="BD47" s="201"/>
      <c r="BE47" s="106"/>
      <c r="BF47" s="64"/>
      <c r="BH47" s="3940"/>
      <c r="BI47" s="106"/>
      <c r="BJ47" s="3941"/>
      <c r="BL47" s="26"/>
    </row>
    <row r="48" spans="1:64" x14ac:dyDescent="0.35">
      <c r="A48" s="9168"/>
      <c r="B48" s="240"/>
      <c r="C48" s="240" t="s">
        <v>537</v>
      </c>
      <c r="D48" s="197"/>
      <c r="F48" s="155"/>
      <c r="H48" s="117"/>
      <c r="I48" s="115"/>
      <c r="J48" s="64">
        <f t="shared" si="10"/>
        <v>0</v>
      </c>
      <c r="L48" s="595"/>
      <c r="M48" s="1352">
        <f t="shared" si="11"/>
        <v>0</v>
      </c>
      <c r="O48" s="242"/>
      <c r="P48" s="244"/>
      <c r="Q48" s="106"/>
      <c r="R48" s="64"/>
      <c r="T48" s="262"/>
      <c r="U48" s="106"/>
      <c r="V48" s="157"/>
      <c r="X48" s="242"/>
      <c r="Y48" s="244"/>
      <c r="Z48" s="106"/>
      <c r="AA48" s="64"/>
      <c r="AC48" s="3940"/>
      <c r="AD48" s="106"/>
      <c r="AE48" s="3941"/>
      <c r="AG48" s="242"/>
      <c r="AH48" s="244"/>
      <c r="AI48" s="106"/>
      <c r="AJ48" s="64"/>
      <c r="AL48" s="3940"/>
      <c r="AM48" s="106"/>
      <c r="AN48" s="3941"/>
      <c r="AP48" s="26"/>
      <c r="AR48" s="242"/>
      <c r="AS48" s="244"/>
      <c r="AT48" s="106"/>
      <c r="AU48" s="64"/>
      <c r="AW48" s="3940"/>
      <c r="AX48" s="106"/>
      <c r="AY48" s="3941"/>
      <c r="BA48" s="26"/>
      <c r="BC48" s="242"/>
      <c r="BD48" s="244"/>
      <c r="BE48" s="106"/>
      <c r="BF48" s="64"/>
      <c r="BH48" s="3940"/>
      <c r="BI48" s="106"/>
      <c r="BJ48" s="3941"/>
      <c r="BL48" s="26"/>
    </row>
    <row r="49" spans="1:64" x14ac:dyDescent="0.35">
      <c r="A49" s="9168"/>
      <c r="B49" s="240"/>
      <c r="C49" s="240" t="s">
        <v>538</v>
      </c>
      <c r="D49" s="197"/>
      <c r="F49" s="155"/>
      <c r="H49" s="117"/>
      <c r="I49" s="115"/>
      <c r="J49" s="64">
        <f t="shared" si="10"/>
        <v>0</v>
      </c>
      <c r="L49" s="595"/>
      <c r="M49" s="1352">
        <f t="shared" si="11"/>
        <v>0</v>
      </c>
      <c r="O49" s="242"/>
      <c r="P49" s="244"/>
      <c r="Q49" s="106"/>
      <c r="R49" s="64"/>
      <c r="T49" s="262"/>
      <c r="U49" s="106"/>
      <c r="V49" s="157"/>
      <c r="X49" s="242"/>
      <c r="Y49" s="244"/>
      <c r="Z49" s="106"/>
      <c r="AA49" s="64"/>
      <c r="AC49" s="3940"/>
      <c r="AD49" s="106"/>
      <c r="AE49" s="3941"/>
      <c r="AG49" s="242"/>
      <c r="AH49" s="244"/>
      <c r="AI49" s="106"/>
      <c r="AJ49" s="64"/>
      <c r="AL49" s="3940"/>
      <c r="AM49" s="106"/>
      <c r="AN49" s="3941"/>
      <c r="AP49" s="26"/>
      <c r="AR49" s="242"/>
      <c r="AS49" s="244"/>
      <c r="AT49" s="106"/>
      <c r="AU49" s="64"/>
      <c r="AW49" s="3940"/>
      <c r="AX49" s="106"/>
      <c r="AY49" s="3941"/>
      <c r="BA49" s="26"/>
      <c r="BC49" s="242"/>
      <c r="BD49" s="244"/>
      <c r="BE49" s="106"/>
      <c r="BF49" s="64"/>
      <c r="BH49" s="3940"/>
      <c r="BI49" s="106"/>
      <c r="BJ49" s="3941"/>
      <c r="BL49" s="26"/>
    </row>
    <row r="50" spans="1:64" x14ac:dyDescent="0.35">
      <c r="A50" s="9168"/>
      <c r="B50" s="241"/>
      <c r="C50" s="241" t="s">
        <v>539</v>
      </c>
      <c r="D50" s="209"/>
      <c r="F50" s="130"/>
      <c r="H50" s="131"/>
      <c r="I50" s="132"/>
      <c r="J50" s="133">
        <f t="shared" si="10"/>
        <v>0</v>
      </c>
      <c r="L50" s="1172"/>
      <c r="M50" s="1352">
        <f t="shared" si="11"/>
        <v>0</v>
      </c>
      <c r="O50" s="131"/>
      <c r="P50" s="132"/>
      <c r="Q50" s="216"/>
      <c r="R50" s="133"/>
      <c r="T50" s="242"/>
      <c r="U50" s="216"/>
      <c r="V50" s="157"/>
      <c r="X50" s="131"/>
      <c r="Y50" s="132"/>
      <c r="Z50" s="216"/>
      <c r="AA50" s="133"/>
      <c r="AC50" s="164"/>
      <c r="AD50" s="216"/>
      <c r="AE50" s="276"/>
      <c r="AG50" s="131"/>
      <c r="AH50" s="132"/>
      <c r="AI50" s="216"/>
      <c r="AJ50" s="133"/>
      <c r="AL50" s="164"/>
      <c r="AM50" s="216"/>
      <c r="AN50" s="276"/>
      <c r="AP50" s="26"/>
      <c r="AR50" s="131"/>
      <c r="AS50" s="132"/>
      <c r="AT50" s="216"/>
      <c r="AU50" s="133"/>
      <c r="AW50" s="164"/>
      <c r="AX50" s="216"/>
      <c r="AY50" s="276"/>
      <c r="BA50" s="26"/>
      <c r="BC50" s="131"/>
      <c r="BD50" s="132"/>
      <c r="BE50" s="216"/>
      <c r="BF50" s="133"/>
      <c r="BH50" s="164"/>
      <c r="BI50" s="216"/>
      <c r="BJ50" s="276"/>
      <c r="BL50" s="26"/>
    </row>
    <row r="51" spans="1:64" x14ac:dyDescent="0.35">
      <c r="A51" s="9168"/>
      <c r="B51" s="271" t="s">
        <v>540</v>
      </c>
      <c r="C51" s="271"/>
      <c r="D51" s="184"/>
      <c r="E51" s="141"/>
      <c r="F51" s="227"/>
      <c r="G51" s="141"/>
      <c r="H51" s="245"/>
      <c r="I51" s="106"/>
      <c r="J51" s="267"/>
      <c r="K51" s="141"/>
      <c r="L51" s="102"/>
      <c r="M51" s="268"/>
      <c r="N51" s="141"/>
      <c r="O51" s="245"/>
      <c r="P51" s="106"/>
      <c r="Q51" s="106"/>
      <c r="R51" s="267"/>
      <c r="S51" s="141"/>
      <c r="T51" s="102"/>
      <c r="U51" s="106"/>
      <c r="V51" s="268"/>
      <c r="W51" s="141"/>
      <c r="X51" s="245"/>
      <c r="Y51" s="106"/>
      <c r="Z51" s="106"/>
      <c r="AA51" s="267"/>
      <c r="AB51" s="141"/>
      <c r="AC51" s="102"/>
      <c r="AD51" s="106"/>
      <c r="AE51" s="105"/>
      <c r="AF51" s="141"/>
      <c r="AG51" s="245"/>
      <c r="AH51" s="106"/>
      <c r="AI51" s="106"/>
      <c r="AJ51" s="267"/>
      <c r="AK51" s="141"/>
      <c r="AL51" s="102"/>
      <c r="AM51" s="106"/>
      <c r="AN51" s="105"/>
      <c r="AO51" s="141"/>
      <c r="AP51" s="18"/>
      <c r="AR51" s="245"/>
      <c r="AS51" s="106"/>
      <c r="AT51" s="106"/>
      <c r="AU51" s="267"/>
      <c r="AV51" s="141"/>
      <c r="AW51" s="102"/>
      <c r="AX51" s="106"/>
      <c r="AY51" s="105"/>
      <c r="AZ51" s="141"/>
      <c r="BA51" s="18"/>
      <c r="BC51" s="245"/>
      <c r="BD51" s="106"/>
      <c r="BE51" s="106"/>
      <c r="BF51" s="267"/>
      <c r="BG51" s="141"/>
      <c r="BH51" s="102"/>
      <c r="BI51" s="106"/>
      <c r="BJ51" s="105"/>
      <c r="BK51" s="141"/>
      <c r="BL51" s="18"/>
    </row>
    <row r="52" spans="1:64" x14ac:dyDescent="0.35">
      <c r="A52" s="9168"/>
      <c r="B52" s="240"/>
      <c r="C52" s="240" t="s">
        <v>5296</v>
      </c>
      <c r="D52" s="197"/>
      <c r="F52" s="155"/>
      <c r="H52" s="242"/>
      <c r="I52" s="243"/>
      <c r="J52" s="64">
        <f>IF(H52=0,0,I52/H52)</f>
        <v>0</v>
      </c>
      <c r="L52" s="112"/>
      <c r="M52" s="157">
        <f>L52*J52</f>
        <v>0</v>
      </c>
      <c r="O52" s="112"/>
      <c r="P52" s="233"/>
      <c r="Q52" s="106"/>
      <c r="R52" s="64"/>
      <c r="T52" s="112"/>
      <c r="U52" s="106"/>
      <c r="V52" s="157"/>
      <c r="X52" s="112"/>
      <c r="Y52" s="233"/>
      <c r="Z52" s="106"/>
      <c r="AA52" s="64"/>
      <c r="AC52" s="248"/>
      <c r="AD52" s="106"/>
      <c r="AE52" s="1034"/>
      <c r="AG52" s="112"/>
      <c r="AH52" s="233"/>
      <c r="AI52" s="106"/>
      <c r="AJ52" s="64"/>
      <c r="AL52" s="248"/>
      <c r="AM52" s="106"/>
      <c r="AN52" s="1034"/>
      <c r="AP52" s="26"/>
      <c r="AR52" s="112"/>
      <c r="AS52" s="233"/>
      <c r="AT52" s="106"/>
      <c r="AU52" s="64"/>
      <c r="AW52" s="248"/>
      <c r="AX52" s="106"/>
      <c r="AY52" s="1034"/>
      <c r="BA52" s="26"/>
      <c r="BC52" s="112"/>
      <c r="BD52" s="233"/>
      <c r="BE52" s="106"/>
      <c r="BF52" s="64"/>
      <c r="BH52" s="248"/>
      <c r="BI52" s="106"/>
      <c r="BJ52" s="1034"/>
      <c r="BL52" s="26"/>
    </row>
    <row r="53" spans="1:64" x14ac:dyDescent="0.35">
      <c r="A53" s="9168"/>
      <c r="B53" s="240"/>
      <c r="C53" s="240" t="s">
        <v>533</v>
      </c>
      <c r="D53" s="197"/>
      <c r="F53" s="155"/>
      <c r="H53" s="242"/>
      <c r="I53" s="243"/>
      <c r="J53" s="64">
        <f>IF(H53=0,0,I53/H53)</f>
        <v>0</v>
      </c>
      <c r="L53" s="117"/>
      <c r="M53" s="157">
        <f>L53*J53</f>
        <v>0</v>
      </c>
      <c r="O53" s="117"/>
      <c r="P53" s="201"/>
      <c r="Q53" s="106"/>
      <c r="R53" s="64"/>
      <c r="T53" s="117"/>
      <c r="U53" s="106"/>
      <c r="V53" s="157"/>
      <c r="X53" s="117"/>
      <c r="Y53" s="201"/>
      <c r="Z53" s="106"/>
      <c r="AA53" s="64"/>
      <c r="AC53" s="200"/>
      <c r="AD53" s="106"/>
      <c r="AE53" s="273"/>
      <c r="AG53" s="117"/>
      <c r="AH53" s="201"/>
      <c r="AI53" s="106"/>
      <c r="AJ53" s="64"/>
      <c r="AL53" s="200"/>
      <c r="AM53" s="106"/>
      <c r="AN53" s="273"/>
      <c r="AP53" s="26"/>
      <c r="AR53" s="117"/>
      <c r="AS53" s="201"/>
      <c r="AT53" s="106"/>
      <c r="AU53" s="64"/>
      <c r="AW53" s="200"/>
      <c r="AX53" s="106"/>
      <c r="AY53" s="273"/>
      <c r="BA53" s="26"/>
      <c r="BC53" s="117"/>
      <c r="BD53" s="201"/>
      <c r="BE53" s="106"/>
      <c r="BF53" s="64"/>
      <c r="BH53" s="200"/>
      <c r="BI53" s="106"/>
      <c r="BJ53" s="273"/>
      <c r="BL53" s="26"/>
    </row>
    <row r="54" spans="1:64" x14ac:dyDescent="0.35">
      <c r="A54" s="9168"/>
      <c r="B54" s="240"/>
      <c r="C54" s="240" t="s">
        <v>534</v>
      </c>
      <c r="D54" s="197"/>
      <c r="F54" s="163"/>
      <c r="H54" s="242"/>
      <c r="I54" s="243"/>
      <c r="J54" s="64">
        <f>IF(H54=0,0,I54/H54)</f>
        <v>0</v>
      </c>
      <c r="L54" s="242"/>
      <c r="M54" s="157">
        <f>L54*J54</f>
        <v>0</v>
      </c>
      <c r="O54" s="242"/>
      <c r="P54" s="233"/>
      <c r="Q54" s="106"/>
      <c r="R54" s="64"/>
      <c r="T54" s="242"/>
      <c r="U54" s="106"/>
      <c r="V54" s="157"/>
      <c r="X54" s="242"/>
      <c r="Y54" s="233"/>
      <c r="Z54" s="106"/>
      <c r="AA54" s="64"/>
      <c r="AC54" s="164"/>
      <c r="AD54" s="106"/>
      <c r="AE54" s="276"/>
      <c r="AG54" s="242"/>
      <c r="AH54" s="233"/>
      <c r="AI54" s="106"/>
      <c r="AJ54" s="64"/>
      <c r="AL54" s="164"/>
      <c r="AM54" s="106"/>
      <c r="AN54" s="276"/>
      <c r="AP54" s="26"/>
      <c r="AR54" s="242"/>
      <c r="AS54" s="233"/>
      <c r="AT54" s="106"/>
      <c r="AU54" s="64"/>
      <c r="AW54" s="164"/>
      <c r="AX54" s="106"/>
      <c r="AY54" s="276"/>
      <c r="BA54" s="26"/>
      <c r="BC54" s="242"/>
      <c r="BD54" s="233"/>
      <c r="BE54" s="106"/>
      <c r="BF54" s="64"/>
      <c r="BH54" s="164"/>
      <c r="BI54" s="106"/>
      <c r="BJ54" s="276"/>
      <c r="BL54" s="26"/>
    </row>
    <row r="55" spans="1:64" x14ac:dyDescent="0.35">
      <c r="A55" s="9168"/>
      <c r="B55" s="240"/>
      <c r="C55" s="240" t="s">
        <v>536</v>
      </c>
      <c r="D55" s="197"/>
      <c r="F55" s="163"/>
      <c r="H55" s="242"/>
      <c r="I55" s="243"/>
      <c r="J55" s="64">
        <f>IF(H55=0,0,I55/H55)</f>
        <v>0</v>
      </c>
      <c r="L55" s="242"/>
      <c r="M55" s="157">
        <f>L55*J55</f>
        <v>0</v>
      </c>
      <c r="O55" s="242"/>
      <c r="P55" s="201"/>
      <c r="Q55" s="106"/>
      <c r="R55" s="64"/>
      <c r="T55" s="242"/>
      <c r="U55" s="106"/>
      <c r="V55" s="157"/>
      <c r="X55" s="242"/>
      <c r="Y55" s="201"/>
      <c r="Z55" s="106"/>
      <c r="AA55" s="64"/>
      <c r="AC55" s="164"/>
      <c r="AD55" s="106"/>
      <c r="AE55" s="276"/>
      <c r="AG55" s="242"/>
      <c r="AH55" s="201"/>
      <c r="AI55" s="106"/>
      <c r="AJ55" s="64"/>
      <c r="AL55" s="164"/>
      <c r="AM55" s="106"/>
      <c r="AN55" s="276"/>
      <c r="AP55" s="26"/>
      <c r="AR55" s="242"/>
      <c r="AS55" s="201"/>
      <c r="AT55" s="106"/>
      <c r="AU55" s="64"/>
      <c r="AW55" s="164"/>
      <c r="AX55" s="106"/>
      <c r="AY55" s="276"/>
      <c r="BA55" s="26"/>
      <c r="BC55" s="242"/>
      <c r="BD55" s="201"/>
      <c r="BE55" s="106"/>
      <c r="BF55" s="64"/>
      <c r="BH55" s="164"/>
      <c r="BI55" s="106"/>
      <c r="BJ55" s="276"/>
      <c r="BL55" s="26"/>
    </row>
    <row r="56" spans="1:64" x14ac:dyDescent="0.35">
      <c r="A56" s="9168"/>
      <c r="B56" s="240"/>
      <c r="C56" s="240" t="s">
        <v>537</v>
      </c>
      <c r="D56" s="197"/>
      <c r="F56" s="163"/>
      <c r="H56" s="242"/>
      <c r="I56" s="243"/>
      <c r="J56" s="64">
        <f>IF(H56=0,0,I56/H56)</f>
        <v>0</v>
      </c>
      <c r="L56" s="242"/>
      <c r="M56" s="157">
        <f>L56*J56</f>
        <v>0</v>
      </c>
      <c r="O56" s="242"/>
      <c r="P56" s="233"/>
      <c r="Q56" s="106"/>
      <c r="R56" s="64"/>
      <c r="T56" s="242"/>
      <c r="U56" s="106"/>
      <c r="V56" s="157"/>
      <c r="X56" s="242"/>
      <c r="Y56" s="233"/>
      <c r="Z56" s="106"/>
      <c r="AA56" s="64"/>
      <c r="AC56" s="164"/>
      <c r="AD56" s="106"/>
      <c r="AE56" s="276"/>
      <c r="AG56" s="242"/>
      <c r="AH56" s="233"/>
      <c r="AI56" s="106"/>
      <c r="AJ56" s="64"/>
      <c r="AL56" s="164"/>
      <c r="AM56" s="106"/>
      <c r="AN56" s="276"/>
      <c r="AP56" s="26"/>
      <c r="AR56" s="242"/>
      <c r="AS56" s="233"/>
      <c r="AT56" s="106"/>
      <c r="AU56" s="64"/>
      <c r="AW56" s="164"/>
      <c r="AX56" s="106"/>
      <c r="AY56" s="276"/>
      <c r="BA56" s="26"/>
      <c r="BC56" s="242"/>
      <c r="BD56" s="233"/>
      <c r="BE56" s="106"/>
      <c r="BF56" s="64"/>
      <c r="BH56" s="164"/>
      <c r="BI56" s="106"/>
      <c r="BJ56" s="276"/>
      <c r="BL56" s="26"/>
    </row>
    <row r="57" spans="1:64" x14ac:dyDescent="0.35">
      <c r="A57" s="9168"/>
      <c r="B57" s="240"/>
      <c r="C57" s="240" t="s">
        <v>538</v>
      </c>
      <c r="D57" s="197"/>
      <c r="F57" s="163"/>
      <c r="H57" s="242"/>
      <c r="I57" s="243"/>
      <c r="J57" s="64"/>
      <c r="L57" s="242"/>
      <c r="M57" s="157"/>
      <c r="O57" s="242"/>
      <c r="P57" s="201"/>
      <c r="Q57" s="106"/>
      <c r="R57" s="64"/>
      <c r="T57" s="242"/>
      <c r="U57" s="106"/>
      <c r="V57" s="157"/>
      <c r="X57" s="242"/>
      <c r="Y57" s="201"/>
      <c r="Z57" s="106"/>
      <c r="AA57" s="64"/>
      <c r="AC57" s="164"/>
      <c r="AD57" s="106"/>
      <c r="AE57" s="276"/>
      <c r="AG57" s="242"/>
      <c r="AH57" s="201"/>
      <c r="AI57" s="106"/>
      <c r="AJ57" s="64"/>
      <c r="AL57" s="164"/>
      <c r="AM57" s="106"/>
      <c r="AN57" s="276"/>
      <c r="AP57" s="26"/>
      <c r="AR57" s="242"/>
      <c r="AS57" s="201"/>
      <c r="AT57" s="106"/>
      <c r="AU57" s="64"/>
      <c r="AW57" s="164"/>
      <c r="AX57" s="106"/>
      <c r="AY57" s="276"/>
      <c r="BA57" s="26"/>
      <c r="BC57" s="242"/>
      <c r="BD57" s="201"/>
      <c r="BE57" s="106"/>
      <c r="BF57" s="64"/>
      <c r="BH57" s="164"/>
      <c r="BI57" s="106"/>
      <c r="BJ57" s="276"/>
      <c r="BL57" s="26"/>
    </row>
    <row r="58" spans="1:64" x14ac:dyDescent="0.35">
      <c r="A58" s="9168"/>
      <c r="B58" s="240"/>
      <c r="C58" s="240" t="s">
        <v>539</v>
      </c>
      <c r="D58" s="197"/>
      <c r="F58" s="163"/>
      <c r="H58" s="242"/>
      <c r="I58" s="243"/>
      <c r="J58" s="64">
        <f>IF(H58=0,0,I58/H58)</f>
        <v>0</v>
      </c>
      <c r="L58" s="242"/>
      <c r="M58" s="157">
        <f>L58*J58</f>
        <v>0</v>
      </c>
      <c r="O58" s="242"/>
      <c r="P58" s="201"/>
      <c r="Q58" s="106"/>
      <c r="R58" s="64"/>
      <c r="T58" s="242"/>
      <c r="U58" s="106"/>
      <c r="V58" s="157"/>
      <c r="X58" s="242"/>
      <c r="Y58" s="201"/>
      <c r="Z58" s="106"/>
      <c r="AA58" s="64"/>
      <c r="AC58" s="164"/>
      <c r="AD58" s="106"/>
      <c r="AE58" s="276"/>
      <c r="AG58" s="242"/>
      <c r="AH58" s="201"/>
      <c r="AI58" s="106"/>
      <c r="AJ58" s="64"/>
      <c r="AL58" s="164"/>
      <c r="AM58" s="106"/>
      <c r="AN58" s="276"/>
      <c r="AP58" s="26"/>
      <c r="AR58" s="242"/>
      <c r="AS58" s="201"/>
      <c r="AT58" s="106"/>
      <c r="AU58" s="64"/>
      <c r="AW58" s="164"/>
      <c r="AX58" s="106"/>
      <c r="AY58" s="276"/>
      <c r="BA58" s="26"/>
      <c r="BC58" s="242"/>
      <c r="BD58" s="201"/>
      <c r="BE58" s="106"/>
      <c r="BF58" s="64"/>
      <c r="BH58" s="164"/>
      <c r="BI58" s="106"/>
      <c r="BJ58" s="276"/>
      <c r="BL58" s="26"/>
    </row>
    <row r="59" spans="1:64" x14ac:dyDescent="0.35">
      <c r="A59" s="9168"/>
      <c r="B59" s="250"/>
      <c r="C59" s="250" t="s">
        <v>704</v>
      </c>
      <c r="D59" s="209"/>
      <c r="F59" s="130"/>
      <c r="H59" s="242"/>
      <c r="I59" s="243"/>
      <c r="J59" s="64">
        <f>IF(H59=0,0,I59/H59)</f>
        <v>0</v>
      </c>
      <c r="L59" s="242"/>
      <c r="M59" s="157">
        <f>L59*J59</f>
        <v>0</v>
      </c>
      <c r="O59" s="242"/>
      <c r="P59" s="201"/>
      <c r="Q59" s="216"/>
      <c r="R59" s="64"/>
      <c r="T59" s="242"/>
      <c r="U59" s="216"/>
      <c r="V59" s="157"/>
      <c r="X59" s="242"/>
      <c r="Y59" s="201"/>
      <c r="Z59" s="216"/>
      <c r="AA59" s="64"/>
      <c r="AC59" s="164"/>
      <c r="AD59" s="216"/>
      <c r="AE59" s="276"/>
      <c r="AG59" s="242"/>
      <c r="AH59" s="201"/>
      <c r="AI59" s="216"/>
      <c r="AJ59" s="64"/>
      <c r="AL59" s="164"/>
      <c r="AM59" s="216"/>
      <c r="AN59" s="276"/>
      <c r="AP59" s="24"/>
      <c r="AR59" s="242"/>
      <c r="AS59" s="201"/>
      <c r="AT59" s="216"/>
      <c r="AU59" s="64"/>
      <c r="AW59" s="164"/>
      <c r="AX59" s="216"/>
      <c r="AY59" s="276"/>
      <c r="BA59" s="24"/>
      <c r="BC59" s="242"/>
      <c r="BD59" s="201"/>
      <c r="BE59" s="216"/>
      <c r="BF59" s="64"/>
      <c r="BH59" s="164"/>
      <c r="BI59" s="216"/>
      <c r="BJ59" s="276"/>
      <c r="BL59" s="24"/>
    </row>
    <row r="60" spans="1:64" x14ac:dyDescent="0.35">
      <c r="A60" s="9168"/>
      <c r="B60" s="271" t="s">
        <v>552</v>
      </c>
      <c r="C60" s="271"/>
      <c r="D60" s="184"/>
      <c r="E60" s="143"/>
      <c r="F60" s="227"/>
      <c r="G60" s="143"/>
      <c r="H60" s="102"/>
      <c r="I60" s="103"/>
      <c r="J60" s="228"/>
      <c r="K60" s="143"/>
      <c r="L60" s="102"/>
      <c r="M60" s="268"/>
      <c r="N60" s="143"/>
      <c r="O60" s="102"/>
      <c r="P60" s="103"/>
      <c r="Q60" s="106"/>
      <c r="R60" s="228"/>
      <c r="S60" s="143"/>
      <c r="T60" s="102"/>
      <c r="U60" s="106"/>
      <c r="V60" s="268"/>
      <c r="W60" s="143"/>
      <c r="X60" s="102"/>
      <c r="Y60" s="103"/>
      <c r="Z60" s="106"/>
      <c r="AA60" s="228"/>
      <c r="AB60" s="143"/>
      <c r="AC60" s="102"/>
      <c r="AD60" s="106"/>
      <c r="AE60" s="105"/>
      <c r="AF60" s="143"/>
      <c r="AG60" s="102"/>
      <c r="AH60" s="103"/>
      <c r="AI60" s="106"/>
      <c r="AJ60" s="228"/>
      <c r="AK60" s="143"/>
      <c r="AL60" s="102"/>
      <c r="AM60" s="106"/>
      <c r="AN60" s="105"/>
      <c r="AO60" s="143"/>
      <c r="AP60" s="18"/>
      <c r="AR60" s="102"/>
      <c r="AS60" s="103"/>
      <c r="AT60" s="106"/>
      <c r="AU60" s="228"/>
      <c r="AV60" s="143"/>
      <c r="AW60" s="102"/>
      <c r="AX60" s="106"/>
      <c r="AY60" s="105"/>
      <c r="AZ60" s="143"/>
      <c r="BA60" s="18"/>
      <c r="BC60" s="102"/>
      <c r="BD60" s="103"/>
      <c r="BE60" s="106"/>
      <c r="BF60" s="228"/>
      <c r="BG60" s="143"/>
      <c r="BH60" s="102"/>
      <c r="BI60" s="106"/>
      <c r="BJ60" s="105"/>
      <c r="BK60" s="143"/>
      <c r="BL60" s="18"/>
    </row>
    <row r="61" spans="1:64" x14ac:dyDescent="0.35">
      <c r="A61" s="9168"/>
      <c r="B61" s="272"/>
      <c r="C61" s="272" t="s">
        <v>980</v>
      </c>
      <c r="D61" s="197"/>
      <c r="F61" s="155"/>
      <c r="H61" s="117"/>
      <c r="I61" s="115"/>
      <c r="J61" s="64">
        <f>IF(H61=0,0,I61/H61)</f>
        <v>0</v>
      </c>
      <c r="L61" s="117"/>
      <c r="M61" s="157">
        <f>M29*M63</f>
        <v>0</v>
      </c>
      <c r="O61" s="117"/>
      <c r="P61" s="201"/>
      <c r="Q61" s="106"/>
      <c r="R61" s="64"/>
      <c r="T61" s="117"/>
      <c r="V61" s="157"/>
      <c r="X61" s="117"/>
      <c r="Y61" s="201"/>
      <c r="Z61" s="106"/>
      <c r="AA61" s="64"/>
      <c r="AC61" s="200"/>
      <c r="AE61" s="273"/>
      <c r="AG61" s="117"/>
      <c r="AH61" s="201"/>
      <c r="AI61" s="106"/>
      <c r="AJ61" s="64"/>
      <c r="AL61" s="200"/>
      <c r="AN61" s="273"/>
      <c r="AP61" s="26"/>
      <c r="AR61" s="117"/>
      <c r="AS61" s="201"/>
      <c r="AT61" s="106"/>
      <c r="AU61" s="64"/>
      <c r="AW61" s="200"/>
      <c r="AY61" s="273"/>
      <c r="BA61" s="26"/>
      <c r="BC61" s="117"/>
      <c r="BD61" s="201"/>
      <c r="BE61" s="106"/>
      <c r="BF61" s="64"/>
      <c r="BH61" s="200"/>
      <c r="BJ61" s="273"/>
      <c r="BL61" s="26"/>
    </row>
    <row r="62" spans="1:64" x14ac:dyDescent="0.35">
      <c r="A62" s="9168"/>
      <c r="B62" s="274"/>
      <c r="C62" s="274"/>
      <c r="D62" s="197"/>
      <c r="F62" s="163"/>
      <c r="H62" s="242"/>
      <c r="I62" s="243"/>
      <c r="J62" s="64"/>
      <c r="L62" s="242"/>
      <c r="M62" s="157"/>
      <c r="O62" s="117"/>
      <c r="P62" s="201"/>
      <c r="Q62" s="106"/>
      <c r="R62" s="64"/>
      <c r="T62" s="117"/>
      <c r="V62" s="157"/>
      <c r="X62" s="117"/>
      <c r="Y62" s="201"/>
      <c r="Z62" s="106"/>
      <c r="AA62" s="64"/>
      <c r="AC62" s="200"/>
      <c r="AE62" s="273"/>
      <c r="AG62" s="117"/>
      <c r="AH62" s="201"/>
      <c r="AI62" s="106"/>
      <c r="AJ62" s="64"/>
      <c r="AL62" s="200"/>
      <c r="AN62" s="273"/>
      <c r="AP62" s="26"/>
      <c r="AR62" s="117"/>
      <c r="AS62" s="201"/>
      <c r="AT62" s="106"/>
      <c r="AU62" s="64"/>
      <c r="AW62" s="200"/>
      <c r="AY62" s="273"/>
      <c r="BA62" s="26"/>
      <c r="BC62" s="117"/>
      <c r="BD62" s="201"/>
      <c r="BE62" s="106"/>
      <c r="BF62" s="64"/>
      <c r="BH62" s="200"/>
      <c r="BJ62" s="273"/>
      <c r="BL62" s="26"/>
    </row>
    <row r="63" spans="1:64" x14ac:dyDescent="0.35">
      <c r="A63" s="9168"/>
      <c r="B63" s="277"/>
      <c r="C63" s="277" t="s">
        <v>555</v>
      </c>
      <c r="D63" s="209"/>
      <c r="F63" s="665"/>
      <c r="G63" s="666"/>
      <c r="H63" s="283"/>
      <c r="I63" s="667"/>
      <c r="J63" s="133"/>
      <c r="L63" s="283"/>
      <c r="M63" s="668"/>
      <c r="O63" s="283"/>
      <c r="P63" s="201"/>
      <c r="Q63" s="284"/>
      <c r="R63" s="133"/>
      <c r="T63" s="283"/>
      <c r="U63" s="284"/>
      <c r="V63" s="668"/>
      <c r="X63" s="283"/>
      <c r="Y63" s="201"/>
      <c r="Z63" s="284"/>
      <c r="AA63" s="133"/>
      <c r="AC63" s="3284"/>
      <c r="AD63" s="284"/>
      <c r="AE63" s="285"/>
      <c r="AG63" s="283"/>
      <c r="AH63" s="201"/>
      <c r="AI63" s="284"/>
      <c r="AJ63" s="133"/>
      <c r="AL63" s="3284"/>
      <c r="AM63" s="284"/>
      <c r="AN63" s="285"/>
      <c r="AP63" s="24"/>
      <c r="AR63" s="283"/>
      <c r="AS63" s="201"/>
      <c r="AT63" s="284"/>
      <c r="AU63" s="133"/>
      <c r="AW63" s="3284"/>
      <c r="AX63" s="284"/>
      <c r="AY63" s="285"/>
      <c r="BA63" s="24"/>
      <c r="BC63" s="283"/>
      <c r="BD63" s="201"/>
      <c r="BE63" s="284"/>
      <c r="BF63" s="133"/>
      <c r="BH63" s="3284"/>
      <c r="BI63" s="284"/>
      <c r="BJ63" s="285"/>
      <c r="BL63" s="24"/>
    </row>
    <row r="64" spans="1:64" ht="15.25" customHeight="1" x14ac:dyDescent="0.35">
      <c r="A64" s="9168"/>
      <c r="B64" s="287" t="s">
        <v>556</v>
      </c>
      <c r="C64" s="288"/>
      <c r="D64" s="184"/>
      <c r="E64" s="143"/>
      <c r="F64" s="289"/>
      <c r="G64" s="290"/>
      <c r="H64" s="291"/>
      <c r="I64" s="292"/>
      <c r="J64" s="293"/>
      <c r="L64" s="1990"/>
      <c r="M64" s="268"/>
      <c r="N64" s="143"/>
      <c r="O64" s="291"/>
      <c r="P64" s="292"/>
      <c r="Q64" s="106"/>
      <c r="R64" s="293"/>
      <c r="T64" s="1388"/>
      <c r="U64" s="106"/>
      <c r="V64" s="3942"/>
      <c r="W64" s="143"/>
      <c r="X64" s="3943"/>
      <c r="Y64" s="3944"/>
      <c r="Z64" s="106"/>
      <c r="AA64" s="293"/>
      <c r="AC64" s="1388"/>
      <c r="AD64" s="103"/>
      <c r="AE64" s="3942"/>
      <c r="AF64" s="143"/>
      <c r="AG64" s="3943"/>
      <c r="AH64" s="3944"/>
      <c r="AI64" s="106"/>
      <c r="AJ64" s="293"/>
      <c r="AL64" s="1388"/>
      <c r="AM64" s="103"/>
      <c r="AN64" s="3942"/>
      <c r="AO64" s="143"/>
      <c r="AP64" s="18"/>
      <c r="AR64" s="3943"/>
      <c r="AS64" s="3944"/>
      <c r="AT64" s="106"/>
      <c r="AU64" s="293"/>
      <c r="AW64" s="1388"/>
      <c r="AX64" s="103"/>
      <c r="AY64" s="3942"/>
      <c r="AZ64" s="143"/>
      <c r="BA64" s="18"/>
      <c r="BC64" s="3943"/>
      <c r="BD64" s="3944"/>
      <c r="BE64" s="106"/>
      <c r="BF64" s="293"/>
      <c r="BH64" s="1388"/>
      <c r="BI64" s="103"/>
      <c r="BJ64" s="3942"/>
      <c r="BK64" s="143"/>
      <c r="BL64" s="18"/>
    </row>
    <row r="65" spans="1:64" x14ac:dyDescent="0.35">
      <c r="A65" s="9168"/>
      <c r="B65" s="302"/>
      <c r="C65" s="587" t="s">
        <v>4177</v>
      </c>
      <c r="D65" s="197"/>
      <c r="F65" s="521">
        <v>43170.980680000001</v>
      </c>
      <c r="G65" s="272"/>
      <c r="H65" s="62">
        <f t="shared" ref="H65:I65" si="12">H36</f>
        <v>95092.717000000004</v>
      </c>
      <c r="I65" s="63">
        <f t="shared" si="12"/>
        <v>19962.978999999999</v>
      </c>
      <c r="J65" s="297">
        <f>IF(H65=0,0,I65/H65)</f>
        <v>0.20993173430936882</v>
      </c>
      <c r="L65" s="62">
        <f>L36</f>
        <v>86219.376999999993</v>
      </c>
      <c r="M65" s="157">
        <f>M36</f>
        <v>18100.183344683304</v>
      </c>
      <c r="O65" s="298">
        <f t="shared" ref="O65:P65" si="13">O36</f>
        <v>86219.376999999993</v>
      </c>
      <c r="P65" s="299">
        <f t="shared" si="13"/>
        <v>18100.183344683304</v>
      </c>
      <c r="Q65" s="57"/>
      <c r="R65" s="300"/>
      <c r="T65" s="62">
        <f>T36</f>
        <v>137754</v>
      </c>
      <c r="U65" s="106"/>
      <c r="V65" s="301">
        <f>V36</f>
        <v>83040.391499999998</v>
      </c>
      <c r="X65" s="62">
        <f t="shared" ref="X65:Y65" si="14">X36</f>
        <v>137754.06266900001</v>
      </c>
      <c r="Y65" s="63">
        <f t="shared" si="14"/>
        <v>83040.391499999998</v>
      </c>
      <c r="Z65" s="57"/>
      <c r="AA65" s="300"/>
      <c r="AC65" s="62">
        <f>AC36</f>
        <v>132763</v>
      </c>
      <c r="AD65" s="106"/>
      <c r="AE65" s="301">
        <f>AE36</f>
        <v>86448.573848034503</v>
      </c>
      <c r="AG65" s="62"/>
      <c r="AH65" s="63"/>
      <c r="AI65" s="57"/>
      <c r="AJ65" s="300"/>
      <c r="AL65" s="62"/>
      <c r="AM65" s="106"/>
      <c r="AN65" s="301"/>
      <c r="AP65" s="26"/>
      <c r="AR65" s="62"/>
      <c r="AS65" s="63"/>
      <c r="AT65" s="57"/>
      <c r="AU65" s="300"/>
      <c r="AW65" s="62"/>
      <c r="AX65" s="106"/>
      <c r="AY65" s="301"/>
      <c r="BA65" s="26"/>
      <c r="BC65" s="62"/>
      <c r="BD65" s="63"/>
      <c r="BE65" s="57"/>
      <c r="BF65" s="300"/>
      <c r="BH65" s="62"/>
      <c r="BI65" s="106"/>
      <c r="BJ65" s="301"/>
      <c r="BL65" s="26"/>
    </row>
    <row r="66" spans="1:64" x14ac:dyDescent="0.35">
      <c r="A66" s="9168"/>
      <c r="B66" s="302"/>
      <c r="C66" s="587" t="s">
        <v>4182</v>
      </c>
      <c r="D66" s="197"/>
      <c r="F66" s="61"/>
      <c r="G66" s="272"/>
      <c r="H66" s="62"/>
      <c r="I66" s="63"/>
      <c r="J66" s="297">
        <f>IF(H66=0,0,I66/H66)</f>
        <v>0</v>
      </c>
      <c r="L66" s="62"/>
      <c r="M66" s="157">
        <f>L66*J66</f>
        <v>0</v>
      </c>
      <c r="O66" s="62"/>
      <c r="P66" s="303"/>
      <c r="Q66" s="57"/>
      <c r="R66" s="297"/>
      <c r="T66" s="304"/>
      <c r="U66" s="106"/>
      <c r="V66" s="3286"/>
      <c r="X66" s="304"/>
      <c r="Y66" s="522"/>
      <c r="Z66" s="57"/>
      <c r="AA66" s="297"/>
      <c r="AC66" s="304"/>
      <c r="AD66" s="106"/>
      <c r="AE66" s="3286"/>
      <c r="AG66" s="304"/>
      <c r="AH66" s="522"/>
      <c r="AI66" s="57"/>
      <c r="AJ66" s="297"/>
      <c r="AL66" s="304"/>
      <c r="AM66" s="106"/>
      <c r="AN66" s="3286"/>
      <c r="AP66" s="26"/>
      <c r="AR66" s="304"/>
      <c r="AS66" s="522"/>
      <c r="AT66" s="57"/>
      <c r="AU66" s="297"/>
      <c r="AW66" s="304"/>
      <c r="AX66" s="106"/>
      <c r="AY66" s="3286"/>
      <c r="BA66" s="26"/>
      <c r="BC66" s="304"/>
      <c r="BD66" s="522"/>
      <c r="BE66" s="57"/>
      <c r="BF66" s="297"/>
      <c r="BH66" s="304"/>
      <c r="BI66" s="106"/>
      <c r="BJ66" s="3286"/>
      <c r="BL66" s="26"/>
    </row>
    <row r="67" spans="1:64" x14ac:dyDescent="0.35">
      <c r="A67" s="9168"/>
      <c r="B67" s="305"/>
      <c r="C67" s="59" t="s">
        <v>534</v>
      </c>
      <c r="D67" s="197"/>
      <c r="F67" s="61"/>
      <c r="G67" s="272"/>
      <c r="H67" s="62"/>
      <c r="I67" s="63"/>
      <c r="J67" s="297">
        <f>IF(H67=0,0,I67/H67)</f>
        <v>0</v>
      </c>
      <c r="L67" s="62"/>
      <c r="M67" s="157">
        <f>L67*J67</f>
        <v>0</v>
      </c>
      <c r="O67" s="62"/>
      <c r="P67" s="72"/>
      <c r="Q67" s="57"/>
      <c r="R67" s="297"/>
      <c r="T67" s="62"/>
      <c r="U67" s="106"/>
      <c r="V67" s="301"/>
      <c r="X67" s="62"/>
      <c r="Y67" s="63"/>
      <c r="Z67" s="57"/>
      <c r="AA67" s="297"/>
      <c r="AC67" s="62"/>
      <c r="AD67" s="106"/>
      <c r="AE67" s="301"/>
      <c r="AG67" s="62"/>
      <c r="AH67" s="63"/>
      <c r="AI67" s="57"/>
      <c r="AJ67" s="297"/>
      <c r="AL67" s="62"/>
      <c r="AM67" s="106"/>
      <c r="AN67" s="301"/>
      <c r="AP67" s="26"/>
      <c r="AR67" s="62"/>
      <c r="AS67" s="63"/>
      <c r="AT67" s="57"/>
      <c r="AU67" s="297"/>
      <c r="AW67" s="62"/>
      <c r="AX67" s="106"/>
      <c r="AY67" s="301"/>
      <c r="BA67" s="26"/>
      <c r="BC67" s="62"/>
      <c r="BD67" s="63"/>
      <c r="BE67" s="57"/>
      <c r="BF67" s="297"/>
      <c r="BH67" s="62"/>
      <c r="BI67" s="106"/>
      <c r="BJ67" s="301"/>
      <c r="BL67" s="26"/>
    </row>
    <row r="68" spans="1:64" x14ac:dyDescent="0.35">
      <c r="A68" s="9169"/>
      <c r="B68" s="306"/>
      <c r="C68" s="86" t="s">
        <v>536</v>
      </c>
      <c r="D68" s="209"/>
      <c r="F68" s="88"/>
      <c r="G68" s="274"/>
      <c r="H68" s="89"/>
      <c r="I68" s="90"/>
      <c r="J68" s="307">
        <f>IF(H68=0,0,I68/H68)</f>
        <v>0</v>
      </c>
      <c r="L68" s="89"/>
      <c r="M68" s="213">
        <f>L68*J68</f>
        <v>0</v>
      </c>
      <c r="O68" s="89"/>
      <c r="P68" s="308"/>
      <c r="Q68" s="216"/>
      <c r="R68" s="307"/>
      <c r="T68" s="89"/>
      <c r="U68" s="216"/>
      <c r="V68" s="309"/>
      <c r="X68" s="89"/>
      <c r="Y68" s="90"/>
      <c r="Z68" s="216"/>
      <c r="AA68" s="307"/>
      <c r="AC68" s="89"/>
      <c r="AD68" s="216"/>
      <c r="AE68" s="309"/>
      <c r="AG68" s="89"/>
      <c r="AH68" s="90"/>
      <c r="AI68" s="216"/>
      <c r="AJ68" s="307"/>
      <c r="AL68" s="89"/>
      <c r="AM68" s="216"/>
      <c r="AN68" s="309"/>
      <c r="AP68" s="24"/>
      <c r="AR68" s="89"/>
      <c r="AS68" s="90"/>
      <c r="AT68" s="216"/>
      <c r="AU68" s="307"/>
      <c r="AW68" s="89"/>
      <c r="AX68" s="216"/>
      <c r="AY68" s="309"/>
      <c r="BA68" s="24"/>
      <c r="BC68" s="89"/>
      <c r="BD68" s="90"/>
      <c r="BE68" s="216"/>
      <c r="BF68" s="307"/>
      <c r="BH68" s="89"/>
      <c r="BI68" s="216"/>
      <c r="BJ68" s="309"/>
      <c r="BL68" s="24"/>
    </row>
    <row r="69" spans="1:64" x14ac:dyDescent="0.35">
      <c r="A69" s="310"/>
      <c r="B69" s="310"/>
      <c r="F69" s="106"/>
      <c r="H69" s="106"/>
      <c r="I69" s="106"/>
      <c r="J69" s="311"/>
      <c r="L69" s="106"/>
      <c r="M69" s="312"/>
      <c r="O69" s="106"/>
      <c r="P69" s="106"/>
      <c r="Q69" s="106"/>
      <c r="R69" s="311"/>
      <c r="T69" s="106"/>
      <c r="U69" s="106"/>
      <c r="V69" s="312"/>
      <c r="X69" s="57"/>
      <c r="Y69" s="106"/>
      <c r="Z69" s="106"/>
      <c r="AA69" s="311"/>
      <c r="AC69" s="57"/>
      <c r="AD69" s="106"/>
      <c r="AE69" s="312"/>
      <c r="AG69" s="57"/>
      <c r="AH69" s="106"/>
      <c r="AI69" s="106"/>
      <c r="AJ69" s="311"/>
      <c r="AL69" s="57"/>
      <c r="AM69" s="106"/>
      <c r="AN69" s="312"/>
      <c r="AR69" s="57"/>
      <c r="AS69" s="106"/>
      <c r="AT69" s="106"/>
      <c r="AU69" s="311"/>
      <c r="AW69" s="57"/>
      <c r="AX69" s="106"/>
      <c r="AY69" s="312"/>
      <c r="BC69" s="57"/>
      <c r="BD69" s="106"/>
      <c r="BE69" s="106"/>
      <c r="BF69" s="311"/>
      <c r="BH69" s="57"/>
      <c r="BI69" s="106"/>
      <c r="BJ69" s="312"/>
    </row>
    <row r="70" spans="1:64" x14ac:dyDescent="0.35">
      <c r="A70" s="9226" t="s">
        <v>1114</v>
      </c>
      <c r="B70" s="673" t="s">
        <v>5297</v>
      </c>
      <c r="C70" s="315" t="s">
        <v>5293</v>
      </c>
      <c r="D70" s="184"/>
      <c r="F70" s="316"/>
      <c r="H70" s="317"/>
      <c r="I70" s="318"/>
      <c r="J70" s="319"/>
      <c r="L70" s="317"/>
      <c r="M70" s="318"/>
      <c r="O70" s="320"/>
      <c r="P70" s="321"/>
      <c r="Q70" s="231"/>
      <c r="R70" s="293"/>
      <c r="T70" s="317"/>
      <c r="U70" s="103"/>
      <c r="V70" s="1426"/>
      <c r="X70" s="320"/>
      <c r="Y70" s="321"/>
      <c r="Z70" s="231"/>
      <c r="AA70" s="293"/>
      <c r="AC70" s="317"/>
      <c r="AD70" s="231"/>
      <c r="AE70" s="1426"/>
      <c r="AG70" s="320"/>
      <c r="AH70" s="321"/>
      <c r="AI70" s="231"/>
      <c r="AJ70" s="293"/>
      <c r="AL70" s="317"/>
      <c r="AM70" s="231"/>
      <c r="AN70" s="1426"/>
      <c r="AR70" s="320"/>
      <c r="AS70" s="321"/>
      <c r="AT70" s="231"/>
      <c r="AU70" s="293"/>
      <c r="AW70" s="317">
        <v>74944</v>
      </c>
      <c r="AX70" s="231" t="s">
        <v>5298</v>
      </c>
      <c r="AY70" s="1426"/>
      <c r="BC70" s="320"/>
      <c r="BD70" s="321"/>
      <c r="BE70" s="231"/>
      <c r="BF70" s="293"/>
      <c r="BH70" s="317"/>
      <c r="BI70" s="231"/>
      <c r="BJ70" s="1426"/>
    </row>
    <row r="71" spans="1:64" x14ac:dyDescent="0.35">
      <c r="A71" s="9227"/>
      <c r="B71" s="325"/>
      <c r="C71" s="326" t="s">
        <v>5291</v>
      </c>
      <c r="D71" s="197"/>
      <c r="F71" s="327"/>
      <c r="H71" s="325"/>
      <c r="I71" s="328"/>
      <c r="J71" s="329"/>
      <c r="L71" s="325"/>
      <c r="M71" s="328"/>
      <c r="O71" s="674"/>
      <c r="P71" s="675"/>
      <c r="Q71" s="332"/>
      <c r="R71" s="297"/>
      <c r="T71" s="325"/>
      <c r="U71" s="332"/>
      <c r="V71" s="1434"/>
      <c r="X71" s="339"/>
      <c r="Y71" s="675"/>
      <c r="Z71" s="332"/>
      <c r="AA71" s="297"/>
      <c r="AC71" s="325"/>
      <c r="AD71" s="332"/>
      <c r="AE71" s="1434"/>
      <c r="AG71" s="339"/>
      <c r="AH71" s="675"/>
      <c r="AI71" s="332"/>
      <c r="AJ71" s="297"/>
      <c r="AL71" s="325"/>
      <c r="AM71" s="332"/>
      <c r="AN71" s="1434"/>
      <c r="AR71" s="339"/>
      <c r="AS71" s="675"/>
      <c r="AT71" s="332"/>
      <c r="AU71" s="297"/>
      <c r="AW71" s="7440">
        <v>21057</v>
      </c>
      <c r="AX71" s="1686" t="s">
        <v>5299</v>
      </c>
      <c r="AY71" s="1434"/>
      <c r="BC71" s="339"/>
      <c r="BD71" s="675"/>
      <c r="BE71" s="332"/>
      <c r="BF71" s="297"/>
      <c r="BH71" s="7440"/>
      <c r="BI71" s="1686"/>
      <c r="BJ71" s="1434"/>
    </row>
    <row r="72" spans="1:64" x14ac:dyDescent="0.35">
      <c r="A72" s="9227"/>
      <c r="B72" s="335" t="s">
        <v>5300</v>
      </c>
      <c r="C72" s="326" t="s">
        <v>5293</v>
      </c>
      <c r="D72" s="197"/>
      <c r="F72" s="336"/>
      <c r="H72" s="330"/>
      <c r="I72" s="337"/>
      <c r="J72" s="329"/>
      <c r="L72" s="330"/>
      <c r="M72" s="337"/>
      <c r="O72" s="339"/>
      <c r="P72" s="340"/>
      <c r="Q72" s="106"/>
      <c r="R72" s="297"/>
      <c r="T72" s="330"/>
      <c r="U72" s="106"/>
      <c r="V72" s="1437"/>
      <c r="X72" s="339"/>
      <c r="Y72" s="340"/>
      <c r="Z72" s="106"/>
      <c r="AA72" s="297"/>
      <c r="AC72" s="330"/>
      <c r="AD72" s="106"/>
      <c r="AE72" s="1437"/>
      <c r="AG72" s="339"/>
      <c r="AH72" s="340"/>
      <c r="AI72" s="106"/>
      <c r="AJ72" s="297"/>
      <c r="AL72" s="330"/>
      <c r="AM72" s="106"/>
      <c r="AN72" s="1437"/>
      <c r="AR72" s="339"/>
      <c r="AS72" s="340"/>
      <c r="AT72" s="106"/>
      <c r="AU72" s="297"/>
      <c r="AW72" s="330">
        <v>77192</v>
      </c>
      <c r="AX72" s="254" t="s">
        <v>5301</v>
      </c>
      <c r="AY72" s="1437"/>
      <c r="BC72" s="339"/>
      <c r="BD72" s="340"/>
      <c r="BE72" s="106"/>
      <c r="BF72" s="297"/>
      <c r="BH72" s="330"/>
      <c r="BI72" s="254"/>
      <c r="BJ72" s="1437"/>
    </row>
    <row r="73" spans="1:64" x14ac:dyDescent="0.35">
      <c r="A73" s="9227"/>
      <c r="B73" s="330"/>
      <c r="C73" s="326" t="s">
        <v>5291</v>
      </c>
      <c r="D73" s="197"/>
      <c r="F73" s="336"/>
      <c r="H73" s="330"/>
      <c r="I73" s="337"/>
      <c r="J73" s="329"/>
      <c r="L73" s="330"/>
      <c r="M73" s="337"/>
      <c r="O73" s="339"/>
      <c r="P73" s="340"/>
      <c r="Q73" s="106"/>
      <c r="R73" s="297"/>
      <c r="T73" s="330"/>
      <c r="U73" s="106"/>
      <c r="V73" s="1437"/>
      <c r="X73" s="339"/>
      <c r="Y73" s="340"/>
      <c r="Z73" s="106"/>
      <c r="AA73" s="297"/>
      <c r="AC73" s="330"/>
      <c r="AD73" s="106"/>
      <c r="AE73" s="1437"/>
      <c r="AG73" s="339"/>
      <c r="AH73" s="340"/>
      <c r="AI73" s="106"/>
      <c r="AJ73" s="297"/>
      <c r="AL73" s="330"/>
      <c r="AM73" s="106"/>
      <c r="AN73" s="1437"/>
      <c r="AR73" s="339"/>
      <c r="AS73" s="340"/>
      <c r="AT73" s="106"/>
      <c r="AU73" s="297"/>
      <c r="AW73" s="330">
        <v>16015</v>
      </c>
      <c r="AX73" s="254" t="s">
        <v>5302</v>
      </c>
      <c r="AY73" s="1437"/>
      <c r="BC73" s="339"/>
      <c r="BD73" s="340"/>
      <c r="BE73" s="106"/>
      <c r="BF73" s="297"/>
      <c r="BH73" s="330"/>
      <c r="BI73" s="254"/>
      <c r="BJ73" s="1437"/>
    </row>
    <row r="74" spans="1:64" x14ac:dyDescent="0.35">
      <c r="A74" s="9227"/>
      <c r="B74" s="330"/>
      <c r="C74" s="326"/>
      <c r="D74" s="197"/>
      <c r="F74" s="336"/>
      <c r="H74" s="330"/>
      <c r="I74" s="337"/>
      <c r="J74" s="329"/>
      <c r="L74" s="330"/>
      <c r="M74" s="337"/>
      <c r="N74" s="143"/>
      <c r="O74" s="339"/>
      <c r="P74" s="340"/>
      <c r="Q74" s="106"/>
      <c r="R74" s="297"/>
      <c r="T74" s="330"/>
      <c r="U74" s="106"/>
      <c r="V74" s="1437"/>
      <c r="W74" s="143"/>
      <c r="X74" s="339"/>
      <c r="Y74" s="340"/>
      <c r="Z74" s="106"/>
      <c r="AA74" s="297"/>
      <c r="AC74" s="330"/>
      <c r="AD74" s="106"/>
      <c r="AE74" s="1437"/>
      <c r="AF74" s="143"/>
      <c r="AG74" s="339"/>
      <c r="AH74" s="340"/>
      <c r="AI74" s="106"/>
      <c r="AJ74" s="297"/>
      <c r="AL74" s="330"/>
      <c r="AM74" s="106"/>
      <c r="AN74" s="1437"/>
      <c r="AO74" s="143"/>
      <c r="AR74" s="339"/>
      <c r="AS74" s="340"/>
      <c r="AT74" s="106"/>
      <c r="AU74" s="297"/>
      <c r="AW74" s="330">
        <v>5826</v>
      </c>
      <c r="AX74" s="254" t="s">
        <v>5303</v>
      </c>
      <c r="AY74" s="1437"/>
      <c r="AZ74" s="143"/>
      <c r="BC74" s="339"/>
      <c r="BD74" s="340"/>
      <c r="BE74" s="106"/>
      <c r="BF74" s="297"/>
      <c r="BH74" s="330"/>
      <c r="BI74" s="254"/>
      <c r="BJ74" s="1437"/>
      <c r="BK74" s="143"/>
    </row>
    <row r="75" spans="1:64" x14ac:dyDescent="0.35">
      <c r="A75" s="9227"/>
      <c r="B75" s="330"/>
      <c r="C75" s="326"/>
      <c r="D75" s="197"/>
      <c r="F75" s="336"/>
      <c r="H75" s="330"/>
      <c r="I75" s="337"/>
      <c r="J75" s="329"/>
      <c r="L75" s="330"/>
      <c r="M75" s="337"/>
      <c r="O75" s="339"/>
      <c r="P75" s="340"/>
      <c r="Q75" s="106"/>
      <c r="R75" s="297"/>
      <c r="T75" s="330"/>
      <c r="U75" s="106"/>
      <c r="V75" s="1437"/>
      <c r="X75" s="339"/>
      <c r="Y75" s="340"/>
      <c r="Z75" s="106"/>
      <c r="AA75" s="297"/>
      <c r="AC75" s="330"/>
      <c r="AD75" s="106"/>
      <c r="AE75" s="1437"/>
      <c r="AG75" s="339"/>
      <c r="AH75" s="340"/>
      <c r="AI75" s="106"/>
      <c r="AJ75" s="297"/>
      <c r="AL75" s="330"/>
      <c r="AM75" s="106"/>
      <c r="AN75" s="1437"/>
      <c r="AR75" s="339"/>
      <c r="AS75" s="340"/>
      <c r="AT75" s="106"/>
      <c r="AU75" s="297"/>
      <c r="AW75" s="330">
        <v>2138</v>
      </c>
      <c r="AX75" s="254" t="s">
        <v>5304</v>
      </c>
      <c r="AY75" s="1437"/>
      <c r="BC75" s="339"/>
      <c r="BD75" s="340"/>
      <c r="BE75" s="106"/>
      <c r="BF75" s="297"/>
      <c r="BH75" s="330"/>
      <c r="BI75" s="254"/>
      <c r="BJ75" s="1437"/>
    </row>
    <row r="76" spans="1:64" x14ac:dyDescent="0.35">
      <c r="A76" s="9227"/>
      <c r="B76" s="330"/>
      <c r="C76" s="326"/>
      <c r="D76" s="197"/>
      <c r="F76" s="336"/>
      <c r="H76" s="330"/>
      <c r="I76" s="337"/>
      <c r="J76" s="329"/>
      <c r="L76" s="330"/>
      <c r="M76" s="337"/>
      <c r="O76" s="339"/>
      <c r="P76" s="340"/>
      <c r="Q76" s="106"/>
      <c r="R76" s="297"/>
      <c r="T76" s="330"/>
      <c r="U76" s="106"/>
      <c r="V76" s="1437"/>
      <c r="X76" s="339"/>
      <c r="Y76" s="340"/>
      <c r="Z76" s="106"/>
      <c r="AA76" s="297"/>
      <c r="AC76" s="330"/>
      <c r="AD76" s="106"/>
      <c r="AE76" s="1437"/>
      <c r="AG76" s="339"/>
      <c r="AH76" s="340"/>
      <c r="AI76" s="106"/>
      <c r="AJ76" s="297"/>
      <c r="AL76" s="330"/>
      <c r="AM76" s="106"/>
      <c r="AN76" s="1437"/>
      <c r="AR76" s="339"/>
      <c r="AS76" s="340"/>
      <c r="AT76" s="106"/>
      <c r="AU76" s="297"/>
      <c r="AW76" s="330">
        <v>358791</v>
      </c>
      <c r="AX76" s="254" t="s">
        <v>5305</v>
      </c>
      <c r="AY76" s="1437"/>
      <c r="BA76" t="s">
        <v>5306</v>
      </c>
      <c r="BC76" s="339"/>
      <c r="BD76" s="340"/>
      <c r="BE76" s="106"/>
      <c r="BF76" s="297"/>
      <c r="BH76" s="330"/>
      <c r="BI76" s="254"/>
      <c r="BJ76" s="1437"/>
    </row>
    <row r="77" spans="1:64" x14ac:dyDescent="0.35">
      <c r="A77" s="9227"/>
      <c r="B77" s="330"/>
      <c r="C77" s="326"/>
      <c r="D77" s="197"/>
      <c r="F77" s="336"/>
      <c r="H77" s="330"/>
      <c r="I77" s="337"/>
      <c r="J77" s="329"/>
      <c r="L77" s="330"/>
      <c r="M77" s="337"/>
      <c r="O77" s="339"/>
      <c r="P77" s="340"/>
      <c r="Q77" s="106"/>
      <c r="R77" s="297"/>
      <c r="T77" s="330"/>
      <c r="U77" s="106"/>
      <c r="V77" s="1437"/>
      <c r="X77" s="339"/>
      <c r="Y77" s="340"/>
      <c r="Z77" s="106"/>
      <c r="AA77" s="297"/>
      <c r="AC77" s="330"/>
      <c r="AD77" s="106"/>
      <c r="AE77" s="1437"/>
      <c r="AG77" s="339"/>
      <c r="AH77" s="340"/>
      <c r="AI77" s="106"/>
      <c r="AJ77" s="297"/>
      <c r="AL77" s="330"/>
      <c r="AM77" s="106"/>
      <c r="AN77" s="1437"/>
      <c r="AR77" s="339"/>
      <c r="AS77" s="340"/>
      <c r="AT77" s="106"/>
      <c r="AU77" s="297"/>
      <c r="AW77" s="330"/>
      <c r="AX77" s="106"/>
      <c r="AY77" s="1437"/>
      <c r="BC77" s="339"/>
      <c r="BD77" s="340"/>
      <c r="BE77" s="106"/>
      <c r="BF77" s="297"/>
      <c r="BH77" s="330"/>
      <c r="BI77" s="106"/>
      <c r="BJ77" s="1437"/>
    </row>
    <row r="78" spans="1:64" x14ac:dyDescent="0.35">
      <c r="A78" s="9227"/>
      <c r="B78" s="330"/>
      <c r="C78" s="337"/>
      <c r="D78" s="197"/>
      <c r="F78" s="336"/>
      <c r="H78" s="330"/>
      <c r="I78" s="337"/>
      <c r="J78" s="329"/>
      <c r="L78" s="330"/>
      <c r="M78" s="337"/>
      <c r="O78" s="339"/>
      <c r="P78" s="340"/>
      <c r="Q78" s="106"/>
      <c r="R78" s="297"/>
      <c r="T78" s="330"/>
      <c r="U78" s="106"/>
      <c r="V78" s="1437"/>
      <c r="X78" s="339"/>
      <c r="Y78" s="340"/>
      <c r="Z78" s="106"/>
      <c r="AA78" s="297"/>
      <c r="AC78" s="330"/>
      <c r="AD78" s="106"/>
      <c r="AE78" s="1437"/>
      <c r="AG78" s="339"/>
      <c r="AH78" s="340"/>
      <c r="AI78" s="106"/>
      <c r="AJ78" s="297"/>
      <c r="AL78" s="330"/>
      <c r="AM78" s="106"/>
      <c r="AN78" s="1437"/>
      <c r="AR78" s="339"/>
      <c r="AS78" s="340"/>
      <c r="AT78" s="106"/>
      <c r="AU78" s="297"/>
      <c r="AW78" s="330"/>
      <c r="AX78" s="106"/>
      <c r="AY78" s="1437"/>
      <c r="BC78" s="339"/>
      <c r="BD78" s="340"/>
      <c r="BE78" s="106"/>
      <c r="BF78" s="297"/>
      <c r="BH78" s="330"/>
      <c r="BI78" s="106"/>
      <c r="BJ78" s="1437"/>
    </row>
    <row r="79" spans="1:64" x14ac:dyDescent="0.35">
      <c r="A79" s="9228"/>
      <c r="B79" s="341"/>
      <c r="C79" s="342"/>
      <c r="D79" s="209"/>
      <c r="F79" s="343"/>
      <c r="H79" s="341"/>
      <c r="I79" s="342"/>
      <c r="J79" s="344"/>
      <c r="L79" s="341"/>
      <c r="M79" s="342"/>
      <c r="O79" s="345"/>
      <c r="P79" s="346"/>
      <c r="Q79" s="216"/>
      <c r="R79" s="307"/>
      <c r="T79" s="341"/>
      <c r="U79" s="216"/>
      <c r="V79" s="1442"/>
      <c r="X79" s="345"/>
      <c r="Y79" s="346"/>
      <c r="Z79" s="216"/>
      <c r="AA79" s="307"/>
      <c r="AC79" s="341"/>
      <c r="AD79" s="216"/>
      <c r="AE79" s="1442"/>
      <c r="AG79" s="345"/>
      <c r="AH79" s="346"/>
      <c r="AI79" s="216"/>
      <c r="AJ79" s="307"/>
      <c r="AL79" s="341"/>
      <c r="AM79" s="216"/>
      <c r="AN79" s="1442"/>
      <c r="AR79" s="345"/>
      <c r="AS79" s="346"/>
      <c r="AT79" s="216"/>
      <c r="AU79" s="307"/>
      <c r="AW79" s="341"/>
      <c r="AX79" s="216"/>
      <c r="AY79" s="1442"/>
      <c r="BC79" s="345"/>
      <c r="BD79" s="346"/>
      <c r="BE79" s="216"/>
      <c r="BF79" s="307"/>
      <c r="BH79" s="341"/>
      <c r="BI79" s="216"/>
      <c r="BJ79" s="1442"/>
    </row>
    <row r="80" spans="1:64" x14ac:dyDescent="0.35">
      <c r="A80" s="310"/>
      <c r="B80" s="310"/>
      <c r="F80" s="106"/>
      <c r="H80" s="106"/>
      <c r="I80" s="106"/>
      <c r="J80" s="311"/>
      <c r="L80" s="106"/>
      <c r="M80" s="312"/>
      <c r="O80" s="106"/>
      <c r="P80" s="106"/>
      <c r="Q80" s="106"/>
      <c r="R80" s="311"/>
      <c r="T80" s="106"/>
      <c r="U80" s="106"/>
      <c r="V80" s="312"/>
      <c r="X80" s="106"/>
      <c r="Y80" s="106"/>
      <c r="Z80" s="106"/>
      <c r="AA80" s="311"/>
      <c r="AC80" s="106"/>
      <c r="AD80" s="106"/>
      <c r="AE80" s="312"/>
      <c r="AG80" s="106"/>
      <c r="AH80" s="106"/>
      <c r="AI80" s="106"/>
      <c r="AJ80" s="311"/>
      <c r="AL80" s="106"/>
      <c r="AM80" s="106"/>
      <c r="AN80" s="312"/>
      <c r="AR80" s="106"/>
      <c r="AS80" s="106"/>
      <c r="AT80" s="106"/>
      <c r="AU80" s="311"/>
      <c r="AW80" s="106"/>
      <c r="AX80" s="106"/>
      <c r="AY80" s="312"/>
      <c r="BC80" s="106"/>
      <c r="BD80" s="106"/>
      <c r="BE80" s="106"/>
      <c r="BF80" s="311"/>
      <c r="BH80" s="106"/>
      <c r="BI80" s="106"/>
      <c r="BJ80" s="312"/>
    </row>
    <row r="81" spans="1:63" x14ac:dyDescent="0.35">
      <c r="A81" s="9167" t="s">
        <v>566</v>
      </c>
      <c r="B81" s="139" t="s">
        <v>567</v>
      </c>
      <c r="C81" s="348"/>
      <c r="D81" s="49"/>
      <c r="E81" s="141"/>
      <c r="F81" s="227"/>
      <c r="G81" s="141"/>
      <c r="H81" s="102"/>
      <c r="I81" s="103"/>
      <c r="J81" s="228"/>
      <c r="K81" s="141"/>
      <c r="L81" s="102"/>
      <c r="M81" s="268"/>
      <c r="N81" s="141"/>
      <c r="O81" s="102"/>
      <c r="P81" s="103"/>
      <c r="Q81" s="103"/>
      <c r="R81" s="228"/>
      <c r="S81" s="141"/>
      <c r="T81" s="102"/>
      <c r="U81" s="103"/>
      <c r="V81" s="268"/>
      <c r="W81" s="141"/>
      <c r="X81" s="102"/>
      <c r="Y81" s="103"/>
      <c r="Z81" s="103"/>
      <c r="AA81" s="228"/>
      <c r="AB81" s="141"/>
      <c r="AC81" s="102"/>
      <c r="AD81" s="103"/>
      <c r="AE81" s="268"/>
      <c r="AF81" s="141"/>
      <c r="AG81" s="102"/>
      <c r="AH81" s="103"/>
      <c r="AI81" s="103"/>
      <c r="AJ81" s="228"/>
      <c r="AK81" s="141"/>
      <c r="AL81" s="102"/>
      <c r="AM81" s="103"/>
      <c r="AN81" s="268"/>
      <c r="AO81" s="141"/>
      <c r="AR81" s="102"/>
      <c r="AS81" s="103"/>
      <c r="AT81" s="103"/>
      <c r="AU81" s="228"/>
      <c r="AV81" s="141"/>
      <c r="AW81" s="102"/>
      <c r="AX81" s="103"/>
      <c r="AY81" s="268"/>
      <c r="AZ81" s="141"/>
      <c r="BC81" s="102"/>
      <c r="BD81" s="103"/>
      <c r="BE81" s="103"/>
      <c r="BF81" s="228"/>
      <c r="BG81" s="141"/>
      <c r="BH81" s="102"/>
      <c r="BI81" s="103"/>
      <c r="BJ81" s="268"/>
      <c r="BK81" s="141"/>
    </row>
    <row r="82" spans="1:63" x14ac:dyDescent="0.35">
      <c r="A82" s="9168"/>
      <c r="B82" s="6082"/>
      <c r="C82"/>
      <c r="D82" s="110" t="s">
        <v>568</v>
      </c>
      <c r="F82" s="349">
        <f>SUM(F35:F38)-SUM(F40:F42)</f>
        <v>193211.977915</v>
      </c>
      <c r="G82" s="350"/>
      <c r="H82" s="351">
        <f t="shared" ref="H82:I82" si="15">SUM(H35:H38)-SUM(H40:H42)</f>
        <v>391383.71399999998</v>
      </c>
      <c r="I82" s="352">
        <f t="shared" si="15"/>
        <v>295164.73599999998</v>
      </c>
      <c r="J82" s="246"/>
      <c r="K82" s="350"/>
      <c r="L82" s="351">
        <f t="shared" ref="L82:M82" si="16">SUM(L35:L38)-SUM(L40:L42)</f>
        <v>359254.09499999997</v>
      </c>
      <c r="M82" s="353">
        <f t="shared" si="16"/>
        <v>271700.98416685453</v>
      </c>
      <c r="O82" s="354">
        <f>SUM(O35:O38)-SUM(O40:O42)</f>
        <v>359254.09499999997</v>
      </c>
      <c r="P82" s="355">
        <f>SUM(P35:P38)-SUM(P40:P42)</f>
        <v>271700.98416685453</v>
      </c>
      <c r="Q82" s="352"/>
      <c r="R82" s="246"/>
      <c r="S82" s="350"/>
      <c r="T82" s="351">
        <f>SUM(T35:T38)-SUM(T40:T42)</f>
        <v>442987</v>
      </c>
      <c r="U82" s="352"/>
      <c r="V82" s="353">
        <f>SUM(V35:V38)-SUM(V40:V42)</f>
        <v>398208.54000000004</v>
      </c>
      <c r="X82" s="354">
        <f t="shared" ref="X82:Y82" si="17">SUM(X35:X38)-SUM(X40:X42)</f>
        <v>442987.17541500001</v>
      </c>
      <c r="Y82" s="355">
        <f t="shared" si="17"/>
        <v>398208.54000000004</v>
      </c>
      <c r="Z82" s="352"/>
      <c r="AA82" s="246"/>
      <c r="AB82" s="350"/>
      <c r="AC82" s="351">
        <f>SUM(AC35:AC38)-SUM(AC40:AC42)</f>
        <v>441767</v>
      </c>
      <c r="AD82" s="352"/>
      <c r="AE82" s="353">
        <f>SUM(AE35:AE38)-SUM(AE40:AE42)</f>
        <v>414551.99999999994</v>
      </c>
      <c r="AG82" s="354">
        <f t="shared" ref="AG82:AH82" si="18">SUM(AG35:AG38)-SUM(AG40:AG42)</f>
        <v>441767</v>
      </c>
      <c r="AH82" s="355">
        <f t="shared" si="18"/>
        <v>414552</v>
      </c>
      <c r="AI82" s="352"/>
      <c r="AJ82" s="246"/>
      <c r="AK82" s="350"/>
      <c r="AL82" s="351">
        <f>SUM(AL35:AL38)-SUM(AL40:AL42)</f>
        <v>418704</v>
      </c>
      <c r="AM82" s="352"/>
      <c r="AN82" s="353">
        <f>SUM(AN35:AN38)-SUM(AN40:AN42)</f>
        <v>451214</v>
      </c>
      <c r="AR82" s="354">
        <f>AR35</f>
        <v>546253</v>
      </c>
      <c r="AS82" s="355">
        <f>AS35</f>
        <v>461214</v>
      </c>
      <c r="AT82" s="352" t="s">
        <v>5307</v>
      </c>
      <c r="AU82" s="246"/>
      <c r="AV82" s="350"/>
      <c r="AW82" s="351">
        <f>AW35</f>
        <v>555968</v>
      </c>
      <c r="AX82" s="352" t="s">
        <v>5307</v>
      </c>
      <c r="AY82" s="353">
        <f>AY35</f>
        <v>469416.59844797192</v>
      </c>
      <c r="BC82" s="354">
        <f>BC35</f>
        <v>555968</v>
      </c>
      <c r="BD82" s="355">
        <f>BD35</f>
        <v>398998</v>
      </c>
      <c r="BE82" s="8351" t="s">
        <v>5307</v>
      </c>
      <c r="BF82" s="246"/>
      <c r="BG82" s="350"/>
      <c r="BH82" s="351">
        <f>BH35</f>
        <v>590916</v>
      </c>
      <c r="BI82" s="8351" t="s">
        <v>5307</v>
      </c>
      <c r="BJ82" s="353">
        <f>BJ35</f>
        <v>431538.66666666669</v>
      </c>
    </row>
    <row r="83" spans="1:63" x14ac:dyDescent="0.35">
      <c r="A83" s="9168"/>
      <c r="B83" s="6082"/>
      <c r="C83"/>
      <c r="D83" s="110" t="s">
        <v>569</v>
      </c>
      <c r="F83" s="349">
        <f>SUM(F44:F50)</f>
        <v>0</v>
      </c>
      <c r="G83" s="350"/>
      <c r="H83" s="351">
        <f t="shared" ref="H83:I83" si="19">SUM(H44:H50)</f>
        <v>0</v>
      </c>
      <c r="I83" s="352">
        <f t="shared" si="19"/>
        <v>0</v>
      </c>
      <c r="J83" s="246"/>
      <c r="K83" s="350"/>
      <c r="L83" s="351">
        <f t="shared" ref="L83:M83" si="20">SUM(L44:L50)</f>
        <v>0</v>
      </c>
      <c r="M83" s="353">
        <f t="shared" si="20"/>
        <v>0</v>
      </c>
      <c r="O83" s="354">
        <f>SUM(O44:O50)</f>
        <v>0</v>
      </c>
      <c r="P83" s="355">
        <f>SUM(P44:P50)</f>
        <v>0</v>
      </c>
      <c r="Q83" s="352"/>
      <c r="R83" s="246"/>
      <c r="S83" s="350"/>
      <c r="T83" s="351">
        <f>SUM(T44:T50)</f>
        <v>0</v>
      </c>
      <c r="U83" s="352"/>
      <c r="V83" s="353">
        <f>SUM(V44:V50)</f>
        <v>0</v>
      </c>
      <c r="X83" s="354">
        <f t="shared" ref="X83:Y83" si="21">SUM(X44:X50)</f>
        <v>0</v>
      </c>
      <c r="Y83" s="355">
        <f t="shared" si="21"/>
        <v>0</v>
      </c>
      <c r="Z83" s="352"/>
      <c r="AA83" s="246"/>
      <c r="AB83" s="350"/>
      <c r="AC83" s="351">
        <f>SUM(AC44:AC50)</f>
        <v>0</v>
      </c>
      <c r="AD83" s="352"/>
      <c r="AE83" s="353">
        <f>SUM(AE44:AE50)</f>
        <v>0</v>
      </c>
      <c r="AG83" s="354">
        <f t="shared" ref="AG83:AH83" si="22">SUM(AG44:AG50)</f>
        <v>0</v>
      </c>
      <c r="AH83" s="355">
        <f t="shared" si="22"/>
        <v>0</v>
      </c>
      <c r="AI83" s="352"/>
      <c r="AJ83" s="246"/>
      <c r="AK83" s="350"/>
      <c r="AL83" s="351">
        <f>SUM(AL44:AL50)</f>
        <v>0</v>
      </c>
      <c r="AM83" s="352"/>
      <c r="AN83" s="353">
        <f>SUM(AN44:AN50)</f>
        <v>0</v>
      </c>
      <c r="AR83" s="354">
        <f t="shared" ref="AR83:AS83" si="23">SUM(AR44:AR50)</f>
        <v>0</v>
      </c>
      <c r="AS83" s="355">
        <f t="shared" si="23"/>
        <v>0</v>
      </c>
      <c r="AT83" s="352"/>
      <c r="AU83" s="246"/>
      <c r="AV83" s="350"/>
      <c r="AW83" s="351">
        <f t="shared" ref="AW83" si="24">SUM(AW44:AW50)</f>
        <v>0</v>
      </c>
      <c r="AX83" s="352"/>
      <c r="AY83" s="353">
        <f t="shared" ref="AY83" si="25">SUM(AY44:AY50)</f>
        <v>0</v>
      </c>
      <c r="BC83" s="354">
        <f t="shared" ref="BC83:BD83" si="26">SUM(BC44:BC50)</f>
        <v>0</v>
      </c>
      <c r="BD83" s="355">
        <f t="shared" si="26"/>
        <v>0</v>
      </c>
      <c r="BE83" s="352"/>
      <c r="BF83" s="246"/>
      <c r="BG83" s="350"/>
      <c r="BH83" s="351">
        <f t="shared" ref="BH83" si="27">SUM(BH44:BH50)</f>
        <v>0</v>
      </c>
      <c r="BI83" s="352"/>
      <c r="BJ83" s="353">
        <f t="shared" ref="BJ83" si="28">SUM(BJ44:BJ50)</f>
        <v>0</v>
      </c>
    </row>
    <row r="84" spans="1:63" x14ac:dyDescent="0.35">
      <c r="A84" s="9168"/>
      <c r="B84" s="6082"/>
      <c r="C84"/>
      <c r="D84" s="110" t="s">
        <v>570</v>
      </c>
      <c r="F84" s="349">
        <f>SUM(F52:F59)*F28</f>
        <v>0</v>
      </c>
      <c r="G84" s="350"/>
      <c r="H84" s="351">
        <f t="shared" ref="H84:I84" si="29">SUM(H52:H59)*H28</f>
        <v>0</v>
      </c>
      <c r="I84" s="352">
        <f t="shared" si="29"/>
        <v>0</v>
      </c>
      <c r="J84" s="246"/>
      <c r="K84" s="350"/>
      <c r="L84" s="351">
        <f t="shared" ref="L84:M84" si="30">SUM(L52:L59)*L28</f>
        <v>0</v>
      </c>
      <c r="M84" s="353">
        <f t="shared" si="30"/>
        <v>0</v>
      </c>
      <c r="O84" s="354">
        <f>SUM(O52:O59)*O28</f>
        <v>0</v>
      </c>
      <c r="P84" s="355">
        <f>SUM(P52:P59)*P28</f>
        <v>0</v>
      </c>
      <c r="Q84" s="352"/>
      <c r="R84" s="246"/>
      <c r="S84" s="350"/>
      <c r="T84" s="351">
        <f>SUM(T52:T59)*T28</f>
        <v>0</v>
      </c>
      <c r="U84" s="352"/>
      <c r="V84" s="353">
        <f>SUM(V52:V59)*V28</f>
        <v>0</v>
      </c>
      <c r="X84" s="354">
        <f t="shared" ref="X84:Y84" si="31">SUM(X52:X59)*X28</f>
        <v>0</v>
      </c>
      <c r="Y84" s="355">
        <f t="shared" si="31"/>
        <v>0</v>
      </c>
      <c r="Z84" s="352"/>
      <c r="AA84" s="246"/>
      <c r="AB84" s="350"/>
      <c r="AC84" s="351">
        <f>SUM(AC52:AC59)*AC28</f>
        <v>0</v>
      </c>
      <c r="AD84" s="352"/>
      <c r="AE84" s="353">
        <f>SUM(AE52:AE59)*AE28</f>
        <v>0</v>
      </c>
      <c r="AG84" s="354">
        <f t="shared" ref="AG84:AH84" si="32">SUM(AG52:AG59)*AG28</f>
        <v>0</v>
      </c>
      <c r="AH84" s="355">
        <f t="shared" si="32"/>
        <v>0</v>
      </c>
      <c r="AI84" s="352"/>
      <c r="AJ84" s="246"/>
      <c r="AK84" s="350"/>
      <c r="AL84" s="351">
        <f>SUM(AL52:AL59)*AL28</f>
        <v>0</v>
      </c>
      <c r="AM84" s="352"/>
      <c r="AN84" s="353">
        <f>SUM(AN52:AN59)*AN28</f>
        <v>0</v>
      </c>
      <c r="AR84" s="354">
        <f t="shared" ref="AR84:AS84" si="33">SUM(AR52:AR59)*AR28</f>
        <v>0</v>
      </c>
      <c r="AS84" s="355">
        <f t="shared" si="33"/>
        <v>0</v>
      </c>
      <c r="AT84" s="352"/>
      <c r="AU84" s="246"/>
      <c r="AV84" s="350"/>
      <c r="AW84" s="351">
        <f t="shared" ref="AW84" si="34">SUM(AW52:AW59)*AW28</f>
        <v>0</v>
      </c>
      <c r="AX84" s="352"/>
      <c r="AY84" s="353">
        <f t="shared" ref="AY84" si="35">SUM(AY52:AY59)*AY28</f>
        <v>0</v>
      </c>
      <c r="BC84" s="354">
        <f t="shared" ref="BC84:BD84" si="36">SUM(BC52:BC59)*BC28</f>
        <v>0</v>
      </c>
      <c r="BD84" s="355">
        <f t="shared" si="36"/>
        <v>0</v>
      </c>
      <c r="BE84" s="352"/>
      <c r="BF84" s="246"/>
      <c r="BG84" s="350"/>
      <c r="BH84" s="351">
        <f t="shared" ref="BH84" si="37">SUM(BH52:BH59)*BH28</f>
        <v>0</v>
      </c>
      <c r="BI84" s="352"/>
      <c r="BJ84" s="353">
        <f t="shared" ref="BJ84" si="38">SUM(BJ52:BJ59)*BJ28</f>
        <v>0</v>
      </c>
    </row>
    <row r="85" spans="1:63" x14ac:dyDescent="0.35">
      <c r="A85" s="9168"/>
      <c r="B85" s="6082"/>
      <c r="C85"/>
      <c r="D85" s="110" t="s">
        <v>552</v>
      </c>
      <c r="F85" s="349">
        <f>SUM(F61:F63)</f>
        <v>0</v>
      </c>
      <c r="G85" s="350"/>
      <c r="H85" s="351">
        <f t="shared" ref="H85:I85" si="39">SUM(H61:H63)</f>
        <v>0</v>
      </c>
      <c r="I85" s="352">
        <f t="shared" si="39"/>
        <v>0</v>
      </c>
      <c r="J85" s="246"/>
      <c r="K85" s="350"/>
      <c r="L85" s="351">
        <f t="shared" ref="L85:M85" si="40">SUM(L61:L63)</f>
        <v>0</v>
      </c>
      <c r="M85" s="353">
        <f t="shared" si="40"/>
        <v>0</v>
      </c>
      <c r="O85" s="354">
        <f>SUM(O61:O63)</f>
        <v>0</v>
      </c>
      <c r="P85" s="355">
        <f>SUM(P61:P63)</f>
        <v>0</v>
      </c>
      <c r="Q85" s="352"/>
      <c r="R85" s="246"/>
      <c r="S85" s="350"/>
      <c r="T85" s="351">
        <f>SUM(T61:T63)</f>
        <v>0</v>
      </c>
      <c r="U85" s="352"/>
      <c r="V85" s="353">
        <f>SUM(V61:V63)</f>
        <v>0</v>
      </c>
      <c r="X85" s="354">
        <f t="shared" ref="X85:Y85" si="41">SUM(X61:X63)</f>
        <v>0</v>
      </c>
      <c r="Y85" s="355">
        <f t="shared" si="41"/>
        <v>0</v>
      </c>
      <c r="Z85" s="352"/>
      <c r="AA85" s="246"/>
      <c r="AB85" s="350"/>
      <c r="AC85" s="351">
        <f>SUM(AC61:AC63)</f>
        <v>0</v>
      </c>
      <c r="AD85" s="352"/>
      <c r="AE85" s="353">
        <f>SUM(AE61:AE63)</f>
        <v>0</v>
      </c>
      <c r="AG85" s="354">
        <f t="shared" ref="AG85:AH85" si="42">SUM(AG61:AG63)</f>
        <v>0</v>
      </c>
      <c r="AH85" s="355">
        <f t="shared" si="42"/>
        <v>0</v>
      </c>
      <c r="AI85" s="352"/>
      <c r="AJ85" s="246"/>
      <c r="AK85" s="350"/>
      <c r="AL85" s="351">
        <f>SUM(AL61:AL63)</f>
        <v>0</v>
      </c>
      <c r="AM85" s="352"/>
      <c r="AN85" s="353">
        <f>SUM(AN61:AN63)</f>
        <v>0</v>
      </c>
      <c r="AR85" s="354">
        <f t="shared" ref="AR85:AS85" si="43">SUM(AR61:AR63)</f>
        <v>0</v>
      </c>
      <c r="AS85" s="355">
        <f t="shared" si="43"/>
        <v>0</v>
      </c>
      <c r="AT85" s="352"/>
      <c r="AU85" s="246"/>
      <c r="AV85" s="350"/>
      <c r="AW85" s="351">
        <f t="shared" ref="AW85" si="44">SUM(AW61:AW63)</f>
        <v>0</v>
      </c>
      <c r="AX85" s="352"/>
      <c r="AY85" s="353">
        <f t="shared" ref="AY85" si="45">SUM(AY61:AY63)</f>
        <v>0</v>
      </c>
      <c r="BC85" s="354">
        <f t="shared" ref="BC85:BD85" si="46">SUM(BC61:BC63)</f>
        <v>0</v>
      </c>
      <c r="BD85" s="355">
        <f t="shared" si="46"/>
        <v>0</v>
      </c>
      <c r="BE85" s="352"/>
      <c r="BF85" s="246"/>
      <c r="BG85" s="350"/>
      <c r="BH85" s="351">
        <f t="shared" ref="BH85" si="47">SUM(BH61:BH63)</f>
        <v>0</v>
      </c>
      <c r="BI85" s="352"/>
      <c r="BJ85" s="353">
        <f t="shared" ref="BJ85" si="48">SUM(BJ61:BJ63)</f>
        <v>0</v>
      </c>
    </row>
    <row r="86" spans="1:63" x14ac:dyDescent="0.35">
      <c r="A86" s="9168"/>
      <c r="B86" s="6082"/>
      <c r="C86"/>
      <c r="D86" s="356" t="s">
        <v>571</v>
      </c>
      <c r="E86" s="143"/>
      <c r="F86" s="357">
        <f t="shared" ref="F86" si="49">SUM(F82:F85)</f>
        <v>193211.977915</v>
      </c>
      <c r="G86" s="358"/>
      <c r="H86" s="359">
        <f t="shared" ref="H86:I86" si="50">SUM(H82:H85)</f>
        <v>391383.71399999998</v>
      </c>
      <c r="I86" s="360">
        <f t="shared" si="50"/>
        <v>295164.73599999998</v>
      </c>
      <c r="J86" s="361"/>
      <c r="K86" s="358"/>
      <c r="L86" s="359">
        <f t="shared" ref="L86:M86" si="51">SUM(L82:L85)</f>
        <v>359254.09499999997</v>
      </c>
      <c r="M86" s="362">
        <f t="shared" si="51"/>
        <v>271700.98416685453</v>
      </c>
      <c r="N86" s="143"/>
      <c r="O86" s="363">
        <f t="shared" ref="O86:P86" si="52">SUM(O82:O85)</f>
        <v>359254.09499999997</v>
      </c>
      <c r="P86" s="364">
        <f t="shared" si="52"/>
        <v>271700.98416685453</v>
      </c>
      <c r="Q86" s="360"/>
      <c r="R86" s="361"/>
      <c r="S86" s="358"/>
      <c r="T86" s="359">
        <f t="shared" ref="T86" si="53">SUM(T82:T85)</f>
        <v>442987</v>
      </c>
      <c r="U86" s="360"/>
      <c r="V86" s="362">
        <f t="shared" ref="V86" si="54">SUM(V82:V85)</f>
        <v>398208.54000000004</v>
      </c>
      <c r="W86" s="143"/>
      <c r="X86" s="363">
        <f t="shared" ref="X86:Y86" si="55">SUM(X82:X85)</f>
        <v>442987.17541500001</v>
      </c>
      <c r="Y86" s="364">
        <f t="shared" si="55"/>
        <v>398208.54000000004</v>
      </c>
      <c r="Z86" s="360"/>
      <c r="AA86" s="361"/>
      <c r="AB86" s="358"/>
      <c r="AC86" s="359">
        <f t="shared" ref="AC86" si="56">SUM(AC82:AC85)</f>
        <v>441767</v>
      </c>
      <c r="AD86" s="360"/>
      <c r="AE86" s="362">
        <f t="shared" ref="AE86" si="57">SUM(AE82:AE85)</f>
        <v>414551.99999999994</v>
      </c>
      <c r="AF86" s="143"/>
      <c r="AG86" s="363">
        <f t="shared" ref="AG86:AH86" si="58">SUM(AG82:AG85)</f>
        <v>441767</v>
      </c>
      <c r="AH86" s="364">
        <f t="shared" si="58"/>
        <v>414552</v>
      </c>
      <c r="AI86" s="360"/>
      <c r="AJ86" s="361"/>
      <c r="AK86" s="358"/>
      <c r="AL86" s="359">
        <f t="shared" ref="AL86" si="59">SUM(AL82:AL85)</f>
        <v>418704</v>
      </c>
      <c r="AM86" s="360"/>
      <c r="AN86" s="362">
        <f t="shared" ref="AN86" si="60">SUM(AN82:AN85)</f>
        <v>451214</v>
      </c>
      <c r="AO86" s="143"/>
      <c r="AR86" s="363">
        <f t="shared" ref="AR86:AS86" si="61">SUM(AR82:AR85)</f>
        <v>546253</v>
      </c>
      <c r="AS86" s="364">
        <f t="shared" si="61"/>
        <v>461214</v>
      </c>
      <c r="AT86" s="360"/>
      <c r="AU86" s="361"/>
      <c r="AV86" s="358"/>
      <c r="AW86" s="359">
        <f t="shared" ref="AW86" si="62">SUM(AW82:AW85)</f>
        <v>555968</v>
      </c>
      <c r="AX86" s="360"/>
      <c r="AY86" s="362">
        <f t="shared" ref="AY86" si="63">SUM(AY82:AY85)</f>
        <v>469416.59844797192</v>
      </c>
      <c r="AZ86" s="143"/>
      <c r="BC86" s="363">
        <f t="shared" ref="BC86:BD86" si="64">SUM(BC82:BC85)</f>
        <v>555968</v>
      </c>
      <c r="BD86" s="364">
        <f t="shared" si="64"/>
        <v>398998</v>
      </c>
      <c r="BE86" s="360"/>
      <c r="BF86" s="361"/>
      <c r="BG86" s="358"/>
      <c r="BH86" s="359">
        <f t="shared" ref="BH86" si="65">SUM(BH82:BH85)</f>
        <v>590916</v>
      </c>
      <c r="BI86" s="360"/>
      <c r="BJ86" s="362">
        <f t="shared" ref="BJ86" si="66">SUM(BJ82:BJ85)</f>
        <v>431538.66666666669</v>
      </c>
      <c r="BK86" s="143"/>
    </row>
    <row r="87" spans="1:63" ht="15.5" x14ac:dyDescent="0.35">
      <c r="A87" s="9168"/>
      <c r="B87" s="6082"/>
      <c r="C87"/>
      <c r="D87" s="356" t="s">
        <v>572</v>
      </c>
      <c r="F87" s="366">
        <f>F86/(F17+F18+F19)</f>
        <v>8.4261987035710126E-2</v>
      </c>
      <c r="G87" s="367"/>
      <c r="H87" s="368">
        <f t="shared" ref="H87:I87" si="67">H86/(H17+H18+H19)</f>
        <v>0.13468152859228202</v>
      </c>
      <c r="I87" s="369">
        <f t="shared" si="67"/>
        <v>0.150772256633597</v>
      </c>
      <c r="J87" s="370"/>
      <c r="K87" s="367"/>
      <c r="L87" s="368">
        <f t="shared" ref="L87:M87" si="68">L86/(L17+L18+L19)</f>
        <v>0.12213677769286001</v>
      </c>
      <c r="M87" s="370">
        <f t="shared" si="68"/>
        <v>0.13133847896948486</v>
      </c>
      <c r="O87" s="368">
        <f>O86/(O17+O18+O19)</f>
        <v>0.12213677769286001</v>
      </c>
      <c r="P87" s="369">
        <f>P86/(P17+P18+P19)</f>
        <v>0.11096176760877829</v>
      </c>
      <c r="Q87" s="369"/>
      <c r="R87" s="370"/>
      <c r="S87" s="367"/>
      <c r="T87" s="368">
        <f>T86/(T17+T18+T19)</f>
        <v>0.12701196585313546</v>
      </c>
      <c r="U87" s="369"/>
      <c r="V87" s="370">
        <f>V86/(V17+V18+V19)</f>
        <v>0.16448244284646832</v>
      </c>
      <c r="X87" s="368">
        <f t="shared" ref="X87:Y87" si="69">X86/(X17+X18+X19)</f>
        <v>0.12701201614762264</v>
      </c>
      <c r="Y87" s="369">
        <f t="shared" si="69"/>
        <v>0.16697130939262661</v>
      </c>
      <c r="Z87" s="369"/>
      <c r="AA87" s="370"/>
      <c r="AB87" s="367"/>
      <c r="AC87" s="368">
        <f>AC86/(AC17+AC18+AC19)</f>
        <v>0.15084157310353258</v>
      </c>
      <c r="AD87" s="369"/>
      <c r="AE87" s="370">
        <f>AE86/(AE17+AE18+AE19)</f>
        <v>0.19547064795224794</v>
      </c>
      <c r="AG87" s="368">
        <f t="shared" ref="AG87:AH87" si="70">AG86/(AG17+AG18+AG19)</f>
        <v>0.15084157310353258</v>
      </c>
      <c r="AH87" s="369">
        <f t="shared" si="70"/>
        <v>0.16152135983535848</v>
      </c>
      <c r="AI87" s="369"/>
      <c r="AJ87" s="370"/>
      <c r="AK87" s="367"/>
      <c r="AL87" s="368">
        <f>AL86/(AL17+AL18+AL19)</f>
        <v>0.13453884816309797</v>
      </c>
      <c r="AM87" s="369"/>
      <c r="AN87" s="370">
        <f>AN86/(AN17+AN18+AN19)</f>
        <v>0.20956247759070076</v>
      </c>
      <c r="AR87" s="368">
        <f t="shared" ref="AR87:AS87" si="71">AR86/(AR17+AR18+AR19)</f>
        <v>0.17552823667470852</v>
      </c>
      <c r="AS87" s="369">
        <f t="shared" si="71"/>
        <v>0.20731514361486941</v>
      </c>
      <c r="AT87" s="369"/>
      <c r="AU87" s="370"/>
      <c r="AV87" s="367"/>
      <c r="AW87" s="368">
        <f t="shared" ref="AW87" si="72">AW86/(AW17+AW18+AW19)</f>
        <v>0.18890031265480695</v>
      </c>
      <c r="AX87" s="369"/>
      <c r="AY87" s="370">
        <f t="shared" ref="AY87" si="73">AY86/(AY17+AY18+AY19)</f>
        <v>0.21814748410959089</v>
      </c>
      <c r="BC87" s="368">
        <f t="shared" ref="BC87:BD87" si="74">BC86/(BC17+BC18+BC19)</f>
        <v>0.18890031265480695</v>
      </c>
      <c r="BD87" s="369">
        <f t="shared" si="74"/>
        <v>0.18639289887892566</v>
      </c>
      <c r="BE87" s="369"/>
      <c r="BF87" s="370"/>
      <c r="BG87" s="367"/>
      <c r="BH87" s="368">
        <f t="shared" ref="BH87" si="75">BH86/(BH17+BH18+BH19)</f>
        <v>0.19454882947922642</v>
      </c>
      <c r="BI87" s="369"/>
      <c r="BJ87" s="370">
        <f t="shared" ref="BJ87" si="76">BJ86/(BJ17+BJ18+BJ19)</f>
        <v>0.17232208257700987</v>
      </c>
    </row>
    <row r="88" spans="1:63" x14ac:dyDescent="0.35">
      <c r="A88" s="9168"/>
      <c r="B88" s="371"/>
      <c r="C88" s="372"/>
      <c r="D88" s="296" t="s">
        <v>573</v>
      </c>
      <c r="E88" s="374"/>
      <c r="F88" s="679">
        <f>F37</f>
        <v>0</v>
      </c>
      <c r="G88" s="385"/>
      <c r="H88" s="381">
        <f t="shared" ref="H88:I88" si="77">H37</f>
        <v>296290.99699999997</v>
      </c>
      <c r="I88" s="382">
        <f t="shared" si="77"/>
        <v>275201.75699999998</v>
      </c>
      <c r="J88" s="384"/>
      <c r="K88" s="385"/>
      <c r="L88" s="386">
        <f t="shared" ref="L88:M88" si="78">L37</f>
        <v>273034.71799999999</v>
      </c>
      <c r="M88" s="384">
        <f t="shared" si="78"/>
        <v>253600.80082217121</v>
      </c>
      <c r="O88" s="381">
        <f>O37</f>
        <v>273034.71799999999</v>
      </c>
      <c r="P88" s="382">
        <f>P37</f>
        <v>253600.80082217121</v>
      </c>
      <c r="Q88" s="383"/>
      <c r="R88" s="384"/>
      <c r="S88" s="385"/>
      <c r="T88" s="386">
        <f>T37</f>
        <v>305233</v>
      </c>
      <c r="U88" s="383"/>
      <c r="V88" s="680">
        <f>V37</f>
        <v>315168.14850000001</v>
      </c>
      <c r="X88" s="381">
        <f t="shared" ref="X88:Y88" si="79">X37</f>
        <v>305233.112746</v>
      </c>
      <c r="Y88" s="382">
        <f t="shared" si="79"/>
        <v>315168.14850000001</v>
      </c>
      <c r="Z88" s="383"/>
      <c r="AA88" s="384"/>
      <c r="AB88" s="385"/>
      <c r="AC88" s="386">
        <f>AC37</f>
        <v>309004</v>
      </c>
      <c r="AD88" s="383"/>
      <c r="AE88" s="680">
        <f>AE37</f>
        <v>328103.42615196545</v>
      </c>
      <c r="AG88" s="381">
        <f t="shared" ref="AG88:AH88" si="80">AG37</f>
        <v>309004</v>
      </c>
      <c r="AH88" s="382">
        <f t="shared" si="80"/>
        <v>414552</v>
      </c>
      <c r="AI88" s="383"/>
      <c r="AJ88" s="384"/>
      <c r="AK88" s="385"/>
      <c r="AL88" s="386">
        <f>AL37</f>
        <v>305055</v>
      </c>
      <c r="AM88" s="383"/>
      <c r="AN88" s="680"/>
      <c r="AR88" s="381"/>
      <c r="AS88" s="382">
        <f t="shared" ref="AS88" si="81">AS37</f>
        <v>0</v>
      </c>
      <c r="AT88" s="383"/>
      <c r="AU88" s="384"/>
      <c r="AV88" s="385"/>
      <c r="AW88" s="386">
        <f>AW37</f>
        <v>0</v>
      </c>
      <c r="AX88" s="383"/>
      <c r="AY88" s="680"/>
      <c r="BC88" s="381"/>
      <c r="BD88" s="382"/>
      <c r="BE88" s="383"/>
      <c r="BF88" s="384"/>
      <c r="BG88" s="385"/>
      <c r="BH88" s="386"/>
      <c r="BI88" s="383"/>
      <c r="BJ88" s="680"/>
    </row>
    <row r="89" spans="1:63" x14ac:dyDescent="0.35">
      <c r="A89" s="9168"/>
      <c r="B89" s="58"/>
      <c r="C89" s="390"/>
      <c r="D89" s="296" t="s">
        <v>575</v>
      </c>
      <c r="E89" s="392"/>
      <c r="F89" s="683">
        <f>(F86-F88)/((F18+F19))</f>
        <v>0.13177044849984007</v>
      </c>
      <c r="G89" s="401"/>
      <c r="H89" s="397">
        <f t="shared" ref="H89:I89" si="82">(H86-H88)/((H18+H19))</f>
        <v>5.3660155101575562E-2</v>
      </c>
      <c r="I89" s="398">
        <f t="shared" si="82"/>
        <v>2.3914346466691414E-2</v>
      </c>
      <c r="J89" s="400"/>
      <c r="K89" s="401"/>
      <c r="L89" s="402">
        <f t="shared" ref="L89:M89" si="83">(L86-L88)/((L18+L19))</f>
        <v>5.3029654259163228E-2</v>
      </c>
      <c r="M89" s="400">
        <f t="shared" si="83"/>
        <v>2.3633355560786544E-2</v>
      </c>
      <c r="N89" s="399"/>
      <c r="O89" s="397">
        <f>(O86-O88)/((O18+O19))</f>
        <v>5.3029654259163228E-2</v>
      </c>
      <c r="P89" s="398">
        <f>(P86-P88)/((P18+P19))</f>
        <v>1.5488245605732576E-2</v>
      </c>
      <c r="Q89" s="399"/>
      <c r="R89" s="400"/>
      <c r="S89" s="401"/>
      <c r="T89" s="402">
        <f>(T86-T88)/((T18+T19))</f>
        <v>6.4306421118969254E-2</v>
      </c>
      <c r="U89" s="399"/>
      <c r="V89" s="684">
        <f>(V86-V88)/((V18+V19))</f>
        <v>7.5562843620957332E-2</v>
      </c>
      <c r="X89" s="397">
        <f t="shared" ref="X89:Y89" si="84">(X86-X88)/((X18+X19))</f>
        <v>6.4306450374156804E-2</v>
      </c>
      <c r="Y89" s="398">
        <f t="shared" si="84"/>
        <v>7.8288882635109941E-2</v>
      </c>
      <c r="Z89" s="399"/>
      <c r="AA89" s="400"/>
      <c r="AB89" s="401"/>
      <c r="AC89" s="402">
        <f>(AC86-AC88)/((AC18+AC19))</f>
        <v>8.5212860458429185E-2</v>
      </c>
      <c r="AD89" s="399"/>
      <c r="AE89" s="684">
        <f>(AE86-AE88)/((AE18+AE19))</f>
        <v>0.10359872042148956</v>
      </c>
      <c r="AG89" s="397">
        <f t="shared" ref="AG89" si="85">(AG86-AG88)/((AG18+AG19))</f>
        <v>8.5212860458429185E-2</v>
      </c>
      <c r="AH89" s="398"/>
      <c r="AI89" s="399"/>
      <c r="AJ89" s="400"/>
      <c r="AK89" s="401"/>
      <c r="AL89" s="402">
        <f>(AL86-AL88)/((AL18+AL19))</f>
        <v>6.8855563808736767E-2</v>
      </c>
      <c r="AM89" s="399"/>
      <c r="AN89" s="684"/>
      <c r="AR89" s="397">
        <f t="shared" ref="AR89" si="86">(AR86-AR88)/((AR18+AR19))</f>
        <v>0.33095371096282311</v>
      </c>
      <c r="AS89" s="398"/>
      <c r="AT89" s="399"/>
      <c r="AU89" s="400"/>
      <c r="AV89" s="401"/>
      <c r="AW89" s="402">
        <f>(AW86-AW88)/((AW18+AW19))</f>
        <v>0.379051430558349</v>
      </c>
      <c r="AX89" s="399"/>
      <c r="AY89" s="684"/>
      <c r="BC89" s="397"/>
      <c r="BD89" s="398"/>
      <c r="BE89" s="399"/>
      <c r="BF89" s="400"/>
      <c r="BG89" s="401"/>
      <c r="BH89" s="402"/>
      <c r="BI89" s="399"/>
      <c r="BJ89" s="684"/>
    </row>
    <row r="90" spans="1:63" x14ac:dyDescent="0.35">
      <c r="A90" s="9168"/>
      <c r="B90" s="58"/>
      <c r="C90" s="390"/>
      <c r="D90" s="296" t="s">
        <v>576</v>
      </c>
      <c r="E90" s="392"/>
      <c r="F90" s="683">
        <f>F88/(F17)</f>
        <v>0</v>
      </c>
      <c r="G90" s="401"/>
      <c r="H90" s="397">
        <f t="shared" ref="H90:I90" si="87">H88/(H17)</f>
        <v>0.26131064721108771</v>
      </c>
      <c r="I90" s="398">
        <f t="shared" si="87"/>
        <v>0.24507777696639818</v>
      </c>
      <c r="J90" s="400"/>
      <c r="K90" s="401"/>
      <c r="L90" s="402">
        <f t="shared" ref="L90:M90" si="88">L88/(L17)</f>
        <v>0.207546209646707</v>
      </c>
      <c r="M90" s="400">
        <f t="shared" si="88"/>
        <v>0.19465323828511308</v>
      </c>
      <c r="N90" s="399"/>
      <c r="O90" s="397">
        <f>O88/(O17)</f>
        <v>0.207546209646707</v>
      </c>
      <c r="P90" s="398">
        <f>P88/(P17)</f>
        <v>0.19813181726161069</v>
      </c>
      <c r="Q90" s="399"/>
      <c r="R90" s="400"/>
      <c r="S90" s="401"/>
      <c r="T90" s="402">
        <f>T88/(T17)</f>
        <v>0.22683649324320307</v>
      </c>
      <c r="U90" s="399"/>
      <c r="V90" s="684">
        <f>V88/(V17)</f>
        <v>0.23839874593520075</v>
      </c>
      <c r="X90" s="397">
        <f t="shared" ref="X90:Y90" si="89">X88/(X17)</f>
        <v>0.22683657703134941</v>
      </c>
      <c r="Y90" s="398">
        <f t="shared" si="89"/>
        <v>0.23800645559583145</v>
      </c>
      <c r="Z90" s="399"/>
      <c r="AA90" s="400"/>
      <c r="AB90" s="401"/>
      <c r="AC90" s="402">
        <f>AC88/(AC17)</f>
        <v>0.22544077112877972</v>
      </c>
      <c r="AD90" s="399"/>
      <c r="AE90" s="684">
        <f>AE88/(AE17)</f>
        <v>0.255068808894715</v>
      </c>
      <c r="AG90" s="397">
        <f t="shared" ref="AG90" si="90">AG88/(AG17)</f>
        <v>0.22544077112877972</v>
      </c>
      <c r="AH90" s="398"/>
      <c r="AI90" s="399"/>
      <c r="AJ90" s="400"/>
      <c r="AK90" s="401"/>
      <c r="AL90" s="402">
        <f>AL88/(AL17)</f>
        <v>0.20871305418719213</v>
      </c>
      <c r="AM90" s="399"/>
      <c r="AN90" s="684"/>
      <c r="AR90" s="397">
        <f t="shared" ref="AR90" si="91">AR88/(AR17)</f>
        <v>0</v>
      </c>
      <c r="AS90" s="398"/>
      <c r="AT90" s="399"/>
      <c r="AU90" s="400"/>
      <c r="AV90" s="401"/>
      <c r="AW90" s="402">
        <f>AW88/(AW17)</f>
        <v>0</v>
      </c>
      <c r="AX90" s="399"/>
      <c r="AY90" s="684"/>
      <c r="BC90" s="397"/>
      <c r="BD90" s="398"/>
      <c r="BE90" s="399"/>
      <c r="BF90" s="400"/>
      <c r="BG90" s="401"/>
      <c r="BH90" s="402"/>
      <c r="BI90" s="399"/>
      <c r="BJ90" s="684"/>
    </row>
    <row r="91" spans="1:63" x14ac:dyDescent="0.35">
      <c r="A91" s="9168"/>
      <c r="B91" s="58"/>
      <c r="C91" s="390"/>
      <c r="D91" s="296"/>
      <c r="E91" s="392"/>
      <c r="F91" s="393"/>
      <c r="G91" s="392"/>
      <c r="H91" s="394"/>
      <c r="I91" s="395"/>
      <c r="J91" s="229"/>
      <c r="K91" s="392"/>
      <c r="L91" s="396"/>
      <c r="M91" s="229"/>
      <c r="O91" s="394"/>
      <c r="P91" s="395"/>
      <c r="Q91"/>
      <c r="R91" s="229"/>
      <c r="S91" s="392"/>
      <c r="T91" s="396"/>
      <c r="V91" s="977"/>
      <c r="X91" s="394"/>
      <c r="Y91" s="395"/>
      <c r="Z91"/>
      <c r="AA91" s="229"/>
      <c r="AB91" s="392"/>
      <c r="AC91" s="396"/>
      <c r="AE91" s="977"/>
      <c r="AG91" s="394"/>
      <c r="AH91" s="395"/>
      <c r="AI91"/>
      <c r="AJ91" s="229"/>
      <c r="AK91" s="392"/>
      <c r="AL91" s="396"/>
      <c r="AN91" s="977"/>
      <c r="AR91" s="394"/>
      <c r="AS91" s="395"/>
      <c r="AT91"/>
      <c r="AU91" s="229"/>
      <c r="AV91" s="392"/>
      <c r="AW91" s="396"/>
      <c r="AY91" s="977"/>
      <c r="BC91" s="394"/>
      <c r="BD91" s="395"/>
      <c r="BE91"/>
      <c r="BF91" s="229"/>
      <c r="BG91" s="392"/>
      <c r="BH91" s="396"/>
      <c r="BJ91" s="977"/>
    </row>
    <row r="92" spans="1:63" x14ac:dyDescent="0.35">
      <c r="A92" s="9168"/>
      <c r="B92" s="58"/>
      <c r="C92" s="390"/>
      <c r="D92" s="296" t="s">
        <v>577</v>
      </c>
      <c r="E92" s="392"/>
      <c r="F92" s="683">
        <f>F86/F12</f>
        <v>0.24543300350342784</v>
      </c>
      <c r="G92" s="401"/>
      <c r="H92" s="397">
        <f t="shared" ref="H92:I92" si="92">H86/H12</f>
        <v>0.36369252856740625</v>
      </c>
      <c r="I92" s="398">
        <f t="shared" si="92"/>
        <v>0.3030270765275847</v>
      </c>
      <c r="J92" s="400"/>
      <c r="K92" s="401"/>
      <c r="L92" s="402">
        <f t="shared" ref="L92:M92" si="93">L86/L12</f>
        <v>0.30027046600943635</v>
      </c>
      <c r="M92" s="400">
        <f t="shared" si="93"/>
        <v>0.25089236133624232</v>
      </c>
      <c r="N92" s="399"/>
      <c r="O92" s="397">
        <f>O86/O12</f>
        <v>0.30027046600943635</v>
      </c>
      <c r="P92" s="398">
        <f>P86/P12</f>
        <v>0.24968087845341269</v>
      </c>
      <c r="Q92" s="399"/>
      <c r="R92" s="400"/>
      <c r="S92" s="401"/>
      <c r="T92" s="402">
        <f>T86/T12</f>
        <v>0.34710701709571817</v>
      </c>
      <c r="U92" s="399"/>
      <c r="V92" s="684">
        <f>V86/V12</f>
        <v>0.32944947046807793</v>
      </c>
      <c r="X92" s="397">
        <f t="shared" ref="X92:Y92" si="94">X86/X12</f>
        <v>0.34710715454394442</v>
      </c>
      <c r="Y92" s="398">
        <f t="shared" si="94"/>
        <v>0.35248053520658001</v>
      </c>
      <c r="Z92" s="399"/>
      <c r="AA92" s="400"/>
      <c r="AB92" s="401"/>
      <c r="AC92" s="402">
        <f>AC86/AC12</f>
        <v>0.33958149488514244</v>
      </c>
      <c r="AD92" s="399"/>
      <c r="AE92" s="684">
        <f>AE86/AE12</f>
        <v>0.34366150479159063</v>
      </c>
      <c r="AG92" s="397">
        <f t="shared" ref="AG92:AH92" si="95">AG86/AG12</f>
        <v>0.33958149488514244</v>
      </c>
      <c r="AH92" s="398">
        <f t="shared" si="95"/>
        <v>0.35143766176185093</v>
      </c>
      <c r="AI92" s="399"/>
      <c r="AJ92" s="400"/>
      <c r="AK92" s="401"/>
      <c r="AL92" s="402">
        <f>AL86/AL12</f>
        <v>0.30638596799332646</v>
      </c>
      <c r="AM92" s="399"/>
      <c r="AN92" s="684">
        <f>AN86/AN12</f>
        <v>0.33048562007344873</v>
      </c>
      <c r="AR92" s="397">
        <f t="shared" ref="AR92:AS92" si="96">AR86/AR12</f>
        <v>0.39971974037567959</v>
      </c>
      <c r="AS92" s="398">
        <f t="shared" si="96"/>
        <v>0.33780998545381036</v>
      </c>
      <c r="AT92" s="399"/>
      <c r="AU92" s="400"/>
      <c r="AV92" s="401"/>
      <c r="AW92" s="402">
        <f>AW86/AW12</f>
        <v>0.41742473158645543</v>
      </c>
      <c r="AX92" s="399"/>
      <c r="AY92" s="684">
        <f>AY86/AY12</f>
        <v>0.35277277617750796</v>
      </c>
      <c r="BC92" s="397">
        <f>BC86/BC12</f>
        <v>0.41742473158645543</v>
      </c>
      <c r="BD92" s="398">
        <f>BD86/BD12</f>
        <v>0.27174072944022493</v>
      </c>
      <c r="BE92" s="399"/>
      <c r="BF92" s="400"/>
      <c r="BG92" s="401"/>
      <c r="BH92" s="402">
        <f>BH86/BH12</f>
        <v>0.44770772879147192</v>
      </c>
      <c r="BI92" s="399"/>
      <c r="BJ92" s="684">
        <f>BJ86/BJ12</f>
        <v>0.2879893935079727</v>
      </c>
    </row>
    <row r="93" spans="1:63" x14ac:dyDescent="0.35">
      <c r="A93" s="9168"/>
      <c r="B93" s="58"/>
      <c r="C93" s="390"/>
      <c r="D93" s="59" t="s">
        <v>578</v>
      </c>
      <c r="E93" s="392"/>
      <c r="F93" s="688">
        <f>F86-F65</f>
        <v>150040.99723499999</v>
      </c>
      <c r="G93" s="419"/>
      <c r="H93" s="415">
        <f t="shared" ref="H93:I93" si="97">H86-H65</f>
        <v>296290.99699999997</v>
      </c>
      <c r="I93" s="416">
        <f t="shared" si="97"/>
        <v>275201.75699999998</v>
      </c>
      <c r="J93" s="418"/>
      <c r="K93" s="419"/>
      <c r="L93" s="420">
        <f t="shared" ref="L93:M93" si="98">L86-L65</f>
        <v>273034.71799999999</v>
      </c>
      <c r="M93" s="418">
        <f t="shared" si="98"/>
        <v>253600.80082217121</v>
      </c>
      <c r="N93" s="417"/>
      <c r="O93" s="415">
        <f>O86-O65</f>
        <v>273034.71799999999</v>
      </c>
      <c r="P93" s="416">
        <f>P86-P65</f>
        <v>253600.80082217121</v>
      </c>
      <c r="Q93" s="417"/>
      <c r="R93" s="418"/>
      <c r="S93" s="419"/>
      <c r="T93" s="420">
        <f>T86-T65</f>
        <v>305233</v>
      </c>
      <c r="U93" s="417"/>
      <c r="V93" s="690">
        <f>V86-V65</f>
        <v>315168.14850000001</v>
      </c>
      <c r="X93" s="415">
        <f t="shared" ref="X93:Y93" si="99">X86-X65</f>
        <v>305233.112746</v>
      </c>
      <c r="Y93" s="416">
        <f t="shared" si="99"/>
        <v>315168.14850000001</v>
      </c>
      <c r="Z93" s="417"/>
      <c r="AA93" s="418"/>
      <c r="AB93" s="419"/>
      <c r="AC93" s="420">
        <f>AC86-AC65</f>
        <v>309004</v>
      </c>
      <c r="AD93" s="417"/>
      <c r="AE93" s="690">
        <f>AE86-AE65</f>
        <v>328103.42615196545</v>
      </c>
      <c r="AG93" s="415"/>
      <c r="AH93" s="416"/>
      <c r="AI93" s="417"/>
      <c r="AJ93" s="418"/>
      <c r="AK93" s="419"/>
      <c r="AL93" s="420"/>
      <c r="AM93" s="417"/>
      <c r="AN93" s="690"/>
      <c r="AR93" s="415"/>
      <c r="AS93" s="416"/>
      <c r="AT93" s="417"/>
      <c r="AU93" s="418"/>
      <c r="AV93" s="419"/>
      <c r="AW93" s="420"/>
      <c r="AX93" s="417"/>
      <c r="AY93" s="690"/>
      <c r="BC93" s="415"/>
      <c r="BD93" s="416"/>
      <c r="BE93" s="417"/>
      <c r="BF93" s="418"/>
      <c r="BG93" s="419"/>
      <c r="BH93" s="420"/>
      <c r="BI93" s="417"/>
      <c r="BJ93" s="690"/>
    </row>
    <row r="94" spans="1:63" x14ac:dyDescent="0.35">
      <c r="A94" s="9168"/>
      <c r="B94" s="58"/>
      <c r="C94" s="390"/>
      <c r="D94" s="296" t="s">
        <v>579</v>
      </c>
      <c r="E94" s="392"/>
      <c r="F94" s="683">
        <f>F93/F12</f>
        <v>0.19059383894013049</v>
      </c>
      <c r="G94" s="401"/>
      <c r="H94" s="397">
        <f t="shared" ref="H94:I94" si="100">H93/H12</f>
        <v>0.27532781267103967</v>
      </c>
      <c r="I94" s="398">
        <f t="shared" si="100"/>
        <v>0.28253234112277142</v>
      </c>
      <c r="J94" s="400"/>
      <c r="K94" s="401"/>
      <c r="L94" s="402">
        <f t="shared" ref="L94:M94" si="101">L93/L12</f>
        <v>0.2282068963211541</v>
      </c>
      <c r="M94" s="400">
        <f t="shared" si="101"/>
        <v>0.23417840737729115</v>
      </c>
      <c r="N94" s="399"/>
      <c r="O94" s="397">
        <f>O93/O12</f>
        <v>0.2282068963211541</v>
      </c>
      <c r="P94" s="398">
        <f>P93/P12</f>
        <v>0.23304763109317117</v>
      </c>
      <c r="Q94" s="399"/>
      <c r="R94" s="400"/>
      <c r="S94" s="401"/>
      <c r="T94" s="402">
        <f>T93/T12</f>
        <v>0.23916845449003546</v>
      </c>
      <c r="U94" s="399"/>
      <c r="V94" s="684">
        <f>V93/V12</f>
        <v>0.26074774697631936</v>
      </c>
      <c r="X94" s="397">
        <f t="shared" ref="X94:Y94" si="102">X93/X12</f>
        <v>0.23916854283332262</v>
      </c>
      <c r="Y94" s="398">
        <f t="shared" si="102"/>
        <v>0.27897603015582456</v>
      </c>
      <c r="Z94" s="399"/>
      <c r="AA94" s="400"/>
      <c r="AB94" s="401"/>
      <c r="AC94" s="402">
        <f>AC93/AC12</f>
        <v>0.23752801871911791</v>
      </c>
      <c r="AD94" s="399"/>
      <c r="AE94" s="684">
        <f>AE93/AE12</f>
        <v>0.27199607566399631</v>
      </c>
      <c r="AG94" s="397"/>
      <c r="AH94" s="398"/>
      <c r="AI94" s="399"/>
      <c r="AJ94" s="400"/>
      <c r="AK94" s="401"/>
      <c r="AL94" s="402"/>
      <c r="AM94" s="399"/>
      <c r="AN94" s="684"/>
      <c r="AR94" s="397"/>
      <c r="AS94" s="398"/>
      <c r="AT94" s="399"/>
      <c r="AU94" s="400"/>
      <c r="AV94" s="401"/>
      <c r="AW94" s="402"/>
      <c r="AX94" s="399"/>
      <c r="AY94" s="684"/>
      <c r="BC94" s="397"/>
      <c r="BD94" s="398"/>
      <c r="BE94" s="399"/>
      <c r="BF94" s="400"/>
      <c r="BG94" s="401"/>
      <c r="BH94" s="402"/>
      <c r="BI94" s="399"/>
      <c r="BJ94" s="684"/>
    </row>
    <row r="95" spans="1:63" x14ac:dyDescent="0.35">
      <c r="A95" s="9168"/>
      <c r="B95" s="58"/>
      <c r="C95" s="390"/>
      <c r="D95" s="296"/>
      <c r="E95" s="392"/>
      <c r="F95" s="683"/>
      <c r="G95" s="401"/>
      <c r="H95" s="397"/>
      <c r="I95" s="398"/>
      <c r="J95" s="400"/>
      <c r="K95" s="401"/>
      <c r="L95" s="402"/>
      <c r="M95" s="400"/>
      <c r="N95" s="399"/>
      <c r="O95" s="397"/>
      <c r="P95" s="398"/>
      <c r="Q95" s="399"/>
      <c r="R95" s="400"/>
      <c r="S95" s="401"/>
      <c r="T95" s="402"/>
      <c r="U95" s="399"/>
      <c r="V95" s="684"/>
      <c r="X95" s="397"/>
      <c r="Y95" s="398"/>
      <c r="Z95" s="399"/>
      <c r="AA95" s="400"/>
      <c r="AB95" s="401"/>
      <c r="AC95" s="402"/>
      <c r="AD95" s="399"/>
      <c r="AE95" s="684"/>
      <c r="AG95" s="397"/>
      <c r="AH95" s="398"/>
      <c r="AI95" s="399"/>
      <c r="AJ95" s="400"/>
      <c r="AK95" s="401"/>
      <c r="AL95" s="402"/>
      <c r="AM95" s="399"/>
      <c r="AN95" s="684"/>
      <c r="AR95" s="397"/>
      <c r="AS95" s="398"/>
      <c r="AT95" s="399"/>
      <c r="AU95" s="400"/>
      <c r="AV95" s="401"/>
      <c r="AW95" s="402"/>
      <c r="AX95" s="399"/>
      <c r="AY95" s="684"/>
      <c r="BC95" s="397"/>
      <c r="BD95" s="398"/>
      <c r="BE95" s="399"/>
      <c r="BF95" s="400"/>
      <c r="BG95" s="401"/>
      <c r="BH95" s="402"/>
      <c r="BI95" s="399"/>
      <c r="BJ95" s="684"/>
    </row>
    <row r="96" spans="1:63" x14ac:dyDescent="0.35">
      <c r="A96" s="9168"/>
      <c r="B96" s="58"/>
      <c r="C96" s="390"/>
      <c r="D96" s="980" t="s">
        <v>580</v>
      </c>
      <c r="E96" s="424"/>
      <c r="F96" s="3945"/>
      <c r="G96" s="445"/>
      <c r="H96" s="1071"/>
      <c r="I96" s="1072"/>
      <c r="J96" s="1074"/>
      <c r="K96" s="445"/>
      <c r="L96" s="1075"/>
      <c r="M96" s="1074"/>
      <c r="N96" s="399"/>
      <c r="O96" s="397"/>
      <c r="P96" s="398"/>
      <c r="Q96" s="399"/>
      <c r="R96" s="400"/>
      <c r="S96" s="401"/>
      <c r="T96" s="402"/>
      <c r="U96" s="399"/>
      <c r="V96" s="684"/>
      <c r="X96" s="397"/>
      <c r="Y96" s="398"/>
      <c r="Z96" s="399"/>
      <c r="AA96" s="400"/>
      <c r="AB96" s="401"/>
      <c r="AC96" s="402"/>
      <c r="AD96" s="399"/>
      <c r="AE96" s="684"/>
      <c r="AG96" s="397"/>
      <c r="AH96" s="398"/>
      <c r="AI96" s="399"/>
      <c r="AJ96" s="400"/>
      <c r="AK96" s="401"/>
      <c r="AL96" s="402"/>
      <c r="AM96" s="399"/>
      <c r="AN96" s="684"/>
      <c r="AR96" s="397"/>
      <c r="AS96" s="398"/>
      <c r="AT96" s="399"/>
      <c r="AU96" s="400"/>
      <c r="AV96" s="401"/>
      <c r="AW96" s="402"/>
      <c r="AX96" s="399"/>
      <c r="AY96" s="684"/>
      <c r="BC96" s="397"/>
      <c r="BD96" s="398"/>
      <c r="BE96" s="399"/>
      <c r="BF96" s="400"/>
      <c r="BG96" s="401"/>
      <c r="BH96" s="402"/>
      <c r="BI96" s="399"/>
      <c r="BJ96" s="684"/>
    </row>
    <row r="97" spans="1:64" x14ac:dyDescent="0.35">
      <c r="A97" s="9169"/>
      <c r="B97" s="85"/>
      <c r="C97" s="432"/>
      <c r="D97" s="86" t="s">
        <v>581</v>
      </c>
      <c r="E97" s="274"/>
      <c r="F97" s="3946"/>
      <c r="G97" s="1083"/>
      <c r="H97" s="1080"/>
      <c r="I97" s="1081"/>
      <c r="J97" s="444"/>
      <c r="K97" s="1083"/>
      <c r="L97" s="1084"/>
      <c r="M97" s="3947"/>
      <c r="N97" s="399"/>
      <c r="O97" s="441"/>
      <c r="P97" s="442"/>
      <c r="Q97" s="443"/>
      <c r="R97" s="444"/>
      <c r="S97" s="445"/>
      <c r="T97" s="446"/>
      <c r="U97" s="443"/>
      <c r="V97" s="3948"/>
      <c r="X97" s="441"/>
      <c r="Y97" s="442"/>
      <c r="Z97" s="443"/>
      <c r="AA97" s="444"/>
      <c r="AB97" s="445"/>
      <c r="AC97" s="446"/>
      <c r="AD97" s="443"/>
      <c r="AE97" s="3948"/>
      <c r="AG97" s="441"/>
      <c r="AH97" s="442"/>
      <c r="AI97" s="443"/>
      <c r="AJ97" s="444"/>
      <c r="AK97" s="445"/>
      <c r="AL97" s="446"/>
      <c r="AM97" s="443"/>
      <c r="AN97" s="3948"/>
      <c r="AR97" s="441"/>
      <c r="AS97" s="442"/>
      <c r="AT97" s="443"/>
      <c r="AU97" s="444"/>
      <c r="AV97" s="445"/>
      <c r="AW97" s="446"/>
      <c r="AX97" s="443"/>
      <c r="AY97" s="3948"/>
      <c r="BC97" s="441"/>
      <c r="BD97" s="442"/>
      <c r="BE97" s="443"/>
      <c r="BF97" s="444"/>
      <c r="BG97" s="445"/>
      <c r="BH97" s="446"/>
      <c r="BI97" s="443"/>
      <c r="BJ97" s="3948"/>
    </row>
    <row r="98" spans="1:64" s="462" customFormat="1" ht="12" x14ac:dyDescent="0.3">
      <c r="C98" s="456"/>
      <c r="D98" s="2"/>
      <c r="E98" s="456"/>
      <c r="F98" s="456"/>
      <c r="G98" s="456"/>
      <c r="H98" s="459"/>
      <c r="I98" s="459"/>
      <c r="J98" s="7"/>
      <c r="K98" s="456"/>
      <c r="N98" s="456"/>
      <c r="O98" s="459"/>
      <c r="P98" s="459"/>
      <c r="Q98" s="459"/>
      <c r="R98" s="7"/>
      <c r="S98" s="456"/>
      <c r="W98" s="456"/>
      <c r="X98" s="459"/>
      <c r="Y98" s="459"/>
      <c r="Z98" s="459"/>
      <c r="AA98" s="7"/>
      <c r="AB98" s="456"/>
      <c r="AF98" s="456"/>
      <c r="AG98" s="459"/>
      <c r="AH98" s="459"/>
      <c r="AI98" s="459"/>
      <c r="AJ98" s="7"/>
      <c r="AK98" s="456"/>
      <c r="AO98" s="456"/>
      <c r="AR98" s="459"/>
      <c r="AS98" s="459"/>
      <c r="AT98" s="459"/>
      <c r="AU98" s="7"/>
      <c r="AV98" s="456"/>
      <c r="AZ98" s="456"/>
      <c r="BC98" s="459"/>
      <c r="BD98" s="459"/>
      <c r="BE98" s="459"/>
      <c r="BF98" s="7"/>
      <c r="BG98" s="456"/>
      <c r="BK98" s="456"/>
    </row>
    <row r="99" spans="1:64" s="462" customFormat="1" ht="12" x14ac:dyDescent="0.3">
      <c r="A99" s="455" t="s">
        <v>582</v>
      </c>
      <c r="B99" s="455"/>
      <c r="C99" s="456"/>
      <c r="D99" s="2"/>
      <c r="E99" s="456"/>
      <c r="F99" s="456"/>
      <c r="G99" s="456"/>
      <c r="H99" s="459"/>
      <c r="I99" s="459"/>
      <c r="J99" s="7"/>
      <c r="K99" s="456"/>
      <c r="N99" s="456"/>
      <c r="O99" s="459"/>
      <c r="P99" s="459"/>
      <c r="Q99" s="459"/>
      <c r="R99" s="7"/>
      <c r="S99" s="456"/>
      <c r="W99" s="456"/>
      <c r="X99" s="459"/>
      <c r="Y99" s="459"/>
      <c r="Z99" s="459"/>
      <c r="AA99" s="7"/>
      <c r="AB99" s="456"/>
      <c r="AF99" s="456"/>
      <c r="AG99" s="459"/>
      <c r="AH99" s="459"/>
      <c r="AI99" s="459"/>
      <c r="AJ99" s="7"/>
      <c r="AK99" s="456"/>
      <c r="AO99" s="456"/>
      <c r="AR99" s="459"/>
      <c r="AS99" s="459"/>
      <c r="AT99" s="459"/>
      <c r="AU99" s="7"/>
      <c r="AV99" s="456"/>
      <c r="AZ99" s="456"/>
      <c r="BC99" s="459"/>
      <c r="BD99" s="459"/>
      <c r="BE99" s="459"/>
      <c r="BF99" s="7"/>
      <c r="BG99" s="456"/>
      <c r="BK99" s="456"/>
    </row>
    <row r="100" spans="1:64" s="462" customFormat="1" ht="12" customHeight="1" x14ac:dyDescent="0.3">
      <c r="A100" s="463">
        <v>1</v>
      </c>
      <c r="B100" s="464" t="e">
        <f>#REF!</f>
        <v>#REF!</v>
      </c>
      <c r="D100" s="709"/>
      <c r="E100" s="466"/>
      <c r="F100" s="466"/>
      <c r="G100" s="466"/>
      <c r="H100" s="466"/>
      <c r="I100" s="466"/>
      <c r="J100" s="467"/>
      <c r="K100" s="466"/>
      <c r="L100" s="466"/>
      <c r="M100" s="466"/>
      <c r="N100" s="456"/>
      <c r="O100" s="466"/>
      <c r="P100" s="466"/>
      <c r="Q100" s="466"/>
      <c r="R100" s="467"/>
      <c r="S100" s="466"/>
      <c r="T100" s="466"/>
      <c r="U100" s="466"/>
      <c r="V100" s="466"/>
      <c r="W100" s="456"/>
      <c r="X100" s="466"/>
      <c r="Y100" s="466"/>
      <c r="Z100" s="466"/>
      <c r="AA100" s="467"/>
      <c r="AB100" s="466"/>
      <c r="AC100" s="466"/>
      <c r="AD100" s="466"/>
      <c r="AE100" s="466"/>
      <c r="AF100" s="456"/>
      <c r="AG100" s="466"/>
      <c r="AH100" s="466"/>
      <c r="AI100" s="466"/>
      <c r="AJ100" s="467"/>
      <c r="AK100" s="466"/>
      <c r="AL100" s="466"/>
      <c r="AM100" s="466"/>
      <c r="AN100" s="466"/>
      <c r="AO100" s="456"/>
      <c r="AP100" s="466"/>
      <c r="AR100" s="466"/>
      <c r="AS100" s="466"/>
      <c r="AT100" s="466"/>
      <c r="AU100" s="467"/>
      <c r="AV100" s="466"/>
      <c r="AW100" s="466"/>
      <c r="AX100" s="466"/>
      <c r="AY100" s="466"/>
      <c r="AZ100" s="456"/>
      <c r="BA100" s="577"/>
      <c r="BC100" s="466"/>
      <c r="BD100" s="466"/>
      <c r="BE100" s="466"/>
      <c r="BF100" s="467"/>
      <c r="BG100" s="466"/>
      <c r="BH100" s="466"/>
      <c r="BI100" s="466"/>
      <c r="BJ100" s="466"/>
      <c r="BK100" s="456"/>
      <c r="BL100" s="577"/>
    </row>
    <row r="101" spans="1:64" s="462" customFormat="1" ht="12" x14ac:dyDescent="0.3">
      <c r="A101" s="463">
        <v>2</v>
      </c>
      <c r="B101" s="469" t="e">
        <f>#REF!</f>
        <v>#REF!</v>
      </c>
      <c r="D101" s="2"/>
      <c r="E101" s="456"/>
      <c r="F101" s="456"/>
      <c r="G101" s="456"/>
      <c r="H101" s="459"/>
      <c r="I101" s="459"/>
      <c r="J101" s="7"/>
      <c r="K101" s="456"/>
      <c r="N101" s="456"/>
      <c r="O101" s="459"/>
      <c r="P101" s="459"/>
      <c r="Q101" s="459"/>
      <c r="R101" s="7"/>
      <c r="S101" s="456"/>
      <c r="W101" s="456"/>
      <c r="X101" s="459"/>
      <c r="Y101" s="459"/>
      <c r="Z101" s="459"/>
      <c r="AA101" s="7"/>
      <c r="AB101" s="456"/>
      <c r="AF101" s="456"/>
      <c r="AG101" s="459"/>
      <c r="AH101" s="459"/>
      <c r="AI101" s="459"/>
      <c r="AJ101" s="7"/>
      <c r="AK101" s="456"/>
      <c r="AO101" s="456"/>
      <c r="AP101" s="466"/>
      <c r="AR101" s="459"/>
      <c r="AS101" s="459"/>
      <c r="AT101" s="459"/>
      <c r="AU101" s="7"/>
      <c r="AV101" s="456"/>
      <c r="AZ101" s="456"/>
      <c r="BA101" s="577"/>
      <c r="BC101" s="459"/>
      <c r="BD101" s="459"/>
      <c r="BE101" s="459"/>
      <c r="BF101" s="7"/>
      <c r="BG101" s="456"/>
      <c r="BK101" s="456"/>
      <c r="BL101" s="577"/>
    </row>
    <row r="102" spans="1:64" s="462" customFormat="1" ht="12" x14ac:dyDescent="0.3">
      <c r="A102" s="463">
        <v>3</v>
      </c>
      <c r="B102" s="469" t="e">
        <f>#REF!</f>
        <v>#REF!</v>
      </c>
      <c r="D102" s="2"/>
      <c r="E102" s="456"/>
      <c r="F102" s="456"/>
      <c r="G102" s="456"/>
      <c r="H102" s="459"/>
      <c r="I102" s="459"/>
      <c r="J102" s="7"/>
      <c r="K102" s="456"/>
      <c r="N102" s="456"/>
      <c r="O102" s="459"/>
      <c r="P102" s="459"/>
      <c r="Q102" s="459"/>
      <c r="R102" s="7"/>
      <c r="S102" s="456"/>
      <c r="W102" s="456"/>
      <c r="X102" s="459"/>
      <c r="Y102" s="459"/>
      <c r="Z102" s="459"/>
      <c r="AA102" s="7"/>
      <c r="AB102" s="456"/>
      <c r="AF102" s="456"/>
      <c r="AG102" s="459"/>
      <c r="AH102" s="459"/>
      <c r="AI102" s="459"/>
      <c r="AJ102" s="7"/>
      <c r="AK102" s="456"/>
      <c r="AO102" s="456"/>
      <c r="AP102" s="466"/>
      <c r="AR102" s="459"/>
      <c r="AS102" s="459"/>
      <c r="AT102" s="459"/>
      <c r="AU102" s="7"/>
      <c r="AV102" s="456"/>
      <c r="AZ102" s="456"/>
      <c r="BA102" s="577"/>
      <c r="BC102" s="459"/>
      <c r="BD102" s="459"/>
      <c r="BE102" s="459"/>
      <c r="BF102" s="7"/>
      <c r="BG102" s="456"/>
      <c r="BK102" s="456"/>
      <c r="BL102" s="577"/>
    </row>
    <row r="103" spans="1:64" s="462" customFormat="1" ht="12" x14ac:dyDescent="0.3">
      <c r="A103" s="463">
        <v>4</v>
      </c>
      <c r="B103" s="469" t="e">
        <f>#REF!</f>
        <v>#REF!</v>
      </c>
      <c r="D103" s="2"/>
      <c r="E103" s="456"/>
      <c r="F103" s="456"/>
      <c r="G103" s="456"/>
      <c r="H103" s="459"/>
      <c r="I103" s="459"/>
      <c r="J103" s="7"/>
      <c r="K103" s="456"/>
      <c r="N103" s="456"/>
      <c r="O103" s="459"/>
      <c r="P103" s="459"/>
      <c r="Q103" s="459"/>
      <c r="R103" s="7"/>
      <c r="S103" s="456"/>
      <c r="W103" s="456"/>
      <c r="X103" s="459"/>
      <c r="Y103" s="459"/>
      <c r="Z103" s="459"/>
      <c r="AA103" s="7"/>
      <c r="AB103" s="456"/>
      <c r="AF103" s="456"/>
      <c r="AG103" s="459"/>
      <c r="AH103" s="459"/>
      <c r="AI103" s="459"/>
      <c r="AJ103" s="7"/>
      <c r="AK103" s="456"/>
      <c r="AO103" s="456"/>
      <c r="AP103" s="466"/>
      <c r="AR103" s="459"/>
      <c r="AS103" s="459"/>
      <c r="AT103" s="459"/>
      <c r="AU103" s="7"/>
      <c r="AV103" s="456"/>
      <c r="AZ103" s="456"/>
      <c r="BA103" s="577"/>
      <c r="BC103" s="459"/>
      <c r="BD103" s="459"/>
      <c r="BE103" s="459"/>
      <c r="BF103" s="7"/>
      <c r="BG103" s="456"/>
      <c r="BK103" s="456"/>
      <c r="BL103" s="577"/>
    </row>
    <row r="104" spans="1:64" s="462" customFormat="1" ht="12" x14ac:dyDescent="0.3">
      <c r="A104" s="463">
        <v>5</v>
      </c>
      <c r="B104" s="469" t="e">
        <f>#REF!</f>
        <v>#REF!</v>
      </c>
      <c r="D104" s="2"/>
      <c r="E104" s="456"/>
      <c r="F104" s="456"/>
      <c r="G104" s="456"/>
      <c r="H104" s="459"/>
      <c r="I104" s="459"/>
      <c r="J104" s="7"/>
      <c r="K104" s="456"/>
      <c r="N104" s="456"/>
      <c r="W104" s="456"/>
      <c r="AF104" s="456"/>
      <c r="AO104" s="456"/>
      <c r="AP104" s="466"/>
      <c r="AZ104" s="456"/>
      <c r="BA104" s="577"/>
      <c r="BK104" s="456"/>
      <c r="BL104" s="577"/>
    </row>
    <row r="105" spans="1:64" s="462" customFormat="1" ht="12" x14ac:dyDescent="0.3">
      <c r="A105" s="463">
        <v>6</v>
      </c>
      <c r="B105" s="469"/>
      <c r="D105" s="2"/>
      <c r="E105" s="456"/>
      <c r="F105" s="456"/>
      <c r="G105" s="456"/>
      <c r="H105" s="459"/>
      <c r="I105" s="459"/>
      <c r="J105" s="7"/>
      <c r="K105" s="456"/>
      <c r="N105" s="456"/>
      <c r="W105" s="456"/>
      <c r="AF105" s="456"/>
      <c r="AO105" s="456"/>
      <c r="AP105" s="466"/>
      <c r="AZ105" s="456"/>
      <c r="BA105" s="577"/>
      <c r="BK105" s="456"/>
      <c r="BL105" s="577"/>
    </row>
    <row r="106" spans="1:64" s="462" customFormat="1" ht="12" x14ac:dyDescent="0.3">
      <c r="A106" s="463">
        <v>7</v>
      </c>
      <c r="B106" s="469"/>
      <c r="D106" s="2"/>
      <c r="E106" s="456"/>
      <c r="F106" s="456"/>
      <c r="G106" s="456"/>
      <c r="H106" s="459"/>
      <c r="I106" s="459"/>
      <c r="J106" s="7"/>
      <c r="K106" s="456"/>
      <c r="N106" s="456"/>
      <c r="W106" s="456"/>
      <c r="AF106" s="456"/>
      <c r="AO106" s="456"/>
      <c r="AP106" s="466"/>
      <c r="AZ106" s="456"/>
      <c r="BA106" s="577"/>
      <c r="BK106" s="456"/>
      <c r="BL106" s="577"/>
    </row>
    <row r="107" spans="1:64" s="462" customFormat="1" ht="12" x14ac:dyDescent="0.3">
      <c r="A107" s="463">
        <v>8</v>
      </c>
      <c r="B107" s="469"/>
      <c r="D107" s="2"/>
      <c r="E107" s="456"/>
      <c r="F107" s="456"/>
      <c r="G107" s="456"/>
      <c r="H107" s="459"/>
      <c r="I107" s="459"/>
      <c r="J107" s="7"/>
      <c r="K107" s="456"/>
      <c r="N107" s="456"/>
      <c r="W107" s="456"/>
      <c r="AF107" s="456"/>
      <c r="AO107" s="456"/>
      <c r="AP107" s="466"/>
      <c r="AZ107" s="456"/>
      <c r="BA107" s="577"/>
      <c r="BK107" s="456"/>
      <c r="BL107" s="577"/>
    </row>
    <row r="108" spans="1:64" s="462" customFormat="1" ht="12" x14ac:dyDescent="0.3">
      <c r="A108" s="468"/>
      <c r="B108" s="469"/>
      <c r="D108" s="2"/>
      <c r="E108" s="456"/>
      <c r="F108" s="456"/>
      <c r="G108" s="456"/>
      <c r="H108" s="459"/>
      <c r="I108" s="459"/>
      <c r="J108" s="7"/>
      <c r="K108" s="456"/>
      <c r="N108" s="456"/>
      <c r="W108" s="456"/>
      <c r="AF108" s="456"/>
      <c r="AO108" s="456"/>
      <c r="AP108" s="466"/>
      <c r="AZ108" s="456"/>
      <c r="BA108" s="577"/>
      <c r="BK108" s="456"/>
      <c r="BL108" s="577"/>
    </row>
    <row r="109" spans="1:64" s="462" customFormat="1" ht="12" x14ac:dyDescent="0.3">
      <c r="A109" s="468"/>
      <c r="B109" s="469"/>
      <c r="D109" s="2"/>
      <c r="E109" s="456"/>
      <c r="F109" s="456"/>
      <c r="G109" s="456"/>
      <c r="H109" s="459"/>
      <c r="I109" s="459"/>
      <c r="J109" s="7"/>
      <c r="K109" s="456"/>
      <c r="N109" s="456"/>
      <c r="W109" s="456"/>
      <c r="AF109" s="456"/>
      <c r="AO109" s="456"/>
      <c r="AP109" s="466"/>
      <c r="AZ109" s="456"/>
      <c r="BA109" s="577"/>
      <c r="BK109" s="456"/>
      <c r="BL109" s="577"/>
    </row>
    <row r="110" spans="1:64" s="462" customFormat="1" ht="12" x14ac:dyDescent="0.3">
      <c r="A110" s="468"/>
      <c r="B110" s="469"/>
      <c r="D110" s="2"/>
      <c r="E110" s="456"/>
      <c r="F110" s="456"/>
      <c r="G110" s="456"/>
      <c r="H110" s="459"/>
      <c r="I110" s="459"/>
      <c r="J110" s="7"/>
      <c r="K110" s="456"/>
      <c r="N110" s="456"/>
      <c r="W110" s="456"/>
      <c r="AF110" s="456"/>
      <c r="AO110" s="456"/>
      <c r="AP110" s="466"/>
      <c r="AZ110" s="456"/>
      <c r="BA110" s="577"/>
      <c r="BK110" s="456"/>
      <c r="BL110" s="577"/>
    </row>
    <row r="111" spans="1:64" s="462" customFormat="1" ht="12" x14ac:dyDescent="0.3">
      <c r="A111" s="468"/>
      <c r="B111" s="469"/>
      <c r="D111" s="2"/>
      <c r="E111" s="456"/>
      <c r="F111" s="456"/>
      <c r="G111" s="456"/>
      <c r="H111" s="459"/>
      <c r="I111" s="459"/>
      <c r="J111" s="7"/>
      <c r="K111" s="456"/>
      <c r="N111" s="456"/>
      <c r="O111" s="459"/>
      <c r="P111" s="459"/>
      <c r="Q111" s="459"/>
      <c r="R111" s="7"/>
      <c r="S111" s="456"/>
      <c r="W111" s="456"/>
      <c r="X111" s="459"/>
      <c r="Y111" s="459"/>
      <c r="Z111" s="459"/>
      <c r="AA111" s="7"/>
      <c r="AB111" s="456"/>
      <c r="AF111" s="456"/>
      <c r="AG111" s="459"/>
      <c r="AH111" s="459"/>
      <c r="AI111" s="459"/>
      <c r="AJ111" s="7"/>
      <c r="AK111" s="456"/>
      <c r="AO111" s="456"/>
      <c r="AP111" s="466"/>
      <c r="AR111" s="459"/>
      <c r="AS111" s="459"/>
      <c r="AT111" s="459"/>
      <c r="AU111" s="7"/>
      <c r="AV111" s="456"/>
      <c r="AZ111" s="456"/>
      <c r="BA111" s="577"/>
      <c r="BC111" s="459"/>
      <c r="BD111" s="459"/>
      <c r="BE111" s="459"/>
      <c r="BF111" s="7"/>
      <c r="BG111" s="456"/>
      <c r="BK111" s="456"/>
      <c r="BL111" s="577"/>
    </row>
    <row r="112" spans="1:64" s="462" customFormat="1" ht="12" x14ac:dyDescent="0.3">
      <c r="A112" s="468"/>
      <c r="B112" s="469"/>
      <c r="D112" s="2"/>
      <c r="E112" s="456"/>
      <c r="F112" s="456"/>
      <c r="G112" s="456"/>
      <c r="H112" s="459"/>
      <c r="I112" s="459"/>
      <c r="J112" s="7"/>
      <c r="K112" s="456"/>
      <c r="N112" s="456"/>
      <c r="O112" s="459"/>
      <c r="P112" s="459"/>
      <c r="Q112" s="459"/>
      <c r="R112" s="7"/>
      <c r="S112" s="456"/>
      <c r="W112" s="456"/>
      <c r="X112" s="459"/>
      <c r="Y112" s="459"/>
      <c r="Z112" s="459"/>
      <c r="AA112" s="7"/>
      <c r="AB112" s="456"/>
      <c r="AF112" s="456"/>
      <c r="AG112" s="459"/>
      <c r="AH112" s="459"/>
      <c r="AI112" s="459"/>
      <c r="AJ112" s="7"/>
      <c r="AK112" s="456"/>
      <c r="AO112" s="456"/>
      <c r="AP112" s="466"/>
      <c r="AR112" s="459"/>
      <c r="AS112" s="459"/>
      <c r="AT112" s="459"/>
      <c r="AU112" s="7"/>
      <c r="AV112" s="456"/>
      <c r="AZ112" s="456"/>
      <c r="BA112" s="577"/>
      <c r="BC112" s="459"/>
      <c r="BD112" s="459"/>
      <c r="BE112" s="459"/>
      <c r="BF112" s="7"/>
      <c r="BG112" s="456"/>
      <c r="BK112" s="456"/>
      <c r="BL112" s="577"/>
    </row>
    <row r="113" spans="1:64" s="462" customFormat="1" ht="12" x14ac:dyDescent="0.3">
      <c r="A113" s="468"/>
      <c r="B113" s="469"/>
      <c r="D113" s="2"/>
      <c r="E113" s="456"/>
      <c r="F113" s="456"/>
      <c r="G113" s="456"/>
      <c r="H113" s="459"/>
      <c r="I113" s="459"/>
      <c r="J113" s="7"/>
      <c r="K113" s="456"/>
      <c r="N113" s="456"/>
      <c r="O113" s="459"/>
      <c r="P113" s="459"/>
      <c r="Q113" s="459"/>
      <c r="R113" s="7"/>
      <c r="S113" s="456"/>
      <c r="W113" s="456"/>
      <c r="X113" s="459"/>
      <c r="Y113" s="459"/>
      <c r="Z113" s="459"/>
      <c r="AA113" s="7"/>
      <c r="AB113" s="456"/>
      <c r="AF113" s="456"/>
      <c r="AG113" s="459"/>
      <c r="AH113" s="459"/>
      <c r="AI113" s="459"/>
      <c r="AJ113" s="7"/>
      <c r="AK113" s="456"/>
      <c r="AO113" s="456"/>
      <c r="AP113" s="466"/>
      <c r="AR113" s="459"/>
      <c r="AS113" s="459"/>
      <c r="AT113" s="459"/>
      <c r="AU113" s="7"/>
      <c r="AV113" s="456"/>
      <c r="AZ113" s="456"/>
      <c r="BA113" s="577"/>
      <c r="BC113" s="459"/>
      <c r="BD113" s="459"/>
      <c r="BE113" s="459"/>
      <c r="BF113" s="7"/>
      <c r="BG113" s="456"/>
      <c r="BK113" s="456"/>
      <c r="BL113" s="577"/>
    </row>
    <row r="114" spans="1:64" s="462" customFormat="1" x14ac:dyDescent="0.35">
      <c r="A114" s="455" t="s">
        <v>583</v>
      </c>
      <c r="B114" s="455"/>
      <c r="C114" s="456"/>
      <c r="D114" s="2"/>
      <c r="E114" s="456"/>
      <c r="F114" s="456"/>
      <c r="G114" s="456"/>
      <c r="H114" s="459"/>
      <c r="I114" s="459"/>
      <c r="J114" s="7"/>
      <c r="K114" s="456"/>
      <c r="N114" s="456"/>
      <c r="O114" s="6"/>
      <c r="P114" s="6"/>
      <c r="Q114" s="6"/>
      <c r="R114" s="7"/>
      <c r="S114" s="1"/>
      <c r="T114"/>
      <c r="U114"/>
      <c r="V114"/>
      <c r="W114" s="456"/>
      <c r="X114" s="6"/>
      <c r="Y114" s="6"/>
      <c r="Z114" s="6"/>
      <c r="AA114" s="7"/>
      <c r="AB114" s="1"/>
      <c r="AC114"/>
      <c r="AD114"/>
      <c r="AE114"/>
      <c r="AF114" s="456"/>
      <c r="AG114" s="6"/>
      <c r="AH114" s="6"/>
      <c r="AI114" s="6"/>
      <c r="AJ114" s="7"/>
      <c r="AK114" s="1"/>
      <c r="AL114"/>
      <c r="AM114"/>
      <c r="AN114"/>
      <c r="AO114" s="456"/>
      <c r="AP114" s="466"/>
      <c r="AR114" s="6"/>
      <c r="AS114" s="6"/>
      <c r="AT114" s="6"/>
      <c r="AU114" s="7"/>
      <c r="AV114" s="1"/>
      <c r="AW114"/>
      <c r="AX114"/>
      <c r="AY114"/>
      <c r="AZ114" s="456"/>
      <c r="BA114" s="577"/>
      <c r="BC114" s="6"/>
      <c r="BD114" s="6"/>
      <c r="BE114" s="6"/>
      <c r="BF114" s="7"/>
      <c r="BG114" s="1"/>
      <c r="BH114"/>
      <c r="BI114"/>
      <c r="BJ114"/>
      <c r="BK114" s="456"/>
      <c r="BL114" s="577"/>
    </row>
    <row r="115" spans="1:64" s="462" customFormat="1" ht="93" customHeight="1" x14ac:dyDescent="0.3">
      <c r="A115" s="9170"/>
      <c r="B115" s="9171"/>
      <c r="C115" s="9171"/>
      <c r="D115" s="9171"/>
      <c r="E115" s="9171"/>
      <c r="F115" s="9171"/>
      <c r="G115" s="9171"/>
      <c r="H115" s="9171"/>
      <c r="I115" s="9171"/>
      <c r="J115" s="9171"/>
      <c r="K115" s="9171"/>
      <c r="L115" s="9171"/>
      <c r="M115" s="9171"/>
      <c r="N115" s="9171"/>
      <c r="O115" s="9171"/>
      <c r="P115" s="9171"/>
      <c r="Q115" s="9171"/>
      <c r="R115" s="9171"/>
      <c r="S115" s="9171"/>
      <c r="T115" s="9171"/>
      <c r="U115" s="9171"/>
      <c r="V115" s="9171"/>
      <c r="W115" s="9171"/>
      <c r="X115" s="9171"/>
      <c r="Y115" s="9171"/>
      <c r="Z115" s="9171"/>
      <c r="AA115" s="9171"/>
      <c r="AB115" s="9171"/>
      <c r="AC115" s="9171"/>
      <c r="AD115" s="9171"/>
      <c r="AE115" s="9171"/>
      <c r="AF115" s="9171"/>
      <c r="AG115" s="9171"/>
      <c r="AH115" s="9171"/>
      <c r="AI115" s="9171"/>
      <c r="AJ115" s="9171"/>
      <c r="AK115" s="9171"/>
      <c r="AL115" s="9171"/>
      <c r="AM115" s="9171"/>
      <c r="AN115" s="9171"/>
      <c r="AO115" s="9171"/>
      <c r="AP115" s="9171"/>
      <c r="AQ115" s="9171"/>
      <c r="AR115" s="9171"/>
      <c r="AS115" s="9171"/>
      <c r="AT115" s="9171"/>
      <c r="AU115" s="9171"/>
      <c r="AV115" s="9171"/>
      <c r="AW115" s="9171"/>
      <c r="AX115" s="9171"/>
      <c r="AY115" s="9171"/>
      <c r="AZ115" s="9171"/>
      <c r="BA115" s="9171"/>
      <c r="BB115" s="9171"/>
      <c r="BC115" s="9171"/>
      <c r="BD115" s="9171"/>
      <c r="BE115" s="9171"/>
      <c r="BF115" s="9171"/>
      <c r="BG115" s="9171"/>
      <c r="BH115" s="9171"/>
      <c r="BI115" s="9171"/>
      <c r="BJ115" s="9171"/>
      <c r="BK115" s="9171"/>
      <c r="BL115" s="9171"/>
    </row>
    <row r="121" spans="1:64" x14ac:dyDescent="0.35">
      <c r="B121" t="s">
        <v>5308</v>
      </c>
    </row>
  </sheetData>
  <mergeCells count="57">
    <mergeCell ref="AW7:AY7"/>
    <mergeCell ref="BC7:BD7"/>
    <mergeCell ref="BF7:BF8"/>
    <mergeCell ref="BH7:BJ7"/>
    <mergeCell ref="O10:P10"/>
    <mergeCell ref="BC5:BF5"/>
    <mergeCell ref="BH5:BJ5"/>
    <mergeCell ref="H7:I7"/>
    <mergeCell ref="J7:J8"/>
    <mergeCell ref="L7:M7"/>
    <mergeCell ref="O7:P7"/>
    <mergeCell ref="R7:R8"/>
    <mergeCell ref="T7:V7"/>
    <mergeCell ref="X7:Y7"/>
    <mergeCell ref="AA7:AA8"/>
    <mergeCell ref="AC7:AE7"/>
    <mergeCell ref="AG7:AH7"/>
    <mergeCell ref="AJ7:AJ8"/>
    <mergeCell ref="AL7:AN7"/>
    <mergeCell ref="AR7:AS7"/>
    <mergeCell ref="AU7:AU8"/>
    <mergeCell ref="AC5:AE5"/>
    <mergeCell ref="AG5:AJ5"/>
    <mergeCell ref="AL5:AN5"/>
    <mergeCell ref="AR5:AU5"/>
    <mergeCell ref="AW5:AY5"/>
    <mergeCell ref="BC1:BL1"/>
    <mergeCell ref="H4:J4"/>
    <mergeCell ref="L4:M4"/>
    <mergeCell ref="O4:R4"/>
    <mergeCell ref="T4:V4"/>
    <mergeCell ref="X4:AA4"/>
    <mergeCell ref="AC4:AE4"/>
    <mergeCell ref="AG4:AJ4"/>
    <mergeCell ref="AL4:AN4"/>
    <mergeCell ref="AP4:AP5"/>
    <mergeCell ref="AR4:AU4"/>
    <mergeCell ref="AW4:AY4"/>
    <mergeCell ref="BA4:BA5"/>
    <mergeCell ref="BC4:BF4"/>
    <mergeCell ref="BH4:BJ4"/>
    <mergeCell ref="BL4:BL5"/>
    <mergeCell ref="F1:M1"/>
    <mergeCell ref="O1:V1"/>
    <mergeCell ref="X1:AE1"/>
    <mergeCell ref="AG1:AN1"/>
    <mergeCell ref="AR1:AY1"/>
    <mergeCell ref="A115:BL115"/>
    <mergeCell ref="A10:A31"/>
    <mergeCell ref="A33:A68"/>
    <mergeCell ref="A70:A79"/>
    <mergeCell ref="A81:A97"/>
    <mergeCell ref="H5:J5"/>
    <mergeCell ref="L5:M5"/>
    <mergeCell ref="O5:R5"/>
    <mergeCell ref="T5:V5"/>
    <mergeCell ref="X5:AA5"/>
  </mergeCells>
  <hyperlinks>
    <hyperlink ref="U33" r:id="rId1" xr:uid="{385263EC-149C-4AC0-9ABF-2C3CEC2CEE74}"/>
    <hyperlink ref="Q33" r:id="rId2" xr:uid="{5400F0A6-EA9A-499A-8793-EDB27B1D4A05}"/>
    <hyperlink ref="AD33" r:id="rId3" xr:uid="{853A70C3-9F0E-4D43-9822-423D46EBF7A2}"/>
    <hyperlink ref="AD10" r:id="rId4" xr:uid="{5C8244A3-0C37-4216-A9C3-E51AF2E01642}"/>
    <hyperlink ref="Z10" r:id="rId5" xr:uid="{C2E1E95B-EDAD-43BF-AEE6-C28C9039D7E9}"/>
    <hyperlink ref="AI33" r:id="rId6" xr:uid="{1E0C1141-3FD5-4ED0-80B3-F50CAA492736}"/>
    <hyperlink ref="AI10" r:id="rId7" xr:uid="{BB7AB1B4-F194-4123-9C60-DD8675087C22}"/>
    <hyperlink ref="AM10" r:id="rId8" xr:uid="{2468F159-F7FD-419E-8059-6A486BF95740}"/>
    <hyperlink ref="AM33" r:id="rId9" xr:uid="{A68F0991-E4A8-4254-A7A2-4F8E48A1B798}"/>
    <hyperlink ref="AT10" r:id="rId10" xr:uid="{DBD655F9-BB79-4B6D-9A86-F2F9EC542D42}"/>
    <hyperlink ref="BE10" r:id="rId11" xr:uid="{FF939795-A25A-4849-B25F-79FA4E7A4A20}"/>
    <hyperlink ref="AX33" r:id="rId12" xr:uid="{9F89D41F-FE6C-4918-BC5D-E10BC104AA65}"/>
  </hyperlinks>
  <pageMargins left="0.23622047244094491" right="0.23622047244094491" top="0.35433070866141736" bottom="0.35433070866141736" header="0.31496062992125984" footer="0.31496062992125984"/>
  <pageSetup paperSize="9" scale="56" orientation="portrait" horizontalDpi="4294967293" verticalDpi="4294967293" r:id="rId1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H123"/>
  <sheetViews>
    <sheetView topLeftCell="A20" zoomScale="70" zoomScaleNormal="70" workbookViewId="0">
      <pane xSplit="4" topLeftCell="V1" activePane="topRight" state="frozen"/>
      <selection pane="topRight" activeCell="X21" sqref="X21"/>
    </sheetView>
  </sheetViews>
  <sheetFormatPr defaultColWidth="9.1796875" defaultRowHeight="14.5" x14ac:dyDescent="0.35"/>
  <cols>
    <col min="1" max="1" width="6.6328125" customWidth="1"/>
    <col min="2" max="2" width="29.6328125" customWidth="1"/>
    <col min="3" max="3" width="4.6328125" style="5" customWidth="1"/>
    <col min="4" max="4" width="1.6328125" style="1" customWidth="1"/>
    <col min="5" max="5" width="21.6328125" style="1" customWidth="1"/>
    <col min="6" max="6" width="1.6328125" style="1" customWidth="1"/>
    <col min="7" max="8" width="21.6328125" style="6" customWidth="1"/>
    <col min="9" max="9" width="8.6328125" style="7" customWidth="1"/>
    <col min="10" max="10" width="1.6328125" style="1" customWidth="1"/>
    <col min="11" max="12" width="21.6328125" customWidth="1"/>
    <col min="13" max="13" width="1.453125" customWidth="1"/>
    <col min="14" max="15" width="19.81640625" customWidth="1"/>
    <col min="16" max="16" width="11.453125" style="6" customWidth="1"/>
    <col min="17" max="17" width="11.36328125" customWidth="1"/>
    <col min="18" max="18" width="1" customWidth="1"/>
    <col min="19" max="19" width="19.1796875" customWidth="1"/>
    <col min="20" max="20" width="16.6328125" customWidth="1"/>
    <col min="21" max="21" width="19.36328125" style="1" customWidth="1"/>
    <col min="22" max="22" width="1.453125" customWidth="1"/>
    <col min="23" max="24" width="19.81640625" customWidth="1"/>
    <col min="25" max="25" width="11.453125" style="6" customWidth="1"/>
    <col min="26" max="26" width="11.36328125" customWidth="1"/>
    <col min="27" max="27" width="1" customWidth="1"/>
    <col min="28" max="28" width="19.1796875" customWidth="1"/>
    <col min="29" max="29" width="16.6328125" customWidth="1"/>
    <col min="30" max="30" width="19.36328125" style="1" customWidth="1"/>
    <col min="31" max="31" width="1.453125" customWidth="1"/>
    <col min="32" max="33" width="19.81640625" customWidth="1"/>
    <col min="34" max="34" width="11.453125" style="6" customWidth="1"/>
    <col min="35" max="35" width="11.36328125" customWidth="1"/>
    <col min="36" max="36" width="1.453125" customWidth="1"/>
    <col min="37" max="37" width="19.1796875" customWidth="1"/>
    <col min="38" max="38" width="24.453125" customWidth="1"/>
    <col min="39" max="39" width="19.36328125" style="1" customWidth="1"/>
    <col min="40" max="41" width="1.453125" customWidth="1"/>
    <col min="42" max="43" width="19.81640625" customWidth="1"/>
    <col min="44" max="44" width="11.453125" style="6" customWidth="1"/>
    <col min="45" max="45" width="11.36328125" customWidth="1"/>
    <col min="46" max="46" width="1.453125" customWidth="1"/>
    <col min="47" max="47" width="19.1796875" customWidth="1"/>
    <col min="48" max="48" width="16.6328125" customWidth="1"/>
    <col min="49" max="49" width="19.36328125" style="1" customWidth="1"/>
    <col min="51" max="51" width="1.453125" customWidth="1"/>
    <col min="52" max="53" width="19.81640625" customWidth="1"/>
    <col min="54" max="54" width="11.453125" style="6" customWidth="1"/>
    <col min="55" max="55" width="11.36328125" customWidth="1"/>
    <col min="56" max="56" width="19.1796875" customWidth="1"/>
    <col min="57" max="57" width="16.6328125" customWidth="1"/>
    <col min="58" max="58" width="19.36328125" style="1" customWidth="1"/>
  </cols>
  <sheetData>
    <row r="1" spans="1:60" ht="31" x14ac:dyDescent="0.7">
      <c r="E1" s="9118" t="s">
        <v>823</v>
      </c>
      <c r="F1" s="9119"/>
      <c r="G1" s="9119"/>
      <c r="H1" s="9119"/>
      <c r="I1" s="9119"/>
      <c r="J1" s="9119"/>
      <c r="K1" s="9119"/>
      <c r="L1" s="9120"/>
      <c r="M1" s="1537"/>
      <c r="N1" s="9121" t="s">
        <v>824</v>
      </c>
      <c r="O1" s="9122"/>
      <c r="P1" s="9122"/>
      <c r="Q1" s="9122"/>
      <c r="R1" s="9122"/>
      <c r="S1" s="9122"/>
      <c r="T1" s="9122"/>
      <c r="U1" s="9122"/>
      <c r="V1" s="1537"/>
      <c r="W1" s="9312" t="s">
        <v>825</v>
      </c>
      <c r="X1" s="9313"/>
      <c r="Y1" s="9313"/>
      <c r="Z1" s="9313"/>
      <c r="AA1" s="9313"/>
      <c r="AB1" s="9313"/>
      <c r="AC1" s="9313"/>
      <c r="AD1" s="9317"/>
      <c r="AE1" s="1537"/>
      <c r="AF1" s="9118" t="s">
        <v>826</v>
      </c>
      <c r="AG1" s="9119"/>
      <c r="AH1" s="9119"/>
      <c r="AI1" s="9119"/>
      <c r="AJ1" s="9119"/>
      <c r="AK1" s="9119"/>
      <c r="AL1" s="9119"/>
      <c r="AM1" s="9120"/>
      <c r="AN1" s="1537"/>
      <c r="AO1" s="1537"/>
      <c r="AP1" s="9118" t="s">
        <v>827</v>
      </c>
      <c r="AQ1" s="9119"/>
      <c r="AR1" s="9119"/>
      <c r="AS1" s="9119"/>
      <c r="AT1" s="9119"/>
      <c r="AU1" s="9119"/>
      <c r="AV1" s="9119"/>
      <c r="AW1" s="9120"/>
      <c r="AY1" s="9211" t="s">
        <v>5309</v>
      </c>
      <c r="AZ1" s="9211"/>
      <c r="BA1" s="9211"/>
      <c r="BB1" s="9211"/>
      <c r="BC1" s="9211"/>
      <c r="BD1" s="9211"/>
      <c r="BE1" s="9211"/>
      <c r="BF1" s="9212"/>
    </row>
    <row r="2" spans="1:60" x14ac:dyDescent="0.35">
      <c r="B2" s="1" t="s">
        <v>829</v>
      </c>
      <c r="G2">
        <f>7000000*1.08/18</f>
        <v>420000.00000000006</v>
      </c>
    </row>
    <row r="4" spans="1:60" s="8" customFormat="1" ht="15.25" customHeight="1" x14ac:dyDescent="0.35">
      <c r="C4" s="471"/>
      <c r="E4" s="8326" t="s">
        <v>830</v>
      </c>
      <c r="G4" s="9130" t="s">
        <v>831</v>
      </c>
      <c r="H4" s="9131"/>
      <c r="I4" s="9132"/>
      <c r="K4" s="9130" t="s">
        <v>832</v>
      </c>
      <c r="L4" s="9132"/>
      <c r="N4" s="9522" t="s">
        <v>3662</v>
      </c>
      <c r="O4" s="9333"/>
      <c r="P4" s="9333"/>
      <c r="Q4" s="9333"/>
      <c r="S4" s="9333" t="s">
        <v>1289</v>
      </c>
      <c r="T4" s="9333"/>
      <c r="U4" s="9529"/>
      <c r="W4" s="9198" t="s">
        <v>3662</v>
      </c>
      <c r="X4" s="9199"/>
      <c r="Y4" s="9199"/>
      <c r="Z4" s="9200"/>
      <c r="AB4" s="9198" t="s">
        <v>1289</v>
      </c>
      <c r="AC4" s="9199"/>
      <c r="AD4" s="9200"/>
      <c r="AF4" s="9198" t="s">
        <v>3662</v>
      </c>
      <c r="AG4" s="9199"/>
      <c r="AH4" s="9199"/>
      <c r="AI4" s="9200"/>
      <c r="AK4" s="9198" t="s">
        <v>1289</v>
      </c>
      <c r="AL4" s="9199"/>
      <c r="AM4" s="9200"/>
      <c r="AO4" s="8" t="s">
        <v>404</v>
      </c>
      <c r="AP4" s="9198" t="s">
        <v>3662</v>
      </c>
      <c r="AQ4" s="9199"/>
      <c r="AR4" s="9199"/>
      <c r="AS4" s="9200"/>
      <c r="AU4" s="9198" t="s">
        <v>1289</v>
      </c>
      <c r="AV4" s="9199"/>
      <c r="AW4" s="9200"/>
      <c r="AZ4" s="9198" t="s">
        <v>3662</v>
      </c>
      <c r="BA4" s="9199"/>
      <c r="BB4" s="9199"/>
      <c r="BC4" s="9200"/>
      <c r="BD4" s="9198" t="s">
        <v>1289</v>
      </c>
      <c r="BE4" s="9199"/>
      <c r="BF4" s="9200"/>
    </row>
    <row r="5" spans="1:60" x14ac:dyDescent="0.35">
      <c r="B5" s="1" t="s">
        <v>835</v>
      </c>
      <c r="E5" s="8324"/>
      <c r="F5" s="12"/>
      <c r="G5" s="9138"/>
      <c r="H5" s="9139"/>
      <c r="I5" s="9140"/>
      <c r="J5" s="12"/>
      <c r="K5" s="9138"/>
      <c r="L5" s="9140"/>
      <c r="M5" s="3218"/>
      <c r="N5" s="9523">
        <v>2015</v>
      </c>
      <c r="O5" s="9336"/>
      <c r="P5" s="9336"/>
      <c r="Q5" s="9336"/>
      <c r="R5" s="7678"/>
      <c r="S5" s="9336">
        <v>2016</v>
      </c>
      <c r="T5" s="9336"/>
      <c r="U5" s="9530"/>
      <c r="V5" s="3218"/>
      <c r="W5" s="9201">
        <v>2016</v>
      </c>
      <c r="X5" s="9202"/>
      <c r="Y5" s="9202"/>
      <c r="Z5" s="9203"/>
      <c r="AA5" s="7678"/>
      <c r="AB5" s="9201">
        <v>2017</v>
      </c>
      <c r="AC5" s="9202"/>
      <c r="AD5" s="9203"/>
      <c r="AE5" s="3218"/>
      <c r="AF5" s="9201">
        <v>2017</v>
      </c>
      <c r="AG5" s="9202"/>
      <c r="AH5" s="9202"/>
      <c r="AI5" s="9203"/>
      <c r="AJ5" s="3218"/>
      <c r="AK5" s="9201">
        <v>2018</v>
      </c>
      <c r="AL5" s="9202"/>
      <c r="AM5" s="9203"/>
      <c r="AN5" s="3218"/>
      <c r="AO5" s="3218"/>
      <c r="AP5" s="9201">
        <v>2018</v>
      </c>
      <c r="AQ5" s="9202"/>
      <c r="AR5" s="9202"/>
      <c r="AS5" s="9203"/>
      <c r="AT5" s="3218"/>
      <c r="AU5" s="9201">
        <v>2019</v>
      </c>
      <c r="AV5" s="9202"/>
      <c r="AW5" s="9203"/>
      <c r="AY5" s="3218"/>
      <c r="AZ5" s="9201">
        <v>2019</v>
      </c>
      <c r="BA5" s="9202"/>
      <c r="BB5" s="9202"/>
      <c r="BC5" s="9203"/>
      <c r="BD5" s="9201">
        <v>2020</v>
      </c>
      <c r="BE5" s="9202"/>
      <c r="BF5" s="9203"/>
    </row>
    <row r="6" spans="1:60" x14ac:dyDescent="0.35">
      <c r="E6" s="6"/>
      <c r="K6" s="14"/>
    </row>
    <row r="7" spans="1:60" ht="12.75" customHeight="1" x14ac:dyDescent="0.35">
      <c r="B7" s="1" t="s">
        <v>836</v>
      </c>
      <c r="C7" s="5" t="s">
        <v>417</v>
      </c>
      <c r="E7" s="8322"/>
      <c r="G7" s="9173" t="s">
        <v>840</v>
      </c>
      <c r="H7" s="9173"/>
      <c r="I7" s="9147" t="s">
        <v>839</v>
      </c>
      <c r="K7" s="9149" t="s">
        <v>840</v>
      </c>
      <c r="L7" s="9151"/>
      <c r="M7" s="7441"/>
      <c r="N7" s="9526" t="s">
        <v>840</v>
      </c>
      <c r="O7" s="9527"/>
      <c r="P7" s="9527"/>
      <c r="Q7" s="9527"/>
      <c r="R7" s="5157"/>
      <c r="S7" s="9527" t="s">
        <v>840</v>
      </c>
      <c r="T7" s="9527"/>
      <c r="U7" s="9528"/>
      <c r="V7" s="7441"/>
      <c r="W7" s="9149" t="s">
        <v>840</v>
      </c>
      <c r="X7" s="9150"/>
      <c r="Y7" s="9150"/>
      <c r="Z7" s="9151"/>
      <c r="AA7" s="7441"/>
      <c r="AB7" s="9149" t="s">
        <v>840</v>
      </c>
      <c r="AC7" s="9150"/>
      <c r="AD7" s="9151"/>
      <c r="AE7" s="7441"/>
      <c r="AF7" s="9149" t="s">
        <v>840</v>
      </c>
      <c r="AG7" s="9150"/>
      <c r="AH7" s="9150"/>
      <c r="AI7" s="9151"/>
      <c r="AJ7" s="7441"/>
      <c r="AK7" s="9149" t="s">
        <v>840</v>
      </c>
      <c r="AL7" s="9150"/>
      <c r="AM7" s="9151"/>
      <c r="AN7" s="7441"/>
      <c r="AO7" s="7441"/>
      <c r="AP7" s="9149" t="s">
        <v>840</v>
      </c>
      <c r="AQ7" s="9150"/>
      <c r="AR7" s="9150"/>
      <c r="AS7" s="9151"/>
      <c r="AT7" s="7441"/>
      <c r="AU7" s="9149" t="s">
        <v>840</v>
      </c>
      <c r="AV7" s="9150"/>
      <c r="AW7" s="9151"/>
      <c r="AY7" s="7441"/>
      <c r="AZ7" s="9149" t="s">
        <v>4420</v>
      </c>
      <c r="BA7" s="9150"/>
      <c r="BB7" s="9150"/>
      <c r="BC7" s="9151"/>
      <c r="BD7" s="9149" t="s">
        <v>4420</v>
      </c>
      <c r="BE7" s="9150"/>
      <c r="BF7" s="9151"/>
    </row>
    <row r="8" spans="1:60" ht="39.75" customHeight="1" x14ac:dyDescent="0.35">
      <c r="B8" s="1" t="s">
        <v>841</v>
      </c>
      <c r="E8" s="20" t="s">
        <v>843</v>
      </c>
      <c r="G8" s="21" t="s">
        <v>844</v>
      </c>
      <c r="H8" s="20" t="s">
        <v>843</v>
      </c>
      <c r="I8" s="9148"/>
      <c r="K8" s="21" t="s">
        <v>844</v>
      </c>
      <c r="L8" s="20" t="s">
        <v>843</v>
      </c>
      <c r="M8" s="4918"/>
      <c r="N8" s="21" t="s">
        <v>844</v>
      </c>
      <c r="O8" s="20" t="s">
        <v>843</v>
      </c>
      <c r="P8" s="1987" t="s">
        <v>2376</v>
      </c>
      <c r="Q8" s="1987" t="s">
        <v>860</v>
      </c>
      <c r="R8" s="6"/>
      <c r="S8" s="1987" t="s">
        <v>424</v>
      </c>
      <c r="T8" s="1987" t="s">
        <v>846</v>
      </c>
      <c r="U8" s="1987" t="s">
        <v>1373</v>
      </c>
      <c r="V8" s="5463"/>
      <c r="W8" s="21" t="s">
        <v>844</v>
      </c>
      <c r="X8" s="20" t="s">
        <v>843</v>
      </c>
      <c r="Y8" s="1987" t="s">
        <v>2376</v>
      </c>
      <c r="Z8" s="1987" t="s">
        <v>860</v>
      </c>
      <c r="AA8" s="6"/>
      <c r="AB8" s="1987" t="s">
        <v>424</v>
      </c>
      <c r="AC8" s="1987" t="s">
        <v>846</v>
      </c>
      <c r="AD8" s="1987" t="s">
        <v>1373</v>
      </c>
      <c r="AE8" s="3021"/>
      <c r="AF8" s="21" t="s">
        <v>844</v>
      </c>
      <c r="AG8" s="20" t="s">
        <v>843</v>
      </c>
      <c r="AH8" s="1987" t="s">
        <v>2376</v>
      </c>
      <c r="AI8" s="1987" t="s">
        <v>860</v>
      </c>
      <c r="AJ8" s="3021"/>
      <c r="AK8" s="1987" t="s">
        <v>424</v>
      </c>
      <c r="AL8" s="1987" t="s">
        <v>846</v>
      </c>
      <c r="AM8" s="1987" t="s">
        <v>1373</v>
      </c>
      <c r="AN8" s="3021"/>
      <c r="AO8" s="3021"/>
      <c r="AP8" s="21" t="s">
        <v>844</v>
      </c>
      <c r="AQ8" s="20" t="s">
        <v>843</v>
      </c>
      <c r="AR8" s="1987" t="s">
        <v>2376</v>
      </c>
      <c r="AS8" s="1987" t="s">
        <v>860</v>
      </c>
      <c r="AT8" s="3021"/>
      <c r="AU8" s="1987" t="s">
        <v>424</v>
      </c>
      <c r="AV8" s="1987" t="s">
        <v>846</v>
      </c>
      <c r="AW8" s="1987" t="s">
        <v>1373</v>
      </c>
      <c r="AY8" s="3021"/>
      <c r="AZ8" s="21" t="s">
        <v>844</v>
      </c>
      <c r="BA8" s="21" t="s">
        <v>843</v>
      </c>
      <c r="BB8" s="1987" t="s">
        <v>2376</v>
      </c>
      <c r="BC8" s="1987" t="s">
        <v>860</v>
      </c>
      <c r="BD8" s="1987" t="s">
        <v>424</v>
      </c>
      <c r="BE8" s="1987" t="s">
        <v>846</v>
      </c>
      <c r="BF8" s="1987" t="s">
        <v>1373</v>
      </c>
    </row>
    <row r="9" spans="1:60" x14ac:dyDescent="0.35">
      <c r="D9"/>
      <c r="E9"/>
      <c r="F9"/>
      <c r="G9"/>
      <c r="H9"/>
      <c r="I9" s="25"/>
      <c r="J9"/>
      <c r="U9"/>
      <c r="X9" s="5536"/>
      <c r="AD9"/>
      <c r="AG9" s="5536"/>
      <c r="AM9"/>
      <c r="AQ9" s="5536"/>
      <c r="AV9" t="s">
        <v>1681</v>
      </c>
      <c r="AW9"/>
      <c r="BA9" s="5536"/>
      <c r="BF9"/>
    </row>
    <row r="10" spans="1:60" ht="33.25" customHeight="1" x14ac:dyDescent="0.35">
      <c r="A10" s="9167" t="s">
        <v>854</v>
      </c>
      <c r="B10" s="27"/>
      <c r="C10" s="29" t="s">
        <v>428</v>
      </c>
      <c r="D10" s="30"/>
      <c r="E10" s="31"/>
      <c r="F10"/>
      <c r="G10" s="31" t="s">
        <v>1303</v>
      </c>
      <c r="H10" s="31" t="s">
        <v>5310</v>
      </c>
      <c r="I10" s="32"/>
      <c r="J10" s="33"/>
      <c r="K10" s="31" t="s">
        <v>856</v>
      </c>
      <c r="L10" s="36" t="s">
        <v>857</v>
      </c>
      <c r="M10" s="1844"/>
      <c r="N10" s="6948" t="s">
        <v>5311</v>
      </c>
      <c r="O10" s="6948" t="s">
        <v>5312</v>
      </c>
      <c r="P10" s="6948"/>
      <c r="Q10" s="32"/>
      <c r="R10" s="2980"/>
      <c r="S10" s="6948" t="s">
        <v>5313</v>
      </c>
      <c r="T10" s="582" t="s">
        <v>5314</v>
      </c>
      <c r="U10" s="6948" t="s">
        <v>5315</v>
      </c>
      <c r="V10" s="3501"/>
      <c r="W10" s="6948" t="s">
        <v>5316</v>
      </c>
      <c r="X10" s="582" t="s">
        <v>5317</v>
      </c>
      <c r="Y10" s="6948" t="s">
        <v>5318</v>
      </c>
      <c r="Z10" s="32"/>
      <c r="AA10" s="2980"/>
      <c r="AB10" s="6948" t="s">
        <v>5319</v>
      </c>
      <c r="AC10" s="582" t="s">
        <v>5314</v>
      </c>
      <c r="AD10" s="6948" t="s">
        <v>5315</v>
      </c>
      <c r="AE10" s="1541"/>
      <c r="AF10" s="6948" t="s">
        <v>5316</v>
      </c>
      <c r="AG10" s="582" t="s">
        <v>5317</v>
      </c>
      <c r="AH10" s="6948" t="s">
        <v>5318</v>
      </c>
      <c r="AI10" s="32"/>
      <c r="AJ10" s="1541"/>
      <c r="AK10" s="6948"/>
      <c r="AL10" s="582" t="s">
        <v>5320</v>
      </c>
      <c r="AM10" s="6948" t="s">
        <v>5315</v>
      </c>
      <c r="AN10" s="1541"/>
      <c r="AO10" s="1541"/>
      <c r="AP10" s="6948" t="s">
        <v>5321</v>
      </c>
      <c r="AQ10" s="582" t="s">
        <v>5317</v>
      </c>
      <c r="AR10" s="582" t="s">
        <v>5318</v>
      </c>
      <c r="AS10" s="32"/>
      <c r="AT10" s="1541"/>
      <c r="AU10" s="6948"/>
      <c r="AV10" s="582" t="s">
        <v>5320</v>
      </c>
      <c r="AW10" s="6948" t="s">
        <v>5315</v>
      </c>
      <c r="AY10" s="1541"/>
      <c r="AZ10" s="6948" t="s">
        <v>5322</v>
      </c>
      <c r="BA10" s="6948" t="s">
        <v>5322</v>
      </c>
      <c r="BB10" s="6948" t="s">
        <v>3275</v>
      </c>
      <c r="BC10" s="32"/>
      <c r="BD10" s="6948" t="s">
        <v>5323</v>
      </c>
      <c r="BE10" s="6948" t="s">
        <v>3275</v>
      </c>
      <c r="BF10" s="6948" t="s">
        <v>5323</v>
      </c>
    </row>
    <row r="11" spans="1:60" ht="12.75" customHeight="1" x14ac:dyDescent="0.35">
      <c r="A11" s="9168"/>
      <c r="B11" s="40" t="s">
        <v>870</v>
      </c>
      <c r="C11" s="42"/>
      <c r="D11" s="43"/>
      <c r="E11" s="44"/>
      <c r="F11"/>
      <c r="G11" s="45"/>
      <c r="H11" s="46"/>
      <c r="I11" s="47"/>
      <c r="J11" s="48"/>
      <c r="K11" s="45"/>
      <c r="L11" s="45"/>
      <c r="M11" s="1109"/>
      <c r="N11" s="1150"/>
      <c r="O11" s="348"/>
      <c r="P11" s="1147"/>
      <c r="Q11" s="47"/>
      <c r="S11" s="1150"/>
      <c r="T11" s="348"/>
      <c r="U11" s="4169"/>
      <c r="V11" s="1109"/>
      <c r="W11" s="1150"/>
      <c r="X11" s="348"/>
      <c r="Y11" s="1147"/>
      <c r="Z11" s="47"/>
      <c r="AB11" s="1150"/>
      <c r="AC11" s="348"/>
      <c r="AD11" s="1927"/>
      <c r="AE11" s="1109"/>
      <c r="AF11" s="1150"/>
      <c r="AG11" s="348"/>
      <c r="AH11" s="1147"/>
      <c r="AI11" s="47"/>
      <c r="AJ11" s="1109"/>
      <c r="AK11" s="1150"/>
      <c r="AL11" s="1147"/>
      <c r="AM11" s="1927"/>
      <c r="AN11" s="1109"/>
      <c r="AO11" s="1109"/>
      <c r="AP11" s="1150"/>
      <c r="AQ11" s="348"/>
      <c r="AR11" s="1147"/>
      <c r="AS11" s="47"/>
      <c r="AT11" s="1109"/>
      <c r="AU11" s="1150"/>
      <c r="AV11" s="1147"/>
      <c r="AW11" s="1927"/>
      <c r="AY11" s="1109"/>
      <c r="AZ11" s="1150"/>
      <c r="BA11" s="348"/>
      <c r="BB11" s="1147"/>
      <c r="BC11" s="47"/>
      <c r="BD11" s="1150"/>
      <c r="BE11" s="1147"/>
      <c r="BF11" s="1927"/>
    </row>
    <row r="12" spans="1:60" x14ac:dyDescent="0.35">
      <c r="A12" s="9168"/>
      <c r="B12" s="4586" t="s">
        <v>5324</v>
      </c>
      <c r="C12" s="60"/>
      <c r="E12" s="61"/>
      <c r="F12"/>
      <c r="G12" s="62">
        <v>2281410</v>
      </c>
      <c r="H12" s="62">
        <v>2273000</v>
      </c>
      <c r="I12" s="64">
        <f>IF(G12=0,0,H12/G12)</f>
        <v>0.99631368320468483</v>
      </c>
      <c r="J12" s="65"/>
      <c r="K12" s="62">
        <v>1801700</v>
      </c>
      <c r="L12" s="62">
        <f>K12*I12</f>
        <v>1795058.3630298807</v>
      </c>
      <c r="M12" s="245"/>
      <c r="N12" s="5809">
        <f>2371782-570082</f>
        <v>1801700</v>
      </c>
      <c r="O12" s="62">
        <v>2419439</v>
      </c>
      <c r="P12" s="253" t="s">
        <v>5325</v>
      </c>
      <c r="Q12" s="64">
        <f>IF(N12=0,0,O12/N12)</f>
        <v>1.3428645168452018</v>
      </c>
      <c r="R12" s="106"/>
      <c r="S12" s="5809">
        <v>1958700</v>
      </c>
      <c r="T12" s="259" t="s">
        <v>1386</v>
      </c>
      <c r="U12" s="61">
        <f>S12*Q12</f>
        <v>2630268.7291446966</v>
      </c>
      <c r="V12" s="106"/>
      <c r="W12" s="5810">
        <f>2665759-531900</f>
        <v>2133859</v>
      </c>
      <c r="X12" s="5811">
        <f>X16-X13</f>
        <v>1890352</v>
      </c>
      <c r="Y12" s="7442"/>
      <c r="Z12" s="64">
        <f>IF(W12=0,0,X12/W12)</f>
        <v>0.88588421259324068</v>
      </c>
      <c r="AA12" s="106"/>
      <c r="AB12" s="5812">
        <f>AB16-AB13</f>
        <v>2810471</v>
      </c>
      <c r="AC12" s="259"/>
      <c r="AD12" s="5813">
        <f>AB12*Z12</f>
        <v>2489751.8888511378</v>
      </c>
      <c r="AE12" s="66"/>
      <c r="AF12" s="5812">
        <f>AF16-AF13</f>
        <v>2810471</v>
      </c>
      <c r="AG12" s="5811">
        <v>1930798</v>
      </c>
      <c r="AH12" s="7442"/>
      <c r="AI12" s="64">
        <f>IF(AF12=0,0,AG12/AF12)</f>
        <v>0.68700157375756588</v>
      </c>
      <c r="AJ12" s="106"/>
      <c r="AK12" s="5812">
        <v>2396700</v>
      </c>
      <c r="AL12" s="259"/>
      <c r="AM12" s="5813">
        <v>2240410</v>
      </c>
      <c r="AN12" s="66"/>
      <c r="AO12" s="66"/>
      <c r="AP12" s="5812">
        <v>2396700</v>
      </c>
      <c r="AQ12" s="5812">
        <v>2240410</v>
      </c>
      <c r="AR12" s="7442"/>
      <c r="AS12" s="64">
        <f>IF(AP12=0,0,AQ12/AP12)</f>
        <v>0.934789502232236</v>
      </c>
      <c r="AT12" s="106"/>
      <c r="AU12" s="5812">
        <v>2656930</v>
      </c>
      <c r="AV12" s="259" t="s">
        <v>5326</v>
      </c>
      <c r="AW12" s="5812">
        <v>2642770</v>
      </c>
      <c r="AX12" s="64">
        <f>IF(AU12=0,0,AW12/AU12)</f>
        <v>0.99467054081214035</v>
      </c>
      <c r="AY12" s="106"/>
      <c r="AZ12" s="8250">
        <f>2561.55+60.98+3</f>
        <v>2625.53</v>
      </c>
      <c r="BA12" s="8250">
        <f>2564.5+61.57+0</f>
        <v>2626.07</v>
      </c>
      <c r="BB12" s="6841" t="s">
        <v>5327</v>
      </c>
      <c r="BC12" s="64">
        <f>BA12/AZ12</f>
        <v>1.0002056727594049</v>
      </c>
      <c r="BD12" s="8251">
        <v>2507.8000000000002</v>
      </c>
      <c r="BE12" s="1354"/>
      <c r="BF12" s="8251">
        <v>2518.13</v>
      </c>
      <c r="BG12" s="64">
        <f t="shared" ref="BG12:BH16" si="0">IF(BD12=0,0,BF12/BD12)</f>
        <v>1.0041191482574368</v>
      </c>
      <c r="BH12" s="64">
        <f t="shared" si="0"/>
        <v>0</v>
      </c>
    </row>
    <row r="13" spans="1:60" x14ac:dyDescent="0.35">
      <c r="A13" s="9168"/>
      <c r="B13" s="4586" t="s">
        <v>5328</v>
      </c>
      <c r="C13" s="60"/>
      <c r="E13" s="61"/>
      <c r="F13"/>
      <c r="G13" s="62">
        <v>365000</v>
      </c>
      <c r="H13" s="62">
        <v>357900</v>
      </c>
      <c r="I13" s="73">
        <f>IF(G13=0,0,H13/G13)</f>
        <v>0.9805479452054795</v>
      </c>
      <c r="J13" s="65"/>
      <c r="K13" s="62">
        <v>194000</v>
      </c>
      <c r="L13" s="62">
        <f>K13*I13</f>
        <v>190226.30136986301</v>
      </c>
      <c r="M13" s="245"/>
      <c r="N13" s="5809">
        <v>405000</v>
      </c>
      <c r="O13" s="62">
        <v>405000</v>
      </c>
      <c r="P13" s="253" t="s">
        <v>5325</v>
      </c>
      <c r="Q13" s="73">
        <f>IF(N13=0,0,O13/N13)</f>
        <v>1</v>
      </c>
      <c r="R13" s="106"/>
      <c r="S13" s="5809">
        <v>204000</v>
      </c>
      <c r="T13" s="259"/>
      <c r="U13" s="61">
        <f>S13*Q13</f>
        <v>204000</v>
      </c>
      <c r="V13" s="106"/>
      <c r="W13" s="5810">
        <v>434000</v>
      </c>
      <c r="X13" s="5811">
        <f>W13*Z13</f>
        <v>443548</v>
      </c>
      <c r="Y13" s="7442"/>
      <c r="Z13" s="7443">
        <v>1.022</v>
      </c>
      <c r="AA13" s="106"/>
      <c r="AB13" s="5812">
        <v>437000</v>
      </c>
      <c r="AC13" s="3016"/>
      <c r="AD13" s="5813">
        <f>AB13*Z13</f>
        <v>446614</v>
      </c>
      <c r="AE13" s="66"/>
      <c r="AF13" s="5812">
        <v>437000</v>
      </c>
      <c r="AG13" s="5811">
        <v>456549.476127</v>
      </c>
      <c r="AH13" s="7442"/>
      <c r="AI13" s="7443">
        <v>1.022</v>
      </c>
      <c r="AJ13" s="106"/>
      <c r="AK13" s="5812">
        <v>237000</v>
      </c>
      <c r="AL13" s="3016"/>
      <c r="AM13" s="5814">
        <v>236920</v>
      </c>
      <c r="AN13" s="66"/>
      <c r="AO13" s="66"/>
      <c r="AP13" s="5812">
        <v>237000</v>
      </c>
      <c r="AQ13" s="5812">
        <v>236920</v>
      </c>
      <c r="AR13" s="7442"/>
      <c r="AS13" s="64">
        <f>IF(AP13=0,0,AQ13/AP13)</f>
        <v>0.99966244725738396</v>
      </c>
      <c r="AT13" s="106"/>
      <c r="AU13" s="5812">
        <v>240000</v>
      </c>
      <c r="AV13" s="259" t="s">
        <v>5326</v>
      </c>
      <c r="AW13" s="5812">
        <v>207870</v>
      </c>
      <c r="AX13" s="64">
        <f>IF(AU13=0,0,AW13/AU13)</f>
        <v>0.86612500000000003</v>
      </c>
      <c r="AY13" s="106"/>
      <c r="AZ13" s="8250">
        <f>240+31.4</f>
        <v>271.39999999999998</v>
      </c>
      <c r="BA13" s="8250">
        <f>16.7+207.87</f>
        <v>224.57</v>
      </c>
      <c r="BB13" s="6841" t="s">
        <v>5329</v>
      </c>
      <c r="BC13" s="64">
        <f>BA13/AZ13</f>
        <v>0.82745025792188653</v>
      </c>
      <c r="BD13" s="8251">
        <f>240.1+260.5</f>
        <v>500.6</v>
      </c>
      <c r="BE13" s="6311" t="s">
        <v>5330</v>
      </c>
      <c r="BF13" s="8251">
        <f>194.71+129.81</f>
        <v>324.52</v>
      </c>
      <c r="BG13" s="64">
        <f t="shared" si="0"/>
        <v>0.64826208549740305</v>
      </c>
      <c r="BH13" s="64" t="e">
        <f t="shared" si="0"/>
        <v>#VALUE!</v>
      </c>
    </row>
    <row r="14" spans="1:60" x14ac:dyDescent="0.35">
      <c r="A14" s="9168"/>
      <c r="B14" s="4586" t="s">
        <v>5331</v>
      </c>
      <c r="C14" s="60"/>
      <c r="E14" s="77"/>
      <c r="F14"/>
      <c r="G14" s="78"/>
      <c r="H14" s="78"/>
      <c r="I14" s="73"/>
      <c r="J14" s="80"/>
      <c r="K14" s="78"/>
      <c r="L14" s="78"/>
      <c r="M14" s="245"/>
      <c r="N14" s="5815"/>
      <c r="O14" s="78"/>
      <c r="P14" s="253"/>
      <c r="Q14" s="73"/>
      <c r="R14" s="106"/>
      <c r="S14" s="5815"/>
      <c r="T14" s="259"/>
      <c r="U14" s="77"/>
      <c r="V14" s="106"/>
      <c r="W14" s="5816"/>
      <c r="X14" s="5817"/>
      <c r="Y14" s="7442"/>
      <c r="Z14" s="7443"/>
      <c r="AA14" s="106"/>
      <c r="AB14" s="5818"/>
      <c r="AC14" s="3016"/>
      <c r="AD14" s="5814"/>
      <c r="AE14" s="66"/>
      <c r="AF14" s="5818"/>
      <c r="AG14" s="5817"/>
      <c r="AH14" s="7442"/>
      <c r="AI14" s="7443"/>
      <c r="AJ14" s="106"/>
      <c r="AK14" s="5818"/>
      <c r="AL14" s="3016"/>
      <c r="AM14" s="5814"/>
      <c r="AN14" s="66"/>
      <c r="AO14" s="66"/>
      <c r="AP14" s="5818"/>
      <c r="AQ14" s="5817"/>
      <c r="AR14" s="7442"/>
      <c r="AS14" s="7443"/>
      <c r="AT14" s="106"/>
      <c r="AU14" s="5812">
        <v>400860</v>
      </c>
      <c r="AV14" s="259" t="s">
        <v>5326</v>
      </c>
      <c r="AW14" s="5812">
        <v>391900</v>
      </c>
      <c r="AX14" s="64">
        <f>IF(AU14=0,0,AW14/AU14)</f>
        <v>0.97764805667814203</v>
      </c>
      <c r="AY14" s="106"/>
      <c r="AZ14" s="8250">
        <v>400.86</v>
      </c>
      <c r="BA14" s="8250">
        <v>391.9</v>
      </c>
      <c r="BB14" s="7442"/>
      <c r="BC14" s="64">
        <f>BA14/AZ14</f>
        <v>0.97764805667814192</v>
      </c>
      <c r="BD14" s="8251"/>
      <c r="BE14" s="1354"/>
      <c r="BF14" s="8251"/>
      <c r="BG14" s="64">
        <f t="shared" si="0"/>
        <v>0</v>
      </c>
      <c r="BH14" s="64">
        <f t="shared" si="0"/>
        <v>0</v>
      </c>
    </row>
    <row r="15" spans="1:60" x14ac:dyDescent="0.35">
      <c r="A15" s="9168"/>
      <c r="B15" s="75"/>
      <c r="C15" s="60"/>
      <c r="E15" s="77"/>
      <c r="F15"/>
      <c r="G15" s="78"/>
      <c r="H15" s="78"/>
      <c r="I15" s="73"/>
      <c r="J15" s="80"/>
      <c r="K15" s="78"/>
      <c r="L15" s="78"/>
      <c r="M15" s="245"/>
      <c r="N15" s="5815"/>
      <c r="O15" s="78"/>
      <c r="P15" s="253"/>
      <c r="Q15" s="73"/>
      <c r="R15" s="106"/>
      <c r="S15" s="5815">
        <v>230000</v>
      </c>
      <c r="T15" s="259"/>
      <c r="U15" s="77"/>
      <c r="V15" s="106"/>
      <c r="W15" s="3244"/>
      <c r="X15" s="84"/>
      <c r="Y15" s="253"/>
      <c r="Z15" s="73"/>
      <c r="AA15" s="106"/>
      <c r="AB15" s="5819"/>
      <c r="AC15" s="259"/>
      <c r="AD15" s="5814"/>
      <c r="AE15" s="66"/>
      <c r="AF15" s="5819"/>
      <c r="AG15" s="84"/>
      <c r="AH15" s="253"/>
      <c r="AI15" s="73"/>
      <c r="AJ15" s="106"/>
      <c r="AK15" s="5819">
        <v>280000</v>
      </c>
      <c r="AL15" s="259"/>
      <c r="AM15" s="5814">
        <v>376950</v>
      </c>
      <c r="AN15" s="66"/>
      <c r="AO15" s="66"/>
      <c r="AP15" s="5819">
        <v>280000</v>
      </c>
      <c r="AQ15" s="84">
        <v>376950</v>
      </c>
      <c r="AR15" s="253"/>
      <c r="AS15" s="64">
        <f>IF(AP15=0,0,AQ15/AP15)</f>
        <v>1.3462499999999999</v>
      </c>
      <c r="AT15" s="106"/>
      <c r="AU15" s="84"/>
      <c r="AV15" s="259" t="s">
        <v>5326</v>
      </c>
      <c r="AW15" s="84"/>
      <c r="AX15" s="64">
        <f>IF(AU15=0,0,AW15/AU15)</f>
        <v>0</v>
      </c>
      <c r="AY15" s="106"/>
      <c r="AZ15" s="8252"/>
      <c r="BA15" s="8252"/>
      <c r="BB15" s="253"/>
      <c r="BC15" s="64"/>
      <c r="BD15" s="82"/>
      <c r="BE15" s="1354"/>
      <c r="BF15" s="82"/>
      <c r="BG15" s="64">
        <f t="shared" si="0"/>
        <v>0</v>
      </c>
      <c r="BH15" s="64">
        <f t="shared" si="0"/>
        <v>0</v>
      </c>
    </row>
    <row r="16" spans="1:60" x14ac:dyDescent="0.35">
      <c r="A16" s="9168"/>
      <c r="B16" s="4586" t="s">
        <v>5332</v>
      </c>
      <c r="C16" s="87"/>
      <c r="E16" s="88"/>
      <c r="F16"/>
      <c r="G16" s="89">
        <f>SUM(G12:G13)</f>
        <v>2646410</v>
      </c>
      <c r="H16" s="89">
        <f>SUM(H12:H13)</f>
        <v>2630900</v>
      </c>
      <c r="I16" s="91">
        <f>IF(G16=0,0,H16/G16)</f>
        <v>0.99413923012685113</v>
      </c>
      <c r="J16" s="80"/>
      <c r="K16" s="89">
        <f>SUM(K12:K13)</f>
        <v>1995700</v>
      </c>
      <c r="L16" s="89">
        <f>K16*I16</f>
        <v>1984003.6615641569</v>
      </c>
      <c r="M16" s="245"/>
      <c r="N16" s="5820">
        <f>SUM(N12:N13)</f>
        <v>2206700</v>
      </c>
      <c r="O16" s="89">
        <f>SUM(O12:O13)</f>
        <v>2824439</v>
      </c>
      <c r="P16" s="265" t="s">
        <v>5325</v>
      </c>
      <c r="Q16" s="91">
        <f>IF(N16=0,0,O16/N16)</f>
        <v>1.2799379163456746</v>
      </c>
      <c r="R16" s="106"/>
      <c r="S16" s="5820">
        <f>SUM(S12:S15)</f>
        <v>2392700</v>
      </c>
      <c r="T16" s="631"/>
      <c r="U16" s="88">
        <f>SUM(U12:U13)</f>
        <v>2834268.7291446966</v>
      </c>
      <c r="V16" s="106"/>
      <c r="W16" s="5821">
        <f>SUM(W12:W13)</f>
        <v>2567859</v>
      </c>
      <c r="X16" s="1775">
        <v>2333900</v>
      </c>
      <c r="Y16" s="7444" t="s">
        <v>1824</v>
      </c>
      <c r="Z16" s="91">
        <f>IF(W16=0,0,X16/W16)</f>
        <v>0.90888946784071867</v>
      </c>
      <c r="AA16" s="106"/>
      <c r="AB16" s="5821">
        <f>3248100-629</f>
        <v>3247471</v>
      </c>
      <c r="AC16" s="5543" t="s">
        <v>5333</v>
      </c>
      <c r="AD16" s="5822">
        <f>SUM(AD12:AD13)</f>
        <v>2936365.8888511378</v>
      </c>
      <c r="AE16" s="66"/>
      <c r="AF16" s="5821">
        <f>3248100-629</f>
        <v>3247471</v>
      </c>
      <c r="AG16" s="1775"/>
      <c r="AH16" s="7444" t="s">
        <v>1824</v>
      </c>
      <c r="AI16" s="91">
        <f>IF(AF16=0,0,AG16/AF16)</f>
        <v>0</v>
      </c>
      <c r="AJ16" s="106"/>
      <c r="AK16" s="5821">
        <f>SUM(AK12:AK15)</f>
        <v>2913700</v>
      </c>
      <c r="AL16" s="5543"/>
      <c r="AM16" s="5822">
        <f>SUM(AM12:AM15)</f>
        <v>2854280</v>
      </c>
      <c r="AN16" s="66"/>
      <c r="AO16" s="66"/>
      <c r="AP16" s="5821">
        <v>2913700</v>
      </c>
      <c r="AQ16" s="1775">
        <v>2854270</v>
      </c>
      <c r="AR16" s="7444" t="s">
        <v>1824</v>
      </c>
      <c r="AS16" s="91">
        <f>IF(AP16=0,0,AQ16/AP16)</f>
        <v>0.97960325359508527</v>
      </c>
      <c r="AT16" s="106"/>
      <c r="AU16" s="5812">
        <f>SUM(AU12:AU15)</f>
        <v>3297790</v>
      </c>
      <c r="AV16" s="259" t="s">
        <v>5326</v>
      </c>
      <c r="AW16" s="1775">
        <v>3242540</v>
      </c>
      <c r="AX16" s="64">
        <f>IF(AU16=0,0,AW16/AU16)</f>
        <v>0.98324635589288589</v>
      </c>
      <c r="AY16" s="106"/>
      <c r="AZ16" s="8250">
        <f>SUM(AZ12:AZ15)</f>
        <v>3297.7900000000004</v>
      </c>
      <c r="BA16" s="8250">
        <f>SUM(BA12:BA15)</f>
        <v>3242.5400000000004</v>
      </c>
      <c r="BB16" s="7444"/>
      <c r="BC16" s="64">
        <f>BA16/AZ16</f>
        <v>0.98324635589288589</v>
      </c>
      <c r="BD16" s="8251">
        <f>SUM(BD12:BD14)</f>
        <v>3008.4</v>
      </c>
      <c r="BE16" s="1354"/>
      <c r="BF16" s="4602">
        <f>SUM(BF12:BF14)</f>
        <v>2842.65</v>
      </c>
      <c r="BG16" s="64">
        <f t="shared" si="0"/>
        <v>0.94490426804946148</v>
      </c>
      <c r="BH16" s="64">
        <f t="shared" si="0"/>
        <v>0</v>
      </c>
    </row>
    <row r="17" spans="1:60" ht="41.5" customHeight="1" x14ac:dyDescent="0.35">
      <c r="A17" s="9168"/>
      <c r="B17" s="100" t="s">
        <v>883</v>
      </c>
      <c r="C17" s="42"/>
      <c r="D17" s="43"/>
      <c r="E17" s="101"/>
      <c r="F17"/>
      <c r="G17" s="102"/>
      <c r="H17" s="103"/>
      <c r="I17" s="104"/>
      <c r="J17" s="43"/>
      <c r="K17" s="102"/>
      <c r="L17" s="102"/>
      <c r="M17" s="106"/>
      <c r="N17" s="102"/>
      <c r="O17" s="103"/>
      <c r="P17" s="3726"/>
      <c r="Q17" s="104"/>
      <c r="R17" s="106"/>
      <c r="S17" s="102"/>
      <c r="T17" s="1162"/>
      <c r="U17" s="105"/>
      <c r="V17" s="106"/>
      <c r="W17" s="5696"/>
      <c r="X17" s="106"/>
      <c r="Y17" s="253"/>
      <c r="Z17" s="73"/>
      <c r="AA17" s="106"/>
      <c r="AB17" s="5814">
        <v>237</v>
      </c>
      <c r="AC17" s="1162"/>
      <c r="AD17" s="105"/>
      <c r="AE17" s="106"/>
      <c r="AF17" s="5814">
        <v>237</v>
      </c>
      <c r="AG17" s="106"/>
      <c r="AH17" s="8253" t="s">
        <v>5334</v>
      </c>
      <c r="AI17" s="73"/>
      <c r="AJ17" s="106"/>
      <c r="AK17" s="5696"/>
      <c r="AL17" s="7445" t="s">
        <v>5335</v>
      </c>
      <c r="AM17" s="105"/>
      <c r="AN17" s="106"/>
      <c r="AO17" s="106"/>
      <c r="AP17" s="106"/>
      <c r="AQ17" s="106"/>
      <c r="AR17" s="8253" t="s">
        <v>5334</v>
      </c>
      <c r="AS17" s="73"/>
      <c r="AT17" s="106"/>
      <c r="AU17" s="5696"/>
      <c r="AV17" s="7445" t="s">
        <v>5335</v>
      </c>
      <c r="AW17" s="105"/>
      <c r="AY17" s="106"/>
      <c r="AZ17" s="106"/>
      <c r="BA17" s="106"/>
      <c r="BB17" s="8253"/>
      <c r="BC17" s="73"/>
      <c r="BD17" s="5696"/>
      <c r="BE17" s="7445"/>
      <c r="BF17" s="105"/>
    </row>
    <row r="18" spans="1:60" x14ac:dyDescent="0.35">
      <c r="A18" s="9168"/>
      <c r="B18" s="139" t="s">
        <v>5336</v>
      </c>
      <c r="C18" s="60"/>
      <c r="E18" s="111"/>
      <c r="F18"/>
      <c r="G18" s="112">
        <v>1180310</v>
      </c>
      <c r="H18" s="112">
        <v>1172400</v>
      </c>
      <c r="I18" s="64">
        <f t="shared" ref="I18:I23" si="1">IF(G18=0,0,H18/G18)</f>
        <v>0.99329837076700189</v>
      </c>
      <c r="K18" s="112">
        <v>1216586</v>
      </c>
      <c r="L18" s="112">
        <f t="shared" ref="L18:L23" si="2">K18*I18</f>
        <v>1208432.8916979437</v>
      </c>
      <c r="M18" s="245"/>
      <c r="N18" s="112">
        <f>1814596-598010</f>
        <v>1216586</v>
      </c>
      <c r="O18" s="112">
        <f>1831810-598010</f>
        <v>1233800</v>
      </c>
      <c r="P18" s="253" t="s">
        <v>5325</v>
      </c>
      <c r="Q18" s="64">
        <f t="shared" ref="Q18:Q23" si="3">IF(N18=0,0,O18/N18)</f>
        <v>1.0141494312773613</v>
      </c>
      <c r="R18" s="106"/>
      <c r="S18" s="262">
        <f>538200+745800</f>
        <v>1284000</v>
      </c>
      <c r="T18" s="259" t="s">
        <v>1386</v>
      </c>
      <c r="U18" s="111">
        <f>S18*Q18</f>
        <v>1302167.8697601319</v>
      </c>
      <c r="V18" s="106"/>
      <c r="W18" s="5823">
        <f>1914181-595640</f>
        <v>1318541</v>
      </c>
      <c r="X18" s="5824">
        <f>X25+797561</f>
        <v>1364231</v>
      </c>
      <c r="Y18" s="7442" t="s">
        <v>5337</v>
      </c>
      <c r="Z18" s="64">
        <f t="shared" ref="Z18:Z23" si="4">IF(W18=0,0,X18/W18)</f>
        <v>1.0346519372548901</v>
      </c>
      <c r="AA18" s="106"/>
      <c r="AB18" s="5825">
        <f>2022900-680000</f>
        <v>1342900</v>
      </c>
      <c r="AC18" s="3016"/>
      <c r="AD18" s="5344">
        <f>AB18*Z18</f>
        <v>1389434.0865395919</v>
      </c>
      <c r="AE18" s="66"/>
      <c r="AF18" s="5825">
        <f>2022900-680000</f>
        <v>1342900</v>
      </c>
      <c r="AG18" s="5824">
        <f>599800+760360</f>
        <v>1360160</v>
      </c>
      <c r="AH18" s="7442" t="s">
        <v>5338</v>
      </c>
      <c r="AI18" s="64">
        <f t="shared" ref="AI18:AI23" si="5">IF(AF18=0,0,AG18/AF18)</f>
        <v>1.0128527812942141</v>
      </c>
      <c r="AJ18" s="106"/>
      <c r="AK18" s="5825">
        <f>683000+871480</f>
        <v>1554480</v>
      </c>
      <c r="AL18" t="s">
        <v>5339</v>
      </c>
      <c r="AM18" s="5344">
        <f>681880+844320</f>
        <v>1526200</v>
      </c>
      <c r="AN18" s="66"/>
      <c r="AO18" s="66">
        <f>+AK18-AK21-AK22</f>
        <v>672480</v>
      </c>
      <c r="AP18" s="5825">
        <f>683000+871480</f>
        <v>1554480</v>
      </c>
      <c r="AQ18" s="5825">
        <f>681880+844320</f>
        <v>1526200</v>
      </c>
      <c r="AR18" t="s">
        <v>5340</v>
      </c>
      <c r="AS18" s="64">
        <f t="shared" ref="AS18:AS23" si="6">IF(AP18=0,0,AQ18/AP18)</f>
        <v>0.98180742113118213</v>
      </c>
      <c r="AT18" s="106"/>
      <c r="AU18" s="5825">
        <f>744060+1038720</f>
        <v>1782780</v>
      </c>
      <c r="AV18" t="s">
        <v>5339</v>
      </c>
      <c r="AW18" s="5825">
        <f>742830+1082000</f>
        <v>1824830</v>
      </c>
      <c r="AX18" s="64">
        <f t="shared" ref="AX18:AX23" si="7">IF(AU18=0,0,AW18/AU18)</f>
        <v>1.0235867577603519</v>
      </c>
      <c r="AY18" s="106"/>
      <c r="AZ18" s="8254">
        <f>AU18/1000</f>
        <v>1782.78</v>
      </c>
      <c r="BA18" s="8254">
        <f>AW18/1000</f>
        <v>1824.83</v>
      </c>
      <c r="BB18"/>
      <c r="BC18" s="64"/>
      <c r="BD18" s="8255">
        <f>817.7+305.81+957.9</f>
        <v>2081.41</v>
      </c>
      <c r="BE18" s="1256"/>
      <c r="BF18" s="8255">
        <f>814.83+324.47+952.91</f>
        <v>2092.21</v>
      </c>
      <c r="BG18" s="64">
        <f t="shared" ref="BG18:BG23" si="8">IF(BD18=0,0,BF18/BD18)</f>
        <v>1.0051887902911969</v>
      </c>
      <c r="BH18" s="64">
        <f t="shared" ref="BH18:BH23" si="9">IF(BE18=0,0,BG18/BE18)</f>
        <v>0</v>
      </c>
    </row>
    <row r="19" spans="1:60" x14ac:dyDescent="0.35">
      <c r="A19" s="9168"/>
      <c r="B19" s="139" t="s">
        <v>5341</v>
      </c>
      <c r="C19" s="60"/>
      <c r="E19" s="111"/>
      <c r="F19"/>
      <c r="G19" s="112">
        <v>942000</v>
      </c>
      <c r="H19" s="112">
        <v>935800</v>
      </c>
      <c r="I19" s="3165">
        <f t="shared" si="1"/>
        <v>0.99341825902335457</v>
      </c>
      <c r="J19" s="374"/>
      <c r="K19" s="112">
        <v>962186</v>
      </c>
      <c r="L19" s="112">
        <f t="shared" si="2"/>
        <v>955853.1409766454</v>
      </c>
      <c r="M19" s="245"/>
      <c r="N19" s="262">
        <v>557186</v>
      </c>
      <c r="O19" s="112">
        <v>992629</v>
      </c>
      <c r="P19" s="253" t="s">
        <v>5325</v>
      </c>
      <c r="Q19" s="3165">
        <f t="shared" si="3"/>
        <v>1.7815038425229637</v>
      </c>
      <c r="R19" s="106"/>
      <c r="S19" s="262">
        <v>611000</v>
      </c>
      <c r="T19" s="106"/>
      <c r="U19" s="111">
        <f>S19*Q19</f>
        <v>1088498.8477815308</v>
      </c>
      <c r="V19" s="106"/>
      <c r="W19" s="5823">
        <v>751376</v>
      </c>
      <c r="X19" s="5824">
        <v>700120</v>
      </c>
      <c r="Y19" s="7442" t="s">
        <v>5342</v>
      </c>
      <c r="Z19" s="3165">
        <f t="shared" si="4"/>
        <v>0.93178382061710785</v>
      </c>
      <c r="AA19" s="106"/>
      <c r="AB19" s="5825">
        <v>788200</v>
      </c>
      <c r="AC19" s="3016"/>
      <c r="AD19" s="5344">
        <f>AB19*Z19</f>
        <v>734432.00741040439</v>
      </c>
      <c r="AE19" s="66"/>
      <c r="AF19" s="5825">
        <v>788200</v>
      </c>
      <c r="AG19" s="5824">
        <v>645390</v>
      </c>
      <c r="AH19" s="7442" t="s">
        <v>2934</v>
      </c>
      <c r="AI19" s="3165">
        <f t="shared" si="5"/>
        <v>0.81881502156812991</v>
      </c>
      <c r="AJ19" s="106"/>
      <c r="AK19" s="5825">
        <v>709920</v>
      </c>
      <c r="AL19" s="3016" t="s">
        <v>1830</v>
      </c>
      <c r="AM19" s="5344">
        <v>540860</v>
      </c>
      <c r="AN19" s="66"/>
      <c r="AO19" s="66"/>
      <c r="AP19" s="5825">
        <v>709920</v>
      </c>
      <c r="AQ19" s="5825">
        <v>540870</v>
      </c>
      <c r="AR19" t="s">
        <v>5340</v>
      </c>
      <c r="AS19" s="3165">
        <f t="shared" si="6"/>
        <v>0.76187457741717379</v>
      </c>
      <c r="AT19" s="106"/>
      <c r="AU19" s="5825">
        <v>669980</v>
      </c>
      <c r="AV19" s="3016" t="s">
        <v>1830</v>
      </c>
      <c r="AW19" s="5825">
        <v>626330</v>
      </c>
      <c r="AX19" s="64">
        <f t="shared" si="7"/>
        <v>0.93484880145675986</v>
      </c>
      <c r="AY19" s="106"/>
      <c r="AZ19" s="8254">
        <f>AU19/1000</f>
        <v>669.98</v>
      </c>
      <c r="BA19" s="8254">
        <f>AW19/1000</f>
        <v>626.33000000000004</v>
      </c>
      <c r="BB19"/>
      <c r="BC19" s="3165"/>
      <c r="BD19" s="8255">
        <v>806.33</v>
      </c>
      <c r="BE19" s="5506"/>
      <c r="BF19" s="8255">
        <v>775.13</v>
      </c>
      <c r="BG19" s="64">
        <f t="shared" si="8"/>
        <v>0.96130616496967736</v>
      </c>
      <c r="BH19" s="64">
        <f t="shared" si="9"/>
        <v>0</v>
      </c>
    </row>
    <row r="20" spans="1:60" x14ac:dyDescent="0.35">
      <c r="A20" s="9168"/>
      <c r="B20" s="139" t="s">
        <v>5343</v>
      </c>
      <c r="C20" s="60"/>
      <c r="E20" s="122"/>
      <c r="F20"/>
      <c r="G20" s="112"/>
      <c r="H20" s="112"/>
      <c r="I20" s="64"/>
      <c r="K20" s="112"/>
      <c r="L20" s="112"/>
      <c r="M20" s="245"/>
      <c r="N20" s="262">
        <v>405000</v>
      </c>
      <c r="O20" s="112"/>
      <c r="P20" s="253"/>
      <c r="Q20" s="64"/>
      <c r="R20" s="106"/>
      <c r="S20" s="262">
        <v>434000</v>
      </c>
      <c r="T20" s="106"/>
      <c r="U20" s="111"/>
      <c r="V20" s="106"/>
      <c r="W20" s="5823">
        <v>434000</v>
      </c>
      <c r="X20" s="5824">
        <v>470418</v>
      </c>
      <c r="Y20" s="7442" t="s">
        <v>1825</v>
      </c>
      <c r="Z20" s="3165">
        <f t="shared" si="4"/>
        <v>1.0839124423963133</v>
      </c>
      <c r="AA20" s="106"/>
      <c r="AB20" s="5825">
        <v>437000</v>
      </c>
      <c r="AC20" s="3016"/>
      <c r="AD20" s="5344">
        <f>AB20*Z20</f>
        <v>473669.73732718895</v>
      </c>
      <c r="AE20" s="66"/>
      <c r="AF20" s="5825">
        <v>437000</v>
      </c>
      <c r="AG20" s="5824">
        <v>560018</v>
      </c>
      <c r="AH20" s="7442" t="s">
        <v>2847</v>
      </c>
      <c r="AI20" s="3165">
        <f t="shared" si="5"/>
        <v>1.2815057208237985</v>
      </c>
      <c r="AJ20" s="106"/>
      <c r="AK20" s="5825">
        <v>517000</v>
      </c>
      <c r="AL20" s="3016" t="s">
        <v>2359</v>
      </c>
      <c r="AM20" s="5344">
        <v>613870</v>
      </c>
      <c r="AN20" s="66"/>
      <c r="AO20" s="66"/>
      <c r="AP20" s="5825">
        <v>517000</v>
      </c>
      <c r="AQ20" s="5825">
        <v>613870</v>
      </c>
      <c r="AR20" t="s">
        <v>5340</v>
      </c>
      <c r="AS20" s="3165">
        <f t="shared" si="6"/>
        <v>1.1873694390715668</v>
      </c>
      <c r="AT20" s="106"/>
      <c r="AU20" s="5825">
        <v>640860</v>
      </c>
      <c r="AV20" s="3016" t="s">
        <v>2359</v>
      </c>
      <c r="AW20" s="5825">
        <v>599770</v>
      </c>
      <c r="AX20" s="64">
        <f t="shared" si="7"/>
        <v>0.93588303217551416</v>
      </c>
      <c r="AY20" s="106"/>
      <c r="AZ20" s="8254">
        <f>AU20/1000</f>
        <v>640.86</v>
      </c>
      <c r="BA20" s="8254">
        <f>AW20/1000</f>
        <v>599.77</v>
      </c>
      <c r="BB20"/>
      <c r="BC20" s="3165"/>
      <c r="BD20" s="8255">
        <v>686.56</v>
      </c>
      <c r="BE20" s="5506"/>
      <c r="BF20" s="8255">
        <v>650.4</v>
      </c>
      <c r="BG20" s="64">
        <f t="shared" si="8"/>
        <v>0.94733162432999307</v>
      </c>
      <c r="BH20" s="64">
        <f t="shared" si="9"/>
        <v>0</v>
      </c>
    </row>
    <row r="21" spans="1:60" x14ac:dyDescent="0.35">
      <c r="A21" s="9168"/>
      <c r="B21" s="139" t="s">
        <v>5344</v>
      </c>
      <c r="C21" s="60"/>
      <c r="E21" s="122"/>
      <c r="F21"/>
      <c r="G21" s="112"/>
      <c r="H21" s="112"/>
      <c r="I21" s="64"/>
      <c r="K21" s="112"/>
      <c r="L21" s="112"/>
      <c r="M21" s="245"/>
      <c r="N21" s="262"/>
      <c r="O21" s="112"/>
      <c r="P21" s="253"/>
      <c r="Q21" s="64"/>
      <c r="R21" s="106"/>
      <c r="S21" s="262"/>
      <c r="T21" s="106"/>
      <c r="U21" s="111"/>
      <c r="V21" s="106"/>
      <c r="W21" s="5698"/>
      <c r="X21" s="233">
        <f>54650+45740+52390+44910</f>
        <v>197690</v>
      </c>
      <c r="Y21" s="253" t="s">
        <v>3690</v>
      </c>
      <c r="Z21" s="3165">
        <f t="shared" si="4"/>
        <v>0</v>
      </c>
      <c r="AA21" s="106"/>
      <c r="AB21" s="5826">
        <v>165300</v>
      </c>
      <c r="AC21" s="3016"/>
      <c r="AD21" s="5344">
        <f>AB21</f>
        <v>165300</v>
      </c>
      <c r="AE21" s="66"/>
      <c r="AF21" s="5826">
        <v>165300</v>
      </c>
      <c r="AG21" s="233">
        <f>100720+133130</f>
        <v>233850</v>
      </c>
      <c r="AH21" s="253" t="s">
        <v>2848</v>
      </c>
      <c r="AI21" s="3165">
        <f t="shared" si="5"/>
        <v>1.4147005444646099</v>
      </c>
      <c r="AJ21" s="106"/>
      <c r="AK21" s="5826">
        <v>263200</v>
      </c>
      <c r="AL21" s="3016" t="s">
        <v>1322</v>
      </c>
      <c r="AM21" s="5344">
        <v>253730</v>
      </c>
      <c r="AN21" s="66"/>
      <c r="AO21" s="66"/>
      <c r="AP21" s="5826">
        <v>263200</v>
      </c>
      <c r="AQ21" s="5826">
        <v>253730</v>
      </c>
      <c r="AR21" t="s">
        <v>5340</v>
      </c>
      <c r="AS21" s="3165">
        <f t="shared" si="6"/>
        <v>0.96401975683890573</v>
      </c>
      <c r="AT21" s="106"/>
      <c r="AU21" s="5826">
        <v>273190</v>
      </c>
      <c r="AV21" s="3016" t="s">
        <v>1322</v>
      </c>
      <c r="AW21" s="5826">
        <v>301970</v>
      </c>
      <c r="AX21" s="64">
        <f t="shared" si="7"/>
        <v>1.1053479263516235</v>
      </c>
      <c r="AY21" s="106"/>
      <c r="AZ21" s="8254">
        <f>AU21/1000</f>
        <v>273.19</v>
      </c>
      <c r="BA21" s="8254">
        <f>AW21/1000</f>
        <v>301.97000000000003</v>
      </c>
      <c r="BB21"/>
      <c r="BC21" s="3165"/>
      <c r="BD21" s="6313">
        <v>306.89999999999998</v>
      </c>
      <c r="BE21" s="5506"/>
      <c r="BF21" s="6313">
        <v>289.14999999999998</v>
      </c>
      <c r="BG21" s="64">
        <f t="shared" si="8"/>
        <v>0.94216357119582927</v>
      </c>
      <c r="BH21" s="64">
        <f t="shared" si="9"/>
        <v>0</v>
      </c>
    </row>
    <row r="22" spans="1:60" x14ac:dyDescent="0.35">
      <c r="A22" s="9168"/>
      <c r="B22" s="139" t="s">
        <v>5345</v>
      </c>
      <c r="C22" s="60"/>
      <c r="E22" s="163"/>
      <c r="F22" s="1569"/>
      <c r="G22" s="112">
        <v>524100</v>
      </c>
      <c r="H22" s="112">
        <v>522700</v>
      </c>
      <c r="I22" s="3025">
        <f t="shared" si="1"/>
        <v>0.99732875405456978</v>
      </c>
      <c r="J22" s="274"/>
      <c r="K22" s="112">
        <v>598010</v>
      </c>
      <c r="L22" s="112">
        <f t="shared" si="2"/>
        <v>596412.5682121733</v>
      </c>
      <c r="M22" s="245"/>
      <c r="N22" s="112">
        <v>598010</v>
      </c>
      <c r="O22" s="112">
        <v>598010</v>
      </c>
      <c r="P22" s="253" t="s">
        <v>5325</v>
      </c>
      <c r="Q22" s="3025">
        <f t="shared" si="3"/>
        <v>1</v>
      </c>
      <c r="R22" s="106"/>
      <c r="S22" s="262">
        <v>595600</v>
      </c>
      <c r="T22" s="106"/>
      <c r="U22" s="111">
        <f>S22*Q22</f>
        <v>595600</v>
      </c>
      <c r="V22" s="106"/>
      <c r="W22" s="5823">
        <v>595640</v>
      </c>
      <c r="X22" s="5824">
        <f>294630+120000</f>
        <v>414630</v>
      </c>
      <c r="Y22" s="7442" t="s">
        <v>1825</v>
      </c>
      <c r="Z22" s="3025">
        <f t="shared" si="4"/>
        <v>0.69610838761668126</v>
      </c>
      <c r="AA22" s="106"/>
      <c r="AB22" s="5825">
        <v>514700</v>
      </c>
      <c r="AC22" s="3016"/>
      <c r="AD22" s="5344">
        <f>AB22*Z22</f>
        <v>358286.98710630584</v>
      </c>
      <c r="AE22" s="66"/>
      <c r="AF22" s="5825">
        <v>514700</v>
      </c>
      <c r="AG22" s="5824">
        <f>381930+122690</f>
        <v>504620</v>
      </c>
      <c r="AH22" s="7442" t="s">
        <v>453</v>
      </c>
      <c r="AI22" s="3025">
        <f t="shared" si="5"/>
        <v>0.98041577618029918</v>
      </c>
      <c r="AJ22" s="106"/>
      <c r="AK22" s="5825">
        <v>618800</v>
      </c>
      <c r="AL22" s="3016" t="s">
        <v>1322</v>
      </c>
      <c r="AM22" s="5344">
        <v>575980</v>
      </c>
      <c r="AN22" s="66"/>
      <c r="AO22" s="66"/>
      <c r="AP22" s="5825">
        <v>618800</v>
      </c>
      <c r="AQ22" s="5825">
        <v>575980</v>
      </c>
      <c r="AR22" t="s">
        <v>5340</v>
      </c>
      <c r="AS22" s="3025">
        <f t="shared" si="6"/>
        <v>0.93080155138978671</v>
      </c>
      <c r="AT22" s="106"/>
      <c r="AU22" s="5825">
        <v>589980</v>
      </c>
      <c r="AV22" s="3016" t="s">
        <v>1322</v>
      </c>
      <c r="AW22" s="5825">
        <v>535630</v>
      </c>
      <c r="AX22" s="64">
        <f t="shared" si="7"/>
        <v>0.90787823316044614</v>
      </c>
      <c r="AY22" s="106"/>
      <c r="AZ22" s="8254">
        <f>AU22/1000</f>
        <v>589.98</v>
      </c>
      <c r="BA22" s="8254">
        <f>AW22/1000</f>
        <v>535.63</v>
      </c>
      <c r="BB22"/>
      <c r="BC22" s="3025"/>
      <c r="BD22" s="8255"/>
      <c r="BE22" s="5506"/>
      <c r="BF22" s="8255"/>
      <c r="BG22" s="64">
        <f t="shared" si="8"/>
        <v>0</v>
      </c>
      <c r="BH22" s="64">
        <f t="shared" si="9"/>
        <v>0</v>
      </c>
    </row>
    <row r="23" spans="1:60" x14ac:dyDescent="0.35">
      <c r="A23" s="9168"/>
      <c r="B23" s="139" t="s">
        <v>5346</v>
      </c>
      <c r="C23" s="87"/>
      <c r="E23" s="130"/>
      <c r="F23" s="235"/>
      <c r="G23" s="131">
        <f>SUM(G18:G22)</f>
        <v>2646410</v>
      </c>
      <c r="H23" s="131">
        <f>SUM(H18:H22)</f>
        <v>2630900</v>
      </c>
      <c r="I23" s="133">
        <f t="shared" si="1"/>
        <v>0.99413923012685113</v>
      </c>
      <c r="K23" s="131">
        <f>SUM(K18:K22)</f>
        <v>2776782</v>
      </c>
      <c r="L23" s="131">
        <f t="shared" si="2"/>
        <v>2760507.9197100978</v>
      </c>
      <c r="M23" s="245"/>
      <c r="N23" s="131">
        <f>SUM(N18:N22)</f>
        <v>2776782</v>
      </c>
      <c r="O23" s="131">
        <f>SUM(O18:O22)</f>
        <v>2824439</v>
      </c>
      <c r="P23" s="265"/>
      <c r="Q23" s="133">
        <f t="shared" si="3"/>
        <v>1.0171626724748288</v>
      </c>
      <c r="R23" s="106"/>
      <c r="S23" s="5216">
        <f>SUM(S18:S22)</f>
        <v>2924600</v>
      </c>
      <c r="T23" s="216"/>
      <c r="U23" s="130">
        <f>SUM(U18:U22)</f>
        <v>2986266.717541663</v>
      </c>
      <c r="V23" s="106"/>
      <c r="W23" s="3167">
        <f>SUM(W18:W22)</f>
        <v>3099557</v>
      </c>
      <c r="X23" s="5827">
        <f>SUM(X18:X22)</f>
        <v>3147089</v>
      </c>
      <c r="Y23" s="8292"/>
      <c r="Z23" s="133">
        <f t="shared" si="4"/>
        <v>1.0153350946603015</v>
      </c>
      <c r="AA23" s="106"/>
      <c r="AB23" s="5828">
        <f>SUM(AB18:AB22)</f>
        <v>3248100</v>
      </c>
      <c r="AC23" s="216"/>
      <c r="AD23" s="5829">
        <f>SUM(AD18:AD22)</f>
        <v>3121122.8183834911</v>
      </c>
      <c r="AE23" s="66"/>
      <c r="AF23" s="5828">
        <f>SUM(AF18:AF22)</f>
        <v>3248100</v>
      </c>
      <c r="AG23" s="8305">
        <f>SUM(AG18:AG22)</f>
        <v>3304038</v>
      </c>
      <c r="AH23" s="8292"/>
      <c r="AI23" s="133">
        <f t="shared" si="5"/>
        <v>1.0172217604137803</v>
      </c>
      <c r="AJ23" s="106"/>
      <c r="AK23" s="5828">
        <f>SUM(AK18:AK22)</f>
        <v>3663400</v>
      </c>
      <c r="AL23" s="216"/>
      <c r="AM23" s="5829">
        <f>SUM(AM18:AM22)</f>
        <v>3510640</v>
      </c>
      <c r="AN23" s="66"/>
      <c r="AO23" s="66"/>
      <c r="AP23" s="5828">
        <f>SUM(AP18:AP22)</f>
        <v>3663400</v>
      </c>
      <c r="AQ23" s="5828">
        <f>SUM(AQ18:AQ22)</f>
        <v>3510650</v>
      </c>
      <c r="AR23" t="s">
        <v>5340</v>
      </c>
      <c r="AS23" s="133">
        <f t="shared" si="6"/>
        <v>0.95830376153300212</v>
      </c>
      <c r="AT23" s="106"/>
      <c r="AU23" s="5828">
        <f>SUM(AU18:AU22)</f>
        <v>3956790</v>
      </c>
      <c r="AV23" s="216"/>
      <c r="AW23" s="5828">
        <f>SUM(AW18:AW22)</f>
        <v>3888530</v>
      </c>
      <c r="AX23" s="64">
        <f t="shared" si="7"/>
        <v>0.98274864220744595</v>
      </c>
      <c r="AY23" s="106"/>
      <c r="AZ23" s="8256">
        <f>SUM(AZ18:AZ22)</f>
        <v>3956.7900000000004</v>
      </c>
      <c r="BA23" s="8256">
        <f>SUM(BA18:BA22)</f>
        <v>3888.5299999999997</v>
      </c>
      <c r="BB23"/>
      <c r="BC23" s="133">
        <f>IF(AZ23=0,0,BA23/AZ23)</f>
        <v>0.98274864220744573</v>
      </c>
      <c r="BD23" s="8257">
        <f>SUM(BD18:BD22)</f>
        <v>3881.2</v>
      </c>
      <c r="BE23" s="1200"/>
      <c r="BF23" s="8257">
        <f>SUM(BF18:BF22)</f>
        <v>3806.8900000000003</v>
      </c>
      <c r="BG23" s="64">
        <f t="shared" si="8"/>
        <v>0.9808538596310421</v>
      </c>
      <c r="BH23" s="64">
        <f t="shared" si="9"/>
        <v>0</v>
      </c>
    </row>
    <row r="24" spans="1:60" x14ac:dyDescent="0.35">
      <c r="A24" s="9168"/>
      <c r="B24" s="139" t="s">
        <v>5347</v>
      </c>
      <c r="C24" s="140"/>
      <c r="D24" s="141"/>
      <c r="E24" s="1578"/>
      <c r="F24" s="1579"/>
      <c r="G24" s="1580"/>
      <c r="H24" s="150"/>
      <c r="I24" s="146"/>
      <c r="J24" s="141"/>
      <c r="K24" s="147"/>
      <c r="L24" s="147"/>
      <c r="M24" s="5003"/>
      <c r="N24" s="1580"/>
      <c r="O24" s="150"/>
      <c r="P24" s="5665"/>
      <c r="Q24" s="146"/>
      <c r="R24" s="312"/>
      <c r="S24" s="1580"/>
      <c r="T24" s="152"/>
      <c r="U24" s="1578"/>
      <c r="V24" s="5003"/>
      <c r="W24" s="7446"/>
      <c r="X24" s="150"/>
      <c r="Y24" s="5665"/>
      <c r="Z24" s="146"/>
      <c r="AA24" s="312"/>
      <c r="AB24" s="7446"/>
      <c r="AC24" s="152"/>
      <c r="AD24" s="5219"/>
      <c r="AE24" s="4915"/>
      <c r="AF24" s="7446"/>
      <c r="AG24" s="150"/>
      <c r="AH24" s="5665"/>
      <c r="AI24" s="146"/>
      <c r="AJ24" s="8"/>
      <c r="AK24" s="7446"/>
      <c r="AL24" s="152"/>
      <c r="AM24" s="5219"/>
      <c r="AN24" s="4915"/>
      <c r="AO24" s="4915"/>
      <c r="AP24" s="5219"/>
      <c r="AQ24" s="5219"/>
      <c r="AR24" s="5665"/>
      <c r="AS24" s="146"/>
      <c r="AT24" s="8"/>
      <c r="AU24" s="7446"/>
      <c r="AV24" s="152"/>
      <c r="AW24" s="5219"/>
      <c r="AY24" s="8"/>
      <c r="AZ24" s="5219"/>
      <c r="BA24" s="5219"/>
      <c r="BB24" s="5665"/>
      <c r="BC24" s="146"/>
      <c r="BD24" s="6834"/>
      <c r="BE24" s="8258"/>
      <c r="BF24" s="8259"/>
    </row>
    <row r="25" spans="1:60" ht="18" customHeight="1" x14ac:dyDescent="0.35">
      <c r="A25" s="9168"/>
      <c r="B25" s="6082"/>
      <c r="C25" s="60"/>
      <c r="E25" s="155"/>
      <c r="F25" s="235"/>
      <c r="G25" s="117">
        <v>491600</v>
      </c>
      <c r="H25" s="115">
        <v>485000</v>
      </c>
      <c r="I25" s="64">
        <f>IF(G25=0,0,H25/G25)</f>
        <v>0.98657445077298622</v>
      </c>
      <c r="K25" s="156">
        <v>510000</v>
      </c>
      <c r="L25" s="156">
        <f>K25*I25</f>
        <v>503152.96989422297</v>
      </c>
      <c r="M25" s="8293"/>
      <c r="N25" s="117">
        <v>510000</v>
      </c>
      <c r="O25" s="115">
        <v>526000</v>
      </c>
      <c r="P25" s="5666"/>
      <c r="Q25" s="64">
        <f>IF(N25=0,0,O25/N25)</f>
        <v>1.031372549019608</v>
      </c>
      <c r="R25" s="312"/>
      <c r="S25" s="3951">
        <v>538200</v>
      </c>
      <c r="T25" s="312"/>
      <c r="U25" s="111">
        <f>S25*Q25</f>
        <v>555084.70588235301</v>
      </c>
      <c r="V25" s="7266"/>
      <c r="W25" s="5365">
        <v>572600</v>
      </c>
      <c r="X25" s="5830">
        <v>566670</v>
      </c>
      <c r="Y25" s="3066" t="s">
        <v>1327</v>
      </c>
      <c r="Z25" s="64">
        <f>IF(W25=0,0,X25/W25)</f>
        <v>0.98964373035277686</v>
      </c>
      <c r="AA25" s="312"/>
      <c r="AB25" s="5831">
        <v>586000</v>
      </c>
      <c r="AC25" s="3041"/>
      <c r="AD25" s="5344">
        <f>AB25*Z25</f>
        <v>579931.22598672728</v>
      </c>
      <c r="AE25" s="157"/>
      <c r="AF25" s="5831">
        <v>586000</v>
      </c>
      <c r="AG25" s="5830">
        <v>599800</v>
      </c>
      <c r="AH25" s="3066" t="s">
        <v>1327</v>
      </c>
      <c r="AI25" s="64">
        <f>IF(AF25=0,0,AG25/AF25)</f>
        <v>1.0235494880546074</v>
      </c>
      <c r="AJ25" s="312"/>
      <c r="AK25" s="5831">
        <v>633000</v>
      </c>
      <c r="AL25" s="3041" t="s">
        <v>1322</v>
      </c>
      <c r="AM25" s="5344">
        <v>681880</v>
      </c>
      <c r="AN25" s="157"/>
      <c r="AO25" s="157"/>
      <c r="AP25" s="5831">
        <v>683000</v>
      </c>
      <c r="AQ25" s="5831">
        <v>681880</v>
      </c>
      <c r="AR25" s="3066" t="s">
        <v>1327</v>
      </c>
      <c r="AS25" s="64">
        <f>IF(AP25=0,0,AQ25/AP25)</f>
        <v>0.9983601756954612</v>
      </c>
      <c r="AT25" s="312"/>
      <c r="AU25" s="5821">
        <v>744060</v>
      </c>
      <c r="AV25" s="3041" t="s">
        <v>1322</v>
      </c>
      <c r="AW25" s="5821">
        <v>742830</v>
      </c>
      <c r="AY25" s="312"/>
      <c r="AZ25" s="8260">
        <f>AU25/1000</f>
        <v>744.06</v>
      </c>
      <c r="BA25" s="8260">
        <f>AW25/1000</f>
        <v>742.83</v>
      </c>
      <c r="BB25" s="3066"/>
      <c r="BC25" s="64">
        <f>IF(AZ25=0,0,BA25/AZ25)</f>
        <v>0.99834690750745925</v>
      </c>
      <c r="BD25" s="8261">
        <v>817.7</v>
      </c>
      <c r="BE25" s="8262"/>
      <c r="BF25" s="8261">
        <v>814.83</v>
      </c>
    </row>
    <row r="26" spans="1:60" x14ac:dyDescent="0.35">
      <c r="A26" s="9168"/>
      <c r="B26" s="6082"/>
      <c r="C26" s="60"/>
      <c r="E26" s="155"/>
      <c r="F26" s="235"/>
      <c r="G26" s="117"/>
      <c r="H26" s="115"/>
      <c r="I26" s="64">
        <f>IF(G26=0,0,H26/G26)</f>
        <v>0</v>
      </c>
      <c r="K26" s="156"/>
      <c r="L26" s="156">
        <f>K26*I26</f>
        <v>0</v>
      </c>
      <c r="M26" s="8293"/>
      <c r="N26" s="117"/>
      <c r="O26" s="115"/>
      <c r="P26" s="5666"/>
      <c r="Q26" s="64">
        <f>IF(N26=0,0,O26/N26)</f>
        <v>0</v>
      </c>
      <c r="R26" s="312"/>
      <c r="S26" s="117"/>
      <c r="T26" s="312"/>
      <c r="U26" s="111">
        <f>S26*Q26</f>
        <v>0</v>
      </c>
      <c r="V26" s="7266"/>
      <c r="W26" s="5832"/>
      <c r="X26" s="201"/>
      <c r="Y26" s="5666"/>
      <c r="Z26" s="64">
        <f>IF(W26=0,0,X26/W26)</f>
        <v>0</v>
      </c>
      <c r="AA26" s="312"/>
      <c r="AB26" s="5833"/>
      <c r="AC26" s="312"/>
      <c r="AD26" s="1034">
        <f>AB26*Z26</f>
        <v>0</v>
      </c>
      <c r="AE26" s="157"/>
      <c r="AF26" s="5833"/>
      <c r="AG26" s="201"/>
      <c r="AH26" s="5666"/>
      <c r="AI26" s="64">
        <f>IF(AF26=0,0,AG26/AF26)</f>
        <v>0</v>
      </c>
      <c r="AJ26" s="312"/>
      <c r="AK26" s="5833"/>
      <c r="AL26" s="312"/>
      <c r="AM26" s="1034">
        <f>AK26*AD26</f>
        <v>0</v>
      </c>
      <c r="AN26" s="157"/>
      <c r="AO26" s="157"/>
      <c r="AP26" s="201"/>
      <c r="AQ26" s="201"/>
      <c r="AR26" s="5666"/>
      <c r="AS26" s="64">
        <f>IF(AP26=0,0,AQ26/AP26)</f>
        <v>0</v>
      </c>
      <c r="AT26" s="312"/>
      <c r="AU26" s="5833"/>
      <c r="AV26" s="312"/>
      <c r="AW26" s="1034">
        <f>AU26*AN26</f>
        <v>0</v>
      </c>
      <c r="AY26" s="312"/>
      <c r="AZ26" s="201"/>
      <c r="BA26" s="201"/>
      <c r="BB26" s="5666"/>
      <c r="BC26" s="64">
        <f>IF(AZ26=0,0,BA26/AZ26)</f>
        <v>0</v>
      </c>
      <c r="BD26" s="5833"/>
      <c r="BE26" s="312"/>
      <c r="BF26" s="1034"/>
    </row>
    <row r="27" spans="1:60" x14ac:dyDescent="0.35">
      <c r="A27" s="9168"/>
      <c r="B27" s="6082"/>
      <c r="C27" s="60"/>
      <c r="E27" s="155"/>
      <c r="F27" s="235"/>
      <c r="G27" s="117"/>
      <c r="H27" s="115"/>
      <c r="I27" s="64">
        <f>IF(G27=0,0,H27/G27)</f>
        <v>0</v>
      </c>
      <c r="K27" s="156"/>
      <c r="L27" s="156">
        <f>K27*I27</f>
        <v>0</v>
      </c>
      <c r="M27" s="8293"/>
      <c r="N27" s="117"/>
      <c r="O27" s="115"/>
      <c r="P27" s="5666"/>
      <c r="Q27" s="64">
        <f>IF(N27=0,0,O27/N27)</f>
        <v>0</v>
      </c>
      <c r="R27" s="312"/>
      <c r="S27" s="117"/>
      <c r="T27" s="312"/>
      <c r="U27" s="111">
        <f>S27*Q27</f>
        <v>0</v>
      </c>
      <c r="V27" s="7266"/>
      <c r="W27" s="117"/>
      <c r="X27" s="201"/>
      <c r="Y27" s="5666"/>
      <c r="Z27" s="64">
        <f>IF(W27=0,0,X27/W27)</f>
        <v>0</v>
      </c>
      <c r="AA27" s="312"/>
      <c r="AB27" s="200"/>
      <c r="AC27" s="312"/>
      <c r="AD27" s="1034">
        <f>AB27*Z27</f>
        <v>0</v>
      </c>
      <c r="AE27" s="157"/>
      <c r="AF27" s="200"/>
      <c r="AG27" s="201"/>
      <c r="AH27" s="5666"/>
      <c r="AI27" s="64">
        <f>IF(AF27=0,0,AG27/AF27)</f>
        <v>0</v>
      </c>
      <c r="AJ27" s="312"/>
      <c r="AK27" s="200"/>
      <c r="AL27" s="312"/>
      <c r="AM27" s="1034">
        <f>AK27*AD27</f>
        <v>0</v>
      </c>
      <c r="AN27" s="157"/>
      <c r="AO27" s="157"/>
      <c r="AP27" s="201"/>
      <c r="AQ27" s="201"/>
      <c r="AR27" s="5666"/>
      <c r="AS27" s="64">
        <f>IF(AP27=0,0,AQ27/AP27)</f>
        <v>0</v>
      </c>
      <c r="AT27" s="312"/>
      <c r="AU27" s="200"/>
      <c r="AV27" s="312"/>
      <c r="AW27" s="1034">
        <f>AU27*AN27</f>
        <v>0</v>
      </c>
      <c r="AY27" s="312"/>
      <c r="AZ27" s="201"/>
      <c r="BA27" s="201"/>
      <c r="BB27" s="5666"/>
      <c r="BC27" s="64">
        <f>IF(AZ27=0,0,BA27/AZ27)</f>
        <v>0</v>
      </c>
      <c r="BD27" s="200"/>
      <c r="BE27" s="312"/>
      <c r="BF27" s="1034"/>
    </row>
    <row r="28" spans="1:60" x14ac:dyDescent="0.35">
      <c r="A28" s="9168"/>
      <c r="B28" s="6082"/>
      <c r="C28" s="162"/>
      <c r="E28" s="163"/>
      <c r="F28" s="235"/>
      <c r="G28" s="164"/>
      <c r="H28" s="165"/>
      <c r="I28" s="64">
        <f>IF(G28=0,0,H28/G28)</f>
        <v>0</v>
      </c>
      <c r="K28" s="166"/>
      <c r="L28" s="166">
        <f>K28*I28</f>
        <v>0</v>
      </c>
      <c r="M28" s="7266"/>
      <c r="N28" s="164"/>
      <c r="O28" s="165"/>
      <c r="P28" s="5666"/>
      <c r="Q28" s="64">
        <f>IF(N28=0,0,O28/N28)</f>
        <v>0</v>
      </c>
      <c r="R28" s="312"/>
      <c r="S28" s="164"/>
      <c r="T28" s="312"/>
      <c r="U28" s="111">
        <f>S28*Q28</f>
        <v>0</v>
      </c>
      <c r="V28" s="7266"/>
      <c r="W28" s="164"/>
      <c r="X28" s="165"/>
      <c r="Y28" s="5666"/>
      <c r="Z28" s="64">
        <f>IF(W28=0,0,X28/W28)</f>
        <v>0</v>
      </c>
      <c r="AA28" s="312"/>
      <c r="AB28" s="164"/>
      <c r="AC28" s="312"/>
      <c r="AD28" s="1034">
        <f>AB28*Z28</f>
        <v>0</v>
      </c>
      <c r="AE28" s="157"/>
      <c r="AF28" s="164"/>
      <c r="AG28" s="165"/>
      <c r="AH28" s="5666"/>
      <c r="AI28" s="64">
        <f>IF(AF28=0,0,AG28/AF28)</f>
        <v>0</v>
      </c>
      <c r="AJ28" s="312"/>
      <c r="AK28" s="164"/>
      <c r="AL28" s="312"/>
      <c r="AM28" s="1034">
        <f>AK28*AD28</f>
        <v>0</v>
      </c>
      <c r="AN28" s="157"/>
      <c r="AO28" s="157"/>
      <c r="AP28" s="201"/>
      <c r="AQ28" s="165"/>
      <c r="AR28" s="5666"/>
      <c r="AS28" s="64">
        <f>IF(AP28=0,0,AQ28/AP28)</f>
        <v>0</v>
      </c>
      <c r="AT28" s="312"/>
      <c r="AU28" s="164"/>
      <c r="AV28" s="312"/>
      <c r="AW28" s="1034">
        <f>AU28*AN28</f>
        <v>0</v>
      </c>
      <c r="AY28" s="312"/>
      <c r="AZ28" s="201"/>
      <c r="BA28" s="165"/>
      <c r="BB28" s="5666"/>
      <c r="BC28" s="64">
        <f>IF(AZ28=0,0,BA28/AZ28)</f>
        <v>0</v>
      </c>
      <c r="BD28" s="164"/>
      <c r="BE28" s="312"/>
      <c r="BF28" s="1034"/>
    </row>
    <row r="29" spans="1:60" x14ac:dyDescent="0.35">
      <c r="A29" s="9168"/>
      <c r="B29" s="128"/>
      <c r="C29" s="87"/>
      <c r="E29" s="169">
        <f>IF(E26=0,0,(E27-E28)/E26)</f>
        <v>0</v>
      </c>
      <c r="F29" s="170"/>
      <c r="G29" s="171">
        <f>IF(G26=0,0,(G27-G28)/G26)</f>
        <v>0</v>
      </c>
      <c r="H29" s="172">
        <f>IF(H26=0,0,(H27-H28)/H26)</f>
        <v>0</v>
      </c>
      <c r="I29" s="173"/>
      <c r="J29" s="170"/>
      <c r="K29" s="174">
        <f>IF(K26=0,0,K27/K26)</f>
        <v>0</v>
      </c>
      <c r="L29" s="174">
        <f>IF(L26=0,0,L27/L26)</f>
        <v>0</v>
      </c>
      <c r="M29" s="1019"/>
      <c r="N29" s="3958"/>
      <c r="O29" s="3959"/>
      <c r="P29" s="1022"/>
      <c r="Q29" s="203"/>
      <c r="R29" s="1022"/>
      <c r="S29" s="171"/>
      <c r="T29" s="178"/>
      <c r="U29" s="169"/>
      <c r="V29" s="1019"/>
      <c r="W29" s="171"/>
      <c r="X29" s="172"/>
      <c r="Y29" s="178"/>
      <c r="Z29" s="173"/>
      <c r="AA29" s="1022"/>
      <c r="AB29" s="171"/>
      <c r="AC29" s="178"/>
      <c r="AD29" s="3049"/>
      <c r="AE29" s="1020"/>
      <c r="AF29" s="171"/>
      <c r="AG29" s="172"/>
      <c r="AH29" s="178"/>
      <c r="AI29" s="173"/>
      <c r="AJ29" s="1022"/>
      <c r="AK29" s="171"/>
      <c r="AL29" s="178"/>
      <c r="AM29" s="3049"/>
      <c r="AN29" s="1020"/>
      <c r="AO29" s="1020"/>
      <c r="AP29" s="172"/>
      <c r="AQ29" s="172"/>
      <c r="AR29" s="178"/>
      <c r="AS29" s="173"/>
      <c r="AT29" s="1022"/>
      <c r="AU29" s="171"/>
      <c r="AV29" s="178"/>
      <c r="AW29" s="3049"/>
      <c r="AY29" s="1022"/>
      <c r="AZ29" s="172"/>
      <c r="BA29" s="172"/>
      <c r="BB29" s="178"/>
      <c r="BC29" s="173"/>
      <c r="BD29" s="171"/>
      <c r="BE29" s="178"/>
      <c r="BF29" s="3049"/>
    </row>
    <row r="30" spans="1:60" x14ac:dyDescent="0.35">
      <c r="A30" s="9169"/>
      <c r="B30" s="499" t="s">
        <v>915</v>
      </c>
      <c r="C30" s="501"/>
      <c r="E30" s="502"/>
      <c r="G30" s="503"/>
      <c r="H30" s="504"/>
      <c r="I30" s="3050">
        <f>IF(G30=0,0,H30/G30)</f>
        <v>0</v>
      </c>
      <c r="K30" s="503"/>
      <c r="L30" s="503">
        <f>K30*I30</f>
        <v>0</v>
      </c>
      <c r="M30" s="919"/>
      <c r="N30" s="503"/>
      <c r="O30" s="504"/>
      <c r="P30" s="7448"/>
      <c r="Q30" s="3050">
        <f>IF(N30=0,0,O30/N30)</f>
        <v>0</v>
      </c>
      <c r="R30" s="312"/>
      <c r="S30" s="503"/>
      <c r="T30" s="3052"/>
      <c r="U30" s="502"/>
      <c r="V30" s="245"/>
      <c r="W30" s="503"/>
      <c r="X30" s="504"/>
      <c r="Y30" s="7448"/>
      <c r="Z30" s="3050">
        <f>IF(W30=0,0,X30/W30)</f>
        <v>0</v>
      </c>
      <c r="AA30" s="312"/>
      <c r="AB30" s="1024"/>
      <c r="AC30" s="3052"/>
      <c r="AD30" s="1030"/>
      <c r="AE30" s="66"/>
      <c r="AF30" s="1024"/>
      <c r="AG30" s="504"/>
      <c r="AH30" s="7448"/>
      <c r="AI30" s="3050">
        <f>IF(AF30=0,0,AG30/AF30)</f>
        <v>0</v>
      </c>
      <c r="AJ30" s="106"/>
      <c r="AK30" s="1024"/>
      <c r="AL30" s="3052"/>
      <c r="AM30" s="1030"/>
      <c r="AN30" s="66"/>
      <c r="AO30" s="66"/>
      <c r="AP30" s="7447"/>
      <c r="AQ30" s="504"/>
      <c r="AR30" s="7448"/>
      <c r="AS30" s="3050">
        <f>IF(AP30=0,0,AQ30/AP30)</f>
        <v>0</v>
      </c>
      <c r="AT30" s="106"/>
      <c r="AU30" s="1024"/>
      <c r="AV30" s="3052"/>
      <c r="AW30" s="1030"/>
      <c r="AY30" s="106"/>
      <c r="AZ30" s="1024"/>
      <c r="BA30" s="504"/>
      <c r="BB30" s="7448"/>
      <c r="BC30" s="3050">
        <f>IF(AZ30=0,0,BA30/AZ30)</f>
        <v>0</v>
      </c>
      <c r="BD30" s="1024"/>
      <c r="BE30" s="3052"/>
      <c r="BF30" s="1030"/>
    </row>
    <row r="31" spans="1:60" x14ac:dyDescent="0.35">
      <c r="A31" s="220"/>
      <c r="B31" s="220"/>
      <c r="E31" s="106"/>
      <c r="G31" s="106"/>
      <c r="H31" s="106"/>
      <c r="I31" s="221"/>
      <c r="K31" s="106"/>
      <c r="L31" s="106"/>
      <c r="M31" s="106"/>
      <c r="Q31" s="221"/>
      <c r="U31"/>
      <c r="V31" s="106"/>
      <c r="Z31" s="221"/>
      <c r="AD31"/>
      <c r="AE31" s="106"/>
      <c r="AI31" s="221"/>
      <c r="AJ31" s="106"/>
      <c r="AM31"/>
      <c r="AN31" s="106"/>
      <c r="AO31" s="106"/>
      <c r="AP31" s="7449"/>
      <c r="AS31" s="221"/>
      <c r="AT31" s="106"/>
      <c r="AW31"/>
      <c r="AY31" s="106"/>
      <c r="BC31" s="221"/>
      <c r="BF31"/>
    </row>
    <row r="32" spans="1:60" ht="27.75" customHeight="1" x14ac:dyDescent="0.35">
      <c r="A32" s="9167" t="s">
        <v>916</v>
      </c>
      <c r="B32" s="27"/>
      <c r="C32" s="42" t="s">
        <v>428</v>
      </c>
      <c r="D32" s="30"/>
      <c r="E32" s="31"/>
      <c r="F32" s="510"/>
      <c r="G32" s="31" t="s">
        <v>1303</v>
      </c>
      <c r="H32" s="31" t="s">
        <v>5348</v>
      </c>
      <c r="I32" s="224"/>
      <c r="J32" s="223"/>
      <c r="K32" s="222" t="s">
        <v>856</v>
      </c>
      <c r="L32" s="222"/>
      <c r="M32" s="8294"/>
      <c r="N32" s="6948" t="s">
        <v>5311</v>
      </c>
      <c r="O32" s="6948" t="s">
        <v>5312</v>
      </c>
      <c r="P32" s="720"/>
      <c r="Q32" s="224"/>
      <c r="R32" s="462"/>
      <c r="S32" s="6948" t="s">
        <v>5349</v>
      </c>
      <c r="T32" s="5572"/>
      <c r="U32" s="36"/>
      <c r="V32" s="8295"/>
      <c r="W32" s="6948" t="s">
        <v>5316</v>
      </c>
      <c r="X32" s="6948" t="s">
        <v>5350</v>
      </c>
      <c r="Y32" s="5834"/>
      <c r="Z32" s="224"/>
      <c r="AA32" s="462"/>
      <c r="AB32" s="7451" t="s">
        <v>5319</v>
      </c>
      <c r="AC32" s="5572"/>
      <c r="AD32" s="5835"/>
      <c r="AE32" s="8296"/>
      <c r="AF32" s="7451" t="s">
        <v>5319</v>
      </c>
      <c r="AG32" s="6948"/>
      <c r="AH32" s="5834"/>
      <c r="AI32" s="224"/>
      <c r="AJ32" s="4578"/>
      <c r="AK32" s="7451"/>
      <c r="AL32" s="5572"/>
      <c r="AM32" s="5835"/>
      <c r="AN32" s="8296"/>
      <c r="AO32" s="8296"/>
      <c r="AP32" s="7450"/>
      <c r="AQ32" s="6948"/>
      <c r="AR32" s="5834"/>
      <c r="AS32" s="224"/>
      <c r="AT32" s="4578"/>
      <c r="AU32" s="7451"/>
      <c r="AV32" s="5572"/>
      <c r="AW32" s="5835"/>
      <c r="AY32" s="4578"/>
      <c r="AZ32" s="7451" t="s">
        <v>5351</v>
      </c>
      <c r="BA32" s="6948" t="s">
        <v>5322</v>
      </c>
      <c r="BB32" s="5834"/>
      <c r="BC32" s="224"/>
      <c r="BD32" s="8263" t="s">
        <v>1453</v>
      </c>
      <c r="BE32" s="5572"/>
      <c r="BF32" s="5835" t="s">
        <v>5352</v>
      </c>
    </row>
    <row r="33" spans="1:60" ht="43.5" x14ac:dyDescent="0.35">
      <c r="A33" s="9168"/>
      <c r="B33" s="141" t="s">
        <v>925</v>
      </c>
      <c r="C33" s="140"/>
      <c r="D33" s="143"/>
      <c r="E33" s="227"/>
      <c r="F33" s="143"/>
      <c r="G33" s="102"/>
      <c r="H33" s="103"/>
      <c r="I33" s="228"/>
      <c r="J33" s="143"/>
      <c r="K33" s="102"/>
      <c r="L33" s="102"/>
      <c r="M33" s="245"/>
      <c r="N33" s="102"/>
      <c r="O33" s="103"/>
      <c r="Q33" s="228"/>
      <c r="S33" s="245"/>
      <c r="U33" s="245"/>
      <c r="V33" s="245"/>
      <c r="W33" s="102"/>
      <c r="X33" s="103" t="s">
        <v>5353</v>
      </c>
      <c r="Y33" s="1147"/>
      <c r="Z33" s="228"/>
      <c r="AB33" s="102"/>
      <c r="AC33" s="348"/>
      <c r="AD33" s="105"/>
      <c r="AE33" s="66"/>
      <c r="AF33" s="102"/>
      <c r="AG33" s="103"/>
      <c r="AH33" s="1147"/>
      <c r="AI33" s="228"/>
      <c r="AJ33" s="106"/>
      <c r="AK33" s="5667" t="s">
        <v>5354</v>
      </c>
      <c r="AL33" s="348" t="s">
        <v>5355</v>
      </c>
      <c r="AM33" s="105"/>
      <c r="AN33" s="66"/>
      <c r="AO33" s="66"/>
      <c r="AP33" s="7452" t="s">
        <v>5354</v>
      </c>
      <c r="AQ33" s="103"/>
      <c r="AR33" s="1147"/>
      <c r="AS33" s="228"/>
      <c r="AT33" s="106"/>
      <c r="AU33" s="5667" t="s">
        <v>5354</v>
      </c>
      <c r="AV33" s="348" t="s">
        <v>5356</v>
      </c>
      <c r="AW33" s="105"/>
      <c r="AY33" s="106"/>
      <c r="AZ33" s="14" t="s">
        <v>5357</v>
      </c>
      <c r="BA33" s="5665" t="s">
        <v>5358</v>
      </c>
      <c r="BB33" s="1147"/>
      <c r="BC33" s="228"/>
      <c r="BD33" s="2980"/>
      <c r="BE33" s="348"/>
      <c r="BF33" s="148"/>
    </row>
    <row r="34" spans="1:60" ht="19.5" customHeight="1" x14ac:dyDescent="0.35">
      <c r="A34" s="9168"/>
      <c r="B34" s="139" t="s">
        <v>5359</v>
      </c>
      <c r="C34" s="60"/>
      <c r="E34" s="111"/>
      <c r="G34" s="112">
        <v>366815.01804</v>
      </c>
      <c r="H34" s="113">
        <f>(323131154540+37102378000)/1000000</f>
        <v>360233.53253999999</v>
      </c>
      <c r="I34" s="64">
        <f>IF(G34=0,0,H34/G34)</f>
        <v>0.98205775342796264</v>
      </c>
      <c r="K34" s="112">
        <v>370742.56105999998</v>
      </c>
      <c r="L34" s="112">
        <f t="shared" ref="L34:L40" si="10">K34*I34</f>
        <v>364090.60661471286</v>
      </c>
      <c r="M34" s="919"/>
      <c r="N34" s="112">
        <v>333166.56105999998</v>
      </c>
      <c r="O34" s="113">
        <v>340887.29070200003</v>
      </c>
      <c r="P34" s="5666"/>
      <c r="Q34" s="64">
        <f t="shared" ref="Q34:Q44" si="11">IF(N34=0,0,O34/N34)</f>
        <v>1.0231737831594978</v>
      </c>
      <c r="R34" s="312"/>
      <c r="S34" s="112">
        <v>336428.29399999999</v>
      </c>
      <c r="T34" s="312" t="s">
        <v>5360</v>
      </c>
      <c r="U34" s="112">
        <f t="shared" ref="U34:U40" si="12">S34*Q34</f>
        <v>344224.61033387575</v>
      </c>
      <c r="V34" s="245"/>
      <c r="W34" s="3164">
        <v>336428.29399999999</v>
      </c>
      <c r="X34" s="5580">
        <f>X66+111636.817</f>
        <v>333041.85700445337</v>
      </c>
      <c r="Y34" s="7442" t="s">
        <v>5361</v>
      </c>
      <c r="Z34" s="64">
        <f>IF(W34=0,0,X34/W34)</f>
        <v>0.98993414924980527</v>
      </c>
      <c r="AA34" s="312"/>
      <c r="AB34" s="3015">
        <v>362025.52899999998</v>
      </c>
      <c r="AC34" s="3041"/>
      <c r="AD34" s="5344">
        <f t="shared" ref="AD34:AD39" si="13">AB34*Z34</f>
        <v>358381.43405732571</v>
      </c>
      <c r="AE34" s="66"/>
      <c r="AF34" s="3015">
        <v>362025.52899999998</v>
      </c>
      <c r="AG34" s="5580">
        <f>293247.971284+87107.960427+6500.35208</f>
        <v>386856.28379100002</v>
      </c>
      <c r="AH34" s="7442" t="s">
        <v>5361</v>
      </c>
      <c r="AI34" s="64">
        <f>IF(AF34=0,0,AG34/AF34)</f>
        <v>1.068588408280456</v>
      </c>
      <c r="AJ34" s="106"/>
      <c r="AK34" s="3015">
        <v>404184.33505599998</v>
      </c>
      <c r="AL34" s="312" t="s">
        <v>5362</v>
      </c>
      <c r="AM34" s="5344">
        <f t="shared" ref="AM34:AM39" si="14">AK34*AI34</f>
        <v>431906.69524938555</v>
      </c>
      <c r="AN34" s="66"/>
      <c r="AO34" s="66"/>
      <c r="AP34" s="3015">
        <v>404184.33505599998</v>
      </c>
      <c r="AQ34" s="5580">
        <f>72641+5510+322011</f>
        <v>400162</v>
      </c>
      <c r="AR34" s="7442" t="s">
        <v>5361</v>
      </c>
      <c r="AS34" s="64">
        <f t="shared" ref="AS34:AS44" si="15">IF(AP34=0,0,AQ34/AP34)</f>
        <v>0.99004826583533312</v>
      </c>
      <c r="AT34" s="106"/>
      <c r="AU34" s="5580">
        <v>429583</v>
      </c>
      <c r="AV34" s="312" t="s">
        <v>1096</v>
      </c>
      <c r="AW34" s="5344">
        <f t="shared" ref="AW34:AW39" si="16">AU34*AS34</f>
        <v>425307.9041823399</v>
      </c>
      <c r="AY34" s="106"/>
      <c r="AZ34" s="8264">
        <v>428.54328890300002</v>
      </c>
      <c r="BA34" s="8265">
        <f>2.89996+66.30748+BA66</f>
        <v>424.45817882999995</v>
      </c>
      <c r="BB34" s="7442"/>
      <c r="BC34" s="64">
        <f>IF(AZ34=0,0,BA34/AZ34)</f>
        <v>0.99046745059651431</v>
      </c>
      <c r="BD34" s="8266"/>
      <c r="BE34" s="8267"/>
      <c r="BF34" s="8268"/>
      <c r="BG34" s="972"/>
      <c r="BH34" s="972"/>
    </row>
    <row r="35" spans="1:60" x14ac:dyDescent="0.35">
      <c r="A35" s="9168"/>
      <c r="B35" s="139" t="s">
        <v>5363</v>
      </c>
      <c r="C35" s="60"/>
      <c r="E35" s="111"/>
      <c r="G35" s="112"/>
      <c r="H35" s="113"/>
      <c r="I35" s="64"/>
      <c r="K35" s="112"/>
      <c r="L35" s="112"/>
      <c r="M35" s="919"/>
      <c r="N35" s="112">
        <v>37576</v>
      </c>
      <c r="O35" s="113">
        <v>37028.113141000002</v>
      </c>
      <c r="P35" s="5666"/>
      <c r="Q35" s="64">
        <f t="shared" si="11"/>
        <v>0.98541923411219934</v>
      </c>
      <c r="R35" s="312"/>
      <c r="S35" s="112">
        <v>40480.82</v>
      </c>
      <c r="T35" s="312" t="s">
        <v>5360</v>
      </c>
      <c r="U35" s="112">
        <f t="shared" si="12"/>
        <v>39890.578640633801</v>
      </c>
      <c r="V35" s="245"/>
      <c r="W35" s="3164">
        <v>41737.82</v>
      </c>
      <c r="X35" s="5580">
        <f>W35*Z35</f>
        <v>36487.628971855258</v>
      </c>
      <c r="Y35" s="7442" t="s">
        <v>5364</v>
      </c>
      <c r="Z35" s="5836">
        <f>700.12/800.86</f>
        <v>0.87421022400919013</v>
      </c>
      <c r="AA35" s="312"/>
      <c r="AB35" s="3015">
        <v>40764.608999999997</v>
      </c>
      <c r="AC35" s="3016"/>
      <c r="AD35" s="5344">
        <f t="shared" si="13"/>
        <v>35636.837965537045</v>
      </c>
      <c r="AE35" s="66"/>
      <c r="AF35" s="3015">
        <v>40764.608999999997</v>
      </c>
      <c r="AG35" s="5580">
        <f>4858.159443+3915.355</f>
        <v>8773.514443</v>
      </c>
      <c r="AH35" s="7442" t="s">
        <v>5364</v>
      </c>
      <c r="AI35" s="5836">
        <f>700.12/800.86</f>
        <v>0.87421022400919013</v>
      </c>
      <c r="AJ35" s="106"/>
      <c r="AK35" s="3015">
        <v>29595.336648</v>
      </c>
      <c r="AL35" s="312" t="s">
        <v>5362</v>
      </c>
      <c r="AM35" s="5344">
        <f t="shared" si="14"/>
        <v>25872.545880675476</v>
      </c>
      <c r="AN35" s="66"/>
      <c r="AO35" s="66"/>
      <c r="AP35" s="3015">
        <v>29595.336648</v>
      </c>
      <c r="AQ35" s="5580">
        <f>7426+3699</f>
        <v>11125</v>
      </c>
      <c r="AR35" s="7442" t="s">
        <v>5364</v>
      </c>
      <c r="AS35" s="64">
        <f t="shared" si="15"/>
        <v>0.37590381661537231</v>
      </c>
      <c r="AT35" s="106"/>
      <c r="AU35" s="5580">
        <v>45948</v>
      </c>
      <c r="AV35" s="312" t="s">
        <v>1096</v>
      </c>
      <c r="AW35" s="5344">
        <f t="shared" si="16"/>
        <v>17272.028565843128</v>
      </c>
      <c r="AY35" s="106"/>
      <c r="AZ35" s="8264">
        <v>45.280474820999999</v>
      </c>
      <c r="BA35" s="8265">
        <f>2.94542+3.6089</f>
        <v>6.5543200000000006</v>
      </c>
      <c r="BB35" s="7442"/>
      <c r="BC35" s="64">
        <f t="shared" ref="BC35:BC44" si="17">IF(AZ35=0,0,BA35/AZ35)</f>
        <v>0.14474936550268383</v>
      </c>
      <c r="BD35" s="8266"/>
      <c r="BE35" s="8269"/>
      <c r="BF35" s="8268"/>
    </row>
    <row r="36" spans="1:60" x14ac:dyDescent="0.35">
      <c r="A36" s="9168"/>
      <c r="B36" s="139" t="s">
        <v>5365</v>
      </c>
      <c r="C36" s="60"/>
      <c r="E36" s="155"/>
      <c r="G36" s="112">
        <v>30545.520059999999</v>
      </c>
      <c r="H36" s="115">
        <f>(6897962060+7064679670+1364685000+33620000000)/1000000</f>
        <v>48947.326730000001</v>
      </c>
      <c r="I36" s="64">
        <f>IF(G36=0,0,H36/G36)</f>
        <v>1.6024388071918132</v>
      </c>
      <c r="K36" s="112">
        <v>30373.029439999998</v>
      </c>
      <c r="L36" s="112">
        <f t="shared" si="10"/>
        <v>48670.921066635427</v>
      </c>
      <c r="M36" s="919"/>
      <c r="N36" s="112">
        <v>16294.02944</v>
      </c>
      <c r="O36" s="115">
        <v>16405.849221</v>
      </c>
      <c r="P36" s="5666"/>
      <c r="Q36" s="64">
        <f t="shared" si="11"/>
        <v>1.0068626229878717</v>
      </c>
      <c r="R36" s="312"/>
      <c r="S36" s="112">
        <v>14913.734</v>
      </c>
      <c r="T36" s="312" t="s">
        <v>5366</v>
      </c>
      <c r="U36" s="112">
        <f t="shared" si="12"/>
        <v>15016.081333783404</v>
      </c>
      <c r="V36" s="245"/>
      <c r="W36" s="5365">
        <v>15888.418958</v>
      </c>
      <c r="X36" s="3546">
        <f>X67+9076.864</f>
        <v>17009.743198707405</v>
      </c>
      <c r="Y36" s="7442" t="s">
        <v>5367</v>
      </c>
      <c r="Z36" s="64">
        <f t="shared" ref="Z36:Z44" si="18">IF(W36=0,0,X36/W36)</f>
        <v>1.0705749416396655</v>
      </c>
      <c r="AA36" s="312"/>
      <c r="AB36" s="3015">
        <v>15283.999</v>
      </c>
      <c r="AC36" s="312"/>
      <c r="AD36" s="5344">
        <f>AB36*Z36</f>
        <v>16362.666337445706</v>
      </c>
      <c r="AE36" s="66"/>
      <c r="AF36" s="3015">
        <v>15283.999</v>
      </c>
      <c r="AG36" s="3546">
        <f>3915.355+5073.16718+3561.9705</f>
        <v>12550.492679999999</v>
      </c>
      <c r="AH36" s="7442" t="s">
        <v>5367</v>
      </c>
      <c r="AI36" s="64">
        <f>IF(AF36=0,0,AG36/AF36)</f>
        <v>0.82115241436485309</v>
      </c>
      <c r="AJ36" s="106"/>
      <c r="AK36" s="3015">
        <v>21084.163075</v>
      </c>
      <c r="AL36" s="312" t="s">
        <v>5368</v>
      </c>
      <c r="AM36" s="5344">
        <f t="shared" si="14"/>
        <v>17313.311413898537</v>
      </c>
      <c r="AN36" s="66"/>
      <c r="AO36" s="66"/>
      <c r="AP36" s="3015">
        <v>21084.163075</v>
      </c>
      <c r="AQ36" s="3546">
        <f>6987+2070+11657</f>
        <v>20714</v>
      </c>
      <c r="AR36" s="7442" t="s">
        <v>5367</v>
      </c>
      <c r="AS36" s="64">
        <f t="shared" si="15"/>
        <v>0.98244354904279263</v>
      </c>
      <c r="AT36" s="106"/>
      <c r="AU36" s="5580">
        <v>28412</v>
      </c>
      <c r="AV36" s="312" t="s">
        <v>5369</v>
      </c>
      <c r="AW36" s="5344">
        <f t="shared" si="16"/>
        <v>27913.186115403823</v>
      </c>
      <c r="AY36" s="106"/>
      <c r="AZ36" s="8264">
        <v>28.492129713000001</v>
      </c>
      <c r="BA36" s="8270">
        <f>6.94364+3.01701+BA67</f>
        <v>28.428394004000001</v>
      </c>
      <c r="BB36" s="3969"/>
      <c r="BC36" s="64">
        <f t="shared" si="17"/>
        <v>0.99776304159632834</v>
      </c>
      <c r="BD36" s="8271"/>
      <c r="BE36" s="8272"/>
      <c r="BF36" s="8268"/>
      <c r="BG36" s="972"/>
      <c r="BH36" s="972"/>
    </row>
    <row r="37" spans="1:60" x14ac:dyDescent="0.35">
      <c r="A37" s="9168"/>
      <c r="B37" s="139" t="s">
        <v>5370</v>
      </c>
      <c r="C37" s="60"/>
      <c r="E37" s="163"/>
      <c r="G37" s="112"/>
      <c r="H37" s="243"/>
      <c r="I37" s="64"/>
      <c r="K37" s="112"/>
      <c r="L37" s="112"/>
      <c r="M37" s="919"/>
      <c r="N37" s="112">
        <v>14079</v>
      </c>
      <c r="O37" s="243">
        <v>13160.230516</v>
      </c>
      <c r="P37" s="5666"/>
      <c r="Q37" s="64">
        <f t="shared" si="11"/>
        <v>0.93474185069962357</v>
      </c>
      <c r="R37" s="312"/>
      <c r="S37" s="112">
        <v>16911.648000000001</v>
      </c>
      <c r="T37" s="312" t="s">
        <v>5366</v>
      </c>
      <c r="U37" s="112">
        <f t="shared" si="12"/>
        <v>15808.025149900588</v>
      </c>
      <c r="V37" s="245"/>
      <c r="W37" s="3166">
        <v>17083.648000000001</v>
      </c>
      <c r="X37" s="5563">
        <f>W37*Z37</f>
        <v>14934.699744974154</v>
      </c>
      <c r="Y37" s="7442" t="s">
        <v>5364</v>
      </c>
      <c r="Z37" s="5836">
        <f>700.12/800.86</f>
        <v>0.87421022400919013</v>
      </c>
      <c r="AA37" s="312"/>
      <c r="AB37" s="3015">
        <v>21187.645</v>
      </c>
      <c r="AC37" s="312"/>
      <c r="AD37" s="5344">
        <f t="shared" si="13"/>
        <v>18522.455881677197</v>
      </c>
      <c r="AE37" s="66"/>
      <c r="AF37" s="3015">
        <v>21187.645</v>
      </c>
      <c r="AG37" s="5563">
        <f>1763.173171+2800</f>
        <v>4563.1731710000004</v>
      </c>
      <c r="AH37" s="7442" t="s">
        <v>5364</v>
      </c>
      <c r="AI37" s="5836">
        <f>700.12/800.86</f>
        <v>0.87421022400919013</v>
      </c>
      <c r="AJ37" s="106"/>
      <c r="AK37" s="3015">
        <v>17841.454975000001</v>
      </c>
      <c r="AL37" s="312" t="s">
        <v>5368</v>
      </c>
      <c r="AM37" s="5344">
        <f t="shared" si="14"/>
        <v>15597.18235034463</v>
      </c>
      <c r="AN37" s="66"/>
      <c r="AO37" s="66"/>
      <c r="AP37" s="3015">
        <v>17841.454975000001</v>
      </c>
      <c r="AQ37" s="5563">
        <f>1289+2450</f>
        <v>3739</v>
      </c>
      <c r="AR37" s="7442" t="s">
        <v>5364</v>
      </c>
      <c r="AS37" s="64">
        <f t="shared" si="15"/>
        <v>0.20956811006945356</v>
      </c>
      <c r="AT37" s="106"/>
      <c r="AU37" s="5580">
        <v>20244</v>
      </c>
      <c r="AV37" s="312" t="s">
        <v>5369</v>
      </c>
      <c r="AW37" s="5344">
        <f t="shared" si="16"/>
        <v>4242.4968202460177</v>
      </c>
      <c r="AY37" s="106"/>
      <c r="AZ37" s="8264">
        <v>19.500288407999999</v>
      </c>
      <c r="BA37" s="8273">
        <f>1.33625+1.20456</f>
        <v>2.54081</v>
      </c>
      <c r="BB37" s="7442"/>
      <c r="BC37" s="64">
        <f t="shared" si="17"/>
        <v>0.13029602161974344</v>
      </c>
      <c r="BD37" s="8271"/>
      <c r="BE37" s="3789"/>
      <c r="BF37" s="8268"/>
    </row>
    <row r="38" spans="1:60" x14ac:dyDescent="0.35">
      <c r="A38" s="9168"/>
      <c r="B38" s="139" t="s">
        <v>5371</v>
      </c>
      <c r="C38" s="60"/>
      <c r="E38" s="163"/>
      <c r="G38" s="112">
        <v>118017.681</v>
      </c>
      <c r="H38" s="243">
        <f>(547937000+2991286000+93258458000+12569998000)/1000000</f>
        <v>109367.679</v>
      </c>
      <c r="I38" s="64">
        <f>IF(G38=0,0,H38/G38)</f>
        <v>0.92670588062139614</v>
      </c>
      <c r="K38" s="112">
        <v>130197.48244000001</v>
      </c>
      <c r="L38" s="112">
        <f t="shared" si="10"/>
        <v>120654.77261924896</v>
      </c>
      <c r="M38" s="919"/>
      <c r="N38" s="112">
        <v>96345.482440000007</v>
      </c>
      <c r="O38" s="243">
        <v>111752.707169</v>
      </c>
      <c r="P38" s="5666"/>
      <c r="Q38" s="64">
        <f t="shared" si="11"/>
        <v>1.1599164209758872</v>
      </c>
      <c r="R38" s="312"/>
      <c r="S38" s="112">
        <v>116618.7153</v>
      </c>
      <c r="T38" s="312" t="s">
        <v>5372</v>
      </c>
      <c r="U38" s="112">
        <f t="shared" si="12"/>
        <v>135267.96286958194</v>
      </c>
      <c r="V38" s="245"/>
      <c r="W38" s="3166">
        <v>125402.34236</v>
      </c>
      <c r="X38" s="5563">
        <f>X68+128890.742</f>
        <v>129448.70046313482</v>
      </c>
      <c r="Y38" s="7442" t="s">
        <v>5367</v>
      </c>
      <c r="Z38" s="64">
        <f t="shared" si="18"/>
        <v>1.0322670057591006</v>
      </c>
      <c r="AA38" s="312"/>
      <c r="AB38" s="3015">
        <v>126630.97584</v>
      </c>
      <c r="AC38" s="312"/>
      <c r="AD38" s="5344">
        <f t="shared" si="13"/>
        <v>130716.9782667098</v>
      </c>
      <c r="AE38" s="66"/>
      <c r="AF38" s="3015">
        <v>126630.97584</v>
      </c>
      <c r="AG38" s="5563">
        <f>533.317204+3289.986445+128135.942855</f>
        <v>131959.24650400001</v>
      </c>
      <c r="AH38" s="7442" t="s">
        <v>5367</v>
      </c>
      <c r="AI38" s="64">
        <f>IF(AF38=0,0,AG38/AF38)</f>
        <v>1.0420771507812776</v>
      </c>
      <c r="AJ38" s="106"/>
      <c r="AK38" s="3015">
        <v>154107.36696099999</v>
      </c>
      <c r="AL38" s="312" t="s">
        <v>5373</v>
      </c>
      <c r="AM38" s="5344">
        <f t="shared" si="14"/>
        <v>160591.76587712366</v>
      </c>
      <c r="AN38" s="66"/>
      <c r="AO38" s="66"/>
      <c r="AP38" s="3015">
        <v>154107.36696099999</v>
      </c>
      <c r="AQ38" s="5563">
        <f>3623+171986+595</f>
        <v>176204</v>
      </c>
      <c r="AR38" s="7442" t="s">
        <v>5367</v>
      </c>
      <c r="AS38" s="64">
        <f t="shared" si="15"/>
        <v>1.1433846640478389</v>
      </c>
      <c r="AT38" s="106"/>
      <c r="AU38" s="5580">
        <v>168702</v>
      </c>
      <c r="AV38" s="312" t="s">
        <v>4255</v>
      </c>
      <c r="AW38" s="5344">
        <f t="shared" si="16"/>
        <v>192891.27959419851</v>
      </c>
      <c r="AY38" s="106"/>
      <c r="AZ38" s="8264">
        <v>176.243299183</v>
      </c>
      <c r="BA38" s="8273">
        <f>4.0081+178.54236+BA68</f>
        <v>183.08585000000002</v>
      </c>
      <c r="BB38" s="7442"/>
      <c r="BC38" s="64">
        <f t="shared" si="17"/>
        <v>1.0388244594189942</v>
      </c>
      <c r="BD38" s="8266"/>
      <c r="BE38" s="3789"/>
      <c r="BF38" s="8268"/>
    </row>
    <row r="39" spans="1:60" x14ac:dyDescent="0.35">
      <c r="A39" s="9168"/>
      <c r="B39" s="139" t="s">
        <v>5374</v>
      </c>
      <c r="C39" s="60"/>
      <c r="E39" s="163"/>
      <c r="G39" s="114"/>
      <c r="H39" s="243"/>
      <c r="I39" s="64"/>
      <c r="K39" s="114"/>
      <c r="L39" s="114"/>
      <c r="M39" s="919"/>
      <c r="N39" s="114">
        <v>33852</v>
      </c>
      <c r="O39" s="243">
        <v>32677.518982000001</v>
      </c>
      <c r="P39" s="5666"/>
      <c r="Q39" s="64">
        <f t="shared" si="11"/>
        <v>0.96530541716885265</v>
      </c>
      <c r="R39" s="312"/>
      <c r="S39" s="114">
        <v>32622</v>
      </c>
      <c r="T39" s="312" t="s">
        <v>5372</v>
      </c>
      <c r="U39" s="112">
        <f t="shared" si="12"/>
        <v>31490.19331888231</v>
      </c>
      <c r="V39" s="245"/>
      <c r="W39" s="3166">
        <v>38283</v>
      </c>
      <c r="X39" s="5563">
        <f>W39*Z39</f>
        <v>33467.390005743822</v>
      </c>
      <c r="Y39" s="7442" t="s">
        <v>5364</v>
      </c>
      <c r="Z39" s="5836">
        <f>700.12/800.86</f>
        <v>0.87421022400919013</v>
      </c>
      <c r="AA39" s="312"/>
      <c r="AB39" s="3013">
        <v>35372</v>
      </c>
      <c r="AC39" s="312"/>
      <c r="AD39" s="5344">
        <f t="shared" si="13"/>
        <v>30922.564043653074</v>
      </c>
      <c r="AE39" s="66"/>
      <c r="AF39" s="3013">
        <v>35372</v>
      </c>
      <c r="AG39" s="5563">
        <f>1179.16568+17984.634652</f>
        <v>19163.800331999999</v>
      </c>
      <c r="AH39" s="7442" t="s">
        <v>5364</v>
      </c>
      <c r="AI39" s="5836">
        <f>700.12/800.86</f>
        <v>0.87421022400919013</v>
      </c>
      <c r="AJ39" s="106"/>
      <c r="AK39" s="3013">
        <v>43734.430544000003</v>
      </c>
      <c r="AL39" s="312" t="s">
        <v>5373</v>
      </c>
      <c r="AM39" s="5344">
        <f t="shared" si="14"/>
        <v>38233.086322784606</v>
      </c>
      <c r="AN39" s="66"/>
      <c r="AO39" s="66"/>
      <c r="AP39" s="3015">
        <v>43734.430544000003</v>
      </c>
      <c r="AQ39" s="5563">
        <f>3902+13675</f>
        <v>17577</v>
      </c>
      <c r="AR39" s="7442" t="s">
        <v>5364</v>
      </c>
      <c r="AS39" s="64">
        <f t="shared" si="15"/>
        <v>0.40190302654829962</v>
      </c>
      <c r="AT39" s="106"/>
      <c r="AU39" s="5580">
        <v>37518</v>
      </c>
      <c r="AV39" s="312" t="s">
        <v>4255</v>
      </c>
      <c r="AW39" s="5344">
        <f t="shared" si="16"/>
        <v>15078.597750039105</v>
      </c>
      <c r="AY39" s="106"/>
      <c r="AZ39" s="8264">
        <v>30.179167602</v>
      </c>
      <c r="BA39" s="8273">
        <f>1.84677+22.05412</f>
        <v>23.90089</v>
      </c>
      <c r="BB39" s="7442"/>
      <c r="BC39" s="64">
        <f t="shared" si="17"/>
        <v>0.79196650865930673</v>
      </c>
      <c r="BD39" s="8266"/>
      <c r="BE39" s="3789"/>
      <c r="BF39" s="8268"/>
    </row>
    <row r="40" spans="1:60" x14ac:dyDescent="0.35">
      <c r="A40" s="9168"/>
      <c r="B40" s="232"/>
      <c r="C40" s="60"/>
      <c r="E40" s="163"/>
      <c r="G40" s="242"/>
      <c r="H40" s="243"/>
      <c r="I40" s="64">
        <f>IF(G40=0,0,H40/G40)</f>
        <v>0</v>
      </c>
      <c r="K40" s="242"/>
      <c r="L40" s="242">
        <f t="shared" si="10"/>
        <v>0</v>
      </c>
      <c r="M40" s="919"/>
      <c r="N40" s="242"/>
      <c r="O40" s="243"/>
      <c r="P40" s="5666"/>
      <c r="Q40" s="64">
        <f t="shared" si="11"/>
        <v>0</v>
      </c>
      <c r="R40" s="312"/>
      <c r="S40" s="242"/>
      <c r="T40" s="312"/>
      <c r="U40" s="112">
        <f t="shared" si="12"/>
        <v>0</v>
      </c>
      <c r="V40" s="245"/>
      <c r="W40" s="242"/>
      <c r="X40" s="243"/>
      <c r="Y40" s="5666"/>
      <c r="Z40" s="64">
        <f t="shared" si="18"/>
        <v>0</v>
      </c>
      <c r="AA40" s="312"/>
      <c r="AB40" s="164"/>
      <c r="AC40" s="312"/>
      <c r="AD40" s="1034"/>
      <c r="AE40" s="66"/>
      <c r="AF40" s="164"/>
      <c r="AG40" s="243"/>
      <c r="AH40" s="5666"/>
      <c r="AI40" s="64">
        <f>IF(AF40=0,0,AG40/AF40)</f>
        <v>0</v>
      </c>
      <c r="AJ40" s="106"/>
      <c r="AK40" s="164"/>
      <c r="AL40" s="312"/>
      <c r="AM40" s="1034"/>
      <c r="AN40" s="66"/>
      <c r="AO40" s="66"/>
      <c r="AP40" s="1034"/>
      <c r="AQ40" s="243"/>
      <c r="AR40" s="5666"/>
      <c r="AS40" s="64">
        <f t="shared" si="15"/>
        <v>0</v>
      </c>
      <c r="AT40" s="106"/>
      <c r="AU40" s="164"/>
      <c r="AV40" s="312"/>
      <c r="AW40" s="1034"/>
      <c r="AY40" s="106"/>
      <c r="AZ40" s="1034"/>
      <c r="BA40" s="243"/>
      <c r="BB40" s="5666"/>
      <c r="BC40" s="64">
        <f t="shared" si="17"/>
        <v>0</v>
      </c>
      <c r="BD40" s="8274"/>
      <c r="BE40" s="8275"/>
      <c r="BF40" s="8276"/>
    </row>
    <row r="41" spans="1:60" x14ac:dyDescent="0.35">
      <c r="A41" s="9168"/>
      <c r="B41" s="141" t="s">
        <v>940</v>
      </c>
      <c r="C41" s="60"/>
      <c r="D41" s="143"/>
      <c r="E41" s="168"/>
      <c r="F41" s="143"/>
      <c r="G41" s="245"/>
      <c r="H41" s="106"/>
      <c r="I41" s="246"/>
      <c r="J41" s="143"/>
      <c r="K41" s="245"/>
      <c r="L41" s="245"/>
      <c r="M41" s="245"/>
      <c r="N41" s="245"/>
      <c r="O41" s="106"/>
      <c r="P41" s="253"/>
      <c r="Q41" s="246">
        <f t="shared" si="11"/>
        <v>0</v>
      </c>
      <c r="R41" s="254"/>
      <c r="S41" s="245"/>
      <c r="T41" s="254"/>
      <c r="U41" s="245"/>
      <c r="V41" s="245"/>
      <c r="W41" s="245"/>
      <c r="X41" s="106"/>
      <c r="Y41" s="106"/>
      <c r="Z41" s="246">
        <f t="shared" si="18"/>
        <v>0</v>
      </c>
      <c r="AA41" s="254"/>
      <c r="AB41" s="245"/>
      <c r="AC41" s="254"/>
      <c r="AD41" s="66"/>
      <c r="AE41" s="66"/>
      <c r="AF41" s="245"/>
      <c r="AG41" s="106"/>
      <c r="AH41" s="106"/>
      <c r="AI41" s="246">
        <f>IF(AF41=0,0,AG41/AF41)</f>
        <v>0</v>
      </c>
      <c r="AJ41" s="106"/>
      <c r="AK41" s="245"/>
      <c r="AL41" s="254"/>
      <c r="AM41" s="66"/>
      <c r="AN41" s="66"/>
      <c r="AO41" s="66"/>
      <c r="AP41" s="66"/>
      <c r="AQ41" s="106"/>
      <c r="AR41" s="106"/>
      <c r="AS41" s="246">
        <f t="shared" si="15"/>
        <v>0</v>
      </c>
      <c r="AT41" s="106"/>
      <c r="AU41" s="245"/>
      <c r="AV41" s="254"/>
      <c r="AW41" s="66"/>
      <c r="AY41" s="106"/>
      <c r="AZ41" s="66"/>
      <c r="BA41" s="106"/>
      <c r="BB41" s="106"/>
      <c r="BC41" s="246">
        <f t="shared" si="17"/>
        <v>0</v>
      </c>
      <c r="BD41" s="245"/>
      <c r="BE41" s="254"/>
      <c r="BF41" s="66"/>
    </row>
    <row r="42" spans="1:60" x14ac:dyDescent="0.35">
      <c r="A42" s="9168"/>
      <c r="B42" s="232" t="s">
        <v>5375</v>
      </c>
      <c r="C42" s="60"/>
      <c r="E42" s="111"/>
      <c r="G42" s="112"/>
      <c r="H42" s="113"/>
      <c r="I42" s="64">
        <f>IF(G42=0,0,H42/G42)</f>
        <v>0</v>
      </c>
      <c r="K42" s="112"/>
      <c r="L42" s="112">
        <f>K42*I42</f>
        <v>0</v>
      </c>
      <c r="M42" s="919"/>
      <c r="N42" s="112"/>
      <c r="O42" s="113"/>
      <c r="P42" s="5666"/>
      <c r="Q42" s="64">
        <f t="shared" si="11"/>
        <v>0</v>
      </c>
      <c r="R42" s="312"/>
      <c r="S42" s="112"/>
      <c r="T42" s="312"/>
      <c r="U42" s="112">
        <f>S42*Q42</f>
        <v>0</v>
      </c>
      <c r="V42" s="245"/>
      <c r="W42" s="112"/>
      <c r="X42" s="113"/>
      <c r="Y42" s="5666"/>
      <c r="Z42" s="64">
        <f t="shared" si="18"/>
        <v>0</v>
      </c>
      <c r="AA42" s="312"/>
      <c r="AB42" s="248"/>
      <c r="AC42" s="312"/>
      <c r="AD42" s="1034">
        <f>AB42*Z42</f>
        <v>0</v>
      </c>
      <c r="AE42" s="66"/>
      <c r="AF42" s="248"/>
      <c r="AG42" s="113"/>
      <c r="AH42" s="5666"/>
      <c r="AI42" s="64">
        <f>IF(AF42=0,0,AG42/AF42)</f>
        <v>0</v>
      </c>
      <c r="AJ42" s="106"/>
      <c r="AK42" s="248"/>
      <c r="AL42" s="312"/>
      <c r="AM42" s="1034">
        <f>AK42*AD42</f>
        <v>0</v>
      </c>
      <c r="AN42" s="66"/>
      <c r="AO42" s="66"/>
      <c r="AP42" s="1034"/>
      <c r="AQ42" s="113"/>
      <c r="AR42" s="5666"/>
      <c r="AS42" s="64">
        <f t="shared" si="15"/>
        <v>0</v>
      </c>
      <c r="AT42" s="106"/>
      <c r="AU42" s="248"/>
      <c r="AV42" s="312"/>
      <c r="AW42" s="1034">
        <f>AU42*AN42</f>
        <v>0</v>
      </c>
      <c r="AY42" s="106"/>
      <c r="AZ42" s="1034"/>
      <c r="BA42" s="3786"/>
      <c r="BB42" s="5666"/>
      <c r="BC42" s="64">
        <f t="shared" si="17"/>
        <v>0</v>
      </c>
      <c r="BD42" s="8277"/>
      <c r="BE42" s="6362"/>
      <c r="BF42" s="8276"/>
    </row>
    <row r="43" spans="1:60" x14ac:dyDescent="0.35">
      <c r="A43" s="9168"/>
      <c r="B43" s="232" t="s">
        <v>5376</v>
      </c>
      <c r="C43" s="60"/>
      <c r="E43" s="155"/>
      <c r="G43" s="117"/>
      <c r="H43" s="115"/>
      <c r="I43" s="64">
        <f>IF(G43=0,0,H43/G43)</f>
        <v>0</v>
      </c>
      <c r="K43" s="117"/>
      <c r="L43" s="117">
        <f>K43*I43</f>
        <v>0</v>
      </c>
      <c r="M43" s="919"/>
      <c r="N43" s="117"/>
      <c r="O43" s="115"/>
      <c r="P43" s="5666"/>
      <c r="Q43" s="64">
        <f t="shared" si="11"/>
        <v>0</v>
      </c>
      <c r="R43" s="312"/>
      <c r="S43" s="117"/>
      <c r="T43" s="312"/>
      <c r="U43" s="112">
        <f>S43*Q43</f>
        <v>0</v>
      </c>
      <c r="V43" s="245"/>
      <c r="W43" s="117"/>
      <c r="X43" s="115"/>
      <c r="Y43" s="5666"/>
      <c r="Z43" s="64">
        <f t="shared" si="18"/>
        <v>0</v>
      </c>
      <c r="AA43" s="312"/>
      <c r="AB43" s="200"/>
      <c r="AC43" s="312"/>
      <c r="AD43" s="1034">
        <f>AB43*Z43</f>
        <v>0</v>
      </c>
      <c r="AE43" s="66"/>
      <c r="AF43" s="200"/>
      <c r="AG43" s="115"/>
      <c r="AH43" s="5666"/>
      <c r="AI43" s="64">
        <f>IF(AF43=0,0,AG43/AF43)</f>
        <v>0</v>
      </c>
      <c r="AJ43" s="106"/>
      <c r="AK43" s="200"/>
      <c r="AL43" s="312"/>
      <c r="AM43" s="1034">
        <f>AK43*AD43</f>
        <v>0</v>
      </c>
      <c r="AN43" s="66"/>
      <c r="AO43" s="66"/>
      <c r="AP43" s="1034"/>
      <c r="AQ43" s="115"/>
      <c r="AR43" s="5666"/>
      <c r="AS43" s="64">
        <f t="shared" si="15"/>
        <v>0</v>
      </c>
      <c r="AT43" s="106"/>
      <c r="AU43" s="200"/>
      <c r="AV43" s="312"/>
      <c r="AW43" s="1034">
        <f>AU43*AN43</f>
        <v>0</v>
      </c>
      <c r="AY43" s="106"/>
      <c r="AZ43" s="1034"/>
      <c r="BA43" s="3790"/>
      <c r="BB43" s="5666"/>
      <c r="BC43" s="64">
        <f t="shared" si="17"/>
        <v>0</v>
      </c>
      <c r="BD43" s="8278"/>
      <c r="BE43" s="6362"/>
      <c r="BF43" s="8276"/>
    </row>
    <row r="44" spans="1:60" x14ac:dyDescent="0.35">
      <c r="A44" s="9168"/>
      <c r="B44" s="1662" t="s">
        <v>5377</v>
      </c>
      <c r="C44" s="87"/>
      <c r="E44" s="130"/>
      <c r="G44" s="242"/>
      <c r="H44" s="243"/>
      <c r="I44" s="64">
        <f>IF(G44=0,0,H44/G44)</f>
        <v>0</v>
      </c>
      <c r="K44" s="131"/>
      <c r="L44" s="131">
        <f>K44*I44</f>
        <v>0</v>
      </c>
      <c r="M44" s="919"/>
      <c r="N44" s="131"/>
      <c r="O44" s="132"/>
      <c r="P44" s="7453"/>
      <c r="Q44" s="133">
        <f t="shared" si="11"/>
        <v>0</v>
      </c>
      <c r="R44" s="312"/>
      <c r="S44" s="242"/>
      <c r="T44" s="312"/>
      <c r="U44" s="114">
        <f>S44*Q44</f>
        <v>0</v>
      </c>
      <c r="V44" s="245"/>
      <c r="W44" s="131"/>
      <c r="X44" s="132"/>
      <c r="Y44" s="7453"/>
      <c r="Z44" s="133">
        <f t="shared" si="18"/>
        <v>0</v>
      </c>
      <c r="AA44" s="312"/>
      <c r="AB44" s="214"/>
      <c r="AC44" s="3054"/>
      <c r="AD44" s="485">
        <f>AB44*Z44</f>
        <v>0</v>
      </c>
      <c r="AE44" s="66"/>
      <c r="AF44" s="214"/>
      <c r="AG44" s="132"/>
      <c r="AH44" s="7453"/>
      <c r="AI44" s="133">
        <f>IF(AF44=0,0,AG44/AF44)</f>
        <v>0</v>
      </c>
      <c r="AJ44" s="106"/>
      <c r="AK44" s="214"/>
      <c r="AL44" s="3054"/>
      <c r="AM44" s="485">
        <f>AK44*AD44</f>
        <v>0</v>
      </c>
      <c r="AN44" s="66"/>
      <c r="AO44" s="66"/>
      <c r="AP44" s="485"/>
      <c r="AQ44" s="132"/>
      <c r="AR44" s="7453"/>
      <c r="AS44" s="133">
        <f t="shared" si="15"/>
        <v>0</v>
      </c>
      <c r="AT44" s="106"/>
      <c r="AU44" s="214"/>
      <c r="AV44" s="3054"/>
      <c r="AW44" s="485">
        <f>AU44*AN44</f>
        <v>0</v>
      </c>
      <c r="AY44" s="106"/>
      <c r="AZ44" s="485"/>
      <c r="BA44" s="132"/>
      <c r="BB44" s="7453"/>
      <c r="BC44" s="133">
        <f t="shared" si="17"/>
        <v>0</v>
      </c>
      <c r="BD44" s="8279"/>
      <c r="BE44" s="8280"/>
      <c r="BF44" s="8281"/>
    </row>
    <row r="45" spans="1:60" x14ac:dyDescent="0.35">
      <c r="A45" s="9168"/>
      <c r="B45" s="141" t="s">
        <v>944</v>
      </c>
      <c r="C45" s="60"/>
      <c r="D45" s="143"/>
      <c r="E45" s="227"/>
      <c r="F45" s="143"/>
      <c r="G45" s="102"/>
      <c r="H45" s="103"/>
      <c r="I45" s="252"/>
      <c r="J45" s="143"/>
      <c r="K45" s="245"/>
      <c r="L45" s="245"/>
      <c r="M45" s="106"/>
      <c r="N45" s="254"/>
      <c r="O45" s="254"/>
      <c r="P45" s="253"/>
      <c r="Q45" s="267"/>
      <c r="R45" s="254"/>
      <c r="S45" s="634"/>
      <c r="T45" s="2909"/>
      <c r="U45" s="268"/>
      <c r="V45" s="106"/>
      <c r="W45" s="634"/>
      <c r="X45" s="2909"/>
      <c r="Y45" s="3726"/>
      <c r="Z45" s="252"/>
      <c r="AA45" s="254"/>
      <c r="AB45" s="634"/>
      <c r="AC45" s="2909"/>
      <c r="AD45" s="268"/>
      <c r="AE45" s="106"/>
      <c r="AF45" s="634"/>
      <c r="AG45" s="2909"/>
      <c r="AH45" s="3726"/>
      <c r="AI45" s="252"/>
      <c r="AJ45" s="106"/>
      <c r="AK45" s="634"/>
      <c r="AL45" s="2909"/>
      <c r="AM45" s="268"/>
      <c r="AN45" s="106"/>
      <c r="AO45" s="106"/>
      <c r="AP45" s="268"/>
      <c r="AQ45" s="2909"/>
      <c r="AR45" s="3726"/>
      <c r="AS45" s="252"/>
      <c r="AT45" s="106"/>
      <c r="AU45" s="634"/>
      <c r="AV45" s="2909"/>
      <c r="AW45" s="268"/>
      <c r="AY45" s="106"/>
      <c r="AZ45" s="268"/>
      <c r="BA45" s="2909"/>
      <c r="BB45" s="3726"/>
      <c r="BC45" s="252"/>
      <c r="BD45" s="634"/>
      <c r="BE45" s="2909" t="s">
        <v>5378</v>
      </c>
      <c r="BF45" s="268"/>
    </row>
    <row r="46" spans="1:60" ht="24.75" customHeight="1" x14ac:dyDescent="0.35">
      <c r="A46" s="9168"/>
      <c r="B46" s="232" t="s">
        <v>5379</v>
      </c>
      <c r="C46" s="60"/>
      <c r="E46" s="111"/>
      <c r="G46" s="112"/>
      <c r="H46" s="113"/>
      <c r="I46" s="64">
        <f t="shared" ref="I46:I52" si="19">IF(G46=0,0,H46/G46)</f>
        <v>0</v>
      </c>
      <c r="K46" s="112"/>
      <c r="L46" s="112">
        <f t="shared" ref="L46:L52" si="20">K46*I46</f>
        <v>0</v>
      </c>
      <c r="M46" s="919"/>
      <c r="N46" s="112"/>
      <c r="O46" s="113"/>
      <c r="P46" s="5666"/>
      <c r="Q46" s="64">
        <f t="shared" ref="Q46:Q52" si="21">IF(N46=0,0,O46/N46)</f>
        <v>0</v>
      </c>
      <c r="R46" s="312"/>
      <c r="S46" s="112"/>
      <c r="T46" s="312"/>
      <c r="U46" s="111">
        <f t="shared" ref="U46:U52" si="22">S46*Q46</f>
        <v>0</v>
      </c>
      <c r="V46" s="106"/>
      <c r="W46" s="112"/>
      <c r="X46" s="113"/>
      <c r="Y46" s="5666"/>
      <c r="Z46" s="64">
        <f t="shared" ref="Z46:Z52" si="23">IF(W46=0,0,X46/W46)</f>
        <v>0</v>
      </c>
      <c r="AA46" s="312"/>
      <c r="AB46" s="248"/>
      <c r="AC46" s="312"/>
      <c r="AD46" s="1034">
        <f t="shared" ref="AD46:AD52" si="24">AB46*Z46</f>
        <v>0</v>
      </c>
      <c r="AE46" s="66"/>
      <c r="AF46" s="248"/>
      <c r="AG46" s="113"/>
      <c r="AH46" s="5666"/>
      <c r="AI46" s="64">
        <f t="shared" ref="AI46:AI52" si="25">IF(AF46=0,0,AG46/AF46)</f>
        <v>0</v>
      </c>
      <c r="AJ46" s="106"/>
      <c r="AK46" s="248"/>
      <c r="AL46" s="312"/>
      <c r="AM46" s="1034">
        <f t="shared" ref="AM46:AM52" si="26">AK46*AD46</f>
        <v>0</v>
      </c>
      <c r="AN46" s="66"/>
      <c r="AO46" s="66"/>
      <c r="AP46" s="1034"/>
      <c r="AQ46" s="113"/>
      <c r="AR46" s="5666"/>
      <c r="AS46" s="64">
        <f t="shared" ref="AS46:AS52" si="27">IF(AP46=0,0,AQ46/AP46)</f>
        <v>0</v>
      </c>
      <c r="AT46" s="106"/>
      <c r="AU46" s="248"/>
      <c r="AV46" s="312"/>
      <c r="AW46" s="1034">
        <f t="shared" ref="AW46:AW52" si="28">AU46*AN46</f>
        <v>0</v>
      </c>
      <c r="AY46" s="106"/>
      <c r="AZ46" s="1034"/>
      <c r="BA46" s="113"/>
      <c r="BB46" s="5666"/>
      <c r="BC46" s="64">
        <f t="shared" ref="BC46:BC52" si="29">IF(AZ46=0,0,BA46/AZ46)</f>
        <v>0</v>
      </c>
      <c r="BD46" s="8277"/>
      <c r="BE46" s="3789"/>
      <c r="BF46" s="8276"/>
    </row>
    <row r="47" spans="1:60" x14ac:dyDescent="0.35">
      <c r="A47" s="9168"/>
      <c r="B47" s="232" t="s">
        <v>5380</v>
      </c>
      <c r="C47" s="60"/>
      <c r="E47" s="155"/>
      <c r="G47" s="117"/>
      <c r="H47" s="115"/>
      <c r="I47" s="64">
        <f t="shared" si="19"/>
        <v>0</v>
      </c>
      <c r="K47" s="117"/>
      <c r="L47" s="117">
        <f t="shared" si="20"/>
        <v>0</v>
      </c>
      <c r="M47" s="919"/>
      <c r="N47" s="117"/>
      <c r="O47" s="115"/>
      <c r="P47" s="5666"/>
      <c r="Q47" s="64">
        <f t="shared" si="21"/>
        <v>0</v>
      </c>
      <c r="R47" s="312"/>
      <c r="S47" s="117"/>
      <c r="T47" s="312"/>
      <c r="U47" s="111">
        <f t="shared" si="22"/>
        <v>0</v>
      </c>
      <c r="V47" s="106"/>
      <c r="W47" s="117"/>
      <c r="X47" s="115"/>
      <c r="Y47" s="5666"/>
      <c r="Z47" s="64">
        <f t="shared" si="23"/>
        <v>0</v>
      </c>
      <c r="AA47" s="312"/>
      <c r="AB47" s="200"/>
      <c r="AC47" s="312"/>
      <c r="AD47" s="1034">
        <f t="shared" si="24"/>
        <v>0</v>
      </c>
      <c r="AE47" s="66"/>
      <c r="AF47" s="200"/>
      <c r="AG47" s="115"/>
      <c r="AH47" s="5666"/>
      <c r="AI47" s="64">
        <f t="shared" si="25"/>
        <v>0</v>
      </c>
      <c r="AJ47" s="106"/>
      <c r="AK47" s="200"/>
      <c r="AL47" s="312"/>
      <c r="AM47" s="1034">
        <f t="shared" si="26"/>
        <v>0</v>
      </c>
      <c r="AN47" s="66"/>
      <c r="AO47" s="66"/>
      <c r="AP47" s="1034"/>
      <c r="AQ47" s="115"/>
      <c r="AR47" s="5666"/>
      <c r="AS47" s="64">
        <f t="shared" si="27"/>
        <v>0</v>
      </c>
      <c r="AT47" s="106"/>
      <c r="AU47" s="200"/>
      <c r="AV47" s="312"/>
      <c r="AW47" s="1034">
        <f t="shared" si="28"/>
        <v>0</v>
      </c>
      <c r="AY47" s="106"/>
      <c r="AZ47" s="1034"/>
      <c r="BA47" s="115"/>
      <c r="BB47" s="5666"/>
      <c r="BC47" s="64">
        <f t="shared" si="29"/>
        <v>0</v>
      </c>
      <c r="BD47" s="8278"/>
      <c r="BE47" s="3789"/>
      <c r="BF47" s="8276"/>
    </row>
    <row r="48" spans="1:60" x14ac:dyDescent="0.35">
      <c r="A48" s="9168"/>
      <c r="B48" s="232" t="s">
        <v>5381</v>
      </c>
      <c r="C48" s="60"/>
      <c r="E48" s="155"/>
      <c r="G48" s="117"/>
      <c r="H48" s="115"/>
      <c r="I48" s="64"/>
      <c r="K48" s="117"/>
      <c r="L48" s="117"/>
      <c r="M48" s="919"/>
      <c r="N48" s="117"/>
      <c r="O48" s="115"/>
      <c r="P48" s="5666"/>
      <c r="Q48" s="64"/>
      <c r="R48" s="312"/>
      <c r="S48" s="117"/>
      <c r="T48" s="312"/>
      <c r="U48" s="111"/>
      <c r="V48" s="106"/>
      <c r="W48" s="117"/>
      <c r="X48" s="115"/>
      <c r="Y48" s="5666"/>
      <c r="Z48" s="64"/>
      <c r="AA48" s="312"/>
      <c r="AB48" s="200"/>
      <c r="AC48" s="312"/>
      <c r="AD48" s="1034"/>
      <c r="AE48" s="66"/>
      <c r="AF48" s="200"/>
      <c r="AG48" s="115"/>
      <c r="AH48" s="5666"/>
      <c r="AI48" s="64"/>
      <c r="AJ48" s="106"/>
      <c r="AK48" s="200"/>
      <c r="AL48" s="312"/>
      <c r="AM48" s="1034"/>
      <c r="AN48" s="66"/>
      <c r="AO48" s="66"/>
      <c r="AP48" s="1034"/>
      <c r="AQ48" s="115"/>
      <c r="AR48" s="5666"/>
      <c r="AS48" s="64"/>
      <c r="AT48" s="106"/>
      <c r="AU48" s="200"/>
      <c r="AV48" s="312"/>
      <c r="AW48" s="1034"/>
      <c r="AY48" s="106"/>
      <c r="AZ48" s="1034"/>
      <c r="BA48" s="115"/>
      <c r="BB48" s="5666"/>
      <c r="BC48" s="64"/>
      <c r="BD48" s="8278"/>
      <c r="BE48" s="3789"/>
      <c r="BF48" s="8276"/>
    </row>
    <row r="49" spans="1:58" x14ac:dyDescent="0.35">
      <c r="A49" s="9168"/>
      <c r="B49" s="232" t="s">
        <v>5382</v>
      </c>
      <c r="C49" s="60"/>
      <c r="E49" s="155"/>
      <c r="G49" s="117"/>
      <c r="H49" s="115"/>
      <c r="I49" s="64">
        <f t="shared" si="19"/>
        <v>0</v>
      </c>
      <c r="K49" s="117"/>
      <c r="L49" s="117">
        <f t="shared" si="20"/>
        <v>0</v>
      </c>
      <c r="M49" s="919"/>
      <c r="N49" s="117"/>
      <c r="O49" s="115"/>
      <c r="P49" s="5666"/>
      <c r="Q49" s="64">
        <f t="shared" si="21"/>
        <v>0</v>
      </c>
      <c r="R49" s="312"/>
      <c r="S49" s="117"/>
      <c r="T49" s="312"/>
      <c r="U49" s="111">
        <f t="shared" si="22"/>
        <v>0</v>
      </c>
      <c r="V49" s="106"/>
      <c r="W49" s="117"/>
      <c r="X49" s="115"/>
      <c r="Y49" s="5666"/>
      <c r="Z49" s="64">
        <f t="shared" si="23"/>
        <v>0</v>
      </c>
      <c r="AA49" s="312"/>
      <c r="AB49" s="200"/>
      <c r="AC49" s="312"/>
      <c r="AD49" s="1034">
        <f t="shared" si="24"/>
        <v>0</v>
      </c>
      <c r="AE49" s="66"/>
      <c r="AF49" s="200"/>
      <c r="AG49" s="115"/>
      <c r="AH49" s="5666"/>
      <c r="AI49" s="64">
        <f t="shared" si="25"/>
        <v>0</v>
      </c>
      <c r="AJ49" s="106"/>
      <c r="AK49" s="200"/>
      <c r="AL49" s="312"/>
      <c r="AM49" s="1034">
        <f t="shared" si="26"/>
        <v>0</v>
      </c>
      <c r="AN49" s="66"/>
      <c r="AO49" s="66"/>
      <c r="AP49" s="1034"/>
      <c r="AQ49" s="115"/>
      <c r="AR49" s="5666"/>
      <c r="AS49" s="64">
        <f t="shared" si="27"/>
        <v>0</v>
      </c>
      <c r="AT49" s="106"/>
      <c r="AU49" s="200"/>
      <c r="AV49" s="312"/>
      <c r="AW49" s="1034">
        <f t="shared" si="28"/>
        <v>0</v>
      </c>
      <c r="AY49" s="106"/>
      <c r="AZ49" s="1034"/>
      <c r="BA49" s="115"/>
      <c r="BB49" s="5666"/>
      <c r="BC49" s="64">
        <f t="shared" si="29"/>
        <v>0</v>
      </c>
      <c r="BD49" s="8278"/>
      <c r="BE49" s="3789"/>
      <c r="BF49" s="8276"/>
    </row>
    <row r="50" spans="1:58" x14ac:dyDescent="0.35">
      <c r="A50" s="9168"/>
      <c r="B50" s="232" t="s">
        <v>5383</v>
      </c>
      <c r="C50" s="60"/>
      <c r="E50" s="155"/>
      <c r="G50" s="117"/>
      <c r="H50" s="115"/>
      <c r="I50" s="64">
        <f t="shared" si="19"/>
        <v>0</v>
      </c>
      <c r="K50" s="117"/>
      <c r="L50" s="117">
        <f t="shared" si="20"/>
        <v>0</v>
      </c>
      <c r="M50" s="919"/>
      <c r="N50" s="117"/>
      <c r="O50" s="115"/>
      <c r="P50" s="5666"/>
      <c r="Q50" s="64">
        <f t="shared" si="21"/>
        <v>0</v>
      </c>
      <c r="R50" s="312"/>
      <c r="S50" s="117"/>
      <c r="T50" s="312"/>
      <c r="U50" s="111">
        <f t="shared" si="22"/>
        <v>0</v>
      </c>
      <c r="V50" s="106"/>
      <c r="W50" s="117"/>
      <c r="X50" s="115"/>
      <c r="Y50" s="5666"/>
      <c r="Z50" s="64">
        <f t="shared" si="23"/>
        <v>0</v>
      </c>
      <c r="AA50" s="312"/>
      <c r="AB50" s="200"/>
      <c r="AC50" s="312"/>
      <c r="AD50" s="1034">
        <f t="shared" si="24"/>
        <v>0</v>
      </c>
      <c r="AE50" s="66"/>
      <c r="AF50" s="200"/>
      <c r="AG50" s="115"/>
      <c r="AH50" s="5666"/>
      <c r="AI50" s="64">
        <f t="shared" si="25"/>
        <v>0</v>
      </c>
      <c r="AJ50" s="106"/>
      <c r="AK50" s="200"/>
      <c r="AL50" s="312"/>
      <c r="AM50" s="1034">
        <f t="shared" si="26"/>
        <v>0</v>
      </c>
      <c r="AN50" s="66"/>
      <c r="AO50" s="66"/>
      <c r="AP50" s="1034"/>
      <c r="AQ50" s="115"/>
      <c r="AR50" s="5666"/>
      <c r="AS50" s="64">
        <f t="shared" si="27"/>
        <v>0</v>
      </c>
      <c r="AT50" s="106"/>
      <c r="AU50" s="200"/>
      <c r="AV50" s="312"/>
      <c r="AW50" s="1034">
        <f t="shared" si="28"/>
        <v>0</v>
      </c>
      <c r="AY50" s="106"/>
      <c r="AZ50" s="1034"/>
      <c r="BA50" s="115"/>
      <c r="BB50" s="5666"/>
      <c r="BC50" s="64">
        <f t="shared" si="29"/>
        <v>0</v>
      </c>
      <c r="BD50" s="8278"/>
      <c r="BE50" s="3789"/>
      <c r="BF50" s="8276"/>
    </row>
    <row r="51" spans="1:58" x14ac:dyDescent="0.35">
      <c r="A51" s="9168"/>
      <c r="B51" s="232" t="s">
        <v>5384</v>
      </c>
      <c r="C51" s="60"/>
      <c r="E51" s="155"/>
      <c r="G51" s="117"/>
      <c r="H51" s="115"/>
      <c r="I51" s="64">
        <f t="shared" si="19"/>
        <v>0</v>
      </c>
      <c r="K51" s="117"/>
      <c r="L51" s="117">
        <f t="shared" si="20"/>
        <v>0</v>
      </c>
      <c r="M51" s="919"/>
      <c r="N51" s="117"/>
      <c r="O51" s="115"/>
      <c r="P51" s="5666"/>
      <c r="Q51" s="64">
        <f t="shared" si="21"/>
        <v>0</v>
      </c>
      <c r="R51" s="312"/>
      <c r="S51" s="117"/>
      <c r="T51" s="312"/>
      <c r="U51" s="111">
        <f t="shared" si="22"/>
        <v>0</v>
      </c>
      <c r="V51" s="106"/>
      <c r="W51" s="117"/>
      <c r="X51" s="115"/>
      <c r="Y51" s="5666"/>
      <c r="Z51" s="64">
        <f t="shared" si="23"/>
        <v>0</v>
      </c>
      <c r="AA51" s="312"/>
      <c r="AB51" s="200"/>
      <c r="AC51" s="312"/>
      <c r="AD51" s="1034">
        <f t="shared" si="24"/>
        <v>0</v>
      </c>
      <c r="AE51" s="66"/>
      <c r="AF51" s="200"/>
      <c r="AG51" s="115"/>
      <c r="AH51" s="5666"/>
      <c r="AI51" s="64">
        <f t="shared" si="25"/>
        <v>0</v>
      </c>
      <c r="AJ51" s="106"/>
      <c r="AK51" s="200"/>
      <c r="AL51" s="312"/>
      <c r="AM51" s="1034">
        <f t="shared" si="26"/>
        <v>0</v>
      </c>
      <c r="AN51" s="66"/>
      <c r="AO51" s="66"/>
      <c r="AP51" s="1034"/>
      <c r="AQ51" s="115"/>
      <c r="AR51" s="5666"/>
      <c r="AS51" s="64">
        <f t="shared" si="27"/>
        <v>0</v>
      </c>
      <c r="AT51" s="106"/>
      <c r="AU51" s="200"/>
      <c r="AV51" s="312"/>
      <c r="AW51" s="1034">
        <f t="shared" si="28"/>
        <v>0</v>
      </c>
      <c r="AY51" s="106"/>
      <c r="AZ51" s="1034"/>
      <c r="BA51" s="115"/>
      <c r="BB51" s="5666"/>
      <c r="BC51" s="64">
        <f t="shared" si="29"/>
        <v>0</v>
      </c>
      <c r="BD51" s="8278"/>
      <c r="BE51" s="3789"/>
      <c r="BF51" s="8276"/>
    </row>
    <row r="52" spans="1:58" x14ac:dyDescent="0.35">
      <c r="A52" s="9168"/>
      <c r="B52" s="232" t="s">
        <v>5385</v>
      </c>
      <c r="C52" s="60"/>
      <c r="E52" s="155"/>
      <c r="G52" s="117"/>
      <c r="H52" s="115"/>
      <c r="I52" s="64">
        <f t="shared" si="19"/>
        <v>0</v>
      </c>
      <c r="K52" s="117"/>
      <c r="L52" s="117">
        <f t="shared" si="20"/>
        <v>0</v>
      </c>
      <c r="M52" s="919"/>
      <c r="N52" s="117"/>
      <c r="O52" s="115"/>
      <c r="P52" s="5666"/>
      <c r="Q52" s="64">
        <f t="shared" si="21"/>
        <v>0</v>
      </c>
      <c r="R52" s="312"/>
      <c r="S52" s="117"/>
      <c r="T52" s="312"/>
      <c r="U52" s="111">
        <f t="shared" si="22"/>
        <v>0</v>
      </c>
      <c r="V52" s="106"/>
      <c r="W52" s="117"/>
      <c r="X52" s="115"/>
      <c r="Y52" s="5666"/>
      <c r="Z52" s="64">
        <f t="shared" si="23"/>
        <v>0</v>
      </c>
      <c r="AA52" s="312"/>
      <c r="AB52" s="200"/>
      <c r="AC52" s="312"/>
      <c r="AD52" s="1034">
        <f t="shared" si="24"/>
        <v>0</v>
      </c>
      <c r="AE52" s="66"/>
      <c r="AF52" s="200"/>
      <c r="AG52" s="115"/>
      <c r="AH52" s="5666"/>
      <c r="AI52" s="64">
        <f t="shared" si="25"/>
        <v>0</v>
      </c>
      <c r="AJ52" s="106"/>
      <c r="AK52" s="200"/>
      <c r="AL52" s="312"/>
      <c r="AM52" s="1034">
        <f t="shared" si="26"/>
        <v>0</v>
      </c>
      <c r="AN52" s="66"/>
      <c r="AO52" s="66"/>
      <c r="AP52" s="1034"/>
      <c r="AQ52" s="115"/>
      <c r="AR52" s="5666"/>
      <c r="AS52" s="64">
        <f t="shared" si="27"/>
        <v>0</v>
      </c>
      <c r="AT52" s="106"/>
      <c r="AU52" s="200"/>
      <c r="AV52" s="312"/>
      <c r="AW52" s="1034">
        <f t="shared" si="28"/>
        <v>0</v>
      </c>
      <c r="AY52" s="106"/>
      <c r="AZ52" s="1034"/>
      <c r="BA52" s="115"/>
      <c r="BB52" s="5666"/>
      <c r="BC52" s="64">
        <f t="shared" si="29"/>
        <v>0</v>
      </c>
      <c r="BD52" s="8278"/>
      <c r="BE52" s="3789"/>
      <c r="BF52" s="8276"/>
    </row>
    <row r="53" spans="1:58" x14ac:dyDescent="0.35">
      <c r="A53" s="9168"/>
      <c r="B53" s="1654" t="s">
        <v>5386</v>
      </c>
      <c r="C53" s="60"/>
      <c r="E53" s="163"/>
      <c r="G53" s="242"/>
      <c r="H53" s="243"/>
      <c r="I53" s="64"/>
      <c r="K53" s="242"/>
      <c r="L53" s="242"/>
      <c r="M53" s="919"/>
      <c r="N53" s="242"/>
      <c r="O53" s="243"/>
      <c r="P53" s="5666"/>
      <c r="Q53" s="64"/>
      <c r="R53" s="312"/>
      <c r="S53" s="242"/>
      <c r="T53" s="312"/>
      <c r="U53" s="122"/>
      <c r="V53" s="106"/>
      <c r="W53" s="242"/>
      <c r="X53" s="243"/>
      <c r="Y53" s="5666"/>
      <c r="Z53" s="64"/>
      <c r="AA53" s="312"/>
      <c r="AB53" s="164"/>
      <c r="AC53" s="312"/>
      <c r="AD53" s="482"/>
      <c r="AE53" s="66"/>
      <c r="AF53" s="164"/>
      <c r="AG53" s="243"/>
      <c r="AH53" s="5666"/>
      <c r="AI53" s="64"/>
      <c r="AJ53" s="106"/>
      <c r="AK53" s="164"/>
      <c r="AL53" s="312"/>
      <c r="AM53" s="482"/>
      <c r="AN53" s="66"/>
      <c r="AO53" s="66"/>
      <c r="AP53" s="482"/>
      <c r="AQ53" s="243"/>
      <c r="AR53" s="5666"/>
      <c r="AS53" s="64"/>
      <c r="AT53" s="106"/>
      <c r="AU53" s="164"/>
      <c r="AV53" s="312"/>
      <c r="AW53" s="482"/>
      <c r="AY53" s="106"/>
      <c r="AZ53" s="482"/>
      <c r="BA53" s="243"/>
      <c r="BB53" s="5666"/>
      <c r="BC53" s="64"/>
      <c r="BD53" s="8282"/>
      <c r="BE53" s="3789"/>
      <c r="BF53" s="8283"/>
    </row>
    <row r="54" spans="1:58" x14ac:dyDescent="0.35">
      <c r="A54" s="9168"/>
      <c r="B54" s="1654" t="s">
        <v>5387</v>
      </c>
      <c r="C54" s="60"/>
      <c r="E54" s="163"/>
      <c r="G54" s="242"/>
      <c r="H54" s="243"/>
      <c r="I54" s="64"/>
      <c r="K54" s="242"/>
      <c r="L54" s="242"/>
      <c r="M54" s="919"/>
      <c r="N54" s="242"/>
      <c r="O54" s="243"/>
      <c r="P54" s="5666"/>
      <c r="Q54" s="64"/>
      <c r="R54" s="312"/>
      <c r="S54" s="242"/>
      <c r="T54" s="312"/>
      <c r="U54" s="122"/>
      <c r="V54" s="106"/>
      <c r="W54" s="242"/>
      <c r="X54" s="243"/>
      <c r="Y54" s="5666"/>
      <c r="Z54" s="64"/>
      <c r="AA54" s="312"/>
      <c r="AB54" s="164"/>
      <c r="AC54" s="312"/>
      <c r="AD54" s="482"/>
      <c r="AE54" s="66"/>
      <c r="AF54" s="164"/>
      <c r="AG54" s="243"/>
      <c r="AH54" s="5666"/>
      <c r="AI54" s="64"/>
      <c r="AJ54" s="106"/>
      <c r="AK54" s="164"/>
      <c r="AL54" s="312"/>
      <c r="AM54" s="482"/>
      <c r="AN54" s="66"/>
      <c r="AO54" s="66"/>
      <c r="AP54" s="482"/>
      <c r="AQ54" s="243"/>
      <c r="AR54" s="5666"/>
      <c r="AS54" s="64"/>
      <c r="AT54" s="106"/>
      <c r="AU54" s="164"/>
      <c r="AV54" s="312"/>
      <c r="AW54" s="482"/>
      <c r="AY54" s="106"/>
      <c r="AZ54" s="482"/>
      <c r="BA54" s="243"/>
      <c r="BB54" s="5666"/>
      <c r="BC54" s="64"/>
      <c r="BD54" s="8282"/>
      <c r="BE54" s="3789"/>
      <c r="BF54" s="8283"/>
    </row>
    <row r="55" spans="1:58" x14ac:dyDescent="0.35">
      <c r="A55" s="9168"/>
      <c r="B55" s="1654" t="s">
        <v>5388</v>
      </c>
      <c r="C55" s="60"/>
      <c r="E55" s="163"/>
      <c r="G55" s="242"/>
      <c r="H55" s="243"/>
      <c r="I55" s="64"/>
      <c r="K55" s="242"/>
      <c r="L55" s="242"/>
      <c r="M55" s="919"/>
      <c r="N55" s="242"/>
      <c r="O55" s="243"/>
      <c r="P55" s="5666"/>
      <c r="Q55" s="64"/>
      <c r="R55" s="312"/>
      <c r="S55" s="242"/>
      <c r="T55" s="312"/>
      <c r="U55" s="122"/>
      <c r="V55" s="106"/>
      <c r="W55" s="242"/>
      <c r="X55" s="243"/>
      <c r="Y55" s="5666"/>
      <c r="Z55" s="64"/>
      <c r="AA55" s="312"/>
      <c r="AB55" s="164"/>
      <c r="AC55" s="312"/>
      <c r="AD55" s="482"/>
      <c r="AE55" s="66"/>
      <c r="AF55" s="164"/>
      <c r="AG55" s="243"/>
      <c r="AH55" s="5666"/>
      <c r="AI55" s="64"/>
      <c r="AJ55" s="106"/>
      <c r="AK55" s="164"/>
      <c r="AL55" s="312"/>
      <c r="AM55" s="482"/>
      <c r="AN55" s="66"/>
      <c r="AO55" s="66"/>
      <c r="AP55" s="482"/>
      <c r="AQ55" s="243"/>
      <c r="AR55" s="5666"/>
      <c r="AS55" s="64"/>
      <c r="AT55" s="106"/>
      <c r="AU55" s="164"/>
      <c r="AV55" s="312"/>
      <c r="AW55" s="482"/>
      <c r="AY55" s="106"/>
      <c r="AZ55" s="482"/>
      <c r="BA55" s="243"/>
      <c r="BB55" s="5666"/>
      <c r="BC55" s="64"/>
      <c r="BD55" s="8282"/>
      <c r="BE55" s="3789"/>
      <c r="BF55" s="8283"/>
    </row>
    <row r="56" spans="1:58" x14ac:dyDescent="0.35">
      <c r="A56" s="9168"/>
      <c r="B56" s="1654" t="s">
        <v>5389</v>
      </c>
      <c r="C56" s="60"/>
      <c r="E56" s="163"/>
      <c r="G56" s="242"/>
      <c r="H56" s="243"/>
      <c r="I56" s="64"/>
      <c r="K56" s="242"/>
      <c r="L56" s="242"/>
      <c r="M56" s="919"/>
      <c r="N56" s="242"/>
      <c r="O56" s="243"/>
      <c r="P56" s="5666"/>
      <c r="Q56" s="64"/>
      <c r="R56" s="312"/>
      <c r="S56" s="242"/>
      <c r="T56" s="312"/>
      <c r="U56" s="122"/>
      <c r="V56" s="106"/>
      <c r="W56" s="242"/>
      <c r="X56" s="243"/>
      <c r="Y56" s="5666"/>
      <c r="Z56" s="64"/>
      <c r="AA56" s="312"/>
      <c r="AB56" s="164"/>
      <c r="AC56" s="312"/>
      <c r="AD56" s="482"/>
      <c r="AE56" s="66"/>
      <c r="AF56" s="164"/>
      <c r="AG56" s="243"/>
      <c r="AH56" s="5666"/>
      <c r="AI56" s="64"/>
      <c r="AJ56" s="106"/>
      <c r="AK56" s="164"/>
      <c r="AL56" s="312"/>
      <c r="AM56" s="482"/>
      <c r="AN56" s="66"/>
      <c r="AO56" s="66"/>
      <c r="AP56" s="482"/>
      <c r="AQ56" s="243"/>
      <c r="AR56" s="5666"/>
      <c r="AS56" s="64"/>
      <c r="AT56" s="106"/>
      <c r="AU56" s="164"/>
      <c r="AV56" s="312"/>
      <c r="AW56" s="482"/>
      <c r="AY56" s="106"/>
      <c r="AZ56" s="482"/>
      <c r="BA56" s="243"/>
      <c r="BB56" s="5666"/>
      <c r="BC56" s="64"/>
      <c r="BD56" s="8282"/>
      <c r="BE56" s="3789"/>
      <c r="BF56" s="8283"/>
    </row>
    <row r="57" spans="1:58" x14ac:dyDescent="0.35">
      <c r="A57" s="9168"/>
      <c r="B57" s="1654" t="s">
        <v>5390</v>
      </c>
      <c r="C57" s="60"/>
      <c r="E57" s="163"/>
      <c r="G57" s="242"/>
      <c r="H57" s="243"/>
      <c r="I57" s="64"/>
      <c r="K57" s="242"/>
      <c r="L57" s="242"/>
      <c r="M57" s="919"/>
      <c r="N57" s="242"/>
      <c r="O57" s="243"/>
      <c r="P57" s="5666"/>
      <c r="Q57" s="64"/>
      <c r="R57" s="312"/>
      <c r="S57" s="242"/>
      <c r="T57" s="312"/>
      <c r="U57" s="122"/>
      <c r="V57" s="106"/>
      <c r="W57" s="242"/>
      <c r="X57" s="243"/>
      <c r="Y57" s="5666"/>
      <c r="Z57" s="64"/>
      <c r="AA57" s="312"/>
      <c r="AB57" s="164"/>
      <c r="AC57" s="312"/>
      <c r="AD57" s="482"/>
      <c r="AE57" s="66"/>
      <c r="AF57" s="164"/>
      <c r="AG57" s="243"/>
      <c r="AH57" s="5666"/>
      <c r="AI57" s="64"/>
      <c r="AJ57" s="106"/>
      <c r="AK57" s="164"/>
      <c r="AL57" s="312"/>
      <c r="AM57" s="482"/>
      <c r="AN57" s="66"/>
      <c r="AO57" s="66"/>
      <c r="AP57" s="482"/>
      <c r="AQ57" s="243"/>
      <c r="AR57" s="5666"/>
      <c r="AS57" s="64"/>
      <c r="AT57" s="106"/>
      <c r="AU57" s="164"/>
      <c r="AV57" s="312"/>
      <c r="AW57" s="482"/>
      <c r="AY57" s="106"/>
      <c r="AZ57" s="482"/>
      <c r="BA57" s="243"/>
      <c r="BB57" s="5666"/>
      <c r="BC57" s="64"/>
      <c r="BD57" s="8282"/>
      <c r="BE57" s="3789"/>
      <c r="BF57" s="8283"/>
    </row>
    <row r="58" spans="1:58" x14ac:dyDescent="0.35">
      <c r="A58" s="9168"/>
      <c r="B58" s="1654" t="s">
        <v>5391</v>
      </c>
      <c r="C58" s="60"/>
      <c r="E58" s="163"/>
      <c r="G58" s="242"/>
      <c r="H58" s="243"/>
      <c r="I58" s="64"/>
      <c r="K58" s="242"/>
      <c r="L58" s="242"/>
      <c r="M58" s="919"/>
      <c r="N58" s="242"/>
      <c r="O58" s="243"/>
      <c r="P58" s="5666"/>
      <c r="Q58" s="64"/>
      <c r="R58" s="312"/>
      <c r="S58" s="242"/>
      <c r="T58" s="312"/>
      <c r="U58" s="122"/>
      <c r="V58" s="106"/>
      <c r="W58" s="242"/>
      <c r="X58" s="243"/>
      <c r="Y58" s="5666"/>
      <c r="Z58" s="64"/>
      <c r="AA58" s="312"/>
      <c r="AB58" s="164"/>
      <c r="AC58" s="312"/>
      <c r="AD58" s="482"/>
      <c r="AE58" s="66"/>
      <c r="AF58" s="164"/>
      <c r="AG58" s="243"/>
      <c r="AH58" s="5666"/>
      <c r="AI58" s="64"/>
      <c r="AJ58" s="106"/>
      <c r="AK58" s="164"/>
      <c r="AL58" s="312"/>
      <c r="AM58" s="482"/>
      <c r="AN58" s="66"/>
      <c r="AO58" s="66"/>
      <c r="AP58" s="482"/>
      <c r="AQ58" s="243"/>
      <c r="AR58" s="5666"/>
      <c r="AS58" s="64"/>
      <c r="AT58" s="106"/>
      <c r="AU58" s="164"/>
      <c r="AV58" s="312"/>
      <c r="AW58" s="482"/>
      <c r="AY58" s="106"/>
      <c r="AZ58" s="482"/>
      <c r="BA58" s="243"/>
      <c r="BB58" s="5666"/>
      <c r="BC58" s="64"/>
      <c r="BD58" s="8282"/>
      <c r="BE58" s="3789"/>
      <c r="BF58" s="8283"/>
    </row>
    <row r="59" spans="1:58" x14ac:dyDescent="0.35">
      <c r="A59" s="9168"/>
      <c r="B59" s="1654" t="s">
        <v>5392</v>
      </c>
      <c r="C59" s="60"/>
      <c r="E59" s="163"/>
      <c r="G59" s="242"/>
      <c r="H59" s="243"/>
      <c r="I59" s="64"/>
      <c r="K59" s="242"/>
      <c r="L59" s="242"/>
      <c r="M59" s="919"/>
      <c r="N59" s="242"/>
      <c r="O59" s="243"/>
      <c r="P59" s="5666"/>
      <c r="Q59" s="64"/>
      <c r="R59" s="312"/>
      <c r="S59" s="242"/>
      <c r="T59" s="312"/>
      <c r="U59" s="122"/>
      <c r="V59" s="106"/>
      <c r="W59" s="242"/>
      <c r="X59" s="243"/>
      <c r="Y59" s="5666"/>
      <c r="Z59" s="64"/>
      <c r="AA59" s="312"/>
      <c r="AB59" s="164"/>
      <c r="AC59" s="312"/>
      <c r="AD59" s="482"/>
      <c r="AE59" s="66"/>
      <c r="AF59" s="164"/>
      <c r="AG59" s="243"/>
      <c r="AH59" s="5666"/>
      <c r="AI59" s="64"/>
      <c r="AJ59" s="106"/>
      <c r="AK59" s="164"/>
      <c r="AL59" s="312"/>
      <c r="AM59" s="482"/>
      <c r="AN59" s="66"/>
      <c r="AO59" s="66"/>
      <c r="AP59" s="482"/>
      <c r="AQ59" s="243"/>
      <c r="AR59" s="5666"/>
      <c r="AS59" s="64"/>
      <c r="AT59" s="106"/>
      <c r="AU59" s="164"/>
      <c r="AV59" s="312"/>
      <c r="AW59" s="482"/>
      <c r="AY59" s="106"/>
      <c r="AZ59" s="482"/>
      <c r="BA59" s="243"/>
      <c r="BB59" s="5666"/>
      <c r="BC59" s="64"/>
      <c r="BD59" s="8282"/>
      <c r="BE59" s="3789"/>
      <c r="BF59" s="8283"/>
    </row>
    <row r="60" spans="1:58" x14ac:dyDescent="0.35">
      <c r="A60" s="9168"/>
      <c r="B60" s="1654" t="s">
        <v>5393</v>
      </c>
      <c r="C60" s="60"/>
      <c r="E60" s="163"/>
      <c r="G60" s="242"/>
      <c r="H60" s="243"/>
      <c r="I60" s="64"/>
      <c r="K60" s="242"/>
      <c r="L60" s="242"/>
      <c r="M60" s="919"/>
      <c r="N60" s="242"/>
      <c r="O60" s="243"/>
      <c r="P60" s="5666"/>
      <c r="Q60" s="64"/>
      <c r="R60" s="312"/>
      <c r="S60" s="242"/>
      <c r="T60" s="312"/>
      <c r="U60" s="122"/>
      <c r="V60" s="106"/>
      <c r="W60" s="242"/>
      <c r="X60" s="243"/>
      <c r="Y60" s="5666"/>
      <c r="Z60" s="64"/>
      <c r="AA60" s="312"/>
      <c r="AB60" s="164"/>
      <c r="AC60" s="312"/>
      <c r="AD60" s="482"/>
      <c r="AE60" s="66"/>
      <c r="AF60" s="164"/>
      <c r="AG60" s="243"/>
      <c r="AH60" s="5666"/>
      <c r="AI60" s="64"/>
      <c r="AJ60" s="106"/>
      <c r="AK60" s="164"/>
      <c r="AL60" s="312"/>
      <c r="AM60" s="482"/>
      <c r="AN60" s="66"/>
      <c r="AO60" s="66"/>
      <c r="AP60" s="482"/>
      <c r="AQ60" s="243"/>
      <c r="AR60" s="5666"/>
      <c r="AS60" s="64"/>
      <c r="AT60" s="106"/>
      <c r="AU60" s="164"/>
      <c r="AV60" s="312"/>
      <c r="AW60" s="482"/>
      <c r="AY60" s="106"/>
      <c r="AZ60" s="482"/>
      <c r="BA60" s="243"/>
      <c r="BB60" s="5666"/>
      <c r="BC60" s="64"/>
      <c r="BD60" s="8282"/>
      <c r="BE60" s="3789"/>
      <c r="BF60" s="8283"/>
    </row>
    <row r="61" spans="1:58" x14ac:dyDescent="0.35">
      <c r="A61" s="9168"/>
      <c r="B61" s="1654" t="s">
        <v>5394</v>
      </c>
      <c r="C61" s="60"/>
      <c r="E61" s="163"/>
      <c r="G61" s="242"/>
      <c r="H61" s="243"/>
      <c r="I61" s="64"/>
      <c r="K61" s="242"/>
      <c r="L61" s="242"/>
      <c r="M61" s="919"/>
      <c r="N61" s="242"/>
      <c r="O61" s="243"/>
      <c r="P61" s="5666"/>
      <c r="Q61" s="64"/>
      <c r="R61" s="312"/>
      <c r="S61" s="242"/>
      <c r="T61" s="312"/>
      <c r="U61" s="122"/>
      <c r="V61" s="106"/>
      <c r="W61" s="242"/>
      <c r="X61" s="243"/>
      <c r="Y61" s="5666"/>
      <c r="Z61" s="64"/>
      <c r="AA61" s="312"/>
      <c r="AB61" s="164"/>
      <c r="AC61" s="312"/>
      <c r="AD61" s="482"/>
      <c r="AE61" s="66"/>
      <c r="AF61" s="164"/>
      <c r="AG61" s="243"/>
      <c r="AH61" s="5666"/>
      <c r="AI61" s="64"/>
      <c r="AJ61" s="106"/>
      <c r="AK61" s="164"/>
      <c r="AL61" s="312"/>
      <c r="AM61" s="482"/>
      <c r="AN61" s="66"/>
      <c r="AO61" s="66"/>
      <c r="AP61" s="482"/>
      <c r="AQ61" s="243"/>
      <c r="AR61" s="5666"/>
      <c r="AS61" s="64"/>
      <c r="AT61" s="106"/>
      <c r="AU61" s="164"/>
      <c r="AV61" s="312"/>
      <c r="AW61" s="482"/>
      <c r="AY61" s="106"/>
      <c r="AZ61" s="482"/>
      <c r="BA61" s="243"/>
      <c r="BB61" s="5666"/>
      <c r="BC61" s="64"/>
      <c r="BD61" s="8282"/>
      <c r="BE61" s="3789"/>
      <c r="BF61" s="8283"/>
    </row>
    <row r="62" spans="1:58" x14ac:dyDescent="0.35">
      <c r="A62" s="9168"/>
      <c r="B62" s="1654"/>
      <c r="C62" s="60"/>
      <c r="E62" s="163"/>
      <c r="G62" s="242"/>
      <c r="H62" s="243"/>
      <c r="I62" s="64"/>
      <c r="K62" s="242"/>
      <c r="L62" s="242"/>
      <c r="M62" s="919"/>
      <c r="N62" s="242"/>
      <c r="O62" s="243"/>
      <c r="P62" s="5666"/>
      <c r="Q62" s="64"/>
      <c r="R62" s="312"/>
      <c r="S62" s="242"/>
      <c r="T62" s="312"/>
      <c r="U62" s="122"/>
      <c r="V62" s="106"/>
      <c r="W62" s="242"/>
      <c r="X62" s="243"/>
      <c r="Y62" s="5666"/>
      <c r="Z62" s="64"/>
      <c r="AA62" s="312"/>
      <c r="AB62" s="164"/>
      <c r="AC62" s="312"/>
      <c r="AD62" s="482"/>
      <c r="AE62" s="66"/>
      <c r="AF62" s="164"/>
      <c r="AG62" s="243"/>
      <c r="AH62" s="5666"/>
      <c r="AI62" s="64"/>
      <c r="AJ62" s="106"/>
      <c r="AK62" s="164"/>
      <c r="AL62" s="312"/>
      <c r="AM62" s="482"/>
      <c r="AN62" s="66"/>
      <c r="AO62" s="66"/>
      <c r="AP62" s="482"/>
      <c r="AQ62" s="243"/>
      <c r="AR62" s="5666"/>
      <c r="AS62" s="64"/>
      <c r="AT62" s="106"/>
      <c r="AU62" s="164"/>
      <c r="AV62" s="312"/>
      <c r="AW62" s="482"/>
      <c r="AY62" s="106"/>
      <c r="AZ62" s="482"/>
      <c r="BA62" s="243"/>
      <c r="BB62" s="5666"/>
      <c r="BC62" s="64"/>
      <c r="BD62" s="8282"/>
      <c r="BE62" s="3789"/>
      <c r="BF62" s="8283"/>
    </row>
    <row r="63" spans="1:58" x14ac:dyDescent="0.35">
      <c r="A63" s="9168"/>
      <c r="B63" s="1654"/>
      <c r="C63" s="60"/>
      <c r="E63" s="163"/>
      <c r="G63" s="242"/>
      <c r="H63" s="243"/>
      <c r="I63" s="64"/>
      <c r="K63" s="242"/>
      <c r="L63" s="242"/>
      <c r="M63" s="919"/>
      <c r="N63" s="242"/>
      <c r="O63" s="243"/>
      <c r="P63" s="5666"/>
      <c r="Q63" s="64"/>
      <c r="R63" s="312"/>
      <c r="S63" s="242"/>
      <c r="T63" s="312"/>
      <c r="U63" s="122"/>
      <c r="V63" s="106"/>
      <c r="W63" s="242"/>
      <c r="X63" s="243"/>
      <c r="Y63" s="5666"/>
      <c r="Z63" s="64"/>
      <c r="AA63" s="312"/>
      <c r="AB63" s="164"/>
      <c r="AC63" s="312"/>
      <c r="AD63" s="482"/>
      <c r="AE63" s="66"/>
      <c r="AF63" s="164"/>
      <c r="AG63" s="243"/>
      <c r="AH63" s="5666"/>
      <c r="AI63" s="64"/>
      <c r="AJ63" s="106"/>
      <c r="AK63" s="164"/>
      <c r="AL63" s="312"/>
      <c r="AM63" s="482"/>
      <c r="AN63" s="66"/>
      <c r="AO63" s="66"/>
      <c r="AP63" s="482"/>
      <c r="AQ63" s="243"/>
      <c r="AR63" s="5666"/>
      <c r="AS63" s="64"/>
      <c r="AT63" s="106"/>
      <c r="AU63" s="164"/>
      <c r="AV63" s="312"/>
      <c r="AW63" s="482"/>
      <c r="AY63" s="106"/>
      <c r="AZ63" s="482"/>
      <c r="BA63" s="243"/>
      <c r="BB63" s="5666"/>
      <c r="BC63" s="64"/>
      <c r="BD63" s="8282"/>
      <c r="BE63" s="3789"/>
      <c r="BF63" s="8283"/>
    </row>
    <row r="64" spans="1:58" x14ac:dyDescent="0.35">
      <c r="A64" s="9168"/>
      <c r="B64" s="1654"/>
      <c r="C64" s="87"/>
      <c r="E64" s="130"/>
      <c r="G64" s="131"/>
      <c r="H64" s="132"/>
      <c r="I64" s="133">
        <f>IF(G64=0,0,H64/G64)</f>
        <v>0</v>
      </c>
      <c r="K64" s="242"/>
      <c r="L64" s="242">
        <f>K64*I64</f>
        <v>0</v>
      </c>
      <c r="M64" s="919"/>
      <c r="N64" s="242"/>
      <c r="O64" s="243"/>
      <c r="P64" s="5666"/>
      <c r="Q64" s="64">
        <f>IF(N64=0,0,O64/N64)</f>
        <v>0</v>
      </c>
      <c r="R64" s="312"/>
      <c r="S64" s="242"/>
      <c r="T64" s="312"/>
      <c r="U64" s="122">
        <f>S64*Q64</f>
        <v>0</v>
      </c>
      <c r="V64" s="106"/>
      <c r="W64" s="242"/>
      <c r="X64" s="243"/>
      <c r="Y64" s="5666"/>
      <c r="Z64" s="64">
        <f>IF(W64=0,0,X64/W64)</f>
        <v>0</v>
      </c>
      <c r="AA64" s="312"/>
      <c r="AB64" s="214"/>
      <c r="AC64" s="3054"/>
      <c r="AD64" s="485">
        <f>AB64*Z64</f>
        <v>0</v>
      </c>
      <c r="AE64" s="66"/>
      <c r="AF64" s="214"/>
      <c r="AG64" s="243"/>
      <c r="AH64" s="5666"/>
      <c r="AI64" s="64">
        <f>IF(AF64=0,0,AG64/AF64)</f>
        <v>0</v>
      </c>
      <c r="AJ64" s="106"/>
      <c r="AK64" s="214"/>
      <c r="AL64" s="3054"/>
      <c r="AM64" s="485">
        <f>AK64*AD64</f>
        <v>0</v>
      </c>
      <c r="AN64" s="66"/>
      <c r="AO64" s="66"/>
      <c r="AP64" s="485"/>
      <c r="AQ64" s="243"/>
      <c r="AR64" s="5666"/>
      <c r="AS64" s="64">
        <f>IF(AP64=0,0,AQ64/AP64)</f>
        <v>0</v>
      </c>
      <c r="AT64" s="106"/>
      <c r="AU64" s="214"/>
      <c r="AV64" s="3054"/>
      <c r="AW64" s="485">
        <f>AU64*AN64</f>
        <v>0</v>
      </c>
      <c r="AY64" s="106"/>
      <c r="AZ64" s="485"/>
      <c r="BA64" s="243"/>
      <c r="BB64" s="5666"/>
      <c r="BC64" s="64">
        <f>IF(AZ64=0,0,BA64/AZ64)</f>
        <v>0</v>
      </c>
      <c r="BD64" s="214"/>
      <c r="BE64" s="3054"/>
      <c r="BF64" s="485"/>
    </row>
    <row r="65" spans="1:58" ht="15.25" customHeight="1" x14ac:dyDescent="0.35">
      <c r="A65" s="9168"/>
      <c r="B65" s="271" t="s">
        <v>965</v>
      </c>
      <c r="C65" s="140"/>
      <c r="D65" s="141"/>
      <c r="E65" s="227"/>
      <c r="F65" s="141"/>
      <c r="G65" s="245"/>
      <c r="H65" s="106"/>
      <c r="I65" s="267"/>
      <c r="J65" s="141"/>
      <c r="K65" s="102"/>
      <c r="L65" s="102"/>
      <c r="M65" s="106"/>
      <c r="N65" s="634"/>
      <c r="O65" s="2909"/>
      <c r="P65" s="3726"/>
      <c r="Q65" s="252"/>
      <c r="R65" s="254"/>
      <c r="S65" s="634"/>
      <c r="T65" s="2909"/>
      <c r="U65" s="268"/>
      <c r="V65" s="106"/>
      <c r="W65" s="634"/>
      <c r="X65" s="2909" t="s">
        <v>5395</v>
      </c>
      <c r="Y65" s="3726"/>
      <c r="Z65" s="252"/>
      <c r="AA65" s="254"/>
      <c r="AB65" s="634"/>
      <c r="AC65" s="2909"/>
      <c r="AD65" s="268"/>
      <c r="AE65" s="106"/>
      <c r="AF65" s="634"/>
      <c r="AG65" s="2909"/>
      <c r="AH65" s="3726"/>
      <c r="AI65" s="252"/>
      <c r="AJ65" s="106"/>
      <c r="AK65" s="634"/>
      <c r="AL65" s="2909"/>
      <c r="AM65" s="268"/>
      <c r="AN65" s="106"/>
      <c r="AO65" s="106"/>
      <c r="AP65" s="268"/>
      <c r="AQ65" s="2909"/>
      <c r="AR65" s="3726"/>
      <c r="AS65" s="252"/>
      <c r="AT65" s="106"/>
      <c r="AU65" s="634"/>
      <c r="AV65" s="2909"/>
      <c r="AW65" s="268"/>
      <c r="AY65" s="106"/>
      <c r="AZ65" s="268" t="s">
        <v>5357</v>
      </c>
      <c r="BA65" s="2909"/>
      <c r="BB65" s="3726"/>
      <c r="BC65" s="252"/>
      <c r="BD65" s="634"/>
      <c r="BE65" s="2909"/>
      <c r="BF65" s="268"/>
    </row>
    <row r="66" spans="1:58" x14ac:dyDescent="0.35">
      <c r="A66" s="9168"/>
      <c r="B66" s="8297" t="s">
        <v>5396</v>
      </c>
      <c r="C66" s="60"/>
      <c r="E66" s="111"/>
      <c r="G66" s="113">
        <f>201431863040/1000000</f>
        <v>201431.86304</v>
      </c>
      <c r="H66" s="113">
        <f>201431863040/1000000</f>
        <v>201431.86304</v>
      </c>
      <c r="I66" s="64">
        <f t="shared" ref="I66:I73" si="30">IF(G66=0,0,H66/G66)</f>
        <v>1</v>
      </c>
      <c r="K66" s="112">
        <f>219271.95906</f>
        <v>219271.95905999999</v>
      </c>
      <c r="L66" s="112">
        <f t="shared" ref="L66:L73" si="31">K66*I66</f>
        <v>219271.95905999999</v>
      </c>
      <c r="M66" s="106"/>
      <c r="N66" s="112">
        <v>212271.95905999999</v>
      </c>
      <c r="O66" s="113">
        <v>219271.95905999999</v>
      </c>
      <c r="P66" s="5666"/>
      <c r="Q66" s="64">
        <f t="shared" ref="Q66:Q73" si="32">IF(N66=0,0,O66/N66)</f>
        <v>1.0329765647379803</v>
      </c>
      <c r="R66" s="312"/>
      <c r="S66" s="112">
        <v>223721.965</v>
      </c>
      <c r="T66" s="312"/>
      <c r="U66" s="111">
        <f t="shared" ref="U66:U73" si="33">S66*Q66</f>
        <v>231099.54686213066</v>
      </c>
      <c r="V66" s="106"/>
      <c r="W66" s="3164">
        <v>223721.965</v>
      </c>
      <c r="X66" s="5580">
        <f>W66*Z66</f>
        <v>221405.04000445339</v>
      </c>
      <c r="Y66" s="7442"/>
      <c r="Z66" s="1171">
        <f>Z25</f>
        <v>0.98964373035277686</v>
      </c>
      <c r="AA66" s="312"/>
      <c r="AB66" s="3015">
        <v>266262.58299999998</v>
      </c>
      <c r="AC66" s="3016"/>
      <c r="AD66" s="5344">
        <f t="shared" ref="AD66:AD73" si="34">AB66*Z66</f>
        <v>263505.09589348588</v>
      </c>
      <c r="AE66" s="120"/>
      <c r="AF66" s="3015">
        <v>266262.58299999998</v>
      </c>
      <c r="AG66" s="5580">
        <v>293247.97128400003</v>
      </c>
      <c r="AH66" s="7442"/>
      <c r="AI66" s="1171">
        <f>AI25</f>
        <v>1.0235494880546074</v>
      </c>
      <c r="AJ66" s="106"/>
      <c r="AK66" s="3015">
        <v>322011.29113999999</v>
      </c>
      <c r="AL66" s="3016"/>
      <c r="AM66" s="5344">
        <f>AK66*AI66</f>
        <v>329594.49219415011</v>
      </c>
      <c r="AN66" s="120"/>
      <c r="AO66" s="120"/>
      <c r="AP66" s="7454">
        <v>322011.29113999999</v>
      </c>
      <c r="AQ66" s="7454"/>
      <c r="AR66" s="7442"/>
      <c r="AS66" s="1171">
        <f>AS25</f>
        <v>0.9983601756954612</v>
      </c>
      <c r="AT66" s="106"/>
      <c r="AU66" s="7454">
        <v>355250.73882999999</v>
      </c>
      <c r="AV66" s="3016"/>
      <c r="AW66" s="5344"/>
      <c r="AY66" s="106"/>
      <c r="AZ66" s="8271">
        <v>355.25073882999999</v>
      </c>
      <c r="BA66" s="8271">
        <v>355.25073882999999</v>
      </c>
      <c r="BB66" s="7442" t="s">
        <v>5397</v>
      </c>
      <c r="BC66" s="5676">
        <f t="shared" ref="BC66:BC73" si="35">IF(AZ66=0,0,BA66/AZ66)</f>
        <v>1</v>
      </c>
      <c r="BD66" s="8271"/>
      <c r="BE66" s="3016"/>
      <c r="BF66" s="8268"/>
    </row>
    <row r="67" spans="1:58" x14ac:dyDescent="0.35">
      <c r="A67" s="9168"/>
      <c r="B67" s="8297" t="s">
        <v>5398</v>
      </c>
      <c r="C67" s="60"/>
      <c r="E67" s="155"/>
      <c r="G67" s="115">
        <f>6897962060/1000000</f>
        <v>6897.9620599999998</v>
      </c>
      <c r="H67" s="115">
        <f>6897962060/1000000</f>
        <v>6897.9620599999998</v>
      </c>
      <c r="I67" s="64">
        <f t="shared" si="30"/>
        <v>1</v>
      </c>
      <c r="K67" s="117">
        <f>7048.17944</f>
        <v>7048.1794399999999</v>
      </c>
      <c r="L67" s="117">
        <f t="shared" si="31"/>
        <v>7048.1794399999999</v>
      </c>
      <c r="M67" s="106"/>
      <c r="N67" s="117">
        <v>7048.1794399999999</v>
      </c>
      <c r="O67" s="115">
        <v>13160.230516</v>
      </c>
      <c r="P67" s="5666"/>
      <c r="Q67" s="64">
        <f t="shared" si="32"/>
        <v>1.8671815364564555</v>
      </c>
      <c r="R67" s="312"/>
      <c r="S67" s="117">
        <v>7017.2089999999998</v>
      </c>
      <c r="T67" s="312"/>
      <c r="U67" s="111">
        <f t="shared" si="33"/>
        <v>13102.403082256067</v>
      </c>
      <c r="V67" s="106"/>
      <c r="W67" s="5365">
        <v>8015.8939579999997</v>
      </c>
      <c r="X67" s="3546">
        <f>W67*Z67</f>
        <v>7932.8791987074046</v>
      </c>
      <c r="Y67" s="5666"/>
      <c r="Z67" s="1171">
        <f>Z66</f>
        <v>0.98964373035277686</v>
      </c>
      <c r="AA67" s="312"/>
      <c r="AB67" s="3039">
        <v>7827.7030000000004</v>
      </c>
      <c r="AC67" s="312"/>
      <c r="AD67" s="5344">
        <f t="shared" si="34"/>
        <v>7746.6371970136233</v>
      </c>
      <c r="AE67" s="120"/>
      <c r="AF67" s="3039">
        <v>7827.7030000000004</v>
      </c>
      <c r="AG67" s="3546">
        <f>3915.355</f>
        <v>3915.355</v>
      </c>
      <c r="AH67" s="5666"/>
      <c r="AI67" s="1171">
        <f>AI66</f>
        <v>1.0235494880546074</v>
      </c>
      <c r="AJ67" s="106"/>
      <c r="AK67" s="3039">
        <v>11657.537179999999</v>
      </c>
      <c r="AL67" s="312"/>
      <c r="AM67" s="5344">
        <f>AK67*AI67</f>
        <v>11932.066212566551</v>
      </c>
      <c r="AN67" s="120"/>
      <c r="AO67" s="120"/>
      <c r="AP67" s="7454">
        <v>11657.537179999999</v>
      </c>
      <c r="AQ67" s="7454"/>
      <c r="AR67" s="5666"/>
      <c r="AS67" s="1171">
        <f>AS66</f>
        <v>0.9983601756954612</v>
      </c>
      <c r="AT67" s="106"/>
      <c r="AU67" s="7454">
        <v>18468</v>
      </c>
      <c r="AV67" s="312"/>
      <c r="AW67" s="5344"/>
      <c r="AY67" s="106"/>
      <c r="AZ67" s="8271">
        <v>18.467744004</v>
      </c>
      <c r="BA67" s="8271">
        <f>AZ67</f>
        <v>18.467744004</v>
      </c>
      <c r="BB67" s="7442" t="s">
        <v>5399</v>
      </c>
      <c r="BC67" s="5676">
        <f t="shared" si="35"/>
        <v>1</v>
      </c>
      <c r="BD67" s="8271"/>
      <c r="BE67" s="312"/>
      <c r="BF67" s="5344"/>
    </row>
    <row r="68" spans="1:58" x14ac:dyDescent="0.35">
      <c r="A68" s="9168"/>
      <c r="B68" s="8297" t="s">
        <v>5400</v>
      </c>
      <c r="C68" s="60"/>
      <c r="E68" s="163"/>
      <c r="G68" s="243">
        <f>547937000/1000000</f>
        <v>547.93700000000001</v>
      </c>
      <c r="H68" s="243">
        <f>547937000/1000000</f>
        <v>547.93700000000001</v>
      </c>
      <c r="I68" s="64">
        <f t="shared" si="30"/>
        <v>1</v>
      </c>
      <c r="K68" s="242">
        <f>490.05244</f>
        <v>490.05243999999999</v>
      </c>
      <c r="L68" s="242">
        <f t="shared" si="31"/>
        <v>490.05243999999999</v>
      </c>
      <c r="M68" s="106"/>
      <c r="N68" s="242">
        <v>490.05243999999999</v>
      </c>
      <c r="O68" s="243">
        <v>490.05243999999999</v>
      </c>
      <c r="P68" s="5666"/>
      <c r="Q68" s="64">
        <f t="shared" si="32"/>
        <v>1</v>
      </c>
      <c r="R68" s="312"/>
      <c r="S68" s="242">
        <v>563.79729999999995</v>
      </c>
      <c r="T68" s="312"/>
      <c r="U68" s="111">
        <f t="shared" si="33"/>
        <v>563.79729999999995</v>
      </c>
      <c r="V68" s="106"/>
      <c r="W68" s="3166">
        <v>563.79729999999995</v>
      </c>
      <c r="X68" s="5563">
        <f>W68*Z68</f>
        <v>557.95846313482355</v>
      </c>
      <c r="Y68" s="5666"/>
      <c r="Z68" s="1171">
        <f>Z67</f>
        <v>0.98964373035277686</v>
      </c>
      <c r="AA68" s="312"/>
      <c r="AB68" s="3026">
        <v>503.58283999999998</v>
      </c>
      <c r="AC68" s="312"/>
      <c r="AD68" s="5344">
        <f t="shared" si="34"/>
        <v>498.36760031924553</v>
      </c>
      <c r="AE68" s="120"/>
      <c r="AF68" s="3026">
        <v>503.58283999999998</v>
      </c>
      <c r="AG68" s="5563">
        <v>533.31720399999995</v>
      </c>
      <c r="AH68" s="5666"/>
      <c r="AI68" s="1171">
        <f>AI67</f>
        <v>1.0235494880546074</v>
      </c>
      <c r="AJ68" s="106"/>
      <c r="AK68" s="3026">
        <v>595.02005999999994</v>
      </c>
      <c r="AL68" s="312"/>
      <c r="AM68" s="5344">
        <f>AK68*AI68</f>
        <v>609.03247779522178</v>
      </c>
      <c r="AN68" s="120"/>
      <c r="AO68" s="120"/>
      <c r="AP68" s="7454">
        <v>595.02005999999994</v>
      </c>
      <c r="AQ68" s="7454"/>
      <c r="AR68" s="5666"/>
      <c r="AS68" s="1171">
        <f>AS67</f>
        <v>0.9983601756954612</v>
      </c>
      <c r="AT68" s="106"/>
      <c r="AU68" s="7454">
        <v>535.39</v>
      </c>
      <c r="AV68" s="312"/>
      <c r="AW68" s="5344"/>
      <c r="AY68" s="106"/>
      <c r="AZ68" s="8271">
        <v>0.53539000000000003</v>
      </c>
      <c r="BA68" s="8271">
        <v>0.53539000000000003</v>
      </c>
      <c r="BB68" s="7442" t="s">
        <v>5401</v>
      </c>
      <c r="BC68" s="5676">
        <f t="shared" si="35"/>
        <v>1</v>
      </c>
      <c r="BD68" s="8271"/>
      <c r="BE68" s="312"/>
      <c r="BF68" s="8271"/>
    </row>
    <row r="69" spans="1:58" x14ac:dyDescent="0.35">
      <c r="A69" s="9168"/>
      <c r="B69" s="232"/>
      <c r="C69" s="60"/>
      <c r="E69" s="163"/>
      <c r="G69" s="242"/>
      <c r="H69" s="243"/>
      <c r="I69" s="64">
        <f t="shared" si="30"/>
        <v>0</v>
      </c>
      <c r="K69" s="242"/>
      <c r="L69" s="242">
        <f t="shared" si="31"/>
        <v>0</v>
      </c>
      <c r="M69" s="245"/>
      <c r="N69" s="242"/>
      <c r="O69" s="243"/>
      <c r="P69" s="5666"/>
      <c r="Q69" s="64">
        <f t="shared" si="32"/>
        <v>0</v>
      </c>
      <c r="R69" s="312"/>
      <c r="S69" s="242"/>
      <c r="T69" s="312"/>
      <c r="U69" s="111">
        <f t="shared" si="33"/>
        <v>0</v>
      </c>
      <c r="V69" s="106"/>
      <c r="W69" s="242"/>
      <c r="X69" s="243"/>
      <c r="Y69" s="5666"/>
      <c r="Z69" s="64">
        <f>IF(W69=0,0,X69/W69)</f>
        <v>0</v>
      </c>
      <c r="AA69" s="312"/>
      <c r="AB69" s="164"/>
      <c r="AC69" s="312"/>
      <c r="AD69" s="1034">
        <f t="shared" si="34"/>
        <v>0</v>
      </c>
      <c r="AE69" s="120"/>
      <c r="AF69" s="164"/>
      <c r="AG69" s="243"/>
      <c r="AH69" s="5666"/>
      <c r="AI69" s="64">
        <f>IF(AF69=0,0,AG69/AF69)</f>
        <v>0</v>
      </c>
      <c r="AJ69" s="106"/>
      <c r="AK69" s="164"/>
      <c r="AL69" s="312"/>
      <c r="AM69" s="1034">
        <f>AK69*AD69</f>
        <v>0</v>
      </c>
      <c r="AN69" s="120"/>
      <c r="AO69" s="120"/>
      <c r="AP69" s="1034"/>
      <c r="AQ69" s="1034"/>
      <c r="AR69" s="5666"/>
      <c r="AS69" s="64">
        <f>IF(AP69=0,0,AQ69/AP69)</f>
        <v>0</v>
      </c>
      <c r="AT69" s="106"/>
      <c r="AU69" s="164"/>
      <c r="AV69" s="312"/>
      <c r="AW69" s="1034">
        <f>AU69*AN69</f>
        <v>0</v>
      </c>
      <c r="AY69" s="106"/>
      <c r="AZ69" s="1034"/>
      <c r="BA69" s="1034"/>
      <c r="BB69" s="5666"/>
      <c r="BC69" s="64">
        <f t="shared" si="35"/>
        <v>0</v>
      </c>
      <c r="BD69" s="164"/>
      <c r="BE69" s="312"/>
      <c r="BF69" s="1034"/>
    </row>
    <row r="70" spans="1:58" x14ac:dyDescent="0.35">
      <c r="A70" s="9168"/>
      <c r="B70" s="232"/>
      <c r="C70" s="60"/>
      <c r="E70" s="163"/>
      <c r="G70" s="242"/>
      <c r="H70" s="243"/>
      <c r="I70" s="64">
        <f t="shared" si="30"/>
        <v>0</v>
      </c>
      <c r="K70" s="242"/>
      <c r="L70" s="242">
        <f t="shared" si="31"/>
        <v>0</v>
      </c>
      <c r="M70" s="245"/>
      <c r="N70" s="242"/>
      <c r="O70" s="243"/>
      <c r="P70" s="5666"/>
      <c r="Q70" s="64">
        <f t="shared" si="32"/>
        <v>0</v>
      </c>
      <c r="R70" s="312"/>
      <c r="S70" s="242"/>
      <c r="T70" s="312"/>
      <c r="U70" s="111">
        <f t="shared" si="33"/>
        <v>0</v>
      </c>
      <c r="V70" s="106"/>
      <c r="W70" s="242"/>
      <c r="X70" s="243"/>
      <c r="Y70" s="5666"/>
      <c r="Z70" s="64">
        <f>IF(W70=0,0,X70/W70)</f>
        <v>0</v>
      </c>
      <c r="AA70" s="312"/>
      <c r="AB70" s="164"/>
      <c r="AC70" s="312"/>
      <c r="AD70" s="1034">
        <f t="shared" si="34"/>
        <v>0</v>
      </c>
      <c r="AE70" s="120"/>
      <c r="AF70" s="164"/>
      <c r="AG70" s="243"/>
      <c r="AH70" s="5666"/>
      <c r="AI70" s="64">
        <f>IF(AF70=0,0,AG70/AF70)</f>
        <v>0</v>
      </c>
      <c r="AJ70" s="106"/>
      <c r="AK70" s="164"/>
      <c r="AL70" s="312"/>
      <c r="AM70" s="1034">
        <f>AK70*AD70</f>
        <v>0</v>
      </c>
      <c r="AN70" s="120"/>
      <c r="AO70" s="120"/>
      <c r="AP70" s="1034"/>
      <c r="AQ70" s="1034"/>
      <c r="AR70" s="5666"/>
      <c r="AS70" s="64">
        <f>IF(AP70=0,0,AQ70/AP70)</f>
        <v>0</v>
      </c>
      <c r="AT70" s="106"/>
      <c r="AU70" s="164"/>
      <c r="AV70" s="312"/>
      <c r="AW70" s="1034">
        <f>AU70*AN70</f>
        <v>0</v>
      </c>
      <c r="AY70" s="106"/>
      <c r="AZ70" s="1034"/>
      <c r="BA70" s="1034"/>
      <c r="BB70" s="5666"/>
      <c r="BC70" s="64">
        <f t="shared" si="35"/>
        <v>0</v>
      </c>
      <c r="BD70" s="164"/>
      <c r="BE70" s="312"/>
      <c r="BF70" s="1034"/>
    </row>
    <row r="71" spans="1:58" ht="14.5" customHeight="1" x14ac:dyDescent="0.35">
      <c r="A71" s="9168"/>
      <c r="B71" s="232"/>
      <c r="C71" s="60"/>
      <c r="E71" s="163"/>
      <c r="G71" s="242"/>
      <c r="H71" s="243"/>
      <c r="I71" s="64"/>
      <c r="K71" s="242"/>
      <c r="L71" s="242"/>
      <c r="M71" s="245"/>
      <c r="N71" s="242"/>
      <c r="O71" s="243"/>
      <c r="P71" s="5666"/>
      <c r="Q71" s="64">
        <f t="shared" si="32"/>
        <v>0</v>
      </c>
      <c r="R71" s="312"/>
      <c r="S71" s="242"/>
      <c r="T71" s="312"/>
      <c r="U71" s="111">
        <f t="shared" si="33"/>
        <v>0</v>
      </c>
      <c r="V71" s="106"/>
      <c r="W71" s="242"/>
      <c r="X71" s="243"/>
      <c r="Y71" s="5666"/>
      <c r="Z71" s="64">
        <f>IF(W71=0,0,X71/W71)</f>
        <v>0</v>
      </c>
      <c r="AA71" s="312"/>
      <c r="AB71" s="164"/>
      <c r="AC71" s="312"/>
      <c r="AD71" s="1034">
        <f t="shared" si="34"/>
        <v>0</v>
      </c>
      <c r="AE71" s="120"/>
      <c r="AF71" s="164"/>
      <c r="AG71" s="243"/>
      <c r="AH71" s="5666"/>
      <c r="AI71" s="64">
        <f>IF(AF71=0,0,AG71/AF71)</f>
        <v>0</v>
      </c>
      <c r="AJ71" s="106"/>
      <c r="AK71" s="164"/>
      <c r="AL71" s="312"/>
      <c r="AM71" s="1034">
        <f>AK71*AD71</f>
        <v>0</v>
      </c>
      <c r="AN71" s="120"/>
      <c r="AO71" s="120"/>
      <c r="AP71" s="1034"/>
      <c r="AQ71" s="1034"/>
      <c r="AR71" s="5666"/>
      <c r="AS71" s="64">
        <f>IF(AP71=0,0,AQ71/AP71)</f>
        <v>0</v>
      </c>
      <c r="AT71" s="106"/>
      <c r="AU71" s="164"/>
      <c r="AV71" s="312"/>
      <c r="AW71" s="1034">
        <f>AU71*AN71</f>
        <v>0</v>
      </c>
      <c r="AY71" s="106"/>
      <c r="AZ71" s="1034"/>
      <c r="BA71" s="1034"/>
      <c r="BB71" s="5666"/>
      <c r="BC71" s="64">
        <f t="shared" si="35"/>
        <v>0</v>
      </c>
      <c r="BD71" s="164"/>
      <c r="BE71" s="312"/>
      <c r="BF71" s="1034"/>
    </row>
    <row r="72" spans="1:58" x14ac:dyDescent="0.35">
      <c r="A72" s="9168"/>
      <c r="B72" s="232"/>
      <c r="C72" s="60"/>
      <c r="E72" s="163"/>
      <c r="G72" s="242"/>
      <c r="H72" s="243"/>
      <c r="I72" s="64">
        <f t="shared" si="30"/>
        <v>0</v>
      </c>
      <c r="K72" s="242"/>
      <c r="L72" s="242">
        <f t="shared" si="31"/>
        <v>0</v>
      </c>
      <c r="M72" s="245"/>
      <c r="N72" s="242"/>
      <c r="O72" s="243"/>
      <c r="P72" s="5666"/>
      <c r="Q72" s="64">
        <f t="shared" si="32"/>
        <v>0</v>
      </c>
      <c r="R72" s="312"/>
      <c r="S72" s="242"/>
      <c r="T72" s="312"/>
      <c r="U72" s="111">
        <f t="shared" si="33"/>
        <v>0</v>
      </c>
      <c r="V72" s="106"/>
      <c r="W72" s="242"/>
      <c r="X72" s="243"/>
      <c r="Y72" s="5666"/>
      <c r="Z72" s="64">
        <f>IF(W72=0,0,X72/W72)</f>
        <v>0</v>
      </c>
      <c r="AA72" s="312"/>
      <c r="AB72" s="164"/>
      <c r="AC72" s="312"/>
      <c r="AD72" s="1034">
        <f t="shared" si="34"/>
        <v>0</v>
      </c>
      <c r="AE72" s="120"/>
      <c r="AF72" s="164"/>
      <c r="AG72" s="243"/>
      <c r="AH72" s="5666"/>
      <c r="AI72" s="64">
        <f>IF(AF72=0,0,AG72/AF72)</f>
        <v>0</v>
      </c>
      <c r="AJ72" s="106"/>
      <c r="AK72" s="164"/>
      <c r="AL72" s="312"/>
      <c r="AM72" s="1034">
        <f>AK72*AD72</f>
        <v>0</v>
      </c>
      <c r="AN72" s="120"/>
      <c r="AO72" s="120"/>
      <c r="AP72" s="1034"/>
      <c r="AQ72" s="1034"/>
      <c r="AR72" s="5666"/>
      <c r="AS72" s="64">
        <f>IF(AP72=0,0,AQ72/AP72)</f>
        <v>0</v>
      </c>
      <c r="AT72" s="106"/>
      <c r="AU72" s="164"/>
      <c r="AV72" s="312"/>
      <c r="AW72" s="1034">
        <f>AU72*AN72</f>
        <v>0</v>
      </c>
      <c r="AY72" s="106"/>
      <c r="AZ72" s="1034"/>
      <c r="BA72" s="1034"/>
      <c r="BB72" s="5666"/>
      <c r="BC72" s="64">
        <f t="shared" si="35"/>
        <v>0</v>
      </c>
      <c r="BD72" s="164"/>
      <c r="BE72" s="312"/>
      <c r="BF72" s="1034"/>
    </row>
    <row r="73" spans="1:58" x14ac:dyDescent="0.35">
      <c r="A73" s="9168"/>
      <c r="B73" s="1662"/>
      <c r="C73" s="87"/>
      <c r="E73" s="130"/>
      <c r="G73" s="242"/>
      <c r="H73" s="243"/>
      <c r="I73" s="64">
        <f t="shared" si="30"/>
        <v>0</v>
      </c>
      <c r="K73" s="242"/>
      <c r="L73" s="242">
        <f t="shared" si="31"/>
        <v>0</v>
      </c>
      <c r="M73" s="245"/>
      <c r="N73" s="131"/>
      <c r="O73" s="132"/>
      <c r="P73" s="7453"/>
      <c r="Q73" s="133">
        <f t="shared" si="32"/>
        <v>0</v>
      </c>
      <c r="R73" s="312"/>
      <c r="S73" s="131"/>
      <c r="T73" s="3054"/>
      <c r="U73" s="210">
        <f t="shared" si="33"/>
        <v>0</v>
      </c>
      <c r="V73" s="106"/>
      <c r="W73" s="131"/>
      <c r="X73" s="132"/>
      <c r="Y73" s="7453"/>
      <c r="Z73" s="133">
        <f>IF(W73=0,0,X73/W73)</f>
        <v>0</v>
      </c>
      <c r="AA73" s="312"/>
      <c r="AB73" s="214"/>
      <c r="AC73" s="3054"/>
      <c r="AD73" s="485">
        <f t="shared" si="34"/>
        <v>0</v>
      </c>
      <c r="AE73" s="120"/>
      <c r="AF73" s="214"/>
      <c r="AG73" s="132"/>
      <c r="AH73" s="7453"/>
      <c r="AI73" s="133">
        <f>IF(AF73=0,0,AG73/AF73)</f>
        <v>0</v>
      </c>
      <c r="AJ73" s="106"/>
      <c r="AK73" s="214"/>
      <c r="AL73" s="3054"/>
      <c r="AM73" s="485">
        <f>AK73*AD73</f>
        <v>0</v>
      </c>
      <c r="AN73" s="120"/>
      <c r="AO73" s="120"/>
      <c r="AP73" s="485"/>
      <c r="AQ73" s="485"/>
      <c r="AR73" s="7453"/>
      <c r="AS73" s="133">
        <f>IF(AP73=0,0,AQ73/AP73)</f>
        <v>0</v>
      </c>
      <c r="AT73" s="106"/>
      <c r="AU73" s="214"/>
      <c r="AV73" s="3054"/>
      <c r="AW73" s="485">
        <f>AU73*AN73</f>
        <v>0</v>
      </c>
      <c r="AY73" s="106"/>
      <c r="AZ73" s="485"/>
      <c r="BA73" s="485"/>
      <c r="BB73" s="7453"/>
      <c r="BC73" s="133">
        <f t="shared" si="35"/>
        <v>0</v>
      </c>
      <c r="BD73" s="214"/>
      <c r="BE73" s="3054"/>
      <c r="BF73" s="485"/>
    </row>
    <row r="74" spans="1:58" x14ac:dyDescent="0.35">
      <c r="A74" s="9168"/>
      <c r="B74" s="271" t="s">
        <v>979</v>
      </c>
      <c r="C74" s="140"/>
      <c r="D74" s="143"/>
      <c r="E74" s="227"/>
      <c r="F74" s="143"/>
      <c r="G74" s="102"/>
      <c r="H74" s="103"/>
      <c r="I74" s="228"/>
      <c r="J74" s="143"/>
      <c r="K74" s="102"/>
      <c r="L74" s="102"/>
      <c r="M74" s="106"/>
      <c r="N74" s="634"/>
      <c r="O74" s="2909"/>
      <c r="P74" s="3726"/>
      <c r="Q74" s="228"/>
      <c r="R74" s="254"/>
      <c r="S74" s="634"/>
      <c r="T74" s="2909"/>
      <c r="U74" s="268"/>
      <c r="V74" s="106"/>
      <c r="W74" s="3697"/>
      <c r="X74" s="254"/>
      <c r="Y74" s="253"/>
      <c r="Z74" s="246"/>
      <c r="AA74" s="254"/>
      <c r="AB74" s="634"/>
      <c r="AC74" s="2909"/>
      <c r="AD74" s="268"/>
      <c r="AE74" s="106"/>
      <c r="AF74" s="634"/>
      <c r="AG74" s="254"/>
      <c r="AH74" s="253"/>
      <c r="AI74" s="246"/>
      <c r="AJ74" s="106"/>
      <c r="AK74" s="634"/>
      <c r="AL74" s="2909"/>
      <c r="AM74" s="268"/>
      <c r="AN74" s="106"/>
      <c r="AO74" s="106"/>
      <c r="AP74" s="634"/>
      <c r="AQ74" s="254"/>
      <c r="AR74" s="253"/>
      <c r="AS74" s="246"/>
      <c r="AT74" s="106"/>
      <c r="AU74" s="634"/>
      <c r="AV74" s="2909"/>
      <c r="AW74" s="268"/>
      <c r="AY74" s="106"/>
      <c r="AZ74" s="634"/>
      <c r="BA74" s="254"/>
      <c r="BB74" s="253"/>
      <c r="BC74" s="246"/>
      <c r="BD74" s="634"/>
      <c r="BE74" s="2909"/>
      <c r="BF74" s="268"/>
    </row>
    <row r="75" spans="1:58" x14ac:dyDescent="0.35">
      <c r="A75" s="9168"/>
      <c r="B75" s="272"/>
      <c r="C75" s="60"/>
      <c r="E75" s="155"/>
      <c r="G75" s="117"/>
      <c r="H75" s="115"/>
      <c r="I75" s="64">
        <f>IF(G75=0,0,H75/G75)</f>
        <v>0</v>
      </c>
      <c r="K75" s="117"/>
      <c r="L75" s="117">
        <f>L30*L76</f>
        <v>0</v>
      </c>
      <c r="M75" s="245"/>
      <c r="N75" s="117"/>
      <c r="O75" s="115"/>
      <c r="P75" s="5666"/>
      <c r="Q75" s="64">
        <f>IF(N75=0,0,O75/N75)</f>
        <v>0</v>
      </c>
      <c r="R75" s="312"/>
      <c r="S75" s="117"/>
      <c r="T75" s="312"/>
      <c r="U75" s="111">
        <f>S75*Q75</f>
        <v>0</v>
      </c>
      <c r="V75" s="106"/>
      <c r="W75" s="117"/>
      <c r="X75" s="115"/>
      <c r="Y75" s="5666"/>
      <c r="Z75" s="64">
        <f>IF(W75=0,0,X75/W75)</f>
        <v>0</v>
      </c>
      <c r="AA75" s="312"/>
      <c r="AB75" s="200"/>
      <c r="AC75" s="312"/>
      <c r="AD75" s="1034">
        <f>AB75*Z75</f>
        <v>0</v>
      </c>
      <c r="AE75" s="120"/>
      <c r="AF75" s="200"/>
      <c r="AG75" s="115"/>
      <c r="AH75" s="5666"/>
      <c r="AI75" s="64">
        <f>IF(AF75=0,0,AG75/AF75)</f>
        <v>0</v>
      </c>
      <c r="AJ75" s="106"/>
      <c r="AK75" s="200"/>
      <c r="AL75" s="312"/>
      <c r="AM75" s="1034">
        <f>AK75*AD75</f>
        <v>0</v>
      </c>
      <c r="AN75" s="120"/>
      <c r="AO75" s="120"/>
      <c r="AP75" s="200"/>
      <c r="AQ75" s="115"/>
      <c r="AR75" s="5666"/>
      <c r="AS75" s="64">
        <f>IF(AP75=0,0,AQ75/AP75)</f>
        <v>0</v>
      </c>
      <c r="AT75" s="106"/>
      <c r="AU75" s="200"/>
      <c r="AV75" s="312"/>
      <c r="AW75" s="1034">
        <f>AU75*AN75</f>
        <v>0</v>
      </c>
      <c r="AY75" s="106"/>
      <c r="AZ75" s="200"/>
      <c r="BA75" s="115"/>
      <c r="BB75" s="5666"/>
      <c r="BC75" s="64">
        <f>IF(AZ75=0,0,BA75/AZ75)</f>
        <v>0</v>
      </c>
      <c r="BD75" s="200"/>
      <c r="BE75" s="312"/>
      <c r="BF75" s="1034"/>
    </row>
    <row r="76" spans="1:58" x14ac:dyDescent="0.35">
      <c r="A76" s="9168"/>
      <c r="B76" s="277"/>
      <c r="C76" s="87"/>
      <c r="E76" s="278"/>
      <c r="F76" s="279"/>
      <c r="G76" s="280"/>
      <c r="H76" s="281"/>
      <c r="I76" s="133"/>
      <c r="K76" s="280"/>
      <c r="L76" s="280"/>
      <c r="M76" s="2918"/>
      <c r="N76" s="280"/>
      <c r="O76" s="281"/>
      <c r="P76" s="5837"/>
      <c r="Q76" s="133"/>
      <c r="R76" s="2926"/>
      <c r="S76" s="280"/>
      <c r="T76" s="2913"/>
      <c r="U76" s="278"/>
      <c r="V76" s="2919"/>
      <c r="W76" s="280"/>
      <c r="X76" s="281"/>
      <c r="Y76" s="5837"/>
      <c r="Z76" s="133"/>
      <c r="AA76" s="2926"/>
      <c r="AB76" s="3087"/>
      <c r="AC76" s="2913"/>
      <c r="AD76" s="3090"/>
      <c r="AE76" s="5707"/>
      <c r="AF76" s="3087"/>
      <c r="AG76" s="281"/>
      <c r="AH76" s="5837"/>
      <c r="AI76" s="133"/>
      <c r="AJ76" s="2919"/>
      <c r="AK76" s="3087"/>
      <c r="AL76" s="2913"/>
      <c r="AM76" s="3090"/>
      <c r="AN76" s="5707"/>
      <c r="AO76" s="5707"/>
      <c r="AP76" s="3087"/>
      <c r="AQ76" s="281"/>
      <c r="AR76" s="5837"/>
      <c r="AS76" s="133"/>
      <c r="AT76" s="2919"/>
      <c r="AU76" s="3087"/>
      <c r="AV76" s="2913"/>
      <c r="AW76" s="3090"/>
      <c r="AY76" s="2919"/>
      <c r="AZ76" s="3087"/>
      <c r="BA76" s="281"/>
      <c r="BB76" s="5837"/>
      <c r="BC76" s="133"/>
      <c r="BD76" s="3087"/>
      <c r="BE76" s="2913"/>
      <c r="BF76" s="3090"/>
    </row>
    <row r="77" spans="1:58" x14ac:dyDescent="0.35">
      <c r="A77" s="9168"/>
      <c r="B77" s="8298" t="s">
        <v>5402</v>
      </c>
      <c r="C77" s="60"/>
      <c r="E77" s="8299"/>
      <c r="F77" s="279"/>
      <c r="G77" s="8284"/>
      <c r="H77" s="8285"/>
      <c r="I77" s="64"/>
      <c r="K77" s="8284"/>
      <c r="L77" s="8284"/>
      <c r="M77" s="2918"/>
      <c r="N77" s="8284"/>
      <c r="O77" s="8285"/>
      <c r="P77" s="8286"/>
      <c r="Q77" s="64"/>
      <c r="R77" s="2926"/>
      <c r="S77" s="8284"/>
      <c r="T77" s="2926"/>
      <c r="U77" s="8284"/>
      <c r="V77" s="2919"/>
      <c r="W77" s="8284"/>
      <c r="X77" s="8285"/>
      <c r="Y77" s="8286"/>
      <c r="Z77" s="64"/>
      <c r="AA77" s="2926"/>
      <c r="AB77" s="8284"/>
      <c r="AC77" s="2926"/>
      <c r="AD77" s="8300"/>
      <c r="AE77" s="2919"/>
      <c r="AF77" s="8284"/>
      <c r="AG77" s="8285"/>
      <c r="AH77" s="8286"/>
      <c r="AI77" s="64"/>
      <c r="AJ77" s="2919"/>
      <c r="AK77" s="8284"/>
      <c r="AL77" s="2926"/>
      <c r="AM77" s="8300"/>
      <c r="AN77" s="2919"/>
      <c r="AO77" s="2919"/>
      <c r="AP77" s="8284"/>
      <c r="AQ77" s="8285"/>
      <c r="AR77" s="8286"/>
      <c r="AS77" s="64"/>
      <c r="AT77" s="2919"/>
      <c r="AU77" s="8284"/>
      <c r="AV77" s="2926"/>
      <c r="AW77" s="8300"/>
      <c r="AY77" s="2919"/>
      <c r="AZ77" s="8284"/>
      <c r="BA77" s="8285"/>
      <c r="BB77" s="8286"/>
      <c r="BC77" s="64"/>
      <c r="BD77" s="8287" t="s">
        <v>5403</v>
      </c>
      <c r="BE77" s="2926"/>
      <c r="BF77" s="2928" t="s">
        <v>899</v>
      </c>
    </row>
    <row r="78" spans="1:58" x14ac:dyDescent="0.35">
      <c r="A78" s="9168"/>
      <c r="B78" s="8301" t="s">
        <v>5404</v>
      </c>
      <c r="C78" s="60"/>
      <c r="E78" s="8299"/>
      <c r="F78" s="279"/>
      <c r="G78" s="8284"/>
      <c r="H78" s="8285"/>
      <c r="I78" s="64"/>
      <c r="K78" s="8284"/>
      <c r="L78" s="8284"/>
      <c r="M78" s="2918"/>
      <c r="N78" s="8284"/>
      <c r="O78" s="8285"/>
      <c r="P78" s="8286"/>
      <c r="Q78" s="64"/>
      <c r="R78" s="2926"/>
      <c r="S78" s="8284"/>
      <c r="T78" s="2926"/>
      <c r="U78" s="8284"/>
      <c r="V78" s="2919"/>
      <c r="W78" s="8284"/>
      <c r="X78" s="8285"/>
      <c r="Y78" s="8286"/>
      <c r="Z78" s="64"/>
      <c r="AA78" s="2926"/>
      <c r="AB78" s="8284"/>
      <c r="AC78" s="2926"/>
      <c r="AD78" s="8300"/>
      <c r="AE78" s="2919"/>
      <c r="AF78" s="8284"/>
      <c r="AG78" s="8285"/>
      <c r="AH78" s="8286"/>
      <c r="AI78" s="64"/>
      <c r="AJ78" s="2919"/>
      <c r="AK78" s="8284"/>
      <c r="AL78" s="2926"/>
      <c r="AM78" s="8300"/>
      <c r="AN78" s="2919"/>
      <c r="AO78" s="2919"/>
      <c r="AP78" s="8284"/>
      <c r="AQ78" s="8285"/>
      <c r="AR78" s="8286"/>
      <c r="AS78" s="64"/>
      <c r="AT78" s="2919"/>
      <c r="AU78" s="8284"/>
      <c r="AV78" s="2926"/>
      <c r="AW78" s="8300"/>
      <c r="AY78" s="2919"/>
      <c r="AZ78" s="8284"/>
      <c r="BA78" s="8285"/>
      <c r="BB78" s="8286"/>
      <c r="BC78" s="64"/>
      <c r="BD78" s="8288">
        <v>441.333572882</v>
      </c>
      <c r="BE78" s="8289" t="s">
        <v>5405</v>
      </c>
      <c r="BF78" s="8290">
        <f>BD78*BC66</f>
        <v>441.333572882</v>
      </c>
    </row>
    <row r="79" spans="1:58" x14ac:dyDescent="0.35">
      <c r="A79" s="9168"/>
      <c r="B79" s="8301" t="s">
        <v>5406</v>
      </c>
      <c r="C79" s="60"/>
      <c r="E79" s="8299"/>
      <c r="F79" s="279"/>
      <c r="G79" s="8284"/>
      <c r="H79" s="8285"/>
      <c r="I79" s="64"/>
      <c r="K79" s="8284"/>
      <c r="L79" s="8284"/>
      <c r="M79" s="2918"/>
      <c r="N79" s="8284"/>
      <c r="O79" s="8285"/>
      <c r="P79" s="8286"/>
      <c r="Q79" s="64"/>
      <c r="R79" s="2926"/>
      <c r="S79" s="8284"/>
      <c r="T79" s="2926"/>
      <c r="U79" s="8284"/>
      <c r="V79" s="2919"/>
      <c r="W79" s="8284"/>
      <c r="X79" s="8285"/>
      <c r="Y79" s="8286"/>
      <c r="Z79" s="64"/>
      <c r="AA79" s="2926"/>
      <c r="AB79" s="8284"/>
      <c r="AC79" s="2926"/>
      <c r="AD79" s="8300"/>
      <c r="AE79" s="2919"/>
      <c r="AF79" s="8284"/>
      <c r="AG79" s="8285"/>
      <c r="AH79" s="8286"/>
      <c r="AI79" s="64"/>
      <c r="AJ79" s="2919"/>
      <c r="AK79" s="8284"/>
      <c r="AL79" s="2926"/>
      <c r="AM79" s="8300"/>
      <c r="AN79" s="2919"/>
      <c r="AO79" s="2919"/>
      <c r="AP79" s="8284"/>
      <c r="AQ79" s="8285"/>
      <c r="AR79" s="8286"/>
      <c r="AS79" s="64"/>
      <c r="AT79" s="2919"/>
      <c r="AU79" s="8284"/>
      <c r="AV79" s="2926"/>
      <c r="AW79" s="8300"/>
      <c r="AY79" s="2919"/>
      <c r="AZ79" s="8284"/>
      <c r="BA79" s="8285"/>
      <c r="BB79" s="8286"/>
      <c r="BC79" s="64"/>
      <c r="BD79" s="8288">
        <v>74.446152910999999</v>
      </c>
      <c r="BE79" s="2926"/>
      <c r="BF79" s="8288">
        <v>70.391999999999996</v>
      </c>
    </row>
    <row r="80" spans="1:58" x14ac:dyDescent="0.35">
      <c r="A80" s="9168"/>
      <c r="B80" s="8301" t="s">
        <v>5407</v>
      </c>
      <c r="C80" s="60"/>
      <c r="E80" s="8299"/>
      <c r="F80" s="279"/>
      <c r="G80" s="8284"/>
      <c r="H80" s="8285"/>
      <c r="I80" s="64"/>
      <c r="K80" s="8284"/>
      <c r="L80" s="8284"/>
      <c r="M80" s="2918"/>
      <c r="N80" s="8284"/>
      <c r="O80" s="8285"/>
      <c r="P80" s="8286"/>
      <c r="Q80" s="64"/>
      <c r="R80" s="2926"/>
      <c r="S80" s="8284"/>
      <c r="T80" s="2926"/>
      <c r="U80" s="8284"/>
      <c r="V80" s="2919"/>
      <c r="W80" s="8284"/>
      <c r="X80" s="8285"/>
      <c r="Y80" s="8286"/>
      <c r="Z80" s="64"/>
      <c r="AA80" s="2926"/>
      <c r="AB80" s="8284"/>
      <c r="AC80" s="2926"/>
      <c r="AD80" s="8300"/>
      <c r="AE80" s="2919"/>
      <c r="AF80" s="8284"/>
      <c r="AG80" s="8285"/>
      <c r="AH80" s="8286"/>
      <c r="AI80" s="64"/>
      <c r="AJ80" s="2919"/>
      <c r="AK80" s="8284"/>
      <c r="AL80" s="2926"/>
      <c r="AM80" s="8300"/>
      <c r="AN80" s="2919"/>
      <c r="AO80" s="2919"/>
      <c r="AP80" s="8284"/>
      <c r="AQ80" s="8285"/>
      <c r="AR80" s="8286"/>
      <c r="AS80" s="64"/>
      <c r="AT80" s="2919"/>
      <c r="AU80" s="8284"/>
      <c r="AV80" s="2926"/>
      <c r="AW80" s="8300"/>
      <c r="AY80" s="2919"/>
      <c r="AZ80" s="8284"/>
      <c r="BA80" s="8285"/>
      <c r="BB80" s="8286"/>
      <c r="BC80" s="64"/>
      <c r="BD80" s="8288">
        <v>173.48717548100001</v>
      </c>
      <c r="BE80" s="2926"/>
      <c r="BF80" s="8288">
        <v>182.66399999999999</v>
      </c>
    </row>
    <row r="81" spans="1:60" x14ac:dyDescent="0.35">
      <c r="A81" s="9168"/>
      <c r="B81" s="8301" t="s">
        <v>891</v>
      </c>
      <c r="C81" s="60"/>
      <c r="E81" s="8299"/>
      <c r="F81" s="279"/>
      <c r="G81" s="8284"/>
      <c r="H81" s="8285"/>
      <c r="I81" s="64"/>
      <c r="K81" s="8284"/>
      <c r="L81" s="8284"/>
      <c r="M81" s="2918"/>
      <c r="N81" s="8284"/>
      <c r="O81" s="8285"/>
      <c r="P81" s="8286"/>
      <c r="Q81" s="64"/>
      <c r="R81" s="2926"/>
      <c r="S81" s="8284"/>
      <c r="T81" s="2926"/>
      <c r="U81" s="8284"/>
      <c r="V81" s="2919"/>
      <c r="W81" s="8284"/>
      <c r="X81" s="8285"/>
      <c r="Y81" s="8286"/>
      <c r="Z81" s="64"/>
      <c r="AA81" s="2926"/>
      <c r="AB81" s="8284"/>
      <c r="AC81" s="2926"/>
      <c r="AD81" s="8300"/>
      <c r="AE81" s="2919"/>
      <c r="AF81" s="8284"/>
      <c r="AG81" s="8285"/>
      <c r="AH81" s="8286"/>
      <c r="AI81" s="64"/>
      <c r="AJ81" s="2919"/>
      <c r="AK81" s="8284"/>
      <c r="AL81" s="2926"/>
      <c r="AM81" s="8300"/>
      <c r="AN81" s="2919"/>
      <c r="AO81" s="2919"/>
      <c r="AP81" s="8284"/>
      <c r="AQ81" s="8285"/>
      <c r="AR81" s="8286"/>
      <c r="AS81" s="64"/>
      <c r="AT81" s="2919"/>
      <c r="AU81" s="8284"/>
      <c r="AV81" s="2926"/>
      <c r="AW81" s="8300"/>
      <c r="AY81" s="2919"/>
      <c r="AZ81" s="8284"/>
      <c r="BA81" s="8285"/>
      <c r="BB81" s="8286"/>
      <c r="BC81" s="64"/>
      <c r="BD81" s="8288">
        <v>54.836616751000001</v>
      </c>
      <c r="BE81" s="2926"/>
      <c r="BF81" s="8288">
        <v>6.2110000000000003</v>
      </c>
    </row>
    <row r="82" spans="1:60" x14ac:dyDescent="0.35">
      <c r="A82" s="9168"/>
      <c r="B82" s="8301" t="s">
        <v>5408</v>
      </c>
      <c r="C82" s="60"/>
      <c r="E82" s="8299"/>
      <c r="F82" s="279"/>
      <c r="G82" s="8284"/>
      <c r="H82" s="8285"/>
      <c r="I82" s="64"/>
      <c r="K82" s="8284"/>
      <c r="L82" s="8284"/>
      <c r="M82" s="2918"/>
      <c r="N82" s="8284"/>
      <c r="O82" s="8285"/>
      <c r="P82" s="8286"/>
      <c r="Q82" s="64"/>
      <c r="R82" s="2926"/>
      <c r="S82" s="8284"/>
      <c r="T82" s="2926"/>
      <c r="U82" s="8284"/>
      <c r="V82" s="2919"/>
      <c r="W82" s="8284"/>
      <c r="X82" s="8285"/>
      <c r="Y82" s="8286"/>
      <c r="Z82" s="64"/>
      <c r="AA82" s="2926"/>
      <c r="AB82" s="8284"/>
      <c r="AC82" s="2926"/>
      <c r="AD82" s="8300"/>
      <c r="AE82" s="2919"/>
      <c r="AF82" s="8284"/>
      <c r="AG82" s="8285"/>
      <c r="AH82" s="8286"/>
      <c r="AI82" s="64"/>
      <c r="AJ82" s="2919"/>
      <c r="AK82" s="8284"/>
      <c r="AL82" s="2926"/>
      <c r="AM82" s="8300"/>
      <c r="AN82" s="2919"/>
      <c r="AO82" s="2919"/>
      <c r="AP82" s="8284"/>
      <c r="AQ82" s="8285"/>
      <c r="AR82" s="8286"/>
      <c r="AS82" s="64"/>
      <c r="AT82" s="2919"/>
      <c r="AU82" s="8284"/>
      <c r="AV82" s="2926"/>
      <c r="AW82" s="8300"/>
      <c r="AY82" s="2919"/>
      <c r="AZ82" s="8284"/>
      <c r="BA82" s="8285"/>
      <c r="BB82" s="8286"/>
      <c r="BC82" s="64"/>
      <c r="BD82" s="8288">
        <v>36.184948272</v>
      </c>
      <c r="BE82" s="2926"/>
      <c r="BF82" s="8288">
        <v>39.933</v>
      </c>
    </row>
    <row r="83" spans="1:60" x14ac:dyDescent="0.35">
      <c r="A83" s="9168"/>
      <c r="B83" s="287" t="s">
        <v>982</v>
      </c>
      <c r="C83" s="140"/>
      <c r="D83" s="143"/>
      <c r="E83" s="289"/>
      <c r="F83" s="290"/>
      <c r="G83" s="291"/>
      <c r="H83" s="292"/>
      <c r="I83" s="293"/>
      <c r="K83" s="291"/>
      <c r="L83" s="291"/>
      <c r="M83" s="245"/>
      <c r="N83" s="1192"/>
      <c r="O83" s="1194"/>
      <c r="P83" s="253"/>
      <c r="Q83" s="1195"/>
      <c r="R83" s="254"/>
      <c r="S83" s="1192"/>
      <c r="T83" s="254"/>
      <c r="U83" s="1192"/>
      <c r="V83" s="245"/>
      <c r="W83" s="291"/>
      <c r="X83" s="292"/>
      <c r="Y83" s="3726"/>
      <c r="Z83" s="293"/>
      <c r="AA83" s="254"/>
      <c r="AB83" s="291"/>
      <c r="AC83" s="2909"/>
      <c r="AD83" s="294"/>
      <c r="AE83" s="106"/>
      <c r="AF83" s="291"/>
      <c r="AG83" s="292"/>
      <c r="AH83" s="3726"/>
      <c r="AI83" s="293"/>
      <c r="AJ83" s="106"/>
      <c r="AK83" s="291"/>
      <c r="AL83" s="2909"/>
      <c r="AM83" s="294"/>
      <c r="AN83" s="106"/>
      <c r="AO83" s="106"/>
      <c r="AP83" s="291"/>
      <c r="AQ83" s="292"/>
      <c r="AR83" s="3726"/>
      <c r="AS83" s="293"/>
      <c r="AT83" s="106"/>
      <c r="AU83" s="291"/>
      <c r="AV83" s="2909"/>
      <c r="AW83" s="294"/>
      <c r="AY83" s="106"/>
      <c r="AZ83" s="291"/>
      <c r="BA83" s="292"/>
      <c r="BB83" s="3726"/>
      <c r="BC83" s="293"/>
      <c r="BD83" s="291"/>
      <c r="BE83" s="2909"/>
      <c r="BF83" s="294"/>
      <c r="BG83" s="972"/>
      <c r="BH83" s="972"/>
    </row>
    <row r="84" spans="1:60" x14ac:dyDescent="0.35">
      <c r="A84" s="9168"/>
      <c r="B84" s="8302" t="s">
        <v>1286</v>
      </c>
      <c r="C84" s="60"/>
      <c r="E84" s="521"/>
      <c r="F84" s="272"/>
      <c r="G84" s="304">
        <f>(2824766+14158148)/1000</f>
        <v>16982.914000000001</v>
      </c>
      <c r="H84" s="522">
        <f>(2824766+14158148)/1000</f>
        <v>16982.914000000001</v>
      </c>
      <c r="I84" s="297">
        <f>IF(G84=0,0,H84/G84)</f>
        <v>1</v>
      </c>
      <c r="K84" s="304">
        <f>5000+12610</f>
        <v>17610</v>
      </c>
      <c r="L84" s="304">
        <f>K84*I84</f>
        <v>17610</v>
      </c>
      <c r="M84" s="8303"/>
      <c r="N84" s="304">
        <f>5000+12610</f>
        <v>17610</v>
      </c>
      <c r="O84" s="522">
        <v>4011</v>
      </c>
      <c r="P84" s="5666"/>
      <c r="Q84" s="297">
        <f>IF(N84=0,0,O84/N84)</f>
        <v>0.22776831345826234</v>
      </c>
      <c r="R84" s="312"/>
      <c r="S84" s="304">
        <v>3680.7310000000002</v>
      </c>
      <c r="T84" s="312"/>
      <c r="U84" s="304"/>
      <c r="V84" s="8304"/>
      <c r="W84" s="3640">
        <v>4937.7309999999998</v>
      </c>
      <c r="X84" s="3095"/>
      <c r="Y84" s="7442"/>
      <c r="Z84" s="297"/>
      <c r="AA84" s="312"/>
      <c r="AB84" s="5838">
        <v>3915.335</v>
      </c>
      <c r="AC84" s="3016"/>
      <c r="AD84" s="5813"/>
      <c r="AE84" s="5708"/>
      <c r="AF84" s="5838">
        <v>3915.335</v>
      </c>
      <c r="AG84" s="3095"/>
      <c r="AH84" s="7442"/>
      <c r="AI84" s="297"/>
      <c r="AJ84" s="332"/>
      <c r="AK84" s="5838">
        <v>6306.8329999999996</v>
      </c>
      <c r="AL84" s="3016"/>
      <c r="AM84" s="5813"/>
      <c r="AN84" s="5708"/>
      <c r="AO84" s="5708"/>
      <c r="AP84" s="5838">
        <v>5585</v>
      </c>
      <c r="AQ84" s="3095"/>
      <c r="AR84" s="7442" t="s">
        <v>4514</v>
      </c>
      <c r="AS84" s="297"/>
      <c r="AT84" s="332"/>
      <c r="AU84" s="3095">
        <v>3313</v>
      </c>
      <c r="AV84" s="7442" t="s">
        <v>4514</v>
      </c>
      <c r="AW84" s="5813"/>
      <c r="AY84" s="332"/>
      <c r="AZ84" s="5838"/>
      <c r="BA84" s="3095"/>
      <c r="BB84" s="7442"/>
      <c r="BC84" s="297"/>
      <c r="BD84" s="3095"/>
      <c r="BE84" s="7442"/>
      <c r="BF84" s="5813"/>
    </row>
    <row r="85" spans="1:60" x14ac:dyDescent="0.35">
      <c r="A85" s="9168"/>
      <c r="B85" s="8302" t="s">
        <v>1288</v>
      </c>
      <c r="C85" s="60"/>
      <c r="E85" s="61"/>
      <c r="F85" s="272"/>
      <c r="G85" s="62">
        <f>(500000+3362015)/1000</f>
        <v>3862.0149999999999</v>
      </c>
      <c r="H85" s="63">
        <f>(500000+3362015)/1000</f>
        <v>3862.0149999999999</v>
      </c>
      <c r="I85" s="297">
        <f>IF(G85=0,0,H85/G85)</f>
        <v>1</v>
      </c>
      <c r="K85" s="62">
        <f>1074+4896.45</f>
        <v>5970.45</v>
      </c>
      <c r="L85" s="62">
        <f>K85*I85</f>
        <v>5970.45</v>
      </c>
      <c r="M85" s="919"/>
      <c r="N85" s="62">
        <f>1074+4896.45</f>
        <v>5970.45</v>
      </c>
      <c r="O85" s="63">
        <v>5280</v>
      </c>
      <c r="P85" s="5666"/>
      <c r="Q85" s="297">
        <f>IF(N85=0,0,O85/N85)</f>
        <v>0.88435545059417631</v>
      </c>
      <c r="R85" s="312"/>
      <c r="S85" s="62">
        <v>3260</v>
      </c>
      <c r="T85" s="312"/>
      <c r="U85" s="62"/>
      <c r="V85" s="245"/>
      <c r="W85" s="3626">
        <v>3930</v>
      </c>
      <c r="X85" s="5306"/>
      <c r="Y85" s="5666"/>
      <c r="Z85" s="297"/>
      <c r="AA85" s="312"/>
      <c r="AB85" s="2992">
        <v>2940</v>
      </c>
      <c r="AC85" s="312"/>
      <c r="AD85" s="5813"/>
      <c r="AE85" s="120"/>
      <c r="AF85" s="2992">
        <v>2940</v>
      </c>
      <c r="AG85" s="5306"/>
      <c r="AH85" s="5666"/>
      <c r="AI85" s="297"/>
      <c r="AJ85" s="106"/>
      <c r="AK85" s="2992">
        <v>3170</v>
      </c>
      <c r="AL85" s="312"/>
      <c r="AM85" s="5813"/>
      <c r="AN85" s="120"/>
      <c r="AO85" s="120"/>
      <c r="AP85" s="2992">
        <v>3735</v>
      </c>
      <c r="AQ85" s="5306"/>
      <c r="AR85" s="7442" t="s">
        <v>4514</v>
      </c>
      <c r="AS85" s="297"/>
      <c r="AT85" s="106"/>
      <c r="AU85" s="5306">
        <v>1511</v>
      </c>
      <c r="AV85" s="7442" t="s">
        <v>4514</v>
      </c>
      <c r="AW85" s="5813"/>
      <c r="AY85" s="106"/>
      <c r="AZ85" s="2992"/>
      <c r="BA85" s="5306"/>
      <c r="BB85" s="7442"/>
      <c r="BC85" s="297"/>
      <c r="BD85" s="5306"/>
      <c r="BE85" s="7442"/>
      <c r="BF85" s="5813"/>
    </row>
    <row r="86" spans="1:60" x14ac:dyDescent="0.35">
      <c r="A86" s="9168"/>
      <c r="B86" s="8302" t="s">
        <v>3511</v>
      </c>
      <c r="C86" s="60"/>
      <c r="E86" s="61"/>
      <c r="F86" s="272"/>
      <c r="G86" s="62">
        <f>(3000000)/1000</f>
        <v>3000</v>
      </c>
      <c r="H86" s="63">
        <f>3000000/1000</f>
        <v>3000</v>
      </c>
      <c r="I86" s="297">
        <f>IF(G86=0,0,H86/G86)</f>
        <v>1</v>
      </c>
      <c r="K86" s="62">
        <f>13282</f>
        <v>13282</v>
      </c>
      <c r="L86" s="62">
        <f>K86*I86</f>
        <v>13282</v>
      </c>
      <c r="M86" s="919"/>
      <c r="N86" s="62">
        <f>13282</f>
        <v>13282</v>
      </c>
      <c r="O86" s="63">
        <v>10355</v>
      </c>
      <c r="P86" s="5666"/>
      <c r="Q86" s="297">
        <f>IF(N86=0,0,O86/N86)</f>
        <v>0.77962656226471916</v>
      </c>
      <c r="R86" s="312"/>
      <c r="S86" s="62">
        <v>11465</v>
      </c>
      <c r="T86" s="312"/>
      <c r="U86" s="62"/>
      <c r="V86" s="245"/>
      <c r="W86" s="3626">
        <v>17850</v>
      </c>
      <c r="X86" s="5306"/>
      <c r="Y86" s="5666"/>
      <c r="Z86" s="297"/>
      <c r="AA86" s="312"/>
      <c r="AB86" s="2992">
        <v>21250</v>
      </c>
      <c r="AC86" s="312"/>
      <c r="AD86" s="5813"/>
      <c r="AE86" s="120"/>
      <c r="AF86" s="2992">
        <v>21250</v>
      </c>
      <c r="AG86" s="5306"/>
      <c r="AH86" s="5666"/>
      <c r="AI86" s="297"/>
      <c r="AJ86" s="106"/>
      <c r="AK86" s="2992">
        <v>40471</v>
      </c>
      <c r="AL86" s="312"/>
      <c r="AM86" s="5813"/>
      <c r="AN86" s="120"/>
      <c r="AO86" s="120"/>
      <c r="AP86" s="2992">
        <v>40471</v>
      </c>
      <c r="AQ86" s="5306"/>
      <c r="AR86" s="7442" t="s">
        <v>4514</v>
      </c>
      <c r="AS86" s="297"/>
      <c r="AT86" s="106"/>
      <c r="AU86" s="5306">
        <v>22054</v>
      </c>
      <c r="AV86" s="7442" t="s">
        <v>4514</v>
      </c>
      <c r="AW86" s="5813"/>
      <c r="AY86" s="106"/>
      <c r="AZ86" s="2992"/>
      <c r="BA86" s="5306"/>
      <c r="BB86" s="7442"/>
      <c r="BC86" s="297"/>
      <c r="BD86" s="5306"/>
      <c r="BE86" s="7442"/>
      <c r="BF86" s="5813"/>
    </row>
    <row r="87" spans="1:60" x14ac:dyDescent="0.35">
      <c r="A87" s="9169"/>
      <c r="B87" s="2950"/>
      <c r="C87" s="87"/>
      <c r="E87" s="88"/>
      <c r="F87" s="274"/>
      <c r="G87" s="89"/>
      <c r="H87" s="90"/>
      <c r="I87" s="307">
        <f>IF(G87=0,0,H87/G87)</f>
        <v>0</v>
      </c>
      <c r="K87" s="89"/>
      <c r="L87" s="89">
        <f>K87*I87</f>
        <v>0</v>
      </c>
      <c r="M87" s="919"/>
      <c r="N87" s="89"/>
      <c r="O87" s="90"/>
      <c r="P87" s="5666"/>
      <c r="Q87" s="307">
        <f>IF(N87=0,0,O87/N87)</f>
        <v>0</v>
      </c>
      <c r="R87" s="312"/>
      <c r="S87" s="89"/>
      <c r="T87" s="312"/>
      <c r="U87" s="89"/>
      <c r="V87" s="245"/>
      <c r="W87" s="89"/>
      <c r="X87" s="90"/>
      <c r="Y87" s="7453"/>
      <c r="Z87" s="307"/>
      <c r="AA87" s="312"/>
      <c r="AB87" s="768"/>
      <c r="AC87" s="3054"/>
      <c r="AD87" s="5822"/>
      <c r="AE87" s="120"/>
      <c r="AF87" s="768"/>
      <c r="AG87" s="90"/>
      <c r="AH87" s="7453"/>
      <c r="AI87" s="307"/>
      <c r="AJ87" s="106"/>
      <c r="AK87" s="768"/>
      <c r="AL87" s="3054"/>
      <c r="AM87" s="5822"/>
      <c r="AN87" s="120"/>
      <c r="AO87" s="120"/>
      <c r="AP87" s="768"/>
      <c r="AQ87" s="90"/>
      <c r="AR87" s="7453"/>
      <c r="AS87" s="307"/>
      <c r="AT87" s="106"/>
      <c r="AU87" s="768"/>
      <c r="AV87" s="3054"/>
      <c r="AW87" s="5822"/>
      <c r="AY87" s="106"/>
      <c r="AZ87" s="768"/>
      <c r="BA87" s="90"/>
      <c r="BB87" s="7453"/>
      <c r="BC87" s="307"/>
      <c r="BD87" s="768"/>
      <c r="BE87" s="3054"/>
      <c r="BF87" s="5822"/>
    </row>
    <row r="88" spans="1:60" s="462" customFormat="1" x14ac:dyDescent="0.35">
      <c r="A88" s="310"/>
      <c r="B88" s="310"/>
      <c r="C88" s="5"/>
      <c r="D88" s="1"/>
      <c r="E88" s="106"/>
      <c r="F88" s="1"/>
      <c r="G88" s="106"/>
      <c r="H88" s="106"/>
      <c r="I88" s="311"/>
      <c r="J88" s="1"/>
      <c r="K88" s="106"/>
      <c r="L88" s="106"/>
      <c r="M88" s="106"/>
      <c r="N88" s="312"/>
      <c r="O88" s="312"/>
      <c r="P88" s="7448"/>
      <c r="Q88" s="311"/>
      <c r="R88" s="312"/>
      <c r="S88" s="312"/>
      <c r="T88" s="312"/>
      <c r="U88" s="312"/>
      <c r="V88" s="106"/>
      <c r="W88" s="312"/>
      <c r="X88" s="312"/>
      <c r="Y88" s="5666"/>
      <c r="Z88" s="311"/>
      <c r="AA88" s="312"/>
      <c r="AB88" s="312"/>
      <c r="AC88" s="312"/>
      <c r="AD88" s="312"/>
      <c r="AE88" s="106"/>
      <c r="AF88" s="312"/>
      <c r="AG88" s="312"/>
      <c r="AH88" s="5666"/>
      <c r="AI88" s="311"/>
      <c r="AJ88" s="106"/>
      <c r="AK88" s="312"/>
      <c r="AL88" s="312"/>
      <c r="AM88" s="312"/>
      <c r="AN88" s="106"/>
      <c r="AO88" s="106"/>
      <c r="AP88" s="7455"/>
      <c r="AQ88" s="312"/>
      <c r="AR88" s="5666"/>
      <c r="AS88" s="311"/>
      <c r="AT88" s="106"/>
      <c r="AU88" s="312"/>
      <c r="AV88" s="312"/>
      <c r="AW88" s="312"/>
      <c r="AX88"/>
      <c r="AY88" s="106"/>
      <c r="AZ88" s="312"/>
      <c r="BA88" s="312"/>
      <c r="BB88" s="5666"/>
      <c r="BC88" s="311"/>
      <c r="BD88" s="312"/>
      <c r="BE88" s="312"/>
      <c r="BF88" s="312"/>
      <c r="BG88"/>
      <c r="BH88"/>
    </row>
    <row r="89" spans="1:60" s="462" customFormat="1" x14ac:dyDescent="0.35">
      <c r="A89" s="9167" t="s">
        <v>988</v>
      </c>
      <c r="B89" s="139" t="s">
        <v>989</v>
      </c>
      <c r="C89" s="49"/>
      <c r="D89" s="141"/>
      <c r="E89" s="227"/>
      <c r="F89" s="141"/>
      <c r="G89" s="102"/>
      <c r="H89" s="103"/>
      <c r="I89" s="228"/>
      <c r="J89" s="141"/>
      <c r="K89" s="102"/>
      <c r="L89" s="102"/>
      <c r="M89" s="245"/>
      <c r="N89" s="102"/>
      <c r="O89" s="103"/>
      <c r="P89" s="253"/>
      <c r="Q89" s="228"/>
      <c r="R89" s="254"/>
      <c r="S89" s="102"/>
      <c r="T89" s="254"/>
      <c r="U89" s="102"/>
      <c r="V89" s="245"/>
      <c r="W89" s="102"/>
      <c r="X89" s="103"/>
      <c r="Y89" s="3726"/>
      <c r="Z89" s="228"/>
      <c r="AA89" s="254"/>
      <c r="AB89" s="102"/>
      <c r="AC89" s="2909"/>
      <c r="AD89" s="105"/>
      <c r="AE89" s="106"/>
      <c r="AF89" s="102"/>
      <c r="AG89" s="103"/>
      <c r="AH89" s="3726"/>
      <c r="AI89" s="228"/>
      <c r="AJ89" s="106"/>
      <c r="AK89" s="102"/>
      <c r="AL89" s="2909"/>
      <c r="AM89" s="105"/>
      <c r="AN89" s="106"/>
      <c r="AO89" s="106"/>
      <c r="AP89" s="7054"/>
      <c r="AQ89" s="103"/>
      <c r="AR89" s="3726"/>
      <c r="AS89" s="228"/>
      <c r="AT89" s="106"/>
      <c r="AU89" s="102"/>
      <c r="AV89" s="2909"/>
      <c r="AW89" s="105"/>
      <c r="AX89"/>
      <c r="AY89" s="106"/>
      <c r="AZ89" s="102"/>
      <c r="BA89" s="103"/>
      <c r="BB89" s="3726"/>
      <c r="BC89" s="228"/>
      <c r="BD89" s="102"/>
      <c r="BE89" s="2909"/>
      <c r="BF89" s="105"/>
      <c r="BG89"/>
      <c r="BH89"/>
    </row>
    <row r="90" spans="1:60" s="462" customFormat="1" ht="12" customHeight="1" x14ac:dyDescent="0.35">
      <c r="A90" s="9168"/>
      <c r="B90" s="6082"/>
      <c r="C90" s="110" t="s">
        <v>990</v>
      </c>
      <c r="D90" s="1"/>
      <c r="E90" s="349">
        <f>SUM(E34:E38)-SUM(E42:E44)</f>
        <v>0</v>
      </c>
      <c r="F90" s="350"/>
      <c r="G90" s="351">
        <f>SUM(G34:G38)-SUM(G42:G44)</f>
        <v>515378.21909999999</v>
      </c>
      <c r="H90" s="352">
        <f>SUM(H34:H38)-SUM(H42:H44)</f>
        <v>518548.53827000002</v>
      </c>
      <c r="I90" s="246"/>
      <c r="J90" s="350"/>
      <c r="K90" s="351">
        <f>SUM(K34:K38)-SUM(K42:K44)</f>
        <v>531313.07293999998</v>
      </c>
      <c r="L90" s="351">
        <f>SUM(L34:L38)-SUM(L42:L44)</f>
        <v>533416.30030059721</v>
      </c>
      <c r="M90" s="351"/>
      <c r="N90" s="351">
        <f>SUM(N34:N40)-SUM(N42:N44)</f>
        <v>531313.07293999998</v>
      </c>
      <c r="O90" s="352">
        <f>SUM(O34:O38)-SUM(O42:O44)</f>
        <v>519234.190749</v>
      </c>
      <c r="P90" s="7457"/>
      <c r="Q90" s="246"/>
      <c r="R90" s="352"/>
      <c r="S90" s="351">
        <f>SUM(S34:S40)-SUM(S42:S44)</f>
        <v>557975.21129999997</v>
      </c>
      <c r="T90" s="352"/>
      <c r="U90" s="351">
        <f>SUM(U34:U38)-SUM(U42:U44)</f>
        <v>550207.2583277754</v>
      </c>
      <c r="V90" s="351"/>
      <c r="W90" s="351">
        <f>SUM(W34:W40)-SUM(W42:W44)</f>
        <v>574823.52331800002</v>
      </c>
      <c r="X90" s="352">
        <f>SUM(X34:X40)-SUM(X42:X44)</f>
        <v>564390.01938886882</v>
      </c>
      <c r="Y90" s="7457"/>
      <c r="Z90" s="246"/>
      <c r="AA90" s="352"/>
      <c r="AB90" s="351">
        <f>SUM(AB34:AB40)-SUM(AB42:AB44)</f>
        <v>601264.75783999998</v>
      </c>
      <c r="AC90" s="352"/>
      <c r="AD90" s="353">
        <f>SUM(AD34:AD40)-SUM(AD42:AD44)</f>
        <v>590542.93655234855</v>
      </c>
      <c r="AE90" s="352"/>
      <c r="AF90" s="351">
        <f>SUM(AF34:AF40)-SUM(AF42:AF44)</f>
        <v>601264.75783999998</v>
      </c>
      <c r="AG90" s="352">
        <f>SUM(AG34:AG40)-SUM(AG42:AG44)</f>
        <v>563866.51092100004</v>
      </c>
      <c r="AH90" s="7457"/>
      <c r="AI90" s="246"/>
      <c r="AJ90" s="352"/>
      <c r="AK90" s="351">
        <f>SUM(AK34:AK40)-SUM(AK42:AK44)</f>
        <v>670547.08725899993</v>
      </c>
      <c r="AL90" s="352"/>
      <c r="AM90" s="353">
        <f>SUM(AM34:AM40)-SUM(AM42:AM44)</f>
        <v>689514.58709421253</v>
      </c>
      <c r="AN90" s="352"/>
      <c r="AO90" s="352"/>
      <c r="AP90" s="7456">
        <f>SUM(AP34:AP40)-SUM(AP42:AP44)</f>
        <v>670547.08725899993</v>
      </c>
      <c r="AQ90" s="352">
        <f>SUM(AQ34:AQ40)-SUM(AQ42:AQ44)</f>
        <v>629521</v>
      </c>
      <c r="AR90" s="7457"/>
      <c r="AS90" s="246"/>
      <c r="AT90" s="352"/>
      <c r="AU90" s="351">
        <f>SUM(AU34:AU40)-SUM(AU42:AU44)</f>
        <v>730407</v>
      </c>
      <c r="AV90" s="352"/>
      <c r="AW90" s="352">
        <f>SUM(AW34:AW40)-SUM(AW42:AW44)</f>
        <v>682705.49302807054</v>
      </c>
      <c r="AX90"/>
      <c r="AY90" s="352"/>
      <c r="AZ90" s="351">
        <f>SUM(AZ34:AZ40)-SUM(AZ42:AZ44)</f>
        <v>728.23864862999994</v>
      </c>
      <c r="BA90" s="352">
        <f>SUM(BA34:BA40)-SUM(BA42:BA44)</f>
        <v>668.96844283400003</v>
      </c>
      <c r="BB90" s="7457"/>
      <c r="BC90" s="246"/>
      <c r="BD90" s="8291">
        <f>SUM(BD78:BD82)</f>
        <v>780.28846629700001</v>
      </c>
      <c r="BE90" s="352"/>
      <c r="BF90" s="353">
        <f>SUM(BF78:BF82)</f>
        <v>740.53357288200004</v>
      </c>
      <c r="BG90"/>
      <c r="BH90"/>
    </row>
    <row r="91" spans="1:60" s="462" customFormat="1" x14ac:dyDescent="0.35">
      <c r="A91" s="9168"/>
      <c r="B91" s="6082"/>
      <c r="C91" s="110" t="s">
        <v>944</v>
      </c>
      <c r="D91" s="1"/>
      <c r="E91" s="349">
        <f>SUM(E46:E64)</f>
        <v>0</v>
      </c>
      <c r="F91" s="350"/>
      <c r="G91" s="351">
        <f>SUM(G46:G64)</f>
        <v>0</v>
      </c>
      <c r="H91" s="352">
        <f>SUM(H46:H64)</f>
        <v>0</v>
      </c>
      <c r="I91" s="246"/>
      <c r="J91" s="350"/>
      <c r="K91" s="351">
        <f>SUM(K46:K64)</f>
        <v>0</v>
      </c>
      <c r="L91" s="351">
        <f>SUM(L46:L64)</f>
        <v>0</v>
      </c>
      <c r="M91" s="351"/>
      <c r="N91" s="351">
        <f>SUM(N46:N64)</f>
        <v>0</v>
      </c>
      <c r="O91" s="352">
        <f>SUM(O46:O64)</f>
        <v>0</v>
      </c>
      <c r="P91" s="7457"/>
      <c r="Q91" s="246"/>
      <c r="R91" s="352"/>
      <c r="S91" s="351">
        <f>SUM(S46:S64)</f>
        <v>0</v>
      </c>
      <c r="T91" s="352"/>
      <c r="U91" s="351">
        <f>SUM(U46:U64)</f>
        <v>0</v>
      </c>
      <c r="V91" s="351"/>
      <c r="W91" s="351">
        <f>SUM(W46:W64)</f>
        <v>0</v>
      </c>
      <c r="X91" s="352">
        <f>SUM(X46:X64)</f>
        <v>0</v>
      </c>
      <c r="Y91" s="7457"/>
      <c r="Z91" s="246"/>
      <c r="AA91" s="352"/>
      <c r="AB91" s="351">
        <f>SUM(AB46:AB64)</f>
        <v>0</v>
      </c>
      <c r="AC91" s="352"/>
      <c r="AD91" s="353">
        <f>SUM(AD46:AD64)</f>
        <v>0</v>
      </c>
      <c r="AE91" s="352"/>
      <c r="AF91" s="351">
        <f>SUM(AF46:AF64)</f>
        <v>0</v>
      </c>
      <c r="AG91" s="352">
        <f>SUM(AG46:AG64)</f>
        <v>0</v>
      </c>
      <c r="AH91" s="7457"/>
      <c r="AI91" s="246"/>
      <c r="AJ91" s="352"/>
      <c r="AK91" s="351">
        <f>SUM(AK46:AK64)</f>
        <v>0</v>
      </c>
      <c r="AL91" s="352"/>
      <c r="AM91" s="353">
        <f>SUM(AM46:AM64)</f>
        <v>0</v>
      </c>
      <c r="AN91" s="352"/>
      <c r="AO91" s="352"/>
      <c r="AP91" s="7456">
        <f>SUM(AP46:AP64)</f>
        <v>0</v>
      </c>
      <c r="AQ91" s="352">
        <f>SUM(AQ46:AQ64)</f>
        <v>0</v>
      </c>
      <c r="AR91" s="7457"/>
      <c r="AS91" s="246"/>
      <c r="AT91" s="352"/>
      <c r="AU91" s="351">
        <f>SUM(AU46:AU64)</f>
        <v>0</v>
      </c>
      <c r="AV91" s="352"/>
      <c r="AW91" s="353">
        <f>SUM(AW46:AW64)</f>
        <v>0</v>
      </c>
      <c r="AX91"/>
      <c r="AY91" s="352"/>
      <c r="AZ91" s="351">
        <f>SUM(AZ46:AZ64)</f>
        <v>0</v>
      </c>
      <c r="BA91" s="352">
        <f>SUM(BA46:BA64)</f>
        <v>0</v>
      </c>
      <c r="BB91" s="7457"/>
      <c r="BC91" s="246"/>
      <c r="BD91" s="351"/>
      <c r="BE91" s="352"/>
      <c r="BF91" s="353"/>
      <c r="BG91"/>
      <c r="BH91"/>
    </row>
    <row r="92" spans="1:60" s="462" customFormat="1" x14ac:dyDescent="0.35">
      <c r="A92" s="9168"/>
      <c r="B92" s="6082"/>
      <c r="C92" s="110" t="s">
        <v>991</v>
      </c>
      <c r="D92" s="1"/>
      <c r="E92" s="349">
        <f>SUM(E66:E73)*E29</f>
        <v>0</v>
      </c>
      <c r="F92" s="350"/>
      <c r="G92" s="351">
        <f>SUM(G66:G73)*G29</f>
        <v>0</v>
      </c>
      <c r="H92" s="352">
        <f>SUM(H66:H73)*H29</f>
        <v>0</v>
      </c>
      <c r="I92" s="246"/>
      <c r="J92" s="350"/>
      <c r="K92" s="351">
        <f>SUM(K66:K73)*K29</f>
        <v>0</v>
      </c>
      <c r="L92" s="351">
        <f>SUM(L66:L73)*L29</f>
        <v>0</v>
      </c>
      <c r="M92" s="351"/>
      <c r="N92" s="351">
        <f>SUM(N66:N73)*N29</f>
        <v>0</v>
      </c>
      <c r="O92" s="352">
        <f>SUM(O66:O73)*O29</f>
        <v>0</v>
      </c>
      <c r="P92" s="7457"/>
      <c r="Q92" s="246"/>
      <c r="R92" s="352"/>
      <c r="S92" s="351">
        <f>SUM(S66:S73)*S29</f>
        <v>0</v>
      </c>
      <c r="T92" s="352"/>
      <c r="U92" s="351">
        <f>SUM(U66:U73)*U29</f>
        <v>0</v>
      </c>
      <c r="V92" s="351"/>
      <c r="W92" s="351">
        <f>SUM(W66:W73)*W29</f>
        <v>0</v>
      </c>
      <c r="X92" s="352">
        <f>SUM(X66:X73)*X29</f>
        <v>0</v>
      </c>
      <c r="Y92" s="7457"/>
      <c r="Z92" s="246"/>
      <c r="AA92" s="352"/>
      <c r="AB92" s="351">
        <f>SUM(AB66:AB73)*AB29</f>
        <v>0</v>
      </c>
      <c r="AC92" s="352"/>
      <c r="AD92" s="353">
        <f>SUM(AD66:AD73)*AD29</f>
        <v>0</v>
      </c>
      <c r="AE92" s="352"/>
      <c r="AF92" s="351">
        <f>SUM(AF66:AF73)*AF29</f>
        <v>0</v>
      </c>
      <c r="AG92" s="352">
        <f>SUM(AG66:AG73)*AG29</f>
        <v>0</v>
      </c>
      <c r="AH92" s="7457"/>
      <c r="AI92" s="246"/>
      <c r="AJ92" s="352"/>
      <c r="AK92" s="351">
        <f>SUM(AK66:AK73)*AK29</f>
        <v>0</v>
      </c>
      <c r="AL92" s="352"/>
      <c r="AM92" s="353">
        <f>SUM(AM66:AM73)*AM29</f>
        <v>0</v>
      </c>
      <c r="AN92" s="352"/>
      <c r="AO92" s="352"/>
      <c r="AP92" s="7456">
        <f>SUM(AP66:AP73)*AP29</f>
        <v>0</v>
      </c>
      <c r="AQ92" s="352">
        <f>SUM(AQ66:AQ73)*AQ29</f>
        <v>0</v>
      </c>
      <c r="AR92" s="7457"/>
      <c r="AS92" s="246"/>
      <c r="AT92" s="352"/>
      <c r="AU92" s="351">
        <f>SUM(AU66:AU73)*AU29</f>
        <v>0</v>
      </c>
      <c r="AV92" s="352"/>
      <c r="AW92" s="353">
        <f>SUM(AW66:AW73)*AW29</f>
        <v>0</v>
      </c>
      <c r="AX92"/>
      <c r="AY92" s="352"/>
      <c r="AZ92" s="351">
        <f>SUM(AZ66:AZ73)*AZ29</f>
        <v>0</v>
      </c>
      <c r="BA92" s="352">
        <f>SUM(BA66:BA73)*BA29</f>
        <v>0</v>
      </c>
      <c r="BB92" s="7457"/>
      <c r="BC92" s="246"/>
      <c r="BD92" s="351">
        <f>SUM(BD66:BD73)*BD29</f>
        <v>0</v>
      </c>
      <c r="BE92" s="352"/>
      <c r="BF92" s="353">
        <f>SUM(BF66:BF73)*BF29</f>
        <v>0</v>
      </c>
      <c r="BG92"/>
      <c r="BH92"/>
    </row>
    <row r="93" spans="1:60" s="462" customFormat="1" x14ac:dyDescent="0.35">
      <c r="A93" s="9168"/>
      <c r="B93" s="6082"/>
      <c r="C93" s="110" t="s">
        <v>979</v>
      </c>
      <c r="D93" s="1"/>
      <c r="E93" s="349">
        <f>E75</f>
        <v>0</v>
      </c>
      <c r="F93" s="350"/>
      <c r="G93" s="351">
        <f>G75</f>
        <v>0</v>
      </c>
      <c r="H93" s="352">
        <f>H75</f>
        <v>0</v>
      </c>
      <c r="I93" s="246"/>
      <c r="J93" s="350"/>
      <c r="K93" s="351">
        <f>K75</f>
        <v>0</v>
      </c>
      <c r="L93" s="351">
        <f>L75</f>
        <v>0</v>
      </c>
      <c r="M93" s="351"/>
      <c r="N93" s="351">
        <f>N75</f>
        <v>0</v>
      </c>
      <c r="O93" s="352">
        <f>O75</f>
        <v>0</v>
      </c>
      <c r="P93" s="7457"/>
      <c r="Q93" s="246"/>
      <c r="R93" s="352"/>
      <c r="S93" s="351">
        <f>S75</f>
        <v>0</v>
      </c>
      <c r="T93" s="352"/>
      <c r="U93" s="351">
        <f>U75</f>
        <v>0</v>
      </c>
      <c r="V93" s="351"/>
      <c r="W93" s="351">
        <f>W75</f>
        <v>0</v>
      </c>
      <c r="X93" s="352">
        <f>X75</f>
        <v>0</v>
      </c>
      <c r="Y93" s="7457"/>
      <c r="Z93" s="246"/>
      <c r="AA93" s="352"/>
      <c r="AB93" s="351">
        <f>AB75</f>
        <v>0</v>
      </c>
      <c r="AC93" s="352"/>
      <c r="AD93" s="353">
        <f>AD75</f>
        <v>0</v>
      </c>
      <c r="AE93" s="352"/>
      <c r="AF93" s="351">
        <f>AF75</f>
        <v>0</v>
      </c>
      <c r="AG93" s="352">
        <f>AG75</f>
        <v>0</v>
      </c>
      <c r="AH93" s="7457"/>
      <c r="AI93" s="246"/>
      <c r="AJ93" s="352"/>
      <c r="AK93" s="351">
        <f>AK75</f>
        <v>0</v>
      </c>
      <c r="AL93" s="352"/>
      <c r="AM93" s="353">
        <f>AM75</f>
        <v>0</v>
      </c>
      <c r="AN93" s="352"/>
      <c r="AO93" s="352"/>
      <c r="AP93" s="7456">
        <f>AP75</f>
        <v>0</v>
      </c>
      <c r="AQ93" s="352">
        <f>AQ75</f>
        <v>0</v>
      </c>
      <c r="AR93" s="7457"/>
      <c r="AS93" s="246"/>
      <c r="AT93" s="352"/>
      <c r="AU93" s="351">
        <f>AU75</f>
        <v>0</v>
      </c>
      <c r="AV93" s="352"/>
      <c r="AW93" s="353">
        <f>AW75</f>
        <v>0</v>
      </c>
      <c r="AX93"/>
      <c r="AY93" s="352"/>
      <c r="AZ93" s="351">
        <f>AZ75</f>
        <v>0</v>
      </c>
      <c r="BA93" s="352">
        <f>BA75</f>
        <v>0</v>
      </c>
      <c r="BB93" s="7457"/>
      <c r="BC93" s="246"/>
      <c r="BD93" s="351">
        <f>BD75</f>
        <v>0</v>
      </c>
      <c r="BE93" s="352"/>
      <c r="BF93" s="353">
        <f>BF75</f>
        <v>0</v>
      </c>
      <c r="BG93"/>
      <c r="BH93"/>
    </row>
    <row r="94" spans="1:60" s="462" customFormat="1" x14ac:dyDescent="0.35">
      <c r="A94" s="9168"/>
      <c r="B94" s="6082"/>
      <c r="C94" s="356" t="s">
        <v>992</v>
      </c>
      <c r="D94" s="143"/>
      <c r="E94" s="357">
        <f>SUM(E90:E93)</f>
        <v>0</v>
      </c>
      <c r="F94" s="358"/>
      <c r="G94" s="359">
        <f>SUM(G90:G93)</f>
        <v>515378.21909999999</v>
      </c>
      <c r="H94" s="360">
        <f>SUM(H90:H93)</f>
        <v>518548.53827000002</v>
      </c>
      <c r="I94" s="361"/>
      <c r="J94" s="358"/>
      <c r="K94" s="359">
        <f>SUM(K90:K93)</f>
        <v>531313.07293999998</v>
      </c>
      <c r="L94" s="359">
        <f>SUM(L90:L93)</f>
        <v>533416.30030059721</v>
      </c>
      <c r="M94" s="359"/>
      <c r="N94" s="359">
        <f>SUM(N90:N93)</f>
        <v>531313.07293999998</v>
      </c>
      <c r="O94" s="360">
        <f>SUM(O90:O93)</f>
        <v>519234.190749</v>
      </c>
      <c r="P94" s="7459"/>
      <c r="Q94" s="361"/>
      <c r="R94" s="360"/>
      <c r="S94" s="359">
        <f>SUM(S90:S93)</f>
        <v>557975.21129999997</v>
      </c>
      <c r="T94" s="360"/>
      <c r="U94" s="359">
        <f>SUM(U90:U93)</f>
        <v>550207.2583277754</v>
      </c>
      <c r="V94" s="359"/>
      <c r="W94" s="359">
        <f>SUM(W90:W93)</f>
        <v>574823.52331800002</v>
      </c>
      <c r="X94" s="360">
        <f>SUM(X90:X93)</f>
        <v>564390.01938886882</v>
      </c>
      <c r="Y94" s="7459"/>
      <c r="Z94" s="361"/>
      <c r="AA94" s="360"/>
      <c r="AB94" s="359">
        <f>SUM(AB90:AB93)</f>
        <v>601264.75783999998</v>
      </c>
      <c r="AC94" s="360"/>
      <c r="AD94" s="362">
        <f>SUM(AD90:AD93)</f>
        <v>590542.93655234855</v>
      </c>
      <c r="AE94" s="360"/>
      <c r="AF94" s="359">
        <f>SUM(AF90:AF93)</f>
        <v>601264.75783999998</v>
      </c>
      <c r="AG94" s="360">
        <f>SUM(AG90:AG93)</f>
        <v>563866.51092100004</v>
      </c>
      <c r="AH94" s="7459"/>
      <c r="AI94" s="361"/>
      <c r="AJ94" s="360"/>
      <c r="AK94" s="359">
        <f>SUM(AK90:AK93)</f>
        <v>670547.08725899993</v>
      </c>
      <c r="AL94" s="360"/>
      <c r="AM94" s="362">
        <f>SUM(AM90:AM93)</f>
        <v>689514.58709421253</v>
      </c>
      <c r="AN94" s="360"/>
      <c r="AO94" s="360"/>
      <c r="AP94" s="7458">
        <f>SUM(AP90:AP93)</f>
        <v>670547.08725899993</v>
      </c>
      <c r="AQ94" s="360">
        <f>SUM(AQ90:AQ93)</f>
        <v>629521</v>
      </c>
      <c r="AR94" s="7459"/>
      <c r="AS94" s="361"/>
      <c r="AT94" s="360"/>
      <c r="AU94" s="359">
        <f>SUM(AU90:AU93)</f>
        <v>730407</v>
      </c>
      <c r="AV94" s="360"/>
      <c r="AW94" s="362">
        <f>SUM(AW90:AW93)</f>
        <v>682705.49302807054</v>
      </c>
      <c r="AX94"/>
      <c r="AY94" s="360"/>
      <c r="AZ94" s="359">
        <f>SUM(AZ90:AZ93)</f>
        <v>728.23864862999994</v>
      </c>
      <c r="BA94" s="360">
        <f>SUM(BA90:BA93)</f>
        <v>668.96844283400003</v>
      </c>
      <c r="BB94" s="7459"/>
      <c r="BC94" s="361"/>
      <c r="BD94" s="359">
        <f>SUM(BD90:BD93)</f>
        <v>780.28846629700001</v>
      </c>
      <c r="BE94" s="360"/>
      <c r="BF94" s="362">
        <f>SUM(BF90:BF93)</f>
        <v>740.53357288200004</v>
      </c>
      <c r="BG94"/>
      <c r="BH94"/>
    </row>
    <row r="95" spans="1:60" s="462" customFormat="1" ht="15.5" x14ac:dyDescent="0.35">
      <c r="A95" s="9168"/>
      <c r="B95" s="6082"/>
      <c r="C95" s="365" t="s">
        <v>993</v>
      </c>
      <c r="D95" s="1"/>
      <c r="E95" s="366" t="e">
        <f>E94/(E18+E19)</f>
        <v>#DIV/0!</v>
      </c>
      <c r="F95" s="367"/>
      <c r="G95" s="368">
        <f>G94/(G18+G19)</f>
        <v>0.24283833139362299</v>
      </c>
      <c r="H95" s="369"/>
      <c r="I95" s="370"/>
      <c r="J95" s="367"/>
      <c r="K95" s="368">
        <f>K94/(K18+K19)</f>
        <v>0.24385895951480926</v>
      </c>
      <c r="L95" s="368"/>
      <c r="M95" s="368"/>
      <c r="N95" s="368">
        <f>N94/(N18+N19+N20)</f>
        <v>0.24385895951480926</v>
      </c>
      <c r="O95" s="369"/>
      <c r="P95" s="5839"/>
      <c r="Q95" s="370"/>
      <c r="R95" s="369"/>
      <c r="S95" s="368">
        <f>S94/(S18+S19+S20)</f>
        <v>0.23957716243022756</v>
      </c>
      <c r="T95" s="369"/>
      <c r="U95" s="368"/>
      <c r="V95" s="368"/>
      <c r="W95" s="368">
        <f>W94/(W18+W19+W20)</f>
        <v>0.22956971949070198</v>
      </c>
      <c r="X95" s="369">
        <f>X94/(X18+X19+X20)</f>
        <v>0.22265935057153879</v>
      </c>
      <c r="Y95" s="5839"/>
      <c r="Z95" s="370"/>
      <c r="AA95" s="369"/>
      <c r="AB95" s="368">
        <f>AB94/(AB18+AB19+AB20)</f>
        <v>0.23412824961644796</v>
      </c>
      <c r="AC95" s="369"/>
      <c r="AD95" s="370">
        <f>AD94/(AD18+AD19+AD20)</f>
        <v>0.22734736877988854</v>
      </c>
      <c r="AE95" s="369"/>
      <c r="AF95" s="368">
        <f>AF94/(AF18+AF19+AF20)</f>
        <v>0.23412824961644796</v>
      </c>
      <c r="AG95" s="369">
        <f>AG94/(AG18+AG19+AG20)</f>
        <v>0.21978232926236999</v>
      </c>
      <c r="AH95" s="5839"/>
      <c r="AI95" s="370"/>
      <c r="AJ95" s="369"/>
      <c r="AK95" s="368">
        <f>AK94/(AK18+AK19+AK20)</f>
        <v>0.24108257972927299</v>
      </c>
      <c r="AL95" s="369"/>
      <c r="AM95" s="370">
        <f>AM94/(AM18+AM19+AM20)</f>
        <v>0.25719231277736176</v>
      </c>
      <c r="AN95" s="369"/>
      <c r="AO95" s="369"/>
      <c r="AP95" s="7460">
        <f>AP94/(AP18+AP19+AP20)</f>
        <v>0.24108257972927299</v>
      </c>
      <c r="AQ95" s="369">
        <f>AQ94/(AQ18+AQ19+AQ20)</f>
        <v>0.23481353555096346</v>
      </c>
      <c r="AR95" s="5839"/>
      <c r="AS95" s="370"/>
      <c r="AT95" s="369"/>
      <c r="AU95" s="368">
        <f>AU94/(AU18+AU19+AU20)</f>
        <v>0.23610107252991641</v>
      </c>
      <c r="AV95" s="369"/>
      <c r="AW95" s="370">
        <f>AW94/(AW18+AW19+AW20)</f>
        <v>0.22376963516962714</v>
      </c>
      <c r="AX95"/>
      <c r="AY95" s="369"/>
      <c r="AZ95" s="368">
        <f>AZ94/(AZ18+AZ19+AZ20)</f>
        <v>0.23540016182659793</v>
      </c>
      <c r="BA95" s="369">
        <f>BA94/(BA18+BA19+BA20)</f>
        <v>0.21926705720354123</v>
      </c>
      <c r="BB95" s="5839"/>
      <c r="BC95" s="370"/>
      <c r="BD95" s="368">
        <f>BD94/(BD18+BD19+BD20)</f>
        <v>0.21830525313963575</v>
      </c>
      <c r="BE95" s="369"/>
      <c r="BF95" s="370">
        <f>BF94/(BF18+BF19+BF20)</f>
        <v>0.21051401549915572</v>
      </c>
      <c r="BG95"/>
      <c r="BH95"/>
    </row>
    <row r="96" spans="1:60" s="462" customFormat="1" x14ac:dyDescent="0.35">
      <c r="A96" s="9168"/>
      <c r="B96" s="5629"/>
      <c r="C96" s="296" t="s">
        <v>994</v>
      </c>
      <c r="D96" s="5974"/>
      <c r="E96" s="1713"/>
      <c r="F96" s="3189"/>
      <c r="G96" s="566"/>
      <c r="H96" s="567"/>
      <c r="I96" s="2964"/>
      <c r="J96" s="3189"/>
      <c r="K96" s="571"/>
      <c r="L96" s="567"/>
      <c r="M96" s="2974"/>
      <c r="N96" s="566">
        <f>N34+N36+N38+N92</f>
        <v>445806.07293999998</v>
      </c>
      <c r="O96" s="567"/>
      <c r="P96" s="847"/>
      <c r="Q96" s="5975"/>
      <c r="R96" s="892"/>
      <c r="S96" s="566">
        <f>S34+S36+S38+S92</f>
        <v>467960.74329999997</v>
      </c>
      <c r="T96" s="847"/>
      <c r="U96" s="5632"/>
      <c r="V96" s="2974"/>
      <c r="W96" s="571">
        <f>W34+W36+W38+W92</f>
        <v>477719.05531800003</v>
      </c>
      <c r="X96" s="3192">
        <f>X34+X36+X38+X92</f>
        <v>479500.30066629557</v>
      </c>
      <c r="Y96" s="847"/>
      <c r="Z96" s="5975"/>
      <c r="AA96" s="892"/>
      <c r="AB96" s="571">
        <f>AB34+AB36+AB38+AB92</f>
        <v>503940.50384000002</v>
      </c>
      <c r="AC96" s="847"/>
      <c r="AD96" s="3190">
        <f>AD34+AD36+AD38+AD92</f>
        <v>505461.07866148127</v>
      </c>
      <c r="AE96" s="2974"/>
      <c r="AF96" s="571">
        <f>AF34+AF36+AF38+AF92</f>
        <v>503940.50384000002</v>
      </c>
      <c r="AG96" s="3192">
        <f>AG34+AG36+AG38+AG92</f>
        <v>531366.02297500009</v>
      </c>
      <c r="AH96" s="847"/>
      <c r="AI96" s="5975"/>
      <c r="AJ96" s="2974"/>
      <c r="AK96" s="571">
        <f>AK34+AK36+AK38+AK92</f>
        <v>579375.86509199999</v>
      </c>
      <c r="AL96" s="847"/>
      <c r="AM96" s="3190">
        <f>AM34+AM36+AM38+AM92</f>
        <v>609811.77254040772</v>
      </c>
      <c r="AN96" s="2974"/>
      <c r="AO96" s="2974"/>
      <c r="AP96" s="7461">
        <f>AP34+AP36+AP38+AP92</f>
        <v>579375.86509199999</v>
      </c>
      <c r="AQ96" s="3192">
        <f>AQ34+AQ36+AQ38+AQ92</f>
        <v>597080</v>
      </c>
      <c r="AR96" s="847"/>
      <c r="AS96" s="5975"/>
      <c r="AT96" s="2974"/>
      <c r="AU96" s="571">
        <f>AU34+AU36+AU38+AU92</f>
        <v>626697</v>
      </c>
      <c r="AV96" s="847"/>
      <c r="AW96" s="3190">
        <f>AW34+AW36+AW38+AW92</f>
        <v>646112.36989194225</v>
      </c>
      <c r="AX96"/>
      <c r="AY96" s="2974"/>
      <c r="AZ96" s="571">
        <f>AZ34+AZ36+AZ38+AZ92</f>
        <v>633.27871779899999</v>
      </c>
      <c r="BA96" s="3192">
        <f>BA34+BA36+BA38+BA92</f>
        <v>635.97242283399999</v>
      </c>
      <c r="BB96" s="847"/>
      <c r="BC96" s="5975"/>
      <c r="BD96" s="571">
        <f>BD78+BD79+BD80</f>
        <v>689.26690127400002</v>
      </c>
      <c r="BE96" s="847"/>
      <c r="BF96" s="3190">
        <f>BF78+BF79+BF80</f>
        <v>694.38957288200004</v>
      </c>
      <c r="BG96"/>
      <c r="BH96"/>
    </row>
    <row r="97" spans="1:60" s="462" customFormat="1" x14ac:dyDescent="0.35">
      <c r="A97" s="9168"/>
      <c r="B97" s="5633"/>
      <c r="C97" s="59" t="s">
        <v>995</v>
      </c>
      <c r="D97" s="5976"/>
      <c r="E97" s="3597"/>
      <c r="F97" s="3598"/>
      <c r="G97" s="3599"/>
      <c r="H97" s="3600"/>
      <c r="I97" s="3601"/>
      <c r="J97" s="3598"/>
      <c r="K97" s="5636"/>
      <c r="L97" s="3600"/>
      <c r="M97" s="5977"/>
      <c r="N97" s="5156">
        <f>(N94-N96)/(N19+N20)</f>
        <v>8.886743311584247E-2</v>
      </c>
      <c r="O97" s="3600"/>
      <c r="P97" s="5978"/>
      <c r="Q97" s="5979"/>
      <c r="R97" s="5637"/>
      <c r="S97" s="5156">
        <f>(S94-S96)/(S19+S20)</f>
        <v>8.6138246889952141E-2</v>
      </c>
      <c r="T97" s="847"/>
      <c r="U97" s="3602"/>
      <c r="V97" s="5977"/>
      <c r="W97" s="5155">
        <f>(W94-W96)/(W19+W20)</f>
        <v>8.1918705963339902E-2</v>
      </c>
      <c r="X97" s="5840">
        <f>(X94-X96)/(X19+X20)</f>
        <v>7.2521967439393889E-2</v>
      </c>
      <c r="Y97" s="5978"/>
      <c r="Z97" s="5979"/>
      <c r="AA97" s="5637"/>
      <c r="AB97" s="5155">
        <f>(AB94-AB96)/(AB19+AB20)</f>
        <v>7.9435401567091057E-2</v>
      </c>
      <c r="AC97" s="847"/>
      <c r="AD97" s="5841">
        <f>(AD94-AD96)/(AD19+AD20)</f>
        <v>7.0426069874890834E-2</v>
      </c>
      <c r="AE97" s="5977"/>
      <c r="AF97" s="5155">
        <f>(AF94-AF96)/(AF19+AF20)</f>
        <v>7.9435401567091057E-2</v>
      </c>
      <c r="AG97" s="5840">
        <f>(AG94-AG96)/(AG19+AG20)</f>
        <v>2.6962230171029188E-2</v>
      </c>
      <c r="AH97" s="5978"/>
      <c r="AI97" s="5979"/>
      <c r="AJ97" s="5977"/>
      <c r="AK97" s="5155">
        <f>(AK94-AK96)/(AK19+AK20)</f>
        <v>7.430901946907699E-2</v>
      </c>
      <c r="AL97" s="847"/>
      <c r="AM97" s="5841">
        <f>(AM94-AM96)/(AM19+AM20)</f>
        <v>6.9022901071077059E-2</v>
      </c>
      <c r="AN97" s="5977"/>
      <c r="AO97" s="5977"/>
      <c r="AP97" s="7462">
        <f>(AP94-AP96)/(AP19+AP20)</f>
        <v>7.430901946907699E-2</v>
      </c>
      <c r="AQ97" s="5840">
        <f>(AQ94-AQ96)/(AQ19+AQ20)</f>
        <v>2.8093770026153073E-2</v>
      </c>
      <c r="AR97" s="5978"/>
      <c r="AS97" s="5979"/>
      <c r="AT97" s="5977"/>
      <c r="AU97" s="5155">
        <f>(AU94-AU96)/(AU19+AU20)</f>
        <v>7.9117207286930516E-2</v>
      </c>
      <c r="AV97" s="847"/>
      <c r="AW97" s="5841">
        <f>(AW94-AW96)/(AW19+AW20)</f>
        <v>2.9845137538641466E-2</v>
      </c>
      <c r="AX97"/>
      <c r="AY97" s="5977"/>
      <c r="AZ97" s="5155">
        <f>(AZ94-AZ96)/(AZ19+AZ20)</f>
        <v>7.2442045429648119E-2</v>
      </c>
      <c r="BA97" s="5840">
        <f>(BA94-BA96)/(BA19+BA20)</f>
        <v>2.6911361226653656E-2</v>
      </c>
      <c r="BB97" s="5978"/>
      <c r="BC97" s="5979"/>
      <c r="BD97" s="5155">
        <f>(BD94-BD96)/(BD19+BD20)</f>
        <v>6.0970041344640263E-2</v>
      </c>
      <c r="BE97" s="847"/>
      <c r="BF97" s="5841">
        <f>(BF94-BF96)/(BF19+BF20)</f>
        <v>3.2369715123497934E-2</v>
      </c>
      <c r="BG97"/>
      <c r="BH97"/>
    </row>
    <row r="98" spans="1:60" s="462" customFormat="1" x14ac:dyDescent="0.35">
      <c r="A98" s="9168"/>
      <c r="B98" s="5633"/>
      <c r="C98" s="59" t="s">
        <v>996</v>
      </c>
      <c r="D98" s="5976"/>
      <c r="E98" s="3597"/>
      <c r="F98" s="3598"/>
      <c r="G98" s="3599"/>
      <c r="H98" s="3600"/>
      <c r="I98" s="3601"/>
      <c r="J98" s="3598"/>
      <c r="K98" s="5636"/>
      <c r="L98" s="3600"/>
      <c r="M98" s="5977"/>
      <c r="N98" s="5156">
        <f>N96/N18</f>
        <v>0.36644024585191676</v>
      </c>
      <c r="O98" s="3600"/>
      <c r="P98" s="5978"/>
      <c r="Q98" s="5979"/>
      <c r="R98" s="5639"/>
      <c r="S98" s="5156">
        <f>S96/S18</f>
        <v>0.36445540755451711</v>
      </c>
      <c r="T98" s="847"/>
      <c r="U98" s="3602"/>
      <c r="V98" s="5977"/>
      <c r="W98" s="5155">
        <f>W96/W18</f>
        <v>0.36230883629557215</v>
      </c>
      <c r="X98" s="5840">
        <f>X96/X18</f>
        <v>0.35148028498567735</v>
      </c>
      <c r="Y98" s="5978"/>
      <c r="Z98" s="5979"/>
      <c r="AA98" s="5639"/>
      <c r="AB98" s="5155">
        <f>AB96/AB18</f>
        <v>0.3752628668106337</v>
      </c>
      <c r="AC98" s="847"/>
      <c r="AD98" s="5841">
        <f>AD96/AD18</f>
        <v>0.36378917399409733</v>
      </c>
      <c r="AE98" s="5977"/>
      <c r="AF98" s="5155">
        <f>AF96/AF18</f>
        <v>0.3752628668106337</v>
      </c>
      <c r="AG98" s="5840">
        <f>AG96/AG18</f>
        <v>0.39066435049920606</v>
      </c>
      <c r="AH98" s="5978"/>
      <c r="AI98" s="5979"/>
      <c r="AJ98" s="5977"/>
      <c r="AK98" s="5155">
        <f>AK96/AK18</f>
        <v>0.37271361811795584</v>
      </c>
      <c r="AL98" s="847"/>
      <c r="AM98" s="5841">
        <f>AM96/AM18</f>
        <v>0.3995621625870841</v>
      </c>
      <c r="AN98" s="5977"/>
      <c r="AO98" s="5977"/>
      <c r="AP98" s="7462">
        <f>AP96/AP18</f>
        <v>0.37271361811795584</v>
      </c>
      <c r="AQ98" s="5840">
        <f>AQ96/AQ18</f>
        <v>0.39122002358799635</v>
      </c>
      <c r="AR98" s="5978"/>
      <c r="AS98" s="5979"/>
      <c r="AT98" s="5977"/>
      <c r="AU98" s="5155">
        <f>AU96/AU18</f>
        <v>0.3515279507286373</v>
      </c>
      <c r="AV98" s="847"/>
      <c r="AW98" s="5841">
        <f>AW96/AW18</f>
        <v>0.35406715688143126</v>
      </c>
      <c r="AX98"/>
      <c r="AY98" s="5977"/>
      <c r="AZ98" s="5155">
        <f>AZ96/AZ18</f>
        <v>0.35521977910847102</v>
      </c>
      <c r="BA98" s="5840">
        <f>BA96/BA18</f>
        <v>0.34851050390118532</v>
      </c>
      <c r="BB98" s="5978"/>
      <c r="BC98" s="5979"/>
      <c r="BD98" s="5155">
        <f>BD96/BD18</f>
        <v>0.33115383383091274</v>
      </c>
      <c r="BE98" s="847"/>
      <c r="BF98" s="5841">
        <f>BF96/BF18</f>
        <v>0.3318928658605016</v>
      </c>
      <c r="BG98"/>
      <c r="BH98"/>
    </row>
    <row r="99" spans="1:60" s="462" customFormat="1" x14ac:dyDescent="0.35">
      <c r="A99" s="9168"/>
      <c r="B99" s="5633"/>
      <c r="C99" s="1736"/>
      <c r="D99" s="5976"/>
      <c r="E99" s="3597"/>
      <c r="F99" s="3598"/>
      <c r="G99" s="3599"/>
      <c r="H99" s="3600"/>
      <c r="I99" s="3601"/>
      <c r="J99" s="3598"/>
      <c r="K99" s="5636"/>
      <c r="L99" s="3600"/>
      <c r="M99" s="5977"/>
      <c r="N99" s="5641"/>
      <c r="O99" s="3600"/>
      <c r="P99" s="5978"/>
      <c r="Q99" s="5979"/>
      <c r="R99" s="5639"/>
      <c r="S99" s="5641"/>
      <c r="T99" s="5982"/>
      <c r="U99" s="3602"/>
      <c r="V99" s="5977"/>
      <c r="W99" s="5842"/>
      <c r="X99" s="5634"/>
      <c r="Y99" s="5978"/>
      <c r="Z99" s="5979"/>
      <c r="AA99" s="5639"/>
      <c r="AB99" s="5842"/>
      <c r="AC99" s="5982"/>
      <c r="AD99" s="5843"/>
      <c r="AE99" s="5977"/>
      <c r="AF99" s="5842"/>
      <c r="AG99" s="5634"/>
      <c r="AH99" s="5978"/>
      <c r="AI99" s="5979"/>
      <c r="AJ99" s="5977"/>
      <c r="AK99" s="5842"/>
      <c r="AL99" s="5982"/>
      <c r="AM99" s="5843"/>
      <c r="AN99" s="5977"/>
      <c r="AO99" s="5977"/>
      <c r="AP99" s="7463"/>
      <c r="AQ99" s="5634"/>
      <c r="AR99" s="5978"/>
      <c r="AS99" s="5979"/>
      <c r="AT99" s="5977"/>
      <c r="AU99" s="5842"/>
      <c r="AV99" s="5982"/>
      <c r="AW99" s="5843"/>
      <c r="AX99"/>
      <c r="AY99" s="5977"/>
      <c r="AZ99" s="5842"/>
      <c r="BA99" s="5634"/>
      <c r="BB99" s="5978"/>
      <c r="BC99" s="5979"/>
      <c r="BD99" s="5842"/>
      <c r="BE99" s="5982"/>
      <c r="BF99" s="5843"/>
      <c r="BG99"/>
      <c r="BH99"/>
    </row>
    <row r="100" spans="1:60" s="462" customFormat="1" x14ac:dyDescent="0.35">
      <c r="A100" s="9168"/>
      <c r="B100" s="5633"/>
      <c r="C100" s="296" t="s">
        <v>997</v>
      </c>
      <c r="D100" s="5976"/>
      <c r="E100" s="3597"/>
      <c r="F100" s="3598"/>
      <c r="G100" s="3599">
        <f>G94/G12</f>
        <v>0.22590337514957853</v>
      </c>
      <c r="H100" s="3600"/>
      <c r="I100" s="3601"/>
      <c r="J100" s="3598"/>
      <c r="K100" s="5636">
        <f>K94/K12</f>
        <v>0.29489541707276462</v>
      </c>
      <c r="L100" s="3600"/>
      <c r="M100" s="5977"/>
      <c r="N100" s="5156">
        <f>N94/N12</f>
        <v>0.29489541707276462</v>
      </c>
      <c r="O100" s="3600"/>
      <c r="P100" s="5978"/>
      <c r="Q100" s="5979"/>
      <c r="R100" s="5639"/>
      <c r="S100" s="5156">
        <f>S94/S12</f>
        <v>0.28487017475876858</v>
      </c>
      <c r="T100" s="5982"/>
      <c r="U100" s="3602"/>
      <c r="V100" s="5977"/>
      <c r="W100" s="5155">
        <f>W94/W12</f>
        <v>0.26938214911013336</v>
      </c>
      <c r="X100" s="5840">
        <f>X94/X12</f>
        <v>0.29856345240932314</v>
      </c>
      <c r="Y100" s="5978"/>
      <c r="Z100" s="5979"/>
      <c r="AA100" s="5639"/>
      <c r="AB100" s="5155">
        <f>AB94/AB12</f>
        <v>0.21393736417845977</v>
      </c>
      <c r="AC100" s="5982"/>
      <c r="AD100" s="5841">
        <f>AD94/AD12</f>
        <v>0.2371894722509264</v>
      </c>
      <c r="AE100" s="5977"/>
      <c r="AF100" s="5155">
        <f>AF94/AF12</f>
        <v>0.21393736417845977</v>
      </c>
      <c r="AG100" s="5840">
        <f>AG94/AG12</f>
        <v>0.29203806453134923</v>
      </c>
      <c r="AH100" s="5978"/>
      <c r="AI100" s="5979"/>
      <c r="AJ100" s="5977"/>
      <c r="AK100" s="5155">
        <f>AK94/AK12</f>
        <v>0.27977931625109526</v>
      </c>
      <c r="AL100" s="5982"/>
      <c r="AM100" s="5841">
        <f>AM94/AM12</f>
        <v>0.30776268053356864</v>
      </c>
      <c r="AN100" s="5977"/>
      <c r="AO100" s="5977"/>
      <c r="AP100" s="7462">
        <f>AP94/AP12</f>
        <v>0.27977931625109526</v>
      </c>
      <c r="AQ100" s="5840">
        <f>AQ94/AQ12</f>
        <v>0.28098473047344014</v>
      </c>
      <c r="AR100" s="5978"/>
      <c r="AS100" s="5979"/>
      <c r="AT100" s="5977"/>
      <c r="AU100" s="5155">
        <f>AU94/AU12</f>
        <v>0.27490637690868786</v>
      </c>
      <c r="AV100" s="5982"/>
      <c r="AW100" s="5841">
        <f>AW94/AW12</f>
        <v>0.25832951525409725</v>
      </c>
      <c r="AX100"/>
      <c r="AY100" s="5977"/>
      <c r="AZ100" s="5155">
        <f>AZ94/AZ12</f>
        <v>0.27736824512765035</v>
      </c>
      <c r="BA100" s="5840">
        <f>BA94/BA12</f>
        <v>0.25474128368017607</v>
      </c>
      <c r="BB100" s="5978"/>
      <c r="BC100" s="5979"/>
      <c r="BD100" s="5155">
        <f>BD94/BD12</f>
        <v>0.31114461531900467</v>
      </c>
      <c r="BE100" s="5982"/>
      <c r="BF100" s="5841">
        <f>BF94/BF12</f>
        <v>0.29408075551381385</v>
      </c>
      <c r="BG100"/>
      <c r="BH100"/>
    </row>
    <row r="101" spans="1:60" s="462" customFormat="1" x14ac:dyDescent="0.35">
      <c r="A101" s="9168"/>
      <c r="B101" s="5642"/>
      <c r="C101" s="1741" t="s">
        <v>998</v>
      </c>
      <c r="D101" s="5983"/>
      <c r="E101" s="753"/>
      <c r="F101" s="1505"/>
      <c r="G101" s="746">
        <f>G94-SUM(G84:G87)</f>
        <v>491533.29009999998</v>
      </c>
      <c r="H101" s="5645"/>
      <c r="I101" s="890"/>
      <c r="J101" s="1505"/>
      <c r="K101" s="4940">
        <f>K94-SUM(K84:K87)</f>
        <v>494450.62293999997</v>
      </c>
      <c r="L101" s="5645"/>
      <c r="M101" s="2974"/>
      <c r="N101" s="746">
        <f>N94-SUM(N84:N87)</f>
        <v>494450.62293999997</v>
      </c>
      <c r="O101" s="5645"/>
      <c r="P101" s="5984"/>
      <c r="Q101" s="5985"/>
      <c r="R101" s="5646"/>
      <c r="S101" s="746">
        <f>S94-SUM(S84:S87)</f>
        <v>539569.48029999994</v>
      </c>
      <c r="T101" s="5987"/>
      <c r="U101" s="749"/>
      <c r="V101" s="2974"/>
      <c r="W101" s="4940">
        <f>W94-SUM(W84:W87)</f>
        <v>548105.79231799999</v>
      </c>
      <c r="X101" s="4941"/>
      <c r="Y101" s="5984"/>
      <c r="Z101" s="5985"/>
      <c r="AA101" s="5646"/>
      <c r="AB101" s="4940">
        <f>AB94-SUM(AB84:AB87)</f>
        <v>573159.42284000001</v>
      </c>
      <c r="AC101" s="5987"/>
      <c r="AD101" s="5553"/>
      <c r="AE101" s="2974"/>
      <c r="AF101" s="4940">
        <f>AF94-SUM(AF84:AF87)</f>
        <v>573159.42284000001</v>
      </c>
      <c r="AG101" s="4941"/>
      <c r="AH101" s="5984"/>
      <c r="AI101" s="5985"/>
      <c r="AJ101" s="2974"/>
      <c r="AK101" s="4940">
        <f>AK94-SUM(AK84:AK87)</f>
        <v>620599.25425899995</v>
      </c>
      <c r="AL101" s="5987"/>
      <c r="AM101" s="5553"/>
      <c r="AN101" s="2974"/>
      <c r="AO101" s="2974"/>
      <c r="AP101" s="884">
        <f>AP94-SUM(AP84:AP87)</f>
        <v>620756.08725899993</v>
      </c>
      <c r="AQ101" s="4941"/>
      <c r="AR101" s="5984"/>
      <c r="AS101" s="5985"/>
      <c r="AT101" s="2974"/>
      <c r="AU101" s="4940">
        <f>AU94-SUM(AU84:AU87)</f>
        <v>703529</v>
      </c>
      <c r="AV101" s="5987"/>
      <c r="AW101" s="5553"/>
      <c r="AX101"/>
      <c r="AY101" s="2974"/>
      <c r="AZ101" s="4940"/>
      <c r="BA101" s="4941"/>
      <c r="BB101" s="5984"/>
      <c r="BC101" s="5985"/>
      <c r="BD101" s="4940"/>
      <c r="BE101" s="5987"/>
      <c r="BF101" s="5553"/>
      <c r="BG101"/>
      <c r="BH101"/>
    </row>
    <row r="102" spans="1:60" s="462" customFormat="1" x14ac:dyDescent="0.35">
      <c r="A102" s="9168"/>
      <c r="B102" s="5633"/>
      <c r="C102" s="296" t="s">
        <v>999</v>
      </c>
      <c r="D102" s="5976"/>
      <c r="E102" s="3597"/>
      <c r="F102" s="3598"/>
      <c r="G102" s="3599">
        <f>G101/G12</f>
        <v>0.21545153659359781</v>
      </c>
      <c r="H102" s="3600"/>
      <c r="I102" s="3601"/>
      <c r="J102" s="3598"/>
      <c r="K102" s="5636">
        <f>K101/K12</f>
        <v>0.27443560134317585</v>
      </c>
      <c r="L102" s="3600"/>
      <c r="M102" s="5977"/>
      <c r="N102" s="5156">
        <f>N101/N12</f>
        <v>0.27443560134317585</v>
      </c>
      <c r="O102" s="3600"/>
      <c r="P102" s="5978"/>
      <c r="Q102" s="5979"/>
      <c r="R102" s="5988"/>
      <c r="S102" s="5156">
        <f>S101/S12</f>
        <v>0.27547326303160258</v>
      </c>
      <c r="T102" s="5982"/>
      <c r="U102" s="3602"/>
      <c r="V102" s="5977"/>
      <c r="W102" s="5155">
        <f>W101/W12</f>
        <v>0.25686129791987194</v>
      </c>
      <c r="X102" s="5840"/>
      <c r="Y102" s="5978"/>
      <c r="Z102" s="5979"/>
      <c r="AA102" s="5988"/>
      <c r="AB102" s="5155">
        <f>AB101/AB12</f>
        <v>0.20393714179580577</v>
      </c>
      <c r="AC102" s="5982"/>
      <c r="AD102" s="5841"/>
      <c r="AE102" s="5977"/>
      <c r="AF102" s="5155">
        <f>AF101/AF12</f>
        <v>0.20393714179580577</v>
      </c>
      <c r="AG102" s="5840"/>
      <c r="AH102" s="5978"/>
      <c r="AI102" s="5979"/>
      <c r="AJ102" s="5977"/>
      <c r="AK102" s="5155">
        <f>AK101/AK12</f>
        <v>0.25893906382067006</v>
      </c>
      <c r="AL102" s="5982"/>
      <c r="AM102" s="5841"/>
      <c r="AN102" s="5977"/>
      <c r="AO102" s="5977"/>
      <c r="AP102" s="7462">
        <f>AP101/AP12</f>
        <v>0.25900450087995991</v>
      </c>
      <c r="AQ102" s="5840"/>
      <c r="AR102" s="5978"/>
      <c r="AS102" s="5979"/>
      <c r="AT102" s="5977"/>
      <c r="AU102" s="5155">
        <f>AU101/AU12</f>
        <v>0.26479019018190164</v>
      </c>
      <c r="AV102" s="5982"/>
      <c r="AW102" s="5841"/>
      <c r="AX102"/>
      <c r="AY102" s="5977"/>
      <c r="AZ102" s="5155"/>
      <c r="BA102" s="5840"/>
      <c r="BB102" s="5978"/>
      <c r="BC102" s="5979"/>
      <c r="BD102" s="5155"/>
      <c r="BE102" s="5982"/>
      <c r="BF102" s="5841"/>
      <c r="BG102"/>
      <c r="BH102"/>
    </row>
    <row r="103" spans="1:60" s="462" customFormat="1" x14ac:dyDescent="0.35">
      <c r="A103" s="9168"/>
      <c r="B103" s="5633"/>
      <c r="C103" s="1736"/>
      <c r="D103" s="5976"/>
      <c r="E103" s="3597"/>
      <c r="F103" s="3598"/>
      <c r="G103" s="3599"/>
      <c r="H103" s="3600"/>
      <c r="I103" s="3601"/>
      <c r="J103" s="3598"/>
      <c r="K103" s="5636"/>
      <c r="L103" s="3600"/>
      <c r="M103" s="5977"/>
      <c r="N103" s="5641"/>
      <c r="O103" s="3600"/>
      <c r="P103" s="5978"/>
      <c r="Q103" s="5979"/>
      <c r="R103" s="5637"/>
      <c r="S103" s="5641"/>
      <c r="T103" s="5982"/>
      <c r="U103" s="3602"/>
      <c r="V103" s="5977"/>
      <c r="W103" s="5842"/>
      <c r="X103" s="5634"/>
      <c r="Y103" s="5978"/>
      <c r="Z103" s="5979"/>
      <c r="AA103" s="5637"/>
      <c r="AB103" s="5842"/>
      <c r="AC103" s="5982"/>
      <c r="AD103" s="5843"/>
      <c r="AE103" s="5977"/>
      <c r="AF103" s="5842"/>
      <c r="AG103" s="5634"/>
      <c r="AH103" s="5978"/>
      <c r="AI103" s="5979"/>
      <c r="AJ103" s="5977"/>
      <c r="AK103" s="5842"/>
      <c r="AL103" s="5982"/>
      <c r="AM103" s="5843"/>
      <c r="AN103" s="5977"/>
      <c r="AO103" s="5977"/>
      <c r="AP103" s="7463"/>
      <c r="AQ103" s="5634"/>
      <c r="AR103" s="5978"/>
      <c r="AS103" s="5979"/>
      <c r="AT103" s="5977"/>
      <c r="AU103" s="5842"/>
      <c r="AV103" s="5982"/>
      <c r="AW103" s="5843"/>
      <c r="AX103"/>
      <c r="AY103" s="5977"/>
      <c r="AZ103" s="5842"/>
      <c r="BA103" s="5634"/>
      <c r="BB103" s="5978"/>
      <c r="BC103" s="5979"/>
      <c r="BD103" s="5842"/>
      <c r="BE103" s="5982"/>
      <c r="BF103" s="5843"/>
      <c r="BG103"/>
      <c r="BH103"/>
    </row>
    <row r="104" spans="1:60" s="462" customFormat="1" x14ac:dyDescent="0.35">
      <c r="A104" s="9168"/>
      <c r="B104" s="5633"/>
      <c r="C104" s="1758" t="s">
        <v>1000</v>
      </c>
      <c r="D104" s="5989"/>
      <c r="E104" s="5648"/>
      <c r="F104" s="5990"/>
      <c r="G104" s="5649"/>
      <c r="H104" s="5650"/>
      <c r="I104" s="1514"/>
      <c r="J104" s="5990"/>
      <c r="K104" s="3209"/>
      <c r="L104" s="5650"/>
      <c r="M104" s="5977"/>
      <c r="N104" s="3207"/>
      <c r="O104" s="5650"/>
      <c r="P104" s="5978"/>
      <c r="Q104" s="5979"/>
      <c r="R104" s="5637"/>
      <c r="S104" s="3207"/>
      <c r="T104" s="5982"/>
      <c r="U104" s="5651"/>
      <c r="V104" s="5977"/>
      <c r="W104" s="5367"/>
      <c r="X104" s="5844"/>
      <c r="Y104" s="5978"/>
      <c r="Z104" s="5979"/>
      <c r="AA104" s="5637"/>
      <c r="AB104" s="5367"/>
      <c r="AC104" s="5982"/>
      <c r="AD104" s="5845"/>
      <c r="AE104" s="5977"/>
      <c r="AF104" s="5367"/>
      <c r="AG104" s="5844"/>
      <c r="AH104" s="5978"/>
      <c r="AI104" s="5979"/>
      <c r="AJ104" s="5977"/>
      <c r="AK104" s="5367"/>
      <c r="AL104" s="5982"/>
      <c r="AM104" s="5845"/>
      <c r="AN104" s="5977"/>
      <c r="AO104" s="5977"/>
      <c r="AP104" s="7464"/>
      <c r="AQ104" s="5844"/>
      <c r="AR104" s="5978"/>
      <c r="AS104" s="5979"/>
      <c r="AT104" s="5977"/>
      <c r="AU104" s="5367"/>
      <c r="AV104" s="5982"/>
      <c r="AW104" s="5845"/>
      <c r="AX104"/>
      <c r="AY104" s="5977"/>
      <c r="AZ104" s="5367"/>
      <c r="BA104" s="5844"/>
      <c r="BB104" s="5978"/>
      <c r="BC104" s="5979"/>
      <c r="BD104" s="5367"/>
      <c r="BE104" s="5982"/>
      <c r="BF104" s="5845"/>
      <c r="BG104"/>
      <c r="BH104"/>
    </row>
    <row r="105" spans="1:60" s="462" customFormat="1" ht="93" customHeight="1" x14ac:dyDescent="0.35">
      <c r="A105" s="9169"/>
      <c r="B105" s="5652"/>
      <c r="C105" s="1758" t="s">
        <v>1001</v>
      </c>
      <c r="D105" s="5991"/>
      <c r="E105" s="5655"/>
      <c r="F105" s="5992"/>
      <c r="G105" s="5656"/>
      <c r="H105" s="5657"/>
      <c r="I105" s="1523"/>
      <c r="J105" s="5992"/>
      <c r="K105" s="3215"/>
      <c r="L105" s="5657"/>
      <c r="M105" s="5977"/>
      <c r="N105" s="436"/>
      <c r="O105" s="5657"/>
      <c r="P105" s="5658"/>
      <c r="Q105" s="5994"/>
      <c r="R105" s="5995"/>
      <c r="S105" s="436"/>
      <c r="T105" s="5996"/>
      <c r="U105" s="5659"/>
      <c r="V105" s="5977"/>
      <c r="W105" s="439"/>
      <c r="X105" s="5846"/>
      <c r="Y105" s="5658"/>
      <c r="Z105" s="5994"/>
      <c r="AA105" s="5995"/>
      <c r="AB105" s="439"/>
      <c r="AC105" s="5996"/>
      <c r="AD105" s="5847"/>
      <c r="AE105" s="5977"/>
      <c r="AF105" s="439"/>
      <c r="AG105" s="5846"/>
      <c r="AH105" s="5658"/>
      <c r="AI105" s="5994"/>
      <c r="AJ105" s="5977"/>
      <c r="AK105" s="439"/>
      <c r="AL105" s="5996"/>
      <c r="AM105" s="5847"/>
      <c r="AN105" s="5977"/>
      <c r="AO105" s="5977"/>
      <c r="AP105" s="7465"/>
      <c r="AQ105" s="5846"/>
      <c r="AR105" s="5658"/>
      <c r="AS105" s="5994"/>
      <c r="AT105" s="5977"/>
      <c r="AU105" s="439"/>
      <c r="AV105" s="5996"/>
      <c r="AW105" s="5847"/>
      <c r="AX105"/>
      <c r="AY105" s="5977"/>
      <c r="AZ105" s="439"/>
      <c r="BA105" s="5846"/>
      <c r="BB105" s="5658"/>
      <c r="BC105" s="5994"/>
      <c r="BD105" s="439"/>
      <c r="BE105" s="5996"/>
      <c r="BF105" s="5847"/>
      <c r="BG105"/>
      <c r="BH105"/>
    </row>
    <row r="106" spans="1:60" x14ac:dyDescent="0.35">
      <c r="A106" s="462"/>
      <c r="B106" s="462"/>
      <c r="D106" s="456"/>
      <c r="E106" s="456"/>
      <c r="F106" s="456"/>
      <c r="G106" s="459"/>
      <c r="H106" s="459"/>
      <c r="J106" s="456"/>
      <c r="K106" s="462"/>
      <c r="L106" s="462"/>
      <c r="M106" s="462"/>
      <c r="N106" s="462"/>
      <c r="O106" s="462"/>
      <c r="P106" s="459"/>
      <c r="Q106" s="462"/>
      <c r="R106" s="462"/>
      <c r="S106" s="462"/>
      <c r="T106" s="462"/>
      <c r="U106" s="456"/>
      <c r="V106" s="462"/>
      <c r="W106" s="462"/>
      <c r="X106" s="462"/>
      <c r="Y106" s="459"/>
      <c r="Z106" s="462"/>
      <c r="AA106" s="462"/>
      <c r="AB106" s="462"/>
      <c r="AC106" s="462"/>
      <c r="AD106" s="456"/>
      <c r="AE106" s="462"/>
      <c r="AF106" s="462"/>
      <c r="AG106" s="462"/>
      <c r="AH106" s="459"/>
      <c r="AI106" s="462"/>
      <c r="AJ106" s="462"/>
      <c r="AK106" s="462"/>
      <c r="AL106" s="462"/>
      <c r="AM106" s="456"/>
      <c r="AN106" s="462"/>
      <c r="AO106" s="462"/>
      <c r="AP106" s="462"/>
      <c r="AQ106" s="462"/>
      <c r="AR106" s="459"/>
      <c r="AS106" s="462"/>
      <c r="AT106" s="462"/>
      <c r="AU106" s="462"/>
      <c r="AV106" s="462"/>
      <c r="AW106" s="456"/>
      <c r="AX106" s="462"/>
      <c r="AY106" s="462"/>
      <c r="AZ106" s="462"/>
      <c r="BA106" s="462"/>
      <c r="BB106" s="459"/>
      <c r="BC106" s="462"/>
      <c r="BD106" s="462"/>
      <c r="BE106" s="462"/>
      <c r="BF106" s="456"/>
      <c r="BG106" s="462"/>
      <c r="BH106" s="462"/>
    </row>
    <row r="107" spans="1:60" x14ac:dyDescent="0.35">
      <c r="A107" s="576" t="s">
        <v>582</v>
      </c>
      <c r="B107" s="576"/>
      <c r="D107" s="456"/>
      <c r="E107" s="456"/>
      <c r="F107" s="456"/>
      <c r="G107" s="459"/>
      <c r="H107" s="459"/>
      <c r="J107" s="456"/>
      <c r="K107" s="462"/>
      <c r="L107" s="462"/>
      <c r="M107" s="462"/>
      <c r="N107" s="462"/>
      <c r="O107" s="462"/>
      <c r="P107" s="459"/>
      <c r="Q107" s="462"/>
      <c r="R107" s="462"/>
      <c r="S107" s="462"/>
      <c r="T107" s="462"/>
      <c r="U107" s="456"/>
      <c r="V107" s="462"/>
      <c r="W107" s="462"/>
      <c r="X107" s="462"/>
      <c r="Y107" s="459"/>
      <c r="Z107" s="462"/>
      <c r="AA107" s="462"/>
      <c r="AB107" s="462"/>
      <c r="AC107" s="462"/>
      <c r="AD107" s="456"/>
      <c r="AE107" s="462"/>
      <c r="AF107" s="462"/>
      <c r="AG107" s="462"/>
      <c r="AH107" s="459"/>
      <c r="AI107" s="462"/>
      <c r="AJ107" s="462"/>
      <c r="AK107" s="462"/>
      <c r="AL107" s="462"/>
      <c r="AM107" s="456"/>
      <c r="AN107" s="462"/>
      <c r="AO107" s="462"/>
      <c r="AP107" s="462"/>
      <c r="AQ107" s="462"/>
      <c r="AR107" s="459"/>
      <c r="AS107" s="462"/>
      <c r="AT107" s="462"/>
      <c r="AU107" s="462"/>
      <c r="AV107" s="462"/>
      <c r="AW107" s="456"/>
      <c r="AX107" s="462"/>
      <c r="AY107" s="462"/>
      <c r="AZ107" s="462"/>
      <c r="BA107" s="462"/>
      <c r="BB107" s="459"/>
      <c r="BC107" s="462"/>
      <c r="BD107" s="462"/>
      <c r="BE107" s="462"/>
      <c r="BF107" s="456"/>
      <c r="BG107" s="462"/>
      <c r="BH107" s="462"/>
    </row>
    <row r="108" spans="1:60" x14ac:dyDescent="0.35">
      <c r="A108" s="463">
        <v>1</v>
      </c>
      <c r="B108" s="464"/>
      <c r="C108" s="465"/>
      <c r="D108" s="466"/>
      <c r="E108" s="466"/>
      <c r="F108" s="466"/>
      <c r="G108" s="466"/>
      <c r="H108" s="466"/>
      <c r="I108" s="467"/>
      <c r="J108" s="466"/>
      <c r="K108" s="466"/>
      <c r="L108" s="466"/>
      <c r="M108" s="466"/>
      <c r="N108" s="466"/>
      <c r="O108" s="466"/>
      <c r="P108" s="7466"/>
      <c r="Q108" s="466"/>
      <c r="R108" s="466"/>
      <c r="S108" s="466"/>
      <c r="T108" s="466"/>
      <c r="U108" s="456"/>
      <c r="V108" s="466"/>
      <c r="W108" s="466"/>
      <c r="X108" s="466"/>
      <c r="Y108" s="7466"/>
      <c r="Z108" s="466"/>
      <c r="AA108" s="466"/>
      <c r="AB108" s="466"/>
      <c r="AC108" s="466"/>
      <c r="AD108" s="456"/>
      <c r="AE108" s="466"/>
      <c r="AF108" s="466"/>
      <c r="AG108" s="466"/>
      <c r="AH108" s="7466"/>
      <c r="AI108" s="466"/>
      <c r="AJ108" s="466"/>
      <c r="AK108" s="466"/>
      <c r="AL108" s="466"/>
      <c r="AM108" s="456"/>
      <c r="AN108" s="466"/>
      <c r="AO108" s="466"/>
      <c r="AP108" s="466"/>
      <c r="AQ108" s="466"/>
      <c r="AR108" s="7466"/>
      <c r="AS108" s="466"/>
      <c r="AT108" s="466"/>
      <c r="AU108" s="466"/>
      <c r="AV108" s="466"/>
      <c r="AW108" s="456"/>
      <c r="AX108" s="462"/>
      <c r="AY108" s="466"/>
      <c r="AZ108" s="466"/>
      <c r="BA108" s="466"/>
      <c r="BB108" s="7466"/>
      <c r="BC108" s="466"/>
      <c r="BD108" s="466"/>
      <c r="BE108" s="466"/>
      <c r="BF108" s="456"/>
      <c r="BG108" s="462"/>
      <c r="BH108" s="462"/>
    </row>
    <row r="109" spans="1:60" x14ac:dyDescent="0.35">
      <c r="A109" s="468">
        <v>2</v>
      </c>
      <c r="B109" s="469"/>
      <c r="D109" s="456"/>
      <c r="E109" s="456"/>
      <c r="F109" s="456"/>
      <c r="G109" s="459"/>
      <c r="H109" s="459"/>
      <c r="J109" s="456"/>
      <c r="K109" s="462"/>
      <c r="L109" s="462"/>
      <c r="M109" s="462"/>
      <c r="N109" s="462"/>
      <c r="O109" s="462"/>
      <c r="P109" s="459"/>
      <c r="Q109" s="462"/>
      <c r="R109" s="462"/>
      <c r="S109" s="462"/>
      <c r="T109" s="462"/>
      <c r="U109" s="456"/>
      <c r="V109" s="462"/>
      <c r="W109" s="462"/>
      <c r="X109" s="462"/>
      <c r="Y109" s="459"/>
      <c r="Z109" s="462"/>
      <c r="AA109" s="462"/>
      <c r="AB109" s="462"/>
      <c r="AC109" s="462"/>
      <c r="AD109" s="456"/>
      <c r="AE109" s="462"/>
      <c r="AF109" s="462"/>
      <c r="AG109" s="462"/>
      <c r="AH109" s="459"/>
      <c r="AI109" s="462"/>
      <c r="AJ109" s="462"/>
      <c r="AK109" s="462"/>
      <c r="AL109" s="462"/>
      <c r="AM109" s="456"/>
      <c r="AN109" s="462"/>
      <c r="AO109" s="462"/>
      <c r="AP109" s="462"/>
      <c r="AQ109" s="462"/>
      <c r="AR109" s="459"/>
      <c r="AS109" s="462"/>
      <c r="AT109" s="462"/>
      <c r="AU109" s="462"/>
      <c r="AV109" s="462"/>
      <c r="AW109" s="456"/>
      <c r="AX109" s="462"/>
      <c r="AY109" s="462"/>
      <c r="AZ109" s="462"/>
      <c r="BA109" s="462"/>
      <c r="BB109" s="459"/>
      <c r="BC109" s="462"/>
      <c r="BD109" s="462"/>
      <c r="BE109" s="462"/>
      <c r="BF109" s="456"/>
      <c r="BG109" s="462"/>
      <c r="BH109" s="462"/>
    </row>
    <row r="110" spans="1:60" x14ac:dyDescent="0.35">
      <c r="A110" s="468"/>
      <c r="B110" s="469"/>
      <c r="D110" s="456"/>
      <c r="E110" s="456"/>
      <c r="F110" s="456"/>
      <c r="G110" s="459"/>
      <c r="H110" s="459"/>
      <c r="J110" s="456"/>
      <c r="K110" s="462"/>
      <c r="L110" s="462"/>
      <c r="M110" s="462"/>
      <c r="N110" s="462"/>
      <c r="O110" s="462"/>
      <c r="P110" s="459"/>
      <c r="Q110" s="462"/>
      <c r="R110" s="462"/>
      <c r="S110" s="462"/>
      <c r="T110" s="462"/>
      <c r="U110" s="456"/>
      <c r="V110" s="462"/>
      <c r="W110" s="462"/>
      <c r="X110" s="462"/>
      <c r="Y110" s="459"/>
      <c r="Z110" s="462"/>
      <c r="AA110" s="462"/>
      <c r="AB110" s="462"/>
      <c r="AC110" s="462"/>
      <c r="AD110" s="456"/>
      <c r="AE110" s="462"/>
      <c r="AF110" s="462"/>
      <c r="AG110" s="462"/>
      <c r="AH110" s="459"/>
      <c r="AI110" s="462"/>
      <c r="AJ110" s="462"/>
      <c r="AK110" s="462"/>
      <c r="AL110" s="462"/>
      <c r="AM110" s="456"/>
      <c r="AN110" s="462"/>
      <c r="AO110" s="462"/>
      <c r="AP110" s="462"/>
      <c r="AQ110" s="462"/>
      <c r="AR110" s="459"/>
      <c r="AS110" s="462"/>
      <c r="AT110" s="462"/>
      <c r="AU110" s="462"/>
      <c r="AV110" s="462"/>
      <c r="AW110" s="456"/>
      <c r="AX110" s="462"/>
      <c r="AY110" s="462"/>
      <c r="AZ110" s="462"/>
      <c r="BA110" s="462"/>
      <c r="BB110" s="459"/>
      <c r="BC110" s="462"/>
      <c r="BD110" s="462"/>
      <c r="BE110" s="462"/>
      <c r="BF110" s="456"/>
      <c r="BG110" s="462"/>
      <c r="BH110" s="462"/>
    </row>
    <row r="111" spans="1:60" x14ac:dyDescent="0.35">
      <c r="A111" s="468"/>
      <c r="B111" s="469"/>
      <c r="D111" s="456"/>
      <c r="E111" s="456"/>
      <c r="F111" s="456"/>
      <c r="G111" s="459"/>
      <c r="H111" s="459"/>
      <c r="J111" s="456"/>
      <c r="K111" s="462"/>
      <c r="L111" s="462"/>
      <c r="M111" s="462"/>
      <c r="N111" s="462"/>
      <c r="O111" s="462"/>
      <c r="P111" s="459"/>
      <c r="Q111" s="462"/>
      <c r="R111" s="462"/>
      <c r="S111" s="462"/>
      <c r="T111" s="462"/>
      <c r="U111" s="456"/>
      <c r="V111" s="462"/>
      <c r="W111" s="462"/>
      <c r="X111" s="462"/>
      <c r="Y111" s="459"/>
      <c r="Z111" s="462"/>
      <c r="AA111" s="462"/>
      <c r="AB111" s="462"/>
      <c r="AC111" s="462"/>
      <c r="AD111" s="456"/>
      <c r="AE111" s="462"/>
      <c r="AF111" s="462"/>
      <c r="AG111" s="462"/>
      <c r="AH111" s="459"/>
      <c r="AI111" s="462"/>
      <c r="AJ111" s="462"/>
      <c r="AK111" s="462"/>
      <c r="AL111" s="462"/>
      <c r="AM111" s="456"/>
      <c r="AN111" s="462"/>
      <c r="AO111" s="462"/>
      <c r="AP111" s="462"/>
      <c r="AQ111" s="462"/>
      <c r="AR111" s="459"/>
      <c r="AS111" s="462"/>
      <c r="AT111" s="462"/>
      <c r="AU111" s="462"/>
      <c r="AV111" s="462"/>
      <c r="AW111" s="456"/>
      <c r="AX111" s="462"/>
      <c r="AY111" s="462"/>
      <c r="AZ111" s="462"/>
      <c r="BA111" s="462"/>
      <c r="BB111" s="459"/>
      <c r="BC111" s="462"/>
      <c r="BD111" s="462"/>
      <c r="BE111" s="462"/>
      <c r="BF111" s="456"/>
      <c r="BG111" s="462"/>
      <c r="BH111" s="462"/>
    </row>
    <row r="112" spans="1:60" x14ac:dyDescent="0.35">
      <c r="A112" s="468"/>
      <c r="B112" s="469"/>
      <c r="D112" s="456"/>
      <c r="E112" s="456"/>
      <c r="F112" s="456"/>
      <c r="G112" s="459"/>
      <c r="H112" s="459"/>
      <c r="J112" s="456"/>
      <c r="K112" s="462"/>
      <c r="L112" s="462"/>
      <c r="M112" s="462"/>
      <c r="N112" s="462"/>
      <c r="O112" s="462"/>
      <c r="P112" s="459"/>
      <c r="Q112" s="462"/>
      <c r="R112" s="462"/>
      <c r="S112" s="462"/>
      <c r="T112" s="462"/>
      <c r="U112" s="456"/>
      <c r="V112" s="462"/>
      <c r="W112" s="462"/>
      <c r="X112" s="462"/>
      <c r="Y112" s="459"/>
      <c r="Z112" s="462"/>
      <c r="AA112" s="462"/>
      <c r="AB112" s="462"/>
      <c r="AC112" s="462"/>
      <c r="AD112" s="456"/>
      <c r="AE112" s="462"/>
      <c r="AF112" s="462"/>
      <c r="AG112" s="462"/>
      <c r="AH112" s="459"/>
      <c r="AI112" s="462"/>
      <c r="AJ112" s="462"/>
      <c r="AK112" s="462"/>
      <c r="AL112" s="462"/>
      <c r="AM112" s="456"/>
      <c r="AN112" s="462"/>
      <c r="AO112" s="462"/>
      <c r="AP112" s="462"/>
      <c r="AQ112" s="462"/>
      <c r="AR112" s="459"/>
      <c r="AS112" s="462"/>
      <c r="AT112" s="462"/>
      <c r="AU112" s="462"/>
      <c r="AV112" s="462"/>
      <c r="AW112" s="456"/>
      <c r="AX112" s="462"/>
      <c r="AY112" s="462"/>
      <c r="AZ112" s="462"/>
      <c r="BA112" s="462"/>
      <c r="BB112" s="459"/>
      <c r="BC112" s="462"/>
      <c r="BD112" s="462"/>
      <c r="BE112" s="462"/>
      <c r="BF112" s="456"/>
      <c r="BG112" s="462"/>
      <c r="BH112" s="462"/>
    </row>
    <row r="113" spans="1:60" x14ac:dyDescent="0.35">
      <c r="A113" s="468"/>
      <c r="B113" s="469"/>
      <c r="D113" s="456"/>
      <c r="E113" s="456"/>
      <c r="F113" s="456"/>
      <c r="G113" s="459"/>
      <c r="H113" s="459"/>
      <c r="J113" s="456"/>
      <c r="K113" s="462"/>
      <c r="L113" s="462"/>
      <c r="M113" s="462"/>
      <c r="N113" s="462"/>
      <c r="O113" s="462"/>
      <c r="P113" s="459"/>
      <c r="Q113" s="462"/>
      <c r="R113" s="462"/>
      <c r="S113" s="462"/>
      <c r="T113" s="462"/>
      <c r="U113" s="456"/>
      <c r="V113" s="462"/>
      <c r="W113" s="462"/>
      <c r="X113" s="462"/>
      <c r="Y113" s="459"/>
      <c r="Z113" s="462"/>
      <c r="AA113" s="462"/>
      <c r="AB113" s="462"/>
      <c r="AC113" s="462"/>
      <c r="AD113" s="456"/>
      <c r="AE113" s="462"/>
      <c r="AF113" s="462"/>
      <c r="AG113" s="462"/>
      <c r="AH113" s="459"/>
      <c r="AI113" s="462"/>
      <c r="AJ113" s="462"/>
      <c r="AK113" s="462"/>
      <c r="AL113" s="462"/>
      <c r="AM113" s="456"/>
      <c r="AN113" s="462"/>
      <c r="AO113" s="462"/>
      <c r="AP113" s="462"/>
      <c r="AQ113" s="462"/>
      <c r="AR113" s="459"/>
      <c r="AS113" s="462"/>
      <c r="AT113" s="462"/>
      <c r="AU113" s="462"/>
      <c r="AV113" s="462"/>
      <c r="AW113" s="456"/>
      <c r="AX113" s="462"/>
      <c r="AY113" s="462"/>
      <c r="AZ113" s="462"/>
      <c r="BA113" s="462"/>
      <c r="BB113" s="459"/>
      <c r="BC113" s="462"/>
      <c r="BD113" s="462"/>
      <c r="BE113" s="462"/>
      <c r="BF113" s="456"/>
      <c r="BG113" s="462"/>
      <c r="BH113" s="462"/>
    </row>
    <row r="114" spans="1:60" x14ac:dyDescent="0.35">
      <c r="A114" s="468"/>
      <c r="B114" s="469"/>
      <c r="D114" s="456"/>
      <c r="E114" s="456"/>
      <c r="F114" s="456"/>
      <c r="G114" s="459"/>
      <c r="H114" s="459"/>
      <c r="J114" s="456"/>
      <c r="K114" s="462"/>
      <c r="L114" s="462"/>
      <c r="M114" s="462"/>
      <c r="N114" s="462"/>
      <c r="O114" s="462"/>
      <c r="P114" s="459"/>
      <c r="Q114" s="462"/>
      <c r="R114" s="462"/>
      <c r="S114" s="462"/>
      <c r="T114" s="462"/>
      <c r="U114" s="456"/>
      <c r="V114" s="462"/>
      <c r="W114" s="462"/>
      <c r="X114" s="462"/>
      <c r="Y114" s="459"/>
      <c r="Z114" s="462"/>
      <c r="AA114" s="462"/>
      <c r="AB114" s="462"/>
      <c r="AC114" s="462"/>
      <c r="AD114" s="456"/>
      <c r="AE114" s="462"/>
      <c r="AF114" s="462"/>
      <c r="AG114" s="462"/>
      <c r="AH114" s="459"/>
      <c r="AI114" s="462"/>
      <c r="AJ114" s="462"/>
      <c r="AK114" s="462"/>
      <c r="AL114" s="462"/>
      <c r="AM114" s="456"/>
      <c r="AN114" s="462"/>
      <c r="AO114" s="462"/>
      <c r="AP114" s="462"/>
      <c r="AQ114" s="462"/>
      <c r="AR114" s="459"/>
      <c r="AS114" s="462"/>
      <c r="AT114" s="462"/>
      <c r="AU114" s="462"/>
      <c r="AV114" s="462"/>
      <c r="AW114" s="456"/>
      <c r="AX114" s="462"/>
      <c r="AY114" s="462"/>
      <c r="AZ114" s="462"/>
      <c r="BA114" s="462"/>
      <c r="BB114" s="459"/>
      <c r="BC114" s="462"/>
      <c r="BD114" s="462"/>
      <c r="BE114" s="462"/>
      <c r="BF114" s="456"/>
      <c r="BG114" s="462"/>
      <c r="BH114" s="462"/>
    </row>
    <row r="115" spans="1:60" x14ac:dyDescent="0.35">
      <c r="A115" s="468"/>
      <c r="B115" s="469"/>
      <c r="D115" s="456"/>
      <c r="E115" s="456"/>
      <c r="F115" s="456"/>
      <c r="G115" s="459"/>
      <c r="H115" s="459"/>
      <c r="J115" s="456"/>
      <c r="K115" s="462"/>
      <c r="L115" s="462"/>
      <c r="M115" s="462"/>
      <c r="N115" s="462"/>
      <c r="O115" s="462"/>
      <c r="P115" s="459"/>
      <c r="Q115" s="462"/>
      <c r="R115" s="462"/>
      <c r="S115" s="462"/>
      <c r="T115" s="462"/>
      <c r="U115" s="456"/>
      <c r="V115" s="462"/>
      <c r="W115" s="462"/>
      <c r="X115" s="462"/>
      <c r="Y115" s="459"/>
      <c r="Z115" s="462"/>
      <c r="AA115" s="462"/>
      <c r="AB115" s="462"/>
      <c r="AC115" s="462"/>
      <c r="AD115" s="456"/>
      <c r="AE115" s="462"/>
      <c r="AF115" s="462"/>
      <c r="AG115" s="462"/>
      <c r="AH115" s="459"/>
      <c r="AI115" s="462"/>
      <c r="AJ115" s="462"/>
      <c r="AK115" s="462"/>
      <c r="AL115" s="462"/>
      <c r="AM115" s="456"/>
      <c r="AN115" s="462"/>
      <c r="AO115" s="462"/>
      <c r="AP115" s="462"/>
      <c r="AQ115" s="462"/>
      <c r="AR115" s="459"/>
      <c r="AS115" s="462"/>
      <c r="AT115" s="462"/>
      <c r="AU115" s="462"/>
      <c r="AV115" s="462"/>
      <c r="AW115" s="456"/>
      <c r="AX115" s="462"/>
      <c r="AY115" s="462"/>
      <c r="AZ115" s="462"/>
      <c r="BA115" s="462"/>
      <c r="BB115" s="459"/>
      <c r="BC115" s="462"/>
      <c r="BD115" s="462"/>
      <c r="BE115" s="462"/>
      <c r="BF115" s="456"/>
      <c r="BG115" s="462"/>
      <c r="BH115" s="462"/>
    </row>
    <row r="116" spans="1:60" x14ac:dyDescent="0.35">
      <c r="A116" s="468"/>
      <c r="B116" s="469"/>
      <c r="D116" s="456"/>
      <c r="E116" s="456"/>
      <c r="F116" s="456"/>
      <c r="G116" s="459"/>
      <c r="H116" s="459"/>
      <c r="J116" s="456"/>
      <c r="K116" s="462"/>
      <c r="L116" s="462"/>
      <c r="M116" s="462"/>
      <c r="N116" s="462"/>
      <c r="O116" s="462"/>
      <c r="P116" s="459"/>
      <c r="Q116" s="462"/>
      <c r="R116" s="462"/>
      <c r="S116" s="462"/>
      <c r="T116" s="462"/>
      <c r="U116" s="456"/>
      <c r="V116" s="462"/>
      <c r="W116" s="462"/>
      <c r="X116" s="462"/>
      <c r="Y116" s="459"/>
      <c r="Z116" s="462"/>
      <c r="AA116" s="462"/>
      <c r="AB116" s="462"/>
      <c r="AC116" s="462"/>
      <c r="AD116" s="456"/>
      <c r="AE116" s="462"/>
      <c r="AF116" s="462"/>
      <c r="AG116" s="462"/>
      <c r="AH116" s="459"/>
      <c r="AI116" s="462"/>
      <c r="AJ116" s="462"/>
      <c r="AK116" s="462"/>
      <c r="AL116" s="462"/>
      <c r="AM116" s="456"/>
      <c r="AN116" s="462"/>
      <c r="AO116" s="462"/>
      <c r="AP116" s="462"/>
      <c r="AQ116" s="462"/>
      <c r="AR116" s="459"/>
      <c r="AS116" s="462"/>
      <c r="AT116" s="462"/>
      <c r="AU116" s="462"/>
      <c r="AV116" s="462"/>
      <c r="AW116" s="456"/>
      <c r="AX116" s="462"/>
      <c r="AY116" s="462"/>
      <c r="AZ116" s="462"/>
      <c r="BA116" s="462"/>
      <c r="BB116" s="459"/>
      <c r="BC116" s="462"/>
      <c r="BD116" s="462"/>
      <c r="BE116" s="462"/>
      <c r="BF116" s="456"/>
      <c r="BG116" s="462"/>
      <c r="BH116" s="462"/>
    </row>
    <row r="117" spans="1:60" x14ac:dyDescent="0.35">
      <c r="A117" s="468"/>
      <c r="B117" s="469"/>
      <c r="D117" s="456"/>
      <c r="E117" s="456"/>
      <c r="F117" s="456"/>
      <c r="G117" s="459"/>
      <c r="H117" s="459"/>
      <c r="J117" s="456"/>
      <c r="K117" s="462"/>
      <c r="L117" s="462"/>
      <c r="M117" s="462"/>
      <c r="N117" s="462"/>
      <c r="O117" s="462"/>
      <c r="P117" s="459"/>
      <c r="Q117" s="462"/>
      <c r="R117" s="462"/>
      <c r="S117" s="462"/>
      <c r="T117" s="462"/>
      <c r="U117" s="456"/>
      <c r="V117" s="462"/>
      <c r="W117" s="462"/>
      <c r="X117" s="462"/>
      <c r="Y117" s="459"/>
      <c r="Z117" s="462"/>
      <c r="AA117" s="462"/>
      <c r="AB117" s="462"/>
      <c r="AC117" s="462"/>
      <c r="AD117" s="456"/>
      <c r="AE117" s="462"/>
      <c r="AF117" s="462"/>
      <c r="AG117" s="462"/>
      <c r="AH117" s="459"/>
      <c r="AI117" s="462"/>
      <c r="AJ117" s="462"/>
      <c r="AK117" s="462"/>
      <c r="AL117" s="462"/>
      <c r="AM117" s="456"/>
      <c r="AN117" s="462"/>
      <c r="AO117" s="462"/>
      <c r="AP117" s="462"/>
      <c r="AQ117" s="462"/>
      <c r="AR117" s="459"/>
      <c r="AS117" s="462"/>
      <c r="AT117" s="462"/>
      <c r="AU117" s="462"/>
      <c r="AV117" s="462"/>
      <c r="AW117" s="456"/>
      <c r="AX117" s="462"/>
      <c r="AY117" s="462"/>
      <c r="AZ117" s="462"/>
      <c r="BA117" s="462"/>
      <c r="BB117" s="459"/>
      <c r="BC117" s="462"/>
      <c r="BD117" s="462"/>
      <c r="BE117" s="462"/>
      <c r="BF117" s="456"/>
      <c r="BG117" s="462"/>
      <c r="BH117" s="462"/>
    </row>
    <row r="118" spans="1:60" x14ac:dyDescent="0.35">
      <c r="A118" s="468"/>
      <c r="B118" s="469"/>
      <c r="D118" s="456"/>
      <c r="E118" s="456"/>
      <c r="F118" s="456"/>
      <c r="G118" s="459"/>
      <c r="H118" s="459"/>
      <c r="J118" s="456"/>
      <c r="K118" s="462"/>
      <c r="L118" s="462"/>
      <c r="M118" s="462"/>
      <c r="N118" s="462"/>
      <c r="O118" s="462"/>
      <c r="P118" s="459"/>
      <c r="Q118" s="462"/>
      <c r="R118" s="462"/>
      <c r="S118" s="462"/>
      <c r="T118" s="462"/>
      <c r="U118" s="456"/>
      <c r="V118" s="462"/>
      <c r="W118" s="462"/>
      <c r="X118" s="462"/>
      <c r="Y118" s="459"/>
      <c r="Z118" s="462"/>
      <c r="AA118" s="462"/>
      <c r="AB118" s="462"/>
      <c r="AC118" s="462"/>
      <c r="AD118" s="456"/>
      <c r="AE118" s="462"/>
      <c r="AF118" s="462"/>
      <c r="AG118" s="462"/>
      <c r="AH118" s="459"/>
      <c r="AI118" s="462"/>
      <c r="AJ118" s="462"/>
      <c r="AK118" s="462"/>
      <c r="AL118" s="462"/>
      <c r="AM118" s="456"/>
      <c r="AN118" s="462"/>
      <c r="AO118" s="462"/>
      <c r="AP118" s="462"/>
      <c r="AQ118" s="462"/>
      <c r="AR118" s="459"/>
      <c r="AS118" s="462"/>
      <c r="AT118" s="462"/>
      <c r="AU118" s="462"/>
      <c r="AV118" s="462"/>
      <c r="AW118" s="456"/>
      <c r="AX118" s="462"/>
      <c r="AY118" s="462"/>
      <c r="AZ118" s="462"/>
      <c r="BA118" s="462"/>
      <c r="BB118" s="459"/>
      <c r="BC118" s="462"/>
      <c r="BD118" s="462"/>
      <c r="BE118" s="462"/>
      <c r="BF118" s="456"/>
      <c r="BG118" s="462"/>
      <c r="BH118" s="462"/>
    </row>
    <row r="119" spans="1:60" x14ac:dyDescent="0.35">
      <c r="A119" s="468"/>
      <c r="B119" s="469"/>
      <c r="D119" s="456"/>
      <c r="E119" s="456"/>
      <c r="F119" s="456"/>
      <c r="G119" s="459"/>
      <c r="H119" s="459"/>
      <c r="J119" s="456"/>
      <c r="K119" s="462"/>
      <c r="L119" s="462"/>
      <c r="M119" s="462"/>
      <c r="N119" s="462"/>
      <c r="O119" s="462"/>
      <c r="P119" s="459"/>
      <c r="Q119" s="462"/>
      <c r="R119" s="462"/>
      <c r="S119" s="462"/>
      <c r="T119" s="462"/>
      <c r="U119" s="456"/>
      <c r="V119" s="462"/>
      <c r="W119" s="462"/>
      <c r="X119" s="462"/>
      <c r="Y119" s="459"/>
      <c r="Z119" s="462"/>
      <c r="AA119" s="462"/>
      <c r="AB119" s="462"/>
      <c r="AC119" s="462"/>
      <c r="AD119" s="456"/>
      <c r="AE119" s="462"/>
      <c r="AF119" s="462"/>
      <c r="AG119" s="462"/>
      <c r="AH119" s="459"/>
      <c r="AI119" s="462"/>
      <c r="AJ119" s="462"/>
      <c r="AK119" s="462"/>
      <c r="AL119" s="462"/>
      <c r="AM119" s="456"/>
      <c r="AN119" s="462"/>
      <c r="AO119" s="462"/>
      <c r="AP119" s="462"/>
      <c r="AQ119" s="462"/>
      <c r="AR119" s="459"/>
      <c r="AS119" s="462"/>
      <c r="AT119" s="462"/>
      <c r="AU119" s="462"/>
      <c r="AV119" s="462"/>
      <c r="AW119" s="456"/>
      <c r="AX119" s="462"/>
      <c r="AY119" s="462"/>
      <c r="AZ119" s="462"/>
      <c r="BA119" s="462"/>
      <c r="BB119" s="459"/>
      <c r="BC119" s="462"/>
      <c r="BD119" s="462"/>
      <c r="BE119" s="462"/>
      <c r="BF119" s="456"/>
      <c r="BG119" s="462"/>
      <c r="BH119" s="462"/>
    </row>
    <row r="120" spans="1:60" x14ac:dyDescent="0.35">
      <c r="A120" s="468"/>
      <c r="B120" s="469"/>
      <c r="D120" s="456"/>
      <c r="E120" s="456"/>
      <c r="F120" s="456"/>
      <c r="G120" s="459"/>
      <c r="H120" s="459"/>
      <c r="J120" s="456"/>
      <c r="K120" s="462"/>
      <c r="L120" s="462"/>
      <c r="M120" s="462"/>
      <c r="N120" s="462"/>
      <c r="O120" s="462"/>
      <c r="P120" s="459"/>
      <c r="Q120" s="462"/>
      <c r="R120" s="462"/>
      <c r="S120" s="462"/>
      <c r="T120" s="462"/>
      <c r="U120" s="456"/>
      <c r="V120" s="462"/>
      <c r="W120" s="462"/>
      <c r="X120" s="462"/>
      <c r="Y120" s="459"/>
      <c r="Z120" s="462"/>
      <c r="AA120" s="462"/>
      <c r="AB120" s="462"/>
      <c r="AC120" s="462"/>
      <c r="AD120" s="456"/>
      <c r="AE120" s="462"/>
      <c r="AF120" s="462"/>
      <c r="AG120" s="462"/>
      <c r="AH120" s="459"/>
      <c r="AI120" s="462"/>
      <c r="AJ120" s="462"/>
      <c r="AK120" s="462"/>
      <c r="AL120" s="462"/>
      <c r="AM120" s="456"/>
      <c r="AN120" s="462"/>
      <c r="AO120" s="462"/>
      <c r="AP120" s="462"/>
      <c r="AQ120" s="462"/>
      <c r="AR120" s="459"/>
      <c r="AS120" s="462"/>
      <c r="AT120" s="462"/>
      <c r="AU120" s="462"/>
      <c r="AV120" s="462"/>
      <c r="AW120" s="456"/>
      <c r="AX120" s="462"/>
      <c r="AY120" s="462"/>
      <c r="AZ120" s="462"/>
      <c r="BA120" s="462"/>
      <c r="BB120" s="459"/>
      <c r="BC120" s="462"/>
      <c r="BD120" s="462"/>
      <c r="BE120" s="462"/>
      <c r="BF120" s="456"/>
      <c r="BG120" s="462"/>
      <c r="BH120" s="462"/>
    </row>
    <row r="121" spans="1:60" x14ac:dyDescent="0.35">
      <c r="A121" s="468"/>
      <c r="B121" s="469"/>
      <c r="D121" s="456"/>
      <c r="E121" s="456"/>
      <c r="F121" s="456"/>
      <c r="G121" s="459"/>
      <c r="H121" s="459"/>
      <c r="J121" s="456"/>
      <c r="K121" s="462"/>
      <c r="L121" s="462"/>
      <c r="M121" s="462"/>
      <c r="N121" s="462"/>
      <c r="O121" s="462"/>
      <c r="P121" s="459"/>
      <c r="Q121" s="462"/>
      <c r="R121" s="462"/>
      <c r="S121" s="462"/>
      <c r="T121" s="462"/>
      <c r="U121" s="456"/>
      <c r="V121" s="462"/>
      <c r="W121" s="462"/>
      <c r="X121" s="462"/>
      <c r="Y121" s="459"/>
      <c r="Z121" s="462"/>
      <c r="AA121" s="462"/>
      <c r="AB121" s="462"/>
      <c r="AC121" s="462"/>
      <c r="AD121" s="456"/>
      <c r="AE121" s="462"/>
      <c r="AF121" s="462"/>
      <c r="AG121" s="462"/>
      <c r="AH121" s="459"/>
      <c r="AI121" s="462"/>
      <c r="AJ121" s="462"/>
      <c r="AK121" s="462"/>
      <c r="AL121" s="462"/>
      <c r="AM121" s="456"/>
      <c r="AN121" s="462"/>
      <c r="AO121" s="462"/>
      <c r="AP121" s="462"/>
      <c r="AQ121" s="462"/>
      <c r="AR121" s="459"/>
      <c r="AS121" s="462"/>
      <c r="AT121" s="462"/>
      <c r="AU121" s="462"/>
      <c r="AV121" s="462"/>
      <c r="AW121" s="456"/>
      <c r="AX121" s="462"/>
      <c r="AY121" s="462"/>
      <c r="AZ121" s="462"/>
      <c r="BA121" s="462"/>
      <c r="BB121" s="459"/>
      <c r="BC121" s="462"/>
      <c r="BD121" s="462"/>
      <c r="BE121" s="462"/>
      <c r="BF121" s="456"/>
      <c r="BG121" s="462"/>
      <c r="BH121" s="462"/>
    </row>
    <row r="122" spans="1:60" x14ac:dyDescent="0.35">
      <c r="A122" s="455" t="s">
        <v>1002</v>
      </c>
      <c r="B122" s="455"/>
      <c r="D122" s="456"/>
      <c r="E122" s="456"/>
      <c r="F122" s="456"/>
      <c r="G122" s="459"/>
      <c r="H122" s="459"/>
      <c r="J122" s="456"/>
      <c r="K122" s="462"/>
      <c r="L122" s="462"/>
      <c r="M122" s="462"/>
      <c r="N122" s="462"/>
      <c r="O122" s="462"/>
      <c r="P122" s="459"/>
      <c r="Q122" s="462"/>
      <c r="R122" s="462"/>
      <c r="S122" s="462"/>
      <c r="T122" s="462"/>
      <c r="U122" s="456"/>
      <c r="V122" s="462"/>
      <c r="W122" s="462"/>
      <c r="X122" s="462"/>
      <c r="Y122" s="459"/>
      <c r="Z122" s="462"/>
      <c r="AA122" s="462"/>
      <c r="AB122" s="462"/>
      <c r="AC122" s="462"/>
      <c r="AD122" s="456"/>
      <c r="AE122" s="462"/>
      <c r="AF122" s="462"/>
      <c r="AG122" s="462"/>
      <c r="AH122" s="459"/>
      <c r="AI122" s="462"/>
      <c r="AJ122" s="462"/>
      <c r="AK122" s="462"/>
      <c r="AL122" s="462"/>
      <c r="AM122" s="456"/>
      <c r="AN122" s="462"/>
      <c r="AO122" s="462"/>
      <c r="AP122" s="462"/>
      <c r="AQ122" s="462"/>
      <c r="AR122" s="459"/>
      <c r="AS122" s="462"/>
      <c r="AT122" s="462"/>
      <c r="AU122" s="462"/>
      <c r="AV122" s="462"/>
      <c r="AW122" s="456"/>
      <c r="AX122" s="462"/>
      <c r="AY122" s="462"/>
      <c r="AZ122" s="462"/>
      <c r="BA122" s="462"/>
      <c r="BB122" s="459"/>
      <c r="BC122" s="462"/>
      <c r="BD122" s="462"/>
      <c r="BE122" s="462"/>
      <c r="BF122" s="456"/>
      <c r="BG122" s="462"/>
      <c r="BH122" s="462"/>
    </row>
    <row r="123" spans="1:60" x14ac:dyDescent="0.35">
      <c r="A123" s="9170"/>
      <c r="B123" s="9171"/>
      <c r="C123" s="9171"/>
      <c r="D123" s="9171"/>
      <c r="E123" s="9171"/>
      <c r="F123" s="9171"/>
      <c r="G123" s="9171"/>
      <c r="H123" s="9171"/>
      <c r="I123" s="9171"/>
      <c r="J123" s="9171"/>
      <c r="K123" s="9171"/>
      <c r="L123" s="9172"/>
      <c r="M123" s="461"/>
      <c r="N123" s="2978"/>
      <c r="O123" s="2978"/>
      <c r="P123" s="7467"/>
      <c r="Q123" s="2978"/>
      <c r="R123" s="2978"/>
      <c r="S123" s="2978"/>
      <c r="T123" s="2978"/>
      <c r="U123" s="456"/>
      <c r="V123" s="461"/>
      <c r="W123" s="2978"/>
      <c r="X123" s="2978"/>
      <c r="Y123" s="7467"/>
      <c r="Z123" s="2978"/>
      <c r="AA123" s="2978"/>
      <c r="AB123" s="2978"/>
      <c r="AC123" s="2978"/>
      <c r="AD123" s="456"/>
      <c r="AE123" s="461"/>
      <c r="AF123" s="2978"/>
      <c r="AG123" s="2978"/>
      <c r="AH123" s="7467"/>
      <c r="AI123" s="2978"/>
      <c r="AJ123" s="461"/>
      <c r="AK123" s="2978"/>
      <c r="AL123" s="2978"/>
      <c r="AM123" s="456"/>
      <c r="AN123" s="461"/>
      <c r="AO123" s="461"/>
      <c r="AP123" s="2978"/>
      <c r="AQ123" s="2978"/>
      <c r="AR123" s="7467"/>
      <c r="AS123" s="2978"/>
      <c r="AT123" s="461"/>
      <c r="AU123" s="2978"/>
      <c r="AV123" s="2978"/>
      <c r="AW123" s="456"/>
      <c r="AX123" s="462"/>
      <c r="AY123" s="461"/>
      <c r="AZ123" s="2978"/>
      <c r="BA123" s="2978"/>
      <c r="BB123" s="7467"/>
      <c r="BC123" s="2978"/>
      <c r="BD123" s="2978"/>
      <c r="BE123" s="2978"/>
      <c r="BF123" s="456"/>
      <c r="BG123" s="462"/>
      <c r="BH123" s="462"/>
    </row>
  </sheetData>
  <mergeCells count="47">
    <mergeCell ref="AB5:AD5"/>
    <mergeCell ref="AF5:AI5"/>
    <mergeCell ref="AK5:AM5"/>
    <mergeCell ref="A10:A30"/>
    <mergeCell ref="G7:H7"/>
    <mergeCell ref="I7:I8"/>
    <mergeCell ref="G5:I5"/>
    <mergeCell ref="K5:L5"/>
    <mergeCell ref="N5:Q5"/>
    <mergeCell ref="S5:U5"/>
    <mergeCell ref="W5:Z5"/>
    <mergeCell ref="AZ5:BC5"/>
    <mergeCell ref="BD5:BF5"/>
    <mergeCell ref="AP4:AS4"/>
    <mergeCell ref="AU4:AW4"/>
    <mergeCell ref="AP5:AS5"/>
    <mergeCell ref="AU5:AW5"/>
    <mergeCell ref="AY1:BF1"/>
    <mergeCell ref="G4:I4"/>
    <mergeCell ref="K4:L4"/>
    <mergeCell ref="N4:Q4"/>
    <mergeCell ref="S4:U4"/>
    <mergeCell ref="W4:Z4"/>
    <mergeCell ref="AB4:AD4"/>
    <mergeCell ref="AF4:AI4"/>
    <mergeCell ref="AK4:AM4"/>
    <mergeCell ref="AZ4:BC4"/>
    <mergeCell ref="BD4:BF4"/>
    <mergeCell ref="E1:L1"/>
    <mergeCell ref="N1:U1"/>
    <mergeCell ref="W1:AD1"/>
    <mergeCell ref="AF1:AM1"/>
    <mergeCell ref="AP1:AW1"/>
    <mergeCell ref="BD7:BF7"/>
    <mergeCell ref="A32:A87"/>
    <mergeCell ref="A89:A105"/>
    <mergeCell ref="A123:L123"/>
    <mergeCell ref="AF7:AI7"/>
    <mergeCell ref="AK7:AM7"/>
    <mergeCell ref="AP7:AS7"/>
    <mergeCell ref="AU7:AW7"/>
    <mergeCell ref="AZ7:BC7"/>
    <mergeCell ref="K7:L7"/>
    <mergeCell ref="N7:Q7"/>
    <mergeCell ref="S7:U7"/>
    <mergeCell ref="W7:Z7"/>
    <mergeCell ref="AB7:AD7"/>
  </mergeCells>
  <hyperlinks>
    <hyperlink ref="T10" r:id="rId1" xr:uid="{64FFA2CF-9787-4FE7-95EC-192F7AB69E4F}"/>
    <hyperlink ref="AC10" r:id="rId2" xr:uid="{DF5DA52A-5D2E-4297-A078-513F406B7E1F}"/>
    <hyperlink ref="Y10" r:id="rId3" xr:uid="{4B539040-5790-4247-BD97-744EE31F6BCF}"/>
    <hyperlink ref="AK33" r:id="rId4" xr:uid="{12AB2DFE-F28E-444F-93C6-D30EE69487DC}"/>
    <hyperlink ref="AH10" r:id="rId5" xr:uid="{D2B8BBD3-0BF9-4CBB-B8A4-DC04E4868A4D}"/>
    <hyperlink ref="AH17" r:id="rId6" xr:uid="{38061E73-3758-41AC-AB7A-483CCF1C405B}"/>
    <hyperlink ref="AU33" r:id="rId7" xr:uid="{F115A20D-58F5-4E12-8C1D-2C6BCDE1D2F4}"/>
    <hyperlink ref="AR10" r:id="rId8" xr:uid="{E8A78D65-AC8F-4CDF-8FAD-1C46315DECAA}"/>
    <hyperlink ref="AR17" r:id="rId9" xr:uid="{D2FDDA62-B86E-4368-9C84-8044C654718F}"/>
    <hyperlink ref="AP33" r:id="rId10" xr:uid="{B2A294AE-2739-4B77-9809-AE8F92CC0723}"/>
    <hyperlink ref="AV10" r:id="rId11" xr:uid="{ACA7C816-9A03-4CEF-A6DA-CAB03391B5CF}"/>
  </hyperlinks>
  <pageMargins left="0.23622047244094491" right="0.23622047244094491" top="0.35433070866141736" bottom="0.35433070866141736" header="0.31496062992125984" footer="0.31496062992125984"/>
  <pageSetup paperSize="9" scale="45" orientation="portrait" horizontalDpi="4294967293" r:id="rId12"/>
  <legacyDrawing r:id="rId1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BO119"/>
  <sheetViews>
    <sheetView zoomScale="70" zoomScaleNormal="70" zoomScalePageLayoutView="93" workbookViewId="0">
      <pane xSplit="23" ySplit="13" topLeftCell="BJ81" activePane="bottomRight" state="frozen"/>
      <selection pane="topRight" activeCell="X1" sqref="X1"/>
      <selection pane="bottomLeft" activeCell="A14" sqref="A14"/>
      <selection pane="bottomRight" activeCell="BO92" sqref="BO92"/>
    </sheetView>
  </sheetViews>
  <sheetFormatPr defaultColWidth="9.1796875" defaultRowHeight="14.5" x14ac:dyDescent="0.35"/>
  <cols>
    <col min="1" max="1" width="6.6328125" customWidth="1"/>
    <col min="2" max="2" width="19.453125" customWidth="1"/>
    <col min="3" max="3" width="19.453125" style="1" customWidth="1"/>
    <col min="4" max="4" width="4.6328125" style="2" hidden="1" customWidth="1"/>
    <col min="5" max="5" width="1.6328125" style="1" hidden="1" customWidth="1"/>
    <col min="6" max="6" width="21.6328125" style="1" hidden="1" customWidth="1"/>
    <col min="7" max="7" width="1.6328125" style="1" hidden="1" customWidth="1"/>
    <col min="8" max="9" width="21.6328125" style="6" hidden="1" customWidth="1"/>
    <col min="10" max="10" width="8.6328125" style="7" hidden="1" customWidth="1"/>
    <col min="11" max="11" width="1.6328125" style="1" hidden="1" customWidth="1"/>
    <col min="12" max="13" width="21.6328125" hidden="1" customWidth="1"/>
    <col min="14" max="14" width="1.6328125" style="1" hidden="1" customWidth="1"/>
    <col min="15" max="18" width="21.6328125" style="6" hidden="1" customWidth="1"/>
    <col min="19" max="19" width="8.6328125" style="7" hidden="1" customWidth="1"/>
    <col min="20" max="20" width="1.6328125" style="1" hidden="1" customWidth="1"/>
    <col min="21" max="21" width="21.6328125" customWidth="1"/>
    <col min="22" max="23" width="23" customWidth="1"/>
    <col min="24" max="24" width="21.6328125" customWidth="1"/>
    <col min="25" max="25" width="1.6328125" style="1" customWidth="1"/>
    <col min="26" max="29" width="21.6328125" style="6" customWidth="1"/>
    <col min="30" max="30" width="8.6328125" style="7" customWidth="1"/>
    <col min="31" max="31" width="1.6328125" style="1" customWidth="1"/>
    <col min="32" max="32" width="21.6328125" customWidth="1"/>
    <col min="33" max="34" width="23" customWidth="1"/>
    <col min="35" max="35" width="21.6328125" customWidth="1"/>
    <col min="36" max="36" width="1.6328125" style="1" customWidth="1"/>
    <col min="37" max="40" width="21.6328125" style="6" customWidth="1"/>
    <col min="41" max="41" width="8.6328125" style="7" customWidth="1"/>
    <col min="42" max="42" width="1.6328125" style="1" customWidth="1"/>
    <col min="43" max="43" width="21.6328125" customWidth="1"/>
    <col min="44" max="45" width="23" customWidth="1"/>
    <col min="46" max="46" width="21.6328125" customWidth="1"/>
    <col min="47" max="47" width="1.6328125" style="1" customWidth="1"/>
    <col min="48" max="48" width="21.6328125" customWidth="1"/>
    <col min="49" max="50" width="23" customWidth="1"/>
    <col min="51" max="51" width="21.6328125" customWidth="1"/>
    <col min="53" max="53" width="21.6328125" customWidth="1"/>
    <col min="54" max="55" width="23" customWidth="1"/>
    <col min="56" max="56" width="21.6328125" customWidth="1"/>
    <col min="57" max="57" width="55" customWidth="1"/>
    <col min="59" max="59" width="21.6328125" customWidth="1"/>
    <col min="60" max="61" width="23" customWidth="1"/>
    <col min="62" max="62" width="21.6328125" customWidth="1"/>
    <col min="63" max="63" width="9.1796875" customWidth="1"/>
    <col min="64" max="64" width="21.6328125" customWidth="1"/>
    <col min="65" max="66" width="23" customWidth="1"/>
    <col min="67" max="67" width="21.6328125" customWidth="1"/>
  </cols>
  <sheetData>
    <row r="1" spans="1:67" ht="31" x14ac:dyDescent="0.7">
      <c r="F1" s="9118" t="s">
        <v>394</v>
      </c>
      <c r="G1" s="9119"/>
      <c r="H1" s="9119"/>
      <c r="I1" s="9119"/>
      <c r="J1" s="9119"/>
      <c r="K1" s="9119"/>
      <c r="L1" s="9119"/>
      <c r="M1" s="9120"/>
      <c r="N1"/>
      <c r="O1" s="9437" t="s">
        <v>395</v>
      </c>
      <c r="P1" s="9438"/>
      <c r="Q1" s="9438"/>
      <c r="R1" s="9438"/>
      <c r="S1" s="9438"/>
      <c r="T1" s="9438"/>
      <c r="U1" s="9438"/>
      <c r="V1" s="9438"/>
      <c r="W1" s="9438"/>
      <c r="X1" s="9439"/>
      <c r="Y1"/>
      <c r="Z1" s="9207" t="s">
        <v>396</v>
      </c>
      <c r="AA1" s="9208"/>
      <c r="AB1" s="9208"/>
      <c r="AC1" s="9208"/>
      <c r="AD1" s="9208"/>
      <c r="AE1" s="9208"/>
      <c r="AF1" s="9208"/>
      <c r="AG1" s="9208"/>
      <c r="AH1" s="9208"/>
      <c r="AI1" s="9209"/>
      <c r="AJ1"/>
      <c r="AK1" s="9477" t="s">
        <v>397</v>
      </c>
      <c r="AL1" s="9478"/>
      <c r="AM1" s="9478"/>
      <c r="AN1" s="9478"/>
      <c r="AO1" s="9478"/>
      <c r="AP1" s="9478"/>
      <c r="AQ1" s="9478"/>
      <c r="AR1" s="9478"/>
      <c r="AS1" s="9478"/>
      <c r="AT1" s="9479"/>
      <c r="AU1"/>
      <c r="AV1" s="9532" t="s">
        <v>398</v>
      </c>
      <c r="AW1" s="9532"/>
      <c r="AX1" s="9532"/>
      <c r="AY1" s="9532"/>
      <c r="AZ1" s="9532"/>
      <c r="BA1" s="9532"/>
      <c r="BB1" s="9532"/>
      <c r="BC1" s="9532"/>
      <c r="BD1" s="9532"/>
      <c r="BG1" s="9532" t="s">
        <v>399</v>
      </c>
      <c r="BH1" s="9532"/>
      <c r="BI1" s="9532"/>
      <c r="BJ1" s="9532"/>
      <c r="BK1" s="9532"/>
      <c r="BL1" s="9532"/>
      <c r="BM1" s="9532"/>
      <c r="BN1" s="9532"/>
      <c r="BO1" s="9532"/>
    </row>
    <row r="2" spans="1:67" ht="21" x14ac:dyDescent="0.5">
      <c r="B2" s="1" t="s">
        <v>9</v>
      </c>
      <c r="C2" s="4" t="s">
        <v>66</v>
      </c>
      <c r="H2"/>
    </row>
    <row r="4" spans="1:67" s="8" customFormat="1" ht="15.25" customHeight="1" x14ac:dyDescent="0.35">
      <c r="D4" s="579"/>
      <c r="F4" s="8326" t="s">
        <v>400</v>
      </c>
      <c r="H4" s="9130" t="s">
        <v>401</v>
      </c>
      <c r="I4" s="9131"/>
      <c r="J4" s="9132"/>
      <c r="L4" s="9130" t="s">
        <v>402</v>
      </c>
      <c r="M4" s="9132"/>
      <c r="O4" s="9130" t="s">
        <v>403</v>
      </c>
      <c r="P4" s="9131"/>
      <c r="Q4" s="9131"/>
      <c r="R4" s="9131"/>
      <c r="S4" s="9132"/>
      <c r="U4" s="9130" t="s">
        <v>402</v>
      </c>
      <c r="V4" s="9131"/>
      <c r="W4" s="9131"/>
      <c r="X4" s="9132"/>
      <c r="Z4" s="9130" t="s">
        <v>403</v>
      </c>
      <c r="AA4" s="9131"/>
      <c r="AB4" s="9131"/>
      <c r="AC4" s="9131"/>
      <c r="AD4" s="9132"/>
      <c r="AF4" s="9130" t="s">
        <v>402</v>
      </c>
      <c r="AG4" s="9131"/>
      <c r="AH4" s="9131"/>
      <c r="AI4" s="9132"/>
      <c r="AK4" s="9130" t="s">
        <v>403</v>
      </c>
      <c r="AL4" s="9131"/>
      <c r="AM4" s="9131"/>
      <c r="AN4" s="9131"/>
      <c r="AO4" s="9132"/>
      <c r="AQ4" s="9130" t="s">
        <v>402</v>
      </c>
      <c r="AR4" s="9131"/>
      <c r="AS4" s="9131"/>
      <c r="AT4" s="9132"/>
      <c r="AV4" s="9130" t="s">
        <v>402</v>
      </c>
      <c r="AW4" s="9131"/>
      <c r="AX4" s="9131"/>
      <c r="AY4" s="9132"/>
      <c r="BA4" s="9130" t="s">
        <v>402</v>
      </c>
      <c r="BB4" s="9131"/>
      <c r="BC4" s="9131"/>
      <c r="BD4" s="9132"/>
      <c r="BE4" s="9180" t="s">
        <v>404</v>
      </c>
      <c r="BG4" s="9130" t="s">
        <v>402</v>
      </c>
      <c r="BH4" s="9131"/>
      <c r="BI4" s="9131"/>
      <c r="BJ4" s="9132"/>
      <c r="BL4" s="9130" t="s">
        <v>402</v>
      </c>
      <c r="BM4" s="9131"/>
      <c r="BN4" s="9131"/>
      <c r="BO4" s="9132"/>
    </row>
    <row r="5" spans="1:67" x14ac:dyDescent="0.35">
      <c r="B5" s="1" t="s">
        <v>406</v>
      </c>
      <c r="C5" s="11">
        <v>2007</v>
      </c>
      <c r="F5" s="8324">
        <v>2011</v>
      </c>
      <c r="G5" s="12"/>
      <c r="H5" s="9138">
        <v>2014</v>
      </c>
      <c r="I5" s="9139"/>
      <c r="J5" s="9140"/>
      <c r="K5" s="12"/>
      <c r="L5" s="9138">
        <v>2015</v>
      </c>
      <c r="M5" s="9140"/>
      <c r="O5" s="9138">
        <v>2015</v>
      </c>
      <c r="P5" s="9139"/>
      <c r="Q5" s="9139"/>
      <c r="R5" s="9139"/>
      <c r="S5" s="9140"/>
      <c r="T5" s="12"/>
      <c r="U5" s="9138">
        <v>2016</v>
      </c>
      <c r="V5" s="9139"/>
      <c r="W5" s="9139"/>
      <c r="X5" s="9140"/>
      <c r="Z5" s="9138">
        <v>2016</v>
      </c>
      <c r="AA5" s="9139"/>
      <c r="AB5" s="9139"/>
      <c r="AC5" s="9139"/>
      <c r="AD5" s="9140"/>
      <c r="AE5" s="12"/>
      <c r="AF5" s="9138">
        <v>2017</v>
      </c>
      <c r="AG5" s="9139"/>
      <c r="AH5" s="9139"/>
      <c r="AI5" s="9140"/>
      <c r="AK5" s="9138">
        <v>2017</v>
      </c>
      <c r="AL5" s="9139"/>
      <c r="AM5" s="9139"/>
      <c r="AN5" s="9139"/>
      <c r="AO5" s="9140"/>
      <c r="AP5" s="12"/>
      <c r="AQ5" s="9138">
        <v>2018</v>
      </c>
      <c r="AR5" s="9139"/>
      <c r="AS5" s="9139"/>
      <c r="AT5" s="9140"/>
      <c r="AV5" s="9138">
        <v>2018</v>
      </c>
      <c r="AW5" s="9139"/>
      <c r="AX5" s="9139"/>
      <c r="AY5" s="9140"/>
      <c r="BA5" s="9138">
        <v>2019</v>
      </c>
      <c r="BB5" s="9139"/>
      <c r="BC5" s="9139"/>
      <c r="BD5" s="9140"/>
      <c r="BE5" s="9181"/>
      <c r="BG5" s="9138">
        <v>2019</v>
      </c>
      <c r="BH5" s="9139"/>
      <c r="BI5" s="9139"/>
      <c r="BJ5" s="9140"/>
      <c r="BL5" s="9138">
        <v>2020</v>
      </c>
      <c r="BM5" s="9139"/>
      <c r="BN5" s="9139"/>
      <c r="BO5" s="9140"/>
    </row>
    <row r="6" spans="1:67" x14ac:dyDescent="0.35">
      <c r="C6"/>
      <c r="F6" s="6"/>
      <c r="L6" s="14"/>
      <c r="U6" s="14"/>
      <c r="V6" s="14"/>
      <c r="W6" s="14"/>
      <c r="AF6" s="14"/>
      <c r="AG6" s="14"/>
      <c r="AH6" s="14"/>
      <c r="AQ6" s="14"/>
      <c r="AR6" s="14"/>
      <c r="AS6" s="14"/>
      <c r="AV6" s="14"/>
      <c r="AW6" s="14"/>
      <c r="AX6" s="14"/>
      <c r="BA6" s="14"/>
      <c r="BB6" s="14"/>
      <c r="BC6" s="14"/>
      <c r="BE6" s="6"/>
      <c r="BG6" s="14"/>
      <c r="BH6" s="14"/>
      <c r="BI6" s="14"/>
      <c r="BL6" s="14"/>
      <c r="BM6" s="14"/>
      <c r="BN6" s="14"/>
    </row>
    <row r="7" spans="1:67" ht="12.75" customHeight="1" x14ac:dyDescent="0.35">
      <c r="B7" s="1" t="s">
        <v>101</v>
      </c>
      <c r="C7" s="15" t="s">
        <v>5409</v>
      </c>
      <c r="D7" s="2" t="s">
        <v>417</v>
      </c>
      <c r="F7" s="8322" t="s">
        <v>418</v>
      </c>
      <c r="H7" s="9173" t="s">
        <v>418</v>
      </c>
      <c r="I7" s="9173"/>
      <c r="J7" s="9147" t="s">
        <v>419</v>
      </c>
      <c r="L7" s="9149" t="s">
        <v>418</v>
      </c>
      <c r="M7" s="9151"/>
      <c r="O7" s="9173" t="str">
        <f>L7</f>
        <v>millions</v>
      </c>
      <c r="P7" s="9173"/>
      <c r="Q7" s="16"/>
      <c r="R7" s="16"/>
      <c r="S7" s="9147" t="s">
        <v>419</v>
      </c>
      <c r="U7" s="9149" t="str">
        <f>O7</f>
        <v>millions</v>
      </c>
      <c r="V7" s="9150"/>
      <c r="W7" s="9150"/>
      <c r="X7" s="9151"/>
      <c r="Z7" s="9173" t="s">
        <v>418</v>
      </c>
      <c r="AA7" s="9173"/>
      <c r="AB7" s="9173"/>
      <c r="AC7" s="16"/>
      <c r="AD7" s="9147" t="s">
        <v>419</v>
      </c>
      <c r="AF7" s="9149" t="str">
        <f>Z7</f>
        <v>millions</v>
      </c>
      <c r="AG7" s="9150"/>
      <c r="AH7" s="9150"/>
      <c r="AI7" s="9151"/>
      <c r="AK7" s="9173" t="s">
        <v>418</v>
      </c>
      <c r="AL7" s="9173"/>
      <c r="AM7" s="9173"/>
      <c r="AN7" s="16"/>
      <c r="AO7" s="9147" t="s">
        <v>419</v>
      </c>
      <c r="AQ7" s="9149" t="str">
        <f>AK7</f>
        <v>millions</v>
      </c>
      <c r="AR7" s="9150"/>
      <c r="AS7" s="9150"/>
      <c r="AT7" s="9151"/>
      <c r="AV7" s="9149" t="str">
        <f>AQ7</f>
        <v>millions</v>
      </c>
      <c r="AW7" s="9150"/>
      <c r="AX7" s="9150"/>
      <c r="AY7" s="9151"/>
      <c r="BA7" s="9149" t="str">
        <f>AV7</f>
        <v>millions</v>
      </c>
      <c r="BB7" s="9150"/>
      <c r="BC7" s="9150"/>
      <c r="BD7" s="9151"/>
      <c r="BE7" s="18"/>
      <c r="BG7" s="9149">
        <f>BB7</f>
        <v>0</v>
      </c>
      <c r="BH7" s="9150"/>
      <c r="BI7" s="9150"/>
      <c r="BJ7" s="9151"/>
      <c r="BL7" s="9149">
        <f>BG7</f>
        <v>0</v>
      </c>
      <c r="BM7" s="9150"/>
      <c r="BN7" s="9150"/>
      <c r="BO7" s="9151"/>
    </row>
    <row r="8" spans="1:67" x14ac:dyDescent="0.35">
      <c r="B8" s="1" t="s">
        <v>420</v>
      </c>
      <c r="C8" s="19" t="s">
        <v>589</v>
      </c>
      <c r="F8" s="20" t="s">
        <v>96</v>
      </c>
      <c r="H8" s="20" t="s">
        <v>423</v>
      </c>
      <c r="I8" s="20" t="s">
        <v>96</v>
      </c>
      <c r="J8" s="9148"/>
      <c r="L8" s="21" t="s">
        <v>424</v>
      </c>
      <c r="M8" s="20" t="s">
        <v>96</v>
      </c>
      <c r="O8" s="20" t="s">
        <v>424</v>
      </c>
      <c r="P8" s="20" t="s">
        <v>96</v>
      </c>
      <c r="Q8" s="22" t="s">
        <v>425</v>
      </c>
      <c r="R8" s="22"/>
      <c r="S8" s="9148"/>
      <c r="U8" s="21" t="s">
        <v>4993</v>
      </c>
      <c r="V8" s="22" t="s">
        <v>425</v>
      </c>
      <c r="W8" s="22"/>
      <c r="X8" s="20" t="s">
        <v>4883</v>
      </c>
      <c r="Z8" s="20" t="s">
        <v>424</v>
      </c>
      <c r="AA8" s="22" t="s">
        <v>425</v>
      </c>
      <c r="AB8" s="20" t="s">
        <v>96</v>
      </c>
      <c r="AC8" s="22"/>
      <c r="AD8" s="9148"/>
      <c r="AF8" s="21" t="s">
        <v>4993</v>
      </c>
      <c r="AG8" s="22" t="s">
        <v>425</v>
      </c>
      <c r="AH8" s="22"/>
      <c r="AI8" s="20" t="s">
        <v>4883</v>
      </c>
      <c r="AK8" s="20" t="s">
        <v>424</v>
      </c>
      <c r="AL8" s="22" t="s">
        <v>425</v>
      </c>
      <c r="AM8" s="20" t="s">
        <v>96</v>
      </c>
      <c r="AN8" s="22"/>
      <c r="AO8" s="9148"/>
      <c r="AQ8" s="21" t="s">
        <v>4993</v>
      </c>
      <c r="AR8" s="22" t="s">
        <v>425</v>
      </c>
      <c r="AS8" s="22"/>
      <c r="AT8" s="20" t="s">
        <v>4883</v>
      </c>
      <c r="AV8" s="21" t="s">
        <v>4993</v>
      </c>
      <c r="AW8" s="22" t="s">
        <v>425</v>
      </c>
      <c r="AX8" s="22"/>
      <c r="AY8" s="20" t="s">
        <v>4883</v>
      </c>
      <c r="BA8" s="21" t="s">
        <v>424</v>
      </c>
      <c r="BB8" s="22" t="s">
        <v>425</v>
      </c>
      <c r="BC8" s="22"/>
      <c r="BD8" s="20" t="s">
        <v>3343</v>
      </c>
      <c r="BE8" s="24"/>
      <c r="BG8" s="21" t="s">
        <v>4993</v>
      </c>
      <c r="BH8" s="22" t="s">
        <v>425</v>
      </c>
      <c r="BI8" s="22"/>
      <c r="BJ8" s="20" t="s">
        <v>4883</v>
      </c>
      <c r="BL8" s="21" t="s">
        <v>424</v>
      </c>
      <c r="BM8" s="22" t="s">
        <v>425</v>
      </c>
      <c r="BN8" s="22"/>
      <c r="BO8" s="20" t="s">
        <v>3343</v>
      </c>
    </row>
    <row r="9" spans="1:67" x14ac:dyDescent="0.35">
      <c r="C9"/>
      <c r="E9"/>
      <c r="F9"/>
      <c r="G9"/>
      <c r="H9"/>
      <c r="I9" s="652" t="s">
        <v>5410</v>
      </c>
      <c r="J9" s="25"/>
      <c r="K9"/>
      <c r="N9"/>
      <c r="O9"/>
      <c r="P9"/>
      <c r="Q9"/>
      <c r="R9"/>
      <c r="S9" s="25"/>
      <c r="T9"/>
      <c r="Y9"/>
      <c r="Z9"/>
      <c r="AA9"/>
      <c r="AB9"/>
      <c r="AC9"/>
      <c r="AD9" s="25"/>
      <c r="AE9"/>
      <c r="AJ9"/>
      <c r="AK9"/>
      <c r="AL9"/>
      <c r="AM9"/>
      <c r="AN9"/>
      <c r="AO9" s="25"/>
      <c r="AP9"/>
      <c r="AU9"/>
    </row>
    <row r="10" spans="1:67" ht="33.25" customHeight="1" x14ac:dyDescent="0.35">
      <c r="A10" s="9167" t="s">
        <v>426</v>
      </c>
      <c r="B10" s="27"/>
      <c r="C10" s="28" t="s">
        <v>427</v>
      </c>
      <c r="D10" s="580" t="s">
        <v>428</v>
      </c>
      <c r="E10" s="30"/>
      <c r="F10" s="31" t="s">
        <v>5411</v>
      </c>
      <c r="G10"/>
      <c r="H10" s="31" t="s">
        <v>5412</v>
      </c>
      <c r="I10" s="31" t="s">
        <v>5413</v>
      </c>
      <c r="J10" s="32"/>
      <c r="K10" s="33"/>
      <c r="L10" s="31" t="s">
        <v>5414</v>
      </c>
      <c r="M10" s="34"/>
      <c r="N10" s="33"/>
      <c r="O10" s="8314" t="s">
        <v>5415</v>
      </c>
      <c r="P10" s="8314" t="s">
        <v>5416</v>
      </c>
      <c r="Q10" s="581" t="s">
        <v>5417</v>
      </c>
      <c r="R10" s="581"/>
      <c r="S10" s="32"/>
      <c r="T10" s="33"/>
      <c r="U10" s="36" t="s">
        <v>5418</v>
      </c>
      <c r="V10" s="581" t="s">
        <v>5419</v>
      </c>
      <c r="W10" s="35" t="s">
        <v>5420</v>
      </c>
      <c r="X10" s="36" t="s">
        <v>5421</v>
      </c>
      <c r="Y10" s="33"/>
      <c r="Z10" s="8314" t="s">
        <v>5421</v>
      </c>
      <c r="AA10" s="581" t="s">
        <v>5420</v>
      </c>
      <c r="AB10" s="8314" t="s">
        <v>5421</v>
      </c>
      <c r="AC10" s="581" t="s">
        <v>5420</v>
      </c>
      <c r="AD10" s="32"/>
      <c r="AE10" s="33"/>
      <c r="AF10" s="36" t="s">
        <v>5422</v>
      </c>
      <c r="AG10" s="581" t="s">
        <v>5423</v>
      </c>
      <c r="AH10" s="35" t="s">
        <v>5424</v>
      </c>
      <c r="AI10" s="36" t="s">
        <v>5425</v>
      </c>
      <c r="AJ10" s="33"/>
      <c r="AK10" s="36" t="s">
        <v>5422</v>
      </c>
      <c r="AL10" s="581" t="s">
        <v>5426</v>
      </c>
      <c r="AM10" s="36" t="s">
        <v>5427</v>
      </c>
      <c r="AN10" s="581" t="s">
        <v>5426</v>
      </c>
      <c r="AO10" s="32"/>
      <c r="AP10" s="33"/>
      <c r="AQ10" s="36" t="s">
        <v>5428</v>
      </c>
      <c r="AR10" s="581" t="s">
        <v>5426</v>
      </c>
      <c r="AS10" s="581" t="s">
        <v>5426</v>
      </c>
      <c r="AT10" s="36" t="s">
        <v>5428</v>
      </c>
      <c r="AU10" s="33"/>
      <c r="AV10" s="36" t="s">
        <v>5428</v>
      </c>
      <c r="AW10" s="473" t="s">
        <v>5426</v>
      </c>
      <c r="AX10" s="473" t="s">
        <v>5426</v>
      </c>
      <c r="AY10" s="36" t="s">
        <v>5428</v>
      </c>
      <c r="BA10" s="36" t="s">
        <v>5429</v>
      </c>
      <c r="BB10" s="473" t="s">
        <v>5426</v>
      </c>
      <c r="BC10" s="473" t="s">
        <v>5426</v>
      </c>
      <c r="BD10" s="36" t="s">
        <v>5430</v>
      </c>
      <c r="BE10" s="1613" t="s">
        <v>5420</v>
      </c>
      <c r="BG10" s="36" t="s">
        <v>5429</v>
      </c>
      <c r="BH10" s="581" t="s">
        <v>5426</v>
      </c>
      <c r="BI10" s="581" t="s">
        <v>5431</v>
      </c>
      <c r="BJ10" s="36" t="s">
        <v>5432</v>
      </c>
      <c r="BL10" s="36" t="s">
        <v>5433</v>
      </c>
      <c r="BM10" s="581" t="s">
        <v>5431</v>
      </c>
      <c r="BN10" s="581" t="s">
        <v>5431</v>
      </c>
      <c r="BO10" s="36" t="s">
        <v>5433</v>
      </c>
    </row>
    <row r="11" spans="1:67" ht="12.75" customHeight="1" x14ac:dyDescent="0.35">
      <c r="A11" s="9168"/>
      <c r="B11" s="40" t="s">
        <v>451</v>
      </c>
      <c r="C11" s="41"/>
      <c r="D11" s="585"/>
      <c r="E11" s="43"/>
      <c r="F11" s="44"/>
      <c r="G11"/>
      <c r="H11" s="45"/>
      <c r="I11" s="46"/>
      <c r="J11" s="47"/>
      <c r="K11" s="48"/>
      <c r="L11" s="45"/>
      <c r="M11" s="49"/>
      <c r="N11" s="50"/>
      <c r="O11" s="45"/>
      <c r="P11" s="45"/>
      <c r="Q11" s="592"/>
      <c r="R11" s="592"/>
      <c r="S11" s="47"/>
      <c r="T11" s="48"/>
      <c r="U11" s="45"/>
      <c r="V11" s="592"/>
      <c r="W11" s="592"/>
      <c r="X11" s="738"/>
      <c r="Y11" s="50"/>
      <c r="Z11" s="154"/>
      <c r="AA11" s="592" t="s">
        <v>1936</v>
      </c>
      <c r="AB11" s="154"/>
      <c r="AC11" s="592" t="s">
        <v>1936</v>
      </c>
      <c r="AD11" s="47"/>
      <c r="AE11" s="48"/>
      <c r="AF11" s="154"/>
      <c r="AG11" s="592"/>
      <c r="AH11" s="592" t="s">
        <v>5434</v>
      </c>
      <c r="AI11" s="586"/>
      <c r="AJ11" s="50"/>
      <c r="AK11" s="154"/>
      <c r="AL11" s="592" t="s">
        <v>1936</v>
      </c>
      <c r="AM11" s="54"/>
      <c r="AN11" s="592" t="s">
        <v>5434</v>
      </c>
      <c r="AO11" s="47"/>
      <c r="AP11" s="48"/>
      <c r="AQ11" s="154"/>
      <c r="AR11" s="592"/>
      <c r="AS11" s="592"/>
      <c r="AT11" s="586"/>
      <c r="AU11" s="50"/>
      <c r="AV11" s="154"/>
      <c r="AW11" s="592"/>
      <c r="AX11" s="592"/>
      <c r="AY11" s="586"/>
      <c r="BA11" s="154"/>
      <c r="BB11" s="592"/>
      <c r="BC11" s="592"/>
      <c r="BD11" s="586"/>
      <c r="BE11" s="3949" t="s">
        <v>5423</v>
      </c>
      <c r="BG11" s="154"/>
      <c r="BH11" s="592"/>
      <c r="BI11" s="592"/>
      <c r="BJ11" s="586"/>
      <c r="BL11" s="154"/>
      <c r="BM11" s="592"/>
      <c r="BN11" s="592"/>
      <c r="BO11" s="586"/>
    </row>
    <row r="12" spans="1:67" x14ac:dyDescent="0.35">
      <c r="A12" s="9168"/>
      <c r="B12" s="58"/>
      <c r="C12" s="59" t="s">
        <v>456</v>
      </c>
      <c r="D12" s="197"/>
      <c r="F12" s="61"/>
      <c r="G12"/>
      <c r="H12" s="62">
        <v>2612637</v>
      </c>
      <c r="I12" s="62">
        <v>2226200</v>
      </c>
      <c r="J12" s="64">
        <f t="shared" ref="J12:J15" si="0">IF(H12=0,0,I12/H12)</f>
        <v>0.85208928756654678</v>
      </c>
      <c r="K12" s="65"/>
      <c r="L12" s="62">
        <v>2389978</v>
      </c>
      <c r="M12" s="66">
        <f t="shared" ref="M12:M13" si="1">L12*J12</f>
        <v>2036474.6513197203</v>
      </c>
      <c r="N12" s="67"/>
      <c r="O12" s="62">
        <v>2389978</v>
      </c>
      <c r="P12" s="62">
        <v>2330159</v>
      </c>
      <c r="Q12" s="53" t="s">
        <v>5435</v>
      </c>
      <c r="R12" s="57"/>
      <c r="S12" s="64">
        <f>P12/O12</f>
        <v>0.9749708993137175</v>
      </c>
      <c r="T12" s="65"/>
      <c r="U12" s="62">
        <v>2559339</v>
      </c>
      <c r="V12" s="53" t="s">
        <v>5435</v>
      </c>
      <c r="W12" s="235" t="s">
        <v>5436</v>
      </c>
      <c r="X12" s="998">
        <v>2966982</v>
      </c>
      <c r="Y12" s="67"/>
      <c r="Z12" s="62">
        <f>2250071+309269</f>
        <v>2559340</v>
      </c>
      <c r="AA12" s="53" t="s">
        <v>5437</v>
      </c>
      <c r="AB12" s="62">
        <f>2500543+466439</f>
        <v>2966982</v>
      </c>
      <c r="AC12" s="57"/>
      <c r="AD12" s="64">
        <f>AB12/Z12</f>
        <v>1.1592762196503785</v>
      </c>
      <c r="AE12" s="65"/>
      <c r="AF12" s="62">
        <v>3596098</v>
      </c>
      <c r="AG12" s="53" t="s">
        <v>5438</v>
      </c>
      <c r="AH12" s="235" t="s">
        <v>5439</v>
      </c>
      <c r="AI12" s="998">
        <f>2823652*12/11</f>
        <v>3080347.6363636362</v>
      </c>
      <c r="AJ12" s="67"/>
      <c r="AK12" s="71">
        <v>3596098</v>
      </c>
      <c r="AL12" s="57" t="s">
        <v>5438</v>
      </c>
      <c r="AM12" s="72">
        <f>2823652*12/11</f>
        <v>3080347.6363636362</v>
      </c>
      <c r="AN12" s="235" t="s">
        <v>5439</v>
      </c>
      <c r="AO12" s="64">
        <f>AM12/AK12</f>
        <v>0.85658055936285282</v>
      </c>
      <c r="AP12" s="65"/>
      <c r="AQ12" s="62">
        <v>4438221</v>
      </c>
      <c r="AR12" s="53" t="s">
        <v>5440</v>
      </c>
      <c r="AS12" s="235"/>
      <c r="AT12" s="998">
        <v>4582143</v>
      </c>
      <c r="AU12" s="67"/>
      <c r="AV12" s="62">
        <v>4438221</v>
      </c>
      <c r="AW12" s="53" t="s">
        <v>5440</v>
      </c>
      <c r="AX12" s="235"/>
      <c r="AY12" s="998">
        <v>4582143</v>
      </c>
      <c r="AZ12" s="7468">
        <f>AY12/AV12</f>
        <v>1.0324278579187471</v>
      </c>
      <c r="BA12" s="62">
        <v>5662859</v>
      </c>
      <c r="BB12" s="53"/>
      <c r="BC12" s="235"/>
      <c r="BD12" s="998">
        <f>AZ12*BA12</f>
        <v>5846493.3870658986</v>
      </c>
      <c r="BE12" s="26"/>
      <c r="BG12" s="62">
        <v>5662859</v>
      </c>
      <c r="BH12" t="s">
        <v>5441</v>
      </c>
      <c r="BI12" s="235"/>
      <c r="BJ12" s="998">
        <v>5643823</v>
      </c>
      <c r="BK12" s="8116">
        <f>BJ12/BG12</f>
        <v>0.99663844711655369</v>
      </c>
      <c r="BL12" s="62">
        <v>6378504</v>
      </c>
      <c r="BM12" t="s">
        <v>5442</v>
      </c>
      <c r="BN12" s="235"/>
      <c r="BO12" s="998">
        <v>5973537</v>
      </c>
    </row>
    <row r="13" spans="1:67" x14ac:dyDescent="0.35">
      <c r="A13" s="9168"/>
      <c r="B13" s="58"/>
      <c r="C13" s="587" t="s">
        <v>462</v>
      </c>
      <c r="D13" s="197"/>
      <c r="F13" s="61"/>
      <c r="G13"/>
      <c r="H13" s="62">
        <f>H15-H12</f>
        <v>740221</v>
      </c>
      <c r="I13" s="62">
        <v>959476</v>
      </c>
      <c r="J13" s="64">
        <f t="shared" si="0"/>
        <v>1.2962020801895651</v>
      </c>
      <c r="K13" s="65"/>
      <c r="L13" s="62">
        <v>796524</v>
      </c>
      <c r="M13" s="66">
        <f t="shared" si="1"/>
        <v>1032456.0657209131</v>
      </c>
      <c r="N13" s="67"/>
      <c r="O13" s="62">
        <v>796524</v>
      </c>
      <c r="P13" s="62">
        <v>1164553</v>
      </c>
      <c r="Q13" s="53"/>
      <c r="R13" s="57"/>
      <c r="S13" s="64">
        <f t="shared" ref="S13:S26" si="2">P13/O13</f>
        <v>1.4620438304432761</v>
      </c>
      <c r="T13" s="65"/>
      <c r="U13" s="62">
        <v>798083</v>
      </c>
      <c r="V13" s="53"/>
      <c r="W13" s="57"/>
      <c r="X13" s="998">
        <v>415333</v>
      </c>
      <c r="Y13" s="67"/>
      <c r="Z13" s="62">
        <v>215506</v>
      </c>
      <c r="AA13" s="53" t="s">
        <v>5443</v>
      </c>
      <c r="AB13" s="62">
        <v>415333</v>
      </c>
      <c r="AC13" s="57"/>
      <c r="AD13" s="64">
        <f>AB13/Z13</f>
        <v>1.9272456451328501</v>
      </c>
      <c r="AE13" s="65"/>
      <c r="AF13" s="62">
        <v>956900</v>
      </c>
      <c r="AG13" s="53"/>
      <c r="AH13" s="57"/>
      <c r="AI13" s="998">
        <f>505371*12/11</f>
        <v>551313.81818181823</v>
      </c>
      <c r="AJ13" s="67"/>
      <c r="AK13" s="71">
        <v>956900</v>
      </c>
      <c r="AL13" s="57"/>
      <c r="AM13" s="72">
        <f>505371*12/11</f>
        <v>551313.81818181823</v>
      </c>
      <c r="AN13" s="57"/>
      <c r="AO13" s="64">
        <f>AM13/AK13</f>
        <v>0.57614569775506141</v>
      </c>
      <c r="AP13" s="65"/>
      <c r="AQ13" s="62">
        <v>623762</v>
      </c>
      <c r="AR13" s="53"/>
      <c r="AS13" s="57"/>
      <c r="AT13" s="998">
        <v>239655</v>
      </c>
      <c r="AU13" s="67"/>
      <c r="AV13" s="62">
        <v>623762</v>
      </c>
      <c r="AW13" s="53"/>
      <c r="AX13" s="57"/>
      <c r="AY13" s="998">
        <v>239655</v>
      </c>
      <c r="AZ13" s="7468">
        <f>AY13/AV13</f>
        <v>0.38420904126894551</v>
      </c>
      <c r="BA13" s="62">
        <f>1063829-409016</f>
        <v>654813</v>
      </c>
      <c r="BB13" s="53"/>
      <c r="BC13" s="57"/>
      <c r="BD13" s="998">
        <f>AZ13*BA13</f>
        <v>251585.07494044202</v>
      </c>
      <c r="BE13" s="26"/>
      <c r="BG13" s="62">
        <f>1063829-409016</f>
        <v>654813</v>
      </c>
      <c r="BH13" s="53"/>
      <c r="BI13" s="57"/>
      <c r="BJ13" s="998">
        <v>232627</v>
      </c>
      <c r="BK13" s="8116">
        <f>BJ13/BG13</f>
        <v>0.3552571497511503</v>
      </c>
      <c r="BL13" s="62">
        <v>735160</v>
      </c>
      <c r="BM13" t="s">
        <v>5442</v>
      </c>
      <c r="BN13" s="57"/>
      <c r="BO13" s="998">
        <v>302461</v>
      </c>
    </row>
    <row r="14" spans="1:67" x14ac:dyDescent="0.35">
      <c r="A14" s="9168"/>
      <c r="B14" s="75"/>
      <c r="C14" s="1096" t="s">
        <v>3267</v>
      </c>
      <c r="D14" s="197"/>
      <c r="F14" s="77"/>
      <c r="G14"/>
      <c r="H14" s="62"/>
      <c r="I14" s="62"/>
      <c r="J14" s="64"/>
      <c r="K14" s="80"/>
      <c r="L14" s="78"/>
      <c r="M14" s="66"/>
      <c r="N14" s="67"/>
      <c r="O14" s="78"/>
      <c r="P14" s="78"/>
      <c r="Q14" s="53"/>
      <c r="R14" s="57"/>
      <c r="S14" s="64"/>
      <c r="T14" s="65"/>
      <c r="U14" s="78"/>
      <c r="V14" s="53"/>
      <c r="W14" s="57"/>
      <c r="X14" s="999">
        <v>310614</v>
      </c>
      <c r="Y14" s="67"/>
      <c r="Z14" s="78">
        <v>425618</v>
      </c>
      <c r="AA14" s="53"/>
      <c r="AB14" s="78">
        <v>310614</v>
      </c>
      <c r="AC14" s="57"/>
      <c r="AD14" s="64"/>
      <c r="AE14" s="65"/>
      <c r="AF14" s="78"/>
      <c r="AG14" s="53"/>
      <c r="AH14" s="57"/>
      <c r="AI14" s="999"/>
      <c r="AJ14" s="67"/>
      <c r="AK14" s="760"/>
      <c r="AL14" s="57"/>
      <c r="AM14" s="83"/>
      <c r="AN14" s="57"/>
      <c r="AO14" s="64"/>
      <c r="AP14" s="65"/>
      <c r="AQ14" s="78"/>
      <c r="AR14" s="53"/>
      <c r="AS14" s="57"/>
      <c r="AT14" s="999"/>
      <c r="AU14" s="67"/>
      <c r="AV14" s="78"/>
      <c r="AW14" s="53"/>
      <c r="AX14" s="57"/>
      <c r="AY14" s="999"/>
      <c r="BA14" s="78"/>
      <c r="BB14" s="53"/>
      <c r="BC14" s="57"/>
      <c r="BD14" s="999"/>
      <c r="BE14" s="26"/>
      <c r="BG14" s="78"/>
      <c r="BH14" s="53"/>
      <c r="BI14" s="57"/>
      <c r="BJ14" s="999"/>
      <c r="BL14" s="78"/>
      <c r="BM14" s="53"/>
      <c r="BN14" s="57"/>
      <c r="BO14" s="999"/>
    </row>
    <row r="15" spans="1:67" x14ac:dyDescent="0.35">
      <c r="A15" s="9168"/>
      <c r="B15" s="85"/>
      <c r="C15" s="86" t="s">
        <v>466</v>
      </c>
      <c r="D15" s="209"/>
      <c r="F15" s="88"/>
      <c r="G15"/>
      <c r="H15" s="62">
        <v>3352858</v>
      </c>
      <c r="I15" s="62">
        <v>3185676</v>
      </c>
      <c r="J15" s="64">
        <f t="shared" si="0"/>
        <v>0.95013746481360084</v>
      </c>
      <c r="K15" s="80"/>
      <c r="L15" s="89">
        <f>SUM(L12:L13)</f>
        <v>3186502</v>
      </c>
      <c r="M15" s="92">
        <f>SUM(M12:M13)</f>
        <v>3068930.7170406333</v>
      </c>
      <c r="N15" s="67"/>
      <c r="O15" s="89">
        <f>SUM(O12:O13)</f>
        <v>3186502</v>
      </c>
      <c r="P15" s="89">
        <f>SUM(P12:P14)</f>
        <v>3494712</v>
      </c>
      <c r="Q15" s="95"/>
      <c r="R15" s="57"/>
      <c r="S15" s="64">
        <f t="shared" si="2"/>
        <v>1.0967236173082584</v>
      </c>
      <c r="T15" s="80"/>
      <c r="U15" s="89">
        <f>SUM(U12:U14)</f>
        <v>3357422</v>
      </c>
      <c r="V15" s="95"/>
      <c r="W15" s="98"/>
      <c r="X15" s="1002">
        <f>SUM(X12:X14)</f>
        <v>3692929</v>
      </c>
      <c r="Y15" s="67"/>
      <c r="Z15" s="89">
        <f>SUM(Z12:Z14)</f>
        <v>3200464</v>
      </c>
      <c r="AA15" s="95"/>
      <c r="AB15" s="89">
        <f>SUM(AB12:AB14)</f>
        <v>3692929</v>
      </c>
      <c r="AC15" s="57"/>
      <c r="AD15" s="64">
        <f>AB15/Z15</f>
        <v>1.1538730009148674</v>
      </c>
      <c r="AE15" s="80"/>
      <c r="AF15" s="89">
        <f>SUM(AF12:AF14)</f>
        <v>4552998</v>
      </c>
      <c r="AG15" s="95"/>
      <c r="AH15" s="98"/>
      <c r="AI15" s="1002">
        <f>SUM(AI12:AI14)</f>
        <v>3631661.4545454546</v>
      </c>
      <c r="AJ15" s="67"/>
      <c r="AK15" s="768">
        <f>SUM(AK12:AK14)</f>
        <v>4552998</v>
      </c>
      <c r="AL15" s="98"/>
      <c r="AM15" s="308">
        <f>SUM(AM12:AM14)</f>
        <v>3631661.4545454546</v>
      </c>
      <c r="AN15" s="98"/>
      <c r="AO15" s="133">
        <f>AM15/AK15</f>
        <v>0.79764178559829246</v>
      </c>
      <c r="AP15" s="80"/>
      <c r="AQ15" s="89">
        <f>SUM(AQ12:AQ14)</f>
        <v>5061983</v>
      </c>
      <c r="AR15" s="95"/>
      <c r="AS15" s="98"/>
      <c r="AT15" s="1002">
        <f>SUM(AT12:AT14)</f>
        <v>4821798</v>
      </c>
      <c r="AU15" s="67"/>
      <c r="AV15" s="89">
        <f>SUM(AV12:AV14)</f>
        <v>5061983</v>
      </c>
      <c r="AW15" s="95"/>
      <c r="AX15" s="98"/>
      <c r="AY15" s="1002">
        <f>SUM(AY12:AY14)</f>
        <v>4821798</v>
      </c>
      <c r="AZ15" s="7468">
        <f>AY15/AV15</f>
        <v>0.95255120374762225</v>
      </c>
      <c r="BA15" s="89">
        <f>SUM(BA12:BA14)</f>
        <v>6317672</v>
      </c>
      <c r="BB15" s="95"/>
      <c r="BC15" s="98"/>
      <c r="BD15" s="998">
        <f>AZ15*BA15</f>
        <v>6017906.0684826486</v>
      </c>
      <c r="BE15" s="24"/>
      <c r="BG15" s="89">
        <f>SUM(BG12:BG14)</f>
        <v>6317672</v>
      </c>
      <c r="BH15" s="95"/>
      <c r="BI15" s="98"/>
      <c r="BJ15" s="1002">
        <f>SUM(BJ12:BJ14)</f>
        <v>5876450</v>
      </c>
      <c r="BK15" s="8116">
        <f>BJ15/BG15</f>
        <v>0.93016066677725595</v>
      </c>
      <c r="BL15" s="89">
        <f>SUM(BL12:BL14)</f>
        <v>7113664</v>
      </c>
      <c r="BM15" s="95"/>
      <c r="BN15" s="98"/>
      <c r="BO15" s="998">
        <f>SUM(BO12:BO14)</f>
        <v>6275998</v>
      </c>
    </row>
    <row r="16" spans="1:67" x14ac:dyDescent="0.35">
      <c r="A16" s="9168"/>
      <c r="B16" s="100" t="s">
        <v>468</v>
      </c>
      <c r="C16" s="49"/>
      <c r="D16" s="585"/>
      <c r="E16" s="43"/>
      <c r="F16" s="101"/>
      <c r="G16"/>
      <c r="H16" s="102"/>
      <c r="I16" s="103"/>
      <c r="J16" s="104"/>
      <c r="K16" s="43"/>
      <c r="L16" s="102"/>
      <c r="M16" s="105"/>
      <c r="N16" s="43"/>
      <c r="O16" s="102"/>
      <c r="P16" s="106"/>
      <c r="Q16" s="592"/>
      <c r="R16" s="592"/>
      <c r="S16" s="104"/>
      <c r="T16" s="43"/>
      <c r="U16" s="1111"/>
      <c r="V16" s="1110"/>
      <c r="W16" s="1110"/>
      <c r="X16" s="3950"/>
      <c r="Y16" s="43"/>
      <c r="Z16" s="102"/>
      <c r="AA16" s="592" t="s">
        <v>1936</v>
      </c>
      <c r="AB16" s="106"/>
      <c r="AC16" s="592" t="s">
        <v>1936</v>
      </c>
      <c r="AD16" s="104"/>
      <c r="AE16" s="43"/>
      <c r="AF16" s="1111"/>
      <c r="AG16" s="1110"/>
      <c r="AH16" s="592" t="s">
        <v>5434</v>
      </c>
      <c r="AI16" s="3950"/>
      <c r="AJ16" s="43"/>
      <c r="AK16" s="1111"/>
      <c r="AL16" s="1110"/>
      <c r="AM16" s="3950"/>
      <c r="AN16" s="592" t="s">
        <v>5434</v>
      </c>
      <c r="AO16" s="104"/>
      <c r="AP16" s="43"/>
      <c r="AQ16" s="1111"/>
      <c r="AR16" s="1110"/>
      <c r="AS16" s="592" t="s">
        <v>5434</v>
      </c>
      <c r="AT16" s="3950"/>
      <c r="AU16" s="43"/>
      <c r="AV16" s="1111"/>
      <c r="AW16" s="1110"/>
      <c r="AX16" s="592"/>
      <c r="AY16" s="3950"/>
      <c r="BA16" s="1111"/>
      <c r="BB16" s="1110"/>
      <c r="BC16" s="592" t="s">
        <v>5434</v>
      </c>
      <c r="BD16" s="3950"/>
      <c r="BE16" s="18"/>
      <c r="BG16" s="1111"/>
      <c r="BH16" s="1110"/>
      <c r="BI16" s="592"/>
      <c r="BJ16" s="3950"/>
      <c r="BL16" s="1111"/>
      <c r="BM16" s="1110"/>
      <c r="BN16" s="592"/>
      <c r="BO16" s="3950"/>
    </row>
    <row r="17" spans="1:67" x14ac:dyDescent="0.35">
      <c r="A17" s="9168"/>
      <c r="B17" s="6082"/>
      <c r="C17" s="110" t="s">
        <v>470</v>
      </c>
      <c r="D17" s="197">
        <v>1</v>
      </c>
      <c r="F17" s="111"/>
      <c r="G17"/>
      <c r="H17" s="3951">
        <f>2550676-232494</f>
        <v>2318182</v>
      </c>
      <c r="I17" s="1351">
        <f>2718468-221359</f>
        <v>2497109</v>
      </c>
      <c r="J17" s="64">
        <f>IF(H17=0,0,I17/H17)</f>
        <v>1.0771841900247694</v>
      </c>
      <c r="L17" s="117">
        <f>2841864-L20</f>
        <v>2613631</v>
      </c>
      <c r="M17" s="66">
        <f t="shared" ref="M17:M20" si="3">L17*J17</f>
        <v>2815361.9917586283</v>
      </c>
      <c r="O17" s="117">
        <f>2841864-O20</f>
        <v>2613631</v>
      </c>
      <c r="P17" s="115">
        <f>2803337-P20</f>
        <v>2628767</v>
      </c>
      <c r="Q17" s="53" t="s">
        <v>5444</v>
      </c>
      <c r="R17" s="57"/>
      <c r="S17" s="64">
        <f t="shared" si="2"/>
        <v>1.0057911771018939</v>
      </c>
      <c r="U17" s="117">
        <f>3121428-U20</f>
        <v>2821808</v>
      </c>
      <c r="V17" s="53" t="s">
        <v>5444</v>
      </c>
      <c r="W17" s="235" t="s">
        <v>5445</v>
      </c>
      <c r="X17" s="273">
        <v>3097508</v>
      </c>
      <c r="Z17" s="117">
        <f>2846641</f>
        <v>2846641</v>
      </c>
      <c r="AA17" s="53" t="s">
        <v>5446</v>
      </c>
      <c r="AB17" s="115">
        <v>3097508</v>
      </c>
      <c r="AC17" s="53" t="s">
        <v>5447</v>
      </c>
      <c r="AD17" s="64">
        <f t="shared" ref="AD17:AD22" si="4">AB17/Z17</f>
        <v>1.0881273753873424</v>
      </c>
      <c r="AF17" s="117">
        <f>3970675-AF20</f>
        <v>3422497</v>
      </c>
      <c r="AG17" s="53" t="s">
        <v>5448</v>
      </c>
      <c r="AH17" s="235"/>
      <c r="AI17" s="273">
        <f>(1735878+1424196)*12/11</f>
        <v>3447353.4545454546</v>
      </c>
      <c r="AK17" s="117">
        <f>3970675-AK20</f>
        <v>3422497</v>
      </c>
      <c r="AL17" s="53" t="s">
        <v>5448</v>
      </c>
      <c r="AM17" s="273">
        <f>(1735878+1424196)*12/11</f>
        <v>3447353.4545454546</v>
      </c>
      <c r="AN17" s="235"/>
      <c r="AO17" s="64">
        <f t="shared" ref="AO17:AO22" si="5">AM17/AK17</f>
        <v>1.0072626665693074</v>
      </c>
      <c r="AQ17" s="117">
        <f>6334573-AQ18-AQ19-AQ20-AQ21</f>
        <v>4582815</v>
      </c>
      <c r="AR17" s="53" t="s">
        <v>5440</v>
      </c>
      <c r="AS17" s="235"/>
      <c r="AT17" s="273">
        <f>5652606-AT18-AT19-AT20-AT21</f>
        <v>4088334</v>
      </c>
      <c r="AV17" s="117">
        <f>6334573-AV18-AV19-AV20-AV21</f>
        <v>4582815</v>
      </c>
      <c r="AW17" s="53" t="s">
        <v>5440</v>
      </c>
      <c r="AX17" s="235"/>
      <c r="AY17" s="662">
        <f>4880345-AY20</f>
        <v>3976684</v>
      </c>
      <c r="AZ17" s="7468">
        <f t="shared" ref="AZ17:AZ26" si="6">AY17/AV17</f>
        <v>0.86773827876534404</v>
      </c>
      <c r="BA17" s="117">
        <f>5534641-BA20</f>
        <v>4500080</v>
      </c>
      <c r="BB17" s="53"/>
      <c r="BC17" s="235"/>
      <c r="BD17" s="273">
        <f>BA17*AZ17</f>
        <v>3904891.6735063493</v>
      </c>
      <c r="BE17" s="26"/>
      <c r="BG17" s="117">
        <f>5534641-BG20</f>
        <v>4500080</v>
      </c>
      <c r="BH17" s="53" t="s">
        <v>5440</v>
      </c>
      <c r="BI17" s="235"/>
      <c r="BJ17" s="273">
        <f>5794608-BJ20</f>
        <v>4728741</v>
      </c>
      <c r="BK17" s="8116">
        <f>BJ17/BG17</f>
        <v>1.050812652219516</v>
      </c>
      <c r="BL17" s="117">
        <v>7065184</v>
      </c>
      <c r="BM17" t="s">
        <v>5442</v>
      </c>
      <c r="BN17" s="235"/>
      <c r="BO17" s="273">
        <f>7526022-BO20</f>
        <v>6316745</v>
      </c>
    </row>
    <row r="18" spans="1:67" x14ac:dyDescent="0.35">
      <c r="A18" s="9168"/>
      <c r="B18" s="6082"/>
      <c r="C18" s="121" t="s">
        <v>630</v>
      </c>
      <c r="D18" s="197"/>
      <c r="F18" s="122"/>
      <c r="G18"/>
      <c r="H18" s="3951"/>
      <c r="I18" s="3952"/>
      <c r="J18" s="64">
        <f>J19</f>
        <v>0.70174664019165456</v>
      </c>
      <c r="L18" s="117">
        <v>430000</v>
      </c>
      <c r="M18" s="66">
        <f t="shared" si="3"/>
        <v>301751.05528241146</v>
      </c>
      <c r="O18" s="117">
        <v>430000</v>
      </c>
      <c r="P18" s="115">
        <v>652727</v>
      </c>
      <c r="Q18" s="116"/>
      <c r="R18" s="57"/>
      <c r="S18" s="64">
        <f t="shared" si="2"/>
        <v>1.5179697674418604</v>
      </c>
      <c r="U18" s="117">
        <v>613412</v>
      </c>
      <c r="V18" s="116"/>
      <c r="W18" s="119"/>
      <c r="X18" s="273">
        <v>715592</v>
      </c>
      <c r="Z18" s="117">
        <v>613412</v>
      </c>
      <c r="AA18" s="116"/>
      <c r="AB18" s="115">
        <v>715592</v>
      </c>
      <c r="AC18" s="116"/>
      <c r="AD18" s="64">
        <f t="shared" si="4"/>
        <v>1.1665764608452394</v>
      </c>
      <c r="AF18" s="117">
        <v>569066</v>
      </c>
      <c r="AG18" s="116"/>
      <c r="AH18" s="119" t="s">
        <v>5449</v>
      </c>
      <c r="AI18" s="273">
        <f>928499*12/11</f>
        <v>1012908</v>
      </c>
      <c r="AK18" s="117">
        <v>569066</v>
      </c>
      <c r="AL18" s="116"/>
      <c r="AM18" s="273">
        <f>928499*12/11</f>
        <v>1012908</v>
      </c>
      <c r="AN18" s="119" t="s">
        <v>5449</v>
      </c>
      <c r="AO18" s="64">
        <f t="shared" si="5"/>
        <v>1.7799481958155996</v>
      </c>
      <c r="AQ18" s="117">
        <v>800676</v>
      </c>
      <c r="AR18" s="116"/>
      <c r="AS18" s="119" t="s">
        <v>5449</v>
      </c>
      <c r="AT18" s="273">
        <v>660611</v>
      </c>
      <c r="AV18" s="117">
        <v>800676</v>
      </c>
      <c r="AW18" s="116"/>
      <c r="AX18" s="119" t="s">
        <v>5449</v>
      </c>
      <c r="AY18" s="273">
        <v>660611</v>
      </c>
      <c r="AZ18" s="7468">
        <f t="shared" si="6"/>
        <v>0.82506656874940676</v>
      </c>
      <c r="BA18" s="117">
        <v>2144392</v>
      </c>
      <c r="BB18" s="116"/>
      <c r="BC18" s="119" t="s">
        <v>5449</v>
      </c>
      <c r="BD18" s="273">
        <f>BA18*AZ18</f>
        <v>1769266.1494936778</v>
      </c>
      <c r="BE18" s="26"/>
      <c r="BG18" s="117">
        <v>2144392</v>
      </c>
      <c r="BH18" s="116"/>
      <c r="BI18" s="119" t="s">
        <v>5449</v>
      </c>
      <c r="BJ18" s="273">
        <f>529281</f>
        <v>529281</v>
      </c>
      <c r="BK18" s="8116">
        <f>BJ18/BG18</f>
        <v>0.24682101033766216</v>
      </c>
      <c r="BL18" s="117">
        <v>1060031</v>
      </c>
      <c r="BN18" s="119"/>
      <c r="BO18" s="273">
        <v>1175279</v>
      </c>
    </row>
    <row r="19" spans="1:67" x14ac:dyDescent="0.35">
      <c r="A19" s="9168"/>
      <c r="B19" s="6082"/>
      <c r="C19" s="121" t="s">
        <v>632</v>
      </c>
      <c r="D19" s="197"/>
      <c r="F19" s="122"/>
      <c r="G19"/>
      <c r="H19" s="117">
        <v>1716839</v>
      </c>
      <c r="I19" s="123">
        <v>1204786</v>
      </c>
      <c r="J19" s="64">
        <f>IF(H19=0,0,I19/H19)</f>
        <v>0.70174664019165456</v>
      </c>
      <c r="L19" s="117">
        <v>1237061</v>
      </c>
      <c r="M19" s="66">
        <f t="shared" si="3"/>
        <v>868103.40046212834</v>
      </c>
      <c r="O19" s="117">
        <v>1237061</v>
      </c>
      <c r="P19" s="115">
        <v>963042</v>
      </c>
      <c r="Q19" s="116"/>
      <c r="R19" s="57"/>
      <c r="S19" s="64">
        <f t="shared" si="2"/>
        <v>0.77849192562048275</v>
      </c>
      <c r="U19" s="117">
        <v>904000</v>
      </c>
      <c r="V19" s="116"/>
      <c r="W19" s="119"/>
      <c r="X19" s="3953">
        <f>U19*S19</f>
        <v>703756.70076091646</v>
      </c>
      <c r="Z19" s="117">
        <f>U19</f>
        <v>904000</v>
      </c>
      <c r="AA19" s="3954" t="s">
        <v>5450</v>
      </c>
      <c r="AB19" s="3955">
        <f>X19</f>
        <v>703756.70076091646</v>
      </c>
      <c r="AC19" s="116"/>
      <c r="AD19" s="64">
        <f t="shared" si="4"/>
        <v>0.77849192562048286</v>
      </c>
      <c r="AF19" s="117">
        <v>904000</v>
      </c>
      <c r="AG19" s="116"/>
      <c r="AH19" s="119" t="s">
        <v>5451</v>
      </c>
      <c r="AI19" s="3938"/>
      <c r="AK19" s="117">
        <v>904000</v>
      </c>
      <c r="AL19" s="116"/>
      <c r="AM19" s="3938"/>
      <c r="AN19" s="119" t="s">
        <v>5451</v>
      </c>
      <c r="AO19" s="64">
        <f t="shared" si="5"/>
        <v>0</v>
      </c>
      <c r="AQ19" s="117"/>
      <c r="AR19" s="116"/>
      <c r="AS19" s="119" t="s">
        <v>5451</v>
      </c>
      <c r="AT19" s="3938"/>
      <c r="AV19" s="117"/>
      <c r="AW19" s="116"/>
      <c r="AX19" s="119" t="s">
        <v>5451</v>
      </c>
      <c r="AY19" s="3938"/>
      <c r="BA19" s="117"/>
      <c r="BB19" s="116"/>
      <c r="BC19" s="119" t="s">
        <v>5451</v>
      </c>
      <c r="BD19" s="3938"/>
      <c r="BE19" s="26"/>
      <c r="BG19" s="117"/>
      <c r="BH19" s="116"/>
      <c r="BI19" s="119" t="s">
        <v>5451</v>
      </c>
      <c r="BJ19" s="3938"/>
      <c r="BL19" s="117"/>
      <c r="BM19" s="116"/>
      <c r="BN19" s="119"/>
      <c r="BO19" s="3938"/>
    </row>
    <row r="20" spans="1:67" x14ac:dyDescent="0.35">
      <c r="A20" s="9168"/>
      <c r="B20" s="6082"/>
      <c r="C20" s="121" t="s">
        <v>3282</v>
      </c>
      <c r="D20" s="197"/>
      <c r="F20" s="122"/>
      <c r="H20" s="3956">
        <f>H22-H17-H19</f>
        <v>180920</v>
      </c>
      <c r="I20" s="3952">
        <f>I22-I17-I19</f>
        <v>233509</v>
      </c>
      <c r="J20" s="64">
        <f>IF(H20=0,0,I20/H20)</f>
        <v>1.2906754366570861</v>
      </c>
      <c r="L20" s="117">
        <v>228233</v>
      </c>
      <c r="M20" s="66">
        <f t="shared" si="3"/>
        <v>294574.72693455673</v>
      </c>
      <c r="O20" s="117">
        <v>228233</v>
      </c>
      <c r="P20" s="115">
        <v>174570</v>
      </c>
      <c r="Q20" s="116"/>
      <c r="R20" s="57"/>
      <c r="S20" s="64">
        <f t="shared" si="2"/>
        <v>0.76487624489009043</v>
      </c>
      <c r="U20" s="117">
        <v>299620</v>
      </c>
      <c r="V20" s="116"/>
      <c r="W20" s="119"/>
      <c r="X20" s="273">
        <f>141594+61778</f>
        <v>203372</v>
      </c>
      <c r="Z20" s="117">
        <f>254202+45419</f>
        <v>299621</v>
      </c>
      <c r="AA20" s="116" t="s">
        <v>5452</v>
      </c>
      <c r="AB20" s="115">
        <f>141594+61778</f>
        <v>203372</v>
      </c>
      <c r="AC20" s="116" t="s">
        <v>5452</v>
      </c>
      <c r="AD20" s="64">
        <f t="shared" si="4"/>
        <v>0.67876417207071604</v>
      </c>
      <c r="AF20" s="117">
        <v>548178</v>
      </c>
      <c r="AG20" s="116"/>
      <c r="AH20" s="119"/>
      <c r="AI20" s="273">
        <f>532074*12/11</f>
        <v>580444.36363636365</v>
      </c>
      <c r="AK20" s="117">
        <v>548178</v>
      </c>
      <c r="AL20" s="116"/>
      <c r="AM20" s="273">
        <f>532074*12/11</f>
        <v>580444.36363636365</v>
      </c>
      <c r="AN20" s="119"/>
      <c r="AO20" s="64">
        <f t="shared" si="5"/>
        <v>1.0588611064952691</v>
      </c>
      <c r="AQ20" s="117">
        <v>951082</v>
      </c>
      <c r="AR20" s="116"/>
      <c r="AS20" s="119"/>
      <c r="AT20" s="273">
        <v>903661</v>
      </c>
      <c r="AV20" s="117">
        <v>951082</v>
      </c>
      <c r="AW20" s="116"/>
      <c r="AX20" s="119"/>
      <c r="AY20" s="273">
        <v>903661</v>
      </c>
      <c r="AZ20" s="7468">
        <f t="shared" si="6"/>
        <v>0.9501399458721751</v>
      </c>
      <c r="BA20" s="117">
        <v>1034561</v>
      </c>
      <c r="BB20" s="116"/>
      <c r="BC20" s="119"/>
      <c r="BD20" s="273">
        <f>BA20*AZ20</f>
        <v>982977.73254146334</v>
      </c>
      <c r="BE20" s="26" t="s">
        <v>5453</v>
      </c>
      <c r="BG20" s="117">
        <v>1034561</v>
      </c>
      <c r="BH20" s="116"/>
      <c r="BI20" s="119"/>
      <c r="BJ20" s="273">
        <f>885632+93972+86263</f>
        <v>1065867</v>
      </c>
      <c r="BK20" s="8116">
        <f>BJ20/BG20</f>
        <v>1.0302601779885381</v>
      </c>
      <c r="BL20" s="117">
        <f>936681+97879</f>
        <v>1034560</v>
      </c>
      <c r="BN20" s="119"/>
      <c r="BO20" s="273">
        <f>1089183+120094</f>
        <v>1209277</v>
      </c>
    </row>
    <row r="21" spans="1:67" x14ac:dyDescent="0.35">
      <c r="A21" s="9168"/>
      <c r="B21" s="6082"/>
      <c r="C21" s="121" t="s">
        <v>3285</v>
      </c>
      <c r="D21" s="197"/>
      <c r="F21" s="122"/>
      <c r="H21" s="3956"/>
      <c r="I21" s="3952"/>
      <c r="J21" s="64"/>
      <c r="L21" s="117">
        <v>-51574</v>
      </c>
      <c r="M21" s="66"/>
      <c r="O21" s="117">
        <v>-51574</v>
      </c>
      <c r="P21" s="115"/>
      <c r="Q21" s="116"/>
      <c r="R21" s="57"/>
      <c r="S21" s="64">
        <f t="shared" si="2"/>
        <v>0</v>
      </c>
      <c r="U21" s="117"/>
      <c r="V21" s="116"/>
      <c r="W21" s="119"/>
      <c r="X21" s="273"/>
      <c r="Z21" s="117"/>
      <c r="AA21" s="116"/>
      <c r="AB21" s="115"/>
      <c r="AC21" s="116"/>
      <c r="AD21" s="64" t="e">
        <f t="shared" si="4"/>
        <v>#DIV/0!</v>
      </c>
      <c r="AF21" s="117"/>
      <c r="AG21" s="116"/>
      <c r="AH21" s="119"/>
      <c r="AI21" s="273"/>
      <c r="AK21" s="117"/>
      <c r="AL21" s="116"/>
      <c r="AM21" s="273"/>
      <c r="AN21" s="119"/>
      <c r="AO21" s="64" t="e">
        <f t="shared" si="5"/>
        <v>#DIV/0!</v>
      </c>
      <c r="AQ21" s="117"/>
      <c r="AR21" s="116"/>
      <c r="AS21" s="119"/>
      <c r="AT21" s="273"/>
      <c r="AV21" s="117"/>
      <c r="AW21" s="116"/>
      <c r="AX21" s="119" t="s">
        <v>5454</v>
      </c>
      <c r="AY21" s="273">
        <v>111649</v>
      </c>
      <c r="BA21" s="117"/>
      <c r="BB21" s="116"/>
      <c r="BC21" s="119"/>
      <c r="BD21" s="273"/>
      <c r="BE21" s="26" t="s">
        <v>2191</v>
      </c>
      <c r="BG21" s="117"/>
      <c r="BH21" s="116"/>
      <c r="BI21" s="119" t="s">
        <v>5454</v>
      </c>
      <c r="BJ21" s="273">
        <v>86263</v>
      </c>
      <c r="BL21" s="117">
        <v>294046</v>
      </c>
      <c r="BM21" s="116" t="s">
        <v>5454</v>
      </c>
      <c r="BN21" s="119"/>
      <c r="BO21" s="273">
        <v>481123</v>
      </c>
    </row>
    <row r="22" spans="1:67" x14ac:dyDescent="0.35">
      <c r="A22" s="9168"/>
      <c r="B22" s="128"/>
      <c r="C22" s="129" t="s">
        <v>479</v>
      </c>
      <c r="D22" s="209"/>
      <c r="F22" s="130"/>
      <c r="H22" s="117">
        <v>4215941</v>
      </c>
      <c r="I22" s="132">
        <v>3935404</v>
      </c>
      <c r="J22" s="133">
        <f>IF(H22=0,0,I22/H22)</f>
        <v>0.933458034635684</v>
      </c>
      <c r="L22" s="131">
        <f>SUM(L17:L21)</f>
        <v>4457351</v>
      </c>
      <c r="M22" s="92">
        <f>SUM(M17:M20)</f>
        <v>4279791.174437725</v>
      </c>
      <c r="O22" s="117">
        <f>SUM(O17:O21)</f>
        <v>4457351</v>
      </c>
      <c r="P22" s="132">
        <f>SUM(P17:P21)</f>
        <v>4419106</v>
      </c>
      <c r="Q22" s="116"/>
      <c r="R22" s="57"/>
      <c r="S22" s="64">
        <f t="shared" si="2"/>
        <v>0.99141979171036787</v>
      </c>
      <c r="U22" s="131">
        <f>SUM(U17:U21)</f>
        <v>4638840</v>
      </c>
      <c r="V22" s="116"/>
      <c r="W22" s="119"/>
      <c r="X22" s="658">
        <f>SUM(X17:X21)</f>
        <v>4720228.7007609168</v>
      </c>
      <c r="Z22" s="117">
        <f>SUM(Z17:Z21)</f>
        <v>4663674</v>
      </c>
      <c r="AA22" s="57" t="s">
        <v>5455</v>
      </c>
      <c r="AB22" s="132">
        <f>SUM(AB17:AB21)</f>
        <v>4720228.7007609168</v>
      </c>
      <c r="AC22" s="57" t="s">
        <v>5455</v>
      </c>
      <c r="AD22" s="64">
        <f t="shared" si="4"/>
        <v>1.0121266410904615</v>
      </c>
      <c r="AF22" s="131">
        <f>SUM(AF17:AF21)</f>
        <v>5443741</v>
      </c>
      <c r="AG22" s="116"/>
      <c r="AH22" s="119"/>
      <c r="AI22" s="658">
        <f>SUM(AI17:AI21)</f>
        <v>5040705.8181818184</v>
      </c>
      <c r="AK22" s="131">
        <f>SUM(AK17:AK21)</f>
        <v>5443741</v>
      </c>
      <c r="AL22" s="116"/>
      <c r="AM22" s="658">
        <f>SUM(AM17:AM21)</f>
        <v>5040705.8181818184</v>
      </c>
      <c r="AN22" s="119"/>
      <c r="AO22" s="64">
        <f t="shared" si="5"/>
        <v>0.92596356406041702</v>
      </c>
      <c r="AQ22" s="131">
        <f>SUM(AQ17:AQ21)</f>
        <v>6334573</v>
      </c>
      <c r="AR22" s="116"/>
      <c r="AS22" s="119"/>
      <c r="AT22" s="658">
        <f>SUM(AT17:AT21)</f>
        <v>5652606</v>
      </c>
      <c r="AV22" s="131">
        <f>SUM(AV17:AV21)</f>
        <v>6334573</v>
      </c>
      <c r="AW22" s="116"/>
      <c r="AX22" s="119"/>
      <c r="AY22" s="658">
        <f>SUM(AY17:AY21)</f>
        <v>5652605</v>
      </c>
      <c r="AZ22" s="7468">
        <f t="shared" si="6"/>
        <v>0.89234191475889535</v>
      </c>
      <c r="BA22" s="131">
        <f>SUM(BA17:BA21)</f>
        <v>7679033</v>
      </c>
      <c r="BB22" s="116"/>
      <c r="BC22" s="119"/>
      <c r="BD22" s="273">
        <f>BA22*AZ22</f>
        <v>6852323.0107167447</v>
      </c>
      <c r="BE22" s="24"/>
      <c r="BG22" s="131">
        <f>SUM(BG17:BG21)</f>
        <v>7679033</v>
      </c>
      <c r="BH22" s="116"/>
      <c r="BI22" s="119"/>
      <c r="BJ22" s="658">
        <f>SUM(BJ17:BJ21)</f>
        <v>6410152</v>
      </c>
      <c r="BK22" s="8116">
        <f>BJ22/BG22</f>
        <v>0.83476031422185581</v>
      </c>
      <c r="BL22" s="131">
        <f>SUM(BL17:BL21)</f>
        <v>9453821</v>
      </c>
      <c r="BM22" s="116"/>
      <c r="BN22" s="119"/>
      <c r="BO22" s="273">
        <f>SUM(BO17:BO21)</f>
        <v>9182424</v>
      </c>
    </row>
    <row r="23" spans="1:67" x14ac:dyDescent="0.35">
      <c r="A23" s="9168"/>
      <c r="B23" s="139" t="s">
        <v>480</v>
      </c>
      <c r="C23" s="49"/>
      <c r="D23" s="184"/>
      <c r="E23" s="141"/>
      <c r="F23" s="142"/>
      <c r="H23" s="144"/>
      <c r="I23" s="145"/>
      <c r="J23" s="146"/>
      <c r="K23" s="141"/>
      <c r="L23" s="147"/>
      <c r="M23" s="148"/>
      <c r="N23" s="141"/>
      <c r="O23" s="606"/>
      <c r="P23" s="1127"/>
      <c r="Q23" s="592"/>
      <c r="R23" s="592"/>
      <c r="S23" s="146"/>
      <c r="T23" s="141"/>
      <c r="U23" s="606"/>
      <c r="V23" s="592"/>
      <c r="W23" s="592"/>
      <c r="X23" s="1325"/>
      <c r="Y23" s="141"/>
      <c r="Z23" s="606"/>
      <c r="AA23" s="592" t="s">
        <v>1936</v>
      </c>
      <c r="AB23" s="106"/>
      <c r="AC23" s="592" t="s">
        <v>1936</v>
      </c>
      <c r="AD23" s="146"/>
      <c r="AE23" s="141"/>
      <c r="AF23" s="606"/>
      <c r="AG23" s="592"/>
      <c r="AH23" s="592" t="s">
        <v>5434</v>
      </c>
      <c r="AI23" s="1325"/>
      <c r="AJ23" s="141"/>
      <c r="AK23" s="606"/>
      <c r="AL23" s="592"/>
      <c r="AM23" s="1325"/>
      <c r="AN23" s="592" t="s">
        <v>5434</v>
      </c>
      <c r="AO23" s="146"/>
      <c r="AP23" s="141"/>
      <c r="AQ23" s="606" t="s">
        <v>424</v>
      </c>
      <c r="AR23" s="9531" t="s">
        <v>5428</v>
      </c>
      <c r="AS23" s="9531"/>
      <c r="AT23" s="1325" t="s">
        <v>1031</v>
      </c>
      <c r="AU23" s="141"/>
      <c r="AV23" s="606" t="s">
        <v>424</v>
      </c>
      <c r="AW23" s="9531" t="s">
        <v>5428</v>
      </c>
      <c r="AX23" s="9531"/>
      <c r="AY23" s="1325" t="s">
        <v>1031</v>
      </c>
      <c r="BA23" s="606" t="s">
        <v>424</v>
      </c>
      <c r="BB23" s="9531"/>
      <c r="BC23" s="9531"/>
      <c r="BD23" s="1325" t="s">
        <v>1031</v>
      </c>
      <c r="BE23" s="18"/>
      <c r="BG23" s="606" t="s">
        <v>424</v>
      </c>
      <c r="BH23" s="9531" t="s">
        <v>5428</v>
      </c>
      <c r="BI23" s="9531"/>
      <c r="BJ23" s="1325" t="s">
        <v>1031</v>
      </c>
      <c r="BL23" s="606" t="s">
        <v>424</v>
      </c>
      <c r="BM23" s="9531"/>
      <c r="BN23" s="9531"/>
      <c r="BO23" s="1325"/>
    </row>
    <row r="24" spans="1:67" x14ac:dyDescent="0.35">
      <c r="A24" s="9168"/>
      <c r="B24" s="6082"/>
      <c r="C24" s="110" t="s">
        <v>483</v>
      </c>
      <c r="D24" s="197"/>
      <c r="F24" s="155"/>
      <c r="H24" s="117">
        <f>1374296</f>
        <v>1374296</v>
      </c>
      <c r="I24" s="115">
        <v>1445695</v>
      </c>
      <c r="J24" s="64">
        <f>IF(H24=0,0,I24/H24)</f>
        <v>1.0519531454650235</v>
      </c>
      <c r="L24" s="156">
        <v>1580618</v>
      </c>
      <c r="M24" s="66">
        <v>1600699</v>
      </c>
      <c r="O24" s="117">
        <v>1580618</v>
      </c>
      <c r="P24" s="115">
        <v>1587006</v>
      </c>
      <c r="Q24" s="116"/>
      <c r="R24" s="57"/>
      <c r="S24" s="64">
        <f t="shared" si="2"/>
        <v>1.004041457202183</v>
      </c>
      <c r="U24" s="117">
        <v>1650669</v>
      </c>
      <c r="V24" s="116"/>
      <c r="W24" s="119"/>
      <c r="X24" s="3257">
        <f>1786516</f>
        <v>1786516</v>
      </c>
      <c r="Z24" s="117">
        <v>1650669</v>
      </c>
      <c r="AA24" s="116"/>
      <c r="AB24" s="115">
        <v>1786516</v>
      </c>
      <c r="AC24" s="57"/>
      <c r="AD24" s="64">
        <f>AB24/Z24</f>
        <v>1.0822981469937341</v>
      </c>
      <c r="AF24" s="117">
        <v>1806035</v>
      </c>
      <c r="AG24" s="53" t="s">
        <v>5448</v>
      </c>
      <c r="AH24" s="119"/>
      <c r="AI24" s="3257">
        <f>1735878*12/11</f>
        <v>1893685.0909090908</v>
      </c>
      <c r="AK24" s="117">
        <v>1806035</v>
      </c>
      <c r="AL24" s="53" t="s">
        <v>5448</v>
      </c>
      <c r="AM24" s="3257">
        <f>1735878*12/11</f>
        <v>1893685.0909090908</v>
      </c>
      <c r="AN24" s="119"/>
      <c r="AO24" s="64">
        <f>AM24/AK24</f>
        <v>1.0485317786804191</v>
      </c>
      <c r="AQ24" s="117">
        <v>2067803</v>
      </c>
      <c r="AR24" s="53" t="s">
        <v>5440</v>
      </c>
      <c r="AS24" s="119"/>
      <c r="AT24" s="3257">
        <v>1915127</v>
      </c>
      <c r="AV24" s="117">
        <v>2067803</v>
      </c>
      <c r="AW24" s="53" t="s">
        <v>5440</v>
      </c>
      <c r="AX24" s="119"/>
      <c r="AY24" s="3257">
        <v>1915127</v>
      </c>
      <c r="AZ24" s="7468">
        <f t="shared" si="6"/>
        <v>0.92616511340780527</v>
      </c>
      <c r="BA24" s="117">
        <f>2400301-BA26</f>
        <v>2340301</v>
      </c>
      <c r="BB24" s="53"/>
      <c r="BC24" s="119"/>
      <c r="BD24" s="3257">
        <f>BA24*AZ24</f>
        <v>2167505.1410734002</v>
      </c>
      <c r="BE24" s="26"/>
      <c r="BG24" s="117">
        <f>2400301-BG26</f>
        <v>2340301</v>
      </c>
      <c r="BH24" s="53" t="s">
        <v>5456</v>
      </c>
      <c r="BI24" s="119"/>
      <c r="BJ24" s="3257">
        <v>2414641</v>
      </c>
      <c r="BK24" s="8116">
        <f>BJ24/BG24</f>
        <v>1.0317651447399288</v>
      </c>
      <c r="BL24" s="117">
        <v>3174476</v>
      </c>
      <c r="BM24" t="s">
        <v>5442</v>
      </c>
      <c r="BN24" s="119"/>
      <c r="BO24" s="3257">
        <v>3102675</v>
      </c>
    </row>
    <row r="25" spans="1:67" x14ac:dyDescent="0.35">
      <c r="A25" s="9168"/>
      <c r="B25" s="6082"/>
      <c r="C25" s="110" t="s">
        <v>489</v>
      </c>
      <c r="D25" s="197"/>
      <c r="F25" s="155"/>
      <c r="H25" s="117">
        <f>H24-H26</f>
        <v>1160870</v>
      </c>
      <c r="I25" s="115">
        <f>I24-I26</f>
        <v>1249050</v>
      </c>
      <c r="J25" s="64">
        <f>IF(H25=0,0,I25/H25)</f>
        <v>1.0759602711759284</v>
      </c>
      <c r="L25" s="156">
        <f>L24-L26</f>
        <v>1403182</v>
      </c>
      <c r="M25" s="66">
        <f>M24-M26</f>
        <v>1408272</v>
      </c>
      <c r="O25" s="117">
        <f>O24-O26</f>
        <v>1403182</v>
      </c>
      <c r="P25" s="115">
        <f>P24-P26</f>
        <v>1409291</v>
      </c>
      <c r="Q25" s="127"/>
      <c r="R25" s="106"/>
      <c r="S25" s="64">
        <f t="shared" si="2"/>
        <v>1.0043536761446483</v>
      </c>
      <c r="U25" s="117">
        <f>U24-U26</f>
        <v>1449923</v>
      </c>
      <c r="V25" s="127"/>
      <c r="W25" s="789"/>
      <c r="X25" s="3957">
        <f>U25*S25</f>
        <v>1456235.4951766769</v>
      </c>
      <c r="Z25" s="117"/>
      <c r="AA25" s="127"/>
      <c r="AB25" s="115"/>
      <c r="AC25" s="106"/>
      <c r="AD25" s="64" t="e">
        <f>AB25/Z25</f>
        <v>#DIV/0!</v>
      </c>
      <c r="AF25" s="117"/>
      <c r="AG25" s="127"/>
      <c r="AH25" s="789"/>
      <c r="AI25" s="3957"/>
      <c r="AK25" s="117"/>
      <c r="AL25" s="127"/>
      <c r="AM25" s="3957"/>
      <c r="AN25" s="789"/>
      <c r="AO25" s="64" t="e">
        <f>AM25/AK25</f>
        <v>#DIV/0!</v>
      </c>
      <c r="AQ25" s="117"/>
      <c r="AR25" s="127"/>
      <c r="AS25" s="789"/>
      <c r="AT25" s="3257"/>
      <c r="AV25" s="117"/>
      <c r="AW25" s="127"/>
      <c r="AX25" s="789"/>
      <c r="AY25" s="3257"/>
      <c r="BA25" s="117"/>
      <c r="BB25" s="127"/>
      <c r="BC25" s="789"/>
      <c r="BD25" s="3257"/>
      <c r="BE25" s="26"/>
      <c r="BG25" s="117"/>
      <c r="BH25" s="127"/>
      <c r="BI25" s="789"/>
      <c r="BJ25" s="3257"/>
      <c r="BL25" s="117"/>
      <c r="BM25" s="127"/>
      <c r="BN25" s="789"/>
      <c r="BO25" s="3257"/>
    </row>
    <row r="26" spans="1:67" x14ac:dyDescent="0.35">
      <c r="A26" s="9168"/>
      <c r="B26" s="6082"/>
      <c r="C26" s="110" t="s">
        <v>490</v>
      </c>
      <c r="D26" s="197">
        <v>2</v>
      </c>
      <c r="F26" s="155"/>
      <c r="H26" s="117">
        <f>69135+144291</f>
        <v>213426</v>
      </c>
      <c r="I26" s="115">
        <f>88053+108592</f>
        <v>196645</v>
      </c>
      <c r="J26" s="64">
        <f>IF(H26=0,0,I26/H26)</f>
        <v>0.921373216009296</v>
      </c>
      <c r="L26" s="156">
        <f>50785+126651</f>
        <v>177436</v>
      </c>
      <c r="M26" s="66">
        <f>86044+106383</f>
        <v>192427</v>
      </c>
      <c r="O26" s="117">
        <f>50785+126651</f>
        <v>177436</v>
      </c>
      <c r="P26" s="115">
        <f>56794+120921</f>
        <v>177715</v>
      </c>
      <c r="Q26" s="116"/>
      <c r="R26" s="57"/>
      <c r="S26" s="64">
        <f t="shared" si="2"/>
        <v>1.0015723979350302</v>
      </c>
      <c r="U26" s="117">
        <f>69576+131170</f>
        <v>200746</v>
      </c>
      <c r="V26" s="116"/>
      <c r="W26" s="119"/>
      <c r="X26" s="3957">
        <f>X25*X28</f>
        <v>201619.98307133358</v>
      </c>
      <c r="Z26" s="117">
        <v>69576</v>
      </c>
      <c r="AA26" s="116"/>
      <c r="AB26" s="115">
        <v>106058</v>
      </c>
      <c r="AC26" s="57"/>
      <c r="AD26" s="64">
        <f>AB26/Z26</f>
        <v>1.5243474761411981</v>
      </c>
      <c r="AF26" s="117">
        <v>64530</v>
      </c>
      <c r="AG26" s="116"/>
      <c r="AH26" s="119"/>
      <c r="AI26" s="3957"/>
      <c r="AK26" s="117">
        <v>64530</v>
      </c>
      <c r="AL26" s="116"/>
      <c r="AM26" s="3957"/>
      <c r="AN26" s="119"/>
      <c r="AO26" s="64">
        <f>AM26/AK26</f>
        <v>0</v>
      </c>
      <c r="AQ26" s="117">
        <v>107530</v>
      </c>
      <c r="AR26" s="116" t="s">
        <v>5457</v>
      </c>
      <c r="AS26" s="119"/>
      <c r="AT26" s="3257">
        <v>181672</v>
      </c>
      <c r="AV26" s="117">
        <v>107530</v>
      </c>
      <c r="AW26" s="116" t="s">
        <v>5457</v>
      </c>
      <c r="AX26" s="119"/>
      <c r="AY26" s="3257">
        <v>181672</v>
      </c>
      <c r="AZ26" s="7468">
        <f t="shared" si="6"/>
        <v>1.6895006044824701</v>
      </c>
      <c r="BA26" s="117">
        <v>60000</v>
      </c>
      <c r="BB26" s="116"/>
      <c r="BC26" s="119"/>
      <c r="BD26" s="3257">
        <f>BA26*AZ26</f>
        <v>101370.0362689482</v>
      </c>
      <c r="BE26" s="26" t="s">
        <v>5458</v>
      </c>
      <c r="BG26" s="117">
        <v>60000</v>
      </c>
      <c r="BH26" s="53" t="s">
        <v>5459</v>
      </c>
      <c r="BI26" s="119"/>
      <c r="BJ26" s="3257">
        <v>48384</v>
      </c>
      <c r="BK26" s="8116">
        <f>IFERROR(BJ26/BG26, "")</f>
        <v>0.80640000000000001</v>
      </c>
      <c r="BL26" s="117">
        <v>121415</v>
      </c>
      <c r="BM26" s="53" t="s">
        <v>5459</v>
      </c>
      <c r="BN26" s="119"/>
      <c r="BO26" s="3257">
        <v>60950</v>
      </c>
    </row>
    <row r="27" spans="1:67" x14ac:dyDescent="0.35">
      <c r="A27" s="9168"/>
      <c r="B27" s="6082"/>
      <c r="C27" s="161" t="s">
        <v>497</v>
      </c>
      <c r="D27" s="610"/>
      <c r="F27" s="163"/>
      <c r="H27" s="164"/>
      <c r="I27" s="165"/>
      <c r="J27" s="64">
        <f>IF(H27=0,0,I27/H27)</f>
        <v>0</v>
      </c>
      <c r="L27" s="166">
        <f>K27*I27</f>
        <v>0</v>
      </c>
      <c r="M27" s="157">
        <f>L27*J27</f>
        <v>0</v>
      </c>
      <c r="O27" s="164"/>
      <c r="P27" s="613"/>
      <c r="Q27" s="106"/>
      <c r="R27" s="106"/>
      <c r="S27" s="64"/>
      <c r="U27" s="164"/>
      <c r="V27" s="106"/>
      <c r="W27" s="106"/>
      <c r="X27" s="3356"/>
      <c r="Z27" s="164"/>
      <c r="AA27" s="106"/>
      <c r="AB27" s="613"/>
      <c r="AC27" s="106"/>
      <c r="AD27" s="64"/>
      <c r="AF27" s="164"/>
      <c r="AG27" s="106"/>
      <c r="AH27" s="106"/>
      <c r="AI27" s="3356"/>
      <c r="AK27" s="164"/>
      <c r="AL27" s="106"/>
      <c r="AM27" s="3356"/>
      <c r="AN27" s="106"/>
      <c r="AO27" s="64"/>
      <c r="AQ27" s="164"/>
      <c r="AR27" s="106"/>
      <c r="AS27" s="106"/>
      <c r="AT27" s="3257"/>
      <c r="AV27" s="164"/>
      <c r="AW27" s="106"/>
      <c r="AX27" s="106"/>
      <c r="AY27" s="3257"/>
      <c r="BA27" s="164"/>
      <c r="BB27" s="106"/>
      <c r="BC27" s="106"/>
      <c r="BD27" s="3257"/>
      <c r="BE27" s="26"/>
      <c r="BG27" s="164"/>
      <c r="BH27" s="106"/>
      <c r="BI27" s="106"/>
      <c r="BJ27" s="3257"/>
      <c r="BK27" s="8116" t="str">
        <f t="shared" ref="BK27:BK90" si="7">IFERROR(BJ27/BG27, "")</f>
        <v/>
      </c>
      <c r="BL27" s="164"/>
      <c r="BM27" s="106"/>
      <c r="BN27" s="106"/>
      <c r="BO27" s="3257"/>
    </row>
    <row r="28" spans="1:67" x14ac:dyDescent="0.35">
      <c r="A28" s="9168"/>
      <c r="B28" s="128"/>
      <c r="C28" s="129" t="s">
        <v>499</v>
      </c>
      <c r="D28" s="209"/>
      <c r="F28" s="169">
        <f>IF(F24=0,0,(F26-F27)/F24)</f>
        <v>0</v>
      </c>
      <c r="H28" s="3958">
        <f>IF(H25=0,0,(H26-H27)/H25)</f>
        <v>0.18385004350185635</v>
      </c>
      <c r="I28" s="3959">
        <f>IF(I25=0,0,(I26-I27)/I25)</f>
        <v>0.15743565109483207</v>
      </c>
      <c r="J28" s="203"/>
      <c r="K28" s="170"/>
      <c r="L28" s="3960">
        <f>IF(L25=0,0,L26/L25)</f>
        <v>0.12645259132457515</v>
      </c>
      <c r="M28" s="1020">
        <f>IF(M25=0,0,M26/M25)</f>
        <v>0.1366405069475215</v>
      </c>
      <c r="N28" s="176"/>
      <c r="O28" s="171">
        <f>IF(O25=0,0,O26/O25)</f>
        <v>0.12645259132457515</v>
      </c>
      <c r="P28" s="177">
        <f>IF(P25=0,0,P26/P25)</f>
        <v>0.12610241603756783</v>
      </c>
      <c r="Q28" s="177"/>
      <c r="R28" s="177"/>
      <c r="S28" s="173"/>
      <c r="T28" s="170"/>
      <c r="U28" s="171">
        <f>IF(U25=0,0,U26/U25)</f>
        <v>0.13845286956617697</v>
      </c>
      <c r="V28" s="177"/>
      <c r="W28" s="177"/>
      <c r="X28" s="1015">
        <f>U28</f>
        <v>0.13845286956617697</v>
      </c>
      <c r="Y28" s="176"/>
      <c r="Z28" s="171">
        <f>Z26/Z24</f>
        <v>4.2150182744087397E-2</v>
      </c>
      <c r="AA28" s="177"/>
      <c r="AB28" s="177">
        <f>AB26/AB24</f>
        <v>5.936582711825699E-2</v>
      </c>
      <c r="AC28" s="177"/>
      <c r="AD28" s="173"/>
      <c r="AE28" s="170"/>
      <c r="AF28" s="3961">
        <f>AF26/AF24</f>
        <v>3.5730204564141888E-2</v>
      </c>
      <c r="AG28" s="177"/>
      <c r="AH28" s="177"/>
      <c r="AI28" s="1015">
        <f>AF28</f>
        <v>3.5730204564141888E-2</v>
      </c>
      <c r="AJ28" s="176"/>
      <c r="AK28" s="3961">
        <f>AK26/AK24</f>
        <v>3.5730204564141888E-2</v>
      </c>
      <c r="AL28" s="177"/>
      <c r="AM28" s="1015">
        <f>AK28</f>
        <v>3.5730204564141888E-2</v>
      </c>
      <c r="AN28" s="177"/>
      <c r="AO28" s="173"/>
      <c r="AP28" s="170"/>
      <c r="AQ28" s="3961">
        <f>AQ26/AQ24</f>
        <v>5.2002052419887194E-2</v>
      </c>
      <c r="AR28" s="177"/>
      <c r="AS28" s="177"/>
      <c r="AT28" s="1015">
        <f>AT26/AT24</f>
        <v>9.486159403527808E-2</v>
      </c>
      <c r="AU28" s="176"/>
      <c r="AV28" s="6561">
        <f>AV26/AV24</f>
        <v>5.2002052419887194E-2</v>
      </c>
      <c r="AW28" s="497"/>
      <c r="AX28" s="497"/>
      <c r="AY28" s="828">
        <f>AY26/AY24</f>
        <v>9.486159403527808E-2</v>
      </c>
      <c r="BA28" s="6561">
        <f>BA26/BA24</f>
        <v>2.5637727796552667E-2</v>
      </c>
      <c r="BB28" s="497"/>
      <c r="BC28" s="497"/>
      <c r="BD28" s="828">
        <f>BD26/BD24</f>
        <v>4.6768071894282726E-2</v>
      </c>
      <c r="BE28" s="24"/>
      <c r="BG28" s="3961">
        <f>BG26/BG24</f>
        <v>2.5637727796552667E-2</v>
      </c>
      <c r="BH28" s="177"/>
      <c r="BI28" s="177"/>
      <c r="BJ28" s="1015">
        <f>BJ26/BJ24</f>
        <v>2.003776130696033E-2</v>
      </c>
      <c r="BK28" s="8116">
        <f t="shared" si="7"/>
        <v>0.78157321374067612</v>
      </c>
      <c r="BL28" s="3961">
        <f>BL26/BL24</f>
        <v>3.8247257185122834E-2</v>
      </c>
      <c r="BM28" s="177"/>
      <c r="BN28" s="177"/>
      <c r="BO28" s="1015">
        <f>BO26/BO24</f>
        <v>1.964433915895155E-2</v>
      </c>
    </row>
    <row r="29" spans="1:67" x14ac:dyDescent="0.35">
      <c r="A29" s="9168"/>
      <c r="B29" s="139" t="s">
        <v>501</v>
      </c>
      <c r="C29" s="49"/>
      <c r="D29" s="184"/>
      <c r="F29" s="1145"/>
      <c r="H29" s="1146"/>
      <c r="I29" s="1147"/>
      <c r="J29" s="1148"/>
      <c r="K29" s="1149"/>
      <c r="L29" s="1150"/>
      <c r="M29" s="49"/>
      <c r="O29" s="1151"/>
      <c r="P29" s="190"/>
      <c r="Q29" s="190"/>
      <c r="R29" s="190"/>
      <c r="S29" s="191"/>
      <c r="T29" s="170"/>
      <c r="U29" s="1151"/>
      <c r="V29" s="190"/>
      <c r="W29" s="190"/>
      <c r="X29" s="1325"/>
      <c r="Z29" s="1151"/>
      <c r="AA29" s="190"/>
      <c r="AB29" s="190"/>
      <c r="AC29" s="190"/>
      <c r="AD29" s="191"/>
      <c r="AE29" s="170"/>
      <c r="AF29" s="1151"/>
      <c r="AG29" s="190"/>
      <c r="AH29" s="190"/>
      <c r="AI29" s="1325"/>
      <c r="AK29" s="1151"/>
      <c r="AL29" s="190"/>
      <c r="AM29" s="1325"/>
      <c r="AN29" s="190"/>
      <c r="AO29" s="191"/>
      <c r="AP29" s="170"/>
      <c r="AQ29" s="1151"/>
      <c r="AR29" s="190"/>
      <c r="AS29" s="3962" t="s">
        <v>5460</v>
      </c>
      <c r="AT29" s="1325"/>
      <c r="AV29" s="3363"/>
      <c r="AW29" s="839"/>
      <c r="AX29" s="7469" t="s">
        <v>5460</v>
      </c>
      <c r="AY29" s="1325"/>
      <c r="BA29" s="3363"/>
      <c r="BB29" s="839"/>
      <c r="BC29" s="7469" t="s">
        <v>5460</v>
      </c>
      <c r="BD29" s="1325"/>
      <c r="BE29" s="617"/>
      <c r="BG29" s="1151"/>
      <c r="BH29" s="190"/>
      <c r="BI29" s="3962" t="s">
        <v>5460</v>
      </c>
      <c r="BJ29" s="1325"/>
      <c r="BK29" s="8116" t="str">
        <f t="shared" si="7"/>
        <v/>
      </c>
      <c r="BL29" s="1151"/>
      <c r="BM29" s="190"/>
      <c r="BN29" s="3962" t="s">
        <v>5460</v>
      </c>
      <c r="BO29" s="1325"/>
    </row>
    <row r="30" spans="1:67" x14ac:dyDescent="0.35">
      <c r="A30" s="9168"/>
      <c r="B30" s="196"/>
      <c r="C30" s="121" t="s">
        <v>470</v>
      </c>
      <c r="D30" s="197"/>
      <c r="F30" s="122"/>
      <c r="H30" s="114">
        <v>71437</v>
      </c>
      <c r="I30" s="123">
        <v>64028</v>
      </c>
      <c r="J30" s="64">
        <f>IF(H30=0,0,I30/H30)</f>
        <v>0.89628623822388953</v>
      </c>
      <c r="L30" s="114">
        <v>88586</v>
      </c>
      <c r="M30" s="157">
        <v>89853</v>
      </c>
      <c r="O30" s="200">
        <v>88586</v>
      </c>
      <c r="P30" s="201">
        <v>92437</v>
      </c>
      <c r="Q30" s="1153"/>
      <c r="R30" s="1153"/>
      <c r="S30" s="64">
        <f t="shared" ref="S30" si="8">P30/O30</f>
        <v>1.043471880432574</v>
      </c>
      <c r="T30" s="170"/>
      <c r="U30" s="1154">
        <v>91841</v>
      </c>
      <c r="V30" s="1153"/>
      <c r="W30" s="1153"/>
      <c r="X30" s="3257">
        <v>98467</v>
      </c>
      <c r="Z30" s="200">
        <v>91841</v>
      </c>
      <c r="AA30" s="1153"/>
      <c r="AB30" s="201">
        <v>98467</v>
      </c>
      <c r="AC30" s="1153"/>
      <c r="AD30" s="64">
        <f>AB30/Z30</f>
        <v>1.0721464269770582</v>
      </c>
      <c r="AE30" s="170"/>
      <c r="AF30" s="1154">
        <v>96236</v>
      </c>
      <c r="AG30" s="53" t="s">
        <v>5448</v>
      </c>
      <c r="AH30" s="1153"/>
      <c r="AI30" s="3257">
        <f>62108*12/11</f>
        <v>67754.181818181823</v>
      </c>
      <c r="AK30" s="1154">
        <v>96236</v>
      </c>
      <c r="AL30" s="53" t="s">
        <v>5448</v>
      </c>
      <c r="AM30" s="3257">
        <f>62108*12/11</f>
        <v>67754.181818181823</v>
      </c>
      <c r="AN30" s="1153"/>
      <c r="AO30" s="64">
        <f>IFERROR(AM30/AK30, "")</f>
        <v>0.70404195746063658</v>
      </c>
      <c r="AP30" s="170"/>
      <c r="AQ30" s="1154">
        <f>13124+48728</f>
        <v>61852</v>
      </c>
      <c r="AR30" s="53" t="s">
        <v>5461</v>
      </c>
      <c r="AS30" s="3963" t="s">
        <v>792</v>
      </c>
      <c r="AT30" s="3257">
        <v>139733</v>
      </c>
      <c r="AV30" s="1154">
        <f>13124+48728</f>
        <v>61852</v>
      </c>
      <c r="AW30" s="53" t="s">
        <v>5461</v>
      </c>
      <c r="AX30" s="7470" t="s">
        <v>792</v>
      </c>
      <c r="AY30" s="3257">
        <v>139733</v>
      </c>
      <c r="AZ30" s="7468">
        <f>AY30/AV30</f>
        <v>2.2591508762853261</v>
      </c>
      <c r="BA30" s="1154">
        <f>117994-BA31</f>
        <v>97994</v>
      </c>
      <c r="BB30" s="53" t="s">
        <v>5462</v>
      </c>
      <c r="BC30" s="7470" t="s">
        <v>792</v>
      </c>
      <c r="BD30" s="3257">
        <f>BA30*AZ30</f>
        <v>221383.23097070423</v>
      </c>
      <c r="BE30" s="625"/>
      <c r="BG30" s="1154">
        <f>117994-BG31</f>
        <v>97994</v>
      </c>
      <c r="BH30" s="53" t="s">
        <v>5463</v>
      </c>
      <c r="BI30" s="3963" t="s">
        <v>792</v>
      </c>
      <c r="BJ30" s="3257">
        <v>198140</v>
      </c>
      <c r="BK30" s="8116">
        <f t="shared" si="7"/>
        <v>2.0219605281956037</v>
      </c>
      <c r="BL30" s="1154">
        <f>113183-BL31</f>
        <v>83497</v>
      </c>
      <c r="BM30" s="53" t="s">
        <v>5464</v>
      </c>
      <c r="BN30" s="3963" t="s">
        <v>792</v>
      </c>
      <c r="BO30" s="3257">
        <v>118488</v>
      </c>
    </row>
    <row r="31" spans="1:67" x14ac:dyDescent="0.35">
      <c r="A31" s="9169"/>
      <c r="B31" s="207"/>
      <c r="C31" s="208" t="s">
        <v>1116</v>
      </c>
      <c r="D31" s="209"/>
      <c r="F31" s="210"/>
      <c r="H31" s="211"/>
      <c r="I31" s="1155"/>
      <c r="J31" s="133"/>
      <c r="L31" s="211"/>
      <c r="M31" s="92"/>
      <c r="O31" s="1156"/>
      <c r="P31" s="1158"/>
      <c r="Q31" s="1159"/>
      <c r="R31" s="1159"/>
      <c r="S31" s="133"/>
      <c r="U31" s="1156"/>
      <c r="V31" s="1160"/>
      <c r="W31" s="1160"/>
      <c r="X31" s="3964">
        <f t="shared" ref="X31" si="9">U31*S31</f>
        <v>0</v>
      </c>
      <c r="Z31" s="1156"/>
      <c r="AA31" s="1159"/>
      <c r="AB31" s="1158">
        <f t="shared" ref="AB31" si="10">X31*V31</f>
        <v>0</v>
      </c>
      <c r="AC31" s="1159"/>
      <c r="AD31" s="133"/>
      <c r="AF31" s="1156"/>
      <c r="AG31" s="1160"/>
      <c r="AH31" s="1160"/>
      <c r="AI31" s="3964">
        <f t="shared" ref="AI31" si="11">AF31*AD31</f>
        <v>0</v>
      </c>
      <c r="AK31" s="1156"/>
      <c r="AL31" s="1160"/>
      <c r="AM31" s="3964">
        <f t="shared" ref="AM31" si="12">AJ31*AH31</f>
        <v>0</v>
      </c>
      <c r="AN31" s="1160"/>
      <c r="AO31" s="64" t="str">
        <f t="shared" ref="AO31:AO94" si="13">IFERROR(AM31/AK31, "")</f>
        <v/>
      </c>
      <c r="AQ31" s="1156">
        <v>12283</v>
      </c>
      <c r="AR31" s="3965" t="s">
        <v>5465</v>
      </c>
      <c r="AS31" s="1160"/>
      <c r="AT31" s="3964">
        <v>103</v>
      </c>
      <c r="AV31" s="1156">
        <v>12283</v>
      </c>
      <c r="AW31" s="3965" t="s">
        <v>5465</v>
      </c>
      <c r="AX31" s="1160"/>
      <c r="AY31" s="3964">
        <v>103</v>
      </c>
      <c r="AZ31" s="7468">
        <f>AY31/AV31</f>
        <v>8.3855735569486282E-3</v>
      </c>
      <c r="BA31" s="1156">
        <v>20000</v>
      </c>
      <c r="BB31" s="3965" t="s">
        <v>5462</v>
      </c>
      <c r="BC31" s="1160"/>
      <c r="BD31" s="3257">
        <f>BA31*AZ31</f>
        <v>167.71147113897257</v>
      </c>
      <c r="BE31" s="625"/>
      <c r="BG31" s="1156">
        <v>20000</v>
      </c>
      <c r="BH31" s="53" t="s">
        <v>5466</v>
      </c>
      <c r="BI31" s="1160"/>
      <c r="BJ31" s="3964">
        <v>0</v>
      </c>
      <c r="BK31" s="8116">
        <f t="shared" si="7"/>
        <v>0</v>
      </c>
      <c r="BL31" s="1156">
        <v>29686</v>
      </c>
      <c r="BM31" s="8117" t="s">
        <v>1873</v>
      </c>
      <c r="BN31" s="1160"/>
      <c r="BO31" s="3257">
        <v>3325</v>
      </c>
    </row>
    <row r="32" spans="1:67" x14ac:dyDescent="0.35">
      <c r="A32" s="220"/>
      <c r="B32" s="220"/>
      <c r="F32" s="106"/>
      <c r="H32" s="106"/>
      <c r="I32" s="106"/>
      <c r="J32" s="221"/>
      <c r="L32" s="106"/>
      <c r="O32" s="106"/>
      <c r="P32" s="106"/>
      <c r="Q32" s="106"/>
      <c r="R32" s="106"/>
      <c r="S32" s="221"/>
      <c r="U32" s="106"/>
      <c r="V32" s="106"/>
      <c r="W32" s="106"/>
      <c r="Z32" s="106"/>
      <c r="AA32" s="106"/>
      <c r="AB32" s="106"/>
      <c r="AC32" s="106"/>
      <c r="AD32" s="221"/>
      <c r="AF32" s="106"/>
      <c r="AG32" s="106"/>
      <c r="AH32" s="106"/>
      <c r="AK32" s="106"/>
      <c r="AL32" s="106"/>
      <c r="AM32" s="106"/>
      <c r="AN32" s="106"/>
      <c r="AO32" s="64" t="str">
        <f t="shared" si="13"/>
        <v/>
      </c>
      <c r="AQ32" s="106"/>
      <c r="AR32" s="106"/>
      <c r="AS32" s="106"/>
      <c r="AV32" s="106"/>
      <c r="AW32" s="106"/>
      <c r="AX32" s="106"/>
      <c r="BA32" s="106"/>
      <c r="BB32" s="106"/>
      <c r="BC32" s="106"/>
      <c r="BG32" s="106"/>
      <c r="BH32" s="106"/>
      <c r="BI32" s="106"/>
      <c r="BK32" s="8116" t="str">
        <f t="shared" si="7"/>
        <v/>
      </c>
      <c r="BL32" s="106"/>
      <c r="BM32" s="106"/>
      <c r="BN32" s="106"/>
    </row>
    <row r="33" spans="1:67" ht="27.75" customHeight="1" x14ac:dyDescent="0.35">
      <c r="A33" s="9167" t="s">
        <v>503</v>
      </c>
      <c r="B33" s="27"/>
      <c r="C33" s="28" t="s">
        <v>427</v>
      </c>
      <c r="D33" s="585" t="s">
        <v>428</v>
      </c>
      <c r="E33" s="30"/>
      <c r="F33" s="222"/>
      <c r="G33" s="223"/>
      <c r="H33" s="9155" t="s">
        <v>5467</v>
      </c>
      <c r="I33" s="9156"/>
      <c r="J33" s="224"/>
      <c r="K33" s="223"/>
      <c r="L33" s="31" t="s">
        <v>5468</v>
      </c>
      <c r="M33" s="511"/>
      <c r="N33" s="30"/>
      <c r="O33" s="8314" t="s">
        <v>5415</v>
      </c>
      <c r="P33" s="36" t="s">
        <v>5421</v>
      </c>
      <c r="Q33" s="581"/>
      <c r="R33" s="35" t="s">
        <v>5420</v>
      </c>
      <c r="S33" s="224"/>
      <c r="T33" s="223"/>
      <c r="U33" s="36" t="s">
        <v>5418</v>
      </c>
      <c r="V33" s="581" t="s">
        <v>5419</v>
      </c>
      <c r="W33" s="35" t="s">
        <v>5420</v>
      </c>
      <c r="X33" s="36" t="s">
        <v>5421</v>
      </c>
      <c r="Y33" s="30"/>
      <c r="Z33" s="36" t="s">
        <v>5421</v>
      </c>
      <c r="AA33" s="581" t="s">
        <v>5419</v>
      </c>
      <c r="AB33" s="36" t="s">
        <v>5421</v>
      </c>
      <c r="AC33" s="35" t="s">
        <v>5420</v>
      </c>
      <c r="AD33" s="224"/>
      <c r="AE33" s="223"/>
      <c r="AF33" s="36" t="s">
        <v>5469</v>
      </c>
      <c r="AG33" s="581" t="s">
        <v>5419</v>
      </c>
      <c r="AH33" s="35" t="s">
        <v>5420</v>
      </c>
      <c r="AI33" s="36" t="s">
        <v>5425</v>
      </c>
      <c r="AJ33" s="30"/>
      <c r="AK33" s="36" t="s">
        <v>5469</v>
      </c>
      <c r="AL33" s="581" t="s">
        <v>5419</v>
      </c>
      <c r="AM33" s="36" t="s">
        <v>5470</v>
      </c>
      <c r="AN33" s="35" t="s">
        <v>5431</v>
      </c>
      <c r="AO33" s="64" t="str">
        <f t="shared" si="13"/>
        <v/>
      </c>
      <c r="AP33" s="223"/>
      <c r="AQ33" s="36" t="s">
        <v>5471</v>
      </c>
      <c r="AR33" s="581" t="s">
        <v>5431</v>
      </c>
      <c r="AS33" s="35" t="s">
        <v>5431</v>
      </c>
      <c r="AT33" s="36" t="s">
        <v>5471</v>
      </c>
      <c r="AU33" s="30"/>
      <c r="AV33" s="36" t="s">
        <v>5471</v>
      </c>
      <c r="AW33" s="473" t="s">
        <v>5431</v>
      </c>
      <c r="AX33" s="3375" t="s">
        <v>5431</v>
      </c>
      <c r="AY33" s="36" t="s">
        <v>5471</v>
      </c>
      <c r="BA33" s="36" t="s">
        <v>5471</v>
      </c>
      <c r="BB33" s="473" t="s">
        <v>5431</v>
      </c>
      <c r="BC33" s="3375" t="s">
        <v>5431</v>
      </c>
      <c r="BD33" s="36" t="s">
        <v>5471</v>
      </c>
      <c r="BE33" s="39"/>
      <c r="BG33" s="36" t="s">
        <v>5429</v>
      </c>
      <c r="BH33" s="581" t="s">
        <v>5426</v>
      </c>
      <c r="BI33" s="35" t="s">
        <v>5431</v>
      </c>
      <c r="BJ33" s="36" t="s">
        <v>5433</v>
      </c>
      <c r="BK33" s="8116" t="str">
        <f t="shared" si="7"/>
        <v/>
      </c>
      <c r="BL33" s="36" t="s">
        <v>5433</v>
      </c>
      <c r="BM33" s="581" t="s">
        <v>5431</v>
      </c>
      <c r="BN33" s="35" t="s">
        <v>5431</v>
      </c>
      <c r="BO33" s="36" t="s">
        <v>5433</v>
      </c>
    </row>
    <row r="34" spans="1:67" x14ac:dyDescent="0.35">
      <c r="A34" s="9168"/>
      <c r="B34" s="141" t="s">
        <v>514</v>
      </c>
      <c r="C34"/>
      <c r="D34" s="184"/>
      <c r="E34" s="143"/>
      <c r="F34" s="227"/>
      <c r="G34" s="143"/>
      <c r="H34" s="102"/>
      <c r="I34" s="103"/>
      <c r="J34" s="228"/>
      <c r="K34" s="143"/>
      <c r="L34" s="102"/>
      <c r="M34" s="229"/>
      <c r="N34" s="143"/>
      <c r="O34" s="230"/>
      <c r="P34" s="103"/>
      <c r="Q34" s="231"/>
      <c r="R34" s="231"/>
      <c r="S34" s="228"/>
      <c r="T34" s="143"/>
      <c r="U34" s="230"/>
      <c r="V34" s="231"/>
      <c r="W34" s="231"/>
      <c r="X34" s="105"/>
      <c r="Y34" s="143"/>
      <c r="Z34" s="230"/>
      <c r="AA34" s="231"/>
      <c r="AB34" s="103"/>
      <c r="AC34" s="231"/>
      <c r="AD34" s="228"/>
      <c r="AE34" s="143"/>
      <c r="AF34" s="230"/>
      <c r="AG34" s="231"/>
      <c r="AH34" s="231"/>
      <c r="AI34" s="105"/>
      <c r="AJ34" s="143"/>
      <c r="AK34" s="230"/>
      <c r="AL34" s="231"/>
      <c r="AM34" s="103"/>
      <c r="AN34" s="231"/>
      <c r="AO34" s="64" t="str">
        <f t="shared" si="13"/>
        <v/>
      </c>
      <c r="AP34" s="143"/>
      <c r="AQ34" s="230"/>
      <c r="AR34" s="231"/>
      <c r="AS34" s="231"/>
      <c r="AT34" s="105"/>
      <c r="AU34" s="143"/>
      <c r="AV34" s="230"/>
      <c r="AW34" s="231"/>
      <c r="AX34" s="231"/>
      <c r="AY34" s="105"/>
      <c r="BA34" s="230"/>
      <c r="BB34" s="231"/>
      <c r="BC34" s="231"/>
      <c r="BD34" s="105"/>
      <c r="BE34" s="18"/>
      <c r="BG34" s="230"/>
      <c r="BH34" s="231"/>
      <c r="BI34" s="231"/>
      <c r="BJ34" s="105"/>
      <c r="BK34" s="8116" t="str">
        <f t="shared" si="7"/>
        <v/>
      </c>
      <c r="BL34" s="230"/>
      <c r="BM34" s="231" t="s">
        <v>5472</v>
      </c>
      <c r="BN34" s="231"/>
      <c r="BO34" s="105"/>
    </row>
    <row r="35" spans="1:67" x14ac:dyDescent="0.35">
      <c r="A35" s="9168"/>
      <c r="B35" s="240"/>
      <c r="C35" s="639" t="s">
        <v>5473</v>
      </c>
      <c r="D35" s="197">
        <v>3</v>
      </c>
      <c r="E35" s="458"/>
      <c r="F35" s="3966"/>
      <c r="G35" s="458"/>
      <c r="H35" s="262">
        <v>392437</v>
      </c>
      <c r="I35" s="1351">
        <v>389511.96623299998</v>
      </c>
      <c r="J35" s="64">
        <f>IF(H35=0,0,I35/H35)</f>
        <v>0.99254648831022552</v>
      </c>
      <c r="L35" s="3967">
        <f>H35*L37/H37</f>
        <v>399457.39177220949</v>
      </c>
      <c r="M35" s="157">
        <f>L35*J35</f>
        <v>396480.03143306851</v>
      </c>
      <c r="O35" s="112">
        <v>493687</v>
      </c>
      <c r="P35" s="594">
        <v>426488</v>
      </c>
      <c r="Q35" s="57" t="s">
        <v>5474</v>
      </c>
      <c r="R35" s="235" t="s">
        <v>5475</v>
      </c>
      <c r="S35" s="64"/>
      <c r="U35" s="593">
        <v>409734</v>
      </c>
      <c r="V35" s="57" t="s">
        <v>5476</v>
      </c>
      <c r="W35" s="235" t="s">
        <v>5475</v>
      </c>
      <c r="X35" s="596">
        <v>445049</v>
      </c>
      <c r="Z35" s="112">
        <v>422408</v>
      </c>
      <c r="AA35" s="235" t="s">
        <v>5475</v>
      </c>
      <c r="AB35" s="594">
        <v>445049</v>
      </c>
      <c r="AC35" s="235" t="s">
        <v>5475</v>
      </c>
      <c r="AD35" s="64"/>
      <c r="AF35" s="593">
        <v>448403</v>
      </c>
      <c r="AG35" s="57" t="s">
        <v>5477</v>
      </c>
      <c r="AH35" s="235" t="s">
        <v>5478</v>
      </c>
      <c r="AI35" s="596">
        <f>368099*12/11-AI37-AI39</f>
        <v>388893.81818181823</v>
      </c>
      <c r="AK35" s="593">
        <v>448403</v>
      </c>
      <c r="AL35" s="57" t="s">
        <v>5477</v>
      </c>
      <c r="AM35" s="594">
        <f>368099*12/11-AM37-AM39</f>
        <v>388893.81818181823</v>
      </c>
      <c r="AN35" s="235" t="s">
        <v>5478</v>
      </c>
      <c r="AO35" s="64">
        <f t="shared" si="13"/>
        <v>0.86728638787389523</v>
      </c>
      <c r="AQ35" s="593">
        <v>573521</v>
      </c>
      <c r="AR35" s="57" t="s">
        <v>5457</v>
      </c>
      <c r="AS35" s="235"/>
      <c r="AT35" s="596">
        <v>435494</v>
      </c>
      <c r="AV35" s="593">
        <v>573521</v>
      </c>
      <c r="AW35" s="57" t="s">
        <v>5457</v>
      </c>
      <c r="AX35" s="235"/>
      <c r="AY35" s="596">
        <v>435494</v>
      </c>
      <c r="AZ35" s="7468">
        <f>AY35/AV35</f>
        <v>0.75933400869366596</v>
      </c>
      <c r="BA35" s="2748">
        <v>631613</v>
      </c>
      <c r="BB35" s="57" t="s">
        <v>5479</v>
      </c>
      <c r="BC35" s="235"/>
      <c r="BD35" s="596">
        <f>BA35*AZ35</f>
        <v>479605.23123303242</v>
      </c>
      <c r="BE35" s="26" t="s">
        <v>5480</v>
      </c>
      <c r="BG35" s="2748">
        <v>631613</v>
      </c>
      <c r="BH35" s="57" t="s">
        <v>5481</v>
      </c>
      <c r="BI35" s="235" t="s">
        <v>5482</v>
      </c>
      <c r="BJ35" s="596">
        <f>476579+124530</f>
        <v>601109</v>
      </c>
      <c r="BK35" s="8116">
        <f t="shared" si="7"/>
        <v>0.95170460392677159</v>
      </c>
      <c r="BL35" s="2748">
        <f>665710+26078</f>
        <v>691788</v>
      </c>
      <c r="BM35" t="s">
        <v>5482</v>
      </c>
      <c r="BN35" s="235"/>
      <c r="BO35" s="596">
        <f>639471+69047</f>
        <v>708518</v>
      </c>
    </row>
    <row r="36" spans="1:67" x14ac:dyDescent="0.35">
      <c r="A36" s="9168"/>
      <c r="B36" s="240"/>
      <c r="C36" s="639" t="s">
        <v>5483</v>
      </c>
      <c r="D36" s="197"/>
      <c r="E36" s="458"/>
      <c r="F36" s="3966"/>
      <c r="G36" s="458"/>
      <c r="H36" s="262"/>
      <c r="I36" s="1351"/>
      <c r="J36" s="64"/>
      <c r="L36" s="3967"/>
      <c r="M36" s="157"/>
      <c r="O36" s="112"/>
      <c r="P36" s="594"/>
      <c r="Q36" s="57" t="s">
        <v>5476</v>
      </c>
      <c r="R36" s="57"/>
      <c r="S36" s="64"/>
      <c r="U36" s="593">
        <v>12674</v>
      </c>
      <c r="V36" s="57" t="s">
        <v>5476</v>
      </c>
      <c r="W36" s="57"/>
      <c r="X36" s="596"/>
      <c r="Z36" s="112"/>
      <c r="AA36" s="57"/>
      <c r="AB36" s="594"/>
      <c r="AC36" s="57"/>
      <c r="AD36" s="64"/>
      <c r="AF36" s="593">
        <v>14421</v>
      </c>
      <c r="AG36" s="57" t="s">
        <v>5477</v>
      </c>
      <c r="AH36" s="57"/>
      <c r="AI36" s="596"/>
      <c r="AK36" s="593">
        <v>14421</v>
      </c>
      <c r="AL36" s="57" t="s">
        <v>5477</v>
      </c>
      <c r="AM36" s="594"/>
      <c r="AN36" s="57"/>
      <c r="AO36" s="64">
        <f t="shared" si="13"/>
        <v>0</v>
      </c>
      <c r="AQ36" s="593"/>
      <c r="AR36" s="57"/>
      <c r="AS36" s="57"/>
      <c r="AT36" s="596"/>
      <c r="AV36" s="593"/>
      <c r="AW36" s="57"/>
      <c r="AX36" s="57"/>
      <c r="AY36" s="596"/>
      <c r="BA36" s="2748"/>
      <c r="BB36" s="57"/>
      <c r="BC36" s="57"/>
      <c r="BD36" s="596"/>
      <c r="BE36" s="26"/>
      <c r="BG36" s="2748"/>
      <c r="BH36" s="57"/>
      <c r="BI36" s="235" t="s">
        <v>5484</v>
      </c>
      <c r="BJ36" s="596">
        <f>8909+4891</f>
        <v>13800</v>
      </c>
      <c r="BK36" s="8116" t="str">
        <f t="shared" si="7"/>
        <v/>
      </c>
      <c r="BL36" s="2748">
        <f>9630+2287</f>
        <v>11917</v>
      </c>
      <c r="BM36" s="57" t="s">
        <v>5484</v>
      </c>
      <c r="BN36" s="57"/>
      <c r="BO36" s="596">
        <f>10523+2604</f>
        <v>13127</v>
      </c>
    </row>
    <row r="37" spans="1:67" x14ac:dyDescent="0.35">
      <c r="A37" s="9168"/>
      <c r="B37" s="240"/>
      <c r="C37" s="240" t="s">
        <v>5485</v>
      </c>
      <c r="D37" s="197"/>
      <c r="F37" s="111"/>
      <c r="H37" s="112">
        <v>175916</v>
      </c>
      <c r="I37" s="113">
        <v>171753.4</v>
      </c>
      <c r="J37" s="64">
        <f>IF(H37=0,0,I37/H37)</f>
        <v>0.97633757020396095</v>
      </c>
      <c r="L37" s="112">
        <v>179063</v>
      </c>
      <c r="M37" s="157">
        <f>L37*J37</f>
        <v>174825.93433343185</v>
      </c>
      <c r="O37" s="112">
        <v>179063</v>
      </c>
      <c r="P37" s="594">
        <v>12821</v>
      </c>
      <c r="Q37" s="57" t="s">
        <v>5486</v>
      </c>
      <c r="R37" s="235" t="s">
        <v>5487</v>
      </c>
      <c r="S37" s="64"/>
      <c r="U37" s="593">
        <v>209990.5</v>
      </c>
      <c r="V37" s="57" t="s">
        <v>5488</v>
      </c>
      <c r="W37" s="235" t="s">
        <v>5487</v>
      </c>
      <c r="X37" s="596">
        <v>20296</v>
      </c>
      <c r="Z37" s="112">
        <v>27931</v>
      </c>
      <c r="AA37" s="57" t="s">
        <v>930</v>
      </c>
      <c r="AB37" s="594">
        <v>20296</v>
      </c>
      <c r="AC37" s="235" t="s">
        <v>5487</v>
      </c>
      <c r="AD37" s="64"/>
      <c r="AF37" s="3968">
        <v>257305</v>
      </c>
      <c r="AG37" s="57" t="s">
        <v>5489</v>
      </c>
      <c r="AH37" s="235"/>
      <c r="AI37" s="596">
        <f>4282*12/11</f>
        <v>4671.272727272727</v>
      </c>
      <c r="AK37" s="3968">
        <v>257305</v>
      </c>
      <c r="AL37" s="57" t="s">
        <v>5489</v>
      </c>
      <c r="AM37" s="594">
        <f>4282*12/11</f>
        <v>4671.272727272727</v>
      </c>
      <c r="AN37" s="235"/>
      <c r="AO37" s="64">
        <f t="shared" si="13"/>
        <v>1.8154613113902672E-2</v>
      </c>
      <c r="AQ37" s="593">
        <f>94837+18355</f>
        <v>113192</v>
      </c>
      <c r="AR37" s="57" t="s">
        <v>5490</v>
      </c>
      <c r="AS37" s="57"/>
      <c r="AT37" s="596">
        <f>98791</f>
        <v>98791</v>
      </c>
      <c r="AV37" s="593">
        <f>94837+18355</f>
        <v>113192</v>
      </c>
      <c r="AW37" s="57" t="s">
        <v>5491</v>
      </c>
      <c r="AX37" s="57"/>
      <c r="AY37" s="596">
        <f>98791</f>
        <v>98791</v>
      </c>
      <c r="AZ37" s="7468">
        <f>AY37/AV37</f>
        <v>0.87277369425401086</v>
      </c>
      <c r="BA37" s="2748">
        <f>137637+215798-BA38</f>
        <v>175435</v>
      </c>
      <c r="BB37" s="57"/>
      <c r="BC37" s="57"/>
      <c r="BD37" s="596">
        <f>BA37*AZ37</f>
        <v>153115.05305145239</v>
      </c>
      <c r="BE37" s="26"/>
      <c r="BG37" s="2748">
        <f>137637+215798-BG38</f>
        <v>175435</v>
      </c>
      <c r="BH37" s="57" t="s">
        <v>5492</v>
      </c>
      <c r="BI37" s="235" t="s">
        <v>5493</v>
      </c>
      <c r="BJ37" s="596">
        <f>111627+30733</f>
        <v>142360</v>
      </c>
      <c r="BK37" s="8116">
        <f t="shared" si="7"/>
        <v>0.81146863510701972</v>
      </c>
      <c r="BL37" s="2748">
        <f>229769+121982</f>
        <v>351751</v>
      </c>
      <c r="BM37" t="s">
        <v>5493</v>
      </c>
      <c r="BN37" s="57"/>
      <c r="BO37" s="596">
        <f>234926+59848</f>
        <v>294774</v>
      </c>
    </row>
    <row r="38" spans="1:67" x14ac:dyDescent="0.35">
      <c r="A38" s="9168"/>
      <c r="B38" s="240"/>
      <c r="C38" s="240" t="s">
        <v>5494</v>
      </c>
      <c r="D38" s="197"/>
      <c r="F38" s="155"/>
      <c r="H38" s="117"/>
      <c r="I38" s="115"/>
      <c r="J38" s="64">
        <f>IF(H38=0,0,I38/H38)</f>
        <v>0</v>
      </c>
      <c r="L38" s="117"/>
      <c r="M38" s="157">
        <f t="shared" ref="M38:M39" si="14">L38*J38</f>
        <v>0</v>
      </c>
      <c r="O38" s="117"/>
      <c r="P38" s="594">
        <v>140585</v>
      </c>
      <c r="Q38" s="3969"/>
      <c r="R38" s="235" t="s">
        <v>5495</v>
      </c>
      <c r="S38" s="64"/>
      <c r="U38" s="2890"/>
      <c r="V38" s="3969"/>
      <c r="W38" s="235" t="s">
        <v>5495</v>
      </c>
      <c r="X38" s="596">
        <v>180187</v>
      </c>
      <c r="Z38" s="117">
        <v>137090</v>
      </c>
      <c r="AA38" s="57" t="s">
        <v>5496</v>
      </c>
      <c r="AB38" s="594">
        <v>180187</v>
      </c>
      <c r="AC38" s="235" t="s">
        <v>5495</v>
      </c>
      <c r="AD38" s="64"/>
      <c r="AF38" s="595"/>
      <c r="AG38" s="53"/>
      <c r="AH38" s="235" t="s">
        <v>5497</v>
      </c>
      <c r="AI38" s="596">
        <f>79878*12/11</f>
        <v>87139.636363636368</v>
      </c>
      <c r="AK38" s="595"/>
      <c r="AL38" s="53"/>
      <c r="AM38" s="594">
        <f>79878*12/11</f>
        <v>87139.636363636368</v>
      </c>
      <c r="AN38" s="235" t="s">
        <v>5497</v>
      </c>
      <c r="AO38" s="64" t="str">
        <f t="shared" si="13"/>
        <v/>
      </c>
      <c r="AQ38" s="595"/>
      <c r="AR38" s="57"/>
      <c r="AS38" s="235"/>
      <c r="AT38" s="596"/>
      <c r="AV38" s="2789">
        <v>206331</v>
      </c>
      <c r="AW38" s="57" t="s">
        <v>5498</v>
      </c>
      <c r="AX38" s="235" t="s">
        <v>5499</v>
      </c>
      <c r="AY38" s="2797">
        <v>214892</v>
      </c>
      <c r="AZ38" s="7468">
        <f>AY38/AV38</f>
        <v>1.0414915839112882</v>
      </c>
      <c r="BA38" s="2789">
        <v>178000</v>
      </c>
      <c r="BB38" s="57" t="s">
        <v>1824</v>
      </c>
      <c r="BC38" s="235"/>
      <c r="BD38" s="596">
        <f>BA38*AZ38</f>
        <v>185385.5019362093</v>
      </c>
      <c r="BE38" s="26"/>
      <c r="BG38" s="2789">
        <v>178000</v>
      </c>
      <c r="BH38" s="57" t="s">
        <v>5442</v>
      </c>
      <c r="BI38" s="235" t="s">
        <v>5500</v>
      </c>
      <c r="BJ38" s="2797">
        <v>3295</v>
      </c>
      <c r="BK38" s="8116">
        <f t="shared" si="7"/>
        <v>1.8511235955056181E-2</v>
      </c>
      <c r="BL38" s="593">
        <v>292700</v>
      </c>
      <c r="BM38" t="s">
        <v>5500</v>
      </c>
      <c r="BN38" s="235"/>
      <c r="BO38" s="596">
        <v>92164</v>
      </c>
    </row>
    <row r="39" spans="1:67" x14ac:dyDescent="0.35">
      <c r="A39" s="9168"/>
      <c r="B39" s="241"/>
      <c r="C39" s="241" t="s">
        <v>5501</v>
      </c>
      <c r="D39" s="197"/>
      <c r="F39" s="163"/>
      <c r="H39" s="3970">
        <f>L39</f>
        <v>164517</v>
      </c>
      <c r="I39" s="243">
        <v>8317.4539999999997</v>
      </c>
      <c r="J39" s="64">
        <f>IF(H39=0,0,I39/H39)</f>
        <v>5.0556805679656203E-2</v>
      </c>
      <c r="L39" s="3327">
        <f>164517</f>
        <v>164517</v>
      </c>
      <c r="M39" s="157">
        <f t="shared" si="14"/>
        <v>8317.4539999999997</v>
      </c>
      <c r="O39" s="242">
        <v>164517</v>
      </c>
      <c r="P39" s="594">
        <v>718</v>
      </c>
      <c r="Q39" s="57" t="s">
        <v>5502</v>
      </c>
      <c r="R39" s="235" t="s">
        <v>5503</v>
      </c>
      <c r="S39" s="64"/>
      <c r="U39" s="1172">
        <v>6630</v>
      </c>
      <c r="V39" s="57" t="s">
        <v>5504</v>
      </c>
      <c r="W39" s="235" t="s">
        <v>5503</v>
      </c>
      <c r="X39" s="596">
        <v>3251</v>
      </c>
      <c r="Z39" s="242">
        <v>6630</v>
      </c>
      <c r="AA39" s="57" t="s">
        <v>5504</v>
      </c>
      <c r="AB39" s="594">
        <v>3251</v>
      </c>
      <c r="AC39" s="235" t="s">
        <v>5503</v>
      </c>
      <c r="AD39" s="64"/>
      <c r="AF39" s="1172">
        <v>3650</v>
      </c>
      <c r="AG39" s="57" t="s">
        <v>5505</v>
      </c>
      <c r="AH39" s="235"/>
      <c r="AI39" s="596">
        <f>7331*12/11</f>
        <v>7997.454545454545</v>
      </c>
      <c r="AK39" s="1172">
        <v>3650</v>
      </c>
      <c r="AL39" s="57" t="s">
        <v>5505</v>
      </c>
      <c r="AM39" s="594">
        <f>7331*12/11</f>
        <v>7997.454545454545</v>
      </c>
      <c r="AN39" s="235"/>
      <c r="AO39" s="64">
        <f t="shared" si="13"/>
        <v>2.1910834371108341</v>
      </c>
      <c r="AQ39" s="1172"/>
      <c r="AR39" s="57"/>
      <c r="AS39" s="235"/>
      <c r="AT39" s="596"/>
      <c r="AV39" s="1172"/>
      <c r="AW39" s="57"/>
      <c r="AX39" s="235"/>
      <c r="AY39" s="596"/>
      <c r="BA39" s="1172"/>
      <c r="BB39" s="57"/>
      <c r="BC39" s="235"/>
      <c r="BD39" s="596"/>
      <c r="BE39" s="26"/>
      <c r="BG39" s="1172"/>
      <c r="BH39" s="57"/>
      <c r="BI39" s="235" t="s">
        <v>5506</v>
      </c>
      <c r="BJ39" s="596">
        <v>0</v>
      </c>
      <c r="BK39" s="8116" t="str">
        <f t="shared" si="7"/>
        <v/>
      </c>
      <c r="BL39" s="242">
        <v>0</v>
      </c>
      <c r="BM39" s="57" t="s">
        <v>5506</v>
      </c>
      <c r="BN39" s="235"/>
      <c r="BO39" s="596" t="str">
        <f>IFERROR(BL39*BK39, "")</f>
        <v/>
      </c>
    </row>
    <row r="40" spans="1:67" x14ac:dyDescent="0.35">
      <c r="A40" s="9168"/>
      <c r="B40" s="241"/>
      <c r="C40" s="3971" t="s">
        <v>5507</v>
      </c>
      <c r="D40" s="197"/>
      <c r="F40" s="163"/>
      <c r="H40" s="3970"/>
      <c r="I40" s="243"/>
      <c r="J40" s="64"/>
      <c r="L40" s="3327"/>
      <c r="M40" s="157"/>
      <c r="O40" s="242"/>
      <c r="P40" s="3972"/>
      <c r="Q40" s="57"/>
      <c r="R40" s="57"/>
      <c r="S40" s="64"/>
      <c r="U40" s="1172"/>
      <c r="V40" s="57"/>
      <c r="W40" s="57"/>
      <c r="X40" s="596"/>
      <c r="Z40" s="242"/>
      <c r="AA40" s="57"/>
      <c r="AB40" s="3972"/>
      <c r="AC40" s="57"/>
      <c r="AD40" s="64"/>
      <c r="AF40" s="1172"/>
      <c r="AG40" s="57"/>
      <c r="AH40" s="57"/>
      <c r="AI40" s="596"/>
      <c r="AK40" s="1172"/>
      <c r="AL40" s="57"/>
      <c r="AM40" s="3972"/>
      <c r="AN40" s="57"/>
      <c r="AO40" s="64" t="str">
        <f t="shared" si="13"/>
        <v/>
      </c>
      <c r="AQ40" s="1172"/>
      <c r="AR40" s="57"/>
      <c r="AS40" s="57"/>
      <c r="AT40" s="596"/>
      <c r="AV40" s="1172"/>
      <c r="AW40" s="57"/>
      <c r="AX40" s="57"/>
      <c r="AY40" s="596"/>
      <c r="BA40" s="1172"/>
      <c r="BB40" s="57"/>
      <c r="BC40" s="57"/>
      <c r="BD40" s="596"/>
      <c r="BE40" s="26"/>
      <c r="BG40" s="1172"/>
      <c r="BH40" s="57"/>
      <c r="BI40" s="235" t="s">
        <v>5508</v>
      </c>
      <c r="BJ40" s="596">
        <v>8399</v>
      </c>
      <c r="BK40" s="8116" t="str">
        <f t="shared" si="7"/>
        <v/>
      </c>
      <c r="BL40" s="1172">
        <v>25900</v>
      </c>
      <c r="BM40" t="s">
        <v>5508</v>
      </c>
      <c r="BN40" s="57"/>
      <c r="BO40" s="596">
        <v>18089</v>
      </c>
    </row>
    <row r="41" spans="1:67" x14ac:dyDescent="0.35">
      <c r="A41" s="9168"/>
      <c r="B41" s="241"/>
      <c r="C41" s="241" t="s">
        <v>5509</v>
      </c>
      <c r="D41" s="197"/>
      <c r="F41" s="163"/>
      <c r="H41" s="3970">
        <f>L41</f>
        <v>8202.5</v>
      </c>
      <c r="I41" s="3973">
        <f>H41</f>
        <v>8202.5</v>
      </c>
      <c r="J41" s="64">
        <f>IF(H41=0,0,I41/H41)</f>
        <v>1</v>
      </c>
      <c r="L41" s="3327">
        <f>8202.5</f>
        <v>8202.5</v>
      </c>
      <c r="M41" s="157">
        <f>L41*J41</f>
        <v>8202.5</v>
      </c>
      <c r="O41" s="242">
        <v>9202.5</v>
      </c>
      <c r="P41" s="3972">
        <f>O41</f>
        <v>9202.5</v>
      </c>
      <c r="Q41" s="57" t="s">
        <v>5502</v>
      </c>
      <c r="R41" s="57" t="s">
        <v>5510</v>
      </c>
      <c r="S41" s="64"/>
      <c r="U41" s="242">
        <v>27493</v>
      </c>
      <c r="V41" s="57" t="s">
        <v>5504</v>
      </c>
      <c r="W41" s="57" t="s">
        <v>5510</v>
      </c>
      <c r="X41" s="3974">
        <f>U41</f>
        <v>27493</v>
      </c>
      <c r="Z41" s="242">
        <v>27493</v>
      </c>
      <c r="AA41" s="57" t="s">
        <v>5504</v>
      </c>
      <c r="AB41" s="3972">
        <f>X41</f>
        <v>27493</v>
      </c>
      <c r="AC41" s="57" t="s">
        <v>5510</v>
      </c>
      <c r="AD41" s="64"/>
      <c r="AF41" s="242">
        <v>62917</v>
      </c>
      <c r="AG41" s="57" t="s">
        <v>5505</v>
      </c>
      <c r="AH41" s="57"/>
      <c r="AI41" s="3975">
        <f>AF41</f>
        <v>62917</v>
      </c>
      <c r="AK41" s="242">
        <v>62917</v>
      </c>
      <c r="AL41" s="57" t="s">
        <v>5505</v>
      </c>
      <c r="AM41" s="3972">
        <f>AI41</f>
        <v>62917</v>
      </c>
      <c r="AN41" s="57"/>
      <c r="AO41" s="64">
        <f t="shared" si="13"/>
        <v>1</v>
      </c>
      <c r="AQ41" s="242">
        <f>8450+4700</f>
        <v>13150</v>
      </c>
      <c r="AR41" s="57" t="s">
        <v>5511</v>
      </c>
      <c r="AS41" s="57"/>
      <c r="AT41" s="596">
        <v>3355</v>
      </c>
      <c r="AV41" s="242">
        <f>8450+4700</f>
        <v>13150</v>
      </c>
      <c r="AW41" s="57" t="s">
        <v>5511</v>
      </c>
      <c r="AX41" s="57"/>
      <c r="AY41" s="596">
        <v>3355</v>
      </c>
      <c r="AZ41" s="7468">
        <f>AY41/AV41</f>
        <v>0.25513307984790873</v>
      </c>
      <c r="BA41" s="242">
        <v>56400</v>
      </c>
      <c r="BB41" s="253" t="s">
        <v>5512</v>
      </c>
      <c r="BC41" s="57"/>
      <c r="BD41" s="596">
        <f>BA41*AZ41</f>
        <v>14389.505703422052</v>
      </c>
      <c r="BE41" s="26"/>
      <c r="BG41" s="242">
        <v>56400</v>
      </c>
      <c r="BH41" s="57" t="s">
        <v>5513</v>
      </c>
      <c r="BI41" s="57"/>
      <c r="BJ41" s="596"/>
      <c r="BK41" s="8116">
        <f t="shared" si="7"/>
        <v>0</v>
      </c>
      <c r="BL41" s="3327"/>
      <c r="BN41" s="57"/>
      <c r="BO41" s="596"/>
    </row>
    <row r="42" spans="1:67" x14ac:dyDescent="0.35">
      <c r="A42" s="9168"/>
      <c r="B42" s="141" t="s">
        <v>531</v>
      </c>
      <c r="C42"/>
      <c r="D42" s="197"/>
      <c r="E42" s="143"/>
      <c r="F42" s="168"/>
      <c r="G42" s="143"/>
      <c r="H42" s="245"/>
      <c r="I42" s="106"/>
      <c r="J42" s="246"/>
      <c r="K42" s="143"/>
      <c r="L42" s="245"/>
      <c r="M42" s="247"/>
      <c r="N42" s="143"/>
      <c r="O42" s="245"/>
      <c r="P42" s="106"/>
      <c r="Q42" s="106"/>
      <c r="R42" s="106"/>
      <c r="S42" s="246"/>
      <c r="T42" s="143"/>
      <c r="U42" s="245"/>
      <c r="V42" s="106"/>
      <c r="W42" s="106"/>
      <c r="X42" s="66"/>
      <c r="Y42" s="143"/>
      <c r="Z42" s="245"/>
      <c r="AA42" s="106"/>
      <c r="AB42" s="106"/>
      <c r="AC42" s="106"/>
      <c r="AD42" s="246"/>
      <c r="AE42" s="143"/>
      <c r="AF42" s="245"/>
      <c r="AG42" s="106"/>
      <c r="AH42" s="106"/>
      <c r="AI42" s="66"/>
      <c r="AJ42" s="143"/>
      <c r="AK42" s="245"/>
      <c r="AL42" s="106"/>
      <c r="AM42" s="106"/>
      <c r="AN42" s="106"/>
      <c r="AO42" s="64" t="str">
        <f t="shared" si="13"/>
        <v/>
      </c>
      <c r="AP42" s="143"/>
      <c r="AQ42" s="245"/>
      <c r="AR42" s="106"/>
      <c r="AS42" s="106"/>
      <c r="AT42" s="66"/>
      <c r="AU42" s="143"/>
      <c r="AV42" s="245"/>
      <c r="AW42" s="106"/>
      <c r="AX42" s="106"/>
      <c r="AY42" s="66"/>
      <c r="BA42" s="245"/>
      <c r="BB42" s="106"/>
      <c r="BC42" s="106"/>
      <c r="BD42" s="66"/>
      <c r="BE42" s="18"/>
      <c r="BG42" s="245"/>
      <c r="BH42" s="106"/>
      <c r="BI42" s="106"/>
      <c r="BJ42" s="66"/>
      <c r="BK42" s="8116" t="str">
        <f t="shared" si="7"/>
        <v/>
      </c>
      <c r="BL42" s="245"/>
      <c r="BM42" s="106"/>
      <c r="BN42" s="106"/>
      <c r="BO42" s="66"/>
    </row>
    <row r="43" spans="1:67" x14ac:dyDescent="0.35">
      <c r="A43" s="9168"/>
      <c r="B43" s="240"/>
      <c r="C43" s="240" t="s">
        <v>532</v>
      </c>
      <c r="D43" s="197"/>
      <c r="F43" s="111"/>
      <c r="H43" s="112"/>
      <c r="I43" s="113"/>
      <c r="J43" s="64">
        <f>IF(H43=0,0,I43/H43)</f>
        <v>0</v>
      </c>
      <c r="L43" s="112"/>
      <c r="M43" s="157">
        <f>L43*J43</f>
        <v>0</v>
      </c>
      <c r="O43" s="248"/>
      <c r="P43" s="233"/>
      <c r="Q43" s="106"/>
      <c r="R43" s="106"/>
      <c r="S43" s="64"/>
      <c r="U43" s="112"/>
      <c r="V43" s="106"/>
      <c r="W43" s="106"/>
      <c r="X43" s="1034"/>
      <c r="Z43" s="248"/>
      <c r="AA43" s="106"/>
      <c r="AB43" s="233"/>
      <c r="AC43" s="106"/>
      <c r="AD43" s="64"/>
      <c r="AF43" s="112"/>
      <c r="AG43" s="106"/>
      <c r="AH43" s="106"/>
      <c r="AI43" s="1034"/>
      <c r="AK43" s="112"/>
      <c r="AL43" s="106"/>
      <c r="AM43" s="233"/>
      <c r="AN43" s="106"/>
      <c r="AO43" s="64" t="str">
        <f t="shared" si="13"/>
        <v/>
      </c>
      <c r="AQ43" s="112"/>
      <c r="AR43" s="106"/>
      <c r="AS43" s="106"/>
      <c r="AT43" s="1034"/>
      <c r="AV43" s="112"/>
      <c r="AW43" s="106"/>
      <c r="AX43" s="106"/>
      <c r="AY43" s="1034"/>
      <c r="BA43" s="112"/>
      <c r="BB43" s="106"/>
      <c r="BC43" s="106"/>
      <c r="BD43" s="1034"/>
      <c r="BE43" s="26"/>
      <c r="BG43" s="112"/>
      <c r="BH43" s="106"/>
      <c r="BI43" s="106"/>
      <c r="BJ43" s="1034"/>
      <c r="BK43" s="8116" t="str">
        <f t="shared" si="7"/>
        <v/>
      </c>
      <c r="BL43" s="112"/>
      <c r="BM43" s="106"/>
      <c r="BN43" s="106"/>
      <c r="BO43" s="1034"/>
    </row>
    <row r="44" spans="1:67" x14ac:dyDescent="0.35">
      <c r="A44" s="9168"/>
      <c r="B44" s="240"/>
      <c r="C44" s="240" t="s">
        <v>533</v>
      </c>
      <c r="D44" s="197"/>
      <c r="F44" s="155"/>
      <c r="H44" s="117"/>
      <c r="I44" s="115"/>
      <c r="J44" s="64">
        <f>IF(H44=0,0,I44/H44)</f>
        <v>0</v>
      </c>
      <c r="L44" s="117"/>
      <c r="M44" s="157">
        <f>L44*J44</f>
        <v>0</v>
      </c>
      <c r="O44" s="200"/>
      <c r="P44" s="201"/>
      <c r="Q44" s="106"/>
      <c r="R44" s="106"/>
      <c r="S44" s="64"/>
      <c r="U44" s="117"/>
      <c r="V44" s="106"/>
      <c r="W44" s="106"/>
      <c r="X44" s="273"/>
      <c r="Z44" s="200"/>
      <c r="AA44" s="106"/>
      <c r="AB44" s="201"/>
      <c r="AC44" s="106"/>
      <c r="AD44" s="64"/>
      <c r="AF44" s="117"/>
      <c r="AG44" s="106"/>
      <c r="AH44" s="106"/>
      <c r="AI44" s="273"/>
      <c r="AK44" s="117"/>
      <c r="AL44" s="106"/>
      <c r="AM44" s="201"/>
      <c r="AN44" s="106"/>
      <c r="AO44" s="64" t="str">
        <f t="shared" si="13"/>
        <v/>
      </c>
      <c r="AQ44" s="117"/>
      <c r="AR44" s="106"/>
      <c r="AS44" s="106"/>
      <c r="AT44" s="273"/>
      <c r="AV44" s="117"/>
      <c r="AW44" s="106"/>
      <c r="AX44" s="106"/>
      <c r="AY44" s="273"/>
      <c r="BA44" s="117"/>
      <c r="BB44" s="106"/>
      <c r="BC44" s="106"/>
      <c r="BD44" s="273"/>
      <c r="BE44" s="26"/>
      <c r="BG44" s="117"/>
      <c r="BH44" s="106"/>
      <c r="BI44" s="106"/>
      <c r="BJ44" s="273"/>
      <c r="BK44" s="8116" t="str">
        <f t="shared" si="7"/>
        <v/>
      </c>
      <c r="BL44" s="117"/>
      <c r="BM44" s="106"/>
      <c r="BN44" s="106"/>
      <c r="BO44" s="273"/>
    </row>
    <row r="45" spans="1:67" x14ac:dyDescent="0.35">
      <c r="A45" s="9168"/>
      <c r="B45" s="250"/>
      <c r="C45" s="250" t="s">
        <v>534</v>
      </c>
      <c r="D45" s="209"/>
      <c r="F45" s="130"/>
      <c r="H45" s="242"/>
      <c r="I45" s="243"/>
      <c r="J45" s="64">
        <f>IF(H45=0,0,I45/H45)</f>
        <v>0</v>
      </c>
      <c r="L45" s="131"/>
      <c r="M45" s="213">
        <f>L45*J45</f>
        <v>0</v>
      </c>
      <c r="O45" s="164"/>
      <c r="P45" s="215"/>
      <c r="Q45" s="216"/>
      <c r="R45" s="216"/>
      <c r="S45" s="64"/>
      <c r="U45" s="131"/>
      <c r="V45" s="216"/>
      <c r="W45" s="216"/>
      <c r="X45" s="658"/>
      <c r="Z45" s="164"/>
      <c r="AA45" s="216"/>
      <c r="AB45" s="215"/>
      <c r="AC45" s="216"/>
      <c r="AD45" s="64"/>
      <c r="AF45" s="131"/>
      <c r="AG45" s="216"/>
      <c r="AH45" s="216"/>
      <c r="AI45" s="658"/>
      <c r="AK45" s="131"/>
      <c r="AL45" s="216"/>
      <c r="AM45" s="215"/>
      <c r="AN45" s="216"/>
      <c r="AO45" s="64" t="str">
        <f t="shared" si="13"/>
        <v/>
      </c>
      <c r="AQ45" s="131"/>
      <c r="AR45" s="216"/>
      <c r="AS45" s="216"/>
      <c r="AT45" s="658"/>
      <c r="AV45" s="131"/>
      <c r="AW45" s="216"/>
      <c r="AX45" s="216"/>
      <c r="AY45" s="658"/>
      <c r="BA45" s="131"/>
      <c r="BB45" s="216"/>
      <c r="BC45" s="216"/>
      <c r="BD45" s="658"/>
      <c r="BE45" s="24"/>
      <c r="BG45" s="131"/>
      <c r="BH45" s="216"/>
      <c r="BI45" s="216"/>
      <c r="BJ45" s="658"/>
      <c r="BK45" s="8116" t="str">
        <f t="shared" si="7"/>
        <v/>
      </c>
      <c r="BL45" s="131"/>
      <c r="BM45" s="216"/>
      <c r="BN45" s="216"/>
      <c r="BO45" s="658"/>
    </row>
    <row r="46" spans="1:67" x14ac:dyDescent="0.35">
      <c r="A46" s="9168"/>
      <c r="B46" s="141" t="s">
        <v>535</v>
      </c>
      <c r="C46" s="141"/>
      <c r="D46" s="197"/>
      <c r="E46" s="143"/>
      <c r="F46" s="227"/>
      <c r="G46" s="143"/>
      <c r="H46" s="102"/>
      <c r="I46" s="103"/>
      <c r="J46" s="252"/>
      <c r="K46" s="143"/>
      <c r="L46" s="245"/>
      <c r="M46" s="247"/>
      <c r="N46" s="143"/>
      <c r="O46" s="230"/>
      <c r="P46" s="103"/>
      <c r="Q46" s="57"/>
      <c r="R46" s="57"/>
      <c r="S46" s="252"/>
      <c r="T46" s="143"/>
      <c r="U46" s="230"/>
      <c r="V46" s="57"/>
      <c r="W46" s="57"/>
      <c r="X46" s="105"/>
      <c r="Y46" s="143"/>
      <c r="Z46" s="230"/>
      <c r="AA46" s="57"/>
      <c r="AB46" s="103"/>
      <c r="AC46" s="57"/>
      <c r="AD46" s="252"/>
      <c r="AE46" s="143"/>
      <c r="AF46" s="230"/>
      <c r="AG46" s="57"/>
      <c r="AH46" s="57"/>
      <c r="AI46" s="105"/>
      <c r="AJ46" s="143"/>
      <c r="AK46" s="230"/>
      <c r="AL46" s="57"/>
      <c r="AM46" s="103"/>
      <c r="AN46" s="57"/>
      <c r="AO46" s="64" t="str">
        <f t="shared" si="13"/>
        <v/>
      </c>
      <c r="AP46" s="143"/>
      <c r="AQ46" s="230"/>
      <c r="AR46" s="57"/>
      <c r="AS46" s="57"/>
      <c r="AT46" s="105"/>
      <c r="AU46" s="143"/>
      <c r="AV46" s="230"/>
      <c r="AW46" s="57"/>
      <c r="AX46" s="57"/>
      <c r="AY46" s="105"/>
      <c r="BA46" s="230"/>
      <c r="BB46" s="57"/>
      <c r="BC46" s="57"/>
      <c r="BD46" s="105"/>
      <c r="BE46" s="26"/>
      <c r="BG46" s="230"/>
      <c r="BH46" s="57"/>
      <c r="BI46" s="57"/>
      <c r="BJ46" s="105"/>
      <c r="BK46" s="8116" t="str">
        <f t="shared" si="7"/>
        <v/>
      </c>
      <c r="BL46" s="230"/>
      <c r="BM46" s="57" t="s">
        <v>1874</v>
      </c>
      <c r="BN46" s="57"/>
      <c r="BO46" s="105"/>
    </row>
    <row r="47" spans="1:67" ht="24.75" customHeight="1" x14ac:dyDescent="0.35">
      <c r="A47" s="9168"/>
      <c r="B47" s="240"/>
      <c r="C47" s="240" t="s">
        <v>532</v>
      </c>
      <c r="D47" s="197"/>
      <c r="F47" s="111"/>
      <c r="H47" s="112"/>
      <c r="I47" s="113"/>
      <c r="J47" s="64">
        <f t="shared" ref="J47:J53" si="15">IF(H47=0,0,I47/H47)</f>
        <v>0</v>
      </c>
      <c r="L47" s="112"/>
      <c r="M47" s="157">
        <f t="shared" ref="M47:M53" si="16">L47*J47</f>
        <v>0</v>
      </c>
      <c r="O47" s="1163"/>
      <c r="P47" s="1164"/>
      <c r="Q47" s="57"/>
      <c r="R47" s="57"/>
      <c r="S47" s="64"/>
      <c r="T47" s="143"/>
      <c r="U47" s="1163"/>
      <c r="V47" s="57"/>
      <c r="W47" s="57"/>
      <c r="X47" s="3976"/>
      <c r="Z47" s="1163"/>
      <c r="AA47" s="57"/>
      <c r="AB47" s="1164"/>
      <c r="AC47" s="57"/>
      <c r="AD47" s="64"/>
      <c r="AE47" s="143"/>
      <c r="AF47" s="1163"/>
      <c r="AG47" s="57"/>
      <c r="AH47" s="57"/>
      <c r="AI47" s="3976"/>
      <c r="AK47" s="1163"/>
      <c r="AL47" s="57"/>
      <c r="AM47" s="1164"/>
      <c r="AN47" s="57"/>
      <c r="AO47" s="64" t="str">
        <f t="shared" si="13"/>
        <v/>
      </c>
      <c r="AP47" s="143"/>
      <c r="AQ47" s="1163"/>
      <c r="AR47" s="57"/>
      <c r="AS47" s="57"/>
      <c r="AT47" s="3976"/>
      <c r="AV47" s="7381">
        <f>4000+1472</f>
        <v>5472</v>
      </c>
      <c r="AW47" s="6841" t="s">
        <v>5514</v>
      </c>
      <c r="AX47" s="6841"/>
      <c r="AY47" s="7471">
        <f>3228+1306</f>
        <v>4534</v>
      </c>
      <c r="AZ47" s="7468">
        <f t="shared" ref="AZ47:AZ50" si="17">AY47/AV47</f>
        <v>0.82858187134502925</v>
      </c>
      <c r="BA47" s="7381">
        <f>2458+1756</f>
        <v>4214</v>
      </c>
      <c r="BB47" s="57" t="s">
        <v>5515</v>
      </c>
      <c r="BC47" s="57"/>
      <c r="BD47" s="596">
        <f t="shared" ref="BD47:BD49" si="18">BA47*AZ47</f>
        <v>3491.6440058479534</v>
      </c>
      <c r="BE47" s="257"/>
      <c r="BG47" s="7474">
        <f>2458+1756</f>
        <v>4214</v>
      </c>
      <c r="BH47" s="6841" t="s">
        <v>5514</v>
      </c>
      <c r="BI47" s="1" t="s">
        <v>5516</v>
      </c>
      <c r="BJ47" s="7472">
        <v>0</v>
      </c>
      <c r="BK47" s="8116">
        <f t="shared" si="7"/>
        <v>0</v>
      </c>
      <c r="BL47" s="2748">
        <v>1510</v>
      </c>
      <c r="BM47" t="s">
        <v>5516</v>
      </c>
      <c r="BN47" s="57"/>
      <c r="BO47" s="3977">
        <v>500</v>
      </c>
    </row>
    <row r="48" spans="1:67" x14ac:dyDescent="0.35">
      <c r="A48" s="9168"/>
      <c r="B48" s="240"/>
      <c r="C48" s="240" t="s">
        <v>533</v>
      </c>
      <c r="D48" s="197"/>
      <c r="F48" s="155"/>
      <c r="H48" s="117"/>
      <c r="I48" s="115"/>
      <c r="J48" s="64">
        <f t="shared" si="15"/>
        <v>0</v>
      </c>
      <c r="L48" s="117"/>
      <c r="M48" s="157">
        <f t="shared" si="16"/>
        <v>0</v>
      </c>
      <c r="O48" s="595"/>
      <c r="P48" s="642"/>
      <c r="Q48" s="57"/>
      <c r="R48" s="57"/>
      <c r="S48" s="64"/>
      <c r="U48" s="593"/>
      <c r="V48" s="57"/>
      <c r="W48" s="57"/>
      <c r="X48" s="3977"/>
      <c r="Z48" s="595"/>
      <c r="AA48" s="57"/>
      <c r="AB48" s="642"/>
      <c r="AC48" s="57"/>
      <c r="AD48" s="64"/>
      <c r="AF48" s="593"/>
      <c r="AG48" s="57"/>
      <c r="AH48" s="57"/>
      <c r="AI48" s="3977"/>
      <c r="AK48" s="595"/>
      <c r="AL48" s="57"/>
      <c r="AM48" s="642"/>
      <c r="AN48" s="57"/>
      <c r="AO48" s="64" t="str">
        <f t="shared" si="13"/>
        <v/>
      </c>
      <c r="AQ48" s="593"/>
      <c r="AR48" s="57"/>
      <c r="AS48" s="57"/>
      <c r="AT48" s="3977"/>
      <c r="AV48" s="2748"/>
      <c r="AW48" s="6841"/>
      <c r="AX48" s="6841"/>
      <c r="AY48" s="7472"/>
      <c r="AZ48" s="7468"/>
      <c r="BA48" s="2748">
        <f>1839</f>
        <v>1839</v>
      </c>
      <c r="BB48" s="57" t="s">
        <v>5517</v>
      </c>
      <c r="BC48" s="57"/>
      <c r="BD48" s="596">
        <f t="shared" si="18"/>
        <v>0</v>
      </c>
      <c r="BE48" s="26"/>
      <c r="BG48" s="7474">
        <f>1839</f>
        <v>1839</v>
      </c>
      <c r="BH48" s="6841"/>
      <c r="BI48" s="1" t="s">
        <v>5518</v>
      </c>
      <c r="BJ48" s="7472">
        <v>649</v>
      </c>
      <c r="BK48" s="8116">
        <f t="shared" si="7"/>
        <v>0.35290918977705277</v>
      </c>
      <c r="BL48" s="2748">
        <v>588</v>
      </c>
      <c r="BM48" t="s">
        <v>5518</v>
      </c>
      <c r="BN48" s="57"/>
      <c r="BO48" s="3977">
        <v>424</v>
      </c>
    </row>
    <row r="49" spans="1:67" x14ac:dyDescent="0.35">
      <c r="A49" s="9168"/>
      <c r="B49" s="240"/>
      <c r="C49" s="240" t="s">
        <v>534</v>
      </c>
      <c r="D49" s="197"/>
      <c r="F49" s="155"/>
      <c r="H49" s="117"/>
      <c r="I49" s="115"/>
      <c r="J49" s="64">
        <f t="shared" si="15"/>
        <v>0</v>
      </c>
      <c r="L49" s="117"/>
      <c r="M49" s="157">
        <f t="shared" si="16"/>
        <v>0</v>
      </c>
      <c r="O49" s="595"/>
      <c r="P49" s="643"/>
      <c r="Q49" s="57"/>
      <c r="R49" s="57"/>
      <c r="S49" s="64"/>
      <c r="U49" s="593"/>
      <c r="V49" s="57"/>
      <c r="W49" s="57"/>
      <c r="X49" s="3978"/>
      <c r="Z49" s="595"/>
      <c r="AA49" s="57"/>
      <c r="AB49" s="643"/>
      <c r="AC49" s="57"/>
      <c r="AD49" s="64"/>
      <c r="AF49" s="593"/>
      <c r="AG49" s="57"/>
      <c r="AH49" s="57"/>
      <c r="AI49" s="3978"/>
      <c r="AK49" s="595"/>
      <c r="AL49" s="57"/>
      <c r="AM49" s="643"/>
      <c r="AN49" s="57"/>
      <c r="AO49" s="64" t="str">
        <f t="shared" si="13"/>
        <v/>
      </c>
      <c r="AQ49" s="593"/>
      <c r="AR49" s="57"/>
      <c r="AS49" s="57"/>
      <c r="AT49" s="3978"/>
      <c r="AV49" s="2748"/>
      <c r="AW49" s="6841"/>
      <c r="AX49" s="6841"/>
      <c r="AY49" s="7473"/>
      <c r="AZ49" s="7468"/>
      <c r="BA49" s="2748">
        <f>3627</f>
        <v>3627</v>
      </c>
      <c r="BB49" s="57" t="s">
        <v>5519</v>
      </c>
      <c r="BC49" s="57"/>
      <c r="BD49" s="596">
        <f t="shared" si="18"/>
        <v>0</v>
      </c>
      <c r="BE49" s="26"/>
      <c r="BG49" s="7474"/>
      <c r="BH49" s="6841"/>
      <c r="BI49" s="57"/>
      <c r="BJ49" s="7473"/>
      <c r="BK49" s="8116" t="str">
        <f t="shared" si="7"/>
        <v/>
      </c>
      <c r="BL49" s="2748"/>
      <c r="BN49" s="57"/>
      <c r="BO49" s="3978"/>
    </row>
    <row r="50" spans="1:67" x14ac:dyDescent="0.35">
      <c r="A50" s="9168"/>
      <c r="B50" s="240"/>
      <c r="C50" s="240" t="s">
        <v>536</v>
      </c>
      <c r="D50" s="197"/>
      <c r="F50" s="155"/>
      <c r="H50" s="117"/>
      <c r="I50" s="115"/>
      <c r="J50" s="64">
        <f t="shared" si="15"/>
        <v>0</v>
      </c>
      <c r="L50" s="117"/>
      <c r="M50" s="157">
        <f t="shared" si="16"/>
        <v>0</v>
      </c>
      <c r="O50" s="595"/>
      <c r="P50" s="642"/>
      <c r="Q50" s="645"/>
      <c r="R50" s="645"/>
      <c r="S50" s="64"/>
      <c r="U50" s="1170"/>
      <c r="V50" s="645"/>
      <c r="W50" s="645"/>
      <c r="X50" s="3977"/>
      <c r="Z50" s="595"/>
      <c r="AA50" s="645"/>
      <c r="AB50" s="642"/>
      <c r="AC50" s="645"/>
      <c r="AD50" s="64"/>
      <c r="AF50" s="1170"/>
      <c r="AG50" s="645"/>
      <c r="AH50" s="645"/>
      <c r="AI50" s="3977"/>
      <c r="AK50" s="595"/>
      <c r="AL50" s="645"/>
      <c r="AM50" s="642"/>
      <c r="AN50" s="645"/>
      <c r="AO50" s="64" t="str">
        <f t="shared" si="13"/>
        <v/>
      </c>
      <c r="AQ50" s="1170"/>
      <c r="AR50" s="645"/>
      <c r="AS50" s="645"/>
      <c r="AT50" s="3977"/>
      <c r="AV50" s="2748">
        <v>1956</v>
      </c>
      <c r="AW50" s="6311" t="s">
        <v>5520</v>
      </c>
      <c r="AX50" s="2721"/>
      <c r="AY50" s="7472">
        <v>1500</v>
      </c>
      <c r="AZ50" s="7468">
        <f t="shared" si="17"/>
        <v>0.76687116564417179</v>
      </c>
      <c r="BA50" s="7474"/>
      <c r="BB50" s="645"/>
      <c r="BC50" s="645"/>
      <c r="BD50" s="3977"/>
      <c r="BE50" s="26"/>
      <c r="BG50" s="7474">
        <f>3627</f>
        <v>3627</v>
      </c>
      <c r="BH50" s="6311" t="s">
        <v>1874</v>
      </c>
      <c r="BI50" s="2721"/>
      <c r="BJ50" s="7472"/>
      <c r="BK50" s="8116">
        <f t="shared" si="7"/>
        <v>0</v>
      </c>
      <c r="BL50" s="7474"/>
      <c r="BM50" s="57"/>
      <c r="BN50" s="645"/>
      <c r="BO50" s="3977"/>
    </row>
    <row r="51" spans="1:67" x14ac:dyDescent="0.35">
      <c r="A51" s="9168"/>
      <c r="B51" s="240"/>
      <c r="C51" s="240" t="s">
        <v>537</v>
      </c>
      <c r="D51" s="197"/>
      <c r="F51" s="155"/>
      <c r="H51" s="117"/>
      <c r="I51" s="115"/>
      <c r="J51" s="64">
        <f t="shared" si="15"/>
        <v>0</v>
      </c>
      <c r="L51" s="117"/>
      <c r="M51" s="157">
        <f t="shared" si="16"/>
        <v>0</v>
      </c>
      <c r="O51" s="595"/>
      <c r="P51" s="643"/>
      <c r="Q51" s="645"/>
      <c r="R51" s="645"/>
      <c r="S51" s="1171"/>
      <c r="U51" s="1170"/>
      <c r="V51" s="645"/>
      <c r="W51" s="645"/>
      <c r="X51" s="3978"/>
      <c r="Z51" s="595"/>
      <c r="AA51" s="645"/>
      <c r="AB51" s="643"/>
      <c r="AC51" s="645"/>
      <c r="AD51" s="1171"/>
      <c r="AF51" s="1170"/>
      <c r="AG51" s="645"/>
      <c r="AH51" s="645"/>
      <c r="AI51" s="3978"/>
      <c r="AK51" s="595"/>
      <c r="AL51" s="645"/>
      <c r="AM51" s="643"/>
      <c r="AN51" s="645"/>
      <c r="AO51" s="64" t="str">
        <f t="shared" si="13"/>
        <v/>
      </c>
      <c r="AQ51" s="1170"/>
      <c r="AR51" s="645"/>
      <c r="AS51" s="645"/>
      <c r="AT51" s="3978"/>
      <c r="AV51" s="7474"/>
      <c r="AW51" s="2721"/>
      <c r="AX51" s="2721"/>
      <c r="AY51" s="7473"/>
      <c r="AZ51" s="6444"/>
      <c r="BA51" s="7474"/>
      <c r="BB51" s="645"/>
      <c r="BC51" s="645"/>
      <c r="BD51" s="3978"/>
      <c r="BE51" s="26"/>
      <c r="BG51" s="7474"/>
      <c r="BH51" s="2721"/>
      <c r="BI51" s="2721"/>
      <c r="BJ51" s="7473"/>
      <c r="BK51" s="8116" t="str">
        <f t="shared" si="7"/>
        <v/>
      </c>
      <c r="BL51" s="7474"/>
      <c r="BM51" s="645"/>
      <c r="BN51" s="645"/>
      <c r="BO51" s="3978"/>
    </row>
    <row r="52" spans="1:67" x14ac:dyDescent="0.35">
      <c r="A52" s="9168"/>
      <c r="B52" s="240"/>
      <c r="C52" s="240" t="s">
        <v>538</v>
      </c>
      <c r="D52" s="197"/>
      <c r="F52" s="155"/>
      <c r="H52" s="117"/>
      <c r="I52" s="115"/>
      <c r="J52" s="64">
        <f t="shared" si="15"/>
        <v>0</v>
      </c>
      <c r="L52" s="117"/>
      <c r="M52" s="157">
        <f t="shared" si="16"/>
        <v>0</v>
      </c>
      <c r="O52" s="1172"/>
      <c r="P52" s="1174"/>
      <c r="Q52" s="1175"/>
      <c r="R52" s="1175"/>
      <c r="S52" s="64"/>
      <c r="U52" s="1176"/>
      <c r="V52" s="1175"/>
      <c r="W52" s="1175"/>
      <c r="X52" s="3979"/>
      <c r="Z52" s="1172"/>
      <c r="AA52" s="1175"/>
      <c r="AB52" s="1174"/>
      <c r="AC52" s="1175"/>
      <c r="AD52" s="64"/>
      <c r="AF52" s="1176"/>
      <c r="AG52" s="1175"/>
      <c r="AH52" s="1175"/>
      <c r="AI52" s="3979"/>
      <c r="AK52" s="1172"/>
      <c r="AL52" s="1175"/>
      <c r="AM52" s="1174"/>
      <c r="AN52" s="1175"/>
      <c r="AO52" s="64" t="str">
        <f t="shared" si="13"/>
        <v/>
      </c>
      <c r="AQ52" s="1176"/>
      <c r="AR52" s="1175"/>
      <c r="AS52" s="1175"/>
      <c r="AT52" s="3979"/>
      <c r="AV52" s="7474"/>
      <c r="AW52" s="7475"/>
      <c r="AX52" s="7475"/>
      <c r="AY52" s="7476"/>
      <c r="AZ52" s="6444"/>
      <c r="BA52" s="7474"/>
      <c r="BB52" s="1175"/>
      <c r="BC52" s="1175"/>
      <c r="BD52" s="3979"/>
      <c r="BE52" s="26"/>
      <c r="BG52" s="7474"/>
      <c r="BH52" s="7475"/>
      <c r="BI52" s="7475"/>
      <c r="BJ52" s="7476"/>
      <c r="BK52" s="8116" t="str">
        <f t="shared" si="7"/>
        <v/>
      </c>
      <c r="BL52" s="7474"/>
      <c r="BM52" s="1175"/>
      <c r="BN52" s="1175"/>
      <c r="BO52" s="3979"/>
    </row>
    <row r="53" spans="1:67" x14ac:dyDescent="0.35">
      <c r="A53" s="9168"/>
      <c r="B53" s="241"/>
      <c r="C53" s="241" t="s">
        <v>539</v>
      </c>
      <c r="D53" s="209"/>
      <c r="F53" s="130"/>
      <c r="H53" s="131"/>
      <c r="I53" s="132"/>
      <c r="J53" s="133">
        <f t="shared" si="15"/>
        <v>0</v>
      </c>
      <c r="L53" s="242"/>
      <c r="M53" s="157">
        <f t="shared" si="16"/>
        <v>0</v>
      </c>
      <c r="O53" s="602"/>
      <c r="P53" s="603"/>
      <c r="Q53" s="1178"/>
      <c r="R53" s="1178"/>
      <c r="S53" s="133"/>
      <c r="U53" s="1179"/>
      <c r="V53" s="1178"/>
      <c r="W53" s="1178"/>
      <c r="X53" s="3980"/>
      <c r="Z53" s="602"/>
      <c r="AA53" s="1178"/>
      <c r="AB53" s="603"/>
      <c r="AC53" s="1178"/>
      <c r="AD53" s="133"/>
      <c r="AF53" s="1179"/>
      <c r="AG53" s="1178"/>
      <c r="AH53" s="1178"/>
      <c r="AI53" s="3980"/>
      <c r="AK53" s="602"/>
      <c r="AL53" s="1178"/>
      <c r="AM53" s="603"/>
      <c r="AN53" s="1178"/>
      <c r="AO53" s="64" t="str">
        <f t="shared" si="13"/>
        <v/>
      </c>
      <c r="AQ53" s="1179"/>
      <c r="AR53" s="1178"/>
      <c r="AS53" s="1178"/>
      <c r="AT53" s="3980"/>
      <c r="AV53" s="7477"/>
      <c r="AW53" s="7478"/>
      <c r="AX53" s="7478"/>
      <c r="AY53" s="7479"/>
      <c r="AZ53" s="6444"/>
      <c r="BA53" s="7477"/>
      <c r="BB53" s="1178"/>
      <c r="BC53" s="1178"/>
      <c r="BD53" s="3980"/>
      <c r="BE53" s="26"/>
      <c r="BG53" s="7477"/>
      <c r="BH53" s="7478"/>
      <c r="BI53" s="7478"/>
      <c r="BJ53" s="7479"/>
      <c r="BK53" s="8116" t="str">
        <f t="shared" si="7"/>
        <v/>
      </c>
      <c r="BL53" s="7477"/>
      <c r="BM53" s="1178"/>
      <c r="BN53" s="1178"/>
      <c r="BO53" s="3980"/>
    </row>
    <row r="54" spans="1:67" x14ac:dyDescent="0.35">
      <c r="A54" s="9168"/>
      <c r="B54" s="271" t="s">
        <v>540</v>
      </c>
      <c r="C54" s="271"/>
      <c r="D54" s="184"/>
      <c r="E54" s="141"/>
      <c r="F54" s="227"/>
      <c r="G54" s="141"/>
      <c r="H54" s="245"/>
      <c r="I54" s="106"/>
      <c r="J54" s="267"/>
      <c r="K54" s="141"/>
      <c r="L54" s="102"/>
      <c r="M54" s="268"/>
      <c r="N54" s="141"/>
      <c r="O54" s="245"/>
      <c r="P54" s="106"/>
      <c r="Q54" s="106"/>
      <c r="R54" s="106"/>
      <c r="S54" s="267"/>
      <c r="T54" s="141"/>
      <c r="U54" s="102"/>
      <c r="V54" s="106"/>
      <c r="W54" s="106"/>
      <c r="X54" s="66"/>
      <c r="Y54" s="141"/>
      <c r="Z54" s="245"/>
      <c r="AA54" s="106"/>
      <c r="AB54" s="106"/>
      <c r="AC54" s="106"/>
      <c r="AD54" s="267"/>
      <c r="AE54" s="141"/>
      <c r="AF54" s="102"/>
      <c r="AG54" s="106"/>
      <c r="AH54" s="106"/>
      <c r="AI54" s="66"/>
      <c r="AJ54" s="141"/>
      <c r="AK54" s="245"/>
      <c r="AL54" s="106"/>
      <c r="AM54" s="106"/>
      <c r="AN54" s="106"/>
      <c r="AO54" s="64" t="str">
        <f t="shared" si="13"/>
        <v/>
      </c>
      <c r="AP54" s="141"/>
      <c r="AQ54" s="102"/>
      <c r="AR54" s="106"/>
      <c r="AS54" s="106"/>
      <c r="AT54" s="66"/>
      <c r="AU54" s="141"/>
      <c r="AV54" s="5696"/>
      <c r="AW54" s="2819"/>
      <c r="AX54" s="2819"/>
      <c r="AY54" s="3353"/>
      <c r="AZ54" s="6444"/>
      <c r="BA54" s="5696"/>
      <c r="BB54" s="106"/>
      <c r="BC54" s="106"/>
      <c r="BD54" s="66"/>
      <c r="BE54" s="18"/>
      <c r="BG54" s="5696"/>
      <c r="BH54" s="2819"/>
      <c r="BI54" s="2819"/>
      <c r="BJ54" s="3353"/>
      <c r="BK54" s="8116" t="str">
        <f t="shared" si="7"/>
        <v/>
      </c>
      <c r="BL54" s="5696"/>
      <c r="BM54" s="106" t="s">
        <v>5521</v>
      </c>
      <c r="BN54" s="106"/>
      <c r="BO54" s="66"/>
    </row>
    <row r="55" spans="1:67" x14ac:dyDescent="0.35">
      <c r="A55" s="9168"/>
      <c r="B55" s="240"/>
      <c r="C55" s="240" t="s">
        <v>532</v>
      </c>
      <c r="D55" s="197">
        <v>4</v>
      </c>
      <c r="F55" s="111"/>
      <c r="H55" s="112">
        <f>H35+H36</f>
        <v>392437</v>
      </c>
      <c r="I55" s="113">
        <f>I35+I36</f>
        <v>389511.96623299998</v>
      </c>
      <c r="J55" s="64">
        <f>IF(H55=0,0,I55/H55)</f>
        <v>0.99254648831022552</v>
      </c>
      <c r="L55" s="112">
        <f t="shared" ref="L55:M55" si="19">L35+L36</f>
        <v>399457.39177220949</v>
      </c>
      <c r="M55" s="157">
        <f t="shared" si="19"/>
        <v>396480.03143306851</v>
      </c>
      <c r="O55" s="112">
        <f t="shared" ref="O55:P55" si="20">O35+O36</f>
        <v>493687</v>
      </c>
      <c r="P55" s="233">
        <f t="shared" si="20"/>
        <v>426488</v>
      </c>
      <c r="Q55" s="3981"/>
      <c r="R55" s="3981"/>
      <c r="S55" s="3982">
        <f>P55/O55</f>
        <v>0.86388339170365025</v>
      </c>
      <c r="U55" s="112">
        <f>U35+U36</f>
        <v>422408</v>
      </c>
      <c r="V55" s="106"/>
      <c r="W55" s="106"/>
      <c r="X55" s="66">
        <f>X35+X36</f>
        <v>445049</v>
      </c>
      <c r="Z55" s="112">
        <f>Z35+Z36</f>
        <v>422408</v>
      </c>
      <c r="AA55" s="3981"/>
      <c r="AB55" s="233">
        <f>AB35+AB36</f>
        <v>445049</v>
      </c>
      <c r="AC55" s="3981"/>
      <c r="AD55" s="3982">
        <f>AB55/Z55</f>
        <v>1.0535998371242969</v>
      </c>
      <c r="AF55" s="112">
        <v>462824</v>
      </c>
      <c r="AG55" s="106" t="s">
        <v>5522</v>
      </c>
      <c r="AH55" s="106"/>
      <c r="AI55" s="1034">
        <f>325728*12/11</f>
        <v>355339.63636363635</v>
      </c>
      <c r="AK55" s="112">
        <v>462824</v>
      </c>
      <c r="AL55" s="106" t="s">
        <v>5522</v>
      </c>
      <c r="AM55" s="1034">
        <f>325728*12/11</f>
        <v>355339.63636363635</v>
      </c>
      <c r="AN55" s="3981"/>
      <c r="AO55" s="64">
        <f t="shared" si="13"/>
        <v>0.76776406660768748</v>
      </c>
      <c r="AQ55" s="112">
        <f>AQ35</f>
        <v>573521</v>
      </c>
      <c r="AR55" s="57" t="s">
        <v>5457</v>
      </c>
      <c r="AS55" s="106"/>
      <c r="AT55" s="1034">
        <f>AT35</f>
        <v>435494</v>
      </c>
      <c r="AV55" s="5698">
        <f>AV35</f>
        <v>573521</v>
      </c>
      <c r="AW55" s="6841" t="s">
        <v>5457</v>
      </c>
      <c r="AX55" s="2819"/>
      <c r="AY55" s="7480">
        <f>AY35</f>
        <v>435494</v>
      </c>
      <c r="AZ55" s="7481">
        <f>IFERROR(AY55/AV55, "")</f>
        <v>0.75933400869366596</v>
      </c>
      <c r="BA55" s="5698">
        <v>631613</v>
      </c>
      <c r="BB55" s="253" t="s">
        <v>5523</v>
      </c>
      <c r="BC55" s="106"/>
      <c r="BD55" s="1034">
        <f>BA55*AZ55</f>
        <v>479605.23123303242</v>
      </c>
      <c r="BE55" s="26"/>
      <c r="BG55" s="5698">
        <v>631613</v>
      </c>
      <c r="BH55" s="6841" t="s">
        <v>5457</v>
      </c>
      <c r="BI55" s="2819"/>
      <c r="BJ55" s="7480">
        <f>BJ35</f>
        <v>601109</v>
      </c>
      <c r="BK55" s="8116">
        <f t="shared" si="7"/>
        <v>0.95170460392677159</v>
      </c>
      <c r="BL55" s="5698">
        <v>665710</v>
      </c>
      <c r="BM55" t="s">
        <v>5524</v>
      </c>
      <c r="BN55" s="106"/>
      <c r="BO55" s="1034">
        <v>639471</v>
      </c>
    </row>
    <row r="56" spans="1:67" x14ac:dyDescent="0.35">
      <c r="A56" s="9168"/>
      <c r="B56" s="240"/>
      <c r="C56" s="240" t="s">
        <v>533</v>
      </c>
      <c r="D56" s="197"/>
      <c r="F56" s="155"/>
      <c r="H56" s="117"/>
      <c r="I56" s="115"/>
      <c r="J56" s="64">
        <f>IF(H56=0,0,I56/H56)</f>
        <v>0</v>
      </c>
      <c r="L56" s="117"/>
      <c r="M56" s="157">
        <f>L56*J56</f>
        <v>0</v>
      </c>
      <c r="O56" s="112"/>
      <c r="P56" s="201"/>
      <c r="Q56" s="106"/>
      <c r="R56" s="106"/>
      <c r="S56" s="64"/>
      <c r="U56" s="117"/>
      <c r="V56" s="106"/>
      <c r="W56" s="106"/>
      <c r="X56" s="66"/>
      <c r="Z56" s="112"/>
      <c r="AA56" s="106"/>
      <c r="AB56" s="201"/>
      <c r="AC56" s="106"/>
      <c r="AD56" s="64"/>
      <c r="AF56" s="117"/>
      <c r="AG56" s="106"/>
      <c r="AH56" s="106"/>
      <c r="AI56" s="273"/>
      <c r="AK56" s="112"/>
      <c r="AL56" s="106"/>
      <c r="AM56" s="201"/>
      <c r="AN56" s="106"/>
      <c r="AO56" s="64" t="str">
        <f t="shared" si="13"/>
        <v/>
      </c>
      <c r="AQ56" s="117"/>
      <c r="AR56" s="106"/>
      <c r="AS56" s="106"/>
      <c r="AT56" s="273"/>
      <c r="AV56" s="7381">
        <v>4000</v>
      </c>
      <c r="AW56" s="6841"/>
      <c r="AX56" s="6841"/>
      <c r="AY56" s="7471">
        <v>3228</v>
      </c>
      <c r="AZ56" s="7481">
        <f t="shared" ref="AZ56:AZ101" si="21">IFERROR(AY56/AV56, "")</f>
        <v>0.80700000000000005</v>
      </c>
      <c r="BA56" s="5832">
        <v>2458</v>
      </c>
      <c r="BB56" s="106" t="s">
        <v>5525</v>
      </c>
      <c r="BC56" s="106"/>
      <c r="BD56" s="273"/>
      <c r="BE56" s="26"/>
      <c r="BG56" s="5832">
        <v>2458</v>
      </c>
      <c r="BH56" s="6841"/>
      <c r="BI56" s="6841"/>
      <c r="BJ56" s="7480">
        <v>8909</v>
      </c>
      <c r="BK56" s="8116">
        <f t="shared" si="7"/>
        <v>3.6244914564686739</v>
      </c>
      <c r="BL56" s="5832">
        <v>9630</v>
      </c>
      <c r="BM56" t="s">
        <v>2544</v>
      </c>
      <c r="BN56" s="106"/>
      <c r="BO56" s="273">
        <v>10523</v>
      </c>
    </row>
    <row r="57" spans="1:67" x14ac:dyDescent="0.35">
      <c r="A57" s="9168"/>
      <c r="B57" s="240"/>
      <c r="C57" s="240" t="s">
        <v>534</v>
      </c>
      <c r="D57" s="197"/>
      <c r="F57" s="163"/>
      <c r="H57" s="242"/>
      <c r="I57" s="243"/>
      <c r="J57" s="64">
        <f>IF(H57=0,0,I57/H57)</f>
        <v>0</v>
      </c>
      <c r="L57" s="242"/>
      <c r="M57" s="157">
        <f>L57*J57</f>
        <v>0</v>
      </c>
      <c r="O57" s="112"/>
      <c r="P57" s="233"/>
      <c r="Q57" s="106"/>
      <c r="R57" s="106"/>
      <c r="S57" s="64"/>
      <c r="U57" s="242"/>
      <c r="V57" s="106"/>
      <c r="W57" s="106"/>
      <c r="X57" s="66"/>
      <c r="Z57" s="112"/>
      <c r="AA57" s="106"/>
      <c r="AB57" s="233"/>
      <c r="AC57" s="106"/>
      <c r="AD57" s="64"/>
      <c r="AF57" s="242"/>
      <c r="AG57" s="106"/>
      <c r="AH57" s="106"/>
      <c r="AI57" s="273"/>
      <c r="AK57" s="112"/>
      <c r="AL57" s="106"/>
      <c r="AM57" s="233"/>
      <c r="AN57" s="106"/>
      <c r="AO57" s="64" t="str">
        <f t="shared" si="13"/>
        <v/>
      </c>
      <c r="AQ57" s="242"/>
      <c r="AR57" s="106"/>
      <c r="AS57" s="106"/>
      <c r="AT57" s="273"/>
      <c r="AV57" s="242"/>
      <c r="AW57" s="106"/>
      <c r="AX57" s="106"/>
      <c r="AY57" s="273"/>
      <c r="AZ57" s="7481" t="str">
        <f t="shared" si="21"/>
        <v/>
      </c>
      <c r="BA57" s="242">
        <v>1839</v>
      </c>
      <c r="BB57" s="106" t="s">
        <v>5526</v>
      </c>
      <c r="BC57" s="106"/>
      <c r="BD57" s="273"/>
      <c r="BE57" s="26"/>
      <c r="BG57" s="242">
        <v>1839</v>
      </c>
      <c r="BH57" s="106"/>
      <c r="BI57" s="106"/>
      <c r="BJ57" s="273">
        <v>111627</v>
      </c>
      <c r="BK57" s="8116">
        <f t="shared" si="7"/>
        <v>60.69983686786297</v>
      </c>
      <c r="BL57" s="242">
        <v>229769</v>
      </c>
      <c r="BM57" t="s">
        <v>5527</v>
      </c>
      <c r="BN57" s="57"/>
      <c r="BO57" s="273">
        <v>234926</v>
      </c>
    </row>
    <row r="58" spans="1:67" x14ac:dyDescent="0.35">
      <c r="A58" s="9168"/>
      <c r="B58" s="240"/>
      <c r="C58" s="240" t="s">
        <v>536</v>
      </c>
      <c r="D58" s="197"/>
      <c r="F58" s="163"/>
      <c r="H58" s="242"/>
      <c r="I58" s="243"/>
      <c r="J58" s="64">
        <f>IF(H58=0,0,I58/H58)</f>
        <v>0</v>
      </c>
      <c r="L58" s="242"/>
      <c r="M58" s="157">
        <f>L58*J58</f>
        <v>0</v>
      </c>
      <c r="O58" s="112"/>
      <c r="P58" s="201"/>
      <c r="Q58" s="57"/>
      <c r="R58" s="57"/>
      <c r="S58" s="64"/>
      <c r="U58" s="242"/>
      <c r="V58" s="57"/>
      <c r="W58" s="57"/>
      <c r="X58" s="66"/>
      <c r="Z58" s="112"/>
      <c r="AA58" s="57"/>
      <c r="AB58" s="201"/>
      <c r="AC58" s="57"/>
      <c r="AD58" s="64"/>
      <c r="AF58" s="242"/>
      <c r="AG58" s="57"/>
      <c r="AH58" s="57"/>
      <c r="AI58" s="273"/>
      <c r="AK58" s="112"/>
      <c r="AL58" s="57"/>
      <c r="AM58" s="201"/>
      <c r="AN58" s="57"/>
      <c r="AO58" s="64" t="str">
        <f t="shared" si="13"/>
        <v/>
      </c>
      <c r="AQ58" s="242"/>
      <c r="AR58" s="57"/>
      <c r="AS58" s="57"/>
      <c r="AT58" s="273"/>
      <c r="AV58" s="242"/>
      <c r="AW58" s="57"/>
      <c r="AX58" s="57"/>
      <c r="AY58" s="273"/>
      <c r="AZ58" s="7481" t="str">
        <f t="shared" si="21"/>
        <v/>
      </c>
      <c r="BA58" s="242"/>
      <c r="BB58" s="57"/>
      <c r="BC58" s="57"/>
      <c r="BD58" s="273"/>
      <c r="BE58" s="26"/>
      <c r="BG58" s="242"/>
      <c r="BH58" s="57"/>
      <c r="BI58" s="57"/>
      <c r="BJ58" s="273"/>
      <c r="BK58" s="8116" t="str">
        <f t="shared" si="7"/>
        <v/>
      </c>
      <c r="BL58" s="242"/>
      <c r="BN58" s="57"/>
      <c r="BO58" s="273"/>
    </row>
    <row r="59" spans="1:67" x14ac:dyDescent="0.35">
      <c r="A59" s="9168"/>
      <c r="B59" s="240"/>
      <c r="C59" s="240" t="s">
        <v>537</v>
      </c>
      <c r="D59" s="197"/>
      <c r="F59" s="163"/>
      <c r="H59" s="242"/>
      <c r="I59" s="243"/>
      <c r="J59" s="64">
        <f>IF(H59=0,0,I59/H59)</f>
        <v>0</v>
      </c>
      <c r="L59" s="242"/>
      <c r="M59" s="157">
        <f>L59*J59</f>
        <v>0</v>
      </c>
      <c r="O59" s="112"/>
      <c r="P59" s="233"/>
      <c r="Q59" s="57"/>
      <c r="R59" s="57"/>
      <c r="S59" s="64"/>
      <c r="U59" s="242"/>
      <c r="V59" s="57"/>
      <c r="W59" s="57"/>
      <c r="X59" s="66"/>
      <c r="Z59" s="112"/>
      <c r="AA59" s="57"/>
      <c r="AB59" s="233"/>
      <c r="AC59" s="57"/>
      <c r="AD59" s="64"/>
      <c r="AF59" s="242"/>
      <c r="AG59" s="57"/>
      <c r="AH59" s="57"/>
      <c r="AI59" s="273"/>
      <c r="AK59" s="112"/>
      <c r="AL59" s="57"/>
      <c r="AM59" s="233"/>
      <c r="AN59" s="57"/>
      <c r="AO59" s="64" t="str">
        <f t="shared" si="13"/>
        <v/>
      </c>
      <c r="AQ59" s="242"/>
      <c r="AR59" s="57"/>
      <c r="AS59" s="57"/>
      <c r="AT59" s="273"/>
      <c r="AV59" s="242"/>
      <c r="AW59" s="57"/>
      <c r="AX59" s="57"/>
      <c r="AY59" s="273"/>
      <c r="AZ59" s="7481" t="str">
        <f t="shared" si="21"/>
        <v/>
      </c>
      <c r="BA59" s="242"/>
      <c r="BB59" s="57"/>
      <c r="BC59" s="57"/>
      <c r="BD59" s="273"/>
      <c r="BE59" s="26"/>
      <c r="BG59" s="242"/>
      <c r="BH59" s="57"/>
      <c r="BI59" s="57"/>
      <c r="BJ59" s="273"/>
      <c r="BK59" s="8116" t="str">
        <f t="shared" si="7"/>
        <v/>
      </c>
      <c r="BL59" s="242"/>
      <c r="BM59" s="57"/>
      <c r="BN59" s="57"/>
      <c r="BO59" s="273"/>
    </row>
    <row r="60" spans="1:67" x14ac:dyDescent="0.35">
      <c r="A60" s="9168"/>
      <c r="B60" s="240"/>
      <c r="C60" s="240" t="s">
        <v>538</v>
      </c>
      <c r="D60" s="197"/>
      <c r="F60" s="163"/>
      <c r="H60" s="242"/>
      <c r="I60" s="243"/>
      <c r="J60" s="64"/>
      <c r="L60" s="242"/>
      <c r="M60" s="157"/>
      <c r="O60" s="242"/>
      <c r="P60" s="201"/>
      <c r="Q60" s="106"/>
      <c r="R60" s="106"/>
      <c r="S60" s="64"/>
      <c r="U60" s="242"/>
      <c r="V60" s="106"/>
      <c r="W60" s="106"/>
      <c r="X60" s="66"/>
      <c r="Z60" s="242"/>
      <c r="AA60" s="106"/>
      <c r="AB60" s="201"/>
      <c r="AC60" s="106"/>
      <c r="AD60" s="64"/>
      <c r="AF60" s="242"/>
      <c r="AG60" s="106"/>
      <c r="AH60" s="106"/>
      <c r="AI60" s="273"/>
      <c r="AK60" s="242"/>
      <c r="AL60" s="106"/>
      <c r="AM60" s="201"/>
      <c r="AN60" s="106"/>
      <c r="AO60" s="64" t="str">
        <f t="shared" si="13"/>
        <v/>
      </c>
      <c r="AQ60" s="242"/>
      <c r="AR60" s="106"/>
      <c r="AS60" s="106"/>
      <c r="AT60" s="273"/>
      <c r="AV60" s="242"/>
      <c r="AW60" s="106"/>
      <c r="AX60" s="106"/>
      <c r="AY60" s="273"/>
      <c r="AZ60" s="7481" t="str">
        <f t="shared" si="21"/>
        <v/>
      </c>
      <c r="BA60" s="242"/>
      <c r="BB60" s="106"/>
      <c r="BC60" s="106"/>
      <c r="BD60" s="273"/>
      <c r="BE60" s="26"/>
      <c r="BG60" s="242"/>
      <c r="BH60" s="106"/>
      <c r="BI60" s="106"/>
      <c r="BJ60" s="273"/>
      <c r="BK60" s="8116" t="str">
        <f t="shared" si="7"/>
        <v/>
      </c>
      <c r="BL60" s="242"/>
      <c r="BM60" s="106"/>
      <c r="BN60" s="106"/>
      <c r="BO60" s="273"/>
    </row>
    <row r="61" spans="1:67" x14ac:dyDescent="0.35">
      <c r="A61" s="9168"/>
      <c r="B61" s="240"/>
      <c r="C61" s="240" t="s">
        <v>539</v>
      </c>
      <c r="D61" s="197"/>
      <c r="F61" s="163"/>
      <c r="H61" s="242"/>
      <c r="I61" s="243"/>
      <c r="J61" s="64">
        <f>IF(H61=0,0,I61/H61)</f>
        <v>0</v>
      </c>
      <c r="L61" s="242"/>
      <c r="M61" s="157">
        <f>L61*J61</f>
        <v>0</v>
      </c>
      <c r="O61" s="242"/>
      <c r="P61" s="201"/>
      <c r="Q61" s="106"/>
      <c r="R61" s="106"/>
      <c r="S61" s="64"/>
      <c r="U61" s="242"/>
      <c r="V61" s="106"/>
      <c r="W61" s="106"/>
      <c r="X61" s="66"/>
      <c r="Z61" s="242"/>
      <c r="AA61" s="106"/>
      <c r="AB61" s="201"/>
      <c r="AC61" s="106"/>
      <c r="AD61" s="64"/>
      <c r="AF61" s="242"/>
      <c r="AG61" s="106"/>
      <c r="AH61" s="106"/>
      <c r="AI61" s="273"/>
      <c r="AK61" s="242"/>
      <c r="AL61" s="106"/>
      <c r="AM61" s="201"/>
      <c r="AN61" s="106"/>
      <c r="AO61" s="64" t="str">
        <f t="shared" si="13"/>
        <v/>
      </c>
      <c r="AQ61" s="242"/>
      <c r="AR61" s="106"/>
      <c r="AS61" s="106"/>
      <c r="AT61" s="273"/>
      <c r="AV61" s="242"/>
      <c r="AW61" s="106"/>
      <c r="AX61" s="106"/>
      <c r="AY61" s="273"/>
      <c r="AZ61" s="7481" t="str">
        <f t="shared" si="21"/>
        <v/>
      </c>
      <c r="BA61" s="242"/>
      <c r="BB61" s="106"/>
      <c r="BC61" s="106"/>
      <c r="BD61" s="273"/>
      <c r="BE61" s="26"/>
      <c r="BG61" s="242"/>
      <c r="BH61" s="106"/>
      <c r="BI61" s="106"/>
      <c r="BJ61" s="273"/>
      <c r="BK61" s="8116" t="str">
        <f t="shared" si="7"/>
        <v/>
      </c>
      <c r="BL61" s="242"/>
      <c r="BM61" s="106"/>
      <c r="BN61" s="106"/>
      <c r="BO61" s="273"/>
    </row>
    <row r="62" spans="1:67" x14ac:dyDescent="0.35">
      <c r="A62" s="9168"/>
      <c r="B62" s="250"/>
      <c r="C62" s="250" t="s">
        <v>704</v>
      </c>
      <c r="D62" s="209"/>
      <c r="F62" s="130"/>
      <c r="H62" s="242"/>
      <c r="I62" s="243"/>
      <c r="J62" s="64">
        <f>IF(H62=0,0,I62/H62)</f>
        <v>0</v>
      </c>
      <c r="L62" s="242"/>
      <c r="M62" s="157">
        <f>L62*J62</f>
        <v>0</v>
      </c>
      <c r="O62" s="242"/>
      <c r="P62" s="201"/>
      <c r="Q62" s="216"/>
      <c r="R62" s="106"/>
      <c r="S62" s="64"/>
      <c r="U62" s="242"/>
      <c r="V62" s="216"/>
      <c r="W62" s="216"/>
      <c r="X62" s="92"/>
      <c r="Z62" s="242"/>
      <c r="AA62" s="216"/>
      <c r="AB62" s="201"/>
      <c r="AC62" s="106"/>
      <c r="AD62" s="64"/>
      <c r="AF62" s="242"/>
      <c r="AG62" s="216"/>
      <c r="AH62" s="216"/>
      <c r="AI62" s="658"/>
      <c r="AK62" s="242"/>
      <c r="AL62" s="216"/>
      <c r="AM62" s="201"/>
      <c r="AN62" s="106"/>
      <c r="AO62" s="64" t="str">
        <f t="shared" si="13"/>
        <v/>
      </c>
      <c r="AQ62" s="242"/>
      <c r="AR62" s="216"/>
      <c r="AS62" s="216"/>
      <c r="AT62" s="658"/>
      <c r="AV62" s="242"/>
      <c r="AW62" s="216"/>
      <c r="AX62" s="216"/>
      <c r="AY62" s="658"/>
      <c r="AZ62" s="7481" t="str">
        <f t="shared" si="21"/>
        <v/>
      </c>
      <c r="BA62" s="242"/>
      <c r="BB62" s="216"/>
      <c r="BC62" s="216"/>
      <c r="BD62" s="658"/>
      <c r="BE62" s="24"/>
      <c r="BG62" s="242"/>
      <c r="BH62" s="216"/>
      <c r="BI62" s="216"/>
      <c r="BJ62" s="658"/>
      <c r="BK62" s="8116" t="str">
        <f t="shared" si="7"/>
        <v/>
      </c>
      <c r="BL62" s="242"/>
      <c r="BM62" s="216"/>
      <c r="BN62" s="216"/>
      <c r="BO62" s="658"/>
    </row>
    <row r="63" spans="1:67" x14ac:dyDescent="0.35">
      <c r="A63" s="9168"/>
      <c r="B63" s="271" t="s">
        <v>552</v>
      </c>
      <c r="C63" s="271"/>
      <c r="D63" s="184"/>
      <c r="E63" s="143"/>
      <c r="F63" s="227"/>
      <c r="G63" s="143"/>
      <c r="H63" s="102"/>
      <c r="I63" s="103"/>
      <c r="J63" s="228"/>
      <c r="K63" s="143"/>
      <c r="L63" s="102"/>
      <c r="M63" s="268"/>
      <c r="N63" s="143"/>
      <c r="O63" s="102"/>
      <c r="P63" s="103"/>
      <c r="Q63" s="231"/>
      <c r="R63" s="231"/>
      <c r="S63" s="228"/>
      <c r="T63" s="143"/>
      <c r="U63" s="102"/>
      <c r="V63" s="231"/>
      <c r="W63" s="231"/>
      <c r="X63" s="105"/>
      <c r="Y63" s="143"/>
      <c r="Z63" s="102"/>
      <c r="AA63" s="231"/>
      <c r="AB63" s="103"/>
      <c r="AC63" s="231"/>
      <c r="AD63" s="228"/>
      <c r="AE63" s="143"/>
      <c r="AF63" s="102"/>
      <c r="AG63" s="231" t="s">
        <v>5528</v>
      </c>
      <c r="AH63" s="231"/>
      <c r="AI63" s="105" t="s">
        <v>1481</v>
      </c>
      <c r="AJ63" s="143"/>
      <c r="AK63" s="102"/>
      <c r="AL63" s="231" t="s">
        <v>5528</v>
      </c>
      <c r="AM63" s="103" t="s">
        <v>1481</v>
      </c>
      <c r="AN63" s="231"/>
      <c r="AO63" s="64" t="str">
        <f t="shared" si="13"/>
        <v/>
      </c>
      <c r="AP63" s="143"/>
      <c r="AQ63" s="102"/>
      <c r="AR63" s="231" t="s">
        <v>5528</v>
      </c>
      <c r="AS63" s="231"/>
      <c r="AT63" s="105" t="s">
        <v>1481</v>
      </c>
      <c r="AU63" s="143"/>
      <c r="AV63" s="102"/>
      <c r="AW63" s="231" t="s">
        <v>5528</v>
      </c>
      <c r="AX63" s="231"/>
      <c r="AY63" s="105" t="s">
        <v>1481</v>
      </c>
      <c r="AZ63" s="7481" t="str">
        <f t="shared" si="21"/>
        <v/>
      </c>
      <c r="BA63" s="102"/>
      <c r="BB63" s="231"/>
      <c r="BC63" s="231"/>
      <c r="BD63" s="105" t="s">
        <v>1481</v>
      </c>
      <c r="BE63" s="18"/>
      <c r="BG63" s="102"/>
      <c r="BH63" s="231" t="s">
        <v>2733</v>
      </c>
      <c r="BI63" s="231"/>
      <c r="BJ63" s="7786" t="s">
        <v>4960</v>
      </c>
      <c r="BK63" s="8116" t="str">
        <f t="shared" si="7"/>
        <v/>
      </c>
      <c r="BL63" s="102"/>
      <c r="BM63" s="231" t="s">
        <v>5529</v>
      </c>
      <c r="BN63" s="231"/>
      <c r="BO63" s="105" t="s">
        <v>1481</v>
      </c>
    </row>
    <row r="64" spans="1:67" x14ac:dyDescent="0.35">
      <c r="A64" s="9168"/>
      <c r="B64" s="272"/>
      <c r="C64" s="272" t="s">
        <v>980</v>
      </c>
      <c r="D64" s="197">
        <v>5</v>
      </c>
      <c r="F64" s="155"/>
      <c r="H64" s="3951">
        <f>H30*H67</f>
        <v>30542.450418802069</v>
      </c>
      <c r="I64" s="3983">
        <f>I30*I67</f>
        <v>27374.777992007766</v>
      </c>
      <c r="J64" s="64">
        <f>IF(H64=0,0,I64/H64)</f>
        <v>0.89628623822388953</v>
      </c>
      <c r="L64" s="3951">
        <v>37874.400000000001</v>
      </c>
      <c r="M64" s="157">
        <f>L64*J64</f>
        <v>33946.303500986884</v>
      </c>
      <c r="O64" s="117">
        <v>37874.400000000001</v>
      </c>
      <c r="P64" s="1189">
        <f>P30*P67</f>
        <v>39520.87138825548</v>
      </c>
      <c r="Q64" t="s">
        <v>5530</v>
      </c>
      <c r="R64" t="s">
        <v>3343</v>
      </c>
      <c r="S64" s="64"/>
      <c r="U64" s="595">
        <v>39266</v>
      </c>
      <c r="V64" t="s">
        <v>5531</v>
      </c>
      <c r="W64" t="s">
        <v>3343</v>
      </c>
      <c r="X64" s="3938">
        <f>X30*X67</f>
        <v>42098.901601681166</v>
      </c>
      <c r="Z64" s="117">
        <v>39266</v>
      </c>
      <c r="AA64" t="s">
        <v>5531</v>
      </c>
      <c r="AB64" s="1189">
        <f>AB30*AB67</f>
        <v>42098.901601681166</v>
      </c>
      <c r="AC64" t="s">
        <v>3343</v>
      </c>
      <c r="AD64" s="64"/>
      <c r="AF64" s="595">
        <v>41471.5</v>
      </c>
      <c r="AG64" t="s">
        <v>5532</v>
      </c>
      <c r="AH64" s="1" t="s">
        <v>3343</v>
      </c>
      <c r="AI64" s="3938">
        <f>AF64</f>
        <v>41471.5</v>
      </c>
      <c r="AK64" s="595">
        <v>41471.5</v>
      </c>
      <c r="AL64" t="s">
        <v>5532</v>
      </c>
      <c r="AM64" s="3984">
        <f>AI64</f>
        <v>41471.5</v>
      </c>
      <c r="AN64" t="s">
        <v>3343</v>
      </c>
      <c r="AO64" s="64">
        <f t="shared" si="13"/>
        <v>1</v>
      </c>
      <c r="AQ64" s="595">
        <v>62200.2</v>
      </c>
      <c r="AR64" t="s">
        <v>5533</v>
      </c>
      <c r="AS64" t="s">
        <v>3343</v>
      </c>
      <c r="AT64" s="3938">
        <f>AQ64</f>
        <v>62200.2</v>
      </c>
      <c r="AV64" s="595">
        <v>62200.2</v>
      </c>
      <c r="AW64" t="s">
        <v>5534</v>
      </c>
      <c r="AX64" s="1" t="s">
        <v>1860</v>
      </c>
      <c r="AY64" s="3938">
        <f>AV64</f>
        <v>62200.2</v>
      </c>
      <c r="AZ64" s="7481">
        <f t="shared" si="21"/>
        <v>1</v>
      </c>
      <c r="BA64" s="595">
        <v>86763</v>
      </c>
      <c r="BB64" s="253" t="s">
        <v>5535</v>
      </c>
      <c r="BC64" t="s">
        <v>3343</v>
      </c>
      <c r="BD64" s="3938">
        <f>BA64</f>
        <v>86763</v>
      </c>
      <c r="BE64" s="26" t="s">
        <v>5536</v>
      </c>
      <c r="BG64" s="595">
        <v>10671</v>
      </c>
      <c r="BH64" t="s">
        <v>5537</v>
      </c>
      <c r="BI64" s="1" t="s">
        <v>1860</v>
      </c>
      <c r="BJ64" s="3938">
        <f>BG64</f>
        <v>10671</v>
      </c>
      <c r="BK64" s="8116">
        <f t="shared" si="7"/>
        <v>1</v>
      </c>
      <c r="BL64" s="595">
        <f>9406.9</f>
        <v>9406.9</v>
      </c>
      <c r="BM64" t="s">
        <v>5538</v>
      </c>
      <c r="BN64" t="s">
        <v>3343</v>
      </c>
      <c r="BO64" s="3938">
        <f>BL64</f>
        <v>9406.9</v>
      </c>
    </row>
    <row r="65" spans="1:67" x14ac:dyDescent="0.35">
      <c r="A65" s="9168"/>
      <c r="B65" s="274"/>
      <c r="C65" s="274"/>
      <c r="D65" s="197"/>
      <c r="F65" s="163"/>
      <c r="H65" s="3327"/>
      <c r="I65" s="3985"/>
      <c r="J65" s="64"/>
      <c r="L65" s="3327"/>
      <c r="M65" s="157"/>
      <c r="O65" s="117"/>
      <c r="P65" s="201"/>
      <c r="Q65"/>
      <c r="R65"/>
      <c r="S65" s="64"/>
      <c r="U65" s="595"/>
      <c r="X65" s="608"/>
      <c r="Z65" s="117"/>
      <c r="AA65"/>
      <c r="AB65" s="201"/>
      <c r="AC65"/>
      <c r="AD65" s="64"/>
      <c r="AF65" s="595"/>
      <c r="AI65" s="608"/>
      <c r="AK65" s="117"/>
      <c r="AL65"/>
      <c r="AM65" s="201"/>
      <c r="AN65"/>
      <c r="AO65" s="64" t="str">
        <f t="shared" si="13"/>
        <v/>
      </c>
      <c r="AQ65" s="595"/>
      <c r="AT65" s="608"/>
      <c r="AV65" s="595"/>
      <c r="AY65" s="608"/>
      <c r="AZ65" s="7481" t="str">
        <f t="shared" si="21"/>
        <v/>
      </c>
      <c r="BA65" s="595"/>
      <c r="BD65" s="608"/>
      <c r="BE65" s="26"/>
      <c r="BG65" s="595">
        <v>73896.100000000006</v>
      </c>
      <c r="BH65" t="s">
        <v>5539</v>
      </c>
      <c r="BI65" s="1" t="s">
        <v>5540</v>
      </c>
      <c r="BJ65" s="3938"/>
      <c r="BK65" s="8116">
        <f t="shared" si="7"/>
        <v>0</v>
      </c>
      <c r="BL65" s="595">
        <v>1560.1</v>
      </c>
      <c r="BM65" t="s">
        <v>5541</v>
      </c>
      <c r="BO65" s="3938">
        <f>BL65</f>
        <v>1560.1</v>
      </c>
    </row>
    <row r="66" spans="1:67" x14ac:dyDescent="0.35">
      <c r="A66" s="9168"/>
      <c r="B66" s="274"/>
      <c r="C66" s="274"/>
      <c r="D66" s="197"/>
      <c r="F66" s="163"/>
      <c r="H66" s="3327"/>
      <c r="I66" s="3985"/>
      <c r="J66" s="64"/>
      <c r="L66" s="3327"/>
      <c r="M66" s="157"/>
      <c r="O66" s="117"/>
      <c r="P66" s="201"/>
      <c r="Q66"/>
      <c r="R66"/>
      <c r="S66" s="64"/>
      <c r="U66" s="595"/>
      <c r="X66" s="608"/>
      <c r="Z66" s="117"/>
      <c r="AA66"/>
      <c r="AB66" s="201"/>
      <c r="AC66"/>
      <c r="AD66" s="64"/>
      <c r="AF66" s="595"/>
      <c r="AI66" s="608"/>
      <c r="AK66" s="117"/>
      <c r="AL66"/>
      <c r="AM66" s="201"/>
      <c r="AN66"/>
      <c r="AO66" s="64" t="str">
        <f t="shared" si="13"/>
        <v/>
      </c>
      <c r="AQ66" s="595"/>
      <c r="AT66" s="608"/>
      <c r="AV66" s="595"/>
      <c r="AY66" s="608"/>
      <c r="AZ66" s="7481" t="str">
        <f t="shared" si="21"/>
        <v/>
      </c>
      <c r="BA66" s="595"/>
      <c r="BD66" s="608"/>
      <c r="BE66" s="26"/>
      <c r="BG66" s="595"/>
      <c r="BJ66" s="608"/>
      <c r="BK66" s="8116" t="str">
        <f t="shared" si="7"/>
        <v/>
      </c>
      <c r="BL66" s="595"/>
      <c r="BO66" s="608"/>
    </row>
    <row r="67" spans="1:67" x14ac:dyDescent="0.35">
      <c r="A67" s="9168"/>
      <c r="B67" s="277"/>
      <c r="C67" s="277" t="s">
        <v>555</v>
      </c>
      <c r="D67" s="209"/>
      <c r="F67" s="665"/>
      <c r="G67" s="666"/>
      <c r="H67" s="3552">
        <f>L67</f>
        <v>0.42754385568825776</v>
      </c>
      <c r="I67" s="3986">
        <f>L67</f>
        <v>0.42754385568825776</v>
      </c>
      <c r="J67" s="133"/>
      <c r="L67" s="283">
        <f>L64/L30</f>
        <v>0.42754385568825776</v>
      </c>
      <c r="M67" s="3987">
        <f>L67</f>
        <v>0.42754385568825776</v>
      </c>
      <c r="O67" s="283">
        <f>O64/O30</f>
        <v>0.42754385568825776</v>
      </c>
      <c r="P67" s="1191">
        <f>O67</f>
        <v>0.42754385568825776</v>
      </c>
      <c r="Q67" s="284"/>
      <c r="R67" s="284"/>
      <c r="S67" s="133"/>
      <c r="U67" s="283">
        <f>U64/U30</f>
        <v>0.42754325410219834</v>
      </c>
      <c r="V67" s="284"/>
      <c r="W67" s="284"/>
      <c r="X67" s="3988">
        <f>U67</f>
        <v>0.42754325410219834</v>
      </c>
      <c r="Z67" s="283">
        <f>Z64/Z30</f>
        <v>0.42754325410219834</v>
      </c>
      <c r="AA67" s="284"/>
      <c r="AB67" s="1191">
        <f>X67</f>
        <v>0.42754325410219834</v>
      </c>
      <c r="AC67" s="284"/>
      <c r="AD67" s="133"/>
      <c r="AF67" s="283">
        <f>AF64/AF30</f>
        <v>0.43093540878673264</v>
      </c>
      <c r="AG67" s="284"/>
      <c r="AH67" s="284"/>
      <c r="AI67" s="3988">
        <f>AF67</f>
        <v>0.43093540878673264</v>
      </c>
      <c r="AK67" s="283">
        <f>AK64/AK30</f>
        <v>0.43093540878673264</v>
      </c>
      <c r="AL67" s="284"/>
      <c r="AM67" s="1191">
        <f>AI67</f>
        <v>0.43093540878673264</v>
      </c>
      <c r="AN67" s="284"/>
      <c r="AO67" s="64">
        <f t="shared" si="13"/>
        <v>1</v>
      </c>
      <c r="AQ67" s="283">
        <f>AQ64/AQ30</f>
        <v>1.0056295673543296</v>
      </c>
      <c r="AR67" s="284"/>
      <c r="AS67" s="284"/>
      <c r="AT67" s="3988">
        <f>AQ67</f>
        <v>1.0056295673543296</v>
      </c>
      <c r="AV67" s="283">
        <f>AV64/AV30</f>
        <v>1.0056295673543296</v>
      </c>
      <c r="AW67" s="3329"/>
      <c r="AX67" s="3329"/>
      <c r="AY67" s="3988">
        <f>AV67</f>
        <v>1.0056295673543296</v>
      </c>
      <c r="AZ67" s="7481">
        <f t="shared" si="21"/>
        <v>1</v>
      </c>
      <c r="BA67" s="283">
        <f>BA64/BA30</f>
        <v>0.88539094230258997</v>
      </c>
      <c r="BB67" s="3329"/>
      <c r="BC67" s="3329"/>
      <c r="BD67" s="3988">
        <f>BA67</f>
        <v>0.88539094230258997</v>
      </c>
      <c r="BE67" s="24"/>
      <c r="BG67" s="283">
        <f>BG64/BG30</f>
        <v>0.10889442210747596</v>
      </c>
      <c r="BH67" s="284"/>
      <c r="BI67" s="284"/>
      <c r="BJ67" s="3988">
        <f>BG67</f>
        <v>0.10889442210747596</v>
      </c>
      <c r="BK67" s="8116">
        <f t="shared" si="7"/>
        <v>1</v>
      </c>
      <c r="BL67" s="283">
        <f>BL64/BL30</f>
        <v>0.11266153274967962</v>
      </c>
      <c r="BM67" s="284"/>
      <c r="BN67" s="284"/>
      <c r="BO67" s="3988">
        <f>BL67</f>
        <v>0.11266153274967962</v>
      </c>
    </row>
    <row r="68" spans="1:67" ht="15.25" customHeight="1" x14ac:dyDescent="0.35">
      <c r="A68" s="9168"/>
      <c r="B68" s="287" t="s">
        <v>556</v>
      </c>
      <c r="C68" s="288"/>
      <c r="D68" s="184"/>
      <c r="E68" s="143"/>
      <c r="F68" s="289"/>
      <c r="G68" s="290"/>
      <c r="H68" s="291"/>
      <c r="I68" s="292"/>
      <c r="J68" s="293"/>
      <c r="L68" s="291"/>
      <c r="M68" s="268"/>
      <c r="N68" s="143"/>
      <c r="O68" s="1192"/>
      <c r="P68" s="1194"/>
      <c r="Q68" s="313"/>
      <c r="R68" s="313"/>
      <c r="S68" s="1195"/>
      <c r="U68" s="291"/>
      <c r="V68" s="106"/>
      <c r="W68" s="106"/>
      <c r="X68" s="294"/>
      <c r="Y68" s="143"/>
      <c r="Z68" s="1192"/>
      <c r="AA68" s="313"/>
      <c r="AB68" s="1194"/>
      <c r="AC68" s="313"/>
      <c r="AD68" s="1195"/>
      <c r="AF68" s="291"/>
      <c r="AG68" s="106"/>
      <c r="AH68" s="106"/>
      <c r="AI68" s="294"/>
      <c r="AJ68" s="143"/>
      <c r="AK68" s="1192"/>
      <c r="AL68" s="313"/>
      <c r="AM68" s="1194"/>
      <c r="AN68" s="313"/>
      <c r="AO68" s="64" t="str">
        <f t="shared" si="13"/>
        <v/>
      </c>
      <c r="AQ68" s="291"/>
      <c r="AR68" s="106"/>
      <c r="AS68" s="106"/>
      <c r="AT68" s="294"/>
      <c r="AU68" s="143"/>
      <c r="AV68" s="291"/>
      <c r="AW68" s="106"/>
      <c r="AX68" s="106"/>
      <c r="AY68" s="294"/>
      <c r="AZ68" s="7481" t="str">
        <f t="shared" si="21"/>
        <v/>
      </c>
      <c r="BA68" s="291"/>
      <c r="BB68" s="106"/>
      <c r="BC68" s="106"/>
      <c r="BD68" s="294"/>
      <c r="BE68" s="18"/>
      <c r="BG68" s="291"/>
      <c r="BH68" s="106"/>
      <c r="BI68" s="106"/>
      <c r="BJ68" s="294"/>
      <c r="BK68" s="8116" t="str">
        <f t="shared" si="7"/>
        <v/>
      </c>
      <c r="BL68" s="291"/>
      <c r="BM68" s="106"/>
      <c r="BN68" s="106"/>
      <c r="BO68" s="294"/>
    </row>
    <row r="69" spans="1:67" x14ac:dyDescent="0.35">
      <c r="A69" s="9168"/>
      <c r="B69" s="302"/>
      <c r="C69" s="587" t="s">
        <v>4177</v>
      </c>
      <c r="D69" s="197"/>
      <c r="F69" s="521"/>
      <c r="G69" s="272"/>
      <c r="H69" s="304"/>
      <c r="I69" s="522"/>
      <c r="J69" s="297">
        <f>IF(H69=0,0,I69/H69)</f>
        <v>0</v>
      </c>
      <c r="L69" s="304"/>
      <c r="M69" s="157">
        <f>L69*J69</f>
        <v>0</v>
      </c>
      <c r="O69" s="304">
        <f>O41</f>
        <v>9202.5</v>
      </c>
      <c r="P69" s="522">
        <f>P41</f>
        <v>9202.5</v>
      </c>
      <c r="Q69" s="57"/>
      <c r="R69" s="57"/>
      <c r="S69" s="297"/>
      <c r="U69" s="304">
        <f>U41</f>
        <v>27493</v>
      </c>
      <c r="V69" s="332"/>
      <c r="W69" s="332"/>
      <c r="X69" s="1051">
        <f>X41</f>
        <v>27493</v>
      </c>
      <c r="Z69" s="304">
        <f>Z41</f>
        <v>27493</v>
      </c>
      <c r="AA69" s="57"/>
      <c r="AB69" s="522">
        <f>AB41</f>
        <v>27493</v>
      </c>
      <c r="AC69" s="57"/>
      <c r="AD69" s="297"/>
      <c r="AF69" s="304"/>
      <c r="AG69" s="332"/>
      <c r="AH69" s="332"/>
      <c r="AI69" s="1051"/>
      <c r="AK69" s="304"/>
      <c r="AL69" s="57"/>
      <c r="AM69" s="522"/>
      <c r="AN69" s="57"/>
      <c r="AO69" s="64" t="str">
        <f t="shared" si="13"/>
        <v/>
      </c>
      <c r="AQ69" s="304"/>
      <c r="AR69" s="332"/>
      <c r="AS69" s="332"/>
      <c r="AT69" s="1051"/>
      <c r="AV69" s="304"/>
      <c r="AW69" s="332"/>
      <c r="AX69" s="332"/>
      <c r="AY69" s="1051"/>
      <c r="AZ69" s="7481" t="str">
        <f t="shared" si="21"/>
        <v/>
      </c>
      <c r="BA69" s="304"/>
      <c r="BB69" s="332"/>
      <c r="BC69" s="332"/>
      <c r="BD69" s="1051"/>
      <c r="BE69" s="26"/>
      <c r="BG69" s="304"/>
      <c r="BH69" s="332"/>
      <c r="BI69" s="332"/>
      <c r="BJ69" s="1051"/>
      <c r="BK69" s="8116" t="str">
        <f t="shared" si="7"/>
        <v/>
      </c>
      <c r="BL69" s="304"/>
      <c r="BM69" s="332"/>
      <c r="BN69" s="332"/>
      <c r="BO69" s="1051"/>
    </row>
    <row r="70" spans="1:67" x14ac:dyDescent="0.35">
      <c r="A70" s="9168"/>
      <c r="B70" s="302"/>
      <c r="C70" s="587" t="s">
        <v>4182</v>
      </c>
      <c r="D70" s="197"/>
      <c r="F70" s="61"/>
      <c r="G70" s="272"/>
      <c r="H70" s="62"/>
      <c r="I70" s="63"/>
      <c r="J70" s="297">
        <f>IF(H70=0,0,I70/H70)</f>
        <v>0</v>
      </c>
      <c r="L70" s="62"/>
      <c r="M70" s="157">
        <f>L70*J70</f>
        <v>0</v>
      </c>
      <c r="O70" s="62"/>
      <c r="P70" s="63"/>
      <c r="Q70" s="57"/>
      <c r="R70" s="57"/>
      <c r="S70" s="297"/>
      <c r="U70" s="62"/>
      <c r="V70" s="106"/>
      <c r="W70" s="106"/>
      <c r="X70" s="998"/>
      <c r="Z70" s="62"/>
      <c r="AA70" s="57"/>
      <c r="AB70" s="63"/>
      <c r="AC70" s="57"/>
      <c r="AD70" s="297"/>
      <c r="AF70" s="62"/>
      <c r="AG70" s="106"/>
      <c r="AH70" s="106"/>
      <c r="AI70" s="998"/>
      <c r="AK70" s="62"/>
      <c r="AL70" s="57"/>
      <c r="AM70" s="63"/>
      <c r="AN70" s="57"/>
      <c r="AO70" s="64" t="str">
        <f t="shared" si="13"/>
        <v/>
      </c>
      <c r="AQ70" s="62"/>
      <c r="AR70" s="106"/>
      <c r="AS70" s="106"/>
      <c r="AT70" s="998"/>
      <c r="AV70" s="62"/>
      <c r="AW70" s="106"/>
      <c r="AX70" s="106"/>
      <c r="AY70" s="998"/>
      <c r="AZ70" s="7481" t="str">
        <f t="shared" si="21"/>
        <v/>
      </c>
      <c r="BA70" s="62"/>
      <c r="BB70" s="106"/>
      <c r="BC70" s="106"/>
      <c r="BD70" s="998"/>
      <c r="BE70" s="26"/>
      <c r="BG70" s="62"/>
      <c r="BH70" s="106"/>
      <c r="BI70" s="106"/>
      <c r="BJ70" s="998"/>
      <c r="BK70" s="8116" t="str">
        <f t="shared" si="7"/>
        <v/>
      </c>
      <c r="BL70" s="62"/>
      <c r="BM70" s="106"/>
      <c r="BN70" s="106"/>
      <c r="BO70" s="998"/>
    </row>
    <row r="71" spans="1:67" x14ac:dyDescent="0.35">
      <c r="A71" s="9168"/>
      <c r="B71" s="305"/>
      <c r="C71" s="59" t="s">
        <v>534</v>
      </c>
      <c r="D71" s="197"/>
      <c r="F71" s="61"/>
      <c r="G71" s="272"/>
      <c r="H71" s="62"/>
      <c r="I71" s="63"/>
      <c r="J71" s="297">
        <f>IF(H71=0,0,I71/H71)</f>
        <v>0</v>
      </c>
      <c r="L71" s="62"/>
      <c r="M71" s="157">
        <f>L71*J71</f>
        <v>0</v>
      </c>
      <c r="O71" s="62"/>
      <c r="P71" s="63"/>
      <c r="Q71" s="57"/>
      <c r="R71" s="57"/>
      <c r="S71" s="297"/>
      <c r="U71" s="62"/>
      <c r="V71" s="106"/>
      <c r="W71" s="106"/>
      <c r="X71" s="998"/>
      <c r="Z71" s="62"/>
      <c r="AA71" s="57"/>
      <c r="AB71" s="63"/>
      <c r="AC71" s="57"/>
      <c r="AD71" s="297"/>
      <c r="AF71" s="62"/>
      <c r="AG71" s="106"/>
      <c r="AH71" s="106"/>
      <c r="AI71" s="998"/>
      <c r="AK71" s="62"/>
      <c r="AL71" s="57"/>
      <c r="AM71" s="63"/>
      <c r="AN71" s="57"/>
      <c r="AO71" s="64" t="str">
        <f t="shared" si="13"/>
        <v/>
      </c>
      <c r="AQ71" s="62"/>
      <c r="AR71" s="106"/>
      <c r="AS71" s="106"/>
      <c r="AT71" s="998"/>
      <c r="AV71" s="62"/>
      <c r="AW71" s="106"/>
      <c r="AX71" s="106"/>
      <c r="AY71" s="998"/>
      <c r="AZ71" s="7481" t="str">
        <f t="shared" si="21"/>
        <v/>
      </c>
      <c r="BA71" s="62"/>
      <c r="BB71" s="106"/>
      <c r="BC71" s="106"/>
      <c r="BD71" s="998"/>
      <c r="BE71" s="26"/>
      <c r="BG71" s="62"/>
      <c r="BH71" s="106"/>
      <c r="BI71" s="106"/>
      <c r="BJ71" s="998"/>
      <c r="BK71" s="8116" t="str">
        <f t="shared" si="7"/>
        <v/>
      </c>
      <c r="BL71" s="62"/>
      <c r="BM71" s="106"/>
      <c r="BN71" s="106"/>
      <c r="BO71" s="998"/>
    </row>
    <row r="72" spans="1:67" x14ac:dyDescent="0.35">
      <c r="A72" s="9169"/>
      <c r="B72" s="306"/>
      <c r="C72" s="86" t="s">
        <v>536</v>
      </c>
      <c r="D72" s="209"/>
      <c r="F72" s="88"/>
      <c r="G72" s="274"/>
      <c r="H72" s="89"/>
      <c r="I72" s="90"/>
      <c r="J72" s="307">
        <f>IF(H72=0,0,I72/H72)</f>
        <v>0</v>
      </c>
      <c r="L72" s="89"/>
      <c r="M72" s="213">
        <f>L72*J72</f>
        <v>0</v>
      </c>
      <c r="O72" s="89"/>
      <c r="P72" s="90"/>
      <c r="Q72" s="216"/>
      <c r="R72" s="216"/>
      <c r="S72" s="307"/>
      <c r="U72" s="89"/>
      <c r="V72" s="216"/>
      <c r="W72" s="216"/>
      <c r="X72" s="1002"/>
      <c r="Z72" s="89"/>
      <c r="AA72" s="216"/>
      <c r="AB72" s="90"/>
      <c r="AC72" s="216"/>
      <c r="AD72" s="307"/>
      <c r="AF72" s="89"/>
      <c r="AG72" s="216"/>
      <c r="AH72" s="216"/>
      <c r="AI72" s="1002"/>
      <c r="AK72" s="89"/>
      <c r="AL72" s="216"/>
      <c r="AM72" s="90"/>
      <c r="AN72" s="216"/>
      <c r="AO72" s="64" t="str">
        <f t="shared" si="13"/>
        <v/>
      </c>
      <c r="AQ72" s="89"/>
      <c r="AR72" s="216"/>
      <c r="AS72" s="216"/>
      <c r="AT72" s="1002"/>
      <c r="AV72" s="89"/>
      <c r="AW72" s="216"/>
      <c r="AX72" s="216"/>
      <c r="AY72" s="1002"/>
      <c r="AZ72" s="7481" t="str">
        <f t="shared" si="21"/>
        <v/>
      </c>
      <c r="BA72" s="89"/>
      <c r="BB72" s="216"/>
      <c r="BC72" s="216"/>
      <c r="BD72" s="1002"/>
      <c r="BE72" s="24"/>
      <c r="BG72" s="89"/>
      <c r="BH72" s="216"/>
      <c r="BI72" s="216"/>
      <c r="BJ72" s="1002"/>
      <c r="BK72" s="8116" t="str">
        <f t="shared" si="7"/>
        <v/>
      </c>
      <c r="BL72" s="89"/>
      <c r="BM72" s="216"/>
      <c r="BN72" s="216"/>
      <c r="BO72" s="1002"/>
    </row>
    <row r="73" spans="1:67" x14ac:dyDescent="0.35">
      <c r="A73" s="310"/>
      <c r="B73" s="310"/>
      <c r="F73" s="106"/>
      <c r="H73" s="106"/>
      <c r="I73" s="106"/>
      <c r="J73" s="311"/>
      <c r="L73" s="106"/>
      <c r="M73" s="312"/>
      <c r="O73" s="106"/>
      <c r="P73" s="106"/>
      <c r="Q73" s="106"/>
      <c r="R73" s="106"/>
      <c r="S73" s="311"/>
      <c r="U73" s="106"/>
      <c r="V73" s="106"/>
      <c r="W73" s="106"/>
      <c r="X73" s="312"/>
      <c r="Z73" s="106"/>
      <c r="AA73" s="106"/>
      <c r="AB73" s="106"/>
      <c r="AC73" s="106"/>
      <c r="AD73" s="311"/>
      <c r="AF73" s="106"/>
      <c r="AG73" s="106"/>
      <c r="AH73" s="106"/>
      <c r="AI73" s="312"/>
      <c r="AK73" s="106"/>
      <c r="AL73" s="106"/>
      <c r="AM73" s="106"/>
      <c r="AN73" s="106"/>
      <c r="AO73" s="64" t="str">
        <f t="shared" si="13"/>
        <v/>
      </c>
      <c r="AQ73" s="106"/>
      <c r="AR73" s="106"/>
      <c r="AS73" s="106"/>
      <c r="AT73" s="312"/>
      <c r="AV73" s="106"/>
      <c r="AW73" s="106"/>
      <c r="AX73" s="106"/>
      <c r="AY73" s="312"/>
      <c r="AZ73" s="7481" t="str">
        <f t="shared" si="21"/>
        <v/>
      </c>
      <c r="BA73" s="106"/>
      <c r="BB73" s="106"/>
      <c r="BC73" s="106"/>
      <c r="BD73" s="312"/>
      <c r="BG73" s="106"/>
      <c r="BH73" s="106"/>
      <c r="BI73" s="106"/>
      <c r="BJ73" s="312"/>
      <c r="BK73" s="8116" t="str">
        <f t="shared" si="7"/>
        <v/>
      </c>
      <c r="BL73" s="106"/>
      <c r="BM73" s="106"/>
      <c r="BN73" s="106"/>
      <c r="BO73" s="312"/>
    </row>
    <row r="74" spans="1:67" x14ac:dyDescent="0.35">
      <c r="A74" s="9226" t="s">
        <v>1114</v>
      </c>
      <c r="B74" s="317"/>
      <c r="C74" s="315"/>
      <c r="D74" s="184"/>
      <c r="F74" s="316"/>
      <c r="H74" s="317"/>
      <c r="I74" s="318"/>
      <c r="J74" s="319"/>
      <c r="L74" s="317"/>
      <c r="M74" s="318"/>
      <c r="O74" s="320"/>
      <c r="P74" s="321"/>
      <c r="Q74" s="481"/>
      <c r="R74" s="481"/>
      <c r="S74" s="293"/>
      <c r="U74" s="317"/>
      <c r="V74" s="481"/>
      <c r="W74" s="481"/>
      <c r="X74" s="323"/>
      <c r="Z74" s="320"/>
      <c r="AA74" s="481"/>
      <c r="AB74" s="321"/>
      <c r="AC74" s="481"/>
      <c r="AD74" s="293"/>
      <c r="AF74" s="317"/>
      <c r="AG74" s="481"/>
      <c r="AH74" s="481"/>
      <c r="AI74" s="323"/>
      <c r="AK74" s="320"/>
      <c r="AL74" s="481"/>
      <c r="AM74" s="321"/>
      <c r="AN74" s="481"/>
      <c r="AO74" s="64" t="str">
        <f t="shared" si="13"/>
        <v/>
      </c>
      <c r="AQ74" s="317"/>
      <c r="AR74" s="481"/>
      <c r="AS74" s="481"/>
      <c r="AT74" s="323"/>
      <c r="AV74" s="317"/>
      <c r="AW74" s="481"/>
      <c r="AX74" s="481"/>
      <c r="AY74" s="323"/>
      <c r="AZ74" s="7481" t="str">
        <f t="shared" si="21"/>
        <v/>
      </c>
      <c r="BA74" s="317"/>
      <c r="BB74" s="481"/>
      <c r="BC74" s="481"/>
      <c r="BD74" s="323"/>
      <c r="BG74" s="317"/>
      <c r="BH74" s="481"/>
      <c r="BI74" s="481"/>
      <c r="BJ74" s="323"/>
      <c r="BK74" s="8116" t="str">
        <f t="shared" si="7"/>
        <v/>
      </c>
      <c r="BL74" s="317"/>
      <c r="BM74" s="481"/>
      <c r="BN74" s="481"/>
      <c r="BO74" s="323"/>
    </row>
    <row r="75" spans="1:67" x14ac:dyDescent="0.35">
      <c r="A75" s="9227"/>
      <c r="B75" s="325"/>
      <c r="C75" s="326" t="s">
        <v>11</v>
      </c>
      <c r="D75" s="197"/>
      <c r="F75" s="327"/>
      <c r="H75" s="325"/>
      <c r="I75" s="328"/>
      <c r="J75" s="329"/>
      <c r="L75" s="325"/>
      <c r="M75" s="328"/>
      <c r="O75" s="339"/>
      <c r="P75" s="340"/>
      <c r="Q75" s="57"/>
      <c r="R75" s="57"/>
      <c r="S75" s="3989"/>
      <c r="U75" s="339"/>
      <c r="V75" s="57"/>
      <c r="W75" s="57"/>
      <c r="X75" s="1199"/>
      <c r="Z75" s="339"/>
      <c r="AA75" s="57"/>
      <c r="AB75" s="340"/>
      <c r="AC75" s="57"/>
      <c r="AD75" s="3989"/>
      <c r="AF75" s="339"/>
      <c r="AG75" s="57"/>
      <c r="AH75" s="57"/>
      <c r="AI75" s="1199"/>
      <c r="AK75" s="339"/>
      <c r="AL75" s="57"/>
      <c r="AM75" s="340"/>
      <c r="AN75" s="57"/>
      <c r="AO75" s="64" t="str">
        <f t="shared" si="13"/>
        <v/>
      </c>
      <c r="AQ75" s="339"/>
      <c r="AR75" s="57"/>
      <c r="AS75" s="57"/>
      <c r="AT75" s="1199"/>
      <c r="AV75" s="339"/>
      <c r="AW75" s="57"/>
      <c r="AX75" s="57"/>
      <c r="AY75" s="1199"/>
      <c r="AZ75" s="7481" t="str">
        <f t="shared" si="21"/>
        <v/>
      </c>
      <c r="BA75" s="339"/>
      <c r="BB75" s="57"/>
      <c r="BC75" s="57"/>
      <c r="BD75" s="1199"/>
      <c r="BG75" s="339"/>
      <c r="BH75" s="57"/>
      <c r="BI75" s="57"/>
      <c r="BJ75" s="1199"/>
      <c r="BK75" s="8116" t="str">
        <f t="shared" si="7"/>
        <v/>
      </c>
      <c r="BL75" s="339"/>
      <c r="BM75" s="57"/>
      <c r="BN75" s="57"/>
      <c r="BO75" s="1199"/>
    </row>
    <row r="76" spans="1:67" x14ac:dyDescent="0.35">
      <c r="A76" s="9227"/>
      <c r="B76" s="330"/>
      <c r="C76" s="326" t="s">
        <v>1116</v>
      </c>
      <c r="D76" s="197"/>
      <c r="F76" s="336"/>
      <c r="H76" s="330"/>
      <c r="I76" s="337"/>
      <c r="J76" s="329"/>
      <c r="L76" s="330"/>
      <c r="M76" s="337"/>
      <c r="O76" s="339"/>
      <c r="P76" s="340"/>
      <c r="Q76" s="106"/>
      <c r="R76" s="106"/>
      <c r="S76" s="297"/>
      <c r="U76" s="330"/>
      <c r="V76" s="106"/>
      <c r="W76" s="106"/>
      <c r="X76" s="1199"/>
      <c r="Z76" s="339"/>
      <c r="AA76" s="106"/>
      <c r="AB76" s="340"/>
      <c r="AC76" s="106"/>
      <c r="AD76" s="297"/>
      <c r="AF76" s="330"/>
      <c r="AG76" s="106"/>
      <c r="AH76" s="106"/>
      <c r="AI76" s="1199"/>
      <c r="AK76" s="339"/>
      <c r="AL76" s="106"/>
      <c r="AM76" s="340"/>
      <c r="AN76" s="106"/>
      <c r="AO76" s="64" t="str">
        <f t="shared" si="13"/>
        <v/>
      </c>
      <c r="AQ76" s="330"/>
      <c r="AR76" s="106"/>
      <c r="AS76" s="106"/>
      <c r="AT76" s="1199"/>
      <c r="AV76" s="330"/>
      <c r="AW76" s="106"/>
      <c r="AX76" s="106"/>
      <c r="AY76" s="1199"/>
      <c r="AZ76" s="7481" t="str">
        <f t="shared" si="21"/>
        <v/>
      </c>
      <c r="BA76" s="330"/>
      <c r="BB76" s="106"/>
      <c r="BC76" s="106"/>
      <c r="BD76" s="1199"/>
      <c r="BG76" s="330"/>
      <c r="BH76" s="106"/>
      <c r="BI76" s="106"/>
      <c r="BJ76" s="1199"/>
      <c r="BK76" s="8116" t="str">
        <f t="shared" si="7"/>
        <v/>
      </c>
      <c r="BL76" s="330"/>
      <c r="BM76" s="106"/>
      <c r="BN76" s="106"/>
      <c r="BO76" s="1199"/>
    </row>
    <row r="77" spans="1:67" x14ac:dyDescent="0.35">
      <c r="A77" s="9227"/>
      <c r="B77" s="330" t="s">
        <v>5542</v>
      </c>
      <c r="C77" s="326" t="s">
        <v>3192</v>
      </c>
      <c r="D77" s="197"/>
      <c r="F77" s="336"/>
      <c r="H77" s="330"/>
      <c r="I77" s="337"/>
      <c r="J77" s="329"/>
      <c r="L77" s="330"/>
      <c r="M77" s="337"/>
      <c r="O77" s="339"/>
      <c r="P77" s="340"/>
      <c r="Q77" s="106"/>
      <c r="R77" s="106"/>
      <c r="S77" s="297"/>
      <c r="U77" s="330"/>
      <c r="V77" s="254"/>
      <c r="W77" s="254"/>
      <c r="X77" s="333"/>
      <c r="Z77" s="339"/>
      <c r="AA77" s="106"/>
      <c r="AB77" s="340"/>
      <c r="AC77" s="106"/>
      <c r="AD77" s="297"/>
      <c r="AF77" s="330"/>
      <c r="AG77" s="254"/>
      <c r="AH77" s="254"/>
      <c r="AI77" s="333"/>
      <c r="AK77" s="339"/>
      <c r="AL77" s="106"/>
      <c r="AM77" s="340"/>
      <c r="AN77" s="106"/>
      <c r="AO77" s="64" t="str">
        <f t="shared" si="13"/>
        <v/>
      </c>
      <c r="AQ77" s="330"/>
      <c r="AR77" s="254"/>
      <c r="AS77" s="254"/>
      <c r="AT77" s="333"/>
      <c r="AV77" s="330"/>
      <c r="AW77" s="254"/>
      <c r="AX77" s="254"/>
      <c r="AY77" s="333"/>
      <c r="AZ77" s="7481" t="str">
        <f t="shared" si="21"/>
        <v/>
      </c>
      <c r="BA77" s="330"/>
      <c r="BB77" s="254"/>
      <c r="BC77" s="254"/>
      <c r="BD77" s="333"/>
      <c r="BG77" s="330"/>
      <c r="BH77" s="254"/>
      <c r="BI77" s="254"/>
      <c r="BJ77" s="333"/>
      <c r="BK77" s="8116" t="str">
        <f t="shared" si="7"/>
        <v/>
      </c>
      <c r="BL77" s="330"/>
      <c r="BM77" s="254"/>
      <c r="BN77" s="254"/>
      <c r="BO77" s="333"/>
    </row>
    <row r="78" spans="1:67" x14ac:dyDescent="0.35">
      <c r="A78" s="9227"/>
      <c r="B78" s="330"/>
      <c r="C78" s="326"/>
      <c r="D78" s="197"/>
      <c r="F78" s="336"/>
      <c r="H78" s="330"/>
      <c r="I78" s="337"/>
      <c r="J78" s="329"/>
      <c r="L78" s="330"/>
      <c r="M78" s="337"/>
      <c r="O78" s="339"/>
      <c r="P78" s="340"/>
      <c r="Q78" s="106"/>
      <c r="R78" s="106"/>
      <c r="S78" s="297"/>
      <c r="U78" s="330"/>
      <c r="V78" s="106"/>
      <c r="W78" s="106"/>
      <c r="X78" s="333"/>
      <c r="Z78" s="339"/>
      <c r="AA78" s="106"/>
      <c r="AB78" s="340"/>
      <c r="AC78" s="106"/>
      <c r="AD78" s="297"/>
      <c r="AF78" s="330"/>
      <c r="AG78" s="106"/>
      <c r="AH78" s="106"/>
      <c r="AI78" s="333"/>
      <c r="AK78" s="339"/>
      <c r="AL78" s="106"/>
      <c r="AM78" s="340"/>
      <c r="AN78" s="106"/>
      <c r="AO78" s="64" t="str">
        <f t="shared" si="13"/>
        <v/>
      </c>
      <c r="AQ78" s="330"/>
      <c r="AR78" s="106"/>
      <c r="AS78" s="106"/>
      <c r="AT78" s="333"/>
      <c r="AV78" s="330"/>
      <c r="AW78" s="106"/>
      <c r="AX78" s="106"/>
      <c r="AY78" s="333"/>
      <c r="AZ78" s="7481" t="str">
        <f t="shared" si="21"/>
        <v/>
      </c>
      <c r="BA78" s="330"/>
      <c r="BB78" s="106"/>
      <c r="BC78" s="106"/>
      <c r="BD78" s="333"/>
      <c r="BG78" s="330"/>
      <c r="BH78" s="106"/>
      <c r="BI78" s="106"/>
      <c r="BJ78" s="333"/>
      <c r="BK78" s="8116" t="str">
        <f t="shared" si="7"/>
        <v/>
      </c>
      <c r="BL78" s="330"/>
      <c r="BM78" s="106"/>
      <c r="BN78" s="106"/>
      <c r="BO78" s="333"/>
    </row>
    <row r="79" spans="1:67" x14ac:dyDescent="0.35">
      <c r="A79" s="9227"/>
      <c r="B79" s="330"/>
      <c r="C79" s="326"/>
      <c r="D79" s="197"/>
      <c r="F79" s="336"/>
      <c r="H79" s="330"/>
      <c r="I79" s="337"/>
      <c r="J79" s="329"/>
      <c r="L79" s="330"/>
      <c r="M79" s="337"/>
      <c r="O79" s="339"/>
      <c r="P79" s="340"/>
      <c r="Q79" s="106"/>
      <c r="R79" s="106"/>
      <c r="S79" s="297"/>
      <c r="U79" s="330"/>
      <c r="V79" s="106"/>
      <c r="W79" s="106"/>
      <c r="X79" s="333"/>
      <c r="Z79" s="339"/>
      <c r="AA79" s="106"/>
      <c r="AB79" s="340"/>
      <c r="AC79" s="106"/>
      <c r="AD79" s="297"/>
      <c r="AF79" s="330"/>
      <c r="AG79" s="106"/>
      <c r="AH79" s="106"/>
      <c r="AI79" s="333"/>
      <c r="AK79" s="339"/>
      <c r="AL79" s="106"/>
      <c r="AM79" s="340"/>
      <c r="AN79" s="106"/>
      <c r="AO79" s="64" t="str">
        <f t="shared" si="13"/>
        <v/>
      </c>
      <c r="AQ79" s="330"/>
      <c r="AR79" s="106"/>
      <c r="AS79" s="106"/>
      <c r="AT79" s="333"/>
      <c r="AV79" s="330"/>
      <c r="AW79" s="106"/>
      <c r="AX79" s="106"/>
      <c r="AY79" s="333"/>
      <c r="AZ79" s="7481" t="str">
        <f t="shared" si="21"/>
        <v/>
      </c>
      <c r="BA79" s="330"/>
      <c r="BB79" s="106"/>
      <c r="BC79" s="106"/>
      <c r="BD79" s="333"/>
      <c r="BG79" s="330"/>
      <c r="BH79" s="106"/>
      <c r="BI79" s="106"/>
      <c r="BJ79" s="333"/>
      <c r="BK79" s="8116" t="str">
        <f t="shared" si="7"/>
        <v/>
      </c>
      <c r="BL79" s="330"/>
      <c r="BM79" s="106"/>
      <c r="BN79" s="106"/>
      <c r="BO79" s="333"/>
    </row>
    <row r="80" spans="1:67" x14ac:dyDescent="0.35">
      <c r="A80" s="9227"/>
      <c r="B80" s="330"/>
      <c r="C80" s="326"/>
      <c r="D80" s="197"/>
      <c r="F80" s="336"/>
      <c r="H80" s="330"/>
      <c r="I80" s="337"/>
      <c r="J80" s="329"/>
      <c r="L80" s="330"/>
      <c r="M80" s="337"/>
      <c r="O80" s="339"/>
      <c r="P80" s="340"/>
      <c r="Q80" s="106"/>
      <c r="R80" s="106"/>
      <c r="S80" s="297"/>
      <c r="U80" s="330"/>
      <c r="V80" s="106"/>
      <c r="W80" s="106"/>
      <c r="X80" s="333"/>
      <c r="Z80" s="339"/>
      <c r="AA80" s="106"/>
      <c r="AB80" s="340"/>
      <c r="AC80" s="106"/>
      <c r="AD80" s="297"/>
      <c r="AF80" s="330"/>
      <c r="AG80" s="106"/>
      <c r="AH80" s="106"/>
      <c r="AI80" s="333"/>
      <c r="AK80" s="339"/>
      <c r="AL80" s="106"/>
      <c r="AM80" s="340"/>
      <c r="AN80" s="106"/>
      <c r="AO80" s="64" t="str">
        <f t="shared" si="13"/>
        <v/>
      </c>
      <c r="AQ80" s="330"/>
      <c r="AR80" s="106"/>
      <c r="AS80" s="106"/>
      <c r="AT80" s="333"/>
      <c r="AV80" s="330"/>
      <c r="AW80" s="106"/>
      <c r="AX80" s="106"/>
      <c r="AY80" s="333"/>
      <c r="AZ80" s="7481" t="str">
        <f t="shared" si="21"/>
        <v/>
      </c>
      <c r="BA80" s="330"/>
      <c r="BB80" s="106"/>
      <c r="BC80" s="106"/>
      <c r="BD80" s="333"/>
      <c r="BG80" s="330"/>
      <c r="BH80" s="106"/>
      <c r="BI80" s="106"/>
      <c r="BJ80" s="333"/>
      <c r="BK80" s="8116" t="str">
        <f t="shared" si="7"/>
        <v/>
      </c>
      <c r="BL80" s="330"/>
      <c r="BM80" s="106"/>
      <c r="BN80" s="106"/>
      <c r="BO80" s="333"/>
    </row>
    <row r="81" spans="1:67" x14ac:dyDescent="0.35">
      <c r="A81" s="9227"/>
      <c r="B81" s="330"/>
      <c r="C81" s="326"/>
      <c r="D81" s="197"/>
      <c r="F81" s="336"/>
      <c r="H81" s="330"/>
      <c r="I81" s="337"/>
      <c r="J81" s="329"/>
      <c r="L81" s="330"/>
      <c r="M81" s="337"/>
      <c r="O81" s="339"/>
      <c r="P81" s="340"/>
      <c r="Q81" s="106"/>
      <c r="R81" s="106"/>
      <c r="S81" s="297"/>
      <c r="U81" s="330"/>
      <c r="V81" s="106"/>
      <c r="W81" s="106"/>
      <c r="X81" s="333"/>
      <c r="Z81" s="339"/>
      <c r="AA81" s="106"/>
      <c r="AB81" s="340"/>
      <c r="AC81" s="106"/>
      <c r="AD81" s="297"/>
      <c r="AF81" s="330"/>
      <c r="AG81" s="106"/>
      <c r="AH81" s="106"/>
      <c r="AI81" s="333"/>
      <c r="AK81" s="339"/>
      <c r="AL81" s="106"/>
      <c r="AM81" s="340"/>
      <c r="AN81" s="106"/>
      <c r="AO81" s="64" t="str">
        <f t="shared" si="13"/>
        <v/>
      </c>
      <c r="AQ81" s="330"/>
      <c r="AR81" s="106"/>
      <c r="AS81" s="106"/>
      <c r="AT81" s="333"/>
      <c r="AV81" s="330"/>
      <c r="AW81" s="106"/>
      <c r="AX81" s="106"/>
      <c r="AY81" s="333"/>
      <c r="AZ81" s="7481" t="str">
        <f t="shared" si="21"/>
        <v/>
      </c>
      <c r="BA81" s="330"/>
      <c r="BB81" s="106"/>
      <c r="BC81" s="106"/>
      <c r="BD81" s="333"/>
      <c r="BG81" s="330"/>
      <c r="BH81" s="106"/>
      <c r="BI81" s="106"/>
      <c r="BJ81" s="333"/>
      <c r="BK81" s="8116" t="str">
        <f t="shared" si="7"/>
        <v/>
      </c>
      <c r="BL81" s="330"/>
      <c r="BM81" s="106"/>
      <c r="BN81" s="106"/>
      <c r="BO81" s="333"/>
    </row>
    <row r="82" spans="1:67" x14ac:dyDescent="0.35">
      <c r="A82" s="9227"/>
      <c r="B82" s="330"/>
      <c r="C82" s="337"/>
      <c r="D82" s="197"/>
      <c r="F82" s="336"/>
      <c r="H82" s="330"/>
      <c r="I82" s="337"/>
      <c r="J82" s="329"/>
      <c r="L82" s="330"/>
      <c r="M82" s="337"/>
      <c r="O82" s="339"/>
      <c r="P82" s="340"/>
      <c r="Q82" s="106"/>
      <c r="R82" s="106"/>
      <c r="S82" s="297"/>
      <c r="U82" s="330"/>
      <c r="V82" s="106"/>
      <c r="W82" s="106"/>
      <c r="X82" s="333"/>
      <c r="Z82" s="339"/>
      <c r="AA82" s="106"/>
      <c r="AB82" s="340"/>
      <c r="AC82" s="106"/>
      <c r="AD82" s="297"/>
      <c r="AF82" s="330"/>
      <c r="AG82" s="106"/>
      <c r="AH82" s="106"/>
      <c r="AI82" s="333"/>
      <c r="AK82" s="339"/>
      <c r="AL82" s="106"/>
      <c r="AM82" s="340"/>
      <c r="AN82" s="106"/>
      <c r="AO82" s="64" t="str">
        <f t="shared" si="13"/>
        <v/>
      </c>
      <c r="AQ82" s="330"/>
      <c r="AR82" s="106"/>
      <c r="AS82" s="106"/>
      <c r="AT82" s="333"/>
      <c r="AV82" s="330"/>
      <c r="AW82" s="106"/>
      <c r="AX82" s="106"/>
      <c r="AY82" s="333"/>
      <c r="AZ82" s="7481" t="str">
        <f t="shared" si="21"/>
        <v/>
      </c>
      <c r="BA82" s="330"/>
      <c r="BB82" s="106"/>
      <c r="BC82" s="106"/>
      <c r="BD82" s="333"/>
      <c r="BG82" s="330"/>
      <c r="BH82" s="106"/>
      <c r="BI82" s="106"/>
      <c r="BJ82" s="333"/>
      <c r="BK82" s="8116" t="str">
        <f t="shared" si="7"/>
        <v/>
      </c>
      <c r="BL82" s="330"/>
      <c r="BM82" s="106"/>
      <c r="BN82" s="106"/>
      <c r="BO82" s="333"/>
    </row>
    <row r="83" spans="1:67" x14ac:dyDescent="0.35">
      <c r="A83" s="9228"/>
      <c r="B83" s="341"/>
      <c r="C83" s="342"/>
      <c r="D83" s="209"/>
      <c r="F83" s="343"/>
      <c r="H83" s="341"/>
      <c r="I83" s="342"/>
      <c r="J83" s="344"/>
      <c r="L83" s="341"/>
      <c r="M83" s="342"/>
      <c r="O83" s="345"/>
      <c r="P83" s="346"/>
      <c r="Q83" s="216"/>
      <c r="R83" s="216"/>
      <c r="S83" s="307"/>
      <c r="U83" s="341"/>
      <c r="V83" s="216"/>
      <c r="W83" s="216"/>
      <c r="X83" s="347"/>
      <c r="Z83" s="345"/>
      <c r="AA83" s="216"/>
      <c r="AB83" s="346"/>
      <c r="AC83" s="216"/>
      <c r="AD83" s="307"/>
      <c r="AF83" s="341"/>
      <c r="AG83" s="216"/>
      <c r="AH83" s="216"/>
      <c r="AI83" s="347"/>
      <c r="AK83" s="345"/>
      <c r="AL83" s="216"/>
      <c r="AM83" s="346"/>
      <c r="AN83" s="216"/>
      <c r="AO83" s="64" t="str">
        <f t="shared" si="13"/>
        <v/>
      </c>
      <c r="AQ83" s="341"/>
      <c r="AR83" s="216"/>
      <c r="AS83" s="216"/>
      <c r="AT83" s="347"/>
      <c r="AV83" s="341"/>
      <c r="AW83" s="216"/>
      <c r="AX83" s="216"/>
      <c r="AY83" s="347"/>
      <c r="AZ83" s="7481" t="str">
        <f t="shared" si="21"/>
        <v/>
      </c>
      <c r="BA83" s="341"/>
      <c r="BB83" s="216"/>
      <c r="BC83" s="216"/>
      <c r="BD83" s="347"/>
      <c r="BG83" s="341"/>
      <c r="BH83" s="216"/>
      <c r="BI83" s="216"/>
      <c r="BJ83" s="347"/>
      <c r="BK83" s="8116" t="str">
        <f t="shared" si="7"/>
        <v/>
      </c>
      <c r="BL83" s="341"/>
      <c r="BM83" s="216"/>
      <c r="BN83" s="216"/>
      <c r="BO83" s="347"/>
    </row>
    <row r="84" spans="1:67" x14ac:dyDescent="0.35">
      <c r="A84" s="310"/>
      <c r="B84" s="310"/>
      <c r="F84" s="106"/>
      <c r="H84" s="106"/>
      <c r="I84" s="106"/>
      <c r="J84" s="311"/>
      <c r="L84" s="106"/>
      <c r="M84" s="312"/>
      <c r="O84" s="106"/>
      <c r="P84" s="106"/>
      <c r="Q84" s="106"/>
      <c r="R84" s="106"/>
      <c r="S84" s="311"/>
      <c r="U84" s="106"/>
      <c r="V84" s="106"/>
      <c r="W84" s="106"/>
      <c r="X84" s="312"/>
      <c r="Z84" s="106"/>
      <c r="AA84" s="106"/>
      <c r="AB84" s="106"/>
      <c r="AC84" s="106"/>
      <c r="AD84" s="311"/>
      <c r="AF84" s="106"/>
      <c r="AG84" s="106"/>
      <c r="AH84" s="106"/>
      <c r="AI84" s="312"/>
      <c r="AK84" s="106"/>
      <c r="AL84" s="106"/>
      <c r="AM84" s="106"/>
      <c r="AN84" s="106"/>
      <c r="AO84" s="64" t="str">
        <f t="shared" si="13"/>
        <v/>
      </c>
      <c r="AQ84" s="106"/>
      <c r="AR84" s="106"/>
      <c r="AS84" s="106"/>
      <c r="AT84" s="312"/>
      <c r="AV84" s="106"/>
      <c r="AW84" s="106"/>
      <c r="AX84" s="106"/>
      <c r="AY84" s="312"/>
      <c r="AZ84" s="7481" t="str">
        <f t="shared" si="21"/>
        <v/>
      </c>
      <c r="BA84" s="106"/>
      <c r="BB84" s="106"/>
      <c r="BC84" s="106"/>
      <c r="BD84" s="312"/>
      <c r="BG84" s="106"/>
      <c r="BH84" s="106"/>
      <c r="BI84" s="106"/>
      <c r="BJ84" s="312"/>
      <c r="BK84" s="8116" t="str">
        <f t="shared" si="7"/>
        <v/>
      </c>
      <c r="BL84" s="106"/>
      <c r="BM84" s="106"/>
      <c r="BN84" s="106"/>
      <c r="BO84" s="312"/>
    </row>
    <row r="85" spans="1:67" x14ac:dyDescent="0.35">
      <c r="A85" s="9167" t="s">
        <v>566</v>
      </c>
      <c r="B85" s="139" t="s">
        <v>567</v>
      </c>
      <c r="C85" s="348"/>
      <c r="D85" s="49"/>
      <c r="E85" s="141"/>
      <c r="F85" s="227"/>
      <c r="G85" s="141"/>
      <c r="H85" s="102"/>
      <c r="I85" s="103"/>
      <c r="J85" s="228"/>
      <c r="K85" s="141"/>
      <c r="L85" s="102"/>
      <c r="M85" s="268"/>
      <c r="N85" s="141"/>
      <c r="O85" s="102"/>
      <c r="P85" s="103"/>
      <c r="Q85" s="103"/>
      <c r="R85" s="103"/>
      <c r="S85" s="228"/>
      <c r="T85" s="141"/>
      <c r="U85" s="102"/>
      <c r="V85" s="103"/>
      <c r="W85" s="103"/>
      <c r="X85" s="105"/>
      <c r="Y85" s="141"/>
      <c r="Z85" s="102"/>
      <c r="AA85" s="103"/>
      <c r="AB85" s="103"/>
      <c r="AC85" s="103"/>
      <c r="AD85" s="228"/>
      <c r="AE85" s="141"/>
      <c r="AF85" s="102"/>
      <c r="AG85" s="103"/>
      <c r="AH85" s="103"/>
      <c r="AI85" s="105"/>
      <c r="AJ85" s="141"/>
      <c r="AK85" s="102"/>
      <c r="AL85" s="103"/>
      <c r="AM85" s="103"/>
      <c r="AN85" s="103"/>
      <c r="AO85" s="64" t="str">
        <f t="shared" si="13"/>
        <v/>
      </c>
      <c r="AP85" s="141"/>
      <c r="AQ85" s="102"/>
      <c r="AR85" s="103"/>
      <c r="AS85" s="103"/>
      <c r="AT85" s="105"/>
      <c r="AU85" s="141"/>
      <c r="AV85" s="102"/>
      <c r="AW85" s="103"/>
      <c r="AX85" s="103"/>
      <c r="AY85" s="105"/>
      <c r="AZ85" s="7481" t="str">
        <f t="shared" si="21"/>
        <v/>
      </c>
      <c r="BA85" s="102"/>
      <c r="BB85" s="103"/>
      <c r="BC85" s="103"/>
      <c r="BD85" s="105"/>
      <c r="BG85" s="102"/>
      <c r="BH85" s="103"/>
      <c r="BI85" s="103"/>
      <c r="BJ85" s="105"/>
      <c r="BK85" s="8116" t="str">
        <f t="shared" si="7"/>
        <v/>
      </c>
      <c r="BL85" s="102"/>
      <c r="BM85" s="103"/>
      <c r="BN85" s="103"/>
      <c r="BO85" s="105"/>
    </row>
    <row r="86" spans="1:67" x14ac:dyDescent="0.35">
      <c r="A86" s="9168"/>
      <c r="B86" s="6082"/>
      <c r="C86"/>
      <c r="D86" s="110" t="s">
        <v>568</v>
      </c>
      <c r="F86" s="349">
        <f>SUM(F35:F41)-SUM(F43:F45)</f>
        <v>0</v>
      </c>
      <c r="G86" s="350"/>
      <c r="H86" s="351">
        <f t="shared" ref="H86:I86" si="22">SUM(H35:H41)-SUM(H43:H45)</f>
        <v>741072.5</v>
      </c>
      <c r="I86" s="352">
        <f t="shared" si="22"/>
        <v>577785.32023299998</v>
      </c>
      <c r="J86" s="246"/>
      <c r="K86" s="350"/>
      <c r="L86" s="351">
        <f t="shared" ref="L86:M86" si="23">SUM(L35:L41)-SUM(L43:L45)</f>
        <v>751239.89177220943</v>
      </c>
      <c r="M86" s="353">
        <f t="shared" si="23"/>
        <v>587825.91976650036</v>
      </c>
      <c r="O86" s="354">
        <f>SUM(O35:O41)-SUM(O43:O45)</f>
        <v>846469.5</v>
      </c>
      <c r="P86" s="355">
        <f>SUM(P35:P41)-SUM(P43:P45)</f>
        <v>589814.5</v>
      </c>
      <c r="Q86" s="352"/>
      <c r="R86" s="352"/>
      <c r="S86" s="246"/>
      <c r="T86" s="350"/>
      <c r="U86" s="354">
        <f>SUM(U35:U41)-SUM(U43:U45)</f>
        <v>666521.5</v>
      </c>
      <c r="V86" s="355"/>
      <c r="W86" s="355"/>
      <c r="X86" s="1201">
        <f>SUM(X35:X41)-SUM(X43:X45)</f>
        <v>676276</v>
      </c>
      <c r="Z86" s="354">
        <f>SUM(Z35:Z41)-SUM(Z43:Z45)</f>
        <v>621552</v>
      </c>
      <c r="AA86" s="352"/>
      <c r="AB86" s="355">
        <f>SUM(AB35:AB41)-SUM(AB43:AB45)</f>
        <v>676276</v>
      </c>
      <c r="AC86" s="352"/>
      <c r="AD86" s="246"/>
      <c r="AE86" s="350"/>
      <c r="AF86" s="354">
        <f>SUM(AF35:AF41)-SUM(AF43:AF45)</f>
        <v>786696</v>
      </c>
      <c r="AG86" s="355"/>
      <c r="AH86" s="355"/>
      <c r="AI86" s="1201">
        <f>SUM(AI35:AI41)-SUM(AI43:AI45)</f>
        <v>551619.18181818188</v>
      </c>
      <c r="AK86" s="354">
        <f>SUM(AK35:AK41)-SUM(AK43:AK45)</f>
        <v>786696</v>
      </c>
      <c r="AL86" s="352"/>
      <c r="AM86" s="355">
        <f>SUM(AM35:AM41)-SUM(AM43:AM45)</f>
        <v>551619.18181818188</v>
      </c>
      <c r="AN86" s="352"/>
      <c r="AO86" s="64">
        <f t="shared" si="13"/>
        <v>0.70118467847577959</v>
      </c>
      <c r="AP86" s="350"/>
      <c r="AQ86" s="354">
        <f>SUM(AQ35:AQ41)-SUM(AQ43:AQ45)</f>
        <v>699863</v>
      </c>
      <c r="AR86" s="355"/>
      <c r="AS86" s="355"/>
      <c r="AT86" s="1201">
        <f>SUM(AT35:AT41)-SUM(AT43:AT45)</f>
        <v>537640</v>
      </c>
      <c r="AV86" s="354">
        <f>SUM(AV35:AV41)-SUM(AV43:AV45)</f>
        <v>906194</v>
      </c>
      <c r="AW86" s="355"/>
      <c r="AX86" s="355"/>
      <c r="AY86" s="1201">
        <f>SUM(AY35:AY41)-SUM(AY43:AY45)</f>
        <v>752532</v>
      </c>
      <c r="AZ86" s="7481">
        <f t="shared" si="21"/>
        <v>0.83043145286770825</v>
      </c>
      <c r="BA86" s="354">
        <f>SUM(BA35:BA41)-SUM(BA43:BA45)</f>
        <v>1041448</v>
      </c>
      <c r="BB86" s="355"/>
      <c r="BC86" s="355"/>
      <c r="BD86" s="1201">
        <f>SUM(BD35:BD41)-SUM(BD43:BD45)</f>
        <v>832495.29192411609</v>
      </c>
      <c r="BG86" s="354">
        <f>SUM(BG35:BG41)-SUM(BG43:BG45)</f>
        <v>1041448</v>
      </c>
      <c r="BH86" s="355"/>
      <c r="BI86" s="355"/>
      <c r="BJ86" s="1201">
        <f>SUM(BJ35:BJ41)-SUM(BJ43:BJ45)</f>
        <v>768963</v>
      </c>
      <c r="BK86" s="8116">
        <f t="shared" si="7"/>
        <v>0.73835947642129041</v>
      </c>
      <c r="BL86" s="354">
        <f>SUM(BL35:BL41)-SUM(BL43:BL45)</f>
        <v>1374056</v>
      </c>
      <c r="BM86" s="355"/>
      <c r="BN86" s="355"/>
      <c r="BO86" s="1201">
        <f>SUM(BO35:BO41)-SUM(BO43:BO45)</f>
        <v>1126672</v>
      </c>
    </row>
    <row r="87" spans="1:67" x14ac:dyDescent="0.35">
      <c r="A87" s="9168"/>
      <c r="B87" s="6082"/>
      <c r="C87"/>
      <c r="D87" s="110" t="s">
        <v>569</v>
      </c>
      <c r="F87" s="349">
        <f>SUM(F47:F53)</f>
        <v>0</v>
      </c>
      <c r="G87" s="350"/>
      <c r="H87" s="351">
        <f t="shared" ref="H87:I87" si="24">SUM(H47:H53)</f>
        <v>0</v>
      </c>
      <c r="I87" s="352">
        <f t="shared" si="24"/>
        <v>0</v>
      </c>
      <c r="J87" s="246"/>
      <c r="K87" s="350"/>
      <c r="L87" s="351">
        <f t="shared" ref="L87:M87" si="25">SUM(L47:L53)</f>
        <v>0</v>
      </c>
      <c r="M87" s="353">
        <f t="shared" si="25"/>
        <v>0</v>
      </c>
      <c r="O87" s="354">
        <f>SUM(O47:O53)</f>
        <v>0</v>
      </c>
      <c r="P87" s="355">
        <f>SUM(P47:P53)</f>
        <v>0</v>
      </c>
      <c r="Q87" s="352"/>
      <c r="R87" s="352"/>
      <c r="S87" s="246"/>
      <c r="T87" s="350"/>
      <c r="U87" s="354">
        <f>SUM(U47:U53)</f>
        <v>0</v>
      </c>
      <c r="V87" s="355"/>
      <c r="W87" s="355"/>
      <c r="X87" s="1201">
        <f>SUM(X47:X53)</f>
        <v>0</v>
      </c>
      <c r="Z87" s="354">
        <f>SUM(Z47:Z53)</f>
        <v>0</v>
      </c>
      <c r="AA87" s="352"/>
      <c r="AB87" s="355">
        <f>SUM(AB47:AB53)</f>
        <v>0</v>
      </c>
      <c r="AC87" s="352"/>
      <c r="AD87" s="246"/>
      <c r="AE87" s="350"/>
      <c r="AF87" s="354">
        <f>SUM(AF47:AF53)</f>
        <v>0</v>
      </c>
      <c r="AG87" s="355"/>
      <c r="AH87" s="355"/>
      <c r="AI87" s="1201">
        <f>SUM(AI47:AI53)</f>
        <v>0</v>
      </c>
      <c r="AK87" s="354">
        <f>SUM(AK47:AK53)</f>
        <v>0</v>
      </c>
      <c r="AL87" s="352"/>
      <c r="AM87" s="355">
        <f>SUM(AM47:AM53)</f>
        <v>0</v>
      </c>
      <c r="AN87" s="352"/>
      <c r="AO87" s="64" t="str">
        <f t="shared" si="13"/>
        <v/>
      </c>
      <c r="AP87" s="350"/>
      <c r="AQ87" s="354">
        <f>SUM(AQ47:AQ53)</f>
        <v>0</v>
      </c>
      <c r="AR87" s="355"/>
      <c r="AS87" s="355"/>
      <c r="AT87" s="1201">
        <f>SUM(AT47:AT53)</f>
        <v>0</v>
      </c>
      <c r="AV87" s="354">
        <f>SUM(AV47:AV53)</f>
        <v>7428</v>
      </c>
      <c r="AW87" s="355"/>
      <c r="AX87" s="355"/>
      <c r="AY87" s="1201">
        <f>SUM(AY47:AY53)</f>
        <v>6034</v>
      </c>
      <c r="AZ87" s="7481">
        <f t="shared" si="21"/>
        <v>0.81233171782444802</v>
      </c>
      <c r="BA87" s="354">
        <f>SUM(BA47:BA53)</f>
        <v>9680</v>
      </c>
      <c r="BB87" s="355"/>
      <c r="BC87" s="355"/>
      <c r="BD87" s="1201">
        <f>SUM(BD47:BD53)</f>
        <v>3491.6440058479534</v>
      </c>
      <c r="BG87" s="354">
        <f>SUM(BG47:BG53)</f>
        <v>9680</v>
      </c>
      <c r="BH87" s="355"/>
      <c r="BI87" s="355"/>
      <c r="BJ87" s="1201">
        <f>SUM(BJ47:BJ53)</f>
        <v>649</v>
      </c>
      <c r="BK87" s="8116">
        <f t="shared" si="7"/>
        <v>6.7045454545454547E-2</v>
      </c>
      <c r="BL87" s="354">
        <f>SUM(BL47:BL53)</f>
        <v>2098</v>
      </c>
      <c r="BM87" s="355"/>
      <c r="BN87" s="355"/>
      <c r="BO87" s="1201">
        <f>SUM(BO47:BO53)</f>
        <v>924</v>
      </c>
    </row>
    <row r="88" spans="1:67" x14ac:dyDescent="0.35">
      <c r="A88" s="9168"/>
      <c r="B88" s="6082"/>
      <c r="C88"/>
      <c r="D88" s="110" t="s">
        <v>570</v>
      </c>
      <c r="F88" s="349">
        <f>SUM(F55:F62)*F28</f>
        <v>0</v>
      </c>
      <c r="G88" s="350"/>
      <c r="H88" s="351">
        <f t="shared" ref="H88:I88" si="26">SUM(H55:H62)*H28</f>
        <v>72149.559521738003</v>
      </c>
      <c r="I88" s="352">
        <f t="shared" si="26"/>
        <v>61323.070013120596</v>
      </c>
      <c r="J88" s="246"/>
      <c r="K88" s="350"/>
      <c r="L88" s="351">
        <f t="shared" ref="L88:M88" si="27">SUM(L55:L62)*L28</f>
        <v>50512.422313351912</v>
      </c>
      <c r="M88" s="353">
        <f t="shared" si="27"/>
        <v>54175.232489583737</v>
      </c>
      <c r="O88" s="354">
        <f>SUM(O55:O62)*O28</f>
        <v>62428.000453255532</v>
      </c>
      <c r="P88" s="355">
        <f>SUM(P55:P62)*P28</f>
        <v>53781.167211030232</v>
      </c>
      <c r="Q88" s="352"/>
      <c r="R88" s="352"/>
      <c r="S88" s="246"/>
      <c r="T88" s="350"/>
      <c r="U88" s="354">
        <f>SUM(U55:U62)*U28</f>
        <v>58483.599727709683</v>
      </c>
      <c r="V88" s="355"/>
      <c r="W88" s="355"/>
      <c r="X88" s="1201">
        <f>SUM(X55:X62)*X28</f>
        <v>61618.311147557499</v>
      </c>
      <c r="Z88" s="354">
        <f>SUM(Z55:Z62)*Z28</f>
        <v>17804.574392564471</v>
      </c>
      <c r="AA88" s="352"/>
      <c r="AB88" s="355">
        <f>SUM(AB55:AB62)*AB28</f>
        <v>26420.701993153154</v>
      </c>
      <c r="AC88" s="352"/>
      <c r="AD88" s="246"/>
      <c r="AE88" s="350"/>
      <c r="AF88" s="354">
        <f>SUM(AF55:AF62)*AF28</f>
        <v>16536.796197194406</v>
      </c>
      <c r="AG88" s="355"/>
      <c r="AH88" s="355"/>
      <c r="AI88" s="1201">
        <f>SUM(AI55:AI62)*AI28</f>
        <v>12696.357897020518</v>
      </c>
      <c r="AK88" s="354">
        <f>SUM(AK55:AK62)*AK28</f>
        <v>16536.796197194406</v>
      </c>
      <c r="AL88" s="352"/>
      <c r="AM88" s="355">
        <f>SUM(AM55:AM62)*AM28</f>
        <v>12696.357897020518</v>
      </c>
      <c r="AN88" s="352"/>
      <c r="AO88" s="64">
        <f t="shared" si="13"/>
        <v>0.76776406660768748</v>
      </c>
      <c r="AP88" s="350"/>
      <c r="AQ88" s="354">
        <f>SUM(AQ55:AQ62)*AQ28</f>
        <v>29824.269105906125</v>
      </c>
      <c r="AR88" s="355"/>
      <c r="AS88" s="355"/>
      <c r="AT88" s="1201">
        <f>SUM(AT55:AT62)*AT28</f>
        <v>41311.65503279939</v>
      </c>
      <c r="AV88" s="354">
        <f>SUM(AV55:AV62)*AV28</f>
        <v>30032.277315585674</v>
      </c>
      <c r="AW88" s="355"/>
      <c r="AX88" s="355"/>
      <c r="AY88" s="1201">
        <f>SUM(AY55:AY62)*AY28</f>
        <v>41617.868258345268</v>
      </c>
      <c r="AZ88" s="7481">
        <f t="shared" si="21"/>
        <v>1.3857713093487949</v>
      </c>
      <c r="BA88" s="354">
        <f>SUM(BA55:BA62)*BA28</f>
        <v>16303.287483105807</v>
      </c>
      <c r="BB88" s="355"/>
      <c r="BC88" s="355"/>
      <c r="BD88" s="1201">
        <f>SUM(BD55:BD62)*BD28</f>
        <v>22430.211935180552</v>
      </c>
      <c r="BG88" s="354">
        <f>SUM(BG55:BG62)*BG28</f>
        <v>16303.287483105807</v>
      </c>
      <c r="BH88" s="355"/>
      <c r="BI88" s="355"/>
      <c r="BJ88" s="1201">
        <f>SUM(BJ55:BJ62)*BJ28</f>
        <v>14460.150258361387</v>
      </c>
      <c r="BK88" s="8116">
        <f t="shared" si="7"/>
        <v>0.88694689787845793</v>
      </c>
      <c r="BL88" s="354">
        <f>SUM(BL55:BL62)*BL28</f>
        <v>34617.936703569343</v>
      </c>
      <c r="BM88" s="355"/>
      <c r="BN88" s="355"/>
      <c r="BO88" s="1201">
        <f>SUM(BO55:BO62)*BO28</f>
        <v>17383.668608539407</v>
      </c>
    </row>
    <row r="89" spans="1:67" x14ac:dyDescent="0.35">
      <c r="A89" s="9168"/>
      <c r="B89" s="6082"/>
      <c r="C89"/>
      <c r="D89" s="110" t="s">
        <v>552</v>
      </c>
      <c r="F89" s="349">
        <f>SUM(F64:F66)</f>
        <v>0</v>
      </c>
      <c r="G89" s="350"/>
      <c r="H89" s="351">
        <f t="shared" ref="H89:I89" si="28">SUM(H64:H66)</f>
        <v>30542.450418802069</v>
      </c>
      <c r="I89" s="352">
        <f t="shared" si="28"/>
        <v>27374.777992007766</v>
      </c>
      <c r="J89" s="246"/>
      <c r="K89" s="350"/>
      <c r="L89" s="351">
        <f t="shared" ref="L89:M89" si="29">SUM(L64:L66)</f>
        <v>37874.400000000001</v>
      </c>
      <c r="M89" s="353">
        <f t="shared" si="29"/>
        <v>33946.303500986884</v>
      </c>
      <c r="O89" s="354">
        <f>SUM(O64:O66)</f>
        <v>37874.400000000001</v>
      </c>
      <c r="P89" s="355">
        <f>SUM(P64:P66)</f>
        <v>39520.87138825548</v>
      </c>
      <c r="Q89" s="352"/>
      <c r="R89" s="352"/>
      <c r="S89" s="246"/>
      <c r="T89" s="350"/>
      <c r="U89" s="354">
        <f>SUM(U64:U66)</f>
        <v>39266</v>
      </c>
      <c r="V89" s="355"/>
      <c r="W89" s="355"/>
      <c r="X89" s="1201">
        <f>SUM(X64:X66)</f>
        <v>42098.901601681166</v>
      </c>
      <c r="Z89" s="354">
        <f>SUM(Z64:Z66)</f>
        <v>39266</v>
      </c>
      <c r="AA89" s="352"/>
      <c r="AB89" s="355">
        <f>SUM(AB64:AB66)</f>
        <v>42098.901601681166</v>
      </c>
      <c r="AC89" s="352"/>
      <c r="AD89" s="246"/>
      <c r="AE89" s="350"/>
      <c r="AF89" s="354">
        <f>SUM(AF64:AF66)</f>
        <v>41471.5</v>
      </c>
      <c r="AG89" s="355"/>
      <c r="AH89" s="355"/>
      <c r="AI89" s="1201">
        <f>SUM(AI64:AI66)</f>
        <v>41471.5</v>
      </c>
      <c r="AK89" s="354">
        <f>SUM(AK64:AK66)</f>
        <v>41471.5</v>
      </c>
      <c r="AL89" s="352"/>
      <c r="AM89" s="355">
        <f>SUM(AM64:AM66)</f>
        <v>41471.5</v>
      </c>
      <c r="AN89" s="352"/>
      <c r="AO89" s="64">
        <f t="shared" si="13"/>
        <v>1</v>
      </c>
      <c r="AP89" s="350"/>
      <c r="AQ89" s="354">
        <f>SUM(AQ64:AQ66)</f>
        <v>62200.2</v>
      </c>
      <c r="AR89" s="355"/>
      <c r="AS89" s="355"/>
      <c r="AT89" s="1201">
        <f>SUM(AT64:AT66)</f>
        <v>62200.2</v>
      </c>
      <c r="AV89" s="354">
        <f>SUM(AV64:AV66)</f>
        <v>62200.2</v>
      </c>
      <c r="AW89" s="355"/>
      <c r="AX89" s="355"/>
      <c r="AY89" s="1201">
        <f>SUM(AY64:AY66)</f>
        <v>62200.2</v>
      </c>
      <c r="AZ89" s="7481">
        <f t="shared" si="21"/>
        <v>1</v>
      </c>
      <c r="BA89" s="354">
        <f>SUM(BA64:BA66)</f>
        <v>86763</v>
      </c>
      <c r="BB89" s="355"/>
      <c r="BC89" s="355"/>
      <c r="BD89" s="1201">
        <f>SUM(BD64:BD66)</f>
        <v>86763</v>
      </c>
      <c r="BG89" s="354">
        <f>SUM(BG64:BG66)</f>
        <v>84567.1</v>
      </c>
      <c r="BH89" s="355"/>
      <c r="BI89" s="355"/>
      <c r="BJ89" s="1201">
        <f>SUM(BJ64:BJ66)</f>
        <v>10671</v>
      </c>
      <c r="BK89" s="8116">
        <f t="shared" si="7"/>
        <v>0.12618382325987293</v>
      </c>
      <c r="BL89" s="354">
        <f>SUM(BL64:BL66)</f>
        <v>10967</v>
      </c>
      <c r="BM89" s="355"/>
      <c r="BN89" s="355"/>
      <c r="BO89" s="1201">
        <f>SUM(BO64:BO66)</f>
        <v>10967</v>
      </c>
    </row>
    <row r="90" spans="1:67" x14ac:dyDescent="0.35">
      <c r="A90" s="9168"/>
      <c r="B90" s="6082"/>
      <c r="C90"/>
      <c r="D90" s="356" t="s">
        <v>571</v>
      </c>
      <c r="E90" s="143"/>
      <c r="F90" s="357">
        <f>SUM(F86:F89)</f>
        <v>0</v>
      </c>
      <c r="G90" s="358"/>
      <c r="H90" s="359">
        <f t="shared" ref="H90:I90" si="30">SUM(H86:H89)</f>
        <v>843764.50994054007</v>
      </c>
      <c r="I90" s="360">
        <f t="shared" si="30"/>
        <v>666483.1682381283</v>
      </c>
      <c r="J90" s="361"/>
      <c r="K90" s="358"/>
      <c r="L90" s="359">
        <f t="shared" ref="L90:M90" si="31">SUM(L86:L89)</f>
        <v>839626.71408556134</v>
      </c>
      <c r="M90" s="362">
        <f t="shared" si="31"/>
        <v>675947.45575707103</v>
      </c>
      <c r="N90" s="143"/>
      <c r="O90" s="363">
        <f>SUM(O86:O89)</f>
        <v>946771.90045325551</v>
      </c>
      <c r="P90" s="364">
        <f>SUM(P86:P89)</f>
        <v>683116.53859928576</v>
      </c>
      <c r="Q90" s="360"/>
      <c r="R90" s="360"/>
      <c r="S90" s="361"/>
      <c r="T90" s="358"/>
      <c r="U90" s="363">
        <f>SUM(U86:U89)</f>
        <v>764271.09972770966</v>
      </c>
      <c r="V90" s="364"/>
      <c r="W90" s="364"/>
      <c r="X90" s="1202">
        <f>SUM(X86:X89)</f>
        <v>779993.21274923859</v>
      </c>
      <c r="Y90" s="143"/>
      <c r="Z90" s="363">
        <f>SUM(Z86:Z89)</f>
        <v>678622.57439256448</v>
      </c>
      <c r="AA90" s="360"/>
      <c r="AB90" s="364">
        <f>SUM(AB86:AB89)</f>
        <v>744795.60359483433</v>
      </c>
      <c r="AC90" s="360"/>
      <c r="AD90" s="361"/>
      <c r="AE90" s="358"/>
      <c r="AF90" s="363">
        <f>SUM(AF86:AF89)</f>
        <v>844704.29619719437</v>
      </c>
      <c r="AG90" s="364"/>
      <c r="AH90" s="364"/>
      <c r="AI90" s="1202">
        <f>SUM(AI86:AI89)</f>
        <v>605787.03971520241</v>
      </c>
      <c r="AJ90" s="143"/>
      <c r="AK90" s="363">
        <f>SUM(AK86:AK89)</f>
        <v>844704.29619719437</v>
      </c>
      <c r="AL90" s="360"/>
      <c r="AM90" s="364">
        <f>SUM(AM86:AM89)</f>
        <v>605787.03971520241</v>
      </c>
      <c r="AN90" s="360"/>
      <c r="AO90" s="64">
        <f t="shared" si="13"/>
        <v>0.7171587056469555</v>
      </c>
      <c r="AP90" s="358"/>
      <c r="AQ90" s="363">
        <f>SUM(AQ86:AQ89)</f>
        <v>791887.46910590609</v>
      </c>
      <c r="AR90" s="364"/>
      <c r="AS90" s="364"/>
      <c r="AT90" s="1202">
        <f>SUM(AT86:AT89)</f>
        <v>641151.8550327993</v>
      </c>
      <c r="AU90" s="143"/>
      <c r="AV90" s="363">
        <f>SUM(AV86:AV89)</f>
        <v>1005854.4773155856</v>
      </c>
      <c r="AW90" s="364"/>
      <c r="AX90" s="364"/>
      <c r="AY90" s="1202">
        <f>SUM(AY86:AY89)</f>
        <v>862384.06825834524</v>
      </c>
      <c r="AZ90" s="7481">
        <f t="shared" si="21"/>
        <v>0.85736464638489973</v>
      </c>
      <c r="BA90" s="363">
        <f>SUM(BA86:BA89)</f>
        <v>1154194.2874831059</v>
      </c>
      <c r="BB90" s="364"/>
      <c r="BC90" s="364"/>
      <c r="BD90" s="1202">
        <f>SUM(BD86:BD89)</f>
        <v>945180.14786514465</v>
      </c>
      <c r="BG90" s="363">
        <f>SUM(BG86:BG89)</f>
        <v>1151998.387483106</v>
      </c>
      <c r="BH90" s="364"/>
      <c r="BI90" s="364"/>
      <c r="BJ90" s="1202">
        <f>SUM(BJ86:BJ89)</f>
        <v>794743.15025836136</v>
      </c>
      <c r="BK90" s="8116">
        <f t="shared" si="7"/>
        <v>0.68988217248699601</v>
      </c>
      <c r="BL90" s="363">
        <f>SUM(BL86:BL89)</f>
        <v>1421738.9367035693</v>
      </c>
      <c r="BM90" s="364"/>
      <c r="BN90" s="364"/>
      <c r="BO90" s="1202">
        <f>SUM(BO86:BO89)</f>
        <v>1155946.6686085395</v>
      </c>
    </row>
    <row r="91" spans="1:67" ht="15.5" x14ac:dyDescent="0.35">
      <c r="A91" s="9168"/>
      <c r="B91" s="6082"/>
      <c r="C91"/>
      <c r="D91" s="356" t="s">
        <v>572</v>
      </c>
      <c r="F91" s="366" t="e">
        <f>F90/(F17+F18+F19)</f>
        <v>#DIV/0!</v>
      </c>
      <c r="G91" s="367"/>
      <c r="H91" s="368">
        <f t="shared" ref="H91:I91" si="32">H90/(H17+H18+H19)</f>
        <v>0.20911031440494116</v>
      </c>
      <c r="I91" s="369">
        <f t="shared" si="32"/>
        <v>0.18003837716578355</v>
      </c>
      <c r="J91" s="370"/>
      <c r="K91" s="367"/>
      <c r="L91" s="368">
        <f t="shared" ref="L91:M91" si="33">L90/(L17+L18+L19)</f>
        <v>0.19614275310757265</v>
      </c>
      <c r="M91" s="370">
        <f t="shared" si="33"/>
        <v>0.16961373733679333</v>
      </c>
      <c r="O91" s="368">
        <f>O90/(O17+O18+O19)</f>
        <v>0.22117262826974132</v>
      </c>
      <c r="P91" s="369">
        <f>P90/(P17+P18+P19)</f>
        <v>0.16094021551455465</v>
      </c>
      <c r="Q91" s="369"/>
      <c r="R91" s="369"/>
      <c r="S91" s="370"/>
      <c r="T91" s="367"/>
      <c r="U91" s="368">
        <f>U90/(U17+U18+U19)</f>
        <v>0.17613098661227355</v>
      </c>
      <c r="V91" s="369"/>
      <c r="W91" s="369"/>
      <c r="X91" s="370">
        <f>X90/(X17+X18+X19)</f>
        <v>0.17268495868328956</v>
      </c>
      <c r="Z91" s="368">
        <f>Z90/(Z17+Z18+Z19)</f>
        <v>0.15550282601805351</v>
      </c>
      <c r="AA91" s="369"/>
      <c r="AB91" s="369">
        <f>AB90/(AB17+AB18+AB19)</f>
        <v>0.16489245794965443</v>
      </c>
      <c r="AC91" s="369"/>
      <c r="AD91" s="370"/>
      <c r="AE91" s="367"/>
      <c r="AF91" s="368">
        <f>AF90/(AF17+AF18+AF19)</f>
        <v>0.17254487302016017</v>
      </c>
      <c r="AG91" s="369"/>
      <c r="AH91" s="369"/>
      <c r="AI91" s="370">
        <f>AI90/(AI17+AI18+AI19)</f>
        <v>0.13581872854064295</v>
      </c>
      <c r="AK91" s="368">
        <f>AK90/(AK17+AK18+AK19)</f>
        <v>0.17254487302016017</v>
      </c>
      <c r="AL91" s="369"/>
      <c r="AM91" s="369">
        <f>AM90/(AM17+AM18+AM19)</f>
        <v>0.13581872854064295</v>
      </c>
      <c r="AN91" s="369"/>
      <c r="AO91" s="64">
        <f t="shared" si="13"/>
        <v>0.78715018396851388</v>
      </c>
      <c r="AP91" s="367"/>
      <c r="AQ91" s="368">
        <f>AQ90/(AQ17+AQ18+AQ19)</f>
        <v>0.14709553133940526</v>
      </c>
      <c r="AR91" s="369"/>
      <c r="AS91" s="369"/>
      <c r="AT91" s="370">
        <f>AT90/(AT17+AT18+AT19)</f>
        <v>0.13500932418311842</v>
      </c>
      <c r="AV91" s="561">
        <f>AV90/(AV17+AV18+AV19)</f>
        <v>0.18684056076541886</v>
      </c>
      <c r="AW91" s="562"/>
      <c r="AX91" s="562"/>
      <c r="AY91" s="563">
        <f>AY90/(AY17+AY18+AY19)</f>
        <v>0.1859670493808018</v>
      </c>
      <c r="AZ91" s="7481">
        <f t="shared" si="21"/>
        <v>0.99532482999923255</v>
      </c>
      <c r="BA91" s="561">
        <f>BA90/(BA17+BA18+BA19)</f>
        <v>0.17370744996488899</v>
      </c>
      <c r="BB91" s="562"/>
      <c r="BC91" s="562"/>
      <c r="BD91" s="563">
        <f>BD90/(BD17+BD18+BD19)</f>
        <v>0.16657628803236413</v>
      </c>
      <c r="BG91" s="368">
        <f>BG90/(BG17+BG18+BG19)</f>
        <v>0.1733769647133897</v>
      </c>
      <c r="BH91" s="8118"/>
      <c r="BI91" s="369"/>
      <c r="BJ91" s="370">
        <f>BJ90/(BJ17+BJ18+BJ19)</f>
        <v>0.15114869246617099</v>
      </c>
      <c r="BK91" s="8116">
        <f t="shared" ref="BK91:BK101" si="34">IFERROR(BJ91/BG91, "")</f>
        <v>0.87179224019774271</v>
      </c>
      <c r="BL91" s="368">
        <f>BL90/(BL17+BL18+BL19)</f>
        <v>0.17497862354455473</v>
      </c>
      <c r="BM91" s="8118"/>
      <c r="BN91" s="369"/>
      <c r="BO91" s="370">
        <f>BO90/(BO17+BO18+BO19)</f>
        <v>0.15429030507757843</v>
      </c>
    </row>
    <row r="92" spans="1:67" x14ac:dyDescent="0.35">
      <c r="A92" s="9168"/>
      <c r="B92" s="371"/>
      <c r="C92" s="372"/>
      <c r="D92" s="296" t="s">
        <v>573</v>
      </c>
      <c r="E92" s="374"/>
      <c r="F92" s="679">
        <f>F35+F36+F37+F38+F64+F88</f>
        <v>0</v>
      </c>
      <c r="G92" s="385"/>
      <c r="H92" s="420">
        <f t="shared" ref="H92:I92" si="35">H35+H36+H37+H38+H64+H88</f>
        <v>671045.00994054007</v>
      </c>
      <c r="I92" s="416">
        <f t="shared" si="35"/>
        <v>649963.21423812839</v>
      </c>
      <c r="J92" s="384"/>
      <c r="K92" s="385"/>
      <c r="L92" s="386">
        <f t="shared" ref="L92:M92" si="36">L35+L36+L37+L38+L64+L88</f>
        <v>666907.21408556134</v>
      </c>
      <c r="M92" s="384">
        <f t="shared" si="36"/>
        <v>659427.501757071</v>
      </c>
      <c r="N92" s="2965"/>
      <c r="O92" s="420">
        <f>O35+O36+O37+O38+O64+O88</f>
        <v>773052.40045325551</v>
      </c>
      <c r="P92" s="416">
        <f>P35+P36+P37+P38+P64+P88</f>
        <v>673196.03859928576</v>
      </c>
      <c r="Q92" s="383"/>
      <c r="R92" s="383"/>
      <c r="S92" s="384"/>
      <c r="T92" s="385"/>
      <c r="U92" s="381">
        <f>U35+U36+U37+U38+U64+U88</f>
        <v>730148.09972770966</v>
      </c>
      <c r="V92" s="383"/>
      <c r="W92" s="383"/>
      <c r="X92" s="388">
        <f>X35+X36+X37+X38+X64+X88</f>
        <v>749249.21274923859</v>
      </c>
      <c r="Z92" s="420">
        <f>Z35+Z36+Z37+Z38+Z64+Z88</f>
        <v>644499.57439256448</v>
      </c>
      <c r="AA92" s="383"/>
      <c r="AB92" s="416">
        <f>AB35+AB36+AB37+AB38+AB64+AB88</f>
        <v>714051.60359483433</v>
      </c>
      <c r="AC92" s="383"/>
      <c r="AD92" s="384"/>
      <c r="AE92" s="385"/>
      <c r="AF92" s="381">
        <f>AF35+AF36+AF37+AF38+AF64+AF88</f>
        <v>778137.29619719437</v>
      </c>
      <c r="AG92" s="383"/>
      <c r="AH92" s="383"/>
      <c r="AI92" s="388">
        <f>AI35+AI36+AI37+AI38+AI64+AI88</f>
        <v>534872.58516974782</v>
      </c>
      <c r="AK92" s="420">
        <f>AK35+AK36+AK37+AK38+AK64+AK88</f>
        <v>778137.29619719437</v>
      </c>
      <c r="AL92" s="383"/>
      <c r="AM92" s="416">
        <f>AM35+AM36+AM37+AM38+AM64+AM88</f>
        <v>534872.58516974782</v>
      </c>
      <c r="AN92" s="383"/>
      <c r="AO92" s="64">
        <f t="shared" si="13"/>
        <v>0.68737559269257953</v>
      </c>
      <c r="AP92" s="385"/>
      <c r="AQ92" s="381">
        <f>AQ35+AQ36+AQ37+AQ38+AQ64+AQ88</f>
        <v>778737.46910590609</v>
      </c>
      <c r="AR92" s="383"/>
      <c r="AS92" s="383"/>
      <c r="AT92" s="388">
        <f>AT35+AT36+AT37+AT38+AT64+AT88</f>
        <v>637796.8550327993</v>
      </c>
      <c r="AV92" s="381">
        <f>AV35+AV36+AV37+AV38+AV64+AV88</f>
        <v>985276.47731558559</v>
      </c>
      <c r="AW92" s="956"/>
      <c r="AX92" s="956"/>
      <c r="AY92" s="388">
        <f>AY35+AY36+AY37+AY38+AY64+AY88</f>
        <v>852995.06825834524</v>
      </c>
      <c r="AZ92" s="7481">
        <f t="shared" si="21"/>
        <v>0.8657418378467282</v>
      </c>
      <c r="BA92" s="381">
        <f>BA35+BA36+BA37+BA38+BA64+BA88</f>
        <v>1088114.2874831059</v>
      </c>
      <c r="BB92" s="956"/>
      <c r="BC92" s="956"/>
      <c r="BD92" s="388">
        <f>BD35+BD36+BD37+BD38+BD64+BD88</f>
        <v>927298.99815587467</v>
      </c>
      <c r="BG92" s="381">
        <f>BG35+BG36+BG37+BG38+BG64+BG88</f>
        <v>1012022.2874831058</v>
      </c>
      <c r="BH92" s="383"/>
      <c r="BI92" s="383"/>
      <c r="BJ92" s="388">
        <f>BJ35+BJ36+BJ37+BJ64+BJ65+BJ88</f>
        <v>782400.15025836136</v>
      </c>
      <c r="BK92" s="8116">
        <f t="shared" si="34"/>
        <v>0.77310565185692348</v>
      </c>
      <c r="BL92" s="381">
        <f>BL35+BL36+BL37+BL64+BL65+BL88</f>
        <v>1101040.9367035693</v>
      </c>
      <c r="BM92" s="383"/>
      <c r="BN92" s="383"/>
      <c r="BO92" s="388">
        <f>BO35+BO36+BO37+BO64+BO65+BO88</f>
        <v>1044769.6686085394</v>
      </c>
    </row>
    <row r="93" spans="1:67" x14ac:dyDescent="0.35">
      <c r="A93" s="9168"/>
      <c r="B93" s="58"/>
      <c r="C93" s="390"/>
      <c r="D93" s="59" t="s">
        <v>575</v>
      </c>
      <c r="E93" s="392"/>
      <c r="F93" s="3990" t="e">
        <f>(F90-F92)/((F18+F19))</f>
        <v>#DIV/0!</v>
      </c>
      <c r="G93" s="3991"/>
      <c r="H93" s="3992">
        <f t="shared" ref="H93:I93" si="37">(H90-H92)/((H18+H19))</f>
        <v>0.10060320158151113</v>
      </c>
      <c r="I93" s="3993">
        <f t="shared" si="37"/>
        <v>1.3711940543797745E-2</v>
      </c>
      <c r="J93" s="3994"/>
      <c r="K93" s="3991"/>
      <c r="L93" s="3995">
        <f t="shared" ref="L93:M93" si="38">(L90-L92)/((L18+L19))</f>
        <v>0.10360718653966472</v>
      </c>
      <c r="M93" s="3994">
        <f t="shared" si="38"/>
        <v>1.4121375457330802E-2</v>
      </c>
      <c r="N93" s="3996"/>
      <c r="O93" s="3995">
        <f>(O90-O92)/((O18+O19))</f>
        <v>0.10420704461324451</v>
      </c>
      <c r="P93" s="3993">
        <f>(P90-P92)/((P18+P19))</f>
        <v>6.1398009245133434E-3</v>
      </c>
      <c r="Q93" s="3997"/>
      <c r="R93" s="3997"/>
      <c r="S93" s="3998"/>
      <c r="T93" s="3999"/>
      <c r="U93" s="3992">
        <f>(U90-U92)/((U18+U19))</f>
        <v>2.2487630254670453E-2</v>
      </c>
      <c r="V93" s="3997"/>
      <c r="W93" s="3997"/>
      <c r="X93" s="404">
        <f>(X90-X92)/((X18+X19))</f>
        <v>2.16606391251974E-2</v>
      </c>
      <c r="Z93" s="3995">
        <f>(Z90-Z92)/((Z18+Z19))</f>
        <v>2.2487630254670453E-2</v>
      </c>
      <c r="AA93" s="3997"/>
      <c r="AB93" s="3993">
        <f>(AB90-AB92)/((AB18+AB19))</f>
        <v>2.16606391251974E-2</v>
      </c>
      <c r="AC93" s="3997"/>
      <c r="AD93" s="3998"/>
      <c r="AE93" s="3999"/>
      <c r="AF93" s="3992">
        <f>(AF90-AF92)/((AF18+AF19))</f>
        <v>4.518942124792779E-2</v>
      </c>
      <c r="AG93" s="3997"/>
      <c r="AH93" s="3997"/>
      <c r="AI93" s="404">
        <f>(AI90-AI92)/((AI18+AI19))</f>
        <v>7.0010755710740349E-2</v>
      </c>
      <c r="AK93" s="3995">
        <f>(AK90-AK92)/((AK18+AK19))</f>
        <v>4.518942124792779E-2</v>
      </c>
      <c r="AL93" s="3997"/>
      <c r="AM93" s="3993">
        <f>(AM90-AM92)/((AM18+AM19))</f>
        <v>7.0010755710740349E-2</v>
      </c>
      <c r="AN93" s="3997"/>
      <c r="AO93" s="64">
        <f t="shared" si="13"/>
        <v>1.549273121393445</v>
      </c>
      <c r="AP93" s="3999"/>
      <c r="AQ93" s="3992">
        <f>(AQ90-AQ92)/((AQ18+AQ19))</f>
        <v>1.6423622039376726E-2</v>
      </c>
      <c r="AR93" s="3997"/>
      <c r="AS93" s="3997"/>
      <c r="AT93" s="404">
        <f>(AT90-AT92)/((AT18+AT19))</f>
        <v>5.0786317515148852E-3</v>
      </c>
      <c r="AV93" s="7366">
        <f>(AV90-AV92)/((AV18+AV19))</f>
        <v>2.5700782838501465E-2</v>
      </c>
      <c r="AW93" s="7363"/>
      <c r="AX93" s="7363"/>
      <c r="AY93" s="7371">
        <f>(AY90-AY92)/((AY18+AY19))</f>
        <v>1.4212600153494265E-2</v>
      </c>
      <c r="AZ93" s="7481">
        <f t="shared" si="21"/>
        <v>0.55300261641068982</v>
      </c>
      <c r="BA93" s="7366">
        <f>(BA90-BA92)/((BA18+BA19))</f>
        <v>3.0815261388775932E-2</v>
      </c>
      <c r="BB93" s="7363"/>
      <c r="BC93" s="7363"/>
      <c r="BD93" s="7371">
        <f>(BD90-BD92)/((BD18+BD19))</f>
        <v>1.0106534686365388E-2</v>
      </c>
      <c r="BG93" s="1216">
        <f>(BG90-BG92)/((BG18+BG19))</f>
        <v>6.5275425388641728E-2</v>
      </c>
      <c r="BH93" s="1213"/>
      <c r="BI93" s="1213"/>
      <c r="BJ93" s="1223">
        <f>(BJ90-BJ92)/((BJ18+BJ19))</f>
        <v>2.3320315673526916E-2</v>
      </c>
      <c r="BK93" s="8116">
        <f t="shared" si="34"/>
        <v>0.35726026348630696</v>
      </c>
      <c r="BL93" s="1216">
        <f>(BL90-BL92)/((BL18+BL19))</f>
        <v>0.30253643525519536</v>
      </c>
      <c r="BM93" s="1213"/>
      <c r="BN93" s="1213"/>
      <c r="BO93" s="1223">
        <f>(BO90-BO92)/((BO18+BO19))</f>
        <v>9.4596261823788316E-2</v>
      </c>
    </row>
    <row r="94" spans="1:67" x14ac:dyDescent="0.35">
      <c r="A94" s="9168"/>
      <c r="B94" s="58"/>
      <c r="C94" s="390"/>
      <c r="D94" s="59" t="s">
        <v>576</v>
      </c>
      <c r="E94" s="392"/>
      <c r="F94" s="3990" t="e">
        <f>F92/(F17)</f>
        <v>#DIV/0!</v>
      </c>
      <c r="G94" s="3991"/>
      <c r="H94" s="3992">
        <f t="shared" ref="H94:I94" si="39">H92/(H17)</f>
        <v>0.28947037374138013</v>
      </c>
      <c r="I94" s="3993">
        <f t="shared" si="39"/>
        <v>0.26028628075031102</v>
      </c>
      <c r="J94" s="3994"/>
      <c r="K94" s="3991"/>
      <c r="L94" s="3995">
        <f t="shared" ref="L94:M94" si="40">L92/(L17)</f>
        <v>0.25516502294530535</v>
      </c>
      <c r="M94" s="3994">
        <f t="shared" si="40"/>
        <v>0.23422476530101791</v>
      </c>
      <c r="N94" s="3996"/>
      <c r="O94" s="3995">
        <f>O92/(O17)</f>
        <v>0.29577717759441002</v>
      </c>
      <c r="P94" s="3993">
        <f>P92/(P17)</f>
        <v>0.2560881350835908</v>
      </c>
      <c r="Q94" s="3997"/>
      <c r="R94" s="3997"/>
      <c r="S94" s="3998"/>
      <c r="T94" s="3999"/>
      <c r="U94" s="3992">
        <f>U92/(U17)</f>
        <v>0.25875187104427716</v>
      </c>
      <c r="V94" s="3997"/>
      <c r="W94" s="3997"/>
      <c r="X94" s="404">
        <f>X92/(X17)</f>
        <v>0.24188774096765484</v>
      </c>
      <c r="Z94" s="3995">
        <f>Z92/(Z17)</f>
        <v>0.22640704408900331</v>
      </c>
      <c r="AA94" s="3997"/>
      <c r="AB94" s="3993">
        <f>AB92/(AB17)</f>
        <v>0.23052453895028982</v>
      </c>
      <c r="AC94" s="3997"/>
      <c r="AD94" s="3998"/>
      <c r="AE94" s="3999"/>
      <c r="AF94" s="3992">
        <f>AF92/(AF17)</f>
        <v>0.22735952615800523</v>
      </c>
      <c r="AG94" s="3997"/>
      <c r="AH94" s="3997"/>
      <c r="AI94" s="404">
        <f>AI92/(AI17)</f>
        <v>0.15515455326012476</v>
      </c>
      <c r="AK94" s="3995">
        <f>AK92/(AK17)</f>
        <v>0.22735952615800523</v>
      </c>
      <c r="AL94" s="3997"/>
      <c r="AM94" s="3993">
        <f>AM92/(AM17)</f>
        <v>0.15515455326012476</v>
      </c>
      <c r="AN94" s="3997"/>
      <c r="AO94" s="64">
        <f t="shared" si="13"/>
        <v>0.68241940807133339</v>
      </c>
      <c r="AP94" s="3999"/>
      <c r="AQ94" s="3992">
        <f>AQ92/(AQ17)</f>
        <v>0.16992557393346799</v>
      </c>
      <c r="AR94" s="3997"/>
      <c r="AS94" s="3997"/>
      <c r="AT94" s="404">
        <f>AT92/(AT17)</f>
        <v>0.15600409727600517</v>
      </c>
      <c r="AV94" s="7366">
        <f>AV92/(AV17)</f>
        <v>0.21499372706853442</v>
      </c>
      <c r="AW94" s="7363"/>
      <c r="AX94" s="7363"/>
      <c r="AY94" s="7371">
        <f>AY92/(AY17)</f>
        <v>0.21449908221481648</v>
      </c>
      <c r="AZ94" s="7481">
        <f t="shared" si="21"/>
        <v>0.99769925913438273</v>
      </c>
      <c r="BA94" s="7366">
        <f>BA92/(BA17)</f>
        <v>0.2417988763495551</v>
      </c>
      <c r="BB94" s="7363"/>
      <c r="BC94" s="7363"/>
      <c r="BD94" s="7371">
        <f>BD92/(BD17)</f>
        <v>0.23747111973613802</v>
      </c>
      <c r="BG94" s="1216">
        <f>BG92/(BG17)</f>
        <v>0.22488984362124803</v>
      </c>
      <c r="BH94" s="1213"/>
      <c r="BI94" s="1213"/>
      <c r="BJ94" s="1223">
        <f>BJ92/(BJ17)</f>
        <v>0.16545633399214746</v>
      </c>
      <c r="BK94" s="8116">
        <f t="shared" si="34"/>
        <v>0.73572168190397913</v>
      </c>
      <c r="BL94" s="1216">
        <f>BL92/(BL17)</f>
        <v>0.155840376797486</v>
      </c>
      <c r="BM94" s="1213"/>
      <c r="BN94" s="1213"/>
      <c r="BO94" s="1223">
        <f>BO92/(BO17)</f>
        <v>0.16539684103261085</v>
      </c>
    </row>
    <row r="95" spans="1:67" x14ac:dyDescent="0.35">
      <c r="A95" s="9168"/>
      <c r="B95" s="58"/>
      <c r="C95" s="390"/>
      <c r="D95" s="59"/>
      <c r="E95" s="392"/>
      <c r="F95" s="3990"/>
      <c r="G95" s="3991"/>
      <c r="H95" s="3992"/>
      <c r="I95" s="3993"/>
      <c r="J95" s="3994"/>
      <c r="K95" s="3991"/>
      <c r="L95" s="3995"/>
      <c r="M95" s="3994"/>
      <c r="N95" s="3996"/>
      <c r="O95" s="3995"/>
      <c r="P95" s="3993"/>
      <c r="Q95" s="3997"/>
      <c r="R95" s="3997"/>
      <c r="S95" s="3998"/>
      <c r="T95" s="3999"/>
      <c r="U95" s="3992"/>
      <c r="V95" s="3997"/>
      <c r="W95" s="3997"/>
      <c r="X95" s="404"/>
      <c r="Z95" s="3995"/>
      <c r="AA95" s="3997"/>
      <c r="AB95" s="3993"/>
      <c r="AC95" s="3997"/>
      <c r="AD95" s="3998"/>
      <c r="AE95" s="3999"/>
      <c r="AF95" s="3992"/>
      <c r="AG95" s="3997"/>
      <c r="AH95" s="3997"/>
      <c r="AI95" s="404"/>
      <c r="AK95" s="3995"/>
      <c r="AL95" s="3997"/>
      <c r="AM95" s="3993"/>
      <c r="AN95" s="3997"/>
      <c r="AO95" s="64" t="str">
        <f t="shared" ref="AO95:AO101" si="41">IFERROR(AM95/AK95, "")</f>
        <v/>
      </c>
      <c r="AP95" s="3999"/>
      <c r="AQ95" s="3992"/>
      <c r="AR95" s="3997"/>
      <c r="AS95" s="3997"/>
      <c r="AT95" s="404"/>
      <c r="AV95" s="7366"/>
      <c r="AW95" s="7363"/>
      <c r="AX95" s="7363"/>
      <c r="AY95" s="7371"/>
      <c r="AZ95" s="7481" t="str">
        <f t="shared" si="21"/>
        <v/>
      </c>
      <c r="BA95" s="7366"/>
      <c r="BB95" s="7363"/>
      <c r="BC95" s="7363"/>
      <c r="BD95" s="7371"/>
      <c r="BG95" s="1216"/>
      <c r="BH95" s="1213"/>
      <c r="BI95" s="1213"/>
      <c r="BJ95" s="1223"/>
      <c r="BK95" s="8116" t="str">
        <f t="shared" si="34"/>
        <v/>
      </c>
      <c r="BL95" s="1216"/>
      <c r="BM95" s="1213"/>
      <c r="BN95" s="1213"/>
      <c r="BO95" s="1223"/>
    </row>
    <row r="96" spans="1:67" x14ac:dyDescent="0.35">
      <c r="A96" s="9168"/>
      <c r="B96" s="58"/>
      <c r="C96" s="390"/>
      <c r="D96" s="59" t="s">
        <v>577</v>
      </c>
      <c r="E96" s="392"/>
      <c r="F96" s="3990" t="e">
        <f>F90/F12</f>
        <v>#DIV/0!</v>
      </c>
      <c r="G96" s="3991"/>
      <c r="H96" s="3992">
        <f t="shared" ref="H96:I96" si="42">H90/H12</f>
        <v>0.32295512539267418</v>
      </c>
      <c r="I96" s="3993">
        <f t="shared" si="42"/>
        <v>0.29938153276351104</v>
      </c>
      <c r="J96" s="3994"/>
      <c r="K96" s="3991"/>
      <c r="L96" s="3995">
        <f t="shared" ref="L96:M96" si="43">L90/L12</f>
        <v>0.3513114824009097</v>
      </c>
      <c r="M96" s="3994">
        <f t="shared" si="43"/>
        <v>0.33192038767535309</v>
      </c>
      <c r="N96" s="3996"/>
      <c r="O96" s="3995">
        <f>O90/O12</f>
        <v>0.39614251698269004</v>
      </c>
      <c r="P96" s="3993">
        <f>P90/P12</f>
        <v>0.29316305822876709</v>
      </c>
      <c r="Q96" s="3997"/>
      <c r="R96" s="3997"/>
      <c r="S96" s="3998"/>
      <c r="T96" s="3999"/>
      <c r="U96" s="3992">
        <f>U90/U12</f>
        <v>0.29862050307822047</v>
      </c>
      <c r="V96" s="3997"/>
      <c r="W96" s="3997"/>
      <c r="X96" s="404">
        <f>X90/X12</f>
        <v>0.262891117219194</v>
      </c>
      <c r="Z96" s="3995">
        <f>Z90/Z12</f>
        <v>0.26515530347377231</v>
      </c>
      <c r="AA96" s="3997"/>
      <c r="AB96" s="3993">
        <f>AB90/AB12</f>
        <v>0.25102801553728143</v>
      </c>
      <c r="AC96" s="3997"/>
      <c r="AD96" s="3998"/>
      <c r="AE96" s="3999"/>
      <c r="AF96" s="3992">
        <f>AF90/AF12</f>
        <v>0.23489468201289129</v>
      </c>
      <c r="AG96" s="3997"/>
      <c r="AH96" s="3997"/>
      <c r="AI96" s="404">
        <f>AI90/AI12</f>
        <v>0.19666190678086473</v>
      </c>
      <c r="AK96" s="3995">
        <f>AK90/AK12</f>
        <v>0.23489468201289129</v>
      </c>
      <c r="AL96" s="3997"/>
      <c r="AM96" s="3993">
        <f>AM90/AM12</f>
        <v>0.19666190678086473</v>
      </c>
      <c r="AN96" s="3997"/>
      <c r="AO96" s="64">
        <f t="shared" si="41"/>
        <v>0.83723439413614187</v>
      </c>
      <c r="AP96" s="3999"/>
      <c r="AQ96" s="3992">
        <f>AQ90/AQ12</f>
        <v>0.17842452394910169</v>
      </c>
      <c r="AR96" s="3997"/>
      <c r="AS96" s="3997"/>
      <c r="AT96" s="404">
        <f>AT90/AT12</f>
        <v>0.13992401700095333</v>
      </c>
      <c r="AV96" s="7366">
        <f>AV90/AV12</f>
        <v>0.22663460817196476</v>
      </c>
      <c r="AW96" s="7363"/>
      <c r="AX96" s="7363"/>
      <c r="AY96" s="7371">
        <f>AY90/AY12</f>
        <v>0.18820540263766217</v>
      </c>
      <c r="AZ96" s="7481">
        <f t="shared" si="21"/>
        <v>0.83043540505895086</v>
      </c>
      <c r="BA96" s="7366">
        <f>BA90/BA12</f>
        <v>0.20381829875741317</v>
      </c>
      <c r="BB96" s="7363"/>
      <c r="BC96" s="7363"/>
      <c r="BD96" s="7371">
        <f>BD90/BD12</f>
        <v>0.16166616214022428</v>
      </c>
      <c r="BG96" s="1216">
        <f>BG90/BG12</f>
        <v>0.20343052643251511</v>
      </c>
      <c r="BH96" s="1213"/>
      <c r="BI96" s="1213"/>
      <c r="BJ96" s="1223">
        <f>BJ90/BJ12</f>
        <v>0.1408164554874172</v>
      </c>
      <c r="BK96" s="8116">
        <f t="shared" si="34"/>
        <v>0.69220906988180486</v>
      </c>
      <c r="BL96" s="1216">
        <f>BL90/BL12</f>
        <v>0.22289535864578422</v>
      </c>
      <c r="BM96" s="1213"/>
      <c r="BN96" s="1213"/>
      <c r="BO96" s="1223">
        <f>BO90/BO12</f>
        <v>0.19351125951149872</v>
      </c>
    </row>
    <row r="97" spans="1:67" x14ac:dyDescent="0.35">
      <c r="A97" s="9168"/>
      <c r="B97" s="58"/>
      <c r="C97" s="390"/>
      <c r="D97" s="59" t="s">
        <v>578</v>
      </c>
      <c r="E97" s="392"/>
      <c r="F97" s="688">
        <f>F90-F69</f>
        <v>0</v>
      </c>
      <c r="G97" s="419"/>
      <c r="H97" s="415">
        <f t="shared" ref="H97:I97" si="44">H90-H69</f>
        <v>843764.50994054007</v>
      </c>
      <c r="I97" s="416">
        <f t="shared" si="44"/>
        <v>666483.1682381283</v>
      </c>
      <c r="J97" s="418"/>
      <c r="K97" s="419"/>
      <c r="L97" s="420">
        <f t="shared" ref="L97:M97" si="45">L90-L69</f>
        <v>839626.71408556134</v>
      </c>
      <c r="M97" s="418">
        <f t="shared" si="45"/>
        <v>675947.45575707103</v>
      </c>
      <c r="N97" s="417"/>
      <c r="O97" s="420">
        <f>O90-O69</f>
        <v>937569.40045325551</v>
      </c>
      <c r="P97" s="416">
        <f>P90-P69</f>
        <v>673914.03859928576</v>
      </c>
      <c r="Q97" s="417"/>
      <c r="R97" s="417"/>
      <c r="S97" s="418"/>
      <c r="T97" s="419"/>
      <c r="U97" s="415">
        <f>U90-U69</f>
        <v>736778.09972770966</v>
      </c>
      <c r="V97" s="417"/>
      <c r="W97" s="417"/>
      <c r="X97" s="404">
        <f>X90-X69</f>
        <v>752500.21274923859</v>
      </c>
      <c r="Z97" s="420">
        <f>Z90-Z69</f>
        <v>651129.57439256448</v>
      </c>
      <c r="AA97" s="417"/>
      <c r="AB97" s="416">
        <f>AB90-AB69</f>
        <v>717302.60359483433</v>
      </c>
      <c r="AC97" s="417"/>
      <c r="AD97" s="418"/>
      <c r="AE97" s="419"/>
      <c r="AF97" s="415">
        <f>AF90-AF69</f>
        <v>844704.29619719437</v>
      </c>
      <c r="AG97" s="417"/>
      <c r="AH97" s="417"/>
      <c r="AI97" s="404">
        <f>AI90-AI69</f>
        <v>605787.03971520241</v>
      </c>
      <c r="AK97" s="420">
        <f>AK90-AK69</f>
        <v>844704.29619719437</v>
      </c>
      <c r="AL97" s="417"/>
      <c r="AM97" s="416">
        <f>AM90-AM69</f>
        <v>605787.03971520241</v>
      </c>
      <c r="AN97" s="417"/>
      <c r="AO97" s="64">
        <f t="shared" si="41"/>
        <v>0.7171587056469555</v>
      </c>
      <c r="AP97" s="419"/>
      <c r="AQ97" s="415">
        <f>AQ90-AQ69</f>
        <v>791887.46910590609</v>
      </c>
      <c r="AR97" s="417"/>
      <c r="AS97" s="417"/>
      <c r="AT97" s="404">
        <f>AT90-AT69</f>
        <v>641151.8550327993</v>
      </c>
      <c r="AV97" s="7092">
        <f>AV90-AV69</f>
        <v>1005854.4773155856</v>
      </c>
      <c r="AW97" s="7094"/>
      <c r="AX97" s="7094"/>
      <c r="AY97" s="7371">
        <f>AY90-AY69</f>
        <v>862384.06825834524</v>
      </c>
      <c r="AZ97" s="7481">
        <f t="shared" si="21"/>
        <v>0.85736464638489973</v>
      </c>
      <c r="BA97" s="7092">
        <f>BA90-BA69</f>
        <v>1154194.2874831059</v>
      </c>
      <c r="BB97" s="7094"/>
      <c r="BC97" s="7094"/>
      <c r="BD97" s="7371">
        <f>BD90-BD69</f>
        <v>945180.14786514465</v>
      </c>
      <c r="BG97" s="1227"/>
      <c r="BH97" s="1224"/>
      <c r="BI97" s="1224"/>
      <c r="BJ97" s="1223"/>
      <c r="BK97" s="8116" t="str">
        <f t="shared" si="34"/>
        <v/>
      </c>
      <c r="BL97" s="1227"/>
      <c r="BM97" s="1224"/>
      <c r="BN97" s="1224"/>
      <c r="BO97" s="1223"/>
    </row>
    <row r="98" spans="1:67" x14ac:dyDescent="0.35">
      <c r="A98" s="9168"/>
      <c r="B98" s="58"/>
      <c r="C98" s="390"/>
      <c r="D98" s="59" t="s">
        <v>579</v>
      </c>
      <c r="E98" s="392"/>
      <c r="F98" s="3990" t="e">
        <f>F97/F12</f>
        <v>#DIV/0!</v>
      </c>
      <c r="G98" s="3991"/>
      <c r="H98" s="3992">
        <f t="shared" ref="H98:I98" si="46">H97/H12</f>
        <v>0.32295512539267418</v>
      </c>
      <c r="I98" s="3993">
        <f t="shared" si="46"/>
        <v>0.29938153276351104</v>
      </c>
      <c r="J98" s="3994"/>
      <c r="K98" s="3991"/>
      <c r="L98" s="3995">
        <f t="shared" ref="L98:M98" si="47">L97/L12</f>
        <v>0.3513114824009097</v>
      </c>
      <c r="M98" s="3994">
        <f t="shared" si="47"/>
        <v>0.33192038767535309</v>
      </c>
      <c r="N98" s="3996"/>
      <c r="O98" s="3995">
        <f>O97/O12</f>
        <v>0.39229206312913989</v>
      </c>
      <c r="P98" s="3993">
        <f>P97/P12</f>
        <v>0.28921375691499412</v>
      </c>
      <c r="Q98" s="3996"/>
      <c r="R98" s="3996"/>
      <c r="S98" s="3994"/>
      <c r="T98" s="3991"/>
      <c r="U98" s="3992">
        <f>U97/U12</f>
        <v>0.28787827627669083</v>
      </c>
      <c r="V98" s="3996"/>
      <c r="W98" s="3996"/>
      <c r="X98" s="404">
        <f>X97/X12</f>
        <v>0.25362479878517585</v>
      </c>
      <c r="Z98" s="3995">
        <f>Z97/Z12</f>
        <v>0.25441308086950715</v>
      </c>
      <c r="AA98" s="3996"/>
      <c r="AB98" s="3993">
        <f>AB97/AB12</f>
        <v>0.24176169710326328</v>
      </c>
      <c r="AC98" s="3996"/>
      <c r="AD98" s="3994"/>
      <c r="AE98" s="3991"/>
      <c r="AF98" s="3992">
        <f>AF97/AF12</f>
        <v>0.23489468201289129</v>
      </c>
      <c r="AG98" s="3996"/>
      <c r="AH98" s="3996"/>
      <c r="AI98" s="404">
        <f>AI97/AI12</f>
        <v>0.19666190678086473</v>
      </c>
      <c r="AK98" s="3995">
        <f>AK97/AK12</f>
        <v>0.23489468201289129</v>
      </c>
      <c r="AL98" s="3996"/>
      <c r="AM98" s="3993">
        <f>AM97/AM12</f>
        <v>0.19666190678086473</v>
      </c>
      <c r="AN98" s="3996"/>
      <c r="AO98" s="64">
        <f t="shared" si="41"/>
        <v>0.83723439413614187</v>
      </c>
      <c r="AP98" s="3991"/>
      <c r="AQ98" s="3992">
        <f>AQ97/AQ12</f>
        <v>0.17842452394910169</v>
      </c>
      <c r="AR98" s="3996"/>
      <c r="AS98" s="3996"/>
      <c r="AT98" s="404">
        <f>AT97/AT12</f>
        <v>0.13992401700095333</v>
      </c>
      <c r="AV98" s="7366">
        <f>AV97/AV12</f>
        <v>0.22663460817196476</v>
      </c>
      <c r="AW98" s="7374"/>
      <c r="AX98" s="7374"/>
      <c r="AY98" s="7371">
        <f>AY97/AY12</f>
        <v>0.18820540263766217</v>
      </c>
      <c r="AZ98" s="7481">
        <f t="shared" si="21"/>
        <v>0.83043540505895086</v>
      </c>
      <c r="BA98" s="7366">
        <f>BA97/BA12</f>
        <v>0.20381829875741317</v>
      </c>
      <c r="BB98" s="7374"/>
      <c r="BC98" s="7374"/>
      <c r="BD98" s="7371">
        <f>BD97/BD12</f>
        <v>0.16166616214022428</v>
      </c>
      <c r="BG98" s="1216"/>
      <c r="BH98" s="1230"/>
      <c r="BI98" s="1230"/>
      <c r="BJ98" s="1223"/>
      <c r="BK98" s="8116" t="str">
        <f t="shared" si="34"/>
        <v/>
      </c>
      <c r="BL98" s="1216"/>
      <c r="BM98" s="1230"/>
      <c r="BN98" s="1230"/>
      <c r="BO98" s="1223"/>
    </row>
    <row r="99" spans="1:67" x14ac:dyDescent="0.35">
      <c r="A99" s="9168"/>
      <c r="B99" s="58"/>
      <c r="C99" s="390"/>
      <c r="D99" s="59"/>
      <c r="E99" s="392"/>
      <c r="F99" s="3990"/>
      <c r="G99" s="3991"/>
      <c r="H99" s="3992"/>
      <c r="I99" s="3993"/>
      <c r="J99" s="3994"/>
      <c r="K99" s="3991"/>
      <c r="L99" s="3995"/>
      <c r="M99" s="3994"/>
      <c r="N99" s="3996"/>
      <c r="O99" s="3995"/>
      <c r="P99" s="3993"/>
      <c r="Q99" s="3996"/>
      <c r="R99" s="3996"/>
      <c r="S99" s="3994"/>
      <c r="T99" s="3991"/>
      <c r="U99" s="3992"/>
      <c r="V99" s="3996"/>
      <c r="W99" s="3996"/>
      <c r="X99" s="4000"/>
      <c r="Z99" s="3995"/>
      <c r="AA99" s="3996"/>
      <c r="AB99" s="3993"/>
      <c r="AC99" s="3996"/>
      <c r="AD99" s="3994"/>
      <c r="AE99" s="3991"/>
      <c r="AF99" s="3992"/>
      <c r="AG99" s="3996"/>
      <c r="AH99" s="3996"/>
      <c r="AI99" s="4000"/>
      <c r="AK99" s="3995"/>
      <c r="AL99" s="3996"/>
      <c r="AM99" s="3993"/>
      <c r="AN99" s="3996"/>
      <c r="AO99" s="64" t="str">
        <f t="shared" si="41"/>
        <v/>
      </c>
      <c r="AP99" s="3991"/>
      <c r="AQ99" s="3992"/>
      <c r="AR99" s="3996"/>
      <c r="AS99" s="3996"/>
      <c r="AT99" s="4000"/>
      <c r="AV99" s="7366"/>
      <c r="AW99" s="7374"/>
      <c r="AX99" s="7374"/>
      <c r="AY99" s="7367"/>
      <c r="AZ99" s="7481" t="str">
        <f t="shared" si="21"/>
        <v/>
      </c>
      <c r="BA99" s="7366"/>
      <c r="BB99" s="7374"/>
      <c r="BC99" s="7374"/>
      <c r="BD99" s="7367"/>
      <c r="BG99" s="1216"/>
      <c r="BH99" s="1230"/>
      <c r="BI99" s="1230"/>
      <c r="BJ99" s="1217"/>
      <c r="BK99" s="8116" t="str">
        <f t="shared" si="34"/>
        <v/>
      </c>
      <c r="BL99" s="1216"/>
      <c r="BM99" s="1230"/>
      <c r="BN99" s="1230"/>
      <c r="BO99" s="1217"/>
    </row>
    <row r="100" spans="1:67" x14ac:dyDescent="0.35">
      <c r="A100" s="9168"/>
      <c r="B100" s="58"/>
      <c r="C100" s="390"/>
      <c r="D100" s="59" t="s">
        <v>580</v>
      </c>
      <c r="E100" s="424"/>
      <c r="F100" s="4001"/>
      <c r="G100" s="4002"/>
      <c r="H100" s="4003"/>
      <c r="I100" s="4004"/>
      <c r="J100" s="4005"/>
      <c r="K100" s="4002"/>
      <c r="L100" s="4006"/>
      <c r="M100" s="4005"/>
      <c r="N100" s="3996"/>
      <c r="O100" s="4006"/>
      <c r="P100" s="4004"/>
      <c r="Q100" s="3996"/>
      <c r="R100" s="3996"/>
      <c r="S100" s="3994"/>
      <c r="T100" s="3991"/>
      <c r="U100" s="4003"/>
      <c r="V100" s="3996"/>
      <c r="W100" s="3996"/>
      <c r="X100" s="4007"/>
      <c r="Z100" s="4006"/>
      <c r="AA100" s="3996"/>
      <c r="AB100" s="4004"/>
      <c r="AC100" s="3996"/>
      <c r="AD100" s="3994"/>
      <c r="AE100" s="3991"/>
      <c r="AF100" s="4003"/>
      <c r="AG100" s="3996"/>
      <c r="AH100" s="3996"/>
      <c r="AI100" s="4007"/>
      <c r="AK100" s="4006"/>
      <c r="AL100" s="3996"/>
      <c r="AM100" s="4004"/>
      <c r="AN100" s="3996"/>
      <c r="AO100" s="64" t="str">
        <f t="shared" si="41"/>
        <v/>
      </c>
      <c r="AP100" s="3991"/>
      <c r="AQ100" s="4003"/>
      <c r="AR100" s="3996"/>
      <c r="AS100" s="3996"/>
      <c r="AT100" s="4007"/>
      <c r="AV100" s="4003"/>
      <c r="AW100" s="7374"/>
      <c r="AX100" s="7374"/>
      <c r="AY100" s="4007"/>
      <c r="AZ100" s="7481" t="str">
        <f t="shared" si="21"/>
        <v/>
      </c>
      <c r="BA100" s="4003"/>
      <c r="BB100" s="7374"/>
      <c r="BC100" s="7374"/>
      <c r="BD100" s="4007"/>
      <c r="BG100" s="4003"/>
      <c r="BH100" s="1230"/>
      <c r="BI100" s="1230"/>
      <c r="BJ100" s="4007"/>
      <c r="BK100" s="8116" t="str">
        <f t="shared" si="34"/>
        <v/>
      </c>
      <c r="BL100" s="4003"/>
      <c r="BM100" s="1230"/>
      <c r="BN100" s="1230"/>
      <c r="BO100" s="4007"/>
    </row>
    <row r="101" spans="1:67" x14ac:dyDescent="0.35">
      <c r="A101" s="9169"/>
      <c r="B101" s="85"/>
      <c r="C101" s="432"/>
      <c r="D101" s="86" t="s">
        <v>581</v>
      </c>
      <c r="E101" s="274"/>
      <c r="F101" s="4008"/>
      <c r="G101" s="4009"/>
      <c r="H101" s="4010"/>
      <c r="I101" s="4011"/>
      <c r="J101" s="4012"/>
      <c r="K101" s="4009"/>
      <c r="L101" s="4013"/>
      <c r="M101" s="4014"/>
      <c r="N101" s="3996"/>
      <c r="O101" s="4013"/>
      <c r="P101" s="4011"/>
      <c r="Q101" s="4015"/>
      <c r="R101" s="4015"/>
      <c r="S101" s="4012"/>
      <c r="T101" s="4002"/>
      <c r="U101" s="4010"/>
      <c r="V101" s="4015"/>
      <c r="W101" s="4015"/>
      <c r="X101" s="4016"/>
      <c r="Z101" s="4013"/>
      <c r="AA101" s="4015"/>
      <c r="AB101" s="4011"/>
      <c r="AC101" s="4015"/>
      <c r="AD101" s="4012"/>
      <c r="AE101" s="4002"/>
      <c r="AF101" s="4010"/>
      <c r="AG101" s="4015"/>
      <c r="AH101" s="4015"/>
      <c r="AI101" s="4016"/>
      <c r="AK101" s="4013"/>
      <c r="AL101" s="4015"/>
      <c r="AM101" s="4011"/>
      <c r="AN101" s="4015"/>
      <c r="AO101" s="64" t="str">
        <f t="shared" si="41"/>
        <v/>
      </c>
      <c r="AP101" s="4002"/>
      <c r="AQ101" s="4010"/>
      <c r="AR101" s="4015"/>
      <c r="AS101" s="4015"/>
      <c r="AT101" s="4016"/>
      <c r="AV101" s="4010"/>
      <c r="AW101" s="7482"/>
      <c r="AX101" s="7482"/>
      <c r="AY101" s="4016"/>
      <c r="AZ101" s="7481" t="str">
        <f t="shared" si="21"/>
        <v/>
      </c>
      <c r="BA101" s="4010"/>
      <c r="BB101" s="7482"/>
      <c r="BC101" s="7482"/>
      <c r="BD101" s="4016"/>
      <c r="BG101" s="4010"/>
      <c r="BH101" s="4015"/>
      <c r="BI101" s="4015"/>
      <c r="BJ101" s="4016"/>
      <c r="BK101" s="8116" t="str">
        <f t="shared" si="34"/>
        <v/>
      </c>
      <c r="BL101" s="4010"/>
      <c r="BM101" s="4015"/>
      <c r="BN101" s="4015"/>
      <c r="BO101" s="4016"/>
    </row>
    <row r="102" spans="1:67" s="462" customFormat="1" ht="12" x14ac:dyDescent="0.3">
      <c r="C102" s="456"/>
      <c r="D102" s="2"/>
      <c r="E102" s="456"/>
      <c r="F102" s="456"/>
      <c r="G102" s="456"/>
      <c r="H102" s="459"/>
      <c r="I102" s="459"/>
      <c r="J102" s="7"/>
      <c r="K102" s="456"/>
      <c r="N102" s="456"/>
      <c r="O102" s="459"/>
      <c r="P102" s="459"/>
      <c r="Q102" s="459"/>
      <c r="R102" s="459"/>
      <c r="S102" s="7"/>
      <c r="T102" s="456"/>
      <c r="Y102" s="456"/>
      <c r="Z102" s="459"/>
      <c r="AA102" s="459"/>
      <c r="AB102" s="459"/>
      <c r="AC102" s="459"/>
      <c r="AD102" s="7"/>
      <c r="AE102" s="456"/>
      <c r="AJ102" s="456"/>
      <c r="AK102" s="459"/>
      <c r="AL102" s="459"/>
      <c r="AM102" s="459"/>
      <c r="AN102" s="459"/>
      <c r="AO102" s="7"/>
      <c r="AP102" s="456"/>
      <c r="AU102" s="456"/>
    </row>
    <row r="103" spans="1:67" s="462" customFormat="1" ht="12" x14ac:dyDescent="0.3">
      <c r="A103" s="455" t="s">
        <v>582</v>
      </c>
      <c r="B103" s="455"/>
      <c r="C103" s="456"/>
      <c r="D103" s="2"/>
      <c r="E103" s="456"/>
      <c r="F103" s="456"/>
      <c r="G103" s="456"/>
      <c r="H103" s="459"/>
      <c r="I103" s="459"/>
      <c r="J103" s="7"/>
      <c r="K103" s="456"/>
      <c r="N103" s="456"/>
      <c r="O103" s="459"/>
      <c r="P103" s="459"/>
      <c r="Q103" s="459"/>
      <c r="R103" s="459"/>
      <c r="S103" s="7"/>
      <c r="T103" s="456"/>
      <c r="Y103" s="456"/>
      <c r="Z103" s="459"/>
      <c r="AA103" s="459"/>
      <c r="AB103" s="459"/>
      <c r="AC103" s="459"/>
      <c r="AD103" s="7"/>
      <c r="AE103" s="456"/>
      <c r="AJ103" s="456"/>
      <c r="AK103" s="459"/>
      <c r="AL103" s="459"/>
      <c r="AM103" s="459"/>
      <c r="AN103" s="459"/>
      <c r="AO103" s="7"/>
      <c r="AP103" s="456"/>
      <c r="AU103" s="456"/>
    </row>
    <row r="104" spans="1:67" s="462" customFormat="1" ht="12" customHeight="1" x14ac:dyDescent="0.3">
      <c r="A104" s="463">
        <v>1</v>
      </c>
      <c r="B104" s="464" t="str">
        <f>BE20</f>
        <v>Interests payments</v>
      </c>
      <c r="D104" s="709"/>
      <c r="E104" s="466"/>
      <c r="F104" s="466"/>
      <c r="G104" s="466"/>
      <c r="H104" s="466"/>
      <c r="I104" s="466"/>
      <c r="J104" s="467"/>
      <c r="K104" s="466"/>
      <c r="L104" s="466"/>
      <c r="M104" s="466"/>
      <c r="N104" s="456"/>
      <c r="O104" s="466"/>
      <c r="P104" s="466"/>
      <c r="Q104" s="466"/>
      <c r="R104" s="466"/>
      <c r="S104" s="467"/>
      <c r="T104" s="466"/>
      <c r="U104" s="466"/>
      <c r="V104" s="466"/>
      <c r="W104" s="466"/>
      <c r="X104" s="466"/>
      <c r="Y104" s="456"/>
      <c r="Z104" s="466"/>
      <c r="AA104" s="466"/>
      <c r="AB104" s="466"/>
      <c r="AC104" s="466"/>
      <c r="AD104" s="467"/>
      <c r="AE104" s="466"/>
      <c r="AF104" s="466"/>
      <c r="AG104" s="466"/>
      <c r="AH104" s="466"/>
      <c r="AI104" s="466"/>
      <c r="AJ104" s="456"/>
      <c r="AK104" s="466"/>
      <c r="AL104" s="466"/>
      <c r="AM104" s="466"/>
      <c r="AN104" s="466"/>
      <c r="AO104" s="467"/>
      <c r="AP104" s="466"/>
      <c r="AQ104" s="466"/>
      <c r="AR104" s="466"/>
      <c r="AS104" s="466"/>
      <c r="AT104" s="466"/>
      <c r="AU104" s="456"/>
      <c r="AV104" s="466"/>
      <c r="AW104" s="466"/>
      <c r="AX104" s="466"/>
      <c r="AY104" s="466"/>
      <c r="BA104" s="466"/>
      <c r="BB104" s="466"/>
      <c r="BC104" s="466"/>
      <c r="BD104" s="466"/>
      <c r="BE104" s="577"/>
      <c r="BG104" s="466"/>
      <c r="BH104" s="466"/>
      <c r="BI104" s="466"/>
      <c r="BJ104" s="466"/>
      <c r="BL104" s="466"/>
      <c r="BM104" s="466"/>
      <c r="BN104" s="466"/>
      <c r="BO104" s="466"/>
    </row>
    <row r="105" spans="1:67" s="462" customFormat="1" ht="12" x14ac:dyDescent="0.3">
      <c r="A105" s="468">
        <v>2</v>
      </c>
      <c r="B105" s="469" t="str">
        <f>BE26</f>
        <v>Pension, Gratuity and Social Security</v>
      </c>
      <c r="D105" s="2"/>
      <c r="E105" s="456"/>
      <c r="F105" s="456"/>
      <c r="G105" s="456"/>
      <c r="H105" s="459"/>
      <c r="I105" s="459"/>
      <c r="J105" s="7"/>
      <c r="K105" s="456"/>
      <c r="N105" s="456"/>
      <c r="O105" s="459"/>
      <c r="P105" s="459"/>
      <c r="Q105" s="459"/>
      <c r="R105" s="459"/>
      <c r="S105" s="7"/>
      <c r="T105" s="456"/>
      <c r="Y105" s="456"/>
      <c r="Z105" s="459"/>
      <c r="AA105" s="459"/>
      <c r="AB105" s="459"/>
      <c r="AC105" s="459"/>
      <c r="AD105" s="7"/>
      <c r="AE105" s="456"/>
      <c r="AJ105" s="456"/>
      <c r="AK105" s="459"/>
      <c r="AL105" s="459"/>
      <c r="AM105" s="459"/>
      <c r="AN105" s="459"/>
      <c r="AO105" s="7"/>
      <c r="AP105" s="456"/>
      <c r="AU105" s="456"/>
      <c r="BE105" s="577"/>
    </row>
    <row r="106" spans="1:67" s="462" customFormat="1" ht="12" x14ac:dyDescent="0.3">
      <c r="A106" s="463">
        <v>3</v>
      </c>
      <c r="B106" s="469" t="str">
        <f>BE35</f>
        <v>Teachers only, other staff not separated from public service</v>
      </c>
      <c r="D106" s="2"/>
      <c r="E106" s="456"/>
      <c r="F106" s="456"/>
      <c r="G106" s="456"/>
      <c r="H106" s="459"/>
      <c r="I106" s="459"/>
      <c r="J106" s="7"/>
      <c r="K106" s="456"/>
      <c r="N106" s="456"/>
      <c r="O106" s="459"/>
      <c r="P106" s="459"/>
      <c r="Q106" s="459"/>
      <c r="R106" s="459"/>
      <c r="S106" s="7"/>
      <c r="T106" s="456"/>
      <c r="Y106" s="456"/>
      <c r="Z106" s="459"/>
      <c r="AA106" s="459"/>
      <c r="AB106" s="459"/>
      <c r="AC106" s="459"/>
      <c r="AD106" s="7"/>
      <c r="AE106" s="456"/>
      <c r="AJ106" s="456"/>
      <c r="AK106" s="459"/>
      <c r="AL106" s="459"/>
      <c r="AM106" s="459"/>
      <c r="AN106" s="459"/>
      <c r="AO106" s="7"/>
      <c r="AP106" s="456"/>
      <c r="AU106" s="456"/>
      <c r="BE106" s="577"/>
    </row>
    <row r="107" spans="1:67" s="462" customFormat="1" ht="12" x14ac:dyDescent="0.3">
      <c r="A107" s="468">
        <v>4</v>
      </c>
      <c r="B107" s="469">
        <f>BE55</f>
        <v>0</v>
      </c>
      <c r="D107" s="2"/>
      <c r="E107" s="456"/>
      <c r="F107" s="456"/>
      <c r="G107" s="456"/>
      <c r="H107" s="459"/>
      <c r="I107" s="459"/>
      <c r="J107" s="7"/>
      <c r="K107" s="456"/>
      <c r="N107" s="456"/>
      <c r="O107" s="459"/>
      <c r="P107" s="459"/>
      <c r="Q107" s="459"/>
      <c r="R107" s="459"/>
      <c r="S107" s="7"/>
      <c r="T107" s="456"/>
      <c r="Y107" s="456"/>
      <c r="Z107" s="459"/>
      <c r="AA107" s="459"/>
      <c r="AB107" s="459"/>
      <c r="AC107" s="459"/>
      <c r="AD107" s="7"/>
      <c r="AE107" s="456"/>
      <c r="AJ107" s="456"/>
      <c r="AK107" s="459"/>
      <c r="AL107" s="459"/>
      <c r="AM107" s="459"/>
      <c r="AN107" s="459"/>
      <c r="AO107" s="7"/>
      <c r="AP107" s="456"/>
      <c r="AU107" s="456"/>
      <c r="BE107" s="577"/>
    </row>
    <row r="108" spans="1:67" s="462" customFormat="1" ht="12" x14ac:dyDescent="0.3">
      <c r="A108" s="463">
        <v>5</v>
      </c>
      <c r="B108" s="469" t="str">
        <f>BE64</f>
        <v>Grants for devolved function _ Education services</v>
      </c>
      <c r="D108" s="2"/>
      <c r="E108" s="456"/>
      <c r="F108" s="456"/>
      <c r="G108" s="456"/>
      <c r="H108" s="459"/>
      <c r="I108" s="459"/>
      <c r="J108" s="7"/>
      <c r="K108" s="456"/>
      <c r="N108" s="456"/>
      <c r="Y108" s="456"/>
      <c r="AJ108" s="456"/>
      <c r="AU108" s="456"/>
      <c r="BE108" s="577"/>
    </row>
    <row r="109" spans="1:67" s="462" customFormat="1" ht="12" x14ac:dyDescent="0.3">
      <c r="A109" s="468"/>
      <c r="B109" s="469"/>
      <c r="D109" s="2"/>
      <c r="E109" s="456"/>
      <c r="F109" s="456"/>
      <c r="G109" s="456"/>
      <c r="H109" s="459"/>
      <c r="I109" s="459"/>
      <c r="J109" s="7"/>
      <c r="K109" s="456"/>
      <c r="N109" s="456"/>
      <c r="Y109" s="456"/>
      <c r="AJ109" s="456"/>
      <c r="AU109" s="456"/>
      <c r="BE109" s="577"/>
    </row>
    <row r="110" spans="1:67" s="462" customFormat="1" ht="12" x14ac:dyDescent="0.3">
      <c r="A110" s="468"/>
      <c r="B110" s="469"/>
      <c r="D110" s="2"/>
      <c r="E110" s="456"/>
      <c r="F110" s="456"/>
      <c r="G110" s="456"/>
      <c r="H110" s="459"/>
      <c r="I110" s="459"/>
      <c r="J110" s="7"/>
      <c r="K110" s="456"/>
      <c r="N110" s="456"/>
      <c r="Y110" s="456"/>
      <c r="AJ110" s="456"/>
      <c r="AU110" s="456"/>
      <c r="BE110" s="577"/>
    </row>
    <row r="111" spans="1:67" s="462" customFormat="1" ht="12" x14ac:dyDescent="0.3">
      <c r="A111" s="468"/>
      <c r="B111" s="469"/>
      <c r="D111" s="2"/>
      <c r="E111" s="456"/>
      <c r="F111" s="456"/>
      <c r="G111" s="456"/>
      <c r="H111" s="459"/>
      <c r="I111" s="459"/>
      <c r="J111" s="7"/>
      <c r="K111" s="456"/>
      <c r="N111" s="456"/>
      <c r="Y111" s="456"/>
      <c r="AJ111" s="456"/>
      <c r="AU111" s="456"/>
      <c r="BE111" s="577"/>
    </row>
    <row r="112" spans="1:67" s="462" customFormat="1" ht="12" x14ac:dyDescent="0.3">
      <c r="A112" s="468"/>
      <c r="B112" s="469"/>
      <c r="D112" s="2"/>
      <c r="E112" s="456"/>
      <c r="F112" s="456"/>
      <c r="G112" s="456"/>
      <c r="H112" s="459"/>
      <c r="I112" s="459"/>
      <c r="J112" s="7"/>
      <c r="K112" s="456"/>
      <c r="N112" s="456"/>
      <c r="Y112" s="456"/>
      <c r="AJ112" s="456"/>
      <c r="AU112" s="456"/>
      <c r="BE112" s="577"/>
    </row>
    <row r="113" spans="1:67" s="462" customFormat="1" ht="12" x14ac:dyDescent="0.3">
      <c r="A113" s="468"/>
      <c r="B113" s="469"/>
      <c r="D113" s="2"/>
      <c r="E113" s="456"/>
      <c r="F113" s="456"/>
      <c r="G113" s="456"/>
      <c r="H113" s="459"/>
      <c r="I113" s="459"/>
      <c r="J113" s="7"/>
      <c r="K113" s="456"/>
      <c r="N113" s="456"/>
      <c r="Y113" s="456"/>
      <c r="AJ113" s="456"/>
      <c r="AU113" s="456"/>
      <c r="BE113" s="577"/>
    </row>
    <row r="114" spans="1:67" s="462" customFormat="1" ht="12" x14ac:dyDescent="0.3">
      <c r="A114" s="468"/>
      <c r="B114" s="469"/>
      <c r="D114" s="2"/>
      <c r="E114" s="456"/>
      <c r="F114" s="456"/>
      <c r="G114" s="456"/>
      <c r="H114" s="459"/>
      <c r="I114" s="459"/>
      <c r="J114" s="7"/>
      <c r="K114" s="456"/>
      <c r="N114" s="456"/>
      <c r="Y114" s="456"/>
      <c r="AJ114" s="456"/>
      <c r="AU114" s="456"/>
      <c r="BE114" s="577"/>
    </row>
    <row r="115" spans="1:67" s="462" customFormat="1" ht="12" x14ac:dyDescent="0.3">
      <c r="A115" s="468"/>
      <c r="B115" s="469"/>
      <c r="D115" s="2"/>
      <c r="E115" s="456"/>
      <c r="F115" s="456"/>
      <c r="G115" s="456"/>
      <c r="H115" s="459"/>
      <c r="I115" s="459"/>
      <c r="J115" s="7"/>
      <c r="K115" s="456"/>
      <c r="N115" s="456"/>
      <c r="O115" s="459"/>
      <c r="P115" s="459"/>
      <c r="Q115" s="459"/>
      <c r="R115" s="459"/>
      <c r="S115" s="7"/>
      <c r="T115" s="456"/>
      <c r="Y115" s="456"/>
      <c r="Z115" s="459"/>
      <c r="AA115" s="459"/>
      <c r="AB115" s="459"/>
      <c r="AC115" s="459"/>
      <c r="AD115" s="7"/>
      <c r="AE115" s="456"/>
      <c r="AJ115" s="456"/>
      <c r="AK115" s="459"/>
      <c r="AL115" s="459"/>
      <c r="AM115" s="459"/>
      <c r="AN115" s="459"/>
      <c r="AO115" s="7"/>
      <c r="AP115" s="456"/>
      <c r="AU115" s="456"/>
      <c r="BE115" s="577"/>
    </row>
    <row r="116" spans="1:67" s="462" customFormat="1" ht="12" x14ac:dyDescent="0.3">
      <c r="A116" s="468"/>
      <c r="B116" s="469"/>
      <c r="D116" s="2"/>
      <c r="E116" s="456"/>
      <c r="F116" s="456"/>
      <c r="G116" s="456"/>
      <c r="H116" s="459"/>
      <c r="I116" s="459"/>
      <c r="J116" s="7"/>
      <c r="K116" s="456"/>
      <c r="N116" s="456"/>
      <c r="O116" s="459"/>
      <c r="P116" s="459"/>
      <c r="Q116" s="459"/>
      <c r="R116" s="459"/>
      <c r="S116" s="7"/>
      <c r="T116" s="456"/>
      <c r="Y116" s="456"/>
      <c r="Z116" s="459"/>
      <c r="AA116" s="459"/>
      <c r="AB116" s="459"/>
      <c r="AC116" s="459"/>
      <c r="AD116" s="7"/>
      <c r="AE116" s="456"/>
      <c r="AJ116" s="456"/>
      <c r="AK116" s="459"/>
      <c r="AL116" s="459"/>
      <c r="AM116" s="459"/>
      <c r="AN116" s="459"/>
      <c r="AO116" s="7"/>
      <c r="AP116" s="456"/>
      <c r="AU116" s="456"/>
      <c r="BE116" s="577"/>
    </row>
    <row r="117" spans="1:67" s="462" customFormat="1" ht="12" x14ac:dyDescent="0.3">
      <c r="A117" s="468"/>
      <c r="B117" s="469"/>
      <c r="D117" s="2"/>
      <c r="E117" s="456"/>
      <c r="F117" s="456"/>
      <c r="G117" s="456"/>
      <c r="H117" s="459"/>
      <c r="I117" s="459"/>
      <c r="J117" s="7"/>
      <c r="K117" s="456"/>
      <c r="N117" s="456"/>
      <c r="O117" s="459"/>
      <c r="P117" s="459"/>
      <c r="Q117" s="459"/>
      <c r="R117" s="459"/>
      <c r="S117" s="7"/>
      <c r="T117" s="456"/>
      <c r="Y117" s="456"/>
      <c r="Z117" s="459"/>
      <c r="AA117" s="459"/>
      <c r="AB117" s="459"/>
      <c r="AC117" s="459"/>
      <c r="AD117" s="7"/>
      <c r="AE117" s="456"/>
      <c r="AJ117" s="456"/>
      <c r="AK117" s="459"/>
      <c r="AL117" s="459"/>
      <c r="AM117" s="459"/>
      <c r="AN117" s="459"/>
      <c r="AO117" s="7"/>
      <c r="AP117" s="456"/>
      <c r="AU117" s="456"/>
      <c r="BE117" s="577"/>
    </row>
    <row r="118" spans="1:67" s="462" customFormat="1" x14ac:dyDescent="0.35">
      <c r="A118" s="455" t="s">
        <v>583</v>
      </c>
      <c r="B118" s="455"/>
      <c r="C118" s="456"/>
      <c r="D118" s="2"/>
      <c r="E118" s="456"/>
      <c r="F118" s="456"/>
      <c r="G118" s="456"/>
      <c r="H118" s="459"/>
      <c r="I118" s="459"/>
      <c r="J118" s="7"/>
      <c r="K118" s="456"/>
      <c r="N118" s="456"/>
      <c r="O118" s="6"/>
      <c r="P118" s="6"/>
      <c r="Q118" s="6"/>
      <c r="R118" s="6"/>
      <c r="S118" s="7"/>
      <c r="T118" s="1"/>
      <c r="U118"/>
      <c r="V118"/>
      <c r="W118"/>
      <c r="X118"/>
      <c r="Y118" s="456"/>
      <c r="Z118" s="6"/>
      <c r="AA118" s="6"/>
      <c r="AB118" s="6"/>
      <c r="AC118" s="6"/>
      <c r="AD118" s="7"/>
      <c r="AE118" s="1"/>
      <c r="AF118"/>
      <c r="AG118"/>
      <c r="AH118"/>
      <c r="AI118"/>
      <c r="AJ118" s="456"/>
      <c r="AK118" s="6"/>
      <c r="AL118" s="6"/>
      <c r="AM118" s="6"/>
      <c r="AN118" s="6"/>
      <c r="AO118" s="7"/>
      <c r="AP118" s="1"/>
      <c r="AQ118"/>
      <c r="AR118"/>
      <c r="AS118"/>
      <c r="AT118"/>
      <c r="AU118" s="456"/>
      <c r="AV118"/>
      <c r="AW118"/>
      <c r="AX118"/>
      <c r="AY118"/>
      <c r="BA118"/>
      <c r="BB118"/>
      <c r="BC118"/>
      <c r="BD118"/>
      <c r="BE118" s="577"/>
      <c r="BG118"/>
      <c r="BH118"/>
      <c r="BI118"/>
      <c r="BJ118"/>
      <c r="BL118"/>
      <c r="BM118"/>
      <c r="BN118"/>
      <c r="BO118"/>
    </row>
    <row r="119" spans="1:67" s="462" customFormat="1" ht="93" customHeight="1" x14ac:dyDescent="0.35">
      <c r="A119" s="9170" t="s">
        <v>5543</v>
      </c>
      <c r="B119" s="9171"/>
      <c r="C119" s="9171"/>
      <c r="D119" s="9171"/>
      <c r="E119" s="9171"/>
      <c r="F119" s="9171"/>
      <c r="G119" s="9171"/>
      <c r="H119" s="9171"/>
      <c r="I119" s="9171"/>
      <c r="J119" s="9171"/>
      <c r="K119" s="9171"/>
      <c r="L119" s="9171"/>
      <c r="M119" s="9172"/>
      <c r="N119" s="456"/>
      <c r="O119" s="6"/>
      <c r="P119" s="6"/>
      <c r="Q119" s="6"/>
      <c r="R119" s="6"/>
      <c r="S119" s="7"/>
      <c r="T119" s="1"/>
      <c r="U119"/>
      <c r="V119"/>
      <c r="W119"/>
      <c r="X119"/>
      <c r="Y119" s="456"/>
      <c r="Z119" s="6"/>
      <c r="AA119" s="6"/>
      <c r="AB119" s="6"/>
      <c r="AC119" s="6"/>
      <c r="AD119" s="7"/>
      <c r="AE119" s="1"/>
      <c r="AF119"/>
      <c r="AG119"/>
      <c r="AH119"/>
      <c r="AI119"/>
      <c r="AJ119" s="456"/>
      <c r="AK119" s="6"/>
      <c r="AL119" s="6"/>
      <c r="AM119" s="6"/>
      <c r="AN119" s="6"/>
      <c r="AO119" s="7"/>
      <c r="AP119" s="1"/>
      <c r="AQ119"/>
      <c r="AR119"/>
      <c r="AS119"/>
      <c r="AT119"/>
      <c r="AU119" s="456"/>
      <c r="AV119"/>
      <c r="AW119"/>
      <c r="AX119"/>
      <c r="AY119"/>
      <c r="BA119"/>
      <c r="BB119"/>
      <c r="BC119"/>
      <c r="BD119"/>
      <c r="BE119" s="577"/>
      <c r="BG119"/>
      <c r="BH119"/>
      <c r="BI119"/>
      <c r="BJ119"/>
      <c r="BL119"/>
      <c r="BM119"/>
      <c r="BN119"/>
      <c r="BO119"/>
    </row>
  </sheetData>
  <mergeCells count="58">
    <mergeCell ref="F1:M1"/>
    <mergeCell ref="O1:X1"/>
    <mergeCell ref="Z1:AI1"/>
    <mergeCell ref="AK1:AT1"/>
    <mergeCell ref="H4:J4"/>
    <mergeCell ref="L4:M4"/>
    <mergeCell ref="O4:S4"/>
    <mergeCell ref="U4:X4"/>
    <mergeCell ref="Z4:AD4"/>
    <mergeCell ref="AF4:AI4"/>
    <mergeCell ref="AK4:AO4"/>
    <mergeCell ref="AQ4:AT4"/>
    <mergeCell ref="BE4:BE5"/>
    <mergeCell ref="H5:J5"/>
    <mergeCell ref="L5:M5"/>
    <mergeCell ref="O5:S5"/>
    <mergeCell ref="U5:X5"/>
    <mergeCell ref="Z5:AD5"/>
    <mergeCell ref="AF5:AI5"/>
    <mergeCell ref="AK5:AO5"/>
    <mergeCell ref="AQ5:AT5"/>
    <mergeCell ref="AR23:AS23"/>
    <mergeCell ref="A33:A72"/>
    <mergeCell ref="H33:I33"/>
    <mergeCell ref="A74:A83"/>
    <mergeCell ref="U7:X7"/>
    <mergeCell ref="Z7:AB7"/>
    <mergeCell ref="AD7:AD8"/>
    <mergeCell ref="AF7:AI7"/>
    <mergeCell ref="AQ7:AT7"/>
    <mergeCell ref="H7:I7"/>
    <mergeCell ref="J7:J8"/>
    <mergeCell ref="L7:M7"/>
    <mergeCell ref="O7:P7"/>
    <mergeCell ref="S7:S8"/>
    <mergeCell ref="A85:A101"/>
    <mergeCell ref="A119:M119"/>
    <mergeCell ref="AK7:AM7"/>
    <mergeCell ref="AO7:AO8"/>
    <mergeCell ref="A10:A31"/>
    <mergeCell ref="AV7:AY7"/>
    <mergeCell ref="BA7:BD7"/>
    <mergeCell ref="AW23:AX23"/>
    <mergeCell ref="BB23:BC23"/>
    <mergeCell ref="AV1:BD1"/>
    <mergeCell ref="AV4:AY4"/>
    <mergeCell ref="BA4:BD4"/>
    <mergeCell ref="AV5:AY5"/>
    <mergeCell ref="BA5:BD5"/>
    <mergeCell ref="BG7:BJ7"/>
    <mergeCell ref="BL7:BO7"/>
    <mergeCell ref="BH23:BI23"/>
    <mergeCell ref="BM23:BN23"/>
    <mergeCell ref="BG1:BO1"/>
    <mergeCell ref="BG4:BJ4"/>
    <mergeCell ref="BL4:BO4"/>
    <mergeCell ref="BG5:BJ5"/>
    <mergeCell ref="BL5:BO5"/>
  </mergeCells>
  <hyperlinks>
    <hyperlink ref="BE10" r:id="rId1" xr:uid="{00000000-0004-0000-2700-000000000000}"/>
    <hyperlink ref="I9" r:id="rId2" xr:uid="{00000000-0004-0000-2700-000001000000}"/>
    <hyperlink ref="W33" r:id="rId3" xr:uid="{00000000-0004-0000-2700-000002000000}"/>
    <hyperlink ref="R33" r:id="rId4" xr:uid="{00000000-0004-0000-2700-000003000000}"/>
    <hyperlink ref="W10" r:id="rId5" xr:uid="{00000000-0004-0000-2700-000004000000}"/>
    <hyperlink ref="AH33" r:id="rId6" xr:uid="{00000000-0004-0000-2700-000005000000}"/>
    <hyperlink ref="AC33" r:id="rId7" xr:uid="{00000000-0004-0000-2700-000006000000}"/>
    <hyperlink ref="AA10" r:id="rId8" xr:uid="{00000000-0004-0000-2700-000007000000}"/>
    <hyperlink ref="AG10" r:id="rId9" xr:uid="{00000000-0004-0000-2700-000008000000}"/>
    <hyperlink ref="BE11" r:id="rId10" xr:uid="{00000000-0004-0000-2700-000009000000}"/>
    <hyperlink ref="AH10" r:id="rId11" xr:uid="{00000000-0004-0000-2700-00000A000000}"/>
    <hyperlink ref="AS33" r:id="rId12" xr:uid="{00000000-0004-0000-2700-00000B000000}"/>
    <hyperlink ref="AL10" r:id="rId13" xr:uid="{00000000-0004-0000-2700-00000C000000}"/>
    <hyperlink ref="AN33" r:id="rId14" xr:uid="{00000000-0004-0000-2700-00000D000000}"/>
    <hyperlink ref="AR33" r:id="rId15" xr:uid="{00000000-0004-0000-2700-00000E000000}"/>
    <hyperlink ref="AN10" r:id="rId16" xr:uid="{00000000-0004-0000-2700-00000F000000}"/>
    <hyperlink ref="AR10" r:id="rId17" xr:uid="{00000000-0004-0000-2700-000010000000}"/>
    <hyperlink ref="AS10" r:id="rId18" xr:uid="{00000000-0004-0000-2700-000011000000}"/>
    <hyperlink ref="AX33" r:id="rId19" xr:uid="{69799C41-DBF5-4F01-A889-B5071FD0EDDC}"/>
    <hyperlink ref="AW33" r:id="rId20" xr:uid="{B542178C-5360-4E69-B828-CF826420EC56}"/>
    <hyperlink ref="AW10" r:id="rId21" xr:uid="{862DDE13-E801-4541-A8FB-1445F0A4792D}"/>
    <hyperlink ref="AX10" r:id="rId22" xr:uid="{BFDA88F8-6043-40DE-A8B1-56C0898B3789}"/>
    <hyperlink ref="BC33" r:id="rId23" xr:uid="{8C40BBDE-E142-48CB-B0EF-E1D9EFB3F80E}"/>
    <hyperlink ref="BB33" r:id="rId24" xr:uid="{097027A9-5913-4039-921C-58A4E1E58732}"/>
    <hyperlink ref="BB10" r:id="rId25" xr:uid="{2147283C-20C1-4880-83A2-9D183890A3C1}"/>
    <hyperlink ref="BC10" r:id="rId26" xr:uid="{D5B89D8A-7E75-489A-A0D8-BE613FF868CE}"/>
    <hyperlink ref="BI33" r:id="rId27" xr:uid="{6601749C-6A9B-4E15-9135-9FB70A4C5DD1}"/>
    <hyperlink ref="BH10" r:id="rId28" xr:uid="{989BBBA2-060C-40DE-83C8-5720B9FDB969}"/>
    <hyperlink ref="BN33" r:id="rId29" xr:uid="{D78FB3B8-EB0E-4FB0-81BB-13C60E187505}"/>
    <hyperlink ref="BM33" r:id="rId30" xr:uid="{292FFD49-F07F-4D9E-A3E1-E442A11BE9D3}"/>
    <hyperlink ref="BH33" r:id="rId31" xr:uid="{AAF5F42C-9643-48E5-9D78-58A5A28D123C}"/>
  </hyperlinks>
  <pageMargins left="0.23622047244094491" right="0.23622047244094491" top="0.35433070866141736" bottom="0.35433070866141736" header="0.31496062992125984" footer="0.31496062992125984"/>
  <pageSetup paperSize="9" scale="43" orientation="portrait" horizontalDpi="4294967293" verticalDpi="4294967293" r:id="rId32"/>
  <legacyDrawing r:id="rId3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BD116"/>
  <sheetViews>
    <sheetView topLeftCell="A45" zoomScale="85" zoomScaleNormal="85" zoomScalePageLayoutView="93" workbookViewId="0">
      <pane xSplit="4" topLeftCell="W1" activePane="topRight" state="frozen"/>
      <selection activeCell="A39" sqref="A39"/>
      <selection pane="topRight" activeCell="Y89" sqref="Y89"/>
    </sheetView>
  </sheetViews>
  <sheetFormatPr defaultColWidth="9.1796875" defaultRowHeight="14.5" x14ac:dyDescent="0.35"/>
  <cols>
    <col min="1" max="1" width="6.6328125" style="462" customWidth="1"/>
    <col min="2" max="2" width="15.81640625" style="462" customWidth="1"/>
    <col min="3" max="3" width="19.36328125" style="456" customWidth="1"/>
    <col min="4" max="4" width="3.453125" style="456" customWidth="1"/>
    <col min="5" max="5" width="1.6328125" style="456" customWidth="1"/>
    <col min="6" max="6" width="21.6328125" style="456" customWidth="1"/>
    <col min="7" max="7" width="1.6328125" style="456" customWidth="1"/>
    <col min="8" max="9" width="21.6328125" style="459" customWidth="1"/>
    <col min="10" max="10" width="8.6328125" style="459" customWidth="1"/>
    <col min="11" max="11" width="1.6328125" style="456" customWidth="1"/>
    <col min="12" max="13" width="21.6328125" style="462" customWidth="1"/>
    <col min="14" max="14" width="1.6328125" style="1" customWidth="1"/>
    <col min="15" max="16" width="21.6328125" style="6" customWidth="1"/>
    <col min="17" max="17" width="15.1796875" style="6" customWidth="1"/>
    <col min="18" max="18" width="9.453125" style="7" customWidth="1"/>
    <col min="19" max="19" width="1.6328125" style="1" customWidth="1"/>
    <col min="20" max="20" width="21.6328125" customWidth="1"/>
    <col min="21" max="21" width="13.36328125" customWidth="1"/>
    <col min="22" max="22" width="21.6328125" customWidth="1"/>
    <col min="23" max="23" width="1.6328125" style="1" customWidth="1"/>
    <col min="24" max="25" width="21.6328125" style="6" customWidth="1"/>
    <col min="26" max="26" width="13.453125" style="6" customWidth="1"/>
    <col min="27" max="27" width="9.453125" style="7" customWidth="1"/>
    <col min="28" max="28" width="1.6328125" style="1" customWidth="1"/>
    <col min="29" max="29" width="21.6328125" customWidth="1"/>
    <col min="30" max="30" width="16.453125" customWidth="1"/>
    <col min="31" max="31" width="21.6328125" customWidth="1"/>
    <col min="32" max="32" width="1.6328125" style="1" customWidth="1"/>
    <col min="33" max="34" width="21.6328125" style="6" customWidth="1"/>
    <col min="35" max="35" width="15.36328125" style="6" customWidth="1"/>
    <col min="36" max="36" width="9.453125" style="7" customWidth="1"/>
    <col min="37" max="37" width="1.6328125" style="1" customWidth="1"/>
    <col min="38" max="38" width="21.6328125" customWidth="1"/>
    <col min="39" max="39" width="14.453125" customWidth="1"/>
    <col min="40" max="40" width="21.6328125" customWidth="1"/>
    <col min="41" max="41" width="1.6328125" style="1" customWidth="1"/>
    <col min="42" max="42" width="4.81640625" style="711" customWidth="1"/>
    <col min="43" max="43" width="3.81640625" style="462" customWidth="1"/>
    <col min="44" max="45" width="21.6328125" style="6" customWidth="1"/>
    <col min="46" max="46" width="14.453125" style="6" customWidth="1"/>
    <col min="47" max="47" width="9.453125" style="7" customWidth="1"/>
    <col min="48" max="48" width="1.6328125" style="1" customWidth="1"/>
    <col min="49" max="49" width="21.6328125" customWidth="1"/>
    <col min="50" max="50" width="16.1796875" customWidth="1"/>
    <col min="51" max="51" width="21.6328125" customWidth="1"/>
    <col min="52" max="52" width="9.1796875" style="462"/>
    <col min="53" max="53" width="1.6328125" style="1" customWidth="1"/>
    <col min="54" max="54" width="21.6328125" customWidth="1"/>
    <col min="55" max="55" width="14.453125" customWidth="1"/>
    <col min="56" max="56" width="21.6328125" customWidth="1"/>
    <col min="57" max="16384" width="9.1796875" style="462"/>
  </cols>
  <sheetData>
    <row r="1" spans="1:56" s="470" customFormat="1" ht="31" x14ac:dyDescent="0.7">
      <c r="F1" s="9118" t="s">
        <v>394</v>
      </c>
      <c r="G1" s="9119"/>
      <c r="H1" s="9119"/>
      <c r="I1" s="9119"/>
      <c r="J1" s="9119"/>
      <c r="K1" s="9119"/>
      <c r="L1" s="9119"/>
      <c r="M1" s="9120"/>
      <c r="N1" s="710"/>
      <c r="O1" s="9121" t="s">
        <v>395</v>
      </c>
      <c r="P1" s="9122"/>
      <c r="Q1" s="9122"/>
      <c r="R1" s="9122"/>
      <c r="S1" s="9122"/>
      <c r="T1" s="9122"/>
      <c r="U1" s="9122"/>
      <c r="V1" s="9123"/>
      <c r="W1" s="710"/>
      <c r="X1" s="9426" t="s">
        <v>396</v>
      </c>
      <c r="Y1" s="9427"/>
      <c r="Z1" s="9427"/>
      <c r="AA1" s="9427"/>
      <c r="AB1" s="9427"/>
      <c r="AC1" s="9427"/>
      <c r="AD1" s="9427"/>
      <c r="AE1" s="9428"/>
      <c r="AF1" s="710"/>
      <c r="AG1" s="9477" t="s">
        <v>397</v>
      </c>
      <c r="AH1" s="9478"/>
      <c r="AI1" s="9478"/>
      <c r="AJ1" s="9478"/>
      <c r="AK1" s="9478"/>
      <c r="AL1" s="9478"/>
      <c r="AM1" s="9478"/>
      <c r="AN1" s="9479"/>
      <c r="AO1" s="710"/>
      <c r="AR1" s="9187" t="s">
        <v>398</v>
      </c>
      <c r="AS1" s="9188"/>
      <c r="AT1" s="9188"/>
      <c r="AU1" s="9188"/>
      <c r="AV1" s="9188"/>
      <c r="AW1" s="9188"/>
      <c r="AX1" s="9188"/>
      <c r="AY1" s="9189"/>
      <c r="BA1" s="9533" t="s">
        <v>399</v>
      </c>
      <c r="BB1" s="9533"/>
      <c r="BC1" s="9533"/>
      <c r="BD1" s="9534"/>
    </row>
    <row r="2" spans="1:56" ht="21" x14ac:dyDescent="0.5">
      <c r="B2" s="456" t="s">
        <v>9</v>
      </c>
      <c r="C2" s="4" t="s">
        <v>67</v>
      </c>
      <c r="H2" s="462"/>
      <c r="BB2" t="s">
        <v>5544</v>
      </c>
    </row>
    <row r="3" spans="1:56" x14ac:dyDescent="0.35">
      <c r="F3" s="459"/>
      <c r="H3" s="462"/>
    </row>
    <row r="4" spans="1:56" ht="14.5" customHeight="1" x14ac:dyDescent="0.3">
      <c r="F4" s="8323" t="s">
        <v>400</v>
      </c>
      <c r="G4" s="712"/>
      <c r="H4" s="9133" t="s">
        <v>401</v>
      </c>
      <c r="I4" s="9134"/>
      <c r="J4" s="9135"/>
      <c r="K4" s="712"/>
      <c r="L4" s="9133" t="s">
        <v>402</v>
      </c>
      <c r="M4" s="9135"/>
      <c r="N4" s="8"/>
      <c r="O4" s="9130" t="s">
        <v>403</v>
      </c>
      <c r="P4" s="9131"/>
      <c r="Q4" s="9131"/>
      <c r="R4" s="9132"/>
      <c r="S4" s="8"/>
      <c r="T4" s="9130" t="s">
        <v>402</v>
      </c>
      <c r="U4" s="9131"/>
      <c r="V4" s="9132"/>
      <c r="W4" s="8"/>
      <c r="X4" s="9130" t="s">
        <v>403</v>
      </c>
      <c r="Y4" s="9131"/>
      <c r="Z4" s="9131"/>
      <c r="AA4" s="9132"/>
      <c r="AB4" s="8"/>
      <c r="AC4" s="9130" t="s">
        <v>402</v>
      </c>
      <c r="AD4" s="9131"/>
      <c r="AE4" s="9132"/>
      <c r="AF4" s="8"/>
      <c r="AG4" s="9130" t="s">
        <v>403</v>
      </c>
      <c r="AH4" s="9131"/>
      <c r="AI4" s="9131"/>
      <c r="AJ4" s="9132"/>
      <c r="AK4" s="8"/>
      <c r="AL4" s="9130" t="s">
        <v>402</v>
      </c>
      <c r="AM4" s="9131"/>
      <c r="AN4" s="9132"/>
      <c r="AO4" s="8"/>
      <c r="AP4" s="9136" t="s">
        <v>404</v>
      </c>
      <c r="AR4" s="9130" t="s">
        <v>403</v>
      </c>
      <c r="AS4" s="9131"/>
      <c r="AT4" s="9131"/>
      <c r="AU4" s="9132"/>
      <c r="AV4" s="8"/>
      <c r="AW4" s="9130" t="s">
        <v>402</v>
      </c>
      <c r="AX4" s="9131"/>
      <c r="AY4" s="9132"/>
      <c r="BA4" s="8"/>
      <c r="BB4" s="9130" t="s">
        <v>402</v>
      </c>
      <c r="BC4" s="9131"/>
      <c r="BD4" s="9132"/>
    </row>
    <row r="5" spans="1:56" x14ac:dyDescent="0.3">
      <c r="B5" s="456" t="s">
        <v>406</v>
      </c>
      <c r="C5" s="714">
        <v>2012</v>
      </c>
      <c r="F5" s="8324" t="s">
        <v>3361</v>
      </c>
      <c r="G5" s="12"/>
      <c r="H5" s="9138" t="s">
        <v>3362</v>
      </c>
      <c r="I5" s="9139"/>
      <c r="J5" s="9140"/>
      <c r="K5" s="12"/>
      <c r="L5" s="9138" t="s">
        <v>3363</v>
      </c>
      <c r="M5" s="9140"/>
      <c r="N5" s="12"/>
      <c r="O5" s="9138" t="s">
        <v>3363</v>
      </c>
      <c r="P5" s="9139"/>
      <c r="Q5" s="9139"/>
      <c r="R5" s="9140"/>
      <c r="S5" s="12"/>
      <c r="T5" s="9138" t="s">
        <v>3364</v>
      </c>
      <c r="U5" s="9139"/>
      <c r="V5" s="9140"/>
      <c r="W5" s="12"/>
      <c r="X5" s="9138" t="s">
        <v>3364</v>
      </c>
      <c r="Y5" s="9139"/>
      <c r="Z5" s="9139"/>
      <c r="AA5" s="9140"/>
      <c r="AB5" s="12"/>
      <c r="AC5" s="9138" t="s">
        <v>3365</v>
      </c>
      <c r="AD5" s="9139"/>
      <c r="AE5" s="9140"/>
      <c r="AF5" s="12"/>
      <c r="AG5" s="9138" t="s">
        <v>3365</v>
      </c>
      <c r="AH5" s="9139"/>
      <c r="AI5" s="9139"/>
      <c r="AJ5" s="9140"/>
      <c r="AK5" s="12"/>
      <c r="AL5" s="9138" t="s">
        <v>3366</v>
      </c>
      <c r="AM5" s="9139"/>
      <c r="AN5" s="9140"/>
      <c r="AO5" s="12"/>
      <c r="AP5" s="9137"/>
      <c r="AR5" s="9138" t="s">
        <v>3366</v>
      </c>
      <c r="AS5" s="9139"/>
      <c r="AT5" s="9139"/>
      <c r="AU5" s="9140"/>
      <c r="AV5" s="12"/>
      <c r="AW5" s="9138" t="s">
        <v>1290</v>
      </c>
      <c r="AX5" s="9139"/>
      <c r="AY5" s="9140"/>
      <c r="BA5" s="12"/>
      <c r="BB5" s="9138" t="s">
        <v>1291</v>
      </c>
      <c r="BC5" s="9139"/>
      <c r="BD5" s="9140"/>
    </row>
    <row r="6" spans="1:56" x14ac:dyDescent="0.35">
      <c r="F6" s="459"/>
      <c r="L6" s="715"/>
      <c r="T6" s="14"/>
      <c r="U6" s="14"/>
      <c r="AC6" s="14"/>
      <c r="AD6" s="14"/>
      <c r="AL6" s="14"/>
      <c r="AM6" s="14"/>
      <c r="AP6" s="716"/>
      <c r="AW6" s="14"/>
      <c r="AX6" s="14"/>
      <c r="BB6" s="14"/>
      <c r="BC6" s="14"/>
    </row>
    <row r="7" spans="1:56" ht="14.5" customHeight="1" x14ac:dyDescent="0.35">
      <c r="B7" s="456" t="s">
        <v>101</v>
      </c>
      <c r="C7" s="714" t="s">
        <v>5545</v>
      </c>
      <c r="D7" s="456" t="s">
        <v>417</v>
      </c>
      <c r="F7" s="717" t="s">
        <v>5546</v>
      </c>
      <c r="H7" s="9194" t="s">
        <v>5546</v>
      </c>
      <c r="I7" s="9194"/>
      <c r="J7" s="9143" t="s">
        <v>419</v>
      </c>
      <c r="L7" s="9145" t="s">
        <v>5546</v>
      </c>
      <c r="M7" s="9146"/>
      <c r="O7" s="9173" t="s">
        <v>5546</v>
      </c>
      <c r="P7" s="9173"/>
      <c r="Q7" s="16"/>
      <c r="R7" s="9147" t="s">
        <v>419</v>
      </c>
      <c r="T7" s="9149" t="s">
        <v>5546</v>
      </c>
      <c r="U7" s="9150"/>
      <c r="V7" s="9151"/>
      <c r="X7" s="9173" t="s">
        <v>5546</v>
      </c>
      <c r="Y7" s="9173"/>
      <c r="Z7" s="16"/>
      <c r="AA7" s="9147" t="s">
        <v>419</v>
      </c>
      <c r="AC7" s="9149" t="s">
        <v>5546</v>
      </c>
      <c r="AD7" s="9150"/>
      <c r="AE7" s="9151"/>
      <c r="AG7" s="9173" t="s">
        <v>5546</v>
      </c>
      <c r="AH7" s="9173"/>
      <c r="AI7" s="16"/>
      <c r="AJ7" s="9147" t="s">
        <v>419</v>
      </c>
      <c r="AL7" s="9149" t="s">
        <v>5547</v>
      </c>
      <c r="AM7" s="9150"/>
      <c r="AN7" s="9151"/>
      <c r="AP7" s="718"/>
      <c r="AR7" s="9204" t="s">
        <v>5547</v>
      </c>
      <c r="AS7" s="9205"/>
      <c r="AT7" s="9206"/>
      <c r="AU7" s="9147" t="s">
        <v>419</v>
      </c>
      <c r="AW7" s="9149" t="s">
        <v>5547</v>
      </c>
      <c r="AX7" s="9150"/>
      <c r="AY7" s="9151"/>
      <c r="BB7" s="9149" t="s">
        <v>5547</v>
      </c>
      <c r="BC7" s="9150"/>
      <c r="BD7" s="9151"/>
    </row>
    <row r="8" spans="1:56" s="712" customFormat="1" ht="15.25" customHeight="1" x14ac:dyDescent="0.35">
      <c r="B8" s="456" t="s">
        <v>420</v>
      </c>
      <c r="C8" s="714" t="s">
        <v>747</v>
      </c>
      <c r="F8" s="720" t="s">
        <v>96</v>
      </c>
      <c r="G8" s="456"/>
      <c r="H8" s="720" t="s">
        <v>423</v>
      </c>
      <c r="I8" s="720" t="s">
        <v>96</v>
      </c>
      <c r="J8" s="9144"/>
      <c r="K8" s="456"/>
      <c r="L8" s="721" t="s">
        <v>423</v>
      </c>
      <c r="M8" s="720" t="s">
        <v>96</v>
      </c>
      <c r="N8" s="1"/>
      <c r="O8" s="20" t="s">
        <v>424</v>
      </c>
      <c r="P8" s="20" t="s">
        <v>96</v>
      </c>
      <c r="Q8" s="22" t="s">
        <v>425</v>
      </c>
      <c r="R8" s="9148"/>
      <c r="S8" s="1"/>
      <c r="T8" s="21" t="s">
        <v>424</v>
      </c>
      <c r="U8" s="22" t="s">
        <v>425</v>
      </c>
      <c r="V8" s="20" t="s">
        <v>96</v>
      </c>
      <c r="W8" s="1"/>
      <c r="X8" s="20" t="s">
        <v>424</v>
      </c>
      <c r="Y8" s="20" t="s">
        <v>96</v>
      </c>
      <c r="Z8" s="22" t="s">
        <v>425</v>
      </c>
      <c r="AA8" s="9148"/>
      <c r="AB8" s="1"/>
      <c r="AC8" s="21" t="s">
        <v>424</v>
      </c>
      <c r="AD8" s="22" t="s">
        <v>425</v>
      </c>
      <c r="AE8" s="20" t="s">
        <v>96</v>
      </c>
      <c r="AF8" s="1"/>
      <c r="AG8" s="20" t="s">
        <v>424</v>
      </c>
      <c r="AH8" s="20" t="s">
        <v>96</v>
      </c>
      <c r="AI8" s="22" t="s">
        <v>425</v>
      </c>
      <c r="AJ8" s="9148"/>
      <c r="AK8" s="1"/>
      <c r="AL8" s="21" t="s">
        <v>424</v>
      </c>
      <c r="AM8" s="22" t="s">
        <v>425</v>
      </c>
      <c r="AN8" s="20" t="s">
        <v>96</v>
      </c>
      <c r="AO8" s="1"/>
      <c r="AP8" s="722"/>
      <c r="AR8" s="20" t="s">
        <v>424</v>
      </c>
      <c r="AS8" s="20" t="s">
        <v>96</v>
      </c>
      <c r="AT8" s="22" t="s">
        <v>425</v>
      </c>
      <c r="AU8" s="9148"/>
      <c r="AV8" s="1"/>
      <c r="AW8" s="21" t="s">
        <v>424</v>
      </c>
      <c r="AX8" s="22" t="s">
        <v>425</v>
      </c>
      <c r="AY8" s="20" t="s">
        <v>1031</v>
      </c>
      <c r="BA8" s="1"/>
      <c r="BB8" s="21" t="s">
        <v>424</v>
      </c>
      <c r="BC8" s="22" t="s">
        <v>425</v>
      </c>
      <c r="BD8" s="20" t="s">
        <v>1031</v>
      </c>
    </row>
    <row r="9" spans="1:56" x14ac:dyDescent="0.35">
      <c r="F9" s="462"/>
      <c r="G9" s="462"/>
      <c r="H9" s="462"/>
      <c r="I9" s="462"/>
      <c r="J9" s="462"/>
      <c r="K9" s="462"/>
      <c r="N9"/>
      <c r="O9"/>
      <c r="P9"/>
      <c r="Q9"/>
      <c r="R9" s="25"/>
      <c r="S9"/>
      <c r="W9"/>
      <c r="X9"/>
      <c r="Y9"/>
      <c r="Z9"/>
      <c r="AA9" s="25"/>
      <c r="AB9"/>
      <c r="AF9"/>
      <c r="AG9"/>
      <c r="AH9"/>
      <c r="AI9"/>
      <c r="AJ9" s="25"/>
      <c r="AK9"/>
      <c r="AO9"/>
      <c r="AR9"/>
      <c r="AS9"/>
      <c r="AT9"/>
      <c r="AU9" s="25"/>
      <c r="AV9"/>
      <c r="BA9"/>
    </row>
    <row r="10" spans="1:56" ht="31.75" customHeight="1" x14ac:dyDescent="0.35">
      <c r="A10" s="9152" t="s">
        <v>426</v>
      </c>
      <c r="B10" s="724"/>
      <c r="C10" s="725" t="s">
        <v>427</v>
      </c>
      <c r="D10" s="580" t="s">
        <v>428</v>
      </c>
      <c r="F10" s="31" t="s">
        <v>5548</v>
      </c>
      <c r="G10"/>
      <c r="H10" s="31" t="s">
        <v>5549</v>
      </c>
      <c r="I10" s="31" t="s">
        <v>5550</v>
      </c>
      <c r="J10" s="32"/>
      <c r="K10" s="33"/>
      <c r="L10" s="31" t="s">
        <v>5551</v>
      </c>
      <c r="M10" s="36" t="s">
        <v>5552</v>
      </c>
      <c r="N10" s="33"/>
      <c r="O10" s="31"/>
      <c r="P10" s="31"/>
      <c r="Q10" s="472"/>
      <c r="R10" s="32"/>
      <c r="S10" s="33"/>
      <c r="T10" s="31"/>
      <c r="U10" s="31"/>
      <c r="V10" s="34" t="s">
        <v>593</v>
      </c>
      <c r="W10" s="33"/>
      <c r="X10" s="9155" t="s">
        <v>5553</v>
      </c>
      <c r="Y10" s="9156"/>
      <c r="Z10" s="581" t="s">
        <v>5554</v>
      </c>
      <c r="AA10" s="32"/>
      <c r="AB10" s="33"/>
      <c r="AC10" s="31" t="s">
        <v>5555</v>
      </c>
      <c r="AD10" s="581" t="s">
        <v>5554</v>
      </c>
      <c r="AE10" s="31" t="s">
        <v>5555</v>
      </c>
      <c r="AF10" s="33"/>
      <c r="AG10" s="994" t="s">
        <v>5555</v>
      </c>
      <c r="AH10" s="995" t="s">
        <v>5555</v>
      </c>
      <c r="AI10" s="996" t="s">
        <v>5554</v>
      </c>
      <c r="AJ10" s="32"/>
      <c r="AK10" s="33"/>
      <c r="AL10" s="31" t="s">
        <v>5556</v>
      </c>
      <c r="AM10" s="581" t="s">
        <v>5554</v>
      </c>
      <c r="AN10" s="31" t="s">
        <v>5557</v>
      </c>
      <c r="AO10" s="33"/>
      <c r="AP10" s="726"/>
      <c r="AR10" s="994" t="s">
        <v>5558</v>
      </c>
      <c r="AS10" s="995" t="s">
        <v>5559</v>
      </c>
      <c r="AT10" s="996" t="s">
        <v>5560</v>
      </c>
      <c r="AU10" s="32"/>
      <c r="AV10" s="33"/>
      <c r="AW10" s="994" t="s">
        <v>5561</v>
      </c>
      <c r="AX10" s="581" t="s">
        <v>5560</v>
      </c>
      <c r="AY10" s="994" t="s">
        <v>5561</v>
      </c>
      <c r="BA10" s="33"/>
      <c r="BB10" s="994" t="s">
        <v>5562</v>
      </c>
      <c r="BC10" s="581" t="s">
        <v>5560</v>
      </c>
      <c r="BD10" s="994" t="s">
        <v>5562</v>
      </c>
    </row>
    <row r="11" spans="1:56" ht="12.75" customHeight="1" x14ac:dyDescent="0.35">
      <c r="A11" s="9153"/>
      <c r="B11" s="40" t="s">
        <v>451</v>
      </c>
      <c r="C11" s="728"/>
      <c r="D11" s="729"/>
      <c r="F11" s="730"/>
      <c r="G11" s="731"/>
      <c r="H11" s="732"/>
      <c r="I11" s="733"/>
      <c r="J11" s="734"/>
      <c r="K11" s="731"/>
      <c r="L11" s="732"/>
      <c r="M11" s="735"/>
      <c r="N11" s="48"/>
      <c r="O11" s="736"/>
      <c r="P11" s="737"/>
      <c r="Q11" s="474"/>
      <c r="R11" s="47"/>
      <c r="S11" s="48"/>
      <c r="T11" s="46"/>
      <c r="U11" s="474"/>
      <c r="V11" s="49"/>
      <c r="W11" s="48"/>
      <c r="X11" s="736"/>
      <c r="Y11" s="737"/>
      <c r="Z11" s="474" t="s">
        <v>5563</v>
      </c>
      <c r="AA11" s="47"/>
      <c r="AB11" s="48"/>
      <c r="AC11" s="45"/>
      <c r="AD11" s="474" t="s">
        <v>5564</v>
      </c>
      <c r="AE11" s="738"/>
      <c r="AF11" s="43"/>
      <c r="AG11" s="45"/>
      <c r="AH11" s="46"/>
      <c r="AI11" s="474" t="s">
        <v>5564</v>
      </c>
      <c r="AJ11" s="47"/>
      <c r="AK11" s="48"/>
      <c r="AL11" s="45"/>
      <c r="AM11" s="474" t="s">
        <v>505</v>
      </c>
      <c r="AN11" s="738"/>
      <c r="AO11" s="43"/>
      <c r="AP11" s="718"/>
      <c r="AR11" s="45"/>
      <c r="AS11" s="7483" t="s">
        <v>5565</v>
      </c>
      <c r="AT11" s="474"/>
      <c r="AU11" s="47"/>
      <c r="AV11" s="48"/>
      <c r="AW11" s="45"/>
      <c r="AX11" s="474"/>
      <c r="AY11" s="738"/>
      <c r="BA11" s="48"/>
      <c r="BB11" s="45"/>
      <c r="BC11" s="474"/>
      <c r="BD11" s="8485" t="s">
        <v>5566</v>
      </c>
    </row>
    <row r="12" spans="1:56" x14ac:dyDescent="0.35">
      <c r="A12" s="9153"/>
      <c r="B12" s="58"/>
      <c r="C12" s="743" t="s">
        <v>456</v>
      </c>
      <c r="F12" s="744">
        <f>(374+915+2431+2250+1000)*1000000</f>
        <v>6970000000</v>
      </c>
      <c r="G12" s="745"/>
      <c r="H12" s="746">
        <f>(6972+1967)*1000000</f>
        <v>8939000000</v>
      </c>
      <c r="I12" s="747">
        <f>(7237+951)*1000000</f>
        <v>8188000000</v>
      </c>
      <c r="J12" s="997">
        <f>IF(H12=0,0,I12/H12)</f>
        <v>0.91598612820225978</v>
      </c>
      <c r="K12" s="745"/>
      <c r="L12" s="746">
        <f>(2654+8899)*1000000</f>
        <v>11553000000</v>
      </c>
      <c r="M12" s="749">
        <f>M15-M13</f>
        <v>8195003643.9231806</v>
      </c>
      <c r="N12" s="65"/>
      <c r="O12" s="62">
        <f>8899000000+2654000000</f>
        <v>11553000000</v>
      </c>
      <c r="P12" s="63">
        <f>4666436328+1402303862</f>
        <v>6068740190</v>
      </c>
      <c r="Q12" s="789" t="s">
        <v>5567</v>
      </c>
      <c r="R12" s="64">
        <f>IF(O12=0,0,P12/O12)</f>
        <v>0.52529561066389685</v>
      </c>
      <c r="S12" s="65"/>
      <c r="T12" s="63">
        <f>1515000000+5328000000</f>
        <v>6843000000</v>
      </c>
      <c r="U12" s="106" t="s">
        <v>5567</v>
      </c>
      <c r="V12" s="66"/>
      <c r="W12" s="65"/>
      <c r="X12" s="62">
        <v>6843000000</v>
      </c>
      <c r="Y12" s="63">
        <v>11575000000</v>
      </c>
      <c r="Z12" s="119" t="s">
        <v>5568</v>
      </c>
      <c r="AA12" s="64">
        <f>IF(X12=0,0,Y12/X12)</f>
        <v>1.6915095718252229</v>
      </c>
      <c r="AB12" s="65"/>
      <c r="AC12" s="62">
        <v>16494000000</v>
      </c>
      <c r="AD12" s="119" t="s">
        <v>5568</v>
      </c>
      <c r="AE12" s="301">
        <v>35150000000</v>
      </c>
      <c r="AG12" s="71">
        <v>16494000000</v>
      </c>
      <c r="AH12" s="72">
        <v>35150000000</v>
      </c>
      <c r="AI12" s="57" t="s">
        <v>5568</v>
      </c>
      <c r="AJ12" s="64">
        <f>IF(AG12=0,0,AH12/AG12)</f>
        <v>2.1310779677458469</v>
      </c>
      <c r="AK12" s="65"/>
      <c r="AL12" s="62">
        <f>25771+14046</f>
        <v>39817</v>
      </c>
      <c r="AM12" s="119" t="s">
        <v>5569</v>
      </c>
      <c r="AN12" s="998"/>
      <c r="AP12" s="723"/>
      <c r="AR12" s="71">
        <f>25771+14046</f>
        <v>39817</v>
      </c>
      <c r="AS12" s="72">
        <f>(7987+9096)*2</f>
        <v>34166</v>
      </c>
      <c r="AT12" s="57" t="s">
        <v>5570</v>
      </c>
      <c r="AU12" s="64">
        <f>IF(AR12=0,0,AS12/AR12)</f>
        <v>0.85807569631062108</v>
      </c>
      <c r="AV12" s="65"/>
      <c r="AW12" s="62">
        <f>79844+25056</f>
        <v>104900</v>
      </c>
      <c r="AX12" s="119"/>
      <c r="AY12" s="998">
        <f>50870+28005</f>
        <v>78875</v>
      </c>
      <c r="BA12" s="65"/>
      <c r="BB12" s="62">
        <f>151630+29852</f>
        <v>181482</v>
      </c>
      <c r="BC12" s="119" t="s">
        <v>5571</v>
      </c>
      <c r="BD12" s="998">
        <f>(66302+24605)*4/3</f>
        <v>121209.33333333333</v>
      </c>
    </row>
    <row r="13" spans="1:56" x14ac:dyDescent="0.35">
      <c r="A13" s="9153"/>
      <c r="B13" s="58"/>
      <c r="C13" s="752" t="s">
        <v>774</v>
      </c>
      <c r="E13" s="462"/>
      <c r="F13" s="753">
        <v>0</v>
      </c>
      <c r="G13" s="745"/>
      <c r="H13" s="746">
        <v>350000000</v>
      </c>
      <c r="I13" s="747">
        <f>0.05*1000000</f>
        <v>50000</v>
      </c>
      <c r="J13" s="754">
        <f>IF(H13=0,0,I13/H13)</f>
        <v>1.4285714285714287E-4</v>
      </c>
      <c r="K13" s="745"/>
      <c r="L13" s="746">
        <f>158*1000000</f>
        <v>158000000</v>
      </c>
      <c r="M13" s="749">
        <v>89459470</v>
      </c>
      <c r="N13" s="65"/>
      <c r="O13" s="62">
        <v>158000000</v>
      </c>
      <c r="P13" s="63">
        <v>89459470</v>
      </c>
      <c r="Q13" s="789" t="s">
        <v>5567</v>
      </c>
      <c r="R13" s="73">
        <f>IF(O13=0,0,P13/O13)</f>
        <v>0.56619917721518986</v>
      </c>
      <c r="S13" s="65"/>
      <c r="T13" s="63">
        <v>128000000</v>
      </c>
      <c r="U13" s="106" t="s">
        <v>5567</v>
      </c>
      <c r="V13" s="66"/>
      <c r="W13" s="65"/>
      <c r="X13" s="62">
        <v>128000000</v>
      </c>
      <c r="Y13" s="63">
        <v>235000000</v>
      </c>
      <c r="Z13" s="789"/>
      <c r="AA13" s="73">
        <f>IF(X13=0,0,Y13/X13)</f>
        <v>1.8359375</v>
      </c>
      <c r="AB13" s="65"/>
      <c r="AC13" s="62">
        <v>2041000000</v>
      </c>
      <c r="AD13" s="119" t="s">
        <v>5572</v>
      </c>
      <c r="AE13" s="301">
        <v>510000000</v>
      </c>
      <c r="AG13" s="71">
        <v>2041000000</v>
      </c>
      <c r="AH13" s="72">
        <v>510000000</v>
      </c>
      <c r="AI13" s="57" t="s">
        <v>5572</v>
      </c>
      <c r="AJ13" s="73">
        <f>IF(AG13=0,0,AH13/AG13)</f>
        <v>0.24987751102400785</v>
      </c>
      <c r="AK13" s="65"/>
      <c r="AL13" s="62">
        <v>414</v>
      </c>
      <c r="AM13" s="119" t="s">
        <v>5572</v>
      </c>
      <c r="AN13" s="998"/>
      <c r="AP13" s="723"/>
      <c r="AR13" s="71">
        <v>414</v>
      </c>
      <c r="AS13" s="72"/>
      <c r="AT13" s="57" t="s">
        <v>5572</v>
      </c>
      <c r="AU13" s="73">
        <f>IF(AR13=0,0,AS13/AR13)</f>
        <v>0</v>
      </c>
      <c r="AV13" s="65"/>
      <c r="AW13" s="62">
        <v>0</v>
      </c>
      <c r="AX13" s="119"/>
      <c r="AY13" s="998"/>
      <c r="BA13" s="65"/>
      <c r="BB13" s="62"/>
      <c r="BC13" s="119"/>
      <c r="BD13" s="998"/>
    </row>
    <row r="14" spans="1:56" ht="14.75" customHeight="1" x14ac:dyDescent="0.35">
      <c r="A14" s="9153"/>
      <c r="B14" s="75"/>
      <c r="C14" s="755" t="s">
        <v>465</v>
      </c>
      <c r="E14" s="462"/>
      <c r="F14" s="756"/>
      <c r="G14" s="745"/>
      <c r="H14" s="757"/>
      <c r="I14" s="758"/>
      <c r="J14" s="754"/>
      <c r="K14" s="745"/>
      <c r="L14" s="746"/>
      <c r="M14" s="749"/>
      <c r="N14" s="80"/>
      <c r="O14" s="62"/>
      <c r="P14" s="63"/>
      <c r="Q14" s="789"/>
      <c r="R14" s="73">
        <f>IF(O14=0,0,P14/O14)</f>
        <v>0</v>
      </c>
      <c r="S14" s="80"/>
      <c r="T14" s="79"/>
      <c r="U14" s="106" t="s">
        <v>5567</v>
      </c>
      <c r="V14" s="66"/>
      <c r="W14" s="80"/>
      <c r="X14" s="62"/>
      <c r="Y14" s="63"/>
      <c r="Z14" s="789"/>
      <c r="AA14" s="73">
        <f>IF(X14=0,0,Y14/X14)</f>
        <v>0</v>
      </c>
      <c r="AB14" s="80"/>
      <c r="AC14" s="78">
        <v>2644000000</v>
      </c>
      <c r="AD14" s="119" t="s">
        <v>5573</v>
      </c>
      <c r="AE14" s="759">
        <v>144000000</v>
      </c>
      <c r="AG14" s="760">
        <v>2644000000</v>
      </c>
      <c r="AH14" s="83">
        <v>144000000</v>
      </c>
      <c r="AI14" s="57" t="s">
        <v>5573</v>
      </c>
      <c r="AJ14" s="73">
        <f>IF(AG14=0,0,AH14/AG14)</f>
        <v>5.4462934947049922E-2</v>
      </c>
      <c r="AK14" s="80"/>
      <c r="AL14" s="78"/>
      <c r="AM14" s="119"/>
      <c r="AN14" s="999"/>
      <c r="AP14" s="723"/>
      <c r="AR14" s="760">
        <v>2172</v>
      </c>
      <c r="AS14" s="83"/>
      <c r="AT14" s="57" t="s">
        <v>5574</v>
      </c>
      <c r="AU14" s="73">
        <f>IF(AR14=0,0,AS14/AR14)</f>
        <v>0</v>
      </c>
      <c r="AV14" s="80"/>
      <c r="AW14" s="78">
        <v>1139</v>
      </c>
      <c r="AX14" s="119" t="s">
        <v>5574</v>
      </c>
      <c r="AY14" s="999"/>
      <c r="BA14" s="80"/>
      <c r="BB14" s="78"/>
      <c r="BC14" s="8486"/>
      <c r="BD14" s="999"/>
    </row>
    <row r="15" spans="1:56" ht="12.75" customHeight="1" x14ac:dyDescent="0.35">
      <c r="A15" s="9153"/>
      <c r="B15" s="85"/>
      <c r="C15" s="762" t="s">
        <v>466</v>
      </c>
      <c r="E15" s="223"/>
      <c r="F15" s="763">
        <f>6970*1000000</f>
        <v>6970000000</v>
      </c>
      <c r="G15" s="745"/>
      <c r="H15" s="764">
        <f>SUM(H12:H13)</f>
        <v>9289000000</v>
      </c>
      <c r="I15" s="765">
        <f>SUM(I12:I13)</f>
        <v>8188050000</v>
      </c>
      <c r="J15" s="766">
        <f t="shared" ref="J15" si="0">IF(H15=0,0,I15/H15)</f>
        <v>0.88147809236731622</v>
      </c>
      <c r="K15" s="745"/>
      <c r="L15" s="764">
        <f>SUM(L12:L13)</f>
        <v>11711000000</v>
      </c>
      <c r="M15" s="767">
        <v>8284463113.9231806</v>
      </c>
      <c r="N15" s="80"/>
      <c r="O15" s="89">
        <f>SUM(O12:O14)</f>
        <v>11711000000</v>
      </c>
      <c r="P15" s="90">
        <f>SUM(P12:P14)</f>
        <v>6158199660</v>
      </c>
      <c r="Q15" s="1000" t="s">
        <v>5567</v>
      </c>
      <c r="R15" s="91">
        <f>IF(O15=0,0,P15/O15)</f>
        <v>0.52584746477670563</v>
      </c>
      <c r="S15" s="80"/>
      <c r="T15" s="90">
        <f>SUM(T12:T14)</f>
        <v>6971000000</v>
      </c>
      <c r="U15" s="216" t="s">
        <v>5567</v>
      </c>
      <c r="V15" s="92"/>
      <c r="W15" s="80"/>
      <c r="X15" s="89">
        <f>SUM(X12:X14)</f>
        <v>6971000000</v>
      </c>
      <c r="Y15" s="90">
        <f>SUM(Y12:Y14)</f>
        <v>11810000000</v>
      </c>
      <c r="Z15" s="1001" t="s">
        <v>5575</v>
      </c>
      <c r="AA15" s="91">
        <f>IF(X15=0,0,Y15/X15)</f>
        <v>1.6941615263233396</v>
      </c>
      <c r="AB15" s="80"/>
      <c r="AC15" s="89">
        <f>SUM(AC12:AC14)</f>
        <v>21179000000</v>
      </c>
      <c r="AD15" s="1001" t="s">
        <v>5575</v>
      </c>
      <c r="AE15" s="309">
        <f>SUM(AE12:AE14)</f>
        <v>35804000000</v>
      </c>
      <c r="AG15" s="768">
        <f>SUM(AG12:AG14)</f>
        <v>21179000000</v>
      </c>
      <c r="AH15" s="308">
        <f>SUM(AH12:AH14)</f>
        <v>35804000000</v>
      </c>
      <c r="AI15" s="98" t="s">
        <v>5575</v>
      </c>
      <c r="AJ15" s="91">
        <f>IF(AG15=0,0,AH15/AG15)</f>
        <v>1.6905425185325087</v>
      </c>
      <c r="AK15" s="80"/>
      <c r="AL15" s="89">
        <f>SUM(AL12:AL14)</f>
        <v>40231</v>
      </c>
      <c r="AM15" s="1001"/>
      <c r="AN15" s="1002">
        <f>SUM(AN12:AN14)</f>
        <v>0</v>
      </c>
      <c r="AP15" s="722"/>
      <c r="AR15" s="768">
        <f>SUM(AR12:AR14)</f>
        <v>42403</v>
      </c>
      <c r="AS15" s="308">
        <f>SUM(AS12:AS14)</f>
        <v>34166</v>
      </c>
      <c r="AT15" s="98"/>
      <c r="AU15" s="91">
        <f>IF(AR15=0,0,AS15/AR15)</f>
        <v>0.80574487654175408</v>
      </c>
      <c r="AV15" s="80"/>
      <c r="AW15" s="89">
        <f>SUM(AW12:AW14)</f>
        <v>106039</v>
      </c>
      <c r="AX15" s="1001"/>
      <c r="AY15" s="89">
        <f>SUM(AY12:AY14)</f>
        <v>78875</v>
      </c>
      <c r="BA15" s="80"/>
      <c r="BB15" s="89">
        <f>SUM(BB12:BB14)</f>
        <v>181482</v>
      </c>
      <c r="BC15" s="1001"/>
      <c r="BD15" s="89">
        <f>SUM(BD12:BD14)</f>
        <v>121209.33333333333</v>
      </c>
    </row>
    <row r="16" spans="1:56" ht="43.5" x14ac:dyDescent="0.35">
      <c r="A16" s="9153"/>
      <c r="B16" s="100" t="s">
        <v>468</v>
      </c>
      <c r="C16" s="771"/>
      <c r="D16" s="729"/>
      <c r="E16" s="729"/>
      <c r="F16" s="772"/>
      <c r="G16" s="729"/>
      <c r="H16" s="773"/>
      <c r="I16" s="774"/>
      <c r="J16" s="775"/>
      <c r="K16" s="729"/>
      <c r="L16" s="773"/>
      <c r="M16" s="776"/>
      <c r="N16" s="43"/>
      <c r="O16" s="102"/>
      <c r="P16" s="106"/>
      <c r="Q16" s="106"/>
      <c r="R16" s="104"/>
      <c r="S16" s="43"/>
      <c r="T16" s="777"/>
      <c r="U16" s="106"/>
      <c r="V16" s="105"/>
      <c r="W16" s="43"/>
      <c r="X16" s="102"/>
      <c r="Y16" s="106"/>
      <c r="Z16" s="474" t="s">
        <v>5563</v>
      </c>
      <c r="AA16" s="104"/>
      <c r="AB16" s="43"/>
      <c r="AC16" s="777"/>
      <c r="AD16" s="474" t="s">
        <v>5564</v>
      </c>
      <c r="AE16" s="227"/>
      <c r="AF16" s="43"/>
      <c r="AG16" s="102"/>
      <c r="AH16" s="103"/>
      <c r="AI16" s="474" t="s">
        <v>5564</v>
      </c>
      <c r="AJ16" s="104"/>
      <c r="AK16" s="43"/>
      <c r="AL16" s="777"/>
      <c r="AM16" s="474" t="s">
        <v>5564</v>
      </c>
      <c r="AN16" s="105"/>
      <c r="AO16" s="43"/>
      <c r="AP16" s="718"/>
      <c r="AR16" s="7718" t="s">
        <v>5576</v>
      </c>
      <c r="AS16" s="231" t="s">
        <v>5577</v>
      </c>
      <c r="AT16" s="474"/>
      <c r="AU16" s="104"/>
      <c r="AV16" s="43"/>
      <c r="AW16" s="777" t="s">
        <v>5578</v>
      </c>
      <c r="AX16" s="474"/>
      <c r="AY16" s="3950" t="s">
        <v>5579</v>
      </c>
      <c r="BA16" s="43"/>
      <c r="BB16" s="777"/>
      <c r="BC16" s="474"/>
      <c r="BD16" s="8487" t="s">
        <v>5566</v>
      </c>
    </row>
    <row r="17" spans="1:56" x14ac:dyDescent="0.35">
      <c r="A17" s="9153"/>
      <c r="B17" s="6082"/>
      <c r="C17" s="778" t="s">
        <v>470</v>
      </c>
      <c r="D17" s="456">
        <v>1</v>
      </c>
      <c r="F17" s="779">
        <f>3201709597+1302830743+44877735+604992007</f>
        <v>5154410082</v>
      </c>
      <c r="H17" s="780">
        <f>3567532468+2598305271+2264803691+182142622</f>
        <v>8612784052</v>
      </c>
      <c r="I17" s="781">
        <f>3636264861+1860174154+1703070228+371133229</f>
        <v>7570642472</v>
      </c>
      <c r="J17" s="1003">
        <f t="shared" ref="J17:J23" si="1">IF(H17=0,0,I17/H17)</f>
        <v>0.87900061423715814</v>
      </c>
      <c r="L17" s="780">
        <f>4412535083+2468955958+2466181531+267760000</f>
        <v>9615432572</v>
      </c>
      <c r="M17" s="783">
        <f>M23-M21-M18</f>
        <v>11304345004.373785</v>
      </c>
      <c r="O17" s="112">
        <v>9347672572</v>
      </c>
      <c r="P17" s="115">
        <v>10822821491</v>
      </c>
      <c r="Q17" s="789" t="s">
        <v>5567</v>
      </c>
      <c r="R17" s="64">
        <f>IF(O17=0,0,P17/O17)</f>
        <v>1.1578092201708752</v>
      </c>
      <c r="T17" s="117">
        <v>9930146893</v>
      </c>
      <c r="U17" s="789" t="s">
        <v>5567</v>
      </c>
      <c r="V17" s="66">
        <f>T17*R17</f>
        <v>11497215630.36657</v>
      </c>
      <c r="X17" s="112">
        <f>10204000000-X19</f>
        <v>9938000000</v>
      </c>
      <c r="Y17" s="115">
        <f>16826000000-Y19</f>
        <v>14727000000</v>
      </c>
      <c r="Z17" s="789"/>
      <c r="AA17" s="64">
        <f>IF(X17=0,0,Y17/X17)</f>
        <v>1.4818877037633327</v>
      </c>
      <c r="AC17" s="117">
        <f>33389000000-AC19-AC21</f>
        <v>31646000000</v>
      </c>
      <c r="AD17" s="789" t="s">
        <v>5580</v>
      </c>
      <c r="AE17" s="155">
        <f>32186000000-AE19-AE21</f>
        <v>30293000000</v>
      </c>
      <c r="AG17" s="200">
        <f>33389000000-AG19-AG21</f>
        <v>31646000000</v>
      </c>
      <c r="AH17" s="204">
        <f>32186000000-AH19-AH21</f>
        <v>30293000000</v>
      </c>
      <c r="AI17" s="106" t="s">
        <v>5580</v>
      </c>
      <c r="AJ17" s="64">
        <f>IF(AG17=0,0,AH17/AG17)</f>
        <v>0.95724578145737216</v>
      </c>
      <c r="AL17" s="117">
        <f>AL23-AL19-AL20-AL21</f>
        <v>39757</v>
      </c>
      <c r="AM17" s="119" t="s">
        <v>5581</v>
      </c>
      <c r="AN17" s="273"/>
      <c r="AP17" s="723" t="s">
        <v>5582</v>
      </c>
      <c r="AR17" s="200">
        <f>AR23-SUM(AR18:AR22)</f>
        <v>41579</v>
      </c>
      <c r="AS17" s="204">
        <f>AS23-SUM(AS18:AS22)</f>
        <v>45924.580770666667</v>
      </c>
      <c r="AT17" s="106"/>
      <c r="AU17" s="64">
        <f>IF(AR17=0,0,AS17/AR17)</f>
        <v>1.1045138356061153</v>
      </c>
      <c r="AW17" s="117">
        <f>AW23-SUM(AW18:AW22)</f>
        <v>71638</v>
      </c>
      <c r="AX17" s="119"/>
      <c r="AY17" s="273">
        <f>AY23-SUM(AY18:AY22)</f>
        <v>115191</v>
      </c>
      <c r="BB17" s="117">
        <f>BB23-BB18-BB21</f>
        <v>84728</v>
      </c>
      <c r="BC17" s="119"/>
      <c r="BD17" s="273">
        <f>BD23-BD18-BD21</f>
        <v>167280</v>
      </c>
    </row>
    <row r="18" spans="1:56" x14ac:dyDescent="0.35">
      <c r="A18" s="9153"/>
      <c r="B18" s="6082"/>
      <c r="C18" s="778" t="s">
        <v>474</v>
      </c>
      <c r="F18" s="779">
        <v>1658124286</v>
      </c>
      <c r="H18" s="785">
        <v>1120429342</v>
      </c>
      <c r="I18" s="786">
        <v>1501453231</v>
      </c>
      <c r="J18" s="1003"/>
      <c r="L18" s="785">
        <v>1226883753</v>
      </c>
      <c r="M18" s="783">
        <v>515011975.58000004</v>
      </c>
      <c r="O18" s="117">
        <v>1226883753</v>
      </c>
      <c r="P18" s="115">
        <v>515011976</v>
      </c>
      <c r="Q18" s="789" t="s">
        <v>5567</v>
      </c>
      <c r="R18" s="64">
        <f>IF(O18=0,0,P18/O18)</f>
        <v>0.41977243136579379</v>
      </c>
      <c r="T18" s="117">
        <v>266096399</v>
      </c>
      <c r="U18" s="789" t="s">
        <v>5567</v>
      </c>
      <c r="V18" s="66">
        <f>T18*R18</f>
        <v>111699932.38591237</v>
      </c>
      <c r="X18" s="117"/>
      <c r="Y18" s="115"/>
      <c r="Z18" s="789"/>
      <c r="AA18" s="64">
        <f>IF(X18=0,0,Y18/X18)</f>
        <v>0</v>
      </c>
      <c r="AC18" s="117"/>
      <c r="AD18" s="789"/>
      <c r="AE18" s="155"/>
      <c r="AG18" s="200"/>
      <c r="AH18" s="204"/>
      <c r="AI18" s="106"/>
      <c r="AJ18" s="64">
        <f>IF(AG18=0,0,AH18/AG18)</f>
        <v>0</v>
      </c>
      <c r="AL18" s="117"/>
      <c r="AM18" s="119"/>
      <c r="AN18" s="273"/>
      <c r="AP18" s="723"/>
      <c r="AR18" s="200"/>
      <c r="AS18" s="204"/>
      <c r="AT18" s="106"/>
      <c r="AU18" s="64">
        <f>IF(AR18=0,0,AS18/AR18)</f>
        <v>0</v>
      </c>
      <c r="AW18" s="117"/>
      <c r="AX18" s="119"/>
      <c r="AY18" s="273"/>
      <c r="BB18" s="117">
        <v>122428</v>
      </c>
      <c r="BC18" s="119"/>
      <c r="BD18" s="273">
        <f>24465*4/3</f>
        <v>32620</v>
      </c>
    </row>
    <row r="19" spans="1:56" x14ac:dyDescent="0.35">
      <c r="A19" s="9153"/>
      <c r="B19" s="6082"/>
      <c r="C19" s="778" t="s">
        <v>5583</v>
      </c>
      <c r="F19" s="779"/>
      <c r="H19" s="785"/>
      <c r="I19" s="786"/>
      <c r="J19" s="1003"/>
      <c r="L19" s="785"/>
      <c r="M19" s="783"/>
      <c r="O19" s="117"/>
      <c r="P19" s="115"/>
      <c r="Q19" s="789"/>
      <c r="R19" s="64"/>
      <c r="T19" s="117"/>
      <c r="U19" s="789"/>
      <c r="V19" s="66"/>
      <c r="X19" s="117">
        <v>266000000</v>
      </c>
      <c r="Y19" s="115">
        <v>2099000000</v>
      </c>
      <c r="Z19" s="789"/>
      <c r="AA19" s="64"/>
      <c r="AC19" s="117">
        <v>1588000000</v>
      </c>
      <c r="AD19" s="789" t="s">
        <v>5584</v>
      </c>
      <c r="AE19" s="155">
        <v>1889000000</v>
      </c>
      <c r="AG19" s="200">
        <v>1588000000</v>
      </c>
      <c r="AH19" s="204">
        <v>1889000000</v>
      </c>
      <c r="AI19" s="106" t="s">
        <v>5584</v>
      </c>
      <c r="AJ19" s="64"/>
      <c r="AL19" s="117">
        <v>3232</v>
      </c>
      <c r="AM19" s="119" t="s">
        <v>1116</v>
      </c>
      <c r="AN19" s="273"/>
      <c r="AP19" s="723"/>
      <c r="AR19" s="200">
        <v>1410</v>
      </c>
      <c r="AS19" s="204">
        <f>253.564734*4/3</f>
        <v>338.08631199999996</v>
      </c>
      <c r="AT19" s="119" t="s">
        <v>1116</v>
      </c>
      <c r="AU19" s="64"/>
      <c r="AW19" s="117">
        <v>8713</v>
      </c>
      <c r="AX19" s="119"/>
      <c r="AY19" s="273">
        <v>6145</v>
      </c>
      <c r="BB19" s="117"/>
      <c r="BC19" s="119"/>
      <c r="BD19" s="273"/>
    </row>
    <row r="20" spans="1:56" x14ac:dyDescent="0.35">
      <c r="A20" s="9153"/>
      <c r="B20" s="6082"/>
      <c r="C20" s="778" t="s">
        <v>5585</v>
      </c>
      <c r="F20" s="779"/>
      <c r="H20" s="785"/>
      <c r="I20" s="786"/>
      <c r="J20" s="1003"/>
      <c r="L20" s="785"/>
      <c r="M20" s="783"/>
      <c r="O20" s="117"/>
      <c r="P20" s="115"/>
      <c r="Q20" s="789"/>
      <c r="R20" s="64"/>
      <c r="T20" s="117"/>
      <c r="U20" s="789"/>
      <c r="V20" s="66"/>
      <c r="X20" s="117">
        <v>338000000</v>
      </c>
      <c r="Y20" s="115">
        <v>658000000</v>
      </c>
      <c r="Z20" s="789"/>
      <c r="AA20" s="64"/>
      <c r="AC20" s="117">
        <v>4685000000</v>
      </c>
      <c r="AD20" s="789" t="s">
        <v>5586</v>
      </c>
      <c r="AE20" s="155">
        <v>654000000</v>
      </c>
      <c r="AG20" s="200">
        <v>4685000000</v>
      </c>
      <c r="AH20" s="204">
        <v>654000000</v>
      </c>
      <c r="AI20" s="106" t="s">
        <v>5586</v>
      </c>
      <c r="AJ20" s="64"/>
      <c r="AL20" s="117">
        <v>2586</v>
      </c>
      <c r="AM20" s="119" t="s">
        <v>5587</v>
      </c>
      <c r="AN20" s="273"/>
      <c r="AP20" s="723"/>
      <c r="AR20" s="200">
        <v>0</v>
      </c>
      <c r="AS20" s="204"/>
      <c r="AT20" s="119" t="s">
        <v>5587</v>
      </c>
      <c r="AU20" s="64"/>
      <c r="AW20" s="117">
        <v>1139</v>
      </c>
      <c r="AX20" s="119"/>
      <c r="AY20" s="273"/>
      <c r="BB20" s="117"/>
      <c r="BC20" s="119"/>
      <c r="BD20" s="273"/>
    </row>
    <row r="21" spans="1:56" x14ac:dyDescent="0.35">
      <c r="A21" s="9153"/>
      <c r="B21" s="6082"/>
      <c r="C21" s="787" t="s">
        <v>2281</v>
      </c>
      <c r="F21" s="788"/>
      <c r="H21" s="785"/>
      <c r="I21" s="786"/>
      <c r="J21" s="1003">
        <f t="shared" si="1"/>
        <v>0</v>
      </c>
      <c r="L21" s="785"/>
      <c r="M21" s="783"/>
      <c r="O21" s="117">
        <v>267760000</v>
      </c>
      <c r="P21" s="115">
        <v>481523513</v>
      </c>
      <c r="Q21" s="789" t="s">
        <v>5567</v>
      </c>
      <c r="R21" s="64">
        <f>IF(O21=0,0,P21/O21)</f>
        <v>1.798339979832686</v>
      </c>
      <c r="T21" s="117">
        <v>107760000</v>
      </c>
      <c r="U21" s="789" t="s">
        <v>5567</v>
      </c>
      <c r="V21" s="66">
        <f>T21*R21</f>
        <v>193789116.22677025</v>
      </c>
      <c r="X21" s="117">
        <v>100000000</v>
      </c>
      <c r="Y21" s="115">
        <v>43000000</v>
      </c>
      <c r="Z21" s="789"/>
      <c r="AA21" s="64">
        <f>IF(X21=0,0,Y21/X21)</f>
        <v>0.43</v>
      </c>
      <c r="AC21" s="117">
        <v>155000000</v>
      </c>
      <c r="AD21" s="789" t="s">
        <v>5588</v>
      </c>
      <c r="AE21" s="155">
        <v>4000000</v>
      </c>
      <c r="AG21" s="200">
        <v>155000000</v>
      </c>
      <c r="AH21" s="204">
        <v>4000000</v>
      </c>
      <c r="AI21" s="106" t="s">
        <v>5588</v>
      </c>
      <c r="AJ21" s="64">
        <f>IF(AG21=0,0,AH21/AG21)</f>
        <v>2.5806451612903226E-2</v>
      </c>
      <c r="AL21" s="117">
        <v>702</v>
      </c>
      <c r="AM21" s="119" t="s">
        <v>3399</v>
      </c>
      <c r="AN21" s="273"/>
      <c r="AP21" s="723"/>
      <c r="AR21" s="200">
        <v>702</v>
      </c>
      <c r="AS21" s="204">
        <f>43.431867*4/3</f>
        <v>57.909155999999996</v>
      </c>
      <c r="AT21" s="119" t="s">
        <v>3399</v>
      </c>
      <c r="AU21" s="64">
        <f>IF(AR21=0,0,AS21/AR21)</f>
        <v>8.2491675213675203E-2</v>
      </c>
      <c r="AW21" s="117">
        <v>100</v>
      </c>
      <c r="AX21" s="119"/>
      <c r="AY21" s="273"/>
      <c r="BB21" s="117">
        <v>1000</v>
      </c>
      <c r="BC21" s="119"/>
      <c r="BD21" s="273">
        <f>1784*4/3</f>
        <v>2378.6666666666665</v>
      </c>
    </row>
    <row r="22" spans="1:56" x14ac:dyDescent="0.35">
      <c r="A22" s="9153"/>
      <c r="B22" s="6082"/>
      <c r="C22" s="787" t="s">
        <v>478</v>
      </c>
      <c r="F22" s="790"/>
      <c r="H22" s="791"/>
      <c r="I22" s="792"/>
      <c r="J22" s="1003"/>
      <c r="L22" s="785"/>
      <c r="M22" s="783"/>
      <c r="O22" s="117"/>
      <c r="P22" s="123"/>
      <c r="Q22" s="789"/>
      <c r="R22" s="64">
        <f>IF(O22=0,0,P22/O22)</f>
        <v>0</v>
      </c>
      <c r="T22" s="114"/>
      <c r="U22" s="789"/>
      <c r="V22" s="66">
        <f>T22*R22</f>
        <v>0</v>
      </c>
      <c r="X22" s="117"/>
      <c r="Y22" s="123"/>
      <c r="Z22" s="789"/>
      <c r="AA22" s="64">
        <f>IF(X22=0,0,Y22/X22)</f>
        <v>0</v>
      </c>
      <c r="AC22" s="114"/>
      <c r="AD22" s="789"/>
      <c r="AE22" s="122">
        <f>AC22*AA22</f>
        <v>0</v>
      </c>
      <c r="AG22" s="198"/>
      <c r="AH22" s="199">
        <f>AF22*AD22</f>
        <v>0</v>
      </c>
      <c r="AI22" s="106"/>
      <c r="AJ22" s="64">
        <f>IF(AG22=0,0,AH22/AG22)</f>
        <v>0</v>
      </c>
      <c r="AL22" s="114"/>
      <c r="AM22" s="789"/>
      <c r="AN22" s="482"/>
      <c r="AP22" s="723"/>
      <c r="AR22" s="198"/>
      <c r="AS22" s="199"/>
      <c r="AT22" s="106"/>
      <c r="AU22" s="64">
        <f>IF(AR22=0,0,AS22/AR22)</f>
        <v>0</v>
      </c>
      <c r="AW22" s="114"/>
      <c r="AX22" s="789"/>
      <c r="AY22" s="482"/>
      <c r="BB22" s="114"/>
      <c r="BC22" s="789"/>
      <c r="BD22" s="482"/>
    </row>
    <row r="23" spans="1:56" x14ac:dyDescent="0.35">
      <c r="A23" s="9153"/>
      <c r="B23" s="128"/>
      <c r="C23" s="794" t="s">
        <v>479</v>
      </c>
      <c r="D23" s="456">
        <v>2</v>
      </c>
      <c r="E23" s="729"/>
      <c r="F23" s="795">
        <f>SUM(F17:F21)</f>
        <v>6812534368</v>
      </c>
      <c r="H23" s="796">
        <f>SUM(H17:H21)</f>
        <v>9733213394</v>
      </c>
      <c r="I23" s="797">
        <f>SUM(I17:I21)</f>
        <v>9072095703</v>
      </c>
      <c r="J23" s="1004">
        <f t="shared" si="1"/>
        <v>0.93207611256036538</v>
      </c>
      <c r="L23" s="796">
        <f t="shared" ref="L23" si="2">SUM(L17:L21)</f>
        <v>10842316325</v>
      </c>
      <c r="M23" s="799">
        <v>11819356979.953785</v>
      </c>
      <c r="O23" s="131">
        <f>SUM(O17:O21)</f>
        <v>10842316325</v>
      </c>
      <c r="P23" s="132">
        <f>SUM(P17:P22)</f>
        <v>11819356980</v>
      </c>
      <c r="Q23" s="789" t="s">
        <v>5151</v>
      </c>
      <c r="R23" s="133">
        <f>IF(O23=0,0,P23/O23)</f>
        <v>1.0901136459879113</v>
      </c>
      <c r="T23" s="131">
        <f>SUM(T17:T22)</f>
        <v>10304003292</v>
      </c>
      <c r="U23" s="789" t="s">
        <v>5151</v>
      </c>
      <c r="V23" s="92">
        <f>T23*R23</f>
        <v>11232534596.913561</v>
      </c>
      <c r="X23" s="131">
        <f>SUM(X17:X21)</f>
        <v>10642000000</v>
      </c>
      <c r="Y23" s="132">
        <f>SUM(Y17:Y22)</f>
        <v>17527000000</v>
      </c>
      <c r="Z23" s="789"/>
      <c r="AA23" s="133">
        <f>IF(X23=0,0,Y23/X23)</f>
        <v>1.6469648562300319</v>
      </c>
      <c r="AC23" s="131">
        <f>SUM(AC17:AC22)</f>
        <v>38074000000</v>
      </c>
      <c r="AD23" s="789"/>
      <c r="AE23" s="130">
        <f>SUM(AE17:AE22)</f>
        <v>32840000000</v>
      </c>
      <c r="AG23" s="214">
        <f>SUM(AG17:AG22)</f>
        <v>38074000000</v>
      </c>
      <c r="AH23" s="135">
        <f>SUM(AH17:AH22)</f>
        <v>32840000000</v>
      </c>
      <c r="AI23" s="106"/>
      <c r="AJ23" s="133">
        <f>IF(AG23=0,0,AH23/AG23)</f>
        <v>0.86253086095498244</v>
      </c>
      <c r="AL23" s="131">
        <v>46277</v>
      </c>
      <c r="AM23" s="789" t="s">
        <v>5589</v>
      </c>
      <c r="AN23" s="658">
        <f>SUM(AN17:AN22)</f>
        <v>0</v>
      </c>
      <c r="AP23" s="723" t="s">
        <v>5590</v>
      </c>
      <c r="AR23" s="214">
        <v>43691</v>
      </c>
      <c r="AS23" s="135">
        <f>34740.432179*4/3</f>
        <v>46320.576238666668</v>
      </c>
      <c r="AT23" s="106"/>
      <c r="AU23" s="133">
        <f>IF(AR23=0,0,AS23/AR23)</f>
        <v>1.0601857645434225</v>
      </c>
      <c r="AW23" s="131">
        <v>81590</v>
      </c>
      <c r="AX23" s="789"/>
      <c r="AY23" s="658">
        <v>121336</v>
      </c>
      <c r="BB23" s="131">
        <v>208156</v>
      </c>
      <c r="BC23" s="789"/>
      <c r="BD23" s="658">
        <f>151709*4/3</f>
        <v>202278.66666666666</v>
      </c>
    </row>
    <row r="24" spans="1:56" x14ac:dyDescent="0.35">
      <c r="A24" s="9153"/>
      <c r="B24" s="139" t="s">
        <v>480</v>
      </c>
      <c r="C24" s="771"/>
      <c r="D24" s="801"/>
      <c r="F24" s="802"/>
      <c r="G24" s="801"/>
      <c r="H24" s="803"/>
      <c r="I24" s="804"/>
      <c r="J24" s="1005"/>
      <c r="K24" s="801"/>
      <c r="L24" s="147"/>
      <c r="M24" s="806"/>
      <c r="N24" s="141"/>
      <c r="O24" s="144"/>
      <c r="P24" s="145"/>
      <c r="Q24" s="145"/>
      <c r="R24" s="146"/>
      <c r="S24" s="141"/>
      <c r="T24" s="151"/>
      <c r="U24" s="145"/>
      <c r="V24" s="148"/>
      <c r="W24" s="141"/>
      <c r="X24" s="144"/>
      <c r="Y24" s="145"/>
      <c r="Z24" s="474" t="s">
        <v>5563</v>
      </c>
      <c r="AA24" s="146"/>
      <c r="AB24" s="141"/>
      <c r="AC24" s="151"/>
      <c r="AD24" s="8342" t="s">
        <v>5591</v>
      </c>
      <c r="AE24" s="10"/>
      <c r="AF24" s="141"/>
      <c r="AG24" s="147"/>
      <c r="AH24" s="1006"/>
      <c r="AI24" s="8342" t="s">
        <v>5591</v>
      </c>
      <c r="AJ24" s="146"/>
      <c r="AK24" s="141"/>
      <c r="AL24" s="151"/>
      <c r="AM24" s="8342" t="s">
        <v>5591</v>
      </c>
      <c r="AN24" s="1007"/>
      <c r="AO24" s="141"/>
      <c r="AP24" s="718"/>
      <c r="AR24" s="147"/>
      <c r="AS24" s="231" t="s">
        <v>5592</v>
      </c>
      <c r="AT24" s="8342"/>
      <c r="AU24" s="146"/>
      <c r="AV24" s="141"/>
      <c r="AW24" s="151"/>
      <c r="AX24" s="8342"/>
      <c r="AY24" s="1007"/>
      <c r="BA24" s="141"/>
      <c r="BB24" s="151"/>
      <c r="BC24" s="8342"/>
      <c r="BD24" s="1007"/>
    </row>
    <row r="25" spans="1:56" x14ac:dyDescent="0.35">
      <c r="A25" s="9153"/>
      <c r="B25" s="6082"/>
      <c r="C25" s="778" t="s">
        <v>483</v>
      </c>
      <c r="F25" s="788">
        <v>3201709597</v>
      </c>
      <c r="H25" s="785">
        <v>3567532468</v>
      </c>
      <c r="I25" s="786">
        <v>3636264861</v>
      </c>
      <c r="J25" s="1003">
        <f t="shared" ref="J25:J28" si="3">IF(H25=0,0,I25/H25)</f>
        <v>1.0192660875875734</v>
      </c>
      <c r="L25" s="807">
        <v>4351874377</v>
      </c>
      <c r="M25" s="808">
        <v>5713838856</v>
      </c>
      <c r="O25" s="117">
        <v>4412535083</v>
      </c>
      <c r="P25" s="115">
        <v>5713838856</v>
      </c>
      <c r="Q25" s="789" t="s">
        <v>5593</v>
      </c>
      <c r="R25" s="64">
        <f>IF(O25=0,0,P25/O25)</f>
        <v>1.2949106915916617</v>
      </c>
      <c r="T25" s="156">
        <v>5462960069</v>
      </c>
      <c r="U25" s="789" t="s">
        <v>5593</v>
      </c>
      <c r="V25" s="157">
        <f>T25*R25</f>
        <v>7074045401.086422</v>
      </c>
      <c r="X25" s="117">
        <v>5463000000</v>
      </c>
      <c r="Y25" s="115">
        <v>7487000000</v>
      </c>
      <c r="Z25" s="789"/>
      <c r="AA25" s="64">
        <f>IF(X25=0,0,Y25/X25)</f>
        <v>1.3704924034413326</v>
      </c>
      <c r="AC25" s="156">
        <v>14358000000</v>
      </c>
      <c r="AD25" s="119" t="s">
        <v>5594</v>
      </c>
      <c r="AE25" s="1008">
        <f>13539000000+27000000</f>
        <v>13566000000</v>
      </c>
      <c r="AG25" s="159">
        <v>14358000000</v>
      </c>
      <c r="AH25" s="160">
        <f>13539000000+27000000</f>
        <v>13566000000</v>
      </c>
      <c r="AI25" s="57" t="s">
        <v>5594</v>
      </c>
      <c r="AJ25" s="64">
        <f>IF(AG25=0,0,AH25/AG25)</f>
        <v>0.94483911408274135</v>
      </c>
      <c r="AL25" s="156">
        <v>22405</v>
      </c>
      <c r="AM25" s="119"/>
      <c r="AN25" s="1009"/>
      <c r="AP25" s="723"/>
      <c r="AR25" s="159">
        <v>22498</v>
      </c>
      <c r="AS25" s="160">
        <f>15323.92258*4/3</f>
        <v>20431.896773333334</v>
      </c>
      <c r="AT25" s="57"/>
      <c r="AU25" s="64">
        <f>IF(AR25=0,0,AS25/AR25)</f>
        <v>0.90816502681719857</v>
      </c>
      <c r="AW25" s="156">
        <v>23343</v>
      </c>
      <c r="AX25" s="119"/>
      <c r="AY25" s="1009">
        <v>24376</v>
      </c>
      <c r="BB25" s="156">
        <v>26899</v>
      </c>
      <c r="BC25" s="119"/>
      <c r="BD25" s="1009">
        <f>30678*4/3</f>
        <v>40904</v>
      </c>
    </row>
    <row r="26" spans="1:56" x14ac:dyDescent="0.35">
      <c r="A26" s="9153"/>
      <c r="B26" s="6082"/>
      <c r="C26" s="778" t="s">
        <v>489</v>
      </c>
      <c r="F26" s="788"/>
      <c r="H26" s="785"/>
      <c r="I26" s="786"/>
      <c r="J26" s="1003">
        <f t="shared" si="3"/>
        <v>0</v>
      </c>
      <c r="L26" s="807"/>
      <c r="M26" s="808"/>
      <c r="O26" s="117"/>
      <c r="P26" s="115"/>
      <c r="Q26" s="789"/>
      <c r="R26" s="64">
        <f>IF(O26=0,0,P26/O26)</f>
        <v>0</v>
      </c>
      <c r="T26" s="156"/>
      <c r="U26" s="789"/>
      <c r="V26" s="157">
        <f>T26*R26</f>
        <v>0</v>
      </c>
      <c r="X26" s="117"/>
      <c r="Y26" s="115"/>
      <c r="Z26" s="789"/>
      <c r="AA26" s="64">
        <f>IF(X26=0,0,Y26/X26)</f>
        <v>0</v>
      </c>
      <c r="AC26" s="156"/>
      <c r="AD26" s="789"/>
      <c r="AE26" s="1008"/>
      <c r="AG26" s="159"/>
      <c r="AH26" s="160"/>
      <c r="AI26" s="106"/>
      <c r="AJ26" s="64">
        <f>IF(AG26=0,0,AH26/AG26)</f>
        <v>0</v>
      </c>
      <c r="AL26" s="156"/>
      <c r="AM26" s="789"/>
      <c r="AN26" s="1009"/>
      <c r="AP26" s="723"/>
      <c r="AR26" s="159"/>
      <c r="AS26" s="160"/>
      <c r="AT26" s="106"/>
      <c r="AU26" s="64">
        <f>IF(AR26=0,0,AS26/AR26)</f>
        <v>0</v>
      </c>
      <c r="AW26" s="156"/>
      <c r="AX26" s="789"/>
      <c r="AY26" s="1009"/>
      <c r="BB26" s="156"/>
      <c r="BC26" s="789"/>
      <c r="BD26" s="1009"/>
    </row>
    <row r="27" spans="1:56" x14ac:dyDescent="0.35">
      <c r="A27" s="9153"/>
      <c r="B27" s="6082"/>
      <c r="C27" s="778" t="s">
        <v>490</v>
      </c>
      <c r="D27" s="456">
        <v>3</v>
      </c>
      <c r="F27" s="788"/>
      <c r="H27" s="785"/>
      <c r="I27" s="786"/>
      <c r="J27" s="1003">
        <f t="shared" si="3"/>
        <v>0</v>
      </c>
      <c r="L27" s="807"/>
      <c r="M27" s="808"/>
      <c r="O27" s="117"/>
      <c r="P27" s="115"/>
      <c r="Q27" s="789"/>
      <c r="R27" s="64">
        <f>IF(O27=0,0,P27/O27)</f>
        <v>0</v>
      </c>
      <c r="T27" s="156"/>
      <c r="U27" s="789"/>
      <c r="V27" s="157">
        <f>T27*R27</f>
        <v>0</v>
      </c>
      <c r="X27" s="117"/>
      <c r="Y27" s="115"/>
      <c r="Z27" s="789"/>
      <c r="AA27" s="64">
        <f>IF(X27=0,0,Y27/X27)</f>
        <v>0</v>
      </c>
      <c r="AC27" s="156"/>
      <c r="AD27" s="789"/>
      <c r="AE27" s="1008"/>
      <c r="AG27" s="159"/>
      <c r="AH27" s="160"/>
      <c r="AI27" s="106"/>
      <c r="AJ27" s="64">
        <f>IF(AG27=0,0,AH27/AG27)</f>
        <v>0</v>
      </c>
      <c r="AL27" s="156"/>
      <c r="AM27" s="789"/>
      <c r="AN27" s="1009"/>
      <c r="AP27" s="723" t="s">
        <v>5595</v>
      </c>
      <c r="AR27" s="159"/>
      <c r="AS27" s="160"/>
      <c r="AT27" s="106"/>
      <c r="AU27" s="64">
        <f>IF(AR27=0,0,AS27/AR27)</f>
        <v>0</v>
      </c>
      <c r="AW27" s="156"/>
      <c r="AX27" s="789"/>
      <c r="AY27" s="1009"/>
      <c r="BB27" s="156"/>
      <c r="BC27" s="789"/>
      <c r="BD27" s="1009"/>
    </row>
    <row r="28" spans="1:56" x14ac:dyDescent="0.35">
      <c r="A28" s="9153"/>
      <c r="B28" s="6082"/>
      <c r="C28" s="817" t="s">
        <v>497</v>
      </c>
      <c r="E28" s="801"/>
      <c r="F28" s="790"/>
      <c r="H28" s="818"/>
      <c r="I28" s="819"/>
      <c r="J28" s="1003">
        <f t="shared" si="3"/>
        <v>0</v>
      </c>
      <c r="L28" s="820"/>
      <c r="M28" s="808"/>
      <c r="O28" s="164"/>
      <c r="P28" s="165"/>
      <c r="Q28" s="106"/>
      <c r="R28" s="64">
        <f>IF(O28=0,0,P28/O28)</f>
        <v>0</v>
      </c>
      <c r="T28" s="156"/>
      <c r="U28" s="106"/>
      <c r="V28" s="157">
        <f>T28*R28</f>
        <v>0</v>
      </c>
      <c r="X28" s="164"/>
      <c r="Y28" s="165"/>
      <c r="Z28" s="106"/>
      <c r="AA28" s="64">
        <f>IF(X28=0,0,Y28/X28)</f>
        <v>0</v>
      </c>
      <c r="AC28" s="156"/>
      <c r="AD28" s="106"/>
      <c r="AE28" s="1008"/>
      <c r="AG28" s="159"/>
      <c r="AH28" s="160"/>
      <c r="AI28" s="106"/>
      <c r="AJ28" s="64">
        <f>IF(AG28=0,0,AH28/AG28)</f>
        <v>0</v>
      </c>
      <c r="AL28" s="156"/>
      <c r="AM28" s="106"/>
      <c r="AN28" s="1009"/>
      <c r="AP28" s="723"/>
      <c r="AR28" s="159"/>
      <c r="AS28" s="160"/>
      <c r="AT28" s="106"/>
      <c r="AU28" s="64">
        <f>IF(AR28=0,0,AS28/AR28)</f>
        <v>0</v>
      </c>
      <c r="AW28" s="156"/>
      <c r="AX28" s="106"/>
      <c r="AY28" s="1009"/>
      <c r="BB28" s="156"/>
      <c r="BC28" s="106"/>
      <c r="BD28" s="1009"/>
    </row>
    <row r="29" spans="1:56" ht="13" x14ac:dyDescent="0.3">
      <c r="A29" s="9153"/>
      <c r="B29" s="128"/>
      <c r="C29" s="794" t="s">
        <v>499</v>
      </c>
      <c r="F29" s="1010">
        <f>IF(F26=0,0,(F27-F28)/F26)</f>
        <v>0</v>
      </c>
      <c r="G29" s="823"/>
      <c r="H29" s="1011">
        <f t="shared" ref="H29:I29" si="4">IF(H26=0,0,(H27-H28)/H26)</f>
        <v>0</v>
      </c>
      <c r="I29" s="1012">
        <f t="shared" si="4"/>
        <v>0</v>
      </c>
      <c r="J29" s="1013"/>
      <c r="K29" s="823"/>
      <c r="L29" s="1014">
        <f>IF(L26=0,0,L27/L26)</f>
        <v>0</v>
      </c>
      <c r="M29" s="1015">
        <f>IF(M26=0,0,M27/M26)</f>
        <v>0</v>
      </c>
      <c r="N29" s="170"/>
      <c r="O29" s="171"/>
      <c r="P29" s="177"/>
      <c r="Q29" s="177"/>
      <c r="R29" s="173"/>
      <c r="S29" s="170"/>
      <c r="T29" s="174">
        <f>IF(T26=0,0,T27/T26)</f>
        <v>0</v>
      </c>
      <c r="U29" s="177"/>
      <c r="V29" s="175">
        <f>IF(V26=0,0,V27/V26)</f>
        <v>0</v>
      </c>
      <c r="W29" s="170"/>
      <c r="X29" s="171"/>
      <c r="Y29" s="177"/>
      <c r="Z29" s="177"/>
      <c r="AA29" s="173"/>
      <c r="AB29" s="170"/>
      <c r="AC29" s="174">
        <f>IF(AC26=0,0,AC27/AC26)</f>
        <v>0</v>
      </c>
      <c r="AD29" s="177"/>
      <c r="AE29" s="1016">
        <f>IF(AE26=0,0,AE27/AE26)</f>
        <v>0</v>
      </c>
      <c r="AF29" s="170"/>
      <c r="AG29" s="174">
        <f>IF(AG26=0,0,AG27/AG26)</f>
        <v>0</v>
      </c>
      <c r="AH29" s="180">
        <f>IF(AH26=0,0,AH27/AH26)</f>
        <v>0</v>
      </c>
      <c r="AI29" s="177"/>
      <c r="AJ29" s="173"/>
      <c r="AK29" s="170"/>
      <c r="AL29" s="174">
        <f>IF(AL26=0,0,AL27/AL26)</f>
        <v>0</v>
      </c>
      <c r="AM29" s="177"/>
      <c r="AN29" s="1017">
        <f>IF(AN26=0,0,AN27/AN26)</f>
        <v>0</v>
      </c>
      <c r="AO29" s="170"/>
      <c r="AP29" s="723"/>
      <c r="AR29" s="174">
        <f>IF(AR26=0,0,AR27/AR26)</f>
        <v>0</v>
      </c>
      <c r="AS29" s="180">
        <f>IF(AS26=0,0,AS27/AS26)</f>
        <v>0</v>
      </c>
      <c r="AT29" s="177"/>
      <c r="AU29" s="173"/>
      <c r="AV29" s="170"/>
      <c r="AW29" s="174">
        <f>IF(AW26=0,0,AW27/AW26)</f>
        <v>0</v>
      </c>
      <c r="AX29" s="177"/>
      <c r="AY29" s="1017">
        <f>IF(AY26=0,0,AY27/AY26)</f>
        <v>0</v>
      </c>
      <c r="BA29" s="170"/>
      <c r="BB29" s="174">
        <f>IF(BB26=0,0,BB27/BB26)</f>
        <v>0</v>
      </c>
      <c r="BC29" s="177"/>
      <c r="BD29" s="1017">
        <f>IF(BD26=0,0,BD27/BD26)</f>
        <v>0</v>
      </c>
    </row>
    <row r="30" spans="1:56" x14ac:dyDescent="0.35">
      <c r="A30" s="9153"/>
      <c r="B30" s="139" t="s">
        <v>501</v>
      </c>
      <c r="C30" s="831"/>
      <c r="D30" s="456">
        <v>4</v>
      </c>
      <c r="E30" s="1"/>
      <c r="F30" s="205">
        <v>620451481</v>
      </c>
      <c r="G30" s="170"/>
      <c r="H30" s="1018">
        <v>970992831</v>
      </c>
      <c r="I30" s="202">
        <v>958877941</v>
      </c>
      <c r="J30" s="203">
        <f>IF(H30=0,0,I30/H30)</f>
        <v>0.9875231931552747</v>
      </c>
      <c r="K30" s="170"/>
      <c r="L30" s="1019">
        <v>954674169</v>
      </c>
      <c r="M30" s="1020">
        <v>999118842</v>
      </c>
      <c r="N30" s="170"/>
      <c r="O30" s="189"/>
      <c r="P30" s="190"/>
      <c r="Q30" s="190"/>
      <c r="R30" s="191"/>
      <c r="S30" s="170"/>
      <c r="T30" s="1019"/>
      <c r="U30" s="202"/>
      <c r="V30" s="1020"/>
      <c r="W30" s="170"/>
      <c r="X30" s="189"/>
      <c r="Y30" s="190"/>
      <c r="Z30" s="190"/>
      <c r="AA30" s="191"/>
      <c r="AB30" s="170"/>
      <c r="AC30" s="1019"/>
      <c r="AD30" s="202"/>
      <c r="AE30" s="1021"/>
      <c r="AF30" s="170"/>
      <c r="AG30" s="1019"/>
      <c r="AH30" s="1022"/>
      <c r="AI30" s="202"/>
      <c r="AJ30" s="191"/>
      <c r="AK30" s="170"/>
      <c r="AL30" s="1019"/>
      <c r="AM30" s="202"/>
      <c r="AN30" s="1020"/>
      <c r="AO30" s="170"/>
      <c r="AP30" s="718" t="s">
        <v>5596</v>
      </c>
      <c r="AR30" s="1019"/>
      <c r="AS30" s="1022"/>
      <c r="AT30" s="202"/>
      <c r="AU30" s="191"/>
      <c r="AV30" s="170"/>
      <c r="AW30" s="1019"/>
      <c r="AX30" s="202"/>
      <c r="AY30" s="1020"/>
      <c r="BA30" s="170"/>
      <c r="BB30" s="1019"/>
      <c r="BC30" s="202"/>
      <c r="BD30" s="1020"/>
    </row>
    <row r="31" spans="1:56" x14ac:dyDescent="0.35">
      <c r="A31" s="9153"/>
      <c r="B31" s="6082"/>
      <c r="C31" s="121" t="s">
        <v>11</v>
      </c>
      <c r="E31" s="1"/>
      <c r="F31" s="841"/>
      <c r="G31" s="170"/>
      <c r="H31" s="112"/>
      <c r="I31" s="113"/>
      <c r="J31" s="64"/>
      <c r="K31" s="170"/>
      <c r="L31" s="117"/>
      <c r="M31" s="842"/>
      <c r="N31" s="170"/>
      <c r="O31" s="117"/>
      <c r="P31" s="115"/>
      <c r="Q31" s="202"/>
      <c r="R31" s="1023">
        <f>IF(O31=0,0,P31/O31)</f>
        <v>0</v>
      </c>
      <c r="S31" s="170"/>
      <c r="T31" s="200"/>
      <c r="U31" s="202"/>
      <c r="V31" s="157">
        <f>T31*R31</f>
        <v>0</v>
      </c>
      <c r="W31" s="170"/>
      <c r="X31" s="117"/>
      <c r="Y31" s="115"/>
      <c r="Z31" s="202"/>
      <c r="AA31" s="1023">
        <f>IF(X31=0,0,Y31/X31)</f>
        <v>0</v>
      </c>
      <c r="AB31" s="170"/>
      <c r="AC31" s="200"/>
      <c r="AD31" s="202"/>
      <c r="AE31" s="155"/>
      <c r="AF31" s="170"/>
      <c r="AG31" s="200"/>
      <c r="AH31" s="204"/>
      <c r="AI31" s="202"/>
      <c r="AJ31" s="1023">
        <f>IF(AG31=0,0,AH31/AG31)</f>
        <v>0</v>
      </c>
      <c r="AK31" s="170"/>
      <c r="AL31" s="200"/>
      <c r="AM31" s="202"/>
      <c r="AN31" s="273"/>
      <c r="AO31" s="170"/>
      <c r="AP31" s="723"/>
      <c r="AR31" s="200"/>
      <c r="AS31" s="204"/>
      <c r="AT31" s="202"/>
      <c r="AU31" s="1023">
        <f>IF(AR31=0,0,AS31/AR31)</f>
        <v>0</v>
      </c>
      <c r="AV31" s="170"/>
      <c r="AW31" s="200"/>
      <c r="AX31" s="202"/>
      <c r="AY31" s="273"/>
      <c r="BA31" s="170"/>
      <c r="BB31" s="200"/>
      <c r="BC31" s="202"/>
      <c r="BD31" s="273"/>
    </row>
    <row r="32" spans="1:56" x14ac:dyDescent="0.35">
      <c r="A32" s="9154"/>
      <c r="B32" s="844"/>
      <c r="C32" s="208" t="s">
        <v>502</v>
      </c>
      <c r="E32" s="1"/>
      <c r="F32" s="210"/>
      <c r="G32" s="1"/>
      <c r="H32" s="217"/>
      <c r="I32" s="845"/>
      <c r="J32" s="133"/>
      <c r="K32" s="1"/>
      <c r="L32" s="131"/>
      <c r="M32" s="846"/>
      <c r="O32" s="131"/>
      <c r="P32" s="132"/>
      <c r="Q32" s="216"/>
      <c r="R32" s="133">
        <f>IF(O32=0,0,P32/O32)</f>
        <v>0</v>
      </c>
      <c r="T32" s="211"/>
      <c r="U32" s="216"/>
      <c r="V32" s="213">
        <f>T32*R32</f>
        <v>0</v>
      </c>
      <c r="X32" s="131"/>
      <c r="Y32" s="132"/>
      <c r="Z32" s="216"/>
      <c r="AA32" s="133">
        <f>IF(X32=0,0,Y32/X32)</f>
        <v>0</v>
      </c>
      <c r="AC32" s="211"/>
      <c r="AD32" s="216"/>
      <c r="AE32" s="210"/>
      <c r="AG32" s="211"/>
      <c r="AH32" s="212"/>
      <c r="AI32" s="216"/>
      <c r="AJ32" s="133">
        <f>IF(AG32=0,0,AH32/AG32)</f>
        <v>0</v>
      </c>
      <c r="AL32" s="211"/>
      <c r="AM32" s="216"/>
      <c r="AN32" s="485"/>
      <c r="AP32" s="722"/>
      <c r="AR32" s="211"/>
      <c r="AS32" s="212"/>
      <c r="AT32" s="216"/>
      <c r="AU32" s="133">
        <f>IF(AR32=0,0,AS32/AR32)</f>
        <v>0</v>
      </c>
      <c r="AW32" s="211"/>
      <c r="AX32" s="216"/>
      <c r="AY32" s="485"/>
      <c r="BB32" s="211"/>
      <c r="BC32" s="216"/>
      <c r="BD32" s="485"/>
    </row>
    <row r="33" spans="1:56" ht="12" x14ac:dyDescent="0.3">
      <c r="F33" s="847"/>
      <c r="H33" s="847"/>
      <c r="I33" s="847"/>
      <c r="J33" s="847"/>
      <c r="L33" s="847"/>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R33" s="462"/>
      <c r="AS33" s="462"/>
      <c r="AT33" s="462"/>
      <c r="AU33" s="462"/>
      <c r="AV33" s="462"/>
      <c r="AW33" s="462"/>
      <c r="AX33" s="462"/>
      <c r="AY33" s="462"/>
      <c r="BA33" s="462"/>
      <c r="BB33" s="462"/>
      <c r="BC33" s="462"/>
      <c r="BD33" s="462"/>
    </row>
    <row r="34" spans="1:56" ht="23.5" customHeight="1" x14ac:dyDescent="0.35">
      <c r="A34" s="9152" t="s">
        <v>503</v>
      </c>
      <c r="B34" s="848"/>
      <c r="C34" s="725" t="s">
        <v>427</v>
      </c>
      <c r="D34" s="456" t="s">
        <v>428</v>
      </c>
      <c r="F34" s="849"/>
      <c r="G34" s="223"/>
      <c r="H34" s="850"/>
      <c r="I34" s="8327"/>
      <c r="J34" s="851"/>
      <c r="K34" s="223"/>
      <c r="L34" s="850"/>
      <c r="M34" s="8315"/>
      <c r="N34" s="170"/>
      <c r="O34" s="1024"/>
      <c r="P34" s="1025"/>
      <c r="Q34" s="1026"/>
      <c r="R34" s="1027"/>
      <c r="S34" s="170"/>
      <c r="T34" s="503"/>
      <c r="U34" s="1026"/>
      <c r="V34" s="1028"/>
      <c r="W34" s="170"/>
      <c r="X34" s="1024"/>
      <c r="Y34" s="1025"/>
      <c r="Z34" s="1026"/>
      <c r="AA34" s="1027"/>
      <c r="AB34" s="170"/>
      <c r="AC34" s="503"/>
      <c r="AD34" s="1026"/>
      <c r="AE34" s="503"/>
      <c r="AF34" s="170"/>
      <c r="AG34" s="1024"/>
      <c r="AH34" s="1029"/>
      <c r="AI34" s="1026"/>
      <c r="AJ34" s="1027"/>
      <c r="AK34" s="170"/>
      <c r="AL34" s="503"/>
      <c r="AM34" s="1026"/>
      <c r="AN34" s="1030"/>
      <c r="AO34" s="170"/>
      <c r="AP34" s="858"/>
      <c r="AR34" s="1024"/>
      <c r="AS34" s="1029"/>
      <c r="AT34" s="1026"/>
      <c r="AU34" s="1027"/>
      <c r="AV34" s="170"/>
      <c r="AW34" s="503"/>
      <c r="AX34" s="1026"/>
      <c r="AY34" s="1030"/>
      <c r="BA34" s="170"/>
      <c r="BB34" s="503"/>
      <c r="BC34" s="1026"/>
      <c r="BD34" s="1030"/>
    </row>
    <row r="35" spans="1:56" x14ac:dyDescent="0.35">
      <c r="A35" s="9153"/>
      <c r="B35" s="863" t="s">
        <v>514</v>
      </c>
      <c r="C35" s="864"/>
      <c r="F35" s="865"/>
      <c r="G35" s="457"/>
      <c r="H35" s="866"/>
      <c r="I35" s="847"/>
      <c r="J35" s="776"/>
      <c r="K35" s="457"/>
      <c r="L35" s="773"/>
      <c r="M35" s="867"/>
      <c r="O35" s="773"/>
      <c r="P35" s="868"/>
      <c r="Q35" s="103"/>
      <c r="R35" s="188"/>
      <c r="T35" s="773"/>
      <c r="U35" s="103"/>
      <c r="V35" s="1031"/>
      <c r="X35" s="773"/>
      <c r="Y35" s="868"/>
      <c r="Z35" s="103" t="s">
        <v>5597</v>
      </c>
      <c r="AA35" s="188"/>
      <c r="AC35" s="773"/>
      <c r="AD35" s="103" t="s">
        <v>5598</v>
      </c>
      <c r="AE35" s="773"/>
      <c r="AG35" s="773"/>
      <c r="AH35" s="774"/>
      <c r="AI35" s="103" t="s">
        <v>5598</v>
      </c>
      <c r="AJ35" s="188"/>
      <c r="AL35" s="1032" t="s">
        <v>5599</v>
      </c>
      <c r="AM35" s="103"/>
      <c r="AN35" s="776"/>
      <c r="AP35" s="718"/>
      <c r="AR35" s="6465" t="s">
        <v>3275</v>
      </c>
      <c r="AS35" s="774" t="s">
        <v>5600</v>
      </c>
      <c r="AT35" s="103"/>
      <c r="AU35" s="188"/>
      <c r="AW35" s="1032" t="s">
        <v>5601</v>
      </c>
      <c r="AX35" s="481"/>
      <c r="AY35" s="7484" t="s">
        <v>5602</v>
      </c>
      <c r="BB35" s="1032"/>
      <c r="BC35" s="481"/>
      <c r="BD35" s="7484"/>
    </row>
    <row r="36" spans="1:56" ht="15.5" customHeight="1" x14ac:dyDescent="0.35">
      <c r="A36" s="9153"/>
      <c r="B36" s="873"/>
      <c r="C36" s="874" t="s">
        <v>5603</v>
      </c>
      <c r="D36" s="456">
        <v>5</v>
      </c>
      <c r="F36" s="779">
        <v>283352248</v>
      </c>
      <c r="H36" s="780">
        <v>619941644</v>
      </c>
      <c r="I36" s="781">
        <v>396118512</v>
      </c>
      <c r="J36" s="1003">
        <f t="shared" ref="J36" si="5">IF(H36=0,0,I36/H36)</f>
        <v>0.63896096646154654</v>
      </c>
      <c r="L36" s="780">
        <v>603643900</v>
      </c>
      <c r="M36" s="875">
        <v>543518527.89999998</v>
      </c>
      <c r="O36" s="780">
        <v>603643900</v>
      </c>
      <c r="P36" s="876">
        <f>543518528-703761</f>
        <v>542814767</v>
      </c>
      <c r="Q36" s="106" t="s">
        <v>5593</v>
      </c>
      <c r="R36" s="877">
        <f t="shared" ref="R36:R60" si="6">IF(O36=0,0,P36/O36)</f>
        <v>0.89923010403981551</v>
      </c>
      <c r="T36" s="878">
        <v>676914346</v>
      </c>
      <c r="U36" s="106" t="s">
        <v>5593</v>
      </c>
      <c r="V36" s="901">
        <f t="shared" ref="V36:V64" si="7">T36*R36</f>
        <v>608701757.77962363</v>
      </c>
      <c r="X36" s="780">
        <v>676914346</v>
      </c>
      <c r="Y36" s="876">
        <v>667619908</v>
      </c>
      <c r="Z36" s="57" t="s">
        <v>5604</v>
      </c>
      <c r="AA36" s="877">
        <f t="shared" ref="AA36:AA39" si="8">IF(X36=0,0,Y36/X36)</f>
        <v>0.98626940313065847</v>
      </c>
      <c r="AC36" s="248">
        <v>1406000000</v>
      </c>
      <c r="AD36" s="106"/>
      <c r="AE36" s="248">
        <v>960000000</v>
      </c>
      <c r="AG36" s="248">
        <v>1406000000</v>
      </c>
      <c r="AH36" s="1033">
        <v>960000000</v>
      </c>
      <c r="AI36" s="106"/>
      <c r="AJ36" s="877">
        <f t="shared" ref="AJ36:AJ39" si="9">IF(AG36=0,0,AH36/AG36)</f>
        <v>0.6827880512091038</v>
      </c>
      <c r="AL36" s="248">
        <v>1862</v>
      </c>
      <c r="AM36" s="106"/>
      <c r="AN36" s="1034"/>
      <c r="AP36" s="723" t="s">
        <v>5605</v>
      </c>
      <c r="AR36" s="248">
        <v>1862.205015</v>
      </c>
      <c r="AS36" s="1033">
        <f>1628.39954*4/3</f>
        <v>2171.1993866666667</v>
      </c>
      <c r="AT36" s="106"/>
      <c r="AU36" s="877">
        <f t="shared" ref="AU36:AU39" si="10">IF(AR36=0,0,AS36/AR36)</f>
        <v>1.1659292984272553</v>
      </c>
      <c r="AW36" s="248">
        <v>7629.0053539999999</v>
      </c>
      <c r="AX36" s="106" t="s">
        <v>5606</v>
      </c>
      <c r="AY36" s="1034">
        <f>2105.862571*4/3</f>
        <v>2807.8167613333335</v>
      </c>
      <c r="BB36" s="248">
        <v>11720</v>
      </c>
      <c r="BC36" s="106"/>
      <c r="BD36" s="1034">
        <f>6679*4/3</f>
        <v>8905.3333333333339</v>
      </c>
    </row>
    <row r="37" spans="1:56" ht="15.25" customHeight="1" x14ac:dyDescent="0.35">
      <c r="A37" s="9153"/>
      <c r="B37" s="873"/>
      <c r="C37" s="874" t="s">
        <v>2541</v>
      </c>
      <c r="F37" s="788"/>
      <c r="H37" s="785"/>
      <c r="I37" s="786"/>
      <c r="J37" s="1003"/>
      <c r="L37" s="785"/>
      <c r="M37" s="881"/>
      <c r="N37" s="223"/>
      <c r="O37" s="785">
        <v>0</v>
      </c>
      <c r="P37" s="882">
        <v>703761</v>
      </c>
      <c r="Q37" s="106" t="s">
        <v>5593</v>
      </c>
      <c r="R37" s="883">
        <f t="shared" si="6"/>
        <v>0</v>
      </c>
      <c r="S37" s="223"/>
      <c r="T37" s="1035">
        <v>0</v>
      </c>
      <c r="U37" s="106" t="s">
        <v>5593</v>
      </c>
      <c r="V37" s="1036">
        <f>P37*V36/P36</f>
        <v>789183.6843796582</v>
      </c>
      <c r="W37" s="223"/>
      <c r="X37" s="785">
        <v>0</v>
      </c>
      <c r="Y37" s="882">
        <v>0</v>
      </c>
      <c r="Z37" s="57" t="s">
        <v>5607</v>
      </c>
      <c r="AA37" s="883">
        <f t="shared" si="8"/>
        <v>0</v>
      </c>
      <c r="AB37" s="223"/>
      <c r="AC37" s="1035"/>
      <c r="AD37" s="106"/>
      <c r="AE37" s="1035"/>
      <c r="AF37" s="223"/>
      <c r="AG37" s="1035"/>
      <c r="AH37" s="1037"/>
      <c r="AI37" s="106"/>
      <c r="AJ37" s="883">
        <f t="shared" si="9"/>
        <v>0</v>
      </c>
      <c r="AK37" s="223"/>
      <c r="AL37" s="1035"/>
      <c r="AM37" s="106"/>
      <c r="AN37" s="1038"/>
      <c r="AO37" s="223"/>
      <c r="AP37" s="723"/>
      <c r="AR37" s="1035"/>
      <c r="AS37" s="1037"/>
      <c r="AT37" s="106"/>
      <c r="AU37" s="883">
        <f t="shared" si="10"/>
        <v>0</v>
      </c>
      <c r="AV37" s="223"/>
      <c r="AW37" s="1035">
        <v>0</v>
      </c>
      <c r="AX37" s="106"/>
      <c r="AY37" s="1038">
        <v>0</v>
      </c>
      <c r="BA37" s="223"/>
      <c r="BB37" s="1035"/>
      <c r="BC37" s="106"/>
      <c r="BD37" s="1038"/>
    </row>
    <row r="38" spans="1:56" x14ac:dyDescent="0.35">
      <c r="A38" s="9153"/>
      <c r="B38" s="873"/>
      <c r="C38" s="874" t="s">
        <v>5608</v>
      </c>
      <c r="F38" s="790">
        <v>83427546.340000004</v>
      </c>
      <c r="H38" s="791"/>
      <c r="I38" s="792"/>
      <c r="J38" s="1003">
        <f t="shared" ref="J38:J39" si="11">IF(H38=0,0,I38/H38)</f>
        <v>0</v>
      </c>
      <c r="L38" s="785"/>
      <c r="M38" s="881"/>
      <c r="N38" s="223"/>
      <c r="O38" s="791"/>
      <c r="P38" s="882">
        <f t="shared" ref="P38:P39" si="12">O38*M38</f>
        <v>0</v>
      </c>
      <c r="Q38" s="1039"/>
      <c r="R38" s="883">
        <f t="shared" si="6"/>
        <v>0</v>
      </c>
      <c r="S38" s="223"/>
      <c r="T38" s="818"/>
      <c r="U38" s="1039"/>
      <c r="V38" s="1036">
        <f t="shared" si="7"/>
        <v>0</v>
      </c>
      <c r="W38" s="223"/>
      <c r="X38" s="791"/>
      <c r="Y38" s="882">
        <f t="shared" ref="Y38:Y39" si="13">X38*V38</f>
        <v>0</v>
      </c>
      <c r="Z38" s="1039"/>
      <c r="AA38" s="883">
        <f t="shared" si="8"/>
        <v>0</v>
      </c>
      <c r="AB38" s="223"/>
      <c r="AC38" s="818"/>
      <c r="AD38" s="1039"/>
      <c r="AE38" s="818"/>
      <c r="AF38" s="223"/>
      <c r="AG38" s="818"/>
      <c r="AH38" s="819"/>
      <c r="AI38" s="1039"/>
      <c r="AJ38" s="883">
        <f t="shared" si="9"/>
        <v>0</v>
      </c>
      <c r="AK38" s="223"/>
      <c r="AL38" s="818"/>
      <c r="AM38" s="1039"/>
      <c r="AN38" s="1040"/>
      <c r="AO38" s="223"/>
      <c r="AP38" s="723"/>
      <c r="AR38" s="818"/>
      <c r="AS38" s="819"/>
      <c r="AT38" s="1039"/>
      <c r="AU38" s="883">
        <f t="shared" si="10"/>
        <v>0</v>
      </c>
      <c r="AV38" s="223"/>
      <c r="AW38" s="818"/>
      <c r="AX38" s="1039"/>
      <c r="AY38" s="1040"/>
      <c r="BA38" s="223"/>
      <c r="BB38" s="818"/>
      <c r="BC38" s="1039"/>
      <c r="BD38" s="1040"/>
    </row>
    <row r="39" spans="1:56" x14ac:dyDescent="0.35">
      <c r="A39" s="9153"/>
      <c r="B39" s="885"/>
      <c r="C39" s="886" t="s">
        <v>5609</v>
      </c>
      <c r="E39" s="223"/>
      <c r="F39" s="790"/>
      <c r="H39" s="791"/>
      <c r="I39" s="792"/>
      <c r="J39" s="1003">
        <f t="shared" si="11"/>
        <v>0</v>
      </c>
      <c r="L39" s="791"/>
      <c r="M39" s="808"/>
      <c r="N39" s="143"/>
      <c r="O39" s="791"/>
      <c r="P39" s="887">
        <f t="shared" si="12"/>
        <v>0</v>
      </c>
      <c r="Q39" s="106"/>
      <c r="R39" s="877">
        <f t="shared" si="6"/>
        <v>0</v>
      </c>
      <c r="S39" s="143"/>
      <c r="T39" s="818"/>
      <c r="U39" s="106"/>
      <c r="V39" s="901">
        <f t="shared" si="7"/>
        <v>0</v>
      </c>
      <c r="W39" s="143"/>
      <c r="X39" s="791"/>
      <c r="Y39" s="887">
        <f t="shared" si="13"/>
        <v>0</v>
      </c>
      <c r="Z39" s="106"/>
      <c r="AA39" s="877">
        <f t="shared" si="8"/>
        <v>0</v>
      </c>
      <c r="AB39" s="143"/>
      <c r="AC39" s="818"/>
      <c r="AD39" s="106"/>
      <c r="AE39" s="818"/>
      <c r="AF39" s="143"/>
      <c r="AG39" s="818"/>
      <c r="AH39" s="819"/>
      <c r="AI39" s="106"/>
      <c r="AJ39" s="877">
        <f t="shared" si="9"/>
        <v>0</v>
      </c>
      <c r="AK39" s="143"/>
      <c r="AL39" s="818"/>
      <c r="AM39" s="106"/>
      <c r="AN39" s="1040"/>
      <c r="AO39" s="143"/>
      <c r="AP39" s="723"/>
      <c r="AR39" s="818"/>
      <c r="AS39" s="819"/>
      <c r="AT39" s="106"/>
      <c r="AU39" s="877">
        <f t="shared" si="10"/>
        <v>0</v>
      </c>
      <c r="AV39" s="143"/>
      <c r="AW39" s="818"/>
      <c r="AX39" s="106"/>
      <c r="AY39" s="1040"/>
      <c r="BA39" s="143"/>
      <c r="BB39" s="818"/>
      <c r="BC39" s="106"/>
      <c r="BD39" s="1040"/>
    </row>
    <row r="40" spans="1:56" x14ac:dyDescent="0.35">
      <c r="A40" s="9153"/>
      <c r="B40" s="196" t="s">
        <v>531</v>
      </c>
      <c r="C40" s="889"/>
      <c r="E40" s="457"/>
      <c r="F40" s="865"/>
      <c r="G40" s="457"/>
      <c r="H40" s="866"/>
      <c r="I40" s="847"/>
      <c r="J40" s="890"/>
      <c r="K40" s="457"/>
      <c r="L40" s="866"/>
      <c r="M40" s="891"/>
      <c r="O40" s="866"/>
      <c r="P40" s="892"/>
      <c r="Q40" s="106"/>
      <c r="R40" s="64"/>
      <c r="T40" s="866"/>
      <c r="U40" s="106"/>
      <c r="V40" s="234"/>
      <c r="X40" s="866"/>
      <c r="Y40" s="892"/>
      <c r="Z40" s="106"/>
      <c r="AA40" s="64"/>
      <c r="AC40" s="866"/>
      <c r="AD40" s="106"/>
      <c r="AE40" s="866"/>
      <c r="AG40" s="866"/>
      <c r="AH40" s="847"/>
      <c r="AI40" s="106"/>
      <c r="AJ40" s="64"/>
      <c r="AL40" s="866"/>
      <c r="AM40" s="106"/>
      <c r="AN40" s="890"/>
      <c r="AP40" s="893"/>
      <c r="AR40" s="866"/>
      <c r="AS40" s="847"/>
      <c r="AT40" s="106"/>
      <c r="AU40" s="64"/>
      <c r="AW40" s="866"/>
      <c r="AX40" s="106"/>
      <c r="AY40" s="890"/>
      <c r="BB40" s="866"/>
      <c r="BC40" s="106"/>
      <c r="BD40" s="890"/>
    </row>
    <row r="41" spans="1:56" x14ac:dyDescent="0.35">
      <c r="A41" s="9153"/>
      <c r="B41" s="873"/>
      <c r="C41" s="874" t="s">
        <v>532</v>
      </c>
      <c r="F41" s="779"/>
      <c r="H41" s="780"/>
      <c r="I41" s="781"/>
      <c r="J41" s="1003">
        <f t="shared" ref="J41:J43" si="14">IF(H41=0,0,I41/H41)</f>
        <v>0</v>
      </c>
      <c r="L41" s="780"/>
      <c r="M41" s="875"/>
      <c r="O41" s="780"/>
      <c r="P41" s="876">
        <f t="shared" ref="P41:P43" si="15">O41*M41</f>
        <v>0</v>
      </c>
      <c r="Q41" s="106"/>
      <c r="R41" s="64">
        <f t="shared" si="6"/>
        <v>0</v>
      </c>
      <c r="T41" s="780"/>
      <c r="U41" s="106"/>
      <c r="V41" s="234">
        <f t="shared" si="7"/>
        <v>0</v>
      </c>
      <c r="X41" s="780"/>
      <c r="Y41" s="876">
        <f t="shared" ref="Y41:Y43" si="16">X41*V41</f>
        <v>0</v>
      </c>
      <c r="Z41" s="106"/>
      <c r="AA41" s="64">
        <f t="shared" ref="AA41:AA43" si="17">IF(X41=0,0,Y41/X41)</f>
        <v>0</v>
      </c>
      <c r="AC41" s="780"/>
      <c r="AD41" s="106"/>
      <c r="AE41" s="780"/>
      <c r="AG41" s="878"/>
      <c r="AH41" s="1041"/>
      <c r="AI41" s="106"/>
      <c r="AJ41" s="64">
        <f t="shared" ref="AJ41:AJ43" si="18">IF(AG41=0,0,AH41/AG41)</f>
        <v>0</v>
      </c>
      <c r="AL41" s="780"/>
      <c r="AM41" s="106"/>
      <c r="AN41" s="1042"/>
      <c r="AP41" s="723"/>
      <c r="AR41" s="878"/>
      <c r="AS41" s="1041"/>
      <c r="AT41" s="106"/>
      <c r="AU41" s="64">
        <f t="shared" ref="AU41:AU43" si="19">IF(AR41=0,0,AS41/AR41)</f>
        <v>0</v>
      </c>
      <c r="AW41" s="780"/>
      <c r="AX41" s="106"/>
      <c r="AY41" s="1042"/>
      <c r="BB41" s="780"/>
      <c r="BC41" s="106"/>
      <c r="BD41" s="1042"/>
    </row>
    <row r="42" spans="1:56" x14ac:dyDescent="0.35">
      <c r="A42" s="9153"/>
      <c r="B42" s="873"/>
      <c r="C42" s="874" t="s">
        <v>533</v>
      </c>
      <c r="F42" s="788"/>
      <c r="H42" s="785"/>
      <c r="I42" s="786"/>
      <c r="J42" s="1003">
        <f t="shared" si="14"/>
        <v>0</v>
      </c>
      <c r="L42" s="785"/>
      <c r="M42" s="881"/>
      <c r="O42" s="785"/>
      <c r="P42" s="882">
        <f t="shared" si="15"/>
        <v>0</v>
      </c>
      <c r="Q42" s="106"/>
      <c r="R42" s="64">
        <f t="shared" si="6"/>
        <v>0</v>
      </c>
      <c r="T42" s="785"/>
      <c r="U42" s="106"/>
      <c r="V42" s="234">
        <f t="shared" si="7"/>
        <v>0</v>
      </c>
      <c r="X42" s="785"/>
      <c r="Y42" s="882">
        <f t="shared" si="16"/>
        <v>0</v>
      </c>
      <c r="Z42" s="106"/>
      <c r="AA42" s="64">
        <f t="shared" si="17"/>
        <v>0</v>
      </c>
      <c r="AC42" s="785"/>
      <c r="AD42" s="106"/>
      <c r="AE42" s="785"/>
      <c r="AG42" s="1035"/>
      <c r="AH42" s="1037"/>
      <c r="AI42" s="106"/>
      <c r="AJ42" s="64">
        <f t="shared" si="18"/>
        <v>0</v>
      </c>
      <c r="AL42" s="785"/>
      <c r="AM42" s="106"/>
      <c r="AN42" s="1038"/>
      <c r="AP42" s="723"/>
      <c r="AR42" s="1035"/>
      <c r="AS42" s="1037"/>
      <c r="AT42" s="106"/>
      <c r="AU42" s="64">
        <f t="shared" si="19"/>
        <v>0</v>
      </c>
      <c r="AW42" s="785"/>
      <c r="AX42" s="106"/>
      <c r="AY42" s="1038"/>
      <c r="BB42" s="785"/>
      <c r="BC42" s="106"/>
      <c r="BD42" s="1038"/>
    </row>
    <row r="43" spans="1:56" x14ac:dyDescent="0.35">
      <c r="A43" s="9153"/>
      <c r="B43" s="895"/>
      <c r="C43" s="896" t="s">
        <v>534</v>
      </c>
      <c r="F43" s="795"/>
      <c r="H43" s="791"/>
      <c r="I43" s="792"/>
      <c r="J43" s="1003">
        <f t="shared" si="14"/>
        <v>0</v>
      </c>
      <c r="L43" s="796"/>
      <c r="M43" s="897"/>
      <c r="O43" s="796"/>
      <c r="P43" s="898">
        <f t="shared" si="15"/>
        <v>0</v>
      </c>
      <c r="Q43" s="216"/>
      <c r="R43" s="133">
        <f t="shared" si="6"/>
        <v>0</v>
      </c>
      <c r="T43" s="796"/>
      <c r="U43" s="216"/>
      <c r="V43" s="1043">
        <f t="shared" si="7"/>
        <v>0</v>
      </c>
      <c r="X43" s="796"/>
      <c r="Y43" s="898">
        <f t="shared" si="16"/>
        <v>0</v>
      </c>
      <c r="Z43" s="216"/>
      <c r="AA43" s="133">
        <f t="shared" si="17"/>
        <v>0</v>
      </c>
      <c r="AC43" s="796"/>
      <c r="AD43" s="216"/>
      <c r="AE43" s="796"/>
      <c r="AG43" s="1044"/>
      <c r="AH43" s="1045"/>
      <c r="AI43" s="216"/>
      <c r="AJ43" s="133">
        <f t="shared" si="18"/>
        <v>0</v>
      </c>
      <c r="AL43" s="796"/>
      <c r="AM43" s="216"/>
      <c r="AN43" s="1046"/>
      <c r="AP43" s="722"/>
      <c r="AR43" s="1044"/>
      <c r="AS43" s="1045"/>
      <c r="AT43" s="216"/>
      <c r="AU43" s="133">
        <f t="shared" si="19"/>
        <v>0</v>
      </c>
      <c r="AW43" s="796"/>
      <c r="AX43" s="216"/>
      <c r="AY43" s="1046"/>
      <c r="BB43" s="796"/>
      <c r="BC43" s="216"/>
      <c r="BD43" s="1046"/>
    </row>
    <row r="44" spans="1:56" x14ac:dyDescent="0.35">
      <c r="A44" s="9153"/>
      <c r="B44" s="141" t="s">
        <v>535</v>
      </c>
      <c r="C44" s="899"/>
      <c r="E44" s="457"/>
      <c r="F44" s="870"/>
      <c r="G44" s="457"/>
      <c r="H44" s="773"/>
      <c r="I44" s="774"/>
      <c r="J44" s="1047"/>
      <c r="K44" s="457"/>
      <c r="L44" s="866"/>
      <c r="M44" s="891"/>
      <c r="N44" s="143"/>
      <c r="O44" s="866"/>
      <c r="P44" s="892"/>
      <c r="Q44" s="106"/>
      <c r="R44" s="877"/>
      <c r="S44" s="143"/>
      <c r="T44" s="866"/>
      <c r="U44" s="106"/>
      <c r="V44" s="901"/>
      <c r="W44" s="143"/>
      <c r="X44" s="866"/>
      <c r="Y44" s="892"/>
      <c r="Z44" s="106"/>
      <c r="AA44" s="877"/>
      <c r="AB44" s="143"/>
      <c r="AC44" s="866"/>
      <c r="AD44" s="106"/>
      <c r="AE44" s="866"/>
      <c r="AF44" s="143"/>
      <c r="AG44" s="866"/>
      <c r="AH44" s="847"/>
      <c r="AI44" s="106"/>
      <c r="AJ44" s="877"/>
      <c r="AK44" s="143"/>
      <c r="AL44" s="866"/>
      <c r="AM44" s="106"/>
      <c r="AN44" s="890"/>
      <c r="AO44" s="143"/>
      <c r="AP44" s="718"/>
      <c r="AR44" s="866"/>
      <c r="AS44" s="847"/>
      <c r="AT44" s="106"/>
      <c r="AU44" s="877"/>
      <c r="AV44" s="143"/>
      <c r="AW44" s="866"/>
      <c r="AX44" s="106"/>
      <c r="AY44" s="890"/>
      <c r="BA44" s="143"/>
      <c r="BB44" s="866"/>
      <c r="BC44" s="106"/>
      <c r="BD44" s="890"/>
    </row>
    <row r="45" spans="1:56" x14ac:dyDescent="0.35">
      <c r="A45" s="9153"/>
      <c r="B45" s="240"/>
      <c r="C45" s="874" t="s">
        <v>532</v>
      </c>
      <c r="F45" s="779"/>
      <c r="H45" s="780"/>
      <c r="I45" s="781"/>
      <c r="J45" s="1003">
        <f t="shared" ref="J45:J51" si="20">IF(H45=0,0,I45/H45)</f>
        <v>0</v>
      </c>
      <c r="L45" s="780"/>
      <c r="M45" s="902"/>
      <c r="O45" s="780"/>
      <c r="P45" s="882">
        <f t="shared" ref="P45:P51" si="21">O45*M45</f>
        <v>0</v>
      </c>
      <c r="Q45" s="106"/>
      <c r="R45" s="64">
        <f t="shared" si="6"/>
        <v>0</v>
      </c>
      <c r="T45" s="780"/>
      <c r="U45" s="106"/>
      <c r="V45" s="234">
        <f t="shared" si="7"/>
        <v>0</v>
      </c>
      <c r="X45" s="780"/>
      <c r="Y45" s="882">
        <f t="shared" ref="Y45:Y51" si="22">X45*V45</f>
        <v>0</v>
      </c>
      <c r="Z45" s="106"/>
      <c r="AA45" s="64">
        <f t="shared" ref="AA45:AA51" si="23">IF(X45=0,0,Y45/X45)</f>
        <v>0</v>
      </c>
      <c r="AC45" s="780"/>
      <c r="AD45" s="106"/>
      <c r="AE45" s="780"/>
      <c r="AG45" s="878"/>
      <c r="AH45" s="1041"/>
      <c r="AI45" s="106"/>
      <c r="AJ45" s="64">
        <f t="shared" ref="AJ45:AJ51" si="24">IF(AG45=0,0,AH45/AG45)</f>
        <v>0</v>
      </c>
      <c r="AL45" s="780"/>
      <c r="AM45" s="106"/>
      <c r="AN45" s="1042"/>
      <c r="AP45" s="903"/>
      <c r="AR45" s="878"/>
      <c r="AS45" s="1041"/>
      <c r="AT45" s="106"/>
      <c r="AU45" s="64">
        <f t="shared" ref="AU45:AU51" si="25">IF(AR45=0,0,AS45/AR45)</f>
        <v>0</v>
      </c>
      <c r="AW45" s="780"/>
      <c r="AX45" s="106"/>
      <c r="AY45" s="1042"/>
      <c r="BB45" s="780"/>
      <c r="BC45" s="106"/>
      <c r="BD45" s="1042"/>
    </row>
    <row r="46" spans="1:56" x14ac:dyDescent="0.35">
      <c r="A46" s="9153"/>
      <c r="B46" s="240"/>
      <c r="C46" s="874" t="s">
        <v>533</v>
      </c>
      <c r="F46" s="788"/>
      <c r="H46" s="785"/>
      <c r="I46" s="786"/>
      <c r="J46" s="1003">
        <f t="shared" si="20"/>
        <v>0</v>
      </c>
      <c r="L46" s="785"/>
      <c r="M46" s="905"/>
      <c r="O46" s="785"/>
      <c r="P46" s="882">
        <f t="shared" si="21"/>
        <v>0</v>
      </c>
      <c r="Q46" s="106"/>
      <c r="R46" s="64">
        <f t="shared" si="6"/>
        <v>0</v>
      </c>
      <c r="T46" s="785"/>
      <c r="U46" s="106"/>
      <c r="V46" s="234">
        <f t="shared" si="7"/>
        <v>0</v>
      </c>
      <c r="X46" s="785"/>
      <c r="Y46" s="882">
        <f t="shared" si="22"/>
        <v>0</v>
      </c>
      <c r="Z46" s="106"/>
      <c r="AA46" s="64">
        <f t="shared" si="23"/>
        <v>0</v>
      </c>
      <c r="AC46" s="785"/>
      <c r="AD46" s="106"/>
      <c r="AE46" s="785"/>
      <c r="AG46" s="1035"/>
      <c r="AH46" s="1037"/>
      <c r="AI46" s="106"/>
      <c r="AJ46" s="64">
        <f t="shared" si="24"/>
        <v>0</v>
      </c>
      <c r="AL46" s="785"/>
      <c r="AM46" s="106"/>
      <c r="AN46" s="1038"/>
      <c r="AP46" s="723"/>
      <c r="AR46" s="1035"/>
      <c r="AS46" s="1037"/>
      <c r="AT46" s="106"/>
      <c r="AU46" s="64">
        <f t="shared" si="25"/>
        <v>0</v>
      </c>
      <c r="AW46" s="785"/>
      <c r="AX46" s="106"/>
      <c r="AY46" s="1038"/>
      <c r="BB46" s="785"/>
      <c r="BC46" s="106"/>
      <c r="BD46" s="1038"/>
    </row>
    <row r="47" spans="1:56" x14ac:dyDescent="0.35">
      <c r="A47" s="9153"/>
      <c r="B47" s="240"/>
      <c r="C47" s="874" t="s">
        <v>534</v>
      </c>
      <c r="F47" s="788"/>
      <c r="H47" s="785"/>
      <c r="I47" s="786"/>
      <c r="J47" s="1003">
        <f t="shared" si="20"/>
        <v>0</v>
      </c>
      <c r="L47" s="785"/>
      <c r="M47" s="905"/>
      <c r="O47" s="785"/>
      <c r="P47" s="882">
        <f t="shared" si="21"/>
        <v>0</v>
      </c>
      <c r="Q47" s="106"/>
      <c r="R47" s="64">
        <f t="shared" si="6"/>
        <v>0</v>
      </c>
      <c r="T47" s="785"/>
      <c r="U47" s="106"/>
      <c r="V47" s="234">
        <f t="shared" si="7"/>
        <v>0</v>
      </c>
      <c r="X47" s="785"/>
      <c r="Y47" s="882">
        <f t="shared" si="22"/>
        <v>0</v>
      </c>
      <c r="Z47" s="106"/>
      <c r="AA47" s="64">
        <f t="shared" si="23"/>
        <v>0</v>
      </c>
      <c r="AC47" s="785"/>
      <c r="AD47" s="106"/>
      <c r="AE47" s="785"/>
      <c r="AG47" s="1035"/>
      <c r="AH47" s="1037"/>
      <c r="AI47" s="106"/>
      <c r="AJ47" s="64">
        <f t="shared" si="24"/>
        <v>0</v>
      </c>
      <c r="AL47" s="785"/>
      <c r="AM47" s="106"/>
      <c r="AN47" s="1038"/>
      <c r="AP47" s="723"/>
      <c r="AR47" s="1035"/>
      <c r="AS47" s="1037"/>
      <c r="AT47" s="106"/>
      <c r="AU47" s="64">
        <f t="shared" si="25"/>
        <v>0</v>
      </c>
      <c r="AW47" s="785"/>
      <c r="AX47" s="106"/>
      <c r="AY47" s="1038"/>
      <c r="BB47" s="785"/>
      <c r="BC47" s="106"/>
      <c r="BD47" s="1038"/>
    </row>
    <row r="48" spans="1:56" x14ac:dyDescent="0.35">
      <c r="A48" s="9153"/>
      <c r="B48" s="240"/>
      <c r="C48" s="874" t="s">
        <v>536</v>
      </c>
      <c r="E48" s="457"/>
      <c r="F48" s="788"/>
      <c r="H48" s="785"/>
      <c r="I48" s="786"/>
      <c r="J48" s="1003">
        <f t="shared" si="20"/>
        <v>0</v>
      </c>
      <c r="L48" s="785"/>
      <c r="M48" s="905"/>
      <c r="N48" s="143"/>
      <c r="O48" s="785"/>
      <c r="P48" s="882">
        <f t="shared" si="21"/>
        <v>0</v>
      </c>
      <c r="Q48" s="106"/>
      <c r="R48" s="64">
        <f t="shared" si="6"/>
        <v>0</v>
      </c>
      <c r="S48" s="143"/>
      <c r="T48" s="785"/>
      <c r="U48" s="106"/>
      <c r="V48" s="234">
        <f t="shared" si="7"/>
        <v>0</v>
      </c>
      <c r="W48" s="143"/>
      <c r="X48" s="785"/>
      <c r="Y48" s="882">
        <f t="shared" si="22"/>
        <v>0</v>
      </c>
      <c r="Z48" s="106"/>
      <c r="AA48" s="64">
        <f t="shared" si="23"/>
        <v>0</v>
      </c>
      <c r="AB48" s="143"/>
      <c r="AC48" s="785"/>
      <c r="AD48" s="106"/>
      <c r="AE48" s="785"/>
      <c r="AF48" s="143"/>
      <c r="AG48" s="1035"/>
      <c r="AH48" s="1037"/>
      <c r="AI48" s="106"/>
      <c r="AJ48" s="64">
        <f t="shared" si="24"/>
        <v>0</v>
      </c>
      <c r="AK48" s="143"/>
      <c r="AL48" s="785"/>
      <c r="AM48" s="106"/>
      <c r="AN48" s="1038"/>
      <c r="AO48" s="143"/>
      <c r="AP48" s="893"/>
      <c r="AR48" s="1035"/>
      <c r="AS48" s="1037"/>
      <c r="AT48" s="106"/>
      <c r="AU48" s="64">
        <f t="shared" si="25"/>
        <v>0</v>
      </c>
      <c r="AV48" s="143"/>
      <c r="AW48" s="785"/>
      <c r="AX48" s="106"/>
      <c r="AY48" s="1038"/>
      <c r="BA48" s="143"/>
      <c r="BB48" s="785"/>
      <c r="BC48" s="106"/>
      <c r="BD48" s="1038"/>
    </row>
    <row r="49" spans="1:56" x14ac:dyDescent="0.35">
      <c r="A49" s="9153"/>
      <c r="B49" s="240"/>
      <c r="C49" s="874" t="s">
        <v>537</v>
      </c>
      <c r="F49" s="788"/>
      <c r="H49" s="785"/>
      <c r="I49" s="786"/>
      <c r="J49" s="1003">
        <f t="shared" si="20"/>
        <v>0</v>
      </c>
      <c r="L49" s="785"/>
      <c r="M49" s="905"/>
      <c r="O49" s="785"/>
      <c r="P49" s="882">
        <f t="shared" si="21"/>
        <v>0</v>
      </c>
      <c r="Q49" s="106"/>
      <c r="R49" s="64">
        <f t="shared" si="6"/>
        <v>0</v>
      </c>
      <c r="T49" s="785"/>
      <c r="U49" s="106"/>
      <c r="V49" s="234">
        <f t="shared" si="7"/>
        <v>0</v>
      </c>
      <c r="X49" s="785"/>
      <c r="Y49" s="882">
        <f t="shared" si="22"/>
        <v>0</v>
      </c>
      <c r="Z49" s="106"/>
      <c r="AA49" s="64">
        <f t="shared" si="23"/>
        <v>0</v>
      </c>
      <c r="AC49" s="785"/>
      <c r="AD49" s="106"/>
      <c r="AE49" s="785"/>
      <c r="AG49" s="1035"/>
      <c r="AH49" s="1037"/>
      <c r="AI49" s="106"/>
      <c r="AJ49" s="64">
        <f t="shared" si="24"/>
        <v>0</v>
      </c>
      <c r="AL49" s="785"/>
      <c r="AM49" s="106"/>
      <c r="AN49" s="1038"/>
      <c r="AP49" s="723"/>
      <c r="AR49" s="1035"/>
      <c r="AS49" s="1037"/>
      <c r="AT49" s="106"/>
      <c r="AU49" s="64">
        <f t="shared" si="25"/>
        <v>0</v>
      </c>
      <c r="AW49" s="785"/>
      <c r="AX49" s="106"/>
      <c r="AY49" s="1038"/>
      <c r="BB49" s="785"/>
      <c r="BC49" s="106"/>
      <c r="BD49" s="1038"/>
    </row>
    <row r="50" spans="1:56" x14ac:dyDescent="0.35">
      <c r="A50" s="9153"/>
      <c r="B50" s="240"/>
      <c r="C50" s="874" t="s">
        <v>538</v>
      </c>
      <c r="F50" s="788"/>
      <c r="H50" s="785"/>
      <c r="I50" s="786"/>
      <c r="J50" s="1003">
        <f t="shared" si="20"/>
        <v>0</v>
      </c>
      <c r="L50" s="785"/>
      <c r="M50" s="905"/>
      <c r="O50" s="785"/>
      <c r="P50" s="882">
        <f t="shared" si="21"/>
        <v>0</v>
      </c>
      <c r="Q50" s="106"/>
      <c r="R50" s="64">
        <f t="shared" si="6"/>
        <v>0</v>
      </c>
      <c r="T50" s="785"/>
      <c r="U50" s="106"/>
      <c r="V50" s="234">
        <f t="shared" si="7"/>
        <v>0</v>
      </c>
      <c r="X50" s="785"/>
      <c r="Y50" s="882">
        <f t="shared" si="22"/>
        <v>0</v>
      </c>
      <c r="Z50" s="106"/>
      <c r="AA50" s="64">
        <f t="shared" si="23"/>
        <v>0</v>
      </c>
      <c r="AC50" s="785"/>
      <c r="AD50" s="106"/>
      <c r="AE50" s="785"/>
      <c r="AG50" s="1035"/>
      <c r="AH50" s="1037"/>
      <c r="AI50" s="106"/>
      <c r="AJ50" s="64">
        <f t="shared" si="24"/>
        <v>0</v>
      </c>
      <c r="AL50" s="785"/>
      <c r="AM50" s="106"/>
      <c r="AN50" s="1038"/>
      <c r="AP50" s="723"/>
      <c r="AR50" s="1035"/>
      <c r="AS50" s="1037"/>
      <c r="AT50" s="106"/>
      <c r="AU50" s="64">
        <f t="shared" si="25"/>
        <v>0</v>
      </c>
      <c r="AW50" s="785"/>
      <c r="AX50" s="106"/>
      <c r="AY50" s="1038"/>
      <c r="BB50" s="785"/>
      <c r="BC50" s="106"/>
      <c r="BD50" s="1038"/>
    </row>
    <row r="51" spans="1:56" x14ac:dyDescent="0.35">
      <c r="A51" s="9153"/>
      <c r="B51" s="241"/>
      <c r="C51" s="874" t="s">
        <v>539</v>
      </c>
      <c r="F51" s="795"/>
      <c r="H51" s="796"/>
      <c r="I51" s="797"/>
      <c r="J51" s="1004">
        <f t="shared" si="20"/>
        <v>0</v>
      </c>
      <c r="L51" s="791"/>
      <c r="M51" s="906"/>
      <c r="O51" s="791"/>
      <c r="P51" s="907">
        <f t="shared" si="21"/>
        <v>0</v>
      </c>
      <c r="Q51" s="216"/>
      <c r="R51" s="133">
        <f t="shared" si="6"/>
        <v>0</v>
      </c>
      <c r="T51" s="791"/>
      <c r="U51" s="216"/>
      <c r="V51" s="1043">
        <f t="shared" si="7"/>
        <v>0</v>
      </c>
      <c r="X51" s="791"/>
      <c r="Y51" s="907">
        <f t="shared" si="22"/>
        <v>0</v>
      </c>
      <c r="Z51" s="216"/>
      <c r="AA51" s="133">
        <f t="shared" si="23"/>
        <v>0</v>
      </c>
      <c r="AC51" s="791"/>
      <c r="AD51" s="216"/>
      <c r="AE51" s="791"/>
      <c r="AG51" s="818"/>
      <c r="AH51" s="819"/>
      <c r="AI51" s="216"/>
      <c r="AJ51" s="133">
        <f t="shared" si="24"/>
        <v>0</v>
      </c>
      <c r="AL51" s="791"/>
      <c r="AM51" s="216"/>
      <c r="AN51" s="1040"/>
      <c r="AP51" s="722"/>
      <c r="AR51" s="818"/>
      <c r="AS51" s="819"/>
      <c r="AT51" s="216"/>
      <c r="AU51" s="133">
        <f t="shared" si="25"/>
        <v>0</v>
      </c>
      <c r="AW51" s="791"/>
      <c r="AX51" s="216"/>
      <c r="AY51" s="1040"/>
      <c r="BB51" s="791"/>
      <c r="BC51" s="216"/>
      <c r="BD51" s="1040"/>
    </row>
    <row r="52" spans="1:56" x14ac:dyDescent="0.35">
      <c r="A52" s="9153"/>
      <c r="B52" s="139" t="s">
        <v>540</v>
      </c>
      <c r="C52" s="908"/>
      <c r="F52" s="870"/>
      <c r="G52" s="801"/>
      <c r="H52" s="866"/>
      <c r="I52" s="847"/>
      <c r="J52" s="1048"/>
      <c r="K52" s="801"/>
      <c r="L52" s="773"/>
      <c r="M52" s="910"/>
      <c r="O52" s="773"/>
      <c r="P52" s="912"/>
      <c r="Q52" s="106"/>
      <c r="R52" s="64"/>
      <c r="T52" s="773"/>
      <c r="U52" s="106"/>
      <c r="V52" s="234"/>
      <c r="X52" s="773"/>
      <c r="Y52" s="912"/>
      <c r="Z52" s="106" t="s">
        <v>5610</v>
      </c>
      <c r="AA52" s="64"/>
      <c r="AC52" s="773"/>
      <c r="AD52" s="106" t="s">
        <v>5611</v>
      </c>
      <c r="AE52" s="773"/>
      <c r="AG52" s="773"/>
      <c r="AH52" s="774"/>
      <c r="AI52" s="106" t="s">
        <v>5611</v>
      </c>
      <c r="AJ52" s="64"/>
      <c r="AL52" s="773"/>
      <c r="AM52" s="106" t="s">
        <v>5611</v>
      </c>
      <c r="AN52" s="776"/>
      <c r="AP52" s="718"/>
      <c r="AR52" s="773"/>
      <c r="AS52" s="774"/>
      <c r="AT52" s="106"/>
      <c r="AU52" s="64"/>
      <c r="AW52" s="773"/>
      <c r="AX52" s="106"/>
      <c r="AY52" s="776"/>
      <c r="BB52" s="773"/>
      <c r="BC52" s="106"/>
      <c r="BD52" s="776"/>
    </row>
    <row r="53" spans="1:56" x14ac:dyDescent="0.35">
      <c r="A53" s="9153"/>
      <c r="B53" s="873"/>
      <c r="C53" s="914" t="s">
        <v>5603</v>
      </c>
      <c r="F53" s="779">
        <v>15442785</v>
      </c>
      <c r="H53" s="780">
        <v>99663295</v>
      </c>
      <c r="I53" s="781">
        <v>113786371</v>
      </c>
      <c r="J53" s="1003">
        <f t="shared" ref="J53:J60" si="26">IF(H53=0,0,I53/H53)</f>
        <v>1.1417078975765351</v>
      </c>
      <c r="L53" s="780">
        <v>110273257</v>
      </c>
      <c r="M53" s="902">
        <v>152927317.03999999</v>
      </c>
      <c r="O53" s="780">
        <v>110273257</v>
      </c>
      <c r="P53" s="876">
        <v>152927317</v>
      </c>
      <c r="Q53" s="106" t="s">
        <v>5593</v>
      </c>
      <c r="R53" s="64">
        <f t="shared" si="6"/>
        <v>1.3868033026357425</v>
      </c>
      <c r="T53" s="780">
        <v>302690026</v>
      </c>
      <c r="U53" s="106" t="s">
        <v>5593</v>
      </c>
      <c r="V53" s="234">
        <f t="shared" si="7"/>
        <v>419771527.73169875</v>
      </c>
      <c r="X53" s="780">
        <v>302690026</v>
      </c>
      <c r="Y53" s="876">
        <v>343998654</v>
      </c>
      <c r="Z53" s="106"/>
      <c r="AA53" s="64">
        <f t="shared" ref="AA53:AA60" si="27">IF(X53=0,0,Y53/X53)</f>
        <v>1.136471718430524</v>
      </c>
      <c r="AC53" s="780">
        <v>84603235</v>
      </c>
      <c r="AD53" s="106" t="s">
        <v>5612</v>
      </c>
      <c r="AE53" s="780"/>
      <c r="AG53" s="878">
        <v>84603235</v>
      </c>
      <c r="AH53" s="1041"/>
      <c r="AI53" s="106" t="s">
        <v>5612</v>
      </c>
      <c r="AJ53" s="64">
        <f t="shared" ref="AJ53:AJ60" si="28">IF(AG53=0,0,AH53/AG53)</f>
        <v>0</v>
      </c>
      <c r="AL53" s="780"/>
      <c r="AM53" s="106" t="s">
        <v>5612</v>
      </c>
      <c r="AN53" s="1042"/>
      <c r="AP53" s="723"/>
      <c r="AR53" s="878"/>
      <c r="AS53" s="1041"/>
      <c r="AT53" s="106"/>
      <c r="AU53" s="64">
        <f t="shared" ref="AU53:AU60" si="29">IF(AR53=0,0,AS53/AR53)</f>
        <v>0</v>
      </c>
      <c r="AW53" s="780"/>
      <c r="AX53" s="106"/>
      <c r="AY53" s="1042"/>
      <c r="BB53" s="780"/>
      <c r="BC53" s="106"/>
      <c r="BD53" s="1042"/>
    </row>
    <row r="54" spans="1:56" x14ac:dyDescent="0.35">
      <c r="A54" s="9153"/>
      <c r="B54" s="873"/>
      <c r="C54" s="914" t="s">
        <v>5608</v>
      </c>
      <c r="F54" s="788">
        <v>60903648.339999996</v>
      </c>
      <c r="H54" s="785"/>
      <c r="I54" s="786"/>
      <c r="J54" s="1003">
        <f t="shared" si="26"/>
        <v>0</v>
      </c>
      <c r="L54" s="785"/>
      <c r="M54" s="905"/>
      <c r="O54" s="785"/>
      <c r="P54" s="882">
        <f t="shared" ref="P54:P59" si="30">O54*M54</f>
        <v>0</v>
      </c>
      <c r="Q54" s="106"/>
      <c r="R54" s="64">
        <f t="shared" si="6"/>
        <v>0</v>
      </c>
      <c r="T54" s="785"/>
      <c r="U54" s="106"/>
      <c r="V54" s="234">
        <f t="shared" si="7"/>
        <v>0</v>
      </c>
      <c r="X54" s="785"/>
      <c r="Y54" s="882">
        <f t="shared" ref="Y54:Y59" si="31">X54*V54</f>
        <v>0</v>
      </c>
      <c r="Z54" s="106"/>
      <c r="AA54" s="64">
        <f t="shared" si="27"/>
        <v>0</v>
      </c>
      <c r="AC54" s="785">
        <v>746309871</v>
      </c>
      <c r="AD54" s="106" t="s">
        <v>5613</v>
      </c>
      <c r="AE54" s="785"/>
      <c r="AG54" s="1035">
        <v>746309871</v>
      </c>
      <c r="AH54" s="1037"/>
      <c r="AI54" s="106" t="s">
        <v>5613</v>
      </c>
      <c r="AJ54" s="64">
        <f t="shared" si="28"/>
        <v>0</v>
      </c>
      <c r="AL54" s="785"/>
      <c r="AM54" s="106" t="s">
        <v>5613</v>
      </c>
      <c r="AN54" s="1038"/>
      <c r="AP54" s="723"/>
      <c r="AR54" s="1035"/>
      <c r="AS54" s="1037"/>
      <c r="AT54" s="106"/>
      <c r="AU54" s="64">
        <f t="shared" si="29"/>
        <v>0</v>
      </c>
      <c r="AW54" s="785"/>
      <c r="AX54" s="106"/>
      <c r="AY54" s="1038"/>
      <c r="BB54" s="785"/>
      <c r="BC54" s="106"/>
      <c r="BD54" s="1038"/>
    </row>
    <row r="55" spans="1:56" x14ac:dyDescent="0.35">
      <c r="A55" s="9153"/>
      <c r="B55" s="873"/>
      <c r="C55" s="914" t="s">
        <v>534</v>
      </c>
      <c r="F55" s="790"/>
      <c r="H55" s="791"/>
      <c r="I55" s="792"/>
      <c r="J55" s="1003">
        <f t="shared" si="26"/>
        <v>0</v>
      </c>
      <c r="L55" s="791"/>
      <c r="M55" s="905"/>
      <c r="O55" s="791"/>
      <c r="P55" s="882">
        <f t="shared" si="30"/>
        <v>0</v>
      </c>
      <c r="Q55" s="106"/>
      <c r="R55" s="64">
        <f t="shared" si="6"/>
        <v>0</v>
      </c>
      <c r="T55" s="791"/>
      <c r="U55" s="106"/>
      <c r="V55" s="234">
        <f t="shared" si="7"/>
        <v>0</v>
      </c>
      <c r="X55" s="791"/>
      <c r="Y55" s="882">
        <f t="shared" si="31"/>
        <v>0</v>
      </c>
      <c r="Z55" s="106"/>
      <c r="AA55" s="64">
        <f t="shared" si="27"/>
        <v>0</v>
      </c>
      <c r="AC55" s="785">
        <v>414026090</v>
      </c>
      <c r="AD55" s="106" t="s">
        <v>5614</v>
      </c>
      <c r="AE55" s="791"/>
      <c r="AG55" s="1035">
        <v>414026090</v>
      </c>
      <c r="AH55" s="819"/>
      <c r="AI55" s="106" t="s">
        <v>5614</v>
      </c>
      <c r="AJ55" s="64">
        <f t="shared" si="28"/>
        <v>0</v>
      </c>
      <c r="AL55" s="785"/>
      <c r="AM55" s="106" t="s">
        <v>5614</v>
      </c>
      <c r="AN55" s="1040"/>
      <c r="AP55" s="723"/>
      <c r="AR55" s="1035"/>
      <c r="AS55" s="819"/>
      <c r="AT55" s="106"/>
      <c r="AU55" s="64">
        <f t="shared" si="29"/>
        <v>0</v>
      </c>
      <c r="AW55" s="785"/>
      <c r="AX55" s="106"/>
      <c r="AY55" s="1040"/>
      <c r="BB55" s="785"/>
      <c r="BC55" s="106"/>
      <c r="BD55" s="1040"/>
    </row>
    <row r="56" spans="1:56" x14ac:dyDescent="0.35">
      <c r="A56" s="9153"/>
      <c r="B56" s="873"/>
      <c r="C56" s="914" t="s">
        <v>536</v>
      </c>
      <c r="E56" s="801"/>
      <c r="F56" s="790"/>
      <c r="H56" s="791"/>
      <c r="I56" s="792"/>
      <c r="J56" s="1003">
        <f t="shared" si="26"/>
        <v>0</v>
      </c>
      <c r="L56" s="791"/>
      <c r="M56" s="905"/>
      <c r="N56" s="141"/>
      <c r="O56" s="791"/>
      <c r="P56" s="882">
        <f t="shared" si="30"/>
        <v>0</v>
      </c>
      <c r="Q56" s="106"/>
      <c r="R56" s="64">
        <f t="shared" si="6"/>
        <v>0</v>
      </c>
      <c r="S56" s="141"/>
      <c r="T56" s="791"/>
      <c r="U56" s="106"/>
      <c r="V56" s="234">
        <f t="shared" si="7"/>
        <v>0</v>
      </c>
      <c r="W56" s="141"/>
      <c r="X56" s="791"/>
      <c r="Y56" s="882">
        <f t="shared" si="31"/>
        <v>0</v>
      </c>
      <c r="Z56" s="106"/>
      <c r="AA56" s="64">
        <f t="shared" si="27"/>
        <v>0</v>
      </c>
      <c r="AB56" s="141"/>
      <c r="AC56" s="785"/>
      <c r="AD56" s="106"/>
      <c r="AE56" s="791"/>
      <c r="AF56" s="141"/>
      <c r="AG56" s="1035"/>
      <c r="AH56" s="819"/>
      <c r="AI56" s="106"/>
      <c r="AJ56" s="64">
        <f t="shared" si="28"/>
        <v>0</v>
      </c>
      <c r="AK56" s="141"/>
      <c r="AL56" s="785"/>
      <c r="AM56" s="106"/>
      <c r="AN56" s="1040"/>
      <c r="AO56" s="141"/>
      <c r="AP56" s="893"/>
      <c r="AR56" s="1035"/>
      <c r="AS56" s="819"/>
      <c r="AT56" s="106"/>
      <c r="AU56" s="64">
        <f t="shared" si="29"/>
        <v>0</v>
      </c>
      <c r="AV56" s="141"/>
      <c r="AW56" s="785"/>
      <c r="AX56" s="106"/>
      <c r="AY56" s="1040"/>
      <c r="BA56" s="141"/>
      <c r="BB56" s="785"/>
      <c r="BC56" s="106"/>
      <c r="BD56" s="1040"/>
    </row>
    <row r="57" spans="1:56" x14ac:dyDescent="0.35">
      <c r="A57" s="9153"/>
      <c r="B57" s="873"/>
      <c r="C57" s="914" t="s">
        <v>537</v>
      </c>
      <c r="F57" s="790"/>
      <c r="H57" s="791"/>
      <c r="I57" s="792"/>
      <c r="J57" s="1003">
        <f t="shared" si="26"/>
        <v>0</v>
      </c>
      <c r="L57" s="791"/>
      <c r="M57" s="905"/>
      <c r="O57" s="791"/>
      <c r="P57" s="882">
        <f t="shared" si="30"/>
        <v>0</v>
      </c>
      <c r="Q57" s="106"/>
      <c r="R57" s="64">
        <f t="shared" si="6"/>
        <v>0</v>
      </c>
      <c r="T57" s="791"/>
      <c r="U57" s="106"/>
      <c r="V57" s="234">
        <f t="shared" si="7"/>
        <v>0</v>
      </c>
      <c r="X57" s="791"/>
      <c r="Y57" s="882">
        <f t="shared" si="31"/>
        <v>0</v>
      </c>
      <c r="Z57" s="106"/>
      <c r="AA57" s="64">
        <f t="shared" si="27"/>
        <v>0</v>
      </c>
      <c r="AC57" s="791"/>
      <c r="AD57" s="106"/>
      <c r="AE57" s="791"/>
      <c r="AG57" s="818"/>
      <c r="AH57" s="819"/>
      <c r="AI57" s="106"/>
      <c r="AJ57" s="64">
        <f t="shared" si="28"/>
        <v>0</v>
      </c>
      <c r="AL57" s="791"/>
      <c r="AM57" s="106"/>
      <c r="AN57" s="1040"/>
      <c r="AP57" s="723"/>
      <c r="AR57" s="818"/>
      <c r="AS57" s="819"/>
      <c r="AT57" s="106"/>
      <c r="AU57" s="64">
        <f t="shared" si="29"/>
        <v>0</v>
      </c>
      <c r="AW57" s="791"/>
      <c r="AX57" s="106"/>
      <c r="AY57" s="1040"/>
      <c r="BB57" s="791"/>
      <c r="BC57" s="106"/>
      <c r="BD57" s="1040"/>
    </row>
    <row r="58" spans="1:56" x14ac:dyDescent="0.35">
      <c r="A58" s="9153"/>
      <c r="B58" s="873"/>
      <c r="C58" s="914" t="s">
        <v>538</v>
      </c>
      <c r="F58" s="790"/>
      <c r="H58" s="791"/>
      <c r="I58" s="792"/>
      <c r="J58" s="1003"/>
      <c r="L58" s="791"/>
      <c r="M58" s="905"/>
      <c r="O58" s="791"/>
      <c r="P58" s="882">
        <f t="shared" si="30"/>
        <v>0</v>
      </c>
      <c r="Q58" s="106"/>
      <c r="R58" s="64">
        <f t="shared" si="6"/>
        <v>0</v>
      </c>
      <c r="T58" s="791"/>
      <c r="U58" s="106"/>
      <c r="V58" s="234">
        <f t="shared" si="7"/>
        <v>0</v>
      </c>
      <c r="X58" s="791"/>
      <c r="Y58" s="882">
        <f t="shared" si="31"/>
        <v>0</v>
      </c>
      <c r="Z58" s="106"/>
      <c r="AA58" s="64">
        <f t="shared" si="27"/>
        <v>0</v>
      </c>
      <c r="AC58" s="791"/>
      <c r="AD58" s="106"/>
      <c r="AE58" s="791"/>
      <c r="AG58" s="818"/>
      <c r="AH58" s="819"/>
      <c r="AI58" s="106"/>
      <c r="AJ58" s="64">
        <f t="shared" si="28"/>
        <v>0</v>
      </c>
      <c r="AL58" s="791"/>
      <c r="AM58" s="106"/>
      <c r="AN58" s="1040"/>
      <c r="AP58" s="723"/>
      <c r="AR58" s="818"/>
      <c r="AS58" s="819"/>
      <c r="AT58" s="106"/>
      <c r="AU58" s="64">
        <f t="shared" si="29"/>
        <v>0</v>
      </c>
      <c r="AW58" s="791"/>
      <c r="AX58" s="106"/>
      <c r="AY58" s="1040"/>
      <c r="BB58" s="791"/>
      <c r="BC58" s="106"/>
      <c r="BD58" s="1040"/>
    </row>
    <row r="59" spans="1:56" x14ac:dyDescent="0.35">
      <c r="A59" s="9153"/>
      <c r="B59" s="873"/>
      <c r="C59" s="914" t="s">
        <v>539</v>
      </c>
      <c r="F59" s="790"/>
      <c r="H59" s="791"/>
      <c r="I59" s="792"/>
      <c r="J59" s="1003">
        <f t="shared" si="26"/>
        <v>0</v>
      </c>
      <c r="L59" s="791"/>
      <c r="M59" s="905"/>
      <c r="O59" s="791"/>
      <c r="P59" s="882">
        <f t="shared" si="30"/>
        <v>0</v>
      </c>
      <c r="Q59" s="106"/>
      <c r="R59" s="64">
        <f t="shared" si="6"/>
        <v>0</v>
      </c>
      <c r="T59" s="791"/>
      <c r="U59" s="106"/>
      <c r="V59" s="234">
        <f t="shared" si="7"/>
        <v>0</v>
      </c>
      <c r="X59" s="791"/>
      <c r="Y59" s="882">
        <f t="shared" si="31"/>
        <v>0</v>
      </c>
      <c r="Z59" s="106"/>
      <c r="AA59" s="64">
        <f t="shared" si="27"/>
        <v>0</v>
      </c>
      <c r="AC59" s="791"/>
      <c r="AD59" s="106"/>
      <c r="AE59" s="791"/>
      <c r="AG59" s="818"/>
      <c r="AH59" s="819"/>
      <c r="AI59" s="106"/>
      <c r="AJ59" s="64">
        <f t="shared" si="28"/>
        <v>0</v>
      </c>
      <c r="AL59" s="791"/>
      <c r="AM59" s="106"/>
      <c r="AN59" s="1040"/>
      <c r="AP59" s="723"/>
      <c r="AR59" s="818"/>
      <c r="AS59" s="819"/>
      <c r="AT59" s="106"/>
      <c r="AU59" s="64">
        <f t="shared" si="29"/>
        <v>0</v>
      </c>
      <c r="AW59" s="791"/>
      <c r="AX59" s="106"/>
      <c r="AY59" s="1040"/>
      <c r="BB59" s="791"/>
      <c r="BC59" s="106"/>
      <c r="BD59" s="1040"/>
    </row>
    <row r="60" spans="1:56" x14ac:dyDescent="0.35">
      <c r="A60" s="9153"/>
      <c r="B60" s="895"/>
      <c r="C60" s="917" t="s">
        <v>704</v>
      </c>
      <c r="F60" s="795"/>
      <c r="H60" s="791"/>
      <c r="I60" s="792"/>
      <c r="J60" s="1003">
        <f t="shared" si="26"/>
        <v>0</v>
      </c>
      <c r="L60" s="791"/>
      <c r="M60" s="906"/>
      <c r="O60" s="796"/>
      <c r="P60" s="898">
        <f>M60*O60</f>
        <v>0</v>
      </c>
      <c r="Q60" s="216"/>
      <c r="R60" s="133">
        <f t="shared" si="6"/>
        <v>0</v>
      </c>
      <c r="T60" s="796"/>
      <c r="U60" s="216"/>
      <c r="V60" s="1043">
        <f t="shared" si="7"/>
        <v>0</v>
      </c>
      <c r="X60" s="796"/>
      <c r="Y60" s="898">
        <f>V60*X60</f>
        <v>0</v>
      </c>
      <c r="Z60" s="216"/>
      <c r="AA60" s="133">
        <f t="shared" si="27"/>
        <v>0</v>
      </c>
      <c r="AC60" s="796"/>
      <c r="AD60" s="216"/>
      <c r="AE60" s="796"/>
      <c r="AG60" s="1044"/>
      <c r="AH60" s="1045"/>
      <c r="AI60" s="216"/>
      <c r="AJ60" s="133">
        <f t="shared" si="28"/>
        <v>0</v>
      </c>
      <c r="AL60" s="796"/>
      <c r="AM60" s="216"/>
      <c r="AN60" s="1046"/>
      <c r="AP60" s="722"/>
      <c r="AR60" s="1044"/>
      <c r="AS60" s="1045"/>
      <c r="AT60" s="216"/>
      <c r="AU60" s="133">
        <f t="shared" si="29"/>
        <v>0</v>
      </c>
      <c r="AW60" s="796"/>
      <c r="AX60" s="216"/>
      <c r="AY60" s="1046"/>
      <c r="BB60" s="796"/>
      <c r="BC60" s="216"/>
      <c r="BD60" s="1046"/>
    </row>
    <row r="61" spans="1:56" x14ac:dyDescent="0.35">
      <c r="A61" s="9153"/>
      <c r="B61" s="139" t="s">
        <v>552</v>
      </c>
      <c r="C61" s="908"/>
      <c r="F61" s="870"/>
      <c r="G61" s="457"/>
      <c r="H61" s="773"/>
      <c r="I61" s="774"/>
      <c r="J61" s="776"/>
      <c r="K61" s="457"/>
      <c r="L61" s="773"/>
      <c r="M61" s="910"/>
      <c r="O61" s="919"/>
      <c r="P61" s="920"/>
      <c r="Q61" s="106"/>
      <c r="R61" s="64"/>
      <c r="T61" s="919"/>
      <c r="U61" s="106"/>
      <c r="V61" s="64"/>
      <c r="X61" s="919"/>
      <c r="Y61" s="920"/>
      <c r="Z61" s="106"/>
      <c r="AA61" s="64"/>
      <c r="AC61" s="919"/>
      <c r="AD61" s="106"/>
      <c r="AE61" s="919"/>
      <c r="AG61" s="245"/>
      <c r="AH61" s="106"/>
      <c r="AI61" s="106"/>
      <c r="AJ61" s="64"/>
      <c r="AL61" s="919"/>
      <c r="AM61" s="106"/>
      <c r="AN61" s="66"/>
      <c r="AP61" s="723"/>
      <c r="AR61" s="245"/>
      <c r="AS61" s="106"/>
      <c r="AT61" s="106"/>
      <c r="AU61" s="64"/>
      <c r="AW61" s="919"/>
      <c r="AX61" s="106"/>
      <c r="AY61" s="66"/>
      <c r="BB61" s="919"/>
      <c r="BC61" s="106"/>
      <c r="BD61" s="66"/>
    </row>
    <row r="62" spans="1:56" x14ac:dyDescent="0.35">
      <c r="A62" s="9153"/>
      <c r="B62" s="65"/>
      <c r="C62" s="921" t="s">
        <v>553</v>
      </c>
      <c r="F62" s="779"/>
      <c r="H62" s="780"/>
      <c r="I62" s="781"/>
      <c r="J62" s="1003">
        <f t="shared" ref="J62" si="32">IF(H62=0,0,I62/H62)</f>
        <v>0</v>
      </c>
      <c r="L62" s="780"/>
      <c r="M62" s="902"/>
      <c r="O62" s="242"/>
      <c r="P62" s="201"/>
      <c r="Q62" s="106"/>
      <c r="R62" s="64">
        <f>IF(O62=0,0,P62/O62)</f>
        <v>0</v>
      </c>
      <c r="T62" s="242"/>
      <c r="U62" s="106"/>
      <c r="V62" s="64">
        <f t="shared" si="7"/>
        <v>0</v>
      </c>
      <c r="X62" s="242"/>
      <c r="Y62" s="201"/>
      <c r="Z62" s="106"/>
      <c r="AA62" s="64">
        <f>IF(X62=0,0,Y62/X62)</f>
        <v>0</v>
      </c>
      <c r="AC62" s="242"/>
      <c r="AD62" s="106"/>
      <c r="AE62" s="242"/>
      <c r="AG62" s="164"/>
      <c r="AH62" s="165"/>
      <c r="AI62" s="106"/>
      <c r="AJ62" s="64">
        <f>IF(AG62=0,0,AH62/AG62)</f>
        <v>0</v>
      </c>
      <c r="AL62" s="242"/>
      <c r="AM62" s="106"/>
      <c r="AN62" s="276"/>
      <c r="AP62" s="723"/>
      <c r="AR62" s="164"/>
      <c r="AS62" s="165"/>
      <c r="AT62" s="106"/>
      <c r="AU62" s="64">
        <f>IF(AR62=0,0,AS62/AR62)</f>
        <v>0</v>
      </c>
      <c r="AW62" s="242"/>
      <c r="AX62" s="106"/>
      <c r="AY62" s="276"/>
      <c r="BB62" s="242"/>
      <c r="BC62" s="106"/>
      <c r="BD62" s="276"/>
    </row>
    <row r="63" spans="1:56" x14ac:dyDescent="0.35">
      <c r="A63" s="9153"/>
      <c r="B63" s="80"/>
      <c r="C63" s="921" t="s">
        <v>554</v>
      </c>
      <c r="F63" s="788"/>
      <c r="H63" s="785"/>
      <c r="I63" s="786"/>
      <c r="J63" s="1003"/>
      <c r="L63" s="785"/>
      <c r="M63" s="905"/>
      <c r="O63" s="242"/>
      <c r="P63" s="201"/>
      <c r="Q63" s="106"/>
      <c r="R63" s="64">
        <f>IF(O63=0,0,P63/O63)</f>
        <v>0</v>
      </c>
      <c r="T63" s="242"/>
      <c r="U63" s="106"/>
      <c r="V63" s="64">
        <f t="shared" si="7"/>
        <v>0</v>
      </c>
      <c r="X63" s="242"/>
      <c r="Y63" s="201"/>
      <c r="Z63" s="106"/>
      <c r="AA63" s="64">
        <f>IF(X63=0,0,Y63/X63)</f>
        <v>0</v>
      </c>
      <c r="AC63" s="242"/>
      <c r="AD63" s="106"/>
      <c r="AE63" s="242"/>
      <c r="AG63" s="164"/>
      <c r="AH63" s="165"/>
      <c r="AI63" s="106"/>
      <c r="AJ63" s="64">
        <f>IF(AG63=0,0,AH63/AG63)</f>
        <v>0</v>
      </c>
      <c r="AL63" s="242"/>
      <c r="AM63" s="106"/>
      <c r="AN63" s="276"/>
      <c r="AP63" s="723"/>
      <c r="AR63" s="164"/>
      <c r="AS63" s="165"/>
      <c r="AT63" s="106"/>
      <c r="AU63" s="64">
        <f>IF(AR63=0,0,AS63/AR63)</f>
        <v>0</v>
      </c>
      <c r="AW63" s="242"/>
      <c r="AX63" s="106"/>
      <c r="AY63" s="276"/>
      <c r="BB63" s="242"/>
      <c r="BC63" s="106"/>
      <c r="BD63" s="276"/>
    </row>
    <row r="64" spans="1:56" x14ac:dyDescent="0.35">
      <c r="A64" s="9153"/>
      <c r="B64" s="922"/>
      <c r="C64" s="923" t="s">
        <v>555</v>
      </c>
      <c r="F64" s="924"/>
      <c r="H64" s="925"/>
      <c r="I64" s="926"/>
      <c r="J64" s="1004"/>
      <c r="L64" s="925"/>
      <c r="M64" s="927"/>
      <c r="O64" s="242"/>
      <c r="P64" s="201"/>
      <c r="Q64" s="216"/>
      <c r="R64" s="64">
        <f>IF(O64=0,0,P64/O64)</f>
        <v>0</v>
      </c>
      <c r="T64" s="242"/>
      <c r="U64" s="216"/>
      <c r="V64" s="64">
        <f t="shared" si="7"/>
        <v>0</v>
      </c>
      <c r="X64" s="242"/>
      <c r="Y64" s="201"/>
      <c r="Z64" s="216"/>
      <c r="AA64" s="64">
        <f>IF(X64=0,0,Y64/X64)</f>
        <v>0</v>
      </c>
      <c r="AC64" s="242"/>
      <c r="AD64" s="216"/>
      <c r="AE64" s="242"/>
      <c r="AG64" s="164"/>
      <c r="AH64" s="165"/>
      <c r="AI64" s="216"/>
      <c r="AJ64" s="64">
        <f>IF(AG64=0,0,AH64/AG64)</f>
        <v>0</v>
      </c>
      <c r="AL64" s="242"/>
      <c r="AM64" s="216"/>
      <c r="AN64" s="276"/>
      <c r="AP64" s="722"/>
      <c r="AR64" s="164"/>
      <c r="AS64" s="165"/>
      <c r="AT64" s="216"/>
      <c r="AU64" s="64">
        <f>IF(AR64=0,0,AS64/AR64)</f>
        <v>0</v>
      </c>
      <c r="AW64" s="242"/>
      <c r="AX64" s="216"/>
      <c r="AY64" s="276"/>
      <c r="BB64" s="242"/>
      <c r="BC64" s="216"/>
      <c r="BD64" s="276"/>
    </row>
    <row r="65" spans="1:56" x14ac:dyDescent="0.35">
      <c r="A65" s="9153"/>
      <c r="B65" s="287" t="s">
        <v>556</v>
      </c>
      <c r="C65" s="288"/>
      <c r="E65" s="457"/>
      <c r="F65" s="289"/>
      <c r="H65" s="928"/>
      <c r="I65" s="929"/>
      <c r="J65" s="1049"/>
      <c r="L65" s="928"/>
      <c r="M65" s="931"/>
      <c r="N65" s="143"/>
      <c r="O65" s="928"/>
      <c r="P65" s="929"/>
      <c r="Q65" s="106"/>
      <c r="R65" s="293"/>
      <c r="T65" s="291"/>
      <c r="U65" s="106"/>
      <c r="V65" s="268"/>
      <c r="X65" s="928"/>
      <c r="Y65" s="929"/>
      <c r="Z65" s="106"/>
      <c r="AA65" s="293"/>
      <c r="AC65" s="291"/>
      <c r="AD65" s="106"/>
      <c r="AE65" s="291"/>
      <c r="AG65" s="291"/>
      <c r="AH65" s="292"/>
      <c r="AI65" s="106"/>
      <c r="AJ65" s="293"/>
      <c r="AL65" s="291"/>
      <c r="AM65" s="106"/>
      <c r="AN65" s="294"/>
      <c r="AP65" s="718"/>
      <c r="AR65" s="291"/>
      <c r="AS65" s="292"/>
      <c r="AT65" s="106"/>
      <c r="AU65" s="293"/>
      <c r="AW65" s="291"/>
      <c r="AX65" s="106"/>
      <c r="AY65" s="294"/>
      <c r="BB65" s="291"/>
      <c r="BC65" s="106"/>
      <c r="BD65" s="294"/>
    </row>
    <row r="66" spans="1:56" x14ac:dyDescent="0.35">
      <c r="A66" s="9153"/>
      <c r="B66" s="302"/>
      <c r="C66" s="59" t="s">
        <v>532</v>
      </c>
      <c r="F66" s="521"/>
      <c r="G66" s="457"/>
      <c r="H66" s="304"/>
      <c r="I66" s="932"/>
      <c r="J66" s="890">
        <f t="shared" ref="J66:J69" si="33">IF(H66=0,0,I66/H66)</f>
        <v>0</v>
      </c>
      <c r="K66" s="457"/>
      <c r="L66" s="304"/>
      <c r="M66" s="933"/>
      <c r="O66" s="304"/>
      <c r="P66" s="932"/>
      <c r="Q66" s="332"/>
      <c r="R66" s="297">
        <f>IF(O66=0,0,P66/O66)</f>
        <v>0</v>
      </c>
      <c r="T66" s="304"/>
      <c r="U66" s="332"/>
      <c r="V66" s="157">
        <f>T66*R66</f>
        <v>0</v>
      </c>
      <c r="X66" s="304"/>
      <c r="Y66" s="932"/>
      <c r="Z66" s="332"/>
      <c r="AA66" s="297">
        <f>IF(X66=0,0,Y66/X66)</f>
        <v>0</v>
      </c>
      <c r="AC66" s="304"/>
      <c r="AD66" s="332"/>
      <c r="AE66" s="304"/>
      <c r="AG66" s="1050"/>
      <c r="AH66" s="932"/>
      <c r="AI66" s="332"/>
      <c r="AJ66" s="297">
        <f>IF(AG66=0,0,AH66/AG66)</f>
        <v>0</v>
      </c>
      <c r="AL66" s="304"/>
      <c r="AM66" s="332"/>
      <c r="AN66" s="1051"/>
      <c r="AP66" s="723"/>
      <c r="AR66" s="1050"/>
      <c r="AS66" s="932"/>
      <c r="AT66" s="332"/>
      <c r="AU66" s="297">
        <f>IF(AR66=0,0,AS66/AR66)</f>
        <v>0</v>
      </c>
      <c r="AW66" s="304"/>
      <c r="AX66" s="332"/>
      <c r="AY66" s="1051"/>
      <c r="BB66" s="304"/>
      <c r="BC66" s="332"/>
      <c r="BD66" s="1051"/>
    </row>
    <row r="67" spans="1:56" x14ac:dyDescent="0.35">
      <c r="A67" s="9153"/>
      <c r="B67" s="302"/>
      <c r="C67" s="59" t="s">
        <v>533</v>
      </c>
      <c r="F67" s="61"/>
      <c r="H67" s="62"/>
      <c r="I67" s="72"/>
      <c r="J67" s="1003">
        <f t="shared" si="33"/>
        <v>0</v>
      </c>
      <c r="L67" s="62"/>
      <c r="M67" s="934"/>
      <c r="O67" s="62"/>
      <c r="P67" s="72"/>
      <c r="Q67" s="106"/>
      <c r="R67" s="297">
        <f>IF(O67=0,0,P67/O67)</f>
        <v>0</v>
      </c>
      <c r="T67" s="62"/>
      <c r="U67" s="106"/>
      <c r="V67" s="157">
        <f>T67*R67</f>
        <v>0</v>
      </c>
      <c r="X67" s="62"/>
      <c r="Y67" s="72"/>
      <c r="Z67" s="106"/>
      <c r="AA67" s="297">
        <f>IF(X67=0,0,Y67/X67)</f>
        <v>0</v>
      </c>
      <c r="AC67" s="62"/>
      <c r="AD67" s="106"/>
      <c r="AE67" s="62"/>
      <c r="AG67" s="71"/>
      <c r="AH67" s="72"/>
      <c r="AI67" s="106"/>
      <c r="AJ67" s="297">
        <f>IF(AG67=0,0,AH67/AG67)</f>
        <v>0</v>
      </c>
      <c r="AL67" s="62"/>
      <c r="AM67" s="106"/>
      <c r="AN67" s="998"/>
      <c r="AP67" s="723"/>
      <c r="AR67" s="71"/>
      <c r="AS67" s="72"/>
      <c r="AT67" s="106"/>
      <c r="AU67" s="297">
        <f>IF(AR67=0,0,AS67/AR67)</f>
        <v>0</v>
      </c>
      <c r="AW67" s="62"/>
      <c r="AX67" s="106"/>
      <c r="AY67" s="998"/>
      <c r="BB67" s="62"/>
      <c r="BC67" s="106"/>
      <c r="BD67" s="998"/>
    </row>
    <row r="68" spans="1:56" x14ac:dyDescent="0.35">
      <c r="A68" s="9153"/>
      <c r="B68" s="305"/>
      <c r="C68" s="59" t="s">
        <v>534</v>
      </c>
      <c r="F68" s="61"/>
      <c r="H68" s="62"/>
      <c r="I68" s="72"/>
      <c r="J68" s="1003">
        <f t="shared" si="33"/>
        <v>0</v>
      </c>
      <c r="L68" s="62"/>
      <c r="M68" s="934"/>
      <c r="O68" s="62"/>
      <c r="P68" s="72"/>
      <c r="Q68" s="106"/>
      <c r="R68" s="297">
        <f>IF(O68=0,0,P68/O68)</f>
        <v>0</v>
      </c>
      <c r="T68" s="62"/>
      <c r="U68" s="106"/>
      <c r="V68" s="157">
        <f>T68*R68</f>
        <v>0</v>
      </c>
      <c r="X68" s="62"/>
      <c r="Y68" s="72"/>
      <c r="Z68" s="106"/>
      <c r="AA68" s="297">
        <f>IF(X68=0,0,Y68/X68)</f>
        <v>0</v>
      </c>
      <c r="AC68" s="62"/>
      <c r="AD68" s="106"/>
      <c r="AE68" s="62"/>
      <c r="AG68" s="71"/>
      <c r="AH68" s="72"/>
      <c r="AI68" s="106"/>
      <c r="AJ68" s="297">
        <f>IF(AG68=0,0,AH68/AG68)</f>
        <v>0</v>
      </c>
      <c r="AL68" s="62"/>
      <c r="AM68" s="106"/>
      <c r="AN68" s="998"/>
      <c r="AP68" s="723"/>
      <c r="AR68" s="71"/>
      <c r="AS68" s="72"/>
      <c r="AT68" s="106"/>
      <c r="AU68" s="297">
        <f>IF(AR68=0,0,AS68/AR68)</f>
        <v>0</v>
      </c>
      <c r="AW68" s="62"/>
      <c r="AX68" s="106"/>
      <c r="AY68" s="998"/>
      <c r="BB68" s="62"/>
      <c r="BC68" s="106"/>
      <c r="BD68" s="998"/>
    </row>
    <row r="69" spans="1:56" x14ac:dyDescent="0.35">
      <c r="A69" s="9154"/>
      <c r="B69" s="306"/>
      <c r="C69" s="86" t="s">
        <v>536</v>
      </c>
      <c r="F69" s="88"/>
      <c r="H69" s="89"/>
      <c r="I69" s="308"/>
      <c r="J69" s="1004">
        <f t="shared" si="33"/>
        <v>0</v>
      </c>
      <c r="L69" s="89"/>
      <c r="M69" s="935"/>
      <c r="O69" s="89"/>
      <c r="P69" s="308"/>
      <c r="Q69" s="216"/>
      <c r="R69" s="307">
        <f>IF(O69=0,0,P69/O69)</f>
        <v>0</v>
      </c>
      <c r="T69" s="89"/>
      <c r="U69" s="216"/>
      <c r="V69" s="213">
        <f>T69*R69</f>
        <v>0</v>
      </c>
      <c r="X69" s="89"/>
      <c r="Y69" s="308"/>
      <c r="Z69" s="216"/>
      <c r="AA69" s="307">
        <f>IF(X69=0,0,Y69/X69)</f>
        <v>0</v>
      </c>
      <c r="AC69" s="89"/>
      <c r="AD69" s="216"/>
      <c r="AE69" s="89"/>
      <c r="AG69" s="768"/>
      <c r="AH69" s="308"/>
      <c r="AI69" s="216"/>
      <c r="AJ69" s="307">
        <f>IF(AG69=0,0,AH69/AG69)</f>
        <v>0</v>
      </c>
      <c r="AL69" s="89"/>
      <c r="AM69" s="216"/>
      <c r="AN69" s="1002"/>
      <c r="AP69" s="722"/>
      <c r="AR69" s="768"/>
      <c r="AS69" s="308"/>
      <c r="AT69" s="216"/>
      <c r="AU69" s="307">
        <f>IF(AR69=0,0,AS69/AR69)</f>
        <v>0</v>
      </c>
      <c r="AW69" s="89"/>
      <c r="AX69" s="216"/>
      <c r="AY69" s="1002"/>
      <c r="BB69" s="89"/>
      <c r="BC69" s="216"/>
      <c r="BD69" s="1002"/>
    </row>
    <row r="70" spans="1:56" x14ac:dyDescent="0.35">
      <c r="A70" s="936"/>
      <c r="B70" s="936"/>
      <c r="E70" s="457"/>
      <c r="F70" s="847"/>
      <c r="H70" s="847"/>
      <c r="I70" s="847"/>
      <c r="J70" s="1052"/>
      <c r="L70" s="847"/>
      <c r="M70" s="938"/>
      <c r="O70" s="106"/>
      <c r="P70" s="106"/>
      <c r="Q70" s="106"/>
      <c r="R70" s="311"/>
      <c r="T70" s="106"/>
      <c r="U70" s="106"/>
      <c r="V70" s="312"/>
      <c r="X70" s="106"/>
      <c r="Y70" s="106"/>
      <c r="Z70" s="106"/>
      <c r="AA70" s="311"/>
      <c r="AC70" s="106"/>
      <c r="AD70" s="106"/>
      <c r="AE70" s="312"/>
      <c r="AG70" s="106"/>
      <c r="AH70" s="312"/>
      <c r="AI70" s="106"/>
      <c r="AJ70" s="311"/>
      <c r="AL70" s="106"/>
      <c r="AM70" s="106"/>
      <c r="AN70" s="312"/>
      <c r="AR70" s="106"/>
      <c r="AS70" s="312"/>
      <c r="AT70" s="106"/>
      <c r="AU70" s="311"/>
      <c r="AW70" s="106"/>
      <c r="AX70" s="106"/>
      <c r="AY70" s="312"/>
      <c r="BB70" s="106"/>
      <c r="BC70" s="106"/>
      <c r="BD70" s="312"/>
    </row>
    <row r="71" spans="1:56" customFormat="1" x14ac:dyDescent="0.35">
      <c r="A71" s="9159" t="s">
        <v>559</v>
      </c>
      <c r="B71" s="939" t="s">
        <v>560</v>
      </c>
      <c r="C71" s="940"/>
      <c r="D71" s="184"/>
      <c r="E71" s="1"/>
      <c r="F71" s="316"/>
      <c r="G71" s="290"/>
      <c r="H71" s="941"/>
      <c r="I71" s="942"/>
      <c r="J71" s="293"/>
      <c r="K71" s="1"/>
      <c r="L71" s="317"/>
      <c r="M71" s="268"/>
      <c r="N71" s="1"/>
      <c r="O71" s="941"/>
      <c r="P71" s="942"/>
      <c r="Q71" s="103"/>
      <c r="R71" s="293"/>
      <c r="S71" s="1"/>
      <c r="T71" s="317"/>
      <c r="U71" s="103"/>
      <c r="V71" s="323"/>
      <c r="W71" s="1"/>
      <c r="X71" s="941"/>
      <c r="Y71" s="942"/>
      <c r="Z71" s="103"/>
      <c r="AA71" s="293"/>
      <c r="AB71" s="1"/>
      <c r="AC71" s="317"/>
      <c r="AD71" s="103"/>
      <c r="AE71" s="323"/>
      <c r="AF71" s="1"/>
      <c r="AG71" s="317"/>
      <c r="AH71" s="323"/>
      <c r="AI71" s="103"/>
      <c r="AJ71" s="293"/>
      <c r="AK71" s="1"/>
      <c r="AL71" s="317"/>
      <c r="AM71" s="103"/>
      <c r="AN71" s="323"/>
      <c r="AO71" s="1"/>
      <c r="AP71" s="18"/>
      <c r="AR71" s="317"/>
      <c r="AS71" s="323"/>
      <c r="AT71" s="103"/>
      <c r="AU71" s="293"/>
      <c r="AV71" s="1"/>
      <c r="AW71" s="317"/>
      <c r="AX71" s="103"/>
      <c r="AY71" s="323"/>
      <c r="BA71" s="1"/>
      <c r="BB71" s="317"/>
      <c r="BC71" s="103"/>
      <c r="BD71" s="323"/>
    </row>
    <row r="72" spans="1:56" customFormat="1" x14ac:dyDescent="0.35">
      <c r="A72" s="9160"/>
      <c r="B72" s="944"/>
      <c r="C72" s="945" t="s">
        <v>562</v>
      </c>
      <c r="D72" s="197"/>
      <c r="E72" s="1"/>
      <c r="F72" s="327"/>
      <c r="G72" s="272"/>
      <c r="H72" s="325"/>
      <c r="I72" s="946"/>
      <c r="J72" s="297">
        <f t="shared" ref="J72:J80" si="34">IF(H72=0,0,I72/H72)</f>
        <v>0</v>
      </c>
      <c r="K72" s="1"/>
      <c r="L72" s="325"/>
      <c r="M72" s="157">
        <f t="shared" ref="M72:M80" si="35">L72*J72</f>
        <v>0</v>
      </c>
      <c r="N72" s="1"/>
      <c r="O72" s="325"/>
      <c r="P72" s="947"/>
      <c r="Q72" s="332"/>
      <c r="R72" s="297">
        <f>IF(O72=0,0,P72/O72)</f>
        <v>0</v>
      </c>
      <c r="S72" s="1"/>
      <c r="T72" s="325"/>
      <c r="U72" s="332"/>
      <c r="V72" s="333">
        <f>T72*R72</f>
        <v>0</v>
      </c>
      <c r="W72" s="1"/>
      <c r="X72" s="325"/>
      <c r="Y72" s="947"/>
      <c r="Z72" s="332"/>
      <c r="AA72" s="297">
        <f>IF(X72=0,0,Y72/X72)</f>
        <v>0</v>
      </c>
      <c r="AB72" s="1"/>
      <c r="AC72" s="325"/>
      <c r="AD72" s="332"/>
      <c r="AE72" s="333">
        <f>AC72*AA72</f>
        <v>0</v>
      </c>
      <c r="AF72" s="1"/>
      <c r="AG72" s="325"/>
      <c r="AH72" s="333">
        <f>AF72*AD72</f>
        <v>0</v>
      </c>
      <c r="AI72" s="332"/>
      <c r="AJ72" s="297">
        <f>IF(AG72=0,0,AH72/AG72)</f>
        <v>0</v>
      </c>
      <c r="AK72" s="1"/>
      <c r="AL72" s="325"/>
      <c r="AM72" s="332"/>
      <c r="AN72" s="333">
        <f>AL72*AJ72</f>
        <v>0</v>
      </c>
      <c r="AO72" s="1"/>
      <c r="AP72" s="26"/>
      <c r="AR72" s="325"/>
      <c r="AS72" s="333">
        <f>AQ72*AO72</f>
        <v>0</v>
      </c>
      <c r="AT72" s="332"/>
      <c r="AU72" s="297">
        <f>IF(AR72=0,0,AS72/AR72)</f>
        <v>0</v>
      </c>
      <c r="AV72" s="1"/>
      <c r="AW72" s="325"/>
      <c r="AX72" s="332"/>
      <c r="AY72" s="333">
        <f>AW72*AU72</f>
        <v>0</v>
      </c>
      <c r="BA72" s="1"/>
      <c r="BB72" s="325"/>
      <c r="BC72" s="332"/>
      <c r="BD72" s="333"/>
    </row>
    <row r="73" spans="1:56" customFormat="1" x14ac:dyDescent="0.35">
      <c r="A73" s="9160"/>
      <c r="B73" s="944"/>
      <c r="C73" s="945" t="s">
        <v>565</v>
      </c>
      <c r="D73" s="197"/>
      <c r="E73" s="1"/>
      <c r="F73" s="336"/>
      <c r="G73" s="272"/>
      <c r="H73" s="330"/>
      <c r="I73" s="948"/>
      <c r="J73" s="297">
        <f t="shared" si="34"/>
        <v>0</v>
      </c>
      <c r="K73" s="1"/>
      <c r="L73" s="330"/>
      <c r="M73" s="157">
        <f t="shared" si="35"/>
        <v>0</v>
      </c>
      <c r="N73" s="1"/>
      <c r="O73" s="330"/>
      <c r="P73" s="331"/>
      <c r="Q73" s="106"/>
      <c r="R73" s="297">
        <f>IF(O73=0,0,P73/O73)</f>
        <v>0</v>
      </c>
      <c r="S73" s="1"/>
      <c r="T73" s="330"/>
      <c r="U73" s="106"/>
      <c r="V73" s="333">
        <f>T73*R73</f>
        <v>0</v>
      </c>
      <c r="W73" s="1"/>
      <c r="X73" s="330"/>
      <c r="Y73" s="331"/>
      <c r="Z73" s="106"/>
      <c r="AA73" s="297">
        <f>IF(X73=0,0,Y73/X73)</f>
        <v>0</v>
      </c>
      <c r="AB73" s="1"/>
      <c r="AC73" s="330"/>
      <c r="AD73" s="106"/>
      <c r="AE73" s="333">
        <f>AC73*AA73</f>
        <v>0</v>
      </c>
      <c r="AF73" s="1"/>
      <c r="AG73" s="330"/>
      <c r="AH73" s="333">
        <f>AF73*AD73</f>
        <v>0</v>
      </c>
      <c r="AI73" s="106"/>
      <c r="AJ73" s="297">
        <f>IF(AG73=0,0,AH73/AG73)</f>
        <v>0</v>
      </c>
      <c r="AK73" s="1"/>
      <c r="AL73" s="330"/>
      <c r="AM73" s="106"/>
      <c r="AN73" s="333">
        <f>AL73*AJ73</f>
        <v>0</v>
      </c>
      <c r="AO73" s="1"/>
      <c r="AP73" s="26"/>
      <c r="AR73" s="330"/>
      <c r="AS73" s="333">
        <f>AQ73*AO73</f>
        <v>0</v>
      </c>
      <c r="AT73" s="106"/>
      <c r="AU73" s="297">
        <f>IF(AR73=0,0,AS73/AR73)</f>
        <v>0</v>
      </c>
      <c r="AV73" s="1"/>
      <c r="AW73" s="330"/>
      <c r="AX73" s="106"/>
      <c r="AY73" s="333">
        <f>AW73*AU73</f>
        <v>0</v>
      </c>
      <c r="BA73" s="1"/>
      <c r="BB73" s="330"/>
      <c r="BC73" s="106"/>
      <c r="BD73" s="333"/>
    </row>
    <row r="74" spans="1:56" customFormat="1" x14ac:dyDescent="0.35">
      <c r="A74" s="9160"/>
      <c r="B74" s="944"/>
      <c r="C74" s="945"/>
      <c r="D74" s="197"/>
      <c r="E74" s="1"/>
      <c r="F74" s="336"/>
      <c r="G74" s="272"/>
      <c r="H74" s="330"/>
      <c r="I74" s="948"/>
      <c r="J74" s="297">
        <f t="shared" si="34"/>
        <v>0</v>
      </c>
      <c r="K74" s="1"/>
      <c r="L74" s="330"/>
      <c r="M74" s="157">
        <f t="shared" si="35"/>
        <v>0</v>
      </c>
      <c r="N74" s="1"/>
      <c r="O74" s="330"/>
      <c r="P74" s="331"/>
      <c r="Q74" s="106"/>
      <c r="R74" s="297">
        <f t="shared" ref="R74:R78" si="36">IF(O74=0,0,P74/O74)</f>
        <v>0</v>
      </c>
      <c r="S74" s="1"/>
      <c r="T74" s="330"/>
      <c r="U74" s="106"/>
      <c r="V74" s="333">
        <f t="shared" ref="V74:V78" si="37">T74*R74</f>
        <v>0</v>
      </c>
      <c r="W74" s="1"/>
      <c r="X74" s="330"/>
      <c r="Y74" s="331"/>
      <c r="Z74" s="106"/>
      <c r="AA74" s="297">
        <f t="shared" ref="AA74:AA78" si="38">IF(X74=0,0,Y74/X74)</f>
        <v>0</v>
      </c>
      <c r="AB74" s="1"/>
      <c r="AC74" s="330"/>
      <c r="AD74" s="106"/>
      <c r="AE74" s="333">
        <f t="shared" ref="AE74:AE78" si="39">AC74*AA74</f>
        <v>0</v>
      </c>
      <c r="AF74" s="1"/>
      <c r="AG74" s="330"/>
      <c r="AH74" s="333">
        <f t="shared" ref="AH74:AH78" si="40">AF74*AD74</f>
        <v>0</v>
      </c>
      <c r="AI74" s="106"/>
      <c r="AJ74" s="297">
        <f t="shared" ref="AJ74:AJ78" si="41">IF(AG74=0,0,AH74/AG74)</f>
        <v>0</v>
      </c>
      <c r="AK74" s="1"/>
      <c r="AL74" s="330"/>
      <c r="AM74" s="106"/>
      <c r="AN74" s="333">
        <f t="shared" ref="AN74:AN78" si="42">AL74*AJ74</f>
        <v>0</v>
      </c>
      <c r="AO74" s="1"/>
      <c r="AP74" s="26"/>
      <c r="AR74" s="330"/>
      <c r="AS74" s="333">
        <f t="shared" ref="AS74:AS78" si="43">AQ74*AO74</f>
        <v>0</v>
      </c>
      <c r="AT74" s="106"/>
      <c r="AU74" s="297">
        <f t="shared" ref="AU74:AU78" si="44">IF(AR74=0,0,AS74/AR74)</f>
        <v>0</v>
      </c>
      <c r="AV74" s="1"/>
      <c r="AW74" s="330"/>
      <c r="AX74" s="106"/>
      <c r="AY74" s="333">
        <f t="shared" ref="AY74:AY78" si="45">AW74*AU74</f>
        <v>0</v>
      </c>
      <c r="BA74" s="1"/>
      <c r="BB74" s="330"/>
      <c r="BC74" s="106"/>
      <c r="BD74" s="333"/>
    </row>
    <row r="75" spans="1:56" customFormat="1" x14ac:dyDescent="0.35">
      <c r="A75" s="9160"/>
      <c r="B75" s="944"/>
      <c r="C75" s="945"/>
      <c r="D75" s="197"/>
      <c r="E75" s="1"/>
      <c r="F75" s="336"/>
      <c r="G75" s="272"/>
      <c r="H75" s="330"/>
      <c r="I75" s="948"/>
      <c r="J75" s="297">
        <f t="shared" si="34"/>
        <v>0</v>
      </c>
      <c r="K75" s="1"/>
      <c r="L75" s="330"/>
      <c r="M75" s="157">
        <f t="shared" si="35"/>
        <v>0</v>
      </c>
      <c r="N75" s="1"/>
      <c r="O75" s="330"/>
      <c r="P75" s="331"/>
      <c r="Q75" s="106"/>
      <c r="R75" s="297">
        <f t="shared" si="36"/>
        <v>0</v>
      </c>
      <c r="S75" s="1"/>
      <c r="T75" s="330"/>
      <c r="U75" s="106"/>
      <c r="V75" s="333">
        <f t="shared" si="37"/>
        <v>0</v>
      </c>
      <c r="W75" s="1"/>
      <c r="X75" s="330"/>
      <c r="Y75" s="331"/>
      <c r="Z75" s="106"/>
      <c r="AA75" s="297">
        <f t="shared" si="38"/>
        <v>0</v>
      </c>
      <c r="AB75" s="1"/>
      <c r="AC75" s="330"/>
      <c r="AD75" s="106"/>
      <c r="AE75" s="333">
        <f t="shared" si="39"/>
        <v>0</v>
      </c>
      <c r="AF75" s="1"/>
      <c r="AG75" s="330"/>
      <c r="AH75" s="333">
        <f t="shared" si="40"/>
        <v>0</v>
      </c>
      <c r="AI75" s="106"/>
      <c r="AJ75" s="297">
        <f t="shared" si="41"/>
        <v>0</v>
      </c>
      <c r="AK75" s="1"/>
      <c r="AL75" s="330"/>
      <c r="AM75" s="106"/>
      <c r="AN75" s="333">
        <f t="shared" si="42"/>
        <v>0</v>
      </c>
      <c r="AO75" s="1"/>
      <c r="AP75" s="26"/>
      <c r="AR75" s="330"/>
      <c r="AS75" s="333">
        <f t="shared" si="43"/>
        <v>0</v>
      </c>
      <c r="AT75" s="106"/>
      <c r="AU75" s="297">
        <f t="shared" si="44"/>
        <v>0</v>
      </c>
      <c r="AV75" s="1"/>
      <c r="AW75" s="330"/>
      <c r="AX75" s="106"/>
      <c r="AY75" s="333">
        <f t="shared" si="45"/>
        <v>0</v>
      </c>
      <c r="BA75" s="1"/>
      <c r="BB75" s="330"/>
      <c r="BC75" s="106"/>
      <c r="BD75" s="333"/>
    </row>
    <row r="76" spans="1:56" customFormat="1" x14ac:dyDescent="0.35">
      <c r="A76" s="9160"/>
      <c r="B76" s="944"/>
      <c r="C76" s="945" t="s">
        <v>562</v>
      </c>
      <c r="D76" s="197"/>
      <c r="E76" s="1"/>
      <c r="F76" s="336"/>
      <c r="G76" s="272"/>
      <c r="H76" s="330"/>
      <c r="I76" s="948"/>
      <c r="J76" s="297">
        <f t="shared" si="34"/>
        <v>0</v>
      </c>
      <c r="K76" s="1"/>
      <c r="L76" s="330"/>
      <c r="M76" s="157">
        <f t="shared" si="35"/>
        <v>0</v>
      </c>
      <c r="N76" s="1"/>
      <c r="O76" s="330"/>
      <c r="P76" s="331"/>
      <c r="Q76" s="106"/>
      <c r="R76" s="297">
        <f t="shared" si="36"/>
        <v>0</v>
      </c>
      <c r="S76" s="1"/>
      <c r="T76" s="330"/>
      <c r="U76" s="106"/>
      <c r="V76" s="333">
        <f t="shared" si="37"/>
        <v>0</v>
      </c>
      <c r="W76" s="1"/>
      <c r="X76" s="330"/>
      <c r="Y76" s="331"/>
      <c r="Z76" s="106"/>
      <c r="AA76" s="297">
        <f t="shared" si="38"/>
        <v>0</v>
      </c>
      <c r="AB76" s="1"/>
      <c r="AC76" s="330"/>
      <c r="AD76" s="106"/>
      <c r="AE76" s="333">
        <f t="shared" si="39"/>
        <v>0</v>
      </c>
      <c r="AF76" s="1"/>
      <c r="AG76" s="330"/>
      <c r="AH76" s="333">
        <f t="shared" si="40"/>
        <v>0</v>
      </c>
      <c r="AI76" s="106"/>
      <c r="AJ76" s="297">
        <f t="shared" si="41"/>
        <v>0</v>
      </c>
      <c r="AK76" s="1"/>
      <c r="AL76" s="330"/>
      <c r="AM76" s="106"/>
      <c r="AN76" s="333">
        <f t="shared" si="42"/>
        <v>0</v>
      </c>
      <c r="AO76" s="1"/>
      <c r="AP76" s="26"/>
      <c r="AR76" s="330"/>
      <c r="AS76" s="333">
        <f t="shared" si="43"/>
        <v>0</v>
      </c>
      <c r="AT76" s="106"/>
      <c r="AU76" s="297">
        <f t="shared" si="44"/>
        <v>0</v>
      </c>
      <c r="AV76" s="1"/>
      <c r="AW76" s="330"/>
      <c r="AX76" s="106"/>
      <c r="AY76" s="333">
        <f t="shared" si="45"/>
        <v>0</v>
      </c>
      <c r="BA76" s="1"/>
      <c r="BB76" s="330"/>
      <c r="BC76" s="106"/>
      <c r="BD76" s="333"/>
    </row>
    <row r="77" spans="1:56" customFormat="1" x14ac:dyDescent="0.35">
      <c r="A77" s="9160"/>
      <c r="B77" s="944"/>
      <c r="C77" s="945" t="s">
        <v>565</v>
      </c>
      <c r="D77" s="197"/>
      <c r="E77" s="1"/>
      <c r="F77" s="336"/>
      <c r="G77" s="272"/>
      <c r="H77" s="330"/>
      <c r="I77" s="948"/>
      <c r="J77" s="297">
        <f t="shared" si="34"/>
        <v>0</v>
      </c>
      <c r="K77" s="1"/>
      <c r="L77" s="330"/>
      <c r="M77" s="157">
        <f t="shared" si="35"/>
        <v>0</v>
      </c>
      <c r="N77" s="1"/>
      <c r="O77" s="330"/>
      <c r="P77" s="331"/>
      <c r="Q77" s="106"/>
      <c r="R77" s="297">
        <f t="shared" si="36"/>
        <v>0</v>
      </c>
      <c r="S77" s="1"/>
      <c r="T77" s="330"/>
      <c r="U77" s="106"/>
      <c r="V77" s="333">
        <f t="shared" si="37"/>
        <v>0</v>
      </c>
      <c r="W77" s="1"/>
      <c r="X77" s="330"/>
      <c r="Y77" s="331"/>
      <c r="Z77" s="106"/>
      <c r="AA77" s="297">
        <f t="shared" si="38"/>
        <v>0</v>
      </c>
      <c r="AB77" s="1"/>
      <c r="AC77" s="330"/>
      <c r="AD77" s="106"/>
      <c r="AE77" s="333">
        <f t="shared" si="39"/>
        <v>0</v>
      </c>
      <c r="AF77" s="1"/>
      <c r="AG77" s="330"/>
      <c r="AH77" s="333">
        <f t="shared" si="40"/>
        <v>0</v>
      </c>
      <c r="AI77" s="106"/>
      <c r="AJ77" s="297">
        <f t="shared" si="41"/>
        <v>0</v>
      </c>
      <c r="AK77" s="1"/>
      <c r="AL77" s="330"/>
      <c r="AM77" s="106"/>
      <c r="AN77" s="333">
        <f t="shared" si="42"/>
        <v>0</v>
      </c>
      <c r="AO77" s="1"/>
      <c r="AP77" s="26"/>
      <c r="AR77" s="330"/>
      <c r="AS77" s="333">
        <f t="shared" si="43"/>
        <v>0</v>
      </c>
      <c r="AT77" s="106"/>
      <c r="AU77" s="297">
        <f t="shared" si="44"/>
        <v>0</v>
      </c>
      <c r="AV77" s="1"/>
      <c r="AW77" s="330"/>
      <c r="AX77" s="106"/>
      <c r="AY77" s="333">
        <f t="shared" si="45"/>
        <v>0</v>
      </c>
      <c r="BA77" s="1"/>
      <c r="BB77" s="330"/>
      <c r="BC77" s="106"/>
      <c r="BD77" s="333"/>
    </row>
    <row r="78" spans="1:56" customFormat="1" x14ac:dyDescent="0.35">
      <c r="A78" s="9160"/>
      <c r="B78" s="944"/>
      <c r="C78" s="945"/>
      <c r="D78" s="197"/>
      <c r="E78" s="1"/>
      <c r="F78" s="336"/>
      <c r="G78" s="272"/>
      <c r="H78" s="330"/>
      <c r="I78" s="948"/>
      <c r="J78" s="297">
        <f t="shared" si="34"/>
        <v>0</v>
      </c>
      <c r="K78" s="1"/>
      <c r="L78" s="330"/>
      <c r="M78" s="157">
        <f t="shared" si="35"/>
        <v>0</v>
      </c>
      <c r="N78" s="1"/>
      <c r="O78" s="330"/>
      <c r="P78" s="331"/>
      <c r="Q78" s="106"/>
      <c r="R78" s="297">
        <f t="shared" si="36"/>
        <v>0</v>
      </c>
      <c r="S78" s="1"/>
      <c r="T78" s="330"/>
      <c r="U78" s="106"/>
      <c r="V78" s="333">
        <f t="shared" si="37"/>
        <v>0</v>
      </c>
      <c r="W78" s="1"/>
      <c r="X78" s="330"/>
      <c r="Y78" s="331"/>
      <c r="Z78" s="106"/>
      <c r="AA78" s="297">
        <f t="shared" si="38"/>
        <v>0</v>
      </c>
      <c r="AB78" s="1"/>
      <c r="AC78" s="330"/>
      <c r="AD78" s="106"/>
      <c r="AE78" s="333">
        <f t="shared" si="39"/>
        <v>0</v>
      </c>
      <c r="AF78" s="1"/>
      <c r="AG78" s="330"/>
      <c r="AH78" s="333">
        <f t="shared" si="40"/>
        <v>0</v>
      </c>
      <c r="AI78" s="106"/>
      <c r="AJ78" s="297">
        <f t="shared" si="41"/>
        <v>0</v>
      </c>
      <c r="AK78" s="1"/>
      <c r="AL78" s="330"/>
      <c r="AM78" s="106"/>
      <c r="AN78" s="333">
        <f t="shared" si="42"/>
        <v>0</v>
      </c>
      <c r="AO78" s="1"/>
      <c r="AP78" s="26"/>
      <c r="AR78" s="330"/>
      <c r="AS78" s="333">
        <f t="shared" si="43"/>
        <v>0</v>
      </c>
      <c r="AT78" s="106"/>
      <c r="AU78" s="297">
        <f t="shared" si="44"/>
        <v>0</v>
      </c>
      <c r="AV78" s="1"/>
      <c r="AW78" s="330"/>
      <c r="AX78" s="106"/>
      <c r="AY78" s="333">
        <f t="shared" si="45"/>
        <v>0</v>
      </c>
      <c r="BA78" s="1"/>
      <c r="BB78" s="330"/>
      <c r="BC78" s="106"/>
      <c r="BD78" s="333"/>
    </row>
    <row r="79" spans="1:56" customFormat="1" x14ac:dyDescent="0.35">
      <c r="A79" s="9160"/>
      <c r="B79" s="944"/>
      <c r="C79" s="945"/>
      <c r="D79" s="197"/>
      <c r="E79" s="1"/>
      <c r="F79" s="336"/>
      <c r="G79" s="272"/>
      <c r="H79" s="330"/>
      <c r="I79" s="948"/>
      <c r="J79" s="297">
        <f t="shared" si="34"/>
        <v>0</v>
      </c>
      <c r="K79" s="1"/>
      <c r="L79" s="330"/>
      <c r="M79" s="157">
        <f t="shared" si="35"/>
        <v>0</v>
      </c>
      <c r="N79" s="1"/>
      <c r="O79" s="330"/>
      <c r="P79" s="331"/>
      <c r="Q79" s="106"/>
      <c r="R79" s="297">
        <f>IF(O79=0,0,P79/O79)</f>
        <v>0</v>
      </c>
      <c r="S79" s="1"/>
      <c r="T79" s="330"/>
      <c r="U79" s="106"/>
      <c r="V79" s="333">
        <f>T79*R79</f>
        <v>0</v>
      </c>
      <c r="W79" s="1"/>
      <c r="X79" s="330"/>
      <c r="Y79" s="331"/>
      <c r="Z79" s="106"/>
      <c r="AA79" s="297">
        <f>IF(X79=0,0,Y79/X79)</f>
        <v>0</v>
      </c>
      <c r="AB79" s="1"/>
      <c r="AC79" s="330"/>
      <c r="AD79" s="106"/>
      <c r="AE79" s="333">
        <f>AC79*AA79</f>
        <v>0</v>
      </c>
      <c r="AF79" s="1"/>
      <c r="AG79" s="330"/>
      <c r="AH79" s="333">
        <f>AF79*AD79</f>
        <v>0</v>
      </c>
      <c r="AI79" s="106"/>
      <c r="AJ79" s="297">
        <f>IF(AG79=0,0,AH79/AG79)</f>
        <v>0</v>
      </c>
      <c r="AK79" s="1"/>
      <c r="AL79" s="330"/>
      <c r="AM79" s="106"/>
      <c r="AN79" s="333">
        <f>AL79*AJ79</f>
        <v>0</v>
      </c>
      <c r="AO79" s="1"/>
      <c r="AP79" s="26"/>
      <c r="AR79" s="330"/>
      <c r="AS79" s="333">
        <f>AQ79*AO79</f>
        <v>0</v>
      </c>
      <c r="AT79" s="106"/>
      <c r="AU79" s="297">
        <f>IF(AR79=0,0,AS79/AR79)</f>
        <v>0</v>
      </c>
      <c r="AV79" s="1"/>
      <c r="AW79" s="330"/>
      <c r="AX79" s="106"/>
      <c r="AY79" s="333">
        <f>AW79*AU79</f>
        <v>0</v>
      </c>
      <c r="BA79" s="1"/>
      <c r="BB79" s="330"/>
      <c r="BC79" s="106"/>
      <c r="BD79" s="333"/>
    </row>
    <row r="80" spans="1:56" customFormat="1" x14ac:dyDescent="0.35">
      <c r="A80" s="9161"/>
      <c r="B80" s="949"/>
      <c r="C80" s="950" t="s">
        <v>10</v>
      </c>
      <c r="D80" s="209"/>
      <c r="E80" s="1"/>
      <c r="F80" s="343"/>
      <c r="G80" s="274"/>
      <c r="H80" s="341"/>
      <c r="I80" s="951"/>
      <c r="J80" s="307">
        <f t="shared" si="34"/>
        <v>0</v>
      </c>
      <c r="K80" s="1"/>
      <c r="L80" s="341"/>
      <c r="M80" s="213">
        <f t="shared" si="35"/>
        <v>0</v>
      </c>
      <c r="N80" s="1"/>
      <c r="O80" s="341"/>
      <c r="P80" s="952"/>
      <c r="Q80" s="216"/>
      <c r="R80" s="307">
        <f>IF(O80=0,0,P80/O80)</f>
        <v>0</v>
      </c>
      <c r="S80" s="1"/>
      <c r="T80" s="341"/>
      <c r="U80" s="216"/>
      <c r="V80" s="347">
        <f>T80*R80</f>
        <v>0</v>
      </c>
      <c r="W80" s="1"/>
      <c r="X80" s="341"/>
      <c r="Y80" s="952"/>
      <c r="Z80" s="216"/>
      <c r="AA80" s="307">
        <f>IF(X80=0,0,Y80/X80)</f>
        <v>0</v>
      </c>
      <c r="AB80" s="1"/>
      <c r="AC80" s="341"/>
      <c r="AD80" s="216"/>
      <c r="AE80" s="347">
        <f>AC80*AA80</f>
        <v>0</v>
      </c>
      <c r="AF80" s="1"/>
      <c r="AG80" s="341"/>
      <c r="AH80" s="347">
        <f>AF80*AD80</f>
        <v>0</v>
      </c>
      <c r="AI80" s="216"/>
      <c r="AJ80" s="307">
        <f>IF(AG80=0,0,AH80/AG80)</f>
        <v>0</v>
      </c>
      <c r="AK80" s="1"/>
      <c r="AL80" s="341"/>
      <c r="AM80" s="216"/>
      <c r="AN80" s="347">
        <f>AL80*AJ80</f>
        <v>0</v>
      </c>
      <c r="AO80" s="1"/>
      <c r="AP80" s="24"/>
      <c r="AR80" s="341"/>
      <c r="AS80" s="347">
        <f>AQ80*AO80</f>
        <v>0</v>
      </c>
      <c r="AT80" s="216"/>
      <c r="AU80" s="307">
        <f>IF(AR80=0,0,AS80/AR80)</f>
        <v>0</v>
      </c>
      <c r="AV80" s="1"/>
      <c r="AW80" s="341"/>
      <c r="AX80" s="216"/>
      <c r="AY80" s="347">
        <f>AW80*AU80</f>
        <v>0</v>
      </c>
      <c r="BA80" s="1"/>
      <c r="BB80" s="341"/>
      <c r="BC80" s="216"/>
      <c r="BD80" s="347"/>
    </row>
    <row r="81" spans="1:56" x14ac:dyDescent="0.35">
      <c r="A81" s="936"/>
      <c r="B81" s="936"/>
      <c r="E81" s="457"/>
      <c r="F81" s="847"/>
      <c r="H81" s="847"/>
      <c r="I81" s="847"/>
      <c r="J81" s="1052"/>
      <c r="L81" s="847"/>
      <c r="M81" s="938"/>
      <c r="O81" s="106"/>
      <c r="P81" s="106"/>
      <c r="Q81" s="106"/>
      <c r="R81" s="311"/>
      <c r="T81" s="106"/>
      <c r="U81" s="106"/>
      <c r="V81" s="312"/>
      <c r="X81" s="106"/>
      <c r="Y81" s="106"/>
      <c r="Z81" s="106"/>
      <c r="AA81" s="311"/>
      <c r="AC81" s="106"/>
      <c r="AD81" s="106"/>
      <c r="AE81" s="312"/>
      <c r="AG81" s="106"/>
      <c r="AH81" s="106"/>
      <c r="AI81" s="106"/>
      <c r="AJ81" s="311"/>
      <c r="AL81" s="106"/>
      <c r="AM81" s="106"/>
      <c r="AN81" s="312"/>
      <c r="AR81" s="106"/>
      <c r="AS81" s="106"/>
      <c r="AT81" s="106"/>
      <c r="AU81" s="311"/>
      <c r="AW81" s="106"/>
      <c r="AX81" s="106"/>
      <c r="AY81" s="312"/>
      <c r="BB81" s="106"/>
      <c r="BC81" s="106"/>
      <c r="BD81" s="312"/>
    </row>
    <row r="82" spans="1:56" customFormat="1" x14ac:dyDescent="0.35">
      <c r="A82" s="9152" t="s">
        <v>566</v>
      </c>
      <c r="B82" s="139" t="s">
        <v>567</v>
      </c>
      <c r="C82" s="348"/>
      <c r="D82" s="49"/>
      <c r="E82" s="141"/>
      <c r="F82" s="227"/>
      <c r="G82" s="141"/>
      <c r="H82" s="102"/>
      <c r="I82" s="103"/>
      <c r="J82" s="228"/>
      <c r="K82" s="141"/>
      <c r="L82" s="102"/>
      <c r="M82" s="268"/>
      <c r="N82" s="141"/>
      <c r="O82" s="102"/>
      <c r="P82" s="103"/>
      <c r="Q82" s="103"/>
      <c r="R82" s="228"/>
      <c r="S82" s="141"/>
      <c r="T82" s="102"/>
      <c r="U82" s="103"/>
      <c r="V82" s="268"/>
      <c r="W82" s="141"/>
      <c r="X82" s="102"/>
      <c r="Y82" s="103"/>
      <c r="Z82" s="103"/>
      <c r="AA82" s="228"/>
      <c r="AB82" s="141"/>
      <c r="AC82" s="102"/>
      <c r="AD82" s="103"/>
      <c r="AE82" s="268"/>
      <c r="AF82" s="141"/>
      <c r="AG82" s="102"/>
      <c r="AH82" s="103"/>
      <c r="AI82" s="103"/>
      <c r="AJ82" s="228"/>
      <c r="AK82" s="141"/>
      <c r="AL82" s="102"/>
      <c r="AM82" s="103"/>
      <c r="AN82" s="268"/>
      <c r="AO82" s="141"/>
      <c r="AR82" s="102"/>
      <c r="AS82" s="103"/>
      <c r="AT82" s="103"/>
      <c r="AU82" s="228"/>
      <c r="AV82" s="141"/>
      <c r="AW82" s="102"/>
      <c r="AX82" s="103"/>
      <c r="AY82" s="268"/>
      <c r="BA82" s="141"/>
      <c r="BB82" s="102"/>
      <c r="BC82" s="103"/>
      <c r="BD82" s="268"/>
    </row>
    <row r="83" spans="1:56" customFormat="1" x14ac:dyDescent="0.35">
      <c r="A83" s="9153"/>
      <c r="B83" s="6082"/>
      <c r="C83" s="110"/>
      <c r="D83" t="s">
        <v>568</v>
      </c>
      <c r="E83" s="1"/>
      <c r="F83" s="349">
        <f>SUM(F36:F39)-SUM(F41:F43)</f>
        <v>366779794.34000003</v>
      </c>
      <c r="G83" s="350"/>
      <c r="H83" s="351">
        <f>SUM(H36:H39)-SUM(H41:H43)</f>
        <v>619941644</v>
      </c>
      <c r="I83" s="352">
        <f>SUM(I36:I39)-SUM(I41:I43)</f>
        <v>396118512</v>
      </c>
      <c r="J83" s="246"/>
      <c r="K83" s="350"/>
      <c r="L83" s="351">
        <f>SUM(L36:L39)-SUM(L41:L43)</f>
        <v>603643900</v>
      </c>
      <c r="M83" s="353">
        <f>SUM(M36:M39)-SUM(M41:M43)</f>
        <v>543518527.89999998</v>
      </c>
      <c r="N83" s="350"/>
      <c r="O83" s="351">
        <f>SUM(O36:O39)-SUM(O41:O43)</f>
        <v>603643900</v>
      </c>
      <c r="P83" s="352">
        <f>SUM(P36:P39)-SUM(P41:P43)</f>
        <v>543518528</v>
      </c>
      <c r="Q83" s="352"/>
      <c r="R83" s="246"/>
      <c r="S83" s="350"/>
      <c r="T83" s="351">
        <f>SUM(T36:T39)-SUM(T41:T43)</f>
        <v>676914346</v>
      </c>
      <c r="U83" s="352"/>
      <c r="V83" s="353">
        <f>SUM(V36:V39)-SUM(V41:V43)</f>
        <v>609490941.46400332</v>
      </c>
      <c r="W83" s="350"/>
      <c r="X83" s="351">
        <f>SUM(X36:X39)-SUM(X41:X43)</f>
        <v>676914346</v>
      </c>
      <c r="Y83" s="352">
        <f>SUM(Y36:Y39)-SUM(Y41:Y43)</f>
        <v>667619908</v>
      </c>
      <c r="Z83" s="352"/>
      <c r="AA83" s="246"/>
      <c r="AB83" s="350"/>
      <c r="AC83" s="351">
        <f>SUM(AC36:AC39)-SUM(AC41:AC43)</f>
        <v>1406000000</v>
      </c>
      <c r="AD83" s="352"/>
      <c r="AE83" s="353">
        <f>SUM(AE36:AE39)-SUM(AE41:AE43)</f>
        <v>960000000</v>
      </c>
      <c r="AF83" s="350"/>
      <c r="AG83" s="351">
        <f>SUM(AG36:AG39)-SUM(AG41:AG43)</f>
        <v>1406000000</v>
      </c>
      <c r="AH83" s="352">
        <f>SUM(AH36:AH39)-SUM(AH41:AH43)</f>
        <v>960000000</v>
      </c>
      <c r="AI83" s="352"/>
      <c r="AJ83" s="246"/>
      <c r="AK83" s="350"/>
      <c r="AL83" s="351">
        <f>SUM(AL36:AL39)-SUM(AL41:AL43)</f>
        <v>1862</v>
      </c>
      <c r="AM83" s="352"/>
      <c r="AN83" s="353">
        <f>SUM(AN36:AN39)-SUM(AN41:AN43)</f>
        <v>0</v>
      </c>
      <c r="AO83" s="350"/>
      <c r="AR83" s="351">
        <f>SUM(AR36:AR39)-SUM(AR41:AR43)</f>
        <v>1862.205015</v>
      </c>
      <c r="AS83" s="352">
        <f>SUM(AS36:AS39)-SUM(AS41:AS43)</f>
        <v>2171.1993866666667</v>
      </c>
      <c r="AT83" s="352"/>
      <c r="AU83" s="246"/>
      <c r="AV83" s="350"/>
      <c r="AW83" s="351">
        <f>SUM(AW36:AW39)-SUM(AW41:AW43)</f>
        <v>7629.0053539999999</v>
      </c>
      <c r="AX83" s="352"/>
      <c r="AY83" s="353">
        <f>SUM(AY36:AY39)-SUM(AY41:AY43)</f>
        <v>2807.8167613333335</v>
      </c>
      <c r="BA83" s="350"/>
      <c r="BB83" s="351">
        <f>SUM(BB36:BB39)-SUM(BB41:BB43)</f>
        <v>11720</v>
      </c>
      <c r="BC83" s="352"/>
      <c r="BD83" s="353">
        <f>SUM(BD36:BD39)-SUM(BD41:BD43)</f>
        <v>8905.3333333333339</v>
      </c>
    </row>
    <row r="84" spans="1:56" customFormat="1" x14ac:dyDescent="0.35">
      <c r="A84" s="9153"/>
      <c r="B84" s="6082"/>
      <c r="C84" s="110"/>
      <c r="D84" t="s">
        <v>569</v>
      </c>
      <c r="E84" s="1"/>
      <c r="F84" s="349">
        <f>SUM(F45:F51)</f>
        <v>0</v>
      </c>
      <c r="G84" s="350"/>
      <c r="H84" s="351">
        <f>SUM(H45:H51)</f>
        <v>0</v>
      </c>
      <c r="I84" s="352">
        <f>SUM(I45:I51)</f>
        <v>0</v>
      </c>
      <c r="J84" s="246"/>
      <c r="K84" s="350"/>
      <c r="L84" s="351">
        <f>SUM(L45:L51)</f>
        <v>0</v>
      </c>
      <c r="M84" s="353">
        <f>SUM(M45:M51)</f>
        <v>0</v>
      </c>
      <c r="N84" s="350"/>
      <c r="O84" s="351">
        <f>SUM(O45:O51)</f>
        <v>0</v>
      </c>
      <c r="P84" s="352">
        <f>SUM(P45:P51)</f>
        <v>0</v>
      </c>
      <c r="Q84" s="352"/>
      <c r="R84" s="246"/>
      <c r="S84" s="350"/>
      <c r="T84" s="351">
        <f>SUM(T45:T51)</f>
        <v>0</v>
      </c>
      <c r="U84" s="352"/>
      <c r="V84" s="353">
        <f>SUM(V45:V51)</f>
        <v>0</v>
      </c>
      <c r="W84" s="350"/>
      <c r="X84" s="351">
        <f>SUM(X45:X51)</f>
        <v>0</v>
      </c>
      <c r="Y84" s="352">
        <f>SUM(Y45:Y51)</f>
        <v>0</v>
      </c>
      <c r="Z84" s="352"/>
      <c r="AA84" s="246"/>
      <c r="AB84" s="350"/>
      <c r="AC84" s="351">
        <f>SUM(AC45:AC51)</f>
        <v>0</v>
      </c>
      <c r="AD84" s="352"/>
      <c r="AE84" s="353">
        <f>SUM(AE45:AE51)</f>
        <v>0</v>
      </c>
      <c r="AF84" s="350"/>
      <c r="AG84" s="351">
        <f>SUM(AG45:AG51)</f>
        <v>0</v>
      </c>
      <c r="AH84" s="352">
        <f>SUM(AH45:AH51)</f>
        <v>0</v>
      </c>
      <c r="AI84" s="352"/>
      <c r="AJ84" s="246"/>
      <c r="AK84" s="350"/>
      <c r="AL84" s="351">
        <f>SUM(AL45:AL51)</f>
        <v>0</v>
      </c>
      <c r="AM84" s="352"/>
      <c r="AN84" s="353">
        <f>SUM(AN45:AN51)</f>
        <v>0</v>
      </c>
      <c r="AO84" s="350"/>
      <c r="AR84" s="351">
        <f>SUM(AR45:AR51)</f>
        <v>0</v>
      </c>
      <c r="AS84" s="352">
        <f>SUM(AS45:AS51)</f>
        <v>0</v>
      </c>
      <c r="AT84" s="352"/>
      <c r="AU84" s="246"/>
      <c r="AV84" s="350"/>
      <c r="AW84" s="351">
        <f>SUM(AW45:AW51)</f>
        <v>0</v>
      </c>
      <c r="AX84" s="352"/>
      <c r="AY84" s="353">
        <f>SUM(AY45:AY51)</f>
        <v>0</v>
      </c>
      <c r="BA84" s="350"/>
      <c r="BB84" s="351">
        <f>SUM(BB45:BB51)</f>
        <v>0</v>
      </c>
      <c r="BC84" s="352"/>
      <c r="BD84" s="353">
        <f>SUM(BD45:BD51)</f>
        <v>0</v>
      </c>
    </row>
    <row r="85" spans="1:56" customFormat="1" x14ac:dyDescent="0.35">
      <c r="A85" s="9153"/>
      <c r="B85" s="6082"/>
      <c r="C85" s="110"/>
      <c r="D85" t="s">
        <v>570</v>
      </c>
      <c r="E85" s="1"/>
      <c r="F85" s="349">
        <f>SUM(F53:F60)*F29</f>
        <v>0</v>
      </c>
      <c r="G85" s="350"/>
      <c r="H85" s="351">
        <f>SUM(H53:H60)*H29</f>
        <v>0</v>
      </c>
      <c r="I85" s="352">
        <f>SUM(I53:I60)*I29</f>
        <v>0</v>
      </c>
      <c r="J85" s="246"/>
      <c r="K85" s="350"/>
      <c r="L85" s="351">
        <f>SUM(L53:L60)*L29</f>
        <v>0</v>
      </c>
      <c r="M85" s="353">
        <f>SUM(M53:M60)*M29</f>
        <v>0</v>
      </c>
      <c r="N85" s="350"/>
      <c r="O85" s="351">
        <f>SUM(O53:O60)*O29</f>
        <v>0</v>
      </c>
      <c r="P85" s="352">
        <f>SUM(P53:P60)*P29</f>
        <v>0</v>
      </c>
      <c r="Q85" s="352"/>
      <c r="R85" s="246"/>
      <c r="S85" s="350"/>
      <c r="T85" s="351">
        <f>SUM(T53:T60)*T29</f>
        <v>0</v>
      </c>
      <c r="U85" s="352"/>
      <c r="V85" s="353">
        <f>SUM(V53:V60)*V29</f>
        <v>0</v>
      </c>
      <c r="W85" s="350"/>
      <c r="X85" s="351">
        <f>SUM(X53:X60)*X29</f>
        <v>0</v>
      </c>
      <c r="Y85" s="352">
        <f>SUM(Y53:Y60)*Y29</f>
        <v>0</v>
      </c>
      <c r="Z85" s="352"/>
      <c r="AA85" s="246"/>
      <c r="AB85" s="350"/>
      <c r="AC85" s="351">
        <f>SUM(AC53:AC60)*AC29</f>
        <v>0</v>
      </c>
      <c r="AD85" s="352"/>
      <c r="AE85" s="353">
        <f>SUM(AE53:AE60)*AE29</f>
        <v>0</v>
      </c>
      <c r="AF85" s="350"/>
      <c r="AG85" s="351">
        <f>SUM(AG53:AG60)*AG29</f>
        <v>0</v>
      </c>
      <c r="AH85" s="352">
        <f>SUM(AH53:AH60)*AH29</f>
        <v>0</v>
      </c>
      <c r="AI85" s="352"/>
      <c r="AJ85" s="246"/>
      <c r="AK85" s="350"/>
      <c r="AL85" s="351">
        <f>SUM(AL53:AL60)*AL29</f>
        <v>0</v>
      </c>
      <c r="AM85" s="352"/>
      <c r="AN85" s="353">
        <f>SUM(AN53:AN60)*AN29</f>
        <v>0</v>
      </c>
      <c r="AO85" s="350"/>
      <c r="AR85" s="351">
        <f>SUM(AR53:AR60)*AR29</f>
        <v>0</v>
      </c>
      <c r="AS85" s="352">
        <f>SUM(AS53:AS60)*AS29</f>
        <v>0</v>
      </c>
      <c r="AT85" s="352"/>
      <c r="AU85" s="246"/>
      <c r="AV85" s="350"/>
      <c r="AW85" s="351">
        <f>SUM(AW53:AW60)*AW29</f>
        <v>0</v>
      </c>
      <c r="AX85" s="352"/>
      <c r="AY85" s="353">
        <f>SUM(AY53:AY60)*AY29</f>
        <v>0</v>
      </c>
      <c r="BA85" s="350"/>
      <c r="BB85" s="351">
        <f>SUM(BB53:BB60)*BB29</f>
        <v>0</v>
      </c>
      <c r="BC85" s="352"/>
      <c r="BD85" s="353">
        <f>SUM(BD53:BD60)*BD29</f>
        <v>0</v>
      </c>
    </row>
    <row r="86" spans="1:56" customFormat="1" x14ac:dyDescent="0.35">
      <c r="A86" s="9153"/>
      <c r="B86" s="6082"/>
      <c r="C86" s="110"/>
      <c r="D86" t="s">
        <v>552</v>
      </c>
      <c r="E86" s="1"/>
      <c r="F86" s="349">
        <f>F62</f>
        <v>0</v>
      </c>
      <c r="G86" s="350"/>
      <c r="H86" s="351">
        <f>H62</f>
        <v>0</v>
      </c>
      <c r="I86" s="352">
        <f>I62</f>
        <v>0</v>
      </c>
      <c r="J86" s="246"/>
      <c r="K86" s="350"/>
      <c r="L86" s="351">
        <f>L62</f>
        <v>0</v>
      </c>
      <c r="M86" s="353">
        <f>M62</f>
        <v>0</v>
      </c>
      <c r="N86" s="350"/>
      <c r="O86" s="351">
        <f>O62+O63</f>
        <v>0</v>
      </c>
      <c r="P86" s="352">
        <f>P62+P63</f>
        <v>0</v>
      </c>
      <c r="Q86" s="352"/>
      <c r="R86" s="246"/>
      <c r="S86" s="350"/>
      <c r="T86" s="351">
        <f>T62+T63</f>
        <v>0</v>
      </c>
      <c r="U86" s="352"/>
      <c r="V86" s="353">
        <f>V62+V63</f>
        <v>0</v>
      </c>
      <c r="W86" s="350"/>
      <c r="X86" s="351">
        <f>X62+X63</f>
        <v>0</v>
      </c>
      <c r="Y86" s="352">
        <f>Y62+Y63</f>
        <v>0</v>
      </c>
      <c r="Z86" s="352"/>
      <c r="AA86" s="246"/>
      <c r="AB86" s="350"/>
      <c r="AC86" s="351">
        <f>AC62+AC63</f>
        <v>0</v>
      </c>
      <c r="AD86" s="352"/>
      <c r="AE86" s="353">
        <f>AE62+AE63</f>
        <v>0</v>
      </c>
      <c r="AF86" s="350"/>
      <c r="AG86" s="351">
        <f>AG62+AG63</f>
        <v>0</v>
      </c>
      <c r="AH86" s="352">
        <f>AH62+AH63</f>
        <v>0</v>
      </c>
      <c r="AI86" s="352"/>
      <c r="AJ86" s="246"/>
      <c r="AK86" s="350"/>
      <c r="AL86" s="351">
        <f>AL62+AL63</f>
        <v>0</v>
      </c>
      <c r="AM86" s="352"/>
      <c r="AN86" s="353">
        <f>AN62+AN63</f>
        <v>0</v>
      </c>
      <c r="AO86" s="350"/>
      <c r="AR86" s="351">
        <f>AR62+AR63</f>
        <v>0</v>
      </c>
      <c r="AS86" s="352">
        <f>AS62+AS63</f>
        <v>0</v>
      </c>
      <c r="AT86" s="352"/>
      <c r="AU86" s="246"/>
      <c r="AV86" s="350"/>
      <c r="AW86" s="351">
        <f>AW62+AW63</f>
        <v>0</v>
      </c>
      <c r="AX86" s="352"/>
      <c r="AY86" s="353">
        <f>AY62+AY63</f>
        <v>0</v>
      </c>
      <c r="BA86" s="350"/>
      <c r="BB86" s="351">
        <f>BB62+BB63</f>
        <v>0</v>
      </c>
      <c r="BC86" s="352"/>
      <c r="BD86" s="353">
        <f>BD62+BD63</f>
        <v>0</v>
      </c>
    </row>
    <row r="87" spans="1:56" customFormat="1" x14ac:dyDescent="0.35">
      <c r="A87" s="9153"/>
      <c r="B87" s="6082"/>
      <c r="C87" s="356"/>
      <c r="D87" t="s">
        <v>571</v>
      </c>
      <c r="E87" s="143"/>
      <c r="F87" s="357">
        <f>SUM(F83:F86)</f>
        <v>366779794.34000003</v>
      </c>
      <c r="G87" s="358"/>
      <c r="H87" s="359">
        <f t="shared" ref="H87:I87" si="46">SUM(H83:H86)</f>
        <v>619941644</v>
      </c>
      <c r="I87" s="360">
        <f t="shared" si="46"/>
        <v>396118512</v>
      </c>
      <c r="J87" s="361"/>
      <c r="K87" s="358"/>
      <c r="L87" s="359">
        <f t="shared" ref="L87:M87" si="47">SUM(L83:L86)</f>
        <v>603643900</v>
      </c>
      <c r="M87" s="362">
        <f t="shared" si="47"/>
        <v>543518527.89999998</v>
      </c>
      <c r="N87" s="358"/>
      <c r="O87" s="359">
        <f>SUM(O83:O86)</f>
        <v>603643900</v>
      </c>
      <c r="P87" s="360">
        <f>SUM(P83:P86)</f>
        <v>543518528</v>
      </c>
      <c r="Q87" s="360"/>
      <c r="R87" s="361"/>
      <c r="S87" s="358"/>
      <c r="T87" s="359">
        <f>SUM(T83:T86)</f>
        <v>676914346</v>
      </c>
      <c r="U87" s="360"/>
      <c r="V87" s="362">
        <f>SUM(V83:V86)</f>
        <v>609490941.46400332</v>
      </c>
      <c r="W87" s="358"/>
      <c r="X87" s="359">
        <f>SUM(X83:X86)</f>
        <v>676914346</v>
      </c>
      <c r="Y87" s="360">
        <f>SUM(Y83:Y86)</f>
        <v>667619908</v>
      </c>
      <c r="Z87" s="360"/>
      <c r="AA87" s="361"/>
      <c r="AB87" s="358"/>
      <c r="AC87" s="359">
        <f>SUM(AC83:AC86)</f>
        <v>1406000000</v>
      </c>
      <c r="AD87" s="360"/>
      <c r="AE87" s="362">
        <f>SUM(AE83:AE86)</f>
        <v>960000000</v>
      </c>
      <c r="AF87" s="358"/>
      <c r="AG87" s="359">
        <f>SUM(AG83:AG86)</f>
        <v>1406000000</v>
      </c>
      <c r="AH87" s="360">
        <f>SUM(AH83:AH86)</f>
        <v>960000000</v>
      </c>
      <c r="AI87" s="360"/>
      <c r="AJ87" s="361"/>
      <c r="AK87" s="358"/>
      <c r="AL87" s="359">
        <f>SUM(AL83:AL86)</f>
        <v>1862</v>
      </c>
      <c r="AM87" s="360"/>
      <c r="AN87" s="362">
        <f>SUM(AN83:AN86)</f>
        <v>0</v>
      </c>
      <c r="AO87" s="358"/>
      <c r="AR87" s="359">
        <f>SUM(AR83:AR86)</f>
        <v>1862.205015</v>
      </c>
      <c r="AS87" s="360">
        <f>SUM(AS83:AS86)</f>
        <v>2171.1993866666667</v>
      </c>
      <c r="AT87" s="360"/>
      <c r="AU87" s="361"/>
      <c r="AV87" s="358"/>
      <c r="AW87" s="359">
        <f>SUM(AW83:AW86)</f>
        <v>7629.0053539999999</v>
      </c>
      <c r="AX87" s="360"/>
      <c r="AY87" s="362">
        <f>SUM(AY83:AY86)</f>
        <v>2807.8167613333335</v>
      </c>
      <c r="BA87" s="358"/>
      <c r="BB87" s="359">
        <f>SUM(BB83:BB86)</f>
        <v>11720</v>
      </c>
      <c r="BC87" s="360"/>
      <c r="BD87" s="362">
        <f>SUM(BD83:BD86)</f>
        <v>8905.3333333333339</v>
      </c>
    </row>
    <row r="88" spans="1:56" customFormat="1" ht="15.5" x14ac:dyDescent="0.35">
      <c r="A88" s="9153"/>
      <c r="B88" s="6082"/>
      <c r="C88" s="356"/>
      <c r="D88" t="s">
        <v>572</v>
      </c>
      <c r="E88" s="1"/>
      <c r="F88" s="366">
        <f>F87/(F17+F18)</f>
        <v>5.383896425724425E-2</v>
      </c>
      <c r="G88" s="367"/>
      <c r="H88" s="368">
        <f>H87/(H17+H18)</f>
        <v>6.3693419521877584E-2</v>
      </c>
      <c r="I88" s="369">
        <f>I87/(I17+I18)</f>
        <v>4.3663396525789495E-2</v>
      </c>
      <c r="J88" s="370"/>
      <c r="K88" s="367"/>
      <c r="L88" s="368">
        <f>L87/(L17+L18)</f>
        <v>5.5674809875093732E-2</v>
      </c>
      <c r="M88" s="370">
        <f>M87/(M17+M18)</f>
        <v>4.5985456638786212E-2</v>
      </c>
      <c r="N88" s="367"/>
      <c r="O88" s="368">
        <f>O87/(O23-O21-O22)</f>
        <v>5.7084560472091483E-2</v>
      </c>
      <c r="P88" s="369">
        <f>P87/(P23-P21-P22)</f>
        <v>4.7938482213728921E-2</v>
      </c>
      <c r="Q88" s="369"/>
      <c r="R88" s="370"/>
      <c r="S88" s="367"/>
      <c r="T88" s="368">
        <f>T87/(T23-T21-T22)</f>
        <v>6.6388602803456917E-2</v>
      </c>
      <c r="U88" s="369"/>
      <c r="V88" s="370">
        <f>V87/(V23-V21-V22)</f>
        <v>5.521378697700375E-2</v>
      </c>
      <c r="W88" s="367"/>
      <c r="X88" s="368">
        <f>X87/(X23-X21-X22)</f>
        <v>6.4211188199582617E-2</v>
      </c>
      <c r="Y88" s="369">
        <f>Y87/(Y23-Y21-Y22)</f>
        <v>3.8184620681766188E-2</v>
      </c>
      <c r="Z88" s="369"/>
      <c r="AA88" s="370"/>
      <c r="AB88" s="367"/>
      <c r="AC88" s="368">
        <f>AC87/(AC23-AC21-AC22)</f>
        <v>3.7079036894432871E-2</v>
      </c>
      <c r="AD88" s="369"/>
      <c r="AE88" s="370">
        <f>AE87/(AE23-AE21-AE22)</f>
        <v>2.9236204166159095E-2</v>
      </c>
      <c r="AF88" s="367"/>
      <c r="AG88" s="368">
        <f>AG87/(AG23-AG21-AG22)</f>
        <v>3.7079036894432871E-2</v>
      </c>
      <c r="AH88" s="369">
        <f>AH87/(AH23-AH21-AH22)</f>
        <v>2.9236204166159095E-2</v>
      </c>
      <c r="AI88" s="369"/>
      <c r="AJ88" s="370"/>
      <c r="AK88" s="367"/>
      <c r="AL88" s="368">
        <f>AL87/(AL23-AL21-AL22)</f>
        <v>4.0855732309380145E-2</v>
      </c>
      <c r="AM88" s="369"/>
      <c r="AN88" s="370" t="e">
        <f>AN87/(AN23-AN21-AN22)</f>
        <v>#DIV/0!</v>
      </c>
      <c r="AO88" s="367"/>
      <c r="AR88" s="368">
        <f>AR87/(AR23-AR21-AR22)</f>
        <v>4.3318174765637721E-2</v>
      </c>
      <c r="AS88" s="369">
        <f>AS87/(AS23-AS21-AS22)</f>
        <v>4.6931997733441415E-2</v>
      </c>
      <c r="AT88" s="369"/>
      <c r="AU88" s="370"/>
      <c r="AV88" s="367"/>
      <c r="AW88" s="368">
        <f>AW87/(AW23-AW21-AW22)</f>
        <v>9.3618914639833101E-2</v>
      </c>
      <c r="AX88" s="369"/>
      <c r="AY88" s="370">
        <f>AY87/(AY23-AY21-AY22)</f>
        <v>2.3140838344212215E-2</v>
      </c>
      <c r="BA88" s="367"/>
      <c r="BB88" s="368">
        <f>BB87/(BB23-BB21-BB22)</f>
        <v>5.6575720712892699E-2</v>
      </c>
      <c r="BC88" s="369"/>
      <c r="BD88" s="370">
        <f>BD87/(BD23-BD21-BD22)</f>
        <v>4.4548941137235287E-2</v>
      </c>
    </row>
    <row r="89" spans="1:56" customFormat="1" x14ac:dyDescent="0.35">
      <c r="A89" s="9153"/>
      <c r="B89" s="371"/>
      <c r="C89" s="1053"/>
      <c r="D89" s="296" t="s">
        <v>573</v>
      </c>
      <c r="E89" s="374"/>
      <c r="F89" s="1054"/>
      <c r="G89" s="1055"/>
      <c r="H89" s="1056"/>
      <c r="I89" s="953"/>
      <c r="J89" s="1057"/>
      <c r="K89" s="1055"/>
      <c r="L89" s="1056"/>
      <c r="M89" s="1058"/>
      <c r="N89" s="1055"/>
      <c r="O89" s="381">
        <f>O36</f>
        <v>603643900</v>
      </c>
      <c r="P89" s="382">
        <f>P36</f>
        <v>542814767</v>
      </c>
      <c r="Q89" s="383"/>
      <c r="R89" s="384"/>
      <c r="S89" s="385"/>
      <c r="T89" s="386">
        <f>T36</f>
        <v>676914346</v>
      </c>
      <c r="U89" s="1059"/>
      <c r="V89" s="680">
        <f>V36</f>
        <v>608701757.77962363</v>
      </c>
      <c r="W89" s="1055"/>
      <c r="X89" s="381">
        <f>X36</f>
        <v>676914346</v>
      </c>
      <c r="Y89" s="382">
        <f>Y36</f>
        <v>667619908</v>
      </c>
      <c r="Z89" s="383"/>
      <c r="AA89" s="384"/>
      <c r="AB89" s="385"/>
      <c r="AC89" s="386">
        <f>AC36</f>
        <v>1406000000</v>
      </c>
      <c r="AD89" s="1059"/>
      <c r="AE89" s="680">
        <f>AE36</f>
        <v>960000000</v>
      </c>
      <c r="AF89" s="1060"/>
      <c r="AG89" s="381">
        <f>AG36</f>
        <v>1406000000</v>
      </c>
      <c r="AH89" s="382">
        <f>AH36</f>
        <v>960000000</v>
      </c>
      <c r="AI89" s="383"/>
      <c r="AJ89" s="384"/>
      <c r="AK89" s="385"/>
      <c r="AL89" s="386">
        <f>AL36</f>
        <v>1862</v>
      </c>
      <c r="AM89" s="1059"/>
      <c r="AN89" s="680">
        <f>AN36</f>
        <v>0</v>
      </c>
      <c r="AO89" s="1060"/>
      <c r="AR89" s="381">
        <f>AR36</f>
        <v>1862.205015</v>
      </c>
      <c r="AS89" s="382">
        <f>AS36</f>
        <v>2171.1993866666667</v>
      </c>
      <c r="AT89" s="383"/>
      <c r="AU89" s="384"/>
      <c r="AV89" s="385"/>
      <c r="AW89" s="386">
        <f>AW36</f>
        <v>7629.0053539999999</v>
      </c>
      <c r="AX89" s="1059"/>
      <c r="AY89" s="680">
        <f>AY36</f>
        <v>2807.8167613333335</v>
      </c>
      <c r="BA89" s="385"/>
      <c r="BB89" s="386">
        <f>BB36</f>
        <v>11720</v>
      </c>
      <c r="BC89" s="1059"/>
      <c r="BD89" s="680">
        <f>BD36</f>
        <v>8905.3333333333339</v>
      </c>
    </row>
    <row r="90" spans="1:56" customFormat="1" x14ac:dyDescent="0.35">
      <c r="A90" s="9153"/>
      <c r="B90" s="58"/>
      <c r="C90" s="390"/>
      <c r="D90" s="296" t="s">
        <v>575</v>
      </c>
      <c r="E90" s="392"/>
      <c r="F90" s="393"/>
      <c r="G90" s="392"/>
      <c r="H90" s="394"/>
      <c r="I90" s="395"/>
      <c r="J90" s="229"/>
      <c r="K90" s="392"/>
      <c r="L90" s="394"/>
      <c r="M90" s="977"/>
      <c r="N90" s="392"/>
      <c r="O90" s="397">
        <f>(O87-O89)/O18</f>
        <v>0</v>
      </c>
      <c r="P90" s="398">
        <f>(P87-P89)/P18</f>
        <v>1.36649443662646E-3</v>
      </c>
      <c r="Q90" s="399"/>
      <c r="R90" s="400"/>
      <c r="S90" s="401"/>
      <c r="T90" s="402">
        <f>(T87-T89)/T18</f>
        <v>0</v>
      </c>
      <c r="U90" s="1061"/>
      <c r="V90" s="684">
        <f>(V87-V89)/V18</f>
        <v>7.0652118360568401E-3</v>
      </c>
      <c r="W90" s="392"/>
      <c r="X90" s="397">
        <f>(X87-X89)/SUM(X18:X20)</f>
        <v>0</v>
      </c>
      <c r="Y90" s="398">
        <f>(Y87-Y89)/SUM(Y18:Y20)</f>
        <v>0</v>
      </c>
      <c r="Z90" s="399"/>
      <c r="AA90" s="400"/>
      <c r="AB90" s="401"/>
      <c r="AC90" s="402">
        <f>(AC87-AC89)/SUM(AC18:AC20)</f>
        <v>0</v>
      </c>
      <c r="AD90" s="1061"/>
      <c r="AE90" s="684">
        <f>(AE87-AE89)/SUM(AE18:AE20)</f>
        <v>0</v>
      </c>
      <c r="AG90" s="397"/>
      <c r="AH90" s="398"/>
      <c r="AI90" s="399"/>
      <c r="AJ90" s="400"/>
      <c r="AK90" s="401"/>
      <c r="AL90" s="402"/>
      <c r="AM90" s="1061"/>
      <c r="AN90" s="684"/>
      <c r="AR90" s="397"/>
      <c r="AS90" s="398"/>
      <c r="AT90" s="399"/>
      <c r="AU90" s="400"/>
      <c r="AV90" s="401"/>
      <c r="AW90" s="402"/>
      <c r="AX90" s="1061"/>
      <c r="AY90" s="684"/>
      <c r="BA90" s="401"/>
      <c r="BB90" s="402"/>
      <c r="BC90" s="1061"/>
      <c r="BD90" s="684"/>
    </row>
    <row r="91" spans="1:56" customFormat="1" x14ac:dyDescent="0.35">
      <c r="A91" s="9153"/>
      <c r="B91" s="58"/>
      <c r="C91" s="390"/>
      <c r="D91" s="296" t="s">
        <v>576</v>
      </c>
      <c r="E91" s="392"/>
      <c r="F91" s="393"/>
      <c r="G91" s="392"/>
      <c r="H91" s="394"/>
      <c r="I91" s="395"/>
      <c r="J91" s="229"/>
      <c r="K91" s="392"/>
      <c r="L91" s="394"/>
      <c r="M91" s="977"/>
      <c r="N91" s="392"/>
      <c r="O91" s="397">
        <f>O89/O17</f>
        <v>6.4576919586181669E-2</v>
      </c>
      <c r="P91" s="398">
        <f>P89/P17</f>
        <v>5.0154644743183818E-2</v>
      </c>
      <c r="Q91" s="399"/>
      <c r="R91" s="400"/>
      <c r="S91" s="401"/>
      <c r="T91" s="402">
        <f>T89/T17</f>
        <v>6.8167606511155762E-2</v>
      </c>
      <c r="U91" s="1061"/>
      <c r="V91" s="684">
        <f>V89/V17</f>
        <v>5.2943406242804913E-2</v>
      </c>
      <c r="W91" s="392"/>
      <c r="X91" s="397">
        <f>X89/X17</f>
        <v>6.8113739786677396E-2</v>
      </c>
      <c r="Y91" s="398">
        <f>Y89/Y17</f>
        <v>4.5333055476335982E-2</v>
      </c>
      <c r="Z91" s="399"/>
      <c r="AA91" s="400"/>
      <c r="AB91" s="401"/>
      <c r="AC91" s="402">
        <f>AC89/AC17</f>
        <v>4.4428995765657585E-2</v>
      </c>
      <c r="AD91" s="1061"/>
      <c r="AE91" s="684">
        <f>AE89/AE17</f>
        <v>3.1690489552041727E-2</v>
      </c>
      <c r="AG91" s="397"/>
      <c r="AH91" s="398"/>
      <c r="AI91" s="399"/>
      <c r="AJ91" s="400"/>
      <c r="AK91" s="401"/>
      <c r="AL91" s="402"/>
      <c r="AM91" s="1061"/>
      <c r="AN91" s="684"/>
      <c r="AR91" s="397"/>
      <c r="AS91" s="398"/>
      <c r="AT91" s="399"/>
      <c r="AU91" s="400"/>
      <c r="AV91" s="401"/>
      <c r="AW91" s="402"/>
      <c r="AX91" s="1061"/>
      <c r="AY91" s="684"/>
      <c r="BA91" s="401"/>
      <c r="BB91" s="402"/>
      <c r="BC91" s="1061"/>
      <c r="BD91" s="684"/>
    </row>
    <row r="92" spans="1:56" customFormat="1" x14ac:dyDescent="0.35">
      <c r="A92" s="9153"/>
      <c r="B92" s="58"/>
      <c r="C92" s="390"/>
      <c r="D92" s="296"/>
      <c r="E92" s="392"/>
      <c r="F92" s="393"/>
      <c r="G92" s="392"/>
      <c r="H92" s="394"/>
      <c r="I92" s="395"/>
      <c r="J92" s="229"/>
      <c r="K92" s="392"/>
      <c r="L92" s="394"/>
      <c r="M92" s="977"/>
      <c r="N92" s="392"/>
      <c r="O92" s="394"/>
      <c r="P92" s="395"/>
      <c r="R92" s="229"/>
      <c r="S92" s="392"/>
      <c r="T92" s="396"/>
      <c r="U92" s="978"/>
      <c r="V92" s="977"/>
      <c r="W92" s="392"/>
      <c r="X92" s="394"/>
      <c r="Y92" s="395"/>
      <c r="AA92" s="229"/>
      <c r="AB92" s="392"/>
      <c r="AC92" s="396"/>
      <c r="AD92" s="978"/>
      <c r="AE92" s="977"/>
      <c r="AG92" s="394"/>
      <c r="AH92" s="395"/>
      <c r="AJ92" s="229"/>
      <c r="AK92" s="392"/>
      <c r="AL92" s="396"/>
      <c r="AM92" s="978"/>
      <c r="AN92" s="977"/>
      <c r="AR92" s="394"/>
      <c r="AS92" s="395"/>
      <c r="AU92" s="229"/>
      <c r="AV92" s="392"/>
      <c r="AW92" s="396"/>
      <c r="AX92" s="978"/>
      <c r="AY92" s="977"/>
      <c r="BA92" s="392"/>
      <c r="BB92" s="396"/>
      <c r="BC92" s="978"/>
      <c r="BD92" s="977"/>
    </row>
    <row r="93" spans="1:56" customFormat="1" x14ac:dyDescent="0.35">
      <c r="A93" s="9153"/>
      <c r="B93" s="58"/>
      <c r="C93" s="390"/>
      <c r="D93" s="296" t="s">
        <v>577</v>
      </c>
      <c r="E93" s="392"/>
      <c r="F93" s="683">
        <f>F87/F12</f>
        <v>5.2622639073170739E-2</v>
      </c>
      <c r="G93" s="392"/>
      <c r="H93" s="397">
        <f>H87/H12</f>
        <v>6.935246045418951E-2</v>
      </c>
      <c r="I93" s="398">
        <f>I87/I12</f>
        <v>4.8377932584269666E-2</v>
      </c>
      <c r="J93" s="400"/>
      <c r="K93" s="401"/>
      <c r="L93" s="397">
        <f>L87/L12</f>
        <v>5.224996970483857E-2</v>
      </c>
      <c r="M93" s="684">
        <f>M87/M12</f>
        <v>6.6323158782611871E-2</v>
      </c>
      <c r="N93" s="392"/>
      <c r="O93" s="397">
        <f>O87/O12</f>
        <v>5.224996970483857E-2</v>
      </c>
      <c r="P93" s="398">
        <f>P87/P12</f>
        <v>8.9560355359355068E-2</v>
      </c>
      <c r="Q93" s="399"/>
      <c r="R93" s="400"/>
      <c r="S93" s="401"/>
      <c r="T93" s="402">
        <f>T87/T12</f>
        <v>9.8920699400847578E-2</v>
      </c>
      <c r="U93" s="1061"/>
      <c r="V93" s="684"/>
      <c r="W93" s="392"/>
      <c r="X93" s="397">
        <f>X87/X12</f>
        <v>9.8920699400847578E-2</v>
      </c>
      <c r="Y93" s="398">
        <f>Y87/Y12</f>
        <v>5.7677745831533477E-2</v>
      </c>
      <c r="Z93" s="399"/>
      <c r="AA93" s="400"/>
      <c r="AB93" s="401"/>
      <c r="AC93" s="402">
        <f>AC87/AC12</f>
        <v>8.5243118709833879E-2</v>
      </c>
      <c r="AD93" s="1061"/>
      <c r="AE93" s="684">
        <f>AE87/AE12</f>
        <v>2.7311522048364154E-2</v>
      </c>
      <c r="AG93" s="397">
        <f>AG87/AG12</f>
        <v>8.5243118709833879E-2</v>
      </c>
      <c r="AH93" s="398">
        <f>AH87/AH12</f>
        <v>2.7311522048364154E-2</v>
      </c>
      <c r="AI93" s="399"/>
      <c r="AJ93" s="400"/>
      <c r="AK93" s="401"/>
      <c r="AL93" s="402">
        <f>AL87/AL12</f>
        <v>4.6763945048597336E-2</v>
      </c>
      <c r="AM93" s="1061"/>
      <c r="AN93" s="684"/>
      <c r="AR93" s="397">
        <f>AR87/AR12</f>
        <v>4.6769093979958307E-2</v>
      </c>
      <c r="AS93" s="398">
        <f>AS87/AS12</f>
        <v>6.3548539093445724E-2</v>
      </c>
      <c r="AT93" s="399"/>
      <c r="AU93" s="400"/>
      <c r="AV93" s="401"/>
      <c r="AW93" s="402">
        <f>AW87/AW12</f>
        <v>7.2726457140133455E-2</v>
      </c>
      <c r="AX93" s="1061"/>
      <c r="AY93" s="684"/>
      <c r="BA93" s="401"/>
      <c r="BB93" s="402">
        <f>BB87/BB12</f>
        <v>6.4579407324142343E-2</v>
      </c>
      <c r="BC93" s="1061"/>
      <c r="BD93" s="684"/>
    </row>
    <row r="94" spans="1:56" customFormat="1" x14ac:dyDescent="0.35">
      <c r="A94" s="9153"/>
      <c r="B94" s="58"/>
      <c r="C94" s="390"/>
      <c r="D94" s="59" t="s">
        <v>578</v>
      </c>
      <c r="E94" s="392"/>
      <c r="F94" s="393"/>
      <c r="G94" s="392"/>
      <c r="H94" s="394"/>
      <c r="I94" s="395"/>
      <c r="J94" s="229"/>
      <c r="K94" s="392"/>
      <c r="L94" s="394"/>
      <c r="M94" s="977"/>
      <c r="N94" s="392"/>
      <c r="O94" s="1062"/>
      <c r="P94" s="1063"/>
      <c r="Q94" s="1064"/>
      <c r="R94" s="1065"/>
      <c r="S94" s="1066"/>
      <c r="T94" s="1067"/>
      <c r="U94" s="1068"/>
      <c r="V94" s="1069"/>
      <c r="W94" s="392"/>
      <c r="X94" s="1062"/>
      <c r="Y94" s="1063"/>
      <c r="Z94" s="1064"/>
      <c r="AA94" s="1065"/>
      <c r="AB94" s="1066"/>
      <c r="AC94" s="1067"/>
      <c r="AD94" s="1068"/>
      <c r="AE94" s="1069"/>
      <c r="AG94" s="1062"/>
      <c r="AH94" s="1063"/>
      <c r="AI94" s="1064"/>
      <c r="AJ94" s="1065"/>
      <c r="AK94" s="1066"/>
      <c r="AL94" s="1067"/>
      <c r="AM94" s="1068"/>
      <c r="AN94" s="1069"/>
      <c r="AR94" s="1062"/>
      <c r="AS94" s="1063"/>
      <c r="AT94" s="1064"/>
      <c r="AU94" s="1065"/>
      <c r="AV94" s="1066"/>
      <c r="AW94" s="1067"/>
      <c r="AX94" s="1068"/>
      <c r="AY94" s="1069"/>
      <c r="BA94" s="1066"/>
      <c r="BB94" s="1067"/>
      <c r="BC94" s="1068"/>
      <c r="BD94" s="1069"/>
    </row>
    <row r="95" spans="1:56" customFormat="1" x14ac:dyDescent="0.35">
      <c r="A95" s="9153"/>
      <c r="B95" s="58"/>
      <c r="C95" s="390"/>
      <c r="D95" s="296" t="s">
        <v>579</v>
      </c>
      <c r="E95" s="392"/>
      <c r="F95" s="393"/>
      <c r="G95" s="392"/>
      <c r="H95" s="394"/>
      <c r="I95" s="395"/>
      <c r="J95" s="229"/>
      <c r="K95" s="392"/>
      <c r="L95" s="394"/>
      <c r="M95" s="977"/>
      <c r="N95" s="392"/>
      <c r="O95" s="397"/>
      <c r="P95" s="398"/>
      <c r="Q95" s="399"/>
      <c r="R95" s="400"/>
      <c r="S95" s="401"/>
      <c r="T95" s="402"/>
      <c r="U95" s="1061"/>
      <c r="V95" s="684"/>
      <c r="W95" s="392"/>
      <c r="X95" s="397"/>
      <c r="Y95" s="398"/>
      <c r="Z95" s="399"/>
      <c r="AA95" s="400"/>
      <c r="AB95" s="401"/>
      <c r="AC95" s="402"/>
      <c r="AD95" s="1061"/>
      <c r="AE95" s="684"/>
      <c r="AG95" s="397"/>
      <c r="AH95" s="398"/>
      <c r="AI95" s="399"/>
      <c r="AJ95" s="400"/>
      <c r="AK95" s="401"/>
      <c r="AL95" s="402"/>
      <c r="AM95" s="1061"/>
      <c r="AN95" s="684"/>
      <c r="AR95" s="397"/>
      <c r="AS95" s="398"/>
      <c r="AT95" s="399"/>
      <c r="AU95" s="400"/>
      <c r="AV95" s="401"/>
      <c r="AW95" s="402"/>
      <c r="AX95" s="1061"/>
      <c r="AY95" s="684"/>
      <c r="BA95" s="401"/>
      <c r="BB95" s="402"/>
      <c r="BC95" s="1061"/>
      <c r="BD95" s="684"/>
    </row>
    <row r="96" spans="1:56" customFormat="1" x14ac:dyDescent="0.35">
      <c r="A96" s="9153"/>
      <c r="B96" s="58"/>
      <c r="C96" s="390"/>
      <c r="D96" s="296"/>
      <c r="E96" s="392"/>
      <c r="F96" s="393"/>
      <c r="G96" s="392"/>
      <c r="H96" s="394"/>
      <c r="I96" s="395"/>
      <c r="J96" s="229"/>
      <c r="K96" s="392"/>
      <c r="L96" s="394"/>
      <c r="M96" s="977"/>
      <c r="N96" s="392"/>
      <c r="O96" s="397"/>
      <c r="P96" s="398"/>
      <c r="Q96" s="399"/>
      <c r="R96" s="400"/>
      <c r="S96" s="401"/>
      <c r="T96" s="402"/>
      <c r="U96" s="1061"/>
      <c r="V96" s="684"/>
      <c r="W96" s="392"/>
      <c r="X96" s="397"/>
      <c r="Y96" s="398"/>
      <c r="Z96" s="399"/>
      <c r="AA96" s="400"/>
      <c r="AB96" s="401"/>
      <c r="AC96" s="402"/>
      <c r="AD96" s="1061"/>
      <c r="AE96" s="684"/>
      <c r="AG96" s="397"/>
      <c r="AH96" s="398"/>
      <c r="AI96" s="399"/>
      <c r="AJ96" s="400"/>
      <c r="AK96" s="401"/>
      <c r="AL96" s="402"/>
      <c r="AM96" s="1061"/>
      <c r="AN96" s="684"/>
      <c r="AR96" s="397"/>
      <c r="AS96" s="398"/>
      <c r="AT96" s="399"/>
      <c r="AU96" s="400"/>
      <c r="AV96" s="401"/>
      <c r="AW96" s="402"/>
      <c r="AX96" s="1061"/>
      <c r="AY96" s="684"/>
      <c r="BA96" s="401"/>
      <c r="BB96" s="402"/>
      <c r="BC96" s="1061"/>
      <c r="BD96" s="684"/>
    </row>
    <row r="97" spans="1:56" customFormat="1" x14ac:dyDescent="0.35">
      <c r="A97" s="9153"/>
      <c r="B97" s="58"/>
      <c r="C97" s="1070"/>
      <c r="D97" s="980" t="s">
        <v>580</v>
      </c>
      <c r="E97" s="424"/>
      <c r="F97" s="981"/>
      <c r="G97" s="982"/>
      <c r="H97" s="983"/>
      <c r="I97" s="979"/>
      <c r="J97" s="246"/>
      <c r="K97" s="982"/>
      <c r="L97" s="983"/>
      <c r="M97" s="984"/>
      <c r="N97" s="982"/>
      <c r="O97" s="1071"/>
      <c r="P97" s="1072"/>
      <c r="Q97" s="1073"/>
      <c r="R97" s="1074"/>
      <c r="S97" s="445"/>
      <c r="T97" s="1075"/>
      <c r="U97" s="1076"/>
      <c r="V97" s="1077"/>
      <c r="W97" s="982"/>
      <c r="X97" s="1071"/>
      <c r="Y97" s="1072"/>
      <c r="Z97" s="1073"/>
      <c r="AA97" s="1074"/>
      <c r="AB97" s="445"/>
      <c r="AC97" s="1075"/>
      <c r="AD97" s="1076"/>
      <c r="AE97" s="1077"/>
      <c r="AF97" s="1078"/>
      <c r="AG97" s="1071"/>
      <c r="AH97" s="1072"/>
      <c r="AI97" s="1073"/>
      <c r="AJ97" s="1074"/>
      <c r="AK97" s="445"/>
      <c r="AL97" s="1075"/>
      <c r="AM97" s="1076"/>
      <c r="AN97" s="1077"/>
      <c r="AO97" s="1078"/>
      <c r="AR97" s="1071"/>
      <c r="AS97" s="1072"/>
      <c r="AT97" s="1073"/>
      <c r="AU97" s="1074"/>
      <c r="AV97" s="445"/>
      <c r="AW97" s="1075"/>
      <c r="AX97" s="1076"/>
      <c r="AY97" s="1077"/>
      <c r="BA97" s="445"/>
      <c r="BB97" s="1075"/>
      <c r="BC97" s="1076"/>
      <c r="BD97" s="1077"/>
    </row>
    <row r="98" spans="1:56" customFormat="1" x14ac:dyDescent="0.35">
      <c r="A98" s="9154"/>
      <c r="B98" s="85"/>
      <c r="C98" s="1079"/>
      <c r="D98" s="86" t="s">
        <v>581</v>
      </c>
      <c r="E98" s="274"/>
      <c r="F98" s="702"/>
      <c r="G98" s="460"/>
      <c r="H98" s="704"/>
      <c r="I98" s="705"/>
      <c r="J98" s="706"/>
      <c r="K98" s="460"/>
      <c r="L98" s="704"/>
      <c r="M98" s="708"/>
      <c r="N98" s="460"/>
      <c r="O98" s="1080"/>
      <c r="P98" s="1081"/>
      <c r="Q98" s="1082"/>
      <c r="R98" s="444"/>
      <c r="S98" s="1083"/>
      <c r="T98" s="1084"/>
      <c r="U98" s="1085"/>
      <c r="V98" s="1086"/>
      <c r="W98" s="460"/>
      <c r="X98" s="1080"/>
      <c r="Y98" s="1081"/>
      <c r="Z98" s="1082"/>
      <c r="AA98" s="444"/>
      <c r="AB98" s="1083"/>
      <c r="AC98" s="1084"/>
      <c r="AD98" s="1085"/>
      <c r="AE98" s="1086"/>
      <c r="AF98" s="1078"/>
      <c r="AG98" s="1080"/>
      <c r="AH98" s="1081"/>
      <c r="AI98" s="1082"/>
      <c r="AJ98" s="444"/>
      <c r="AK98" s="1083"/>
      <c r="AL98" s="1084"/>
      <c r="AM98" s="1085"/>
      <c r="AN98" s="1086"/>
      <c r="AO98" s="1078"/>
      <c r="AR98" s="1080"/>
      <c r="AS98" s="1081"/>
      <c r="AT98" s="1082"/>
      <c r="AU98" s="444"/>
      <c r="AV98" s="1083"/>
      <c r="AW98" s="1084"/>
      <c r="AX98" s="1085"/>
      <c r="AY98" s="1086"/>
      <c r="BA98" s="1083"/>
      <c r="BB98" s="1084"/>
      <c r="BC98" s="1085"/>
      <c r="BD98" s="1086"/>
    </row>
    <row r="99" spans="1:56" x14ac:dyDescent="0.35">
      <c r="N99" s="982"/>
      <c r="O99" s="1087"/>
      <c r="P99" s="1087"/>
      <c r="Q99" s="1087"/>
      <c r="R99" s="1087"/>
      <c r="S99" s="1087"/>
      <c r="T99" s="1087"/>
      <c r="U99" s="1087"/>
      <c r="V99" s="1087"/>
      <c r="W99" s="1087"/>
      <c r="X99" s="1087"/>
      <c r="Y99" s="1087"/>
      <c r="Z99" s="1087"/>
      <c r="AA99" s="1087"/>
      <c r="AB99" s="1087"/>
      <c r="AC99" s="1087"/>
      <c r="AD99" s="1087"/>
      <c r="AE99" s="1087"/>
      <c r="AF99" s="461"/>
      <c r="AG99" s="1087"/>
      <c r="AH99" s="1087"/>
      <c r="AI99" s="1087"/>
      <c r="AJ99" s="1087"/>
      <c r="AK99" s="1087"/>
      <c r="AL99" s="1087"/>
      <c r="AM99" s="1087"/>
      <c r="AN99" s="1087"/>
      <c r="AO99" s="461"/>
      <c r="AP99"/>
      <c r="AR99" s="1087"/>
      <c r="AS99" s="1087"/>
      <c r="AT99" s="1087"/>
      <c r="AU99" s="1087"/>
      <c r="AV99" s="1087"/>
      <c r="AW99" s="1087"/>
      <c r="AX99" s="1087"/>
      <c r="AY99" s="1087"/>
      <c r="BA99" s="1087"/>
      <c r="BB99" s="1087"/>
      <c r="BC99" s="1087"/>
      <c r="BD99" s="1087"/>
    </row>
    <row r="100" spans="1:56" x14ac:dyDescent="0.35">
      <c r="A100" s="455" t="s">
        <v>582</v>
      </c>
      <c r="B100" s="455"/>
      <c r="E100" s="457"/>
      <c r="N100" s="460"/>
      <c r="O100" s="461"/>
      <c r="P100" s="461"/>
      <c r="Q100" s="461"/>
      <c r="R100" s="461"/>
      <c r="S100" s="461"/>
      <c r="T100" s="461"/>
      <c r="U100" s="461"/>
      <c r="V100" s="461"/>
      <c r="W100" s="461"/>
      <c r="X100" s="461"/>
      <c r="Y100" s="461"/>
      <c r="Z100" s="461"/>
      <c r="AA100" s="461"/>
      <c r="AB100" s="461"/>
      <c r="AC100" s="461"/>
      <c r="AD100" s="461"/>
      <c r="AE100" s="461"/>
      <c r="AF100" s="461"/>
      <c r="AG100" s="461"/>
      <c r="AH100" s="461"/>
      <c r="AI100" s="461"/>
      <c r="AJ100" s="461"/>
      <c r="AK100" s="461"/>
      <c r="AL100" s="461"/>
      <c r="AM100" s="461"/>
      <c r="AN100" s="461"/>
      <c r="AO100" s="461"/>
      <c r="AP100"/>
      <c r="AR100" s="461"/>
      <c r="AS100" s="461"/>
      <c r="AT100" s="461"/>
      <c r="AU100" s="461"/>
      <c r="AV100" s="461"/>
      <c r="AW100" s="461"/>
      <c r="AX100" s="461"/>
      <c r="AY100" s="461"/>
      <c r="BA100" s="461"/>
      <c r="BB100" s="461"/>
      <c r="BC100" s="461"/>
      <c r="BD100" s="461"/>
    </row>
    <row r="101" spans="1:56" ht="12" customHeight="1" x14ac:dyDescent="0.35">
      <c r="A101" s="577">
        <v>1</v>
      </c>
      <c r="B101" s="462" t="str">
        <f>AP17</f>
        <v>ARCISS Agreement on Resolution of the Conflict of South Sudan</v>
      </c>
      <c r="C101" s="577"/>
      <c r="D101" s="577"/>
      <c r="E101" s="577"/>
      <c r="F101" s="577"/>
      <c r="G101" s="577"/>
      <c r="H101" s="577"/>
      <c r="I101" s="577"/>
      <c r="J101" s="577"/>
      <c r="K101" s="577"/>
      <c r="L101" s="577"/>
      <c r="M101" s="577"/>
      <c r="N101" s="456"/>
      <c r="O101" s="461"/>
      <c r="P101" s="461"/>
      <c r="Q101" s="461"/>
      <c r="R101" s="461"/>
      <c r="S101" s="461"/>
      <c r="T101" s="461"/>
      <c r="U101" s="461"/>
      <c r="V101" s="461"/>
      <c r="W101" s="461"/>
      <c r="X101" s="461"/>
      <c r="Y101" s="461"/>
      <c r="Z101" s="461"/>
      <c r="AA101" s="461"/>
      <c r="AB101" s="461"/>
      <c r="AC101" s="461"/>
      <c r="AD101" s="461"/>
      <c r="AE101" s="461"/>
      <c r="AF101" s="461"/>
      <c r="AG101" s="461"/>
      <c r="AH101" s="461"/>
      <c r="AI101" s="461"/>
      <c r="AJ101" s="461"/>
      <c r="AK101" s="461"/>
      <c r="AL101" s="461"/>
      <c r="AM101" s="461"/>
      <c r="AN101" s="461"/>
      <c r="AO101" s="461"/>
      <c r="AP101"/>
      <c r="AR101" s="461"/>
      <c r="AS101" s="461"/>
      <c r="AT101" s="461"/>
      <c r="AU101" s="461"/>
      <c r="AV101" s="461"/>
      <c r="AW101" s="461"/>
      <c r="AX101" s="461"/>
      <c r="AY101" s="461"/>
      <c r="BA101" s="461"/>
      <c r="BB101" s="461"/>
      <c r="BC101" s="461"/>
      <c r="BD101" s="461"/>
    </row>
    <row r="102" spans="1:56" x14ac:dyDescent="0.35">
      <c r="A102" s="462">
        <v>2</v>
      </c>
      <c r="B102" s="462" t="str">
        <f>AP23</f>
        <v>Consolidated funds only (excluding off-budget support)</v>
      </c>
      <c r="AP102"/>
    </row>
    <row r="103" spans="1:56" x14ac:dyDescent="0.35">
      <c r="A103" s="462">
        <v>3</v>
      </c>
      <c r="B103" s="462" t="str">
        <f>AP27</f>
        <v xml:space="preserve">employers' contributions included in staff costs </v>
      </c>
      <c r="AP103"/>
    </row>
    <row r="104" spans="1:56" x14ac:dyDescent="0.35">
      <c r="A104" s="462">
        <v>4</v>
      </c>
      <c r="B104" s="462" t="str">
        <f>AP30</f>
        <v>Block transfers only. Conditional transfers accounted for with Ministries</v>
      </c>
      <c r="AP104"/>
    </row>
    <row r="105" spans="1:56" x14ac:dyDescent="0.35">
      <c r="A105" s="462">
        <v>5</v>
      </c>
      <c r="B105" s="462" t="str">
        <f>AP36</f>
        <v>Both education ministries merged in 2013/2014 to one ministry which is now known as Ministry of Education, Science and Technology (MEST)</v>
      </c>
      <c r="AP105"/>
    </row>
    <row r="106" spans="1:56" x14ac:dyDescent="0.35">
      <c r="A106" s="462">
        <v>6</v>
      </c>
      <c r="AP106"/>
    </row>
    <row r="107" spans="1:56" x14ac:dyDescent="0.35">
      <c r="AP107"/>
    </row>
    <row r="108" spans="1:56" x14ac:dyDescent="0.35">
      <c r="AP108"/>
    </row>
    <row r="109" spans="1:56" x14ac:dyDescent="0.35">
      <c r="AP109"/>
    </row>
    <row r="110" spans="1:56" x14ac:dyDescent="0.35">
      <c r="AP110"/>
    </row>
    <row r="115" spans="1:1" x14ac:dyDescent="0.35">
      <c r="A115" s="462" t="s">
        <v>583</v>
      </c>
    </row>
    <row r="116" spans="1:1" x14ac:dyDescent="0.35">
      <c r="A116" s="462" t="s">
        <v>5615</v>
      </c>
    </row>
  </sheetData>
  <mergeCells count="50">
    <mergeCell ref="BA1:BD1"/>
    <mergeCell ref="BB4:BD4"/>
    <mergeCell ref="BB5:BD5"/>
    <mergeCell ref="BB7:BD7"/>
    <mergeCell ref="A82:A98"/>
    <mergeCell ref="AG7:AH7"/>
    <mergeCell ref="AJ7:AJ8"/>
    <mergeCell ref="AL7:AN7"/>
    <mergeCell ref="A10:A32"/>
    <mergeCell ref="X10:Y10"/>
    <mergeCell ref="A34:A69"/>
    <mergeCell ref="T7:V7"/>
    <mergeCell ref="X7:Y7"/>
    <mergeCell ref="AA7:AA8"/>
    <mergeCell ref="AC7:AE7"/>
    <mergeCell ref="A71:A80"/>
    <mergeCell ref="H7:I7"/>
    <mergeCell ref="J7:J8"/>
    <mergeCell ref="L7:M7"/>
    <mergeCell ref="O7:P7"/>
    <mergeCell ref="R7:R8"/>
    <mergeCell ref="AP4:AP5"/>
    <mergeCell ref="H5:J5"/>
    <mergeCell ref="L5:M5"/>
    <mergeCell ref="O5:R5"/>
    <mergeCell ref="T5:V5"/>
    <mergeCell ref="X5:AA5"/>
    <mergeCell ref="AC5:AE5"/>
    <mergeCell ref="AG5:AJ5"/>
    <mergeCell ref="AL5:AN5"/>
    <mergeCell ref="F1:M1"/>
    <mergeCell ref="O1:V1"/>
    <mergeCell ref="X1:AE1"/>
    <mergeCell ref="AG1:AN1"/>
    <mergeCell ref="H4:J4"/>
    <mergeCell ref="L4:M4"/>
    <mergeCell ref="O4:R4"/>
    <mergeCell ref="T4:V4"/>
    <mergeCell ref="X4:AA4"/>
    <mergeCell ref="AC4:AE4"/>
    <mergeCell ref="AG4:AJ4"/>
    <mergeCell ref="AL4:AN4"/>
    <mergeCell ref="AR7:AT7"/>
    <mergeCell ref="AU7:AU8"/>
    <mergeCell ref="AW7:AY7"/>
    <mergeCell ref="AR1:AY1"/>
    <mergeCell ref="AR4:AU4"/>
    <mergeCell ref="AW4:AY4"/>
    <mergeCell ref="AR5:AU5"/>
    <mergeCell ref="AW5:AY5"/>
  </mergeCells>
  <hyperlinks>
    <hyperlink ref="Z10" r:id="rId1" xr:uid="{6B94816D-EA37-4B8B-A421-FEAC73EF3618}"/>
    <hyperlink ref="AD10" r:id="rId2" xr:uid="{B96CD4E2-7893-445B-B1D1-66D14DC2113C}"/>
    <hyperlink ref="AM10" r:id="rId3" xr:uid="{A88D45B0-6F8A-40FB-866A-FD4944FB268B}"/>
    <hyperlink ref="AI10" r:id="rId4" xr:uid="{CC441D6D-8D2A-4F56-AE47-422C27594713}"/>
    <hyperlink ref="AX10" r:id="rId5" xr:uid="{306C1FDB-68DB-475A-B494-FA7449C4552F}"/>
    <hyperlink ref="BC10" r:id="rId6" xr:uid="{CC5DFA66-DF3E-4B4B-BDB4-46F4DD3AC1C4}"/>
  </hyperlinks>
  <pageMargins left="0.23622047244094491" right="0.23622047244094491" top="0.35433070866141736" bottom="0.35433070866141736" header="0.31496062992125984" footer="0.31496062992125984"/>
  <pageSetup paperSize="9" scale="45" orientation="portrait" horizontalDpi="4294967293" r:id="rId7"/>
  <legacyDrawing r:id="rId8"/>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314D-9C33-4688-BCE6-54A7B5EED29F}">
  <sheetPr>
    <pageSetUpPr fitToPage="1"/>
  </sheetPr>
  <dimension ref="A1:AI109"/>
  <sheetViews>
    <sheetView zoomScale="80" zoomScaleNormal="80" workbookViewId="0">
      <pane xSplit="3" ySplit="1" topLeftCell="V40" activePane="bottomRight" state="frozen"/>
      <selection pane="topRight" activeCell="D1" sqref="D1"/>
      <selection pane="bottomLeft" activeCell="A2" sqref="A2"/>
      <selection pane="bottomRight" activeCell="AF86" sqref="AF86"/>
    </sheetView>
  </sheetViews>
  <sheetFormatPr defaultColWidth="9.1796875" defaultRowHeight="14.5" x14ac:dyDescent="0.35"/>
  <cols>
    <col min="1" max="1" width="6.6328125" style="462" customWidth="1"/>
    <col min="2" max="2" width="15.81640625" style="462" customWidth="1"/>
    <col min="3" max="3" width="19.1796875" style="456" customWidth="1"/>
    <col min="4" max="4" width="3.453125" style="456" customWidth="1"/>
    <col min="5" max="5" width="1.6328125" style="456" customWidth="1"/>
    <col min="6" max="6" width="21.6328125" style="456" customWidth="1"/>
    <col min="7" max="7" width="1.6328125" style="456" customWidth="1"/>
    <col min="8" max="9" width="21.6328125" style="459" customWidth="1"/>
    <col min="10" max="10" width="8.6328125" style="459" customWidth="1"/>
    <col min="11" max="11" width="1.6328125" style="456" customWidth="1"/>
    <col min="12" max="13" width="21.6328125" style="462" customWidth="1"/>
    <col min="14" max="14" width="1.6328125" style="1" customWidth="1"/>
    <col min="15" max="16" width="21.6328125" style="6" customWidth="1"/>
    <col min="17" max="17" width="15.1796875" style="6" customWidth="1"/>
    <col min="18" max="18" width="10.453125" style="7" customWidth="1"/>
    <col min="19" max="19" width="1.6328125" style="1" customWidth="1"/>
    <col min="20" max="22" width="21.6328125" customWidth="1"/>
    <col min="23" max="23" width="10.81640625" customWidth="1"/>
    <col min="24" max="24" width="1.6328125" style="1" customWidth="1"/>
    <col min="25" max="26" width="21.6328125" style="6" customWidth="1"/>
    <col min="27" max="27" width="25" style="6" customWidth="1"/>
    <col min="28" max="28" width="8.6328125" style="7" customWidth="1"/>
    <col min="29" max="29" width="1.6328125" style="1" customWidth="1"/>
    <col min="30" max="32" width="21.6328125" customWidth="1"/>
    <col min="33" max="33" width="9.453125" customWidth="1"/>
    <col min="34" max="34" width="1.6328125" style="1" customWidth="1"/>
    <col min="35" max="35" width="55" style="711" customWidth="1"/>
    <col min="36" max="16384" width="9.1796875" style="462"/>
  </cols>
  <sheetData>
    <row r="1" spans="1:35" s="470" customFormat="1" ht="31" x14ac:dyDescent="0.7">
      <c r="F1" s="9118" t="s">
        <v>394</v>
      </c>
      <c r="G1" s="9119"/>
      <c r="H1" s="9119"/>
      <c r="I1" s="9119"/>
      <c r="J1" s="9119"/>
      <c r="K1" s="9119"/>
      <c r="L1" s="9119"/>
      <c r="M1" s="9120"/>
      <c r="N1" s="710"/>
      <c r="O1" s="9121" t="s">
        <v>395</v>
      </c>
      <c r="P1" s="9122"/>
      <c r="Q1" s="9122"/>
      <c r="R1" s="9122"/>
      <c r="S1" s="9122"/>
      <c r="T1" s="9122"/>
      <c r="U1" s="9122"/>
      <c r="V1" s="9123"/>
      <c r="W1" s="3"/>
      <c r="X1" s="710"/>
      <c r="Y1" s="9164" t="s">
        <v>398</v>
      </c>
      <c r="Z1" s="9165"/>
      <c r="AA1" s="9165"/>
      <c r="AB1" s="9165"/>
      <c r="AC1" s="9165"/>
      <c r="AD1" s="9165"/>
      <c r="AE1" s="9165"/>
      <c r="AF1" s="9166"/>
      <c r="AG1" s="7703"/>
      <c r="AH1" s="710"/>
    </row>
    <row r="2" spans="1:35" ht="21" x14ac:dyDescent="0.5">
      <c r="B2" s="456" t="s">
        <v>9</v>
      </c>
      <c r="C2" s="4" t="s">
        <v>5616</v>
      </c>
      <c r="H2" s="462"/>
    </row>
    <row r="3" spans="1:35" x14ac:dyDescent="0.35">
      <c r="F3" s="459"/>
      <c r="H3" s="462"/>
    </row>
    <row r="4" spans="1:35" ht="14.5" customHeight="1" x14ac:dyDescent="0.3">
      <c r="F4" s="8323" t="s">
        <v>400</v>
      </c>
      <c r="G4" s="712"/>
      <c r="H4" s="9133" t="s">
        <v>401</v>
      </c>
      <c r="I4" s="9134"/>
      <c r="J4" s="9135"/>
      <c r="K4" s="712"/>
      <c r="L4" s="9133" t="s">
        <v>402</v>
      </c>
      <c r="M4" s="9135"/>
      <c r="N4" s="8"/>
      <c r="O4" s="9130" t="s">
        <v>403</v>
      </c>
      <c r="P4" s="9131"/>
      <c r="Q4" s="9131"/>
      <c r="R4" s="9132"/>
      <c r="S4" s="8"/>
      <c r="T4" s="9130" t="s">
        <v>402</v>
      </c>
      <c r="U4" s="9131"/>
      <c r="V4" s="9132"/>
      <c r="W4" s="8"/>
      <c r="X4" s="8"/>
      <c r="Y4" s="9130" t="s">
        <v>5617</v>
      </c>
      <c r="Z4" s="9131"/>
      <c r="AA4" s="9131"/>
      <c r="AB4" s="8"/>
      <c r="AC4" s="8"/>
      <c r="AD4" s="9130" t="s">
        <v>402</v>
      </c>
      <c r="AE4" s="9131"/>
      <c r="AF4" s="9132"/>
      <c r="AG4" s="8"/>
      <c r="AH4" s="8"/>
      <c r="AI4" s="9136" t="s">
        <v>404</v>
      </c>
    </row>
    <row r="5" spans="1:35" x14ac:dyDescent="0.3">
      <c r="B5" s="456" t="s">
        <v>406</v>
      </c>
      <c r="C5" s="714">
        <v>2005</v>
      </c>
      <c r="F5" s="8324">
        <v>2005</v>
      </c>
      <c r="G5" s="12"/>
      <c r="H5" s="9138">
        <v>2014</v>
      </c>
      <c r="I5" s="9139"/>
      <c r="J5" s="9140"/>
      <c r="K5" s="12"/>
      <c r="L5" s="9138">
        <v>2015</v>
      </c>
      <c r="M5" s="9140"/>
      <c r="N5" s="12"/>
      <c r="O5" s="9138">
        <v>2015</v>
      </c>
      <c r="P5" s="9139"/>
      <c r="Q5" s="9139"/>
      <c r="R5" s="9140"/>
      <c r="S5" s="12"/>
      <c r="T5" s="9138">
        <v>2016</v>
      </c>
      <c r="U5" s="9139"/>
      <c r="V5" s="9140"/>
      <c r="W5" s="7678"/>
      <c r="X5" s="12"/>
      <c r="Y5" s="9138">
        <v>2018</v>
      </c>
      <c r="Z5" s="9139"/>
      <c r="AA5" s="9139"/>
      <c r="AB5" s="7678"/>
      <c r="AC5" s="12"/>
      <c r="AD5" s="9138">
        <v>2019</v>
      </c>
      <c r="AE5" s="9139"/>
      <c r="AF5" s="9140"/>
      <c r="AG5" s="7678"/>
      <c r="AH5" s="12"/>
      <c r="AI5" s="9137"/>
    </row>
    <row r="6" spans="1:35" x14ac:dyDescent="0.35">
      <c r="F6" s="459"/>
      <c r="L6" s="715"/>
      <c r="T6" s="14"/>
      <c r="U6" s="14"/>
      <c r="AD6" s="14"/>
      <c r="AE6" s="14"/>
      <c r="AI6" s="716"/>
    </row>
    <row r="7" spans="1:35" x14ac:dyDescent="0.35">
      <c r="B7" s="456" t="s">
        <v>101</v>
      </c>
      <c r="C7" s="714" t="s">
        <v>5618</v>
      </c>
      <c r="D7" s="456" t="s">
        <v>102</v>
      </c>
      <c r="F7" s="717"/>
      <c r="H7" s="9194" t="s">
        <v>5619</v>
      </c>
      <c r="I7" s="9194"/>
      <c r="J7" s="9143" t="s">
        <v>419</v>
      </c>
      <c r="L7" s="9145" t="s">
        <v>5619</v>
      </c>
      <c r="M7" s="9146"/>
      <c r="O7" s="9145" t="s">
        <v>5619</v>
      </c>
      <c r="P7" s="9146"/>
      <c r="Q7" s="16"/>
      <c r="R7" s="9147" t="s">
        <v>419</v>
      </c>
      <c r="T7" s="9149" t="s">
        <v>5619</v>
      </c>
      <c r="U7" s="9150"/>
      <c r="V7" s="9151"/>
      <c r="W7" s="5157"/>
      <c r="Y7" s="9173" t="s">
        <v>5619</v>
      </c>
      <c r="Z7" s="9173"/>
      <c r="AA7" s="16"/>
      <c r="AB7" s="9147" t="s">
        <v>419</v>
      </c>
      <c r="AD7" s="9149" t="s">
        <v>5619</v>
      </c>
      <c r="AE7" s="9150"/>
      <c r="AF7" s="9151"/>
      <c r="AG7" s="5157"/>
      <c r="AI7" s="718"/>
    </row>
    <row r="8" spans="1:35" s="712" customFormat="1" ht="15.25" customHeight="1" x14ac:dyDescent="0.35">
      <c r="B8" s="456" t="s">
        <v>420</v>
      </c>
      <c r="C8" s="714" t="s">
        <v>589</v>
      </c>
      <c r="F8" s="720" t="s">
        <v>96</v>
      </c>
      <c r="G8" s="456"/>
      <c r="H8" s="720" t="s">
        <v>423</v>
      </c>
      <c r="I8" s="720" t="s">
        <v>96</v>
      </c>
      <c r="J8" s="9144"/>
      <c r="K8" s="456"/>
      <c r="L8" s="721" t="s">
        <v>423</v>
      </c>
      <c r="M8" s="720" t="s">
        <v>96</v>
      </c>
      <c r="N8" s="1"/>
      <c r="O8" s="20" t="s">
        <v>424</v>
      </c>
      <c r="P8" s="20" t="s">
        <v>96</v>
      </c>
      <c r="Q8" s="22" t="s">
        <v>425</v>
      </c>
      <c r="R8" s="9148"/>
      <c r="S8" s="1"/>
      <c r="T8" s="21" t="s">
        <v>424</v>
      </c>
      <c r="U8" s="22" t="s">
        <v>425</v>
      </c>
      <c r="V8" s="20" t="s">
        <v>96</v>
      </c>
      <c r="W8" s="6"/>
      <c r="X8" s="1"/>
      <c r="Y8" s="20" t="s">
        <v>424</v>
      </c>
      <c r="Z8" s="720" t="s">
        <v>1031</v>
      </c>
      <c r="AA8" s="22" t="s">
        <v>425</v>
      </c>
      <c r="AB8" s="9148"/>
      <c r="AC8" s="1"/>
      <c r="AD8" s="21" t="s">
        <v>424</v>
      </c>
      <c r="AE8" s="22" t="s">
        <v>425</v>
      </c>
      <c r="AF8" s="20" t="s">
        <v>96</v>
      </c>
      <c r="AG8" s="6"/>
      <c r="AH8" s="1"/>
      <c r="AI8" s="722"/>
    </row>
    <row r="9" spans="1:35" x14ac:dyDescent="0.35">
      <c r="F9" s="462"/>
      <c r="G9" s="462"/>
      <c r="H9" s="462"/>
      <c r="I9" s="462"/>
      <c r="J9" s="462"/>
      <c r="K9" s="462"/>
      <c r="N9"/>
      <c r="O9"/>
      <c r="P9"/>
      <c r="Q9"/>
      <c r="R9" s="25"/>
      <c r="S9"/>
      <c r="X9"/>
      <c r="Y9"/>
      <c r="Z9" s="462"/>
      <c r="AA9"/>
      <c r="AB9" s="25"/>
      <c r="AC9"/>
      <c r="AH9"/>
    </row>
    <row r="10" spans="1:35" ht="31.75" customHeight="1" x14ac:dyDescent="0.35">
      <c r="A10" s="9152" t="s">
        <v>426</v>
      </c>
      <c r="B10" s="724"/>
      <c r="C10" s="725" t="s">
        <v>427</v>
      </c>
      <c r="D10" s="580" t="s">
        <v>428</v>
      </c>
      <c r="F10" s="849"/>
      <c r="G10" s="510"/>
      <c r="H10" s="31"/>
      <c r="I10" s="4935" t="s">
        <v>5620</v>
      </c>
      <c r="J10" s="472"/>
      <c r="K10" s="510"/>
      <c r="L10" s="31"/>
      <c r="M10" s="7122" t="s">
        <v>5621</v>
      </c>
      <c r="N10" s="33"/>
      <c r="O10" s="9540" t="s">
        <v>5622</v>
      </c>
      <c r="P10" s="9541"/>
      <c r="Q10" s="473" t="s">
        <v>5623</v>
      </c>
      <c r="R10" s="32"/>
      <c r="S10" s="33"/>
      <c r="T10" s="36" t="s">
        <v>5624</v>
      </c>
      <c r="U10" s="5222"/>
      <c r="V10" s="36" t="s">
        <v>5624</v>
      </c>
      <c r="W10" s="7683"/>
      <c r="X10" s="33"/>
      <c r="Y10" s="9535" t="s">
        <v>5625</v>
      </c>
      <c r="Z10" s="9536"/>
      <c r="AA10" s="7123" t="s">
        <v>5626</v>
      </c>
      <c r="AB10" s="855"/>
      <c r="AC10" s="170"/>
      <c r="AD10" s="7124" t="s">
        <v>5627</v>
      </c>
      <c r="AE10" s="7123" t="s">
        <v>5626</v>
      </c>
      <c r="AF10" s="7124" t="s">
        <v>5627</v>
      </c>
      <c r="AG10" s="7704"/>
      <c r="AH10" s="33"/>
      <c r="AI10" s="726"/>
    </row>
    <row r="11" spans="1:35" ht="12.75" customHeight="1" x14ac:dyDescent="0.35">
      <c r="A11" s="9153"/>
      <c r="B11" s="40" t="s">
        <v>451</v>
      </c>
      <c r="C11" s="728"/>
      <c r="D11" s="729"/>
      <c r="F11" s="730"/>
      <c r="G11" s="731"/>
      <c r="H11" s="732"/>
      <c r="I11" s="733"/>
      <c r="J11" s="734"/>
      <c r="K11" s="731"/>
      <c r="L11" s="732"/>
      <c r="M11" s="735"/>
      <c r="N11" s="48"/>
      <c r="O11" s="736"/>
      <c r="P11" s="735"/>
      <c r="Q11" s="718"/>
      <c r="R11" s="47"/>
      <c r="S11" s="48"/>
      <c r="T11" s="46"/>
      <c r="U11" s="474"/>
      <c r="V11" s="5464"/>
      <c r="W11" s="4907"/>
      <c r="X11" s="48"/>
      <c r="Y11" s="6095" t="s">
        <v>5625</v>
      </c>
      <c r="Z11" s="7125"/>
      <c r="AA11" s="7126"/>
      <c r="AB11" s="47"/>
      <c r="AC11" s="739"/>
      <c r="AD11" s="54"/>
      <c r="AE11" s="474"/>
      <c r="AF11" s="54"/>
      <c r="AG11" s="1109"/>
      <c r="AH11" s="50"/>
      <c r="AI11" s="718"/>
    </row>
    <row r="12" spans="1:35" x14ac:dyDescent="0.35">
      <c r="A12" s="9153"/>
      <c r="B12" s="58"/>
      <c r="C12" s="743" t="s">
        <v>456</v>
      </c>
      <c r="F12" s="744"/>
      <c r="G12" s="745"/>
      <c r="H12" s="746"/>
      <c r="I12" s="747">
        <f>11517.8+730.9</f>
        <v>12248.699999999999</v>
      </c>
      <c r="J12" s="748">
        <f>IF(H12=0,0,I12/H12)</f>
        <v>0</v>
      </c>
      <c r="K12" s="745"/>
      <c r="L12" s="746"/>
      <c r="M12" s="749">
        <v>12025.2</v>
      </c>
      <c r="N12" s="65"/>
      <c r="O12" s="62">
        <v>12575</v>
      </c>
      <c r="P12" s="7127">
        <v>12333.199999999997</v>
      </c>
      <c r="Q12" s="723" t="s">
        <v>5628</v>
      </c>
      <c r="R12" s="476">
        <f>IF(O12=0,0,P12/O12)</f>
        <v>0.98077137176938345</v>
      </c>
      <c r="S12" s="65"/>
      <c r="T12" s="63">
        <v>12706.666666666666</v>
      </c>
      <c r="U12" s="106"/>
      <c r="V12" s="7127">
        <v>12184.666666666666</v>
      </c>
      <c r="W12" s="7684"/>
      <c r="X12" s="65"/>
      <c r="Y12" s="62">
        <f>Y16-Y13-Y14-Y15</f>
        <v>16623.599999999999</v>
      </c>
      <c r="Z12" s="5645">
        <f>Z16-Z13-Z14-Z15</f>
        <v>17907.3</v>
      </c>
      <c r="AA12" s="7128"/>
      <c r="AB12" s="476">
        <f>IF(Y12=0,0,Z12/Y12)</f>
        <v>1.0772215404605501</v>
      </c>
      <c r="AC12" s="272"/>
      <c r="AD12" s="63">
        <f>AD16-AD13-AD14-AD15</f>
        <v>18263.400000000001</v>
      </c>
      <c r="AE12" s="120"/>
      <c r="AF12" s="74">
        <f>AF16-AF13-AF14-AF15</f>
        <v>18175.999999999996</v>
      </c>
      <c r="AG12" s="477"/>
      <c r="AH12" s="67"/>
      <c r="AI12" s="723"/>
    </row>
    <row r="13" spans="1:35" x14ac:dyDescent="0.35">
      <c r="A13" s="9153"/>
      <c r="B13" s="58"/>
      <c r="C13" s="752" t="s">
        <v>462</v>
      </c>
      <c r="E13" s="462"/>
      <c r="F13" s="753"/>
      <c r="G13" s="745"/>
      <c r="H13" s="746"/>
      <c r="I13" s="747">
        <v>1103.9000000000001</v>
      </c>
      <c r="J13" s="754">
        <f>IF(H13=0,0,I13/H13)</f>
        <v>0</v>
      </c>
      <c r="K13" s="745"/>
      <c r="L13" s="746"/>
      <c r="M13" s="749">
        <v>410</v>
      </c>
      <c r="N13" s="65"/>
      <c r="O13" s="62">
        <v>1409.1</v>
      </c>
      <c r="P13" s="7127">
        <v>1674.9</v>
      </c>
      <c r="Q13" s="723" t="s">
        <v>5628</v>
      </c>
      <c r="R13" s="73">
        <f>IF(O13=0,0,P13/(O13+O14))</f>
        <v>0.85336526213889041</v>
      </c>
      <c r="S13" s="65"/>
      <c r="T13" s="63">
        <v>1150.1333333333334</v>
      </c>
      <c r="U13" s="106"/>
      <c r="V13" s="7127">
        <v>1150.1333333333334</v>
      </c>
      <c r="W13" s="7684"/>
      <c r="X13" s="65"/>
      <c r="Y13" s="62">
        <f>405+1509.9</f>
        <v>1914.9</v>
      </c>
      <c r="Z13" s="5645">
        <f>100.7+1882.5</f>
        <v>1983.2</v>
      </c>
      <c r="AA13" s="7128" t="s">
        <v>5629</v>
      </c>
      <c r="AB13" s="476">
        <f t="shared" ref="AB13:AB15" si="0">IF(Y13=0,0,Z13/Y13)</f>
        <v>1.0356676588855815</v>
      </c>
      <c r="AC13" s="272"/>
      <c r="AD13" s="63">
        <v>1562.3</v>
      </c>
      <c r="AE13" s="53" t="s">
        <v>5630</v>
      </c>
      <c r="AF13" s="74">
        <v>1694.8</v>
      </c>
      <c r="AG13" s="477"/>
      <c r="AH13" s="67"/>
      <c r="AI13" s="723"/>
    </row>
    <row r="14" spans="1:35" ht="15.25" customHeight="1" x14ac:dyDescent="0.35">
      <c r="A14" s="9153"/>
      <c r="B14" s="75"/>
      <c r="C14" s="755" t="s">
        <v>465</v>
      </c>
      <c r="E14" s="462"/>
      <c r="F14" s="756"/>
      <c r="G14" s="745"/>
      <c r="H14" s="757"/>
      <c r="I14" s="758"/>
      <c r="J14" s="754"/>
      <c r="K14" s="745"/>
      <c r="L14" s="746"/>
      <c r="M14" s="749"/>
      <c r="N14" s="80"/>
      <c r="O14" s="62">
        <v>553.6</v>
      </c>
      <c r="P14" s="7127">
        <v>1588.3999999999999</v>
      </c>
      <c r="Q14" s="723" t="s">
        <v>5628</v>
      </c>
      <c r="R14" s="73"/>
      <c r="S14" s="80"/>
      <c r="T14" s="79">
        <v>2317.6</v>
      </c>
      <c r="U14" s="106"/>
      <c r="V14" s="7127">
        <v>2317.6</v>
      </c>
      <c r="W14" s="7685"/>
      <c r="X14" s="80"/>
      <c r="Y14" s="78">
        <v>3274.5</v>
      </c>
      <c r="Z14" s="5645">
        <v>1110.8</v>
      </c>
      <c r="AA14" s="7128" t="s">
        <v>5631</v>
      </c>
      <c r="AB14" s="476">
        <f t="shared" si="0"/>
        <v>0.3392273629561765</v>
      </c>
      <c r="AC14" s="274"/>
      <c r="AD14" s="79">
        <v>1376.1</v>
      </c>
      <c r="AE14" s="53" t="s">
        <v>5632</v>
      </c>
      <c r="AF14" s="84">
        <v>1251.4000000000001</v>
      </c>
      <c r="AG14" s="477"/>
      <c r="AH14" s="67"/>
      <c r="AI14" s="723"/>
    </row>
    <row r="15" spans="1:35" ht="15.25" customHeight="1" x14ac:dyDescent="0.35">
      <c r="A15" s="9153"/>
      <c r="B15" s="75"/>
      <c r="C15" s="755" t="s">
        <v>5633</v>
      </c>
      <c r="E15" s="462"/>
      <c r="F15" s="756"/>
      <c r="G15" s="745"/>
      <c r="H15" s="757"/>
      <c r="I15" s="758"/>
      <c r="J15" s="754"/>
      <c r="K15" s="745"/>
      <c r="L15" s="757"/>
      <c r="M15" s="7129"/>
      <c r="N15" s="80"/>
      <c r="O15" s="7130">
        <v>1186.5</v>
      </c>
      <c r="P15" s="7131">
        <v>990</v>
      </c>
      <c r="Q15" s="723" t="s">
        <v>5628</v>
      </c>
      <c r="R15" s="73"/>
      <c r="S15" s="80"/>
      <c r="T15" s="7132">
        <v>1099.4666666666667</v>
      </c>
      <c r="U15" s="57" t="s">
        <v>5634</v>
      </c>
      <c r="V15" s="7131">
        <v>1099.4666666666667</v>
      </c>
      <c r="W15" s="7685"/>
      <c r="X15" s="80"/>
      <c r="Y15" s="78">
        <v>1501</v>
      </c>
      <c r="Z15" s="5645">
        <v>2385</v>
      </c>
      <c r="AA15" s="7133" t="s">
        <v>5635</v>
      </c>
      <c r="AB15" s="476">
        <f t="shared" si="0"/>
        <v>1.5889407061958694</v>
      </c>
      <c r="AC15" s="274"/>
      <c r="AD15" s="79">
        <v>2093.9</v>
      </c>
      <c r="AE15" s="53" t="s">
        <v>5636</v>
      </c>
      <c r="AF15" s="84">
        <v>2093.9</v>
      </c>
      <c r="AG15" s="477"/>
      <c r="AH15" s="67"/>
      <c r="AI15" s="723"/>
    </row>
    <row r="16" spans="1:35" ht="12.75" customHeight="1" x14ac:dyDescent="0.35">
      <c r="A16" s="9153"/>
      <c r="B16" s="85"/>
      <c r="C16" s="762" t="s">
        <v>466</v>
      </c>
      <c r="E16" s="223"/>
      <c r="F16" s="763"/>
      <c r="G16" s="745"/>
      <c r="H16" s="764"/>
      <c r="I16" s="765">
        <v>13352.6</v>
      </c>
      <c r="J16" s="766">
        <f>IF(H16=0,0,I16/H16)</f>
        <v>0</v>
      </c>
      <c r="K16" s="745"/>
      <c r="L16" s="764"/>
      <c r="M16" s="767">
        <v>12435.2</v>
      </c>
      <c r="N16" s="80"/>
      <c r="O16" s="89">
        <v>15724.2</v>
      </c>
      <c r="P16" s="7134">
        <v>16586.499999999996</v>
      </c>
      <c r="Q16" s="722"/>
      <c r="R16" s="91">
        <f>IF(O16=0,0,P16/O16)</f>
        <v>1.0548390379160781</v>
      </c>
      <c r="S16" s="80"/>
      <c r="T16" s="90">
        <v>17273.866666666669</v>
      </c>
      <c r="U16" s="216"/>
      <c r="V16" s="7134">
        <v>16751.866666666669</v>
      </c>
      <c r="W16" s="7685"/>
      <c r="X16" s="80"/>
      <c r="Y16" s="1776">
        <v>23314</v>
      </c>
      <c r="Z16" s="7135">
        <v>23386.3</v>
      </c>
      <c r="AA16" s="7136" t="s">
        <v>5150</v>
      </c>
      <c r="AB16" s="91">
        <f>IF(Y16=0,0,Z16/Y16)</f>
        <v>1.0031011409453547</v>
      </c>
      <c r="AC16" s="274"/>
      <c r="AD16" s="4876">
        <v>23295.7</v>
      </c>
      <c r="AE16" s="138" t="s">
        <v>5150</v>
      </c>
      <c r="AF16" s="1775">
        <v>23216.1</v>
      </c>
      <c r="AG16" s="5470"/>
      <c r="AH16" s="67"/>
      <c r="AI16" s="722"/>
    </row>
    <row r="17" spans="1:35" x14ac:dyDescent="0.35">
      <c r="A17" s="9153"/>
      <c r="B17" s="100" t="s">
        <v>468</v>
      </c>
      <c r="C17" s="771"/>
      <c r="D17" s="729"/>
      <c r="E17" s="729"/>
      <c r="F17" s="772"/>
      <c r="G17" s="729"/>
      <c r="H17" s="773"/>
      <c r="I17" s="774"/>
      <c r="J17" s="775"/>
      <c r="K17" s="729"/>
      <c r="L17" s="773"/>
      <c r="M17" s="776"/>
      <c r="N17" s="43"/>
      <c r="O17" s="102"/>
      <c r="P17" s="7137"/>
      <c r="Q17" s="718"/>
      <c r="R17" s="104"/>
      <c r="S17" s="43"/>
      <c r="T17" s="777"/>
      <c r="U17" s="106"/>
      <c r="V17" s="105"/>
      <c r="W17" s="106"/>
      <c r="X17" s="43"/>
      <c r="Y17" s="102"/>
      <c r="Z17" s="774"/>
      <c r="AA17" s="7126"/>
      <c r="AB17" s="104"/>
      <c r="AC17" s="43"/>
      <c r="AD17" s="777"/>
      <c r="AE17" s="103"/>
      <c r="AF17" s="105"/>
      <c r="AG17" s="106"/>
      <c r="AH17" s="43"/>
      <c r="AI17" s="718"/>
    </row>
    <row r="18" spans="1:35" x14ac:dyDescent="0.35">
      <c r="A18" s="9153"/>
      <c r="B18" s="6082"/>
      <c r="C18" s="778" t="s">
        <v>470</v>
      </c>
      <c r="F18" s="779"/>
      <c r="H18" s="780"/>
      <c r="I18" s="781"/>
      <c r="J18" s="782">
        <f>IF(H18=0,0,I18/H18)</f>
        <v>0</v>
      </c>
      <c r="L18" s="780"/>
      <c r="M18" s="783">
        <f>L18*J18</f>
        <v>0</v>
      </c>
      <c r="O18" s="112">
        <v>11657</v>
      </c>
      <c r="P18" s="7138">
        <v>11455.3</v>
      </c>
      <c r="Q18" s="723" t="s">
        <v>5628</v>
      </c>
      <c r="R18" s="476">
        <f>IF(O18=0,0,P18/O18)</f>
        <v>0.98269709187612586</v>
      </c>
      <c r="T18" s="117">
        <v>13264.933333333334</v>
      </c>
      <c r="U18" s="789"/>
      <c r="V18" s="7138">
        <v>11994.4</v>
      </c>
      <c r="W18" s="6571"/>
      <c r="Y18" s="112">
        <f>Y22-Y19-Y20-Y21</f>
        <v>15896.7</v>
      </c>
      <c r="Z18" s="1033">
        <f>Z22-Z19-Z20-Z21</f>
        <v>14751.500000000002</v>
      </c>
      <c r="AA18" s="7128"/>
      <c r="AB18" s="476">
        <f>IF(Y18=0,0,Z18/Y18)</f>
        <v>0.92795989104656951</v>
      </c>
      <c r="AD18" s="117">
        <f>AD22-AD19-AD20-AD21</f>
        <v>17029.699999999997</v>
      </c>
      <c r="AE18" s="789"/>
      <c r="AF18" s="273">
        <f>AF22-AF19-AF20-AF21</f>
        <v>15806.199999999999</v>
      </c>
      <c r="AG18" s="199"/>
      <c r="AI18" s="723"/>
    </row>
    <row r="19" spans="1:35" x14ac:dyDescent="0.35">
      <c r="A19" s="9153"/>
      <c r="B19" s="6082"/>
      <c r="C19" s="778" t="s">
        <v>474</v>
      </c>
      <c r="F19" s="779"/>
      <c r="H19" s="785"/>
      <c r="I19" s="786"/>
      <c r="J19" s="782"/>
      <c r="L19" s="785"/>
      <c r="M19" s="783"/>
      <c r="O19" s="117">
        <v>4858.8999999999996</v>
      </c>
      <c r="P19" s="7138">
        <v>4192.8</v>
      </c>
      <c r="Q19" s="723" t="s">
        <v>5628</v>
      </c>
      <c r="R19" s="476">
        <f>IF(O19=0,0,P19/O19)</f>
        <v>0.86291135853794076</v>
      </c>
      <c r="T19" s="117">
        <v>5039.0666666666666</v>
      </c>
      <c r="U19" s="789"/>
      <c r="V19" s="7138">
        <v>4603.4666666666662</v>
      </c>
      <c r="W19" s="6571"/>
      <c r="Y19" s="112">
        <v>9504</v>
      </c>
      <c r="Z19" s="204">
        <v>7976</v>
      </c>
      <c r="AA19" s="7128" t="s">
        <v>5637</v>
      </c>
      <c r="AB19" s="476">
        <f>IF(Y19=0,0,Z19/Y19)</f>
        <v>0.83922558922558921</v>
      </c>
      <c r="AD19" s="117">
        <v>7668.7</v>
      </c>
      <c r="AE19" s="7139" t="s">
        <v>5637</v>
      </c>
      <c r="AF19" s="273">
        <v>6525.5</v>
      </c>
      <c r="AG19" s="199"/>
      <c r="AI19" s="723"/>
    </row>
    <row r="20" spans="1:35" x14ac:dyDescent="0.35">
      <c r="A20" s="9153"/>
      <c r="B20" s="6082"/>
      <c r="C20" s="787" t="s">
        <v>2517</v>
      </c>
      <c r="F20" s="788"/>
      <c r="H20" s="785"/>
      <c r="I20" s="786">
        <v>462</v>
      </c>
      <c r="J20" s="782">
        <f>IF(H20=0,0,I20/H20)</f>
        <v>0</v>
      </c>
      <c r="L20" s="785"/>
      <c r="M20" s="783">
        <v>537</v>
      </c>
      <c r="O20" s="117">
        <v>538.4</v>
      </c>
      <c r="P20" s="7138">
        <v>537</v>
      </c>
      <c r="Q20" s="723" t="s">
        <v>5628</v>
      </c>
      <c r="R20" s="476">
        <f>IF(O20=0,0,P20/O20)</f>
        <v>0.9973997028231798</v>
      </c>
      <c r="T20" s="117">
        <v>876.4</v>
      </c>
      <c r="U20" s="789"/>
      <c r="V20" s="7138">
        <v>820.66666666666663</v>
      </c>
      <c r="W20" s="6571"/>
      <c r="Y20" s="112">
        <v>1421</v>
      </c>
      <c r="Z20" s="204">
        <v>1356.4</v>
      </c>
      <c r="AA20" s="7128" t="s">
        <v>5638</v>
      </c>
      <c r="AB20" s="476">
        <f>IF(Y20=0,0,Z20/Y20)</f>
        <v>0.95453905700211128</v>
      </c>
      <c r="AD20" s="117">
        <v>1393.2</v>
      </c>
      <c r="AE20" s="7139" t="s">
        <v>5638</v>
      </c>
      <c r="AF20" s="273">
        <v>1354.1</v>
      </c>
      <c r="AG20" s="199"/>
      <c r="AI20" s="723"/>
    </row>
    <row r="21" spans="1:35" x14ac:dyDescent="0.35">
      <c r="A21" s="9153"/>
      <c r="B21" s="6082"/>
      <c r="C21" s="787" t="s">
        <v>478</v>
      </c>
      <c r="F21" s="790"/>
      <c r="H21" s="791"/>
      <c r="I21" s="792"/>
      <c r="J21" s="782"/>
      <c r="L21" s="785"/>
      <c r="M21" s="783"/>
      <c r="O21" s="117">
        <v>0</v>
      </c>
      <c r="P21" s="7138">
        <v>0</v>
      </c>
      <c r="Q21" s="723" t="s">
        <v>5628</v>
      </c>
      <c r="R21" s="476">
        <f>IF(O21=0,0,P21/O21)</f>
        <v>0</v>
      </c>
      <c r="T21" s="114">
        <v>0</v>
      </c>
      <c r="U21" s="789"/>
      <c r="V21" s="7138">
        <v>0</v>
      </c>
      <c r="W21" s="6571"/>
      <c r="Y21" s="112"/>
      <c r="Z21" s="204"/>
      <c r="AA21" s="7128"/>
      <c r="AB21" s="476">
        <f>IF(Y21=0,0,Z21/Y21)</f>
        <v>0</v>
      </c>
      <c r="AD21" s="114"/>
      <c r="AE21" s="7139"/>
      <c r="AF21" s="273"/>
      <c r="AG21" s="199"/>
      <c r="AI21" s="723"/>
    </row>
    <row r="22" spans="1:35" x14ac:dyDescent="0.35">
      <c r="A22" s="9153"/>
      <c r="B22" s="128"/>
      <c r="C22" s="794" t="s">
        <v>479</v>
      </c>
      <c r="E22" s="729"/>
      <c r="F22" s="795"/>
      <c r="H22" s="796"/>
      <c r="I22" s="797">
        <v>13234.3</v>
      </c>
      <c r="J22" s="798">
        <f>IF(H22=0,0,I22/H22)</f>
        <v>0</v>
      </c>
      <c r="L22" s="796"/>
      <c r="M22" s="799">
        <v>16185.1</v>
      </c>
      <c r="O22" s="131">
        <v>17054.300000000003</v>
      </c>
      <c r="P22" s="7140">
        <v>16185.099999999999</v>
      </c>
      <c r="Q22" s="723"/>
      <c r="R22" s="484">
        <f>IF(O22=0,0,P22/O22)</f>
        <v>0.94903338161050266</v>
      </c>
      <c r="T22" s="131">
        <v>19180.399999999998</v>
      </c>
      <c r="U22" s="789"/>
      <c r="V22" s="7140">
        <v>17418.533333333333</v>
      </c>
      <c r="W22" s="6571"/>
      <c r="Y22" s="7141">
        <v>26821.7</v>
      </c>
      <c r="Z22" s="4880">
        <v>24083.9</v>
      </c>
      <c r="AA22" s="7128" t="s">
        <v>5639</v>
      </c>
      <c r="AB22" s="484">
        <f>IF(Y22=0,0,Z22/Y22)</f>
        <v>0.89792593310640267</v>
      </c>
      <c r="AD22" s="1781">
        <v>26091.599999999999</v>
      </c>
      <c r="AE22" s="7142" t="s">
        <v>5639</v>
      </c>
      <c r="AF22" s="5480">
        <v>23685.8</v>
      </c>
      <c r="AG22" s="7705"/>
      <c r="AI22" s="723"/>
    </row>
    <row r="23" spans="1:35" x14ac:dyDescent="0.35">
      <c r="A23" s="9153"/>
      <c r="B23" s="139" t="s">
        <v>480</v>
      </c>
      <c r="C23" s="771"/>
      <c r="D23" s="801"/>
      <c r="F23" s="802"/>
      <c r="G23" s="801"/>
      <c r="H23" s="803"/>
      <c r="I23" s="804"/>
      <c r="J23" s="805"/>
      <c r="K23" s="801"/>
      <c r="L23" s="147"/>
      <c r="M23" s="806"/>
      <c r="N23" s="141"/>
      <c r="O23" s="144"/>
      <c r="P23" s="7143"/>
      <c r="Q23" s="718"/>
      <c r="R23" s="486"/>
      <c r="S23" s="141"/>
      <c r="T23" s="151"/>
      <c r="U23" s="145"/>
      <c r="V23" s="148"/>
      <c r="W23" s="312"/>
      <c r="X23" s="141"/>
      <c r="Y23" s="144"/>
      <c r="Z23" s="145"/>
      <c r="AA23" s="3036"/>
      <c r="AB23" s="486"/>
      <c r="AC23" s="141"/>
      <c r="AD23" s="151"/>
      <c r="AE23" s="145"/>
      <c r="AF23" s="148"/>
      <c r="AG23" s="312"/>
      <c r="AH23" s="141"/>
      <c r="AI23" s="718"/>
    </row>
    <row r="24" spans="1:35" x14ac:dyDescent="0.35">
      <c r="A24" s="9153"/>
      <c r="B24" s="6082"/>
      <c r="C24" s="778" t="s">
        <v>483</v>
      </c>
      <c r="F24" s="788"/>
      <c r="H24" s="785"/>
      <c r="I24" s="786">
        <v>3840.3</v>
      </c>
      <c r="J24" s="782">
        <f>IF(H24=0,0,I24/H24)</f>
        <v>0</v>
      </c>
      <c r="L24" s="807"/>
      <c r="M24" s="808">
        <v>3356.3</v>
      </c>
      <c r="O24" s="117"/>
      <c r="P24" s="7144">
        <v>3356.3</v>
      </c>
      <c r="Q24" s="723" t="s">
        <v>5640</v>
      </c>
      <c r="R24" s="476">
        <f>IF(O24=0,0,P24/O24)</f>
        <v>0</v>
      </c>
      <c r="T24" s="156"/>
      <c r="U24" s="789"/>
      <c r="V24" s="7145">
        <f>T24*R24</f>
        <v>0</v>
      </c>
      <c r="W24" s="7686"/>
      <c r="Y24" s="200"/>
      <c r="Z24" s="647"/>
      <c r="AA24" s="66"/>
      <c r="AB24" s="476">
        <f>IF(Y24=0,0,Z24/Y24)</f>
        <v>0</v>
      </c>
      <c r="AD24" s="156"/>
      <c r="AE24" s="127"/>
      <c r="AF24" s="3265"/>
      <c r="AG24" s="199"/>
      <c r="AI24" s="723" t="s">
        <v>5641</v>
      </c>
    </row>
    <row r="25" spans="1:35" x14ac:dyDescent="0.35">
      <c r="A25" s="9153"/>
      <c r="B25" s="6082"/>
      <c r="C25" s="778" t="s">
        <v>489</v>
      </c>
      <c r="F25" s="788"/>
      <c r="H25" s="785"/>
      <c r="I25" s="786">
        <v>3162.5</v>
      </c>
      <c r="J25" s="782">
        <f>IF(H25=0,0,I25/H25)</f>
        <v>0</v>
      </c>
      <c r="L25" s="807"/>
      <c r="M25" s="808">
        <v>3351.6</v>
      </c>
      <c r="O25" s="117"/>
      <c r="P25" s="7144">
        <v>3351.6</v>
      </c>
      <c r="Q25" s="723" t="s">
        <v>5642</v>
      </c>
      <c r="R25" s="476">
        <f>IF(O25=0,0,P25/O25)</f>
        <v>0</v>
      </c>
      <c r="T25" s="156"/>
      <c r="U25" s="789"/>
      <c r="V25" s="7145">
        <f>T25*R25</f>
        <v>0</v>
      </c>
      <c r="W25" s="7686"/>
      <c r="Y25" s="200"/>
      <c r="Z25" s="649"/>
      <c r="AA25" s="7128"/>
      <c r="AB25" s="476">
        <f>IF(Y25=0,0,Z25/Y25)</f>
        <v>0</v>
      </c>
      <c r="AD25" s="156"/>
      <c r="AE25" s="127"/>
      <c r="AF25" s="3265"/>
      <c r="AG25" s="199"/>
      <c r="AI25" s="723"/>
    </row>
    <row r="26" spans="1:35" x14ac:dyDescent="0.35">
      <c r="A26" s="9153"/>
      <c r="B26" s="6082"/>
      <c r="C26" s="778" t="s">
        <v>490</v>
      </c>
      <c r="F26" s="788"/>
      <c r="H26" s="785"/>
      <c r="I26" s="786">
        <v>2015.9</v>
      </c>
      <c r="J26" s="782">
        <f>IF(H26=0,0,I26/H26)</f>
        <v>0</v>
      </c>
      <c r="L26" s="807"/>
      <c r="M26" s="808">
        <v>1953.9</v>
      </c>
      <c r="O26" s="117"/>
      <c r="P26" s="7144">
        <v>1953.9</v>
      </c>
      <c r="Q26" s="723" t="s">
        <v>5643</v>
      </c>
      <c r="R26" s="476">
        <f>IF(O26=0,0,P26/O26)</f>
        <v>0</v>
      </c>
      <c r="T26" s="156"/>
      <c r="U26" s="789"/>
      <c r="V26" s="7145">
        <f>T26*R26</f>
        <v>0</v>
      </c>
      <c r="W26" s="7686"/>
      <c r="Y26" s="200"/>
      <c r="Z26" s="649"/>
      <c r="AA26" s="7128"/>
      <c r="AB26" s="476">
        <f>IF(Y26=0,0,Z26/Y26)</f>
        <v>0</v>
      </c>
      <c r="AD26" s="156"/>
      <c r="AE26" s="127"/>
      <c r="AF26" s="3265"/>
      <c r="AG26" s="199"/>
      <c r="AI26" s="723"/>
    </row>
    <row r="27" spans="1:35" x14ac:dyDescent="0.35">
      <c r="A27" s="9153"/>
      <c r="B27" s="6082"/>
      <c r="C27" s="817" t="s">
        <v>497</v>
      </c>
      <c r="E27" s="801"/>
      <c r="F27" s="790"/>
      <c r="H27" s="818"/>
      <c r="I27" s="819"/>
      <c r="J27" s="782">
        <f>IF(H27=0,0,I27/H27)</f>
        <v>0</v>
      </c>
      <c r="L27" s="820"/>
      <c r="M27" s="808">
        <f>L27*J27</f>
        <v>0</v>
      </c>
      <c r="O27" s="164"/>
      <c r="P27" s="7144">
        <v>0</v>
      </c>
      <c r="Q27" s="723"/>
      <c r="R27" s="476">
        <f>IF(O27=0,0,P27/O27)</f>
        <v>0</v>
      </c>
      <c r="T27" s="156"/>
      <c r="U27" s="106"/>
      <c r="V27" s="7145">
        <f>T27*R27</f>
        <v>0</v>
      </c>
      <c r="W27" s="7686"/>
      <c r="Y27" s="164"/>
      <c r="Z27" s="638"/>
      <c r="AA27" s="66"/>
      <c r="AB27" s="476">
        <f>IF(Y27=0,0,Z27/Y27)</f>
        <v>0</v>
      </c>
      <c r="AD27" s="156"/>
      <c r="AE27" s="106"/>
      <c r="AF27" s="3265"/>
      <c r="AG27" s="199"/>
      <c r="AI27" s="723"/>
    </row>
    <row r="28" spans="1:35" ht="13" x14ac:dyDescent="0.3">
      <c r="A28" s="9153"/>
      <c r="B28" s="128"/>
      <c r="C28" s="794" t="s">
        <v>499</v>
      </c>
      <c r="F28" s="822">
        <f>IF(F25=0,0,(F26-F27)/F25)</f>
        <v>0</v>
      </c>
      <c r="G28" s="823"/>
      <c r="H28" s="824">
        <f>IF(H25=0,0,(H26-H27)/H25)</f>
        <v>0</v>
      </c>
      <c r="I28" s="825">
        <f>IF(I25=0,0,(I26-I27)/I25)</f>
        <v>0.63743873517786565</v>
      </c>
      <c r="J28" s="826"/>
      <c r="K28" s="823"/>
      <c r="L28" s="827">
        <f>IF(L25=0,0,L26/L25)</f>
        <v>0</v>
      </c>
      <c r="M28" s="828">
        <f>IF(M25=0,0,M26/M25)</f>
        <v>0.58297529538131043</v>
      </c>
      <c r="N28" s="170"/>
      <c r="O28" s="492"/>
      <c r="P28" s="7146">
        <f>IF(P25=0,0,P26/P25)</f>
        <v>0.58297529538131043</v>
      </c>
      <c r="Q28" s="723"/>
      <c r="R28" s="494"/>
      <c r="S28" s="170"/>
      <c r="T28" s="495">
        <f>IF(T25=0,0,T26/T25)</f>
        <v>0</v>
      </c>
      <c r="U28" s="497"/>
      <c r="V28" s="496">
        <f>IF(V25=0,0,V26/V25)</f>
        <v>0</v>
      </c>
      <c r="W28" s="7687"/>
      <c r="X28" s="170"/>
      <c r="Y28" s="492">
        <f t="shared" ref="Y28:Z28" si="1">IF(Y25=0,0,Y26/Y25)</f>
        <v>0</v>
      </c>
      <c r="Z28" s="497">
        <f t="shared" si="1"/>
        <v>0</v>
      </c>
      <c r="AA28" s="494"/>
      <c r="AB28" s="494"/>
      <c r="AC28" s="170"/>
      <c r="AD28" s="495">
        <f>IF(AD25=0,0,AD26/AD25)</f>
        <v>0</v>
      </c>
      <c r="AE28" s="497"/>
      <c r="AF28" s="496">
        <f>IF(AF25=0,0,AF26/AF25)</f>
        <v>0</v>
      </c>
      <c r="AG28" s="7687"/>
      <c r="AH28" s="170"/>
      <c r="AI28" s="723"/>
    </row>
    <row r="29" spans="1:35" x14ac:dyDescent="0.35">
      <c r="A29" s="9153"/>
      <c r="B29" s="139" t="s">
        <v>501</v>
      </c>
      <c r="C29" s="831"/>
      <c r="E29" s="1"/>
      <c r="F29" s="832"/>
      <c r="G29" s="170"/>
      <c r="H29" s="833"/>
      <c r="I29" s="834"/>
      <c r="J29" s="835"/>
      <c r="K29" s="170"/>
      <c r="L29" s="836"/>
      <c r="M29" s="837"/>
      <c r="N29" s="170"/>
      <c r="O29" s="838"/>
      <c r="P29" s="7147"/>
      <c r="Q29" s="718"/>
      <c r="R29" s="840"/>
      <c r="S29" s="170"/>
      <c r="T29" s="836"/>
      <c r="U29" s="834"/>
      <c r="V29" s="837"/>
      <c r="W29" s="7687"/>
      <c r="X29" s="170"/>
      <c r="Y29" s="838"/>
      <c r="Z29" s="839"/>
      <c r="AA29" s="840"/>
      <c r="AB29" s="840"/>
      <c r="AC29" s="170"/>
      <c r="AD29" s="836"/>
      <c r="AE29" s="834"/>
      <c r="AF29" s="837"/>
      <c r="AG29" s="7687"/>
      <c r="AH29" s="170"/>
      <c r="AI29" s="718"/>
    </row>
    <row r="30" spans="1:35" x14ac:dyDescent="0.35">
      <c r="A30" s="9153"/>
      <c r="B30" s="6082"/>
      <c r="C30" s="121" t="s">
        <v>11</v>
      </c>
      <c r="E30" s="1"/>
      <c r="F30" s="841"/>
      <c r="G30" s="170"/>
      <c r="H30" s="112"/>
      <c r="I30" s="113"/>
      <c r="J30" s="476"/>
      <c r="K30" s="170"/>
      <c r="L30" s="117"/>
      <c r="M30" s="842"/>
      <c r="N30" s="170"/>
      <c r="O30" s="117"/>
      <c r="P30" s="7148"/>
      <c r="Q30" s="723"/>
      <c r="R30" s="843">
        <f>IF(O30=0,0,P30/O30)</f>
        <v>0</v>
      </c>
      <c r="S30" s="170"/>
      <c r="T30" s="200"/>
      <c r="U30" s="834"/>
      <c r="V30" s="157">
        <f>T30*R30</f>
        <v>0</v>
      </c>
      <c r="W30" s="312"/>
      <c r="X30" s="170"/>
      <c r="Y30" s="200"/>
      <c r="Z30" s="204"/>
      <c r="AA30" s="835"/>
      <c r="AB30" s="476">
        <f>IF(Y30=0,0,Z30/Y30)</f>
        <v>0</v>
      </c>
      <c r="AC30" s="170"/>
      <c r="AD30" s="117"/>
      <c r="AE30" s="834"/>
      <c r="AF30" s="7149"/>
      <c r="AG30" s="7706"/>
      <c r="AH30" s="170"/>
      <c r="AI30" s="723"/>
    </row>
    <row r="31" spans="1:35" x14ac:dyDescent="0.35">
      <c r="A31" s="9154"/>
      <c r="B31" s="844"/>
      <c r="C31" s="208" t="s">
        <v>502</v>
      </c>
      <c r="E31" s="1"/>
      <c r="F31" s="210"/>
      <c r="G31" s="1"/>
      <c r="H31" s="217"/>
      <c r="I31" s="845"/>
      <c r="J31" s="484"/>
      <c r="K31" s="1"/>
      <c r="L31" s="131"/>
      <c r="M31" s="846"/>
      <c r="O31" s="131"/>
      <c r="P31" s="7150"/>
      <c r="Q31" s="722"/>
      <c r="R31" s="484">
        <f>IF(O31=0,0,P31/O31)</f>
        <v>0</v>
      </c>
      <c r="T31" s="211"/>
      <c r="U31" s="216"/>
      <c r="V31" s="213">
        <f>T31*R31</f>
        <v>0</v>
      </c>
      <c r="W31" s="312"/>
      <c r="Y31" s="214"/>
      <c r="Z31" s="135"/>
      <c r="AA31" s="92"/>
      <c r="AB31" s="484">
        <f>IF(Y31=0,0,Z31/Y31)</f>
        <v>0</v>
      </c>
      <c r="AD31" s="217"/>
      <c r="AE31" s="216"/>
      <c r="AF31" s="7151"/>
      <c r="AG31" s="656"/>
      <c r="AI31" s="722"/>
    </row>
    <row r="32" spans="1:35" ht="12" x14ac:dyDescent="0.3">
      <c r="F32" s="847"/>
      <c r="H32" s="847"/>
      <c r="I32" s="847"/>
      <c r="J32" s="847"/>
      <c r="L32" s="847"/>
      <c r="N32" s="462"/>
      <c r="O32" s="462"/>
      <c r="P32" s="2975"/>
      <c r="Q32" s="462"/>
      <c r="R32" s="462"/>
      <c r="S32" s="462"/>
      <c r="T32" s="462"/>
      <c r="U32" s="462"/>
      <c r="V32" s="462"/>
      <c r="W32" s="462"/>
      <c r="X32" s="462"/>
      <c r="Y32" s="462"/>
      <c r="Z32" s="462"/>
      <c r="AA32" s="462"/>
      <c r="AB32" s="462"/>
      <c r="AC32" s="462"/>
      <c r="AD32" s="462"/>
      <c r="AE32" s="462"/>
      <c r="AF32" s="462"/>
      <c r="AG32" s="462"/>
      <c r="AH32" s="462"/>
      <c r="AI32" s="462"/>
    </row>
    <row r="33" spans="1:35" ht="23.5" customHeight="1" x14ac:dyDescent="0.35">
      <c r="A33" s="9152" t="s">
        <v>503</v>
      </c>
      <c r="B33" s="848"/>
      <c r="C33" s="725" t="s">
        <v>427</v>
      </c>
      <c r="F33" s="849"/>
      <c r="G33" s="223"/>
      <c r="H33" s="850"/>
      <c r="I33" s="8327" t="s">
        <v>5644</v>
      </c>
      <c r="J33" s="851"/>
      <c r="K33" s="223"/>
      <c r="L33" s="850"/>
      <c r="M33" s="8315" t="s">
        <v>5644</v>
      </c>
      <c r="N33" s="170"/>
      <c r="O33" s="1024"/>
      <c r="P33" s="7152" t="s">
        <v>5644</v>
      </c>
      <c r="Q33" s="858"/>
      <c r="R33" s="855"/>
      <c r="S33" s="170"/>
      <c r="T33" s="503"/>
      <c r="U33" s="854"/>
      <c r="V33" s="857"/>
      <c r="W33" s="7688"/>
      <c r="X33" s="170"/>
      <c r="Y33" s="9535" t="s">
        <v>5625</v>
      </c>
      <c r="Z33" s="9536"/>
      <c r="AA33" s="7123" t="s">
        <v>5626</v>
      </c>
      <c r="AB33" s="855"/>
      <c r="AC33" s="170"/>
      <c r="AD33" s="7124" t="s">
        <v>5627</v>
      </c>
      <c r="AE33" s="7123" t="s">
        <v>5626</v>
      </c>
      <c r="AF33" s="7124" t="s">
        <v>5627</v>
      </c>
      <c r="AG33" s="7707"/>
      <c r="AH33" s="170"/>
      <c r="AI33" s="858"/>
    </row>
    <row r="34" spans="1:35" x14ac:dyDescent="0.35">
      <c r="A34" s="9153"/>
      <c r="B34" s="863" t="s">
        <v>514</v>
      </c>
      <c r="C34" s="864"/>
      <c r="F34" s="865"/>
      <c r="G34" s="457"/>
      <c r="H34" s="866"/>
      <c r="I34" s="847"/>
      <c r="J34" s="776"/>
      <c r="K34" s="457"/>
      <c r="L34" s="773"/>
      <c r="M34" s="867"/>
      <c r="O34" s="773"/>
      <c r="P34" s="7153"/>
      <c r="Q34" s="718"/>
      <c r="R34" s="869"/>
      <c r="T34" s="773"/>
      <c r="U34" s="103"/>
      <c r="V34" s="533"/>
      <c r="W34" s="7689"/>
      <c r="Y34" s="773"/>
      <c r="Z34" s="868"/>
      <c r="AA34" s="1659" t="s">
        <v>5645</v>
      </c>
      <c r="AB34" s="869"/>
      <c r="AD34" s="773"/>
      <c r="AE34" s="7154" t="s">
        <v>5646</v>
      </c>
      <c r="AF34" s="533"/>
      <c r="AG34" s="7689"/>
      <c r="AI34" s="718"/>
    </row>
    <row r="35" spans="1:35" ht="15.5" customHeight="1" x14ac:dyDescent="0.35">
      <c r="A35" s="9153"/>
      <c r="B35" s="873"/>
      <c r="C35" s="874" t="s">
        <v>5647</v>
      </c>
      <c r="F35" s="779"/>
      <c r="H35" s="780"/>
      <c r="I35" s="781">
        <v>2313.1999999999998</v>
      </c>
      <c r="J35" s="782">
        <f>IF(H35=0,0,I35/H35)</f>
        <v>0</v>
      </c>
      <c r="L35" s="780"/>
      <c r="M35" s="875">
        <v>2464.6999999999998</v>
      </c>
      <c r="O35" s="780">
        <v>2602.3000000000002</v>
      </c>
      <c r="P35" s="7155">
        <v>2464.6999999999998</v>
      </c>
      <c r="Q35" s="723" t="s">
        <v>5648</v>
      </c>
      <c r="R35" s="877">
        <f>IF(O35=0,0,P35/O35)</f>
        <v>0.94712369826691756</v>
      </c>
      <c r="T35" s="878">
        <f>2265.9*4/3</f>
        <v>3021.2000000000003</v>
      </c>
      <c r="U35" s="106"/>
      <c r="V35" s="7156">
        <f>2073.9*4/3</f>
        <v>2765.2000000000003</v>
      </c>
      <c r="W35" s="7690"/>
      <c r="Y35" s="780">
        <v>4127.5</v>
      </c>
      <c r="Z35" s="647">
        <v>3826.6</v>
      </c>
      <c r="AA35" s="883" t="s">
        <v>5648</v>
      </c>
      <c r="AB35" s="877">
        <f>IF(Y35=0,0,Z35/Y35)</f>
        <v>0.92709872804360993</v>
      </c>
      <c r="AD35" s="785">
        <v>4711.1000000000004</v>
      </c>
      <c r="AE35" s="253" t="s">
        <v>5648</v>
      </c>
      <c r="AF35" s="3265">
        <v>4419.2</v>
      </c>
      <c r="AG35" s="199"/>
      <c r="AI35" s="723"/>
    </row>
    <row r="36" spans="1:35" x14ac:dyDescent="0.35">
      <c r="A36" s="9153"/>
      <c r="B36" s="873"/>
      <c r="C36" s="874" t="s">
        <v>2541</v>
      </c>
      <c r="F36" s="788"/>
      <c r="H36" s="785"/>
      <c r="I36" s="786"/>
      <c r="J36" s="782"/>
      <c r="L36" s="785"/>
      <c r="M36" s="881"/>
      <c r="N36" s="223"/>
      <c r="O36" s="785">
        <v>85.6</v>
      </c>
      <c r="P36" s="7157">
        <v>85.6</v>
      </c>
      <c r="Q36" s="723" t="s">
        <v>5649</v>
      </c>
      <c r="R36" s="883">
        <f>IF(O36=0,0,P36/O36)</f>
        <v>1</v>
      </c>
      <c r="S36" s="223"/>
      <c r="T36" s="1035">
        <f>154.3*4/3</f>
        <v>205.73333333333335</v>
      </c>
      <c r="U36" s="1039"/>
      <c r="V36" s="7158">
        <f>154.3*4/3</f>
        <v>205.73333333333335</v>
      </c>
      <c r="W36" s="7691"/>
      <c r="X36" s="223"/>
      <c r="Y36" s="780"/>
      <c r="Z36" s="647"/>
      <c r="AA36" s="883"/>
      <c r="AB36" s="883">
        <f>IF(Y36=0,0,Z36/Y36)</f>
        <v>0</v>
      </c>
      <c r="AC36" s="223"/>
      <c r="AD36" s="785"/>
      <c r="AE36" s="1039"/>
      <c r="AF36" s="3265"/>
      <c r="AG36" s="199"/>
      <c r="AH36" s="223"/>
      <c r="AI36" s="723"/>
    </row>
    <row r="37" spans="1:35" x14ac:dyDescent="0.35">
      <c r="A37" s="9153"/>
      <c r="B37" s="873"/>
      <c r="C37" s="874" t="s">
        <v>5650</v>
      </c>
      <c r="F37" s="790"/>
      <c r="H37" s="791"/>
      <c r="I37" s="792"/>
      <c r="J37" s="782">
        <f>IF(H37=0,0,I37/H37)</f>
        <v>0</v>
      </c>
      <c r="L37" s="785"/>
      <c r="M37" s="881">
        <f>L37*J37</f>
        <v>0</v>
      </c>
      <c r="N37" s="223"/>
      <c r="O37" s="791"/>
      <c r="P37" s="7157">
        <v>0</v>
      </c>
      <c r="Q37" s="723"/>
      <c r="R37" s="883">
        <f>IF(O37=0,0,P37/O37)</f>
        <v>0</v>
      </c>
      <c r="S37" s="223"/>
      <c r="T37" s="818"/>
      <c r="U37" s="1039"/>
      <c r="V37" s="1036">
        <f>T37*R37</f>
        <v>0</v>
      </c>
      <c r="W37" s="7692"/>
      <c r="X37" s="223"/>
      <c r="Y37" s="780"/>
      <c r="Z37" s="647"/>
      <c r="AA37" s="883"/>
      <c r="AB37" s="883">
        <f>IF(Y37=0,0,Z37/Y37)</f>
        <v>0</v>
      </c>
      <c r="AC37" s="223"/>
      <c r="AD37" s="791"/>
      <c r="AE37" s="1039"/>
      <c r="AF37" s="3265"/>
      <c r="AG37" s="199"/>
      <c r="AH37" s="223"/>
      <c r="AI37" s="723"/>
    </row>
    <row r="38" spans="1:35" x14ac:dyDescent="0.35">
      <c r="A38" s="9153"/>
      <c r="B38" s="885"/>
      <c r="C38" s="886" t="s">
        <v>5651</v>
      </c>
      <c r="E38" s="223"/>
      <c r="F38" s="790"/>
      <c r="H38" s="791"/>
      <c r="I38" s="792"/>
      <c r="J38" s="782">
        <f>IF(H38=0,0,I38/H38)</f>
        <v>0</v>
      </c>
      <c r="L38" s="791"/>
      <c r="M38" s="808">
        <f>L38*J38</f>
        <v>0</v>
      </c>
      <c r="N38" s="143"/>
      <c r="O38" s="791"/>
      <c r="P38" s="7144">
        <v>0</v>
      </c>
      <c r="Q38" s="723"/>
      <c r="R38" s="877">
        <f>IF(O38=0,0,P38/O38)</f>
        <v>0</v>
      </c>
      <c r="S38" s="143"/>
      <c r="T38" s="818"/>
      <c r="U38" s="106"/>
      <c r="V38" s="901">
        <f>T38*R38</f>
        <v>0</v>
      </c>
      <c r="W38" s="7693"/>
      <c r="X38" s="143"/>
      <c r="Y38" s="791"/>
      <c r="Z38" s="3232"/>
      <c r="AA38" s="66"/>
      <c r="AB38" s="877">
        <f>IF(Y38=0,0,Z38/Y38)</f>
        <v>0</v>
      </c>
      <c r="AC38" s="143"/>
      <c r="AD38" s="791"/>
      <c r="AE38" s="106"/>
      <c r="AF38" s="3265"/>
      <c r="AG38" s="199"/>
      <c r="AH38" s="143"/>
      <c r="AI38" s="723"/>
    </row>
    <row r="39" spans="1:35" x14ac:dyDescent="0.35">
      <c r="A39" s="9153"/>
      <c r="B39" s="196" t="s">
        <v>531</v>
      </c>
      <c r="C39" s="889"/>
      <c r="E39" s="457"/>
      <c r="F39" s="865"/>
      <c r="G39" s="457"/>
      <c r="H39" s="866"/>
      <c r="I39" s="847"/>
      <c r="J39" s="890"/>
      <c r="K39" s="457"/>
      <c r="L39" s="866"/>
      <c r="M39" s="891"/>
      <c r="O39" s="866"/>
      <c r="P39" s="7153"/>
      <c r="Q39" s="893"/>
      <c r="R39" s="476"/>
      <c r="T39" s="866"/>
      <c r="U39" s="106"/>
      <c r="V39" s="543"/>
      <c r="W39" s="7689"/>
      <c r="Y39" s="866"/>
      <c r="Z39" s="892"/>
      <c r="AA39" s="66"/>
      <c r="AB39" s="476"/>
      <c r="AD39" s="866"/>
      <c r="AE39" s="106"/>
      <c r="AF39" s="543"/>
      <c r="AG39" s="7689"/>
      <c r="AI39" s="893"/>
    </row>
    <row r="40" spans="1:35" x14ac:dyDescent="0.35">
      <c r="A40" s="9153"/>
      <c r="B40" s="873"/>
      <c r="C40" s="874" t="s">
        <v>5652</v>
      </c>
      <c r="F40" s="779"/>
      <c r="H40" s="780"/>
      <c r="I40" s="781"/>
      <c r="J40" s="782">
        <f>IF(H40=0,0,I40/H40)</f>
        <v>0</v>
      </c>
      <c r="L40" s="780"/>
      <c r="M40" s="875">
        <f>L40*J40</f>
        <v>0</v>
      </c>
      <c r="O40" s="780"/>
      <c r="P40" s="7155">
        <v>0</v>
      </c>
      <c r="Q40" s="723"/>
      <c r="R40" s="476">
        <f>IF(O40=0,0,P40/O40)</f>
        <v>0</v>
      </c>
      <c r="T40" s="780"/>
      <c r="U40" s="106"/>
      <c r="V40" s="7159">
        <f>T40*R40</f>
        <v>0</v>
      </c>
      <c r="W40" s="7694"/>
      <c r="Y40" s="780"/>
      <c r="Z40" s="647"/>
      <c r="AA40" s="66"/>
      <c r="AB40" s="476">
        <f>IF(Y40=0,0,Z40/Y40)</f>
        <v>0</v>
      </c>
      <c r="AD40" s="780"/>
      <c r="AE40" s="106"/>
      <c r="AF40" s="3265"/>
      <c r="AG40" s="199"/>
      <c r="AI40" s="723"/>
    </row>
    <row r="41" spans="1:35" x14ac:dyDescent="0.35">
      <c r="A41" s="9153"/>
      <c r="B41" s="873"/>
      <c r="C41" s="874" t="s">
        <v>5650</v>
      </c>
      <c r="F41" s="788"/>
      <c r="H41" s="785"/>
      <c r="I41" s="786"/>
      <c r="J41" s="782">
        <f>IF(H41=0,0,I41/H41)</f>
        <v>0</v>
      </c>
      <c r="L41" s="785"/>
      <c r="M41" s="881">
        <f>L41*J41</f>
        <v>0</v>
      </c>
      <c r="O41" s="785"/>
      <c r="P41" s="7157">
        <v>0</v>
      </c>
      <c r="Q41" s="723"/>
      <c r="R41" s="476">
        <f>IF(O41=0,0,P41/O41)</f>
        <v>0</v>
      </c>
      <c r="T41" s="785"/>
      <c r="U41" s="106"/>
      <c r="V41" s="7159">
        <f>T41*R41</f>
        <v>0</v>
      </c>
      <c r="W41" s="7694"/>
      <c r="Y41" s="785"/>
      <c r="Z41" s="647"/>
      <c r="AA41" s="66"/>
      <c r="AB41" s="476">
        <f>IF(Y41=0,0,Z41/Y41)</f>
        <v>0</v>
      </c>
      <c r="AD41" s="785"/>
      <c r="AE41" s="106"/>
      <c r="AF41" s="3265"/>
      <c r="AG41" s="199"/>
      <c r="AI41" s="723"/>
    </row>
    <row r="42" spans="1:35" x14ac:dyDescent="0.35">
      <c r="A42" s="9153"/>
      <c r="B42" s="895"/>
      <c r="C42" s="896" t="s">
        <v>5651</v>
      </c>
      <c r="F42" s="795"/>
      <c r="H42" s="791"/>
      <c r="I42" s="792"/>
      <c r="J42" s="782">
        <f>IF(H42=0,0,I42/H42)</f>
        <v>0</v>
      </c>
      <c r="L42" s="796"/>
      <c r="M42" s="897">
        <f>L42*J42</f>
        <v>0</v>
      </c>
      <c r="O42" s="796"/>
      <c r="P42" s="7160">
        <v>0</v>
      </c>
      <c r="Q42" s="722"/>
      <c r="R42" s="484">
        <f>IF(O42=0,0,P42/O42)</f>
        <v>0</v>
      </c>
      <c r="T42" s="796"/>
      <c r="U42" s="216"/>
      <c r="V42" s="7161">
        <f>T42*R42</f>
        <v>0</v>
      </c>
      <c r="W42" s="7694"/>
      <c r="Y42" s="796"/>
      <c r="Z42" s="7162"/>
      <c r="AA42" s="92"/>
      <c r="AB42" s="484">
        <f>IF(Y42=0,0,Z42/Y42)</f>
        <v>0</v>
      </c>
      <c r="AD42" s="796"/>
      <c r="AE42" s="216"/>
      <c r="AF42" s="3234"/>
      <c r="AG42" s="7708"/>
      <c r="AI42" s="722"/>
    </row>
    <row r="43" spans="1:35" x14ac:dyDescent="0.35">
      <c r="A43" s="9153"/>
      <c r="B43" s="141" t="s">
        <v>535</v>
      </c>
      <c r="C43" s="899"/>
      <c r="E43" s="457"/>
      <c r="F43" s="870"/>
      <c r="G43" s="457"/>
      <c r="H43" s="773"/>
      <c r="I43" s="774"/>
      <c r="J43" s="900"/>
      <c r="K43" s="457"/>
      <c r="L43" s="866"/>
      <c r="M43" s="891"/>
      <c r="N43" s="143"/>
      <c r="O43" s="866"/>
      <c r="P43" s="7153"/>
      <c r="Q43" s="718"/>
      <c r="R43" s="877"/>
      <c r="S43" s="143"/>
      <c r="T43" s="866"/>
      <c r="U43" s="106"/>
      <c r="V43" s="7163"/>
      <c r="W43" s="6480"/>
      <c r="X43" s="143"/>
      <c r="Y43" s="866"/>
      <c r="Z43" s="892"/>
      <c r="AA43" s="66"/>
      <c r="AB43" s="877"/>
      <c r="AC43" s="143"/>
      <c r="AD43" s="866"/>
      <c r="AE43" s="106"/>
      <c r="AF43" s="901"/>
      <c r="AG43" s="7693"/>
      <c r="AH43" s="143"/>
      <c r="AI43" s="718"/>
    </row>
    <row r="44" spans="1:35" x14ac:dyDescent="0.35">
      <c r="A44" s="9153"/>
      <c r="B44" s="240"/>
      <c r="C44" s="874" t="s">
        <v>5653</v>
      </c>
      <c r="F44" s="779"/>
      <c r="H44" s="780"/>
      <c r="I44" s="781">
        <v>57.5</v>
      </c>
      <c r="J44" s="782">
        <f t="shared" ref="J44:J50" si="2">IF(H44=0,0,I44/H44)</f>
        <v>0</v>
      </c>
      <c r="L44" s="780"/>
      <c r="M44" s="902">
        <v>58.6</v>
      </c>
      <c r="O44" s="780"/>
      <c r="P44" s="7164">
        <v>58.6</v>
      </c>
      <c r="Q44" s="903" t="s">
        <v>5654</v>
      </c>
      <c r="R44" s="476">
        <f t="shared" ref="R44:R50" si="3">IF(O44=0,0,P44/O44)</f>
        <v>0</v>
      </c>
      <c r="T44" s="780"/>
      <c r="U44" s="106"/>
      <c r="V44" s="7165">
        <f>36.9*4/3</f>
        <v>49.199999999999996</v>
      </c>
      <c r="W44" s="7695"/>
      <c r="Y44" s="780"/>
      <c r="Z44" s="647"/>
      <c r="AA44" s="66"/>
      <c r="AB44" s="476">
        <f t="shared" ref="AB44:AB50" si="4">IF(Y44=0,0,Z44/Y44)</f>
        <v>0</v>
      </c>
      <c r="AD44" s="785"/>
      <c r="AE44" s="106"/>
      <c r="AF44" s="3265"/>
      <c r="AG44" s="199"/>
      <c r="AI44" s="903"/>
    </row>
    <row r="45" spans="1:35" x14ac:dyDescent="0.35">
      <c r="A45" s="9153"/>
      <c r="B45" s="240"/>
      <c r="C45" s="874" t="s">
        <v>5655</v>
      </c>
      <c r="F45" s="788"/>
      <c r="H45" s="785"/>
      <c r="I45" s="786">
        <v>8.6</v>
      </c>
      <c r="J45" s="782">
        <f t="shared" si="2"/>
        <v>0</v>
      </c>
      <c r="L45" s="785"/>
      <c r="M45" s="905">
        <v>12</v>
      </c>
      <c r="O45" s="785"/>
      <c r="P45" s="7166">
        <v>12</v>
      </c>
      <c r="Q45" s="723" t="s">
        <v>5656</v>
      </c>
      <c r="R45" s="476">
        <f t="shared" si="3"/>
        <v>0</v>
      </c>
      <c r="T45" s="785"/>
      <c r="U45" s="106"/>
      <c r="V45" s="7165">
        <f>7.1 *4/3</f>
        <v>9.4666666666666668</v>
      </c>
      <c r="W45" s="7695"/>
      <c r="Y45" s="785"/>
      <c r="Z45" s="647"/>
      <c r="AA45" s="66"/>
      <c r="AB45" s="476">
        <f t="shared" si="4"/>
        <v>0</v>
      </c>
      <c r="AD45" s="785"/>
      <c r="AE45" s="106"/>
      <c r="AF45" s="3265"/>
      <c r="AG45" s="199"/>
      <c r="AI45" s="723"/>
    </row>
    <row r="46" spans="1:35" x14ac:dyDescent="0.35">
      <c r="A46" s="9153"/>
      <c r="B46" s="240"/>
      <c r="C46" s="874" t="s">
        <v>5651</v>
      </c>
      <c r="F46" s="788"/>
      <c r="H46" s="785"/>
      <c r="I46" s="786"/>
      <c r="J46" s="782">
        <f t="shared" si="2"/>
        <v>0</v>
      </c>
      <c r="L46" s="785"/>
      <c r="M46" s="905">
        <f>L46*J46</f>
        <v>0</v>
      </c>
      <c r="O46" s="785"/>
      <c r="P46" s="7166">
        <v>0</v>
      </c>
      <c r="Q46" s="723"/>
      <c r="R46" s="476">
        <f t="shared" si="3"/>
        <v>0</v>
      </c>
      <c r="T46" s="785"/>
      <c r="U46" s="106"/>
      <c r="V46" s="7159">
        <f>T46*R46</f>
        <v>0</v>
      </c>
      <c r="W46" s="7694"/>
      <c r="Y46" s="785"/>
      <c r="Z46" s="647"/>
      <c r="AA46" s="66"/>
      <c r="AB46" s="476">
        <f t="shared" si="4"/>
        <v>0</v>
      </c>
      <c r="AD46" s="785"/>
      <c r="AE46" s="106"/>
      <c r="AF46" s="3265"/>
      <c r="AG46" s="199"/>
      <c r="AI46" s="723"/>
    </row>
    <row r="47" spans="1:35" x14ac:dyDescent="0.35">
      <c r="A47" s="9153"/>
      <c r="B47" s="240"/>
      <c r="C47" s="874" t="s">
        <v>5657</v>
      </c>
      <c r="E47" s="457"/>
      <c r="F47" s="788"/>
      <c r="H47" s="785"/>
      <c r="I47" s="786"/>
      <c r="J47" s="782">
        <f t="shared" si="2"/>
        <v>0</v>
      </c>
      <c r="L47" s="785"/>
      <c r="M47" s="905">
        <f>L47*J47</f>
        <v>0</v>
      </c>
      <c r="N47" s="143"/>
      <c r="O47" s="785"/>
      <c r="P47" s="7166">
        <v>0</v>
      </c>
      <c r="Q47" s="893"/>
      <c r="R47" s="476">
        <f t="shared" si="3"/>
        <v>0</v>
      </c>
      <c r="S47" s="143"/>
      <c r="T47" s="785"/>
      <c r="U47" s="106"/>
      <c r="V47" s="7159">
        <f>T47*R47</f>
        <v>0</v>
      </c>
      <c r="W47" s="7694"/>
      <c r="X47" s="143"/>
      <c r="Y47" s="785"/>
      <c r="Z47" s="647"/>
      <c r="AA47" s="66"/>
      <c r="AB47" s="3382">
        <f t="shared" si="4"/>
        <v>0</v>
      </c>
      <c r="AC47" s="143"/>
      <c r="AD47" s="785"/>
      <c r="AE47" s="106"/>
      <c r="AF47" s="3265"/>
      <c r="AG47" s="199"/>
      <c r="AH47" s="143"/>
      <c r="AI47" s="893"/>
    </row>
    <row r="48" spans="1:35" x14ac:dyDescent="0.35">
      <c r="A48" s="9153"/>
      <c r="B48" s="240"/>
      <c r="C48" s="874" t="s">
        <v>5658</v>
      </c>
      <c r="F48" s="788"/>
      <c r="H48" s="785"/>
      <c r="I48" s="786"/>
      <c r="J48" s="782">
        <f t="shared" si="2"/>
        <v>0</v>
      </c>
      <c r="L48" s="785"/>
      <c r="M48" s="905">
        <f>L48*J48</f>
        <v>0</v>
      </c>
      <c r="O48" s="785"/>
      <c r="P48" s="905">
        <v>0</v>
      </c>
      <c r="Q48" s="723"/>
      <c r="R48" s="476">
        <f t="shared" si="3"/>
        <v>0</v>
      </c>
      <c r="T48" s="785"/>
      <c r="U48" s="106"/>
      <c r="V48" s="7159">
        <f>T48*R48</f>
        <v>0</v>
      </c>
      <c r="W48" s="7694"/>
      <c r="Y48" s="785"/>
      <c r="Z48" s="647"/>
      <c r="AA48" s="66"/>
      <c r="AB48" s="476">
        <f t="shared" si="4"/>
        <v>0</v>
      </c>
      <c r="AD48" s="785"/>
      <c r="AE48" s="106"/>
      <c r="AF48" s="3265"/>
      <c r="AG48" s="199"/>
      <c r="AI48" s="723"/>
    </row>
    <row r="49" spans="1:35" x14ac:dyDescent="0.35">
      <c r="A49" s="9153"/>
      <c r="B49" s="240"/>
      <c r="C49" s="874" t="s">
        <v>5659</v>
      </c>
      <c r="F49" s="788"/>
      <c r="H49" s="785"/>
      <c r="I49" s="786"/>
      <c r="J49" s="782">
        <f t="shared" si="2"/>
        <v>0</v>
      </c>
      <c r="L49" s="785"/>
      <c r="M49" s="905">
        <f>L49*J49</f>
        <v>0</v>
      </c>
      <c r="O49" s="785"/>
      <c r="P49" s="905">
        <v>0</v>
      </c>
      <c r="Q49" s="723"/>
      <c r="R49" s="476">
        <f t="shared" si="3"/>
        <v>0</v>
      </c>
      <c r="T49" s="785"/>
      <c r="U49" s="106"/>
      <c r="V49" s="7159">
        <f>T49*R49</f>
        <v>0</v>
      </c>
      <c r="W49" s="7694"/>
      <c r="Y49" s="785"/>
      <c r="Z49" s="647"/>
      <c r="AA49" s="66"/>
      <c r="AB49" s="476">
        <f t="shared" si="4"/>
        <v>0</v>
      </c>
      <c r="AD49" s="785"/>
      <c r="AE49" s="106"/>
      <c r="AF49" s="3265"/>
      <c r="AG49" s="199"/>
      <c r="AI49" s="723"/>
    </row>
    <row r="50" spans="1:35" x14ac:dyDescent="0.35">
      <c r="A50" s="9153"/>
      <c r="B50" s="241"/>
      <c r="C50" s="874" t="s">
        <v>5660</v>
      </c>
      <c r="F50" s="795"/>
      <c r="H50" s="796"/>
      <c r="I50" s="797"/>
      <c r="J50" s="798">
        <f t="shared" si="2"/>
        <v>0</v>
      </c>
      <c r="L50" s="791"/>
      <c r="M50" s="906">
        <f>L50*J50</f>
        <v>0</v>
      </c>
      <c r="O50" s="791"/>
      <c r="P50" s="906">
        <v>0</v>
      </c>
      <c r="Q50" s="722"/>
      <c r="R50" s="484">
        <f t="shared" si="3"/>
        <v>0</v>
      </c>
      <c r="T50" s="791"/>
      <c r="U50" s="216"/>
      <c r="V50" s="7161">
        <f>T50*R50</f>
        <v>0</v>
      </c>
      <c r="W50" s="7694"/>
      <c r="Y50" s="791"/>
      <c r="Z50" s="3232"/>
      <c r="AA50" s="92"/>
      <c r="AB50" s="484">
        <f t="shared" si="4"/>
        <v>0</v>
      </c>
      <c r="AD50" s="791"/>
      <c r="AE50" s="216"/>
      <c r="AF50" s="7167"/>
      <c r="AG50" s="199"/>
      <c r="AI50" s="722"/>
    </row>
    <row r="51" spans="1:35" x14ac:dyDescent="0.35">
      <c r="A51" s="9153"/>
      <c r="B51" s="139" t="s">
        <v>540</v>
      </c>
      <c r="C51" s="908"/>
      <c r="F51" s="870"/>
      <c r="G51" s="801"/>
      <c r="H51" s="866"/>
      <c r="I51" s="847"/>
      <c r="J51" s="909"/>
      <c r="K51" s="801"/>
      <c r="L51" s="773"/>
      <c r="M51" s="910"/>
      <c r="O51" s="773"/>
      <c r="P51" s="910"/>
      <c r="Q51" s="718"/>
      <c r="R51" s="476"/>
      <c r="T51" s="773"/>
      <c r="U51" s="106"/>
      <c r="V51" s="7159"/>
      <c r="W51" s="7694"/>
      <c r="Y51" s="773"/>
      <c r="Z51" s="912"/>
      <c r="AA51" s="66"/>
      <c r="AB51" s="476"/>
      <c r="AD51" s="773"/>
      <c r="AE51" s="106"/>
      <c r="AF51" s="543"/>
      <c r="AG51" s="7689"/>
      <c r="AI51" s="718"/>
    </row>
    <row r="52" spans="1:35" x14ac:dyDescent="0.35">
      <c r="A52" s="9153"/>
      <c r="B52" s="873"/>
      <c r="C52" s="914" t="s">
        <v>5652</v>
      </c>
      <c r="F52" s="779"/>
      <c r="H52" s="780"/>
      <c r="I52" s="781"/>
      <c r="J52" s="782">
        <f>IF(H52=0,0,I52/H52)</f>
        <v>0</v>
      </c>
      <c r="L52" s="780"/>
      <c r="M52" s="902">
        <f>L52*J52</f>
        <v>0</v>
      </c>
      <c r="O52" s="780"/>
      <c r="P52" s="902">
        <v>0</v>
      </c>
      <c r="Q52" s="723"/>
      <c r="R52" s="476">
        <f t="shared" ref="R52:R59" si="5">IF(O52=0,0,P52/O52)</f>
        <v>0</v>
      </c>
      <c r="T52" s="780"/>
      <c r="U52" s="106"/>
      <c r="V52" s="7159">
        <f t="shared" ref="V52:V59" si="6">T52*R52</f>
        <v>0</v>
      </c>
      <c r="W52" s="7694"/>
      <c r="Y52" s="780"/>
      <c r="Z52" s="647"/>
      <c r="AA52" s="66"/>
      <c r="AB52" s="476">
        <f t="shared" ref="AB52:AB59" si="7">IF(Y52=0,0,Z52/Y52)</f>
        <v>0</v>
      </c>
      <c r="AD52" s="785"/>
      <c r="AF52" s="3265"/>
      <c r="AG52" s="199"/>
      <c r="AI52" s="723"/>
    </row>
    <row r="53" spans="1:35" x14ac:dyDescent="0.35">
      <c r="A53" s="9153"/>
      <c r="B53" s="873"/>
      <c r="C53" s="914" t="s">
        <v>5650</v>
      </c>
      <c r="F53" s="788"/>
      <c r="H53" s="785"/>
      <c r="I53" s="786"/>
      <c r="J53" s="782">
        <f>IF(H53=0,0,I53/H53)</f>
        <v>0</v>
      </c>
      <c r="L53" s="785"/>
      <c r="M53" s="905">
        <f>L53*J53</f>
        <v>0</v>
      </c>
      <c r="O53" s="785"/>
      <c r="P53" s="905">
        <v>0</v>
      </c>
      <c r="Q53" s="723"/>
      <c r="R53" s="476">
        <f t="shared" si="5"/>
        <v>0</v>
      </c>
      <c r="T53" s="785"/>
      <c r="U53" s="106"/>
      <c r="V53" s="7159">
        <f t="shared" si="6"/>
        <v>0</v>
      </c>
      <c r="W53" s="7694"/>
      <c r="Y53" s="785"/>
      <c r="Z53" s="647"/>
      <c r="AA53" s="66"/>
      <c r="AB53" s="476">
        <f t="shared" si="7"/>
        <v>0</v>
      </c>
      <c r="AD53" s="785"/>
      <c r="AE53" s="106"/>
      <c r="AF53" s="3265"/>
      <c r="AG53" s="199"/>
      <c r="AI53" s="723"/>
    </row>
    <row r="54" spans="1:35" x14ac:dyDescent="0.35">
      <c r="A54" s="9153"/>
      <c r="B54" s="873"/>
      <c r="C54" s="914" t="s">
        <v>5651</v>
      </c>
      <c r="F54" s="790"/>
      <c r="H54" s="791"/>
      <c r="I54" s="792"/>
      <c r="J54" s="782">
        <f>IF(H54=0,0,I54/H54)</f>
        <v>0</v>
      </c>
      <c r="L54" s="791"/>
      <c r="M54" s="905">
        <f>L54*J54</f>
        <v>0</v>
      </c>
      <c r="O54" s="791"/>
      <c r="P54" s="905">
        <v>0</v>
      </c>
      <c r="Q54" s="723"/>
      <c r="R54" s="476">
        <f t="shared" si="5"/>
        <v>0</v>
      </c>
      <c r="T54" s="791"/>
      <c r="U54" s="106"/>
      <c r="V54" s="7159">
        <f t="shared" si="6"/>
        <v>0</v>
      </c>
      <c r="W54" s="7694"/>
      <c r="Y54" s="791"/>
      <c r="Z54" s="647"/>
      <c r="AA54" s="66"/>
      <c r="AB54" s="476">
        <f t="shared" si="7"/>
        <v>0</v>
      </c>
      <c r="AD54" s="791"/>
      <c r="AE54" s="106"/>
      <c r="AF54" s="3265"/>
      <c r="AG54" s="199"/>
      <c r="AI54" s="723"/>
    </row>
    <row r="55" spans="1:35" x14ac:dyDescent="0.35">
      <c r="A55" s="9153"/>
      <c r="B55" s="873"/>
      <c r="C55" s="914" t="s">
        <v>5657</v>
      </c>
      <c r="E55" s="801"/>
      <c r="F55" s="790"/>
      <c r="H55" s="791"/>
      <c r="I55" s="792"/>
      <c r="J55" s="782">
        <f>IF(H55=0,0,I55/H55)</f>
        <v>0</v>
      </c>
      <c r="L55" s="791"/>
      <c r="M55" s="905">
        <f>L55*J55</f>
        <v>0</v>
      </c>
      <c r="N55" s="141"/>
      <c r="O55" s="791"/>
      <c r="P55" s="905">
        <v>0</v>
      </c>
      <c r="Q55" s="893"/>
      <c r="R55" s="476">
        <f t="shared" si="5"/>
        <v>0</v>
      </c>
      <c r="S55" s="141"/>
      <c r="T55" s="791"/>
      <c r="U55" s="106"/>
      <c r="V55" s="7159">
        <f t="shared" si="6"/>
        <v>0</v>
      </c>
      <c r="W55" s="7694"/>
      <c r="X55" s="141"/>
      <c r="Y55" s="791"/>
      <c r="Z55" s="647"/>
      <c r="AA55" s="66"/>
      <c r="AB55" s="3382">
        <f t="shared" si="7"/>
        <v>0</v>
      </c>
      <c r="AC55" s="141"/>
      <c r="AD55" s="791"/>
      <c r="AE55" s="106"/>
      <c r="AF55" s="3265"/>
      <c r="AG55" s="199"/>
      <c r="AH55" s="141"/>
      <c r="AI55" s="893"/>
    </row>
    <row r="56" spans="1:35" x14ac:dyDescent="0.35">
      <c r="A56" s="9153"/>
      <c r="B56" s="873"/>
      <c r="C56" s="914" t="s">
        <v>5658</v>
      </c>
      <c r="F56" s="790"/>
      <c r="H56" s="791"/>
      <c r="I56" s="792"/>
      <c r="J56" s="782">
        <f>IF(H56=0,0,I56/H56)</f>
        <v>0</v>
      </c>
      <c r="L56" s="791"/>
      <c r="M56" s="905">
        <f>L56*J56</f>
        <v>0</v>
      </c>
      <c r="O56" s="791"/>
      <c r="P56" s="905">
        <v>0</v>
      </c>
      <c r="Q56" s="723"/>
      <c r="R56" s="476">
        <f t="shared" si="5"/>
        <v>0</v>
      </c>
      <c r="T56" s="791"/>
      <c r="U56" s="106"/>
      <c r="V56" s="7159">
        <f t="shared" si="6"/>
        <v>0</v>
      </c>
      <c r="W56" s="7694"/>
      <c r="Y56" s="791"/>
      <c r="Z56" s="647"/>
      <c r="AA56" s="66"/>
      <c r="AB56" s="476">
        <f t="shared" si="7"/>
        <v>0</v>
      </c>
      <c r="AD56" s="791"/>
      <c r="AE56" s="106"/>
      <c r="AF56" s="3265"/>
      <c r="AG56" s="199"/>
      <c r="AI56" s="723"/>
    </row>
    <row r="57" spans="1:35" x14ac:dyDescent="0.35">
      <c r="A57" s="9153"/>
      <c r="B57" s="873"/>
      <c r="C57" s="914" t="s">
        <v>5659</v>
      </c>
      <c r="F57" s="790"/>
      <c r="H57" s="791"/>
      <c r="I57" s="792"/>
      <c r="J57" s="782"/>
      <c r="L57" s="791"/>
      <c r="M57" s="905"/>
      <c r="O57" s="791"/>
      <c r="P57" s="905"/>
      <c r="Q57" s="723"/>
      <c r="R57" s="476">
        <f t="shared" si="5"/>
        <v>0</v>
      </c>
      <c r="T57" s="791"/>
      <c r="U57" s="106"/>
      <c r="V57" s="7159">
        <f t="shared" si="6"/>
        <v>0</v>
      </c>
      <c r="W57" s="7694"/>
      <c r="Y57" s="791"/>
      <c r="Z57" s="647"/>
      <c r="AA57" s="66"/>
      <c r="AB57" s="476">
        <f t="shared" si="7"/>
        <v>0</v>
      </c>
      <c r="AD57" s="791"/>
      <c r="AE57" s="106"/>
      <c r="AF57" s="3265"/>
      <c r="AG57" s="199"/>
      <c r="AI57" s="723"/>
    </row>
    <row r="58" spans="1:35" x14ac:dyDescent="0.35">
      <c r="A58" s="9153"/>
      <c r="B58" s="873"/>
      <c r="C58" s="914" t="s">
        <v>5660</v>
      </c>
      <c r="F58" s="790"/>
      <c r="H58" s="791"/>
      <c r="I58" s="792"/>
      <c r="J58" s="782">
        <f>IF(H58=0,0,I58/H58)</f>
        <v>0</v>
      </c>
      <c r="L58" s="791"/>
      <c r="M58" s="905">
        <f>L58*J58</f>
        <v>0</v>
      </c>
      <c r="O58" s="791"/>
      <c r="P58" s="905">
        <v>0</v>
      </c>
      <c r="Q58" s="723"/>
      <c r="R58" s="476">
        <f t="shared" si="5"/>
        <v>0</v>
      </c>
      <c r="T58" s="791"/>
      <c r="U58" s="106"/>
      <c r="V58" s="7159">
        <f t="shared" si="6"/>
        <v>0</v>
      </c>
      <c r="W58" s="7694"/>
      <c r="Y58" s="791"/>
      <c r="Z58" s="647"/>
      <c r="AA58" s="66"/>
      <c r="AB58" s="476">
        <f t="shared" si="7"/>
        <v>0</v>
      </c>
      <c r="AD58" s="791"/>
      <c r="AE58" s="106"/>
      <c r="AF58" s="3265"/>
      <c r="AG58" s="199"/>
      <c r="AI58" s="723"/>
    </row>
    <row r="59" spans="1:35" x14ac:dyDescent="0.35">
      <c r="A59" s="9153"/>
      <c r="B59" s="895"/>
      <c r="C59" s="917" t="s">
        <v>5661</v>
      </c>
      <c r="F59" s="795"/>
      <c r="H59" s="791"/>
      <c r="I59" s="792"/>
      <c r="J59" s="782">
        <f>IF(H59=0,0,I59/H59)</f>
        <v>0</v>
      </c>
      <c r="L59" s="791"/>
      <c r="M59" s="906">
        <f>L59*J59</f>
        <v>0</v>
      </c>
      <c r="O59" s="796"/>
      <c r="P59" s="906">
        <v>0</v>
      </c>
      <c r="Q59" s="722"/>
      <c r="R59" s="484">
        <f t="shared" si="5"/>
        <v>0</v>
      </c>
      <c r="T59" s="796"/>
      <c r="U59" s="216"/>
      <c r="V59" s="7161">
        <f t="shared" si="6"/>
        <v>0</v>
      </c>
      <c r="W59" s="7694"/>
      <c r="Y59" s="796"/>
      <c r="Z59" s="7162">
        <v>0</v>
      </c>
      <c r="AA59" s="92"/>
      <c r="AB59" s="484">
        <f t="shared" si="7"/>
        <v>0</v>
      </c>
      <c r="AD59" s="796"/>
      <c r="AE59" s="216"/>
      <c r="AF59" s="7167"/>
      <c r="AG59" s="199"/>
      <c r="AI59" s="722"/>
    </row>
    <row r="60" spans="1:35" x14ac:dyDescent="0.35">
      <c r="A60" s="9153"/>
      <c r="B60" s="139" t="s">
        <v>552</v>
      </c>
      <c r="C60" s="908"/>
      <c r="F60" s="870"/>
      <c r="G60" s="457"/>
      <c r="H60" s="773"/>
      <c r="I60" s="774"/>
      <c r="J60" s="776"/>
      <c r="K60" s="457"/>
      <c r="L60" s="773"/>
      <c r="M60" s="910"/>
      <c r="O60" s="919"/>
      <c r="P60" s="910"/>
      <c r="Q60" s="723"/>
      <c r="R60" s="476"/>
      <c r="T60" s="919"/>
      <c r="U60" s="106"/>
      <c r="V60" s="7168"/>
      <c r="W60" s="7696"/>
      <c r="Y60" s="919"/>
      <c r="Z60" s="920"/>
      <c r="AA60" s="66"/>
      <c r="AB60" s="476"/>
      <c r="AD60" s="919"/>
      <c r="AE60" s="106"/>
      <c r="AF60" s="476"/>
      <c r="AG60" s="7709"/>
      <c r="AI60" s="723"/>
    </row>
    <row r="61" spans="1:35" x14ac:dyDescent="0.35">
      <c r="A61" s="9153"/>
      <c r="B61" s="65"/>
      <c r="C61" s="921" t="s">
        <v>553</v>
      </c>
      <c r="F61" s="779"/>
      <c r="H61" s="780"/>
      <c r="I61" s="781"/>
      <c r="J61" s="782">
        <f>IF(H61=0,0,I61/H61)</f>
        <v>0</v>
      </c>
      <c r="L61" s="780"/>
      <c r="M61" s="902">
        <f>L61*J61</f>
        <v>0</v>
      </c>
      <c r="O61" s="242"/>
      <c r="P61" s="902">
        <v>0</v>
      </c>
      <c r="Q61" s="723"/>
      <c r="R61" s="476">
        <f>IF(O61=0,0,P61/O61)</f>
        <v>0</v>
      </c>
      <c r="T61" s="242"/>
      <c r="U61" s="106"/>
      <c r="V61" s="7168">
        <f>T61*R61</f>
        <v>0</v>
      </c>
      <c r="W61" s="7696"/>
      <c r="Y61" s="242"/>
      <c r="Z61" s="201"/>
      <c r="AA61" s="66"/>
      <c r="AB61" s="476">
        <f>IF(Y61=0,0,Z61/Y61)</f>
        <v>0</v>
      </c>
      <c r="AD61" s="242"/>
      <c r="AE61" s="106"/>
      <c r="AF61" s="3265"/>
      <c r="AG61" s="199"/>
      <c r="AI61" s="723"/>
    </row>
    <row r="62" spans="1:35" x14ac:dyDescent="0.35">
      <c r="A62" s="9153"/>
      <c r="B62" s="80"/>
      <c r="C62" s="921" t="s">
        <v>554</v>
      </c>
      <c r="F62" s="788"/>
      <c r="H62" s="785"/>
      <c r="I62" s="786"/>
      <c r="J62" s="782">
        <f>IF(H62=0,0,I62/H62)</f>
        <v>0</v>
      </c>
      <c r="L62" s="785"/>
      <c r="M62" s="905">
        <f>M61*M63</f>
        <v>0</v>
      </c>
      <c r="O62" s="242"/>
      <c r="P62" s="905">
        <v>0</v>
      </c>
      <c r="Q62" s="723"/>
      <c r="R62" s="476">
        <f>IF(O62=0,0,P62/O62)</f>
        <v>0</v>
      </c>
      <c r="T62" s="242"/>
      <c r="U62" s="106"/>
      <c r="V62" s="7168">
        <f>T62*R62</f>
        <v>0</v>
      </c>
      <c r="W62" s="7696"/>
      <c r="Y62" s="242"/>
      <c r="Z62" s="201"/>
      <c r="AA62" s="66"/>
      <c r="AB62" s="476">
        <f>IF(Y62=0,0,Z62/Y62)</f>
        <v>0</v>
      </c>
      <c r="AD62" s="242"/>
      <c r="AE62" s="106"/>
      <c r="AF62" s="3265"/>
      <c r="AG62" s="199"/>
      <c r="AI62" s="723"/>
    </row>
    <row r="63" spans="1:35" x14ac:dyDescent="0.35">
      <c r="A63" s="9153"/>
      <c r="B63" s="922"/>
      <c r="C63" s="923" t="s">
        <v>555</v>
      </c>
      <c r="F63" s="924"/>
      <c r="H63" s="925"/>
      <c r="I63" s="926"/>
      <c r="J63" s="798">
        <f>IF(H63=0,0,I63/H63)</f>
        <v>0</v>
      </c>
      <c r="L63" s="925"/>
      <c r="M63" s="927">
        <f>L63</f>
        <v>0</v>
      </c>
      <c r="O63" s="242"/>
      <c r="P63" s="927">
        <f>O63</f>
        <v>0</v>
      </c>
      <c r="Q63" s="722"/>
      <c r="R63" s="476">
        <f>IF(O63=0,0,P63/O63)</f>
        <v>0</v>
      </c>
      <c r="T63" s="242"/>
      <c r="U63" s="216"/>
      <c r="V63" s="7168">
        <f>T63*R63</f>
        <v>0</v>
      </c>
      <c r="W63" s="7696"/>
      <c r="Y63" s="4661"/>
      <c r="Z63" s="1128"/>
      <c r="AA63" s="92"/>
      <c r="AB63" s="476">
        <f>IF(Y63=0,0,Z63/Y63)</f>
        <v>0</v>
      </c>
      <c r="AD63" s="4661"/>
      <c r="AE63" s="216"/>
      <c r="AF63" s="7169"/>
      <c r="AG63" s="106"/>
      <c r="AI63" s="722"/>
    </row>
    <row r="64" spans="1:35" x14ac:dyDescent="0.35">
      <c r="A64" s="9153"/>
      <c r="B64" s="287" t="s">
        <v>556</v>
      </c>
      <c r="C64" s="288"/>
      <c r="E64" s="457"/>
      <c r="F64" s="289"/>
      <c r="H64" s="928"/>
      <c r="I64" s="929"/>
      <c r="J64" s="930"/>
      <c r="L64" s="928"/>
      <c r="M64" s="931"/>
      <c r="N64" s="143"/>
      <c r="O64" s="928"/>
      <c r="P64" s="931"/>
      <c r="Q64" s="718"/>
      <c r="R64" s="293"/>
      <c r="T64" s="291"/>
      <c r="U64" s="106"/>
      <c r="V64" s="268"/>
      <c r="W64" s="254"/>
      <c r="Y64" s="1388"/>
      <c r="Z64" s="520"/>
      <c r="AA64" s="66"/>
      <c r="AB64" s="293"/>
      <c r="AD64" s="1388"/>
      <c r="AE64" s="106"/>
      <c r="AF64" s="268"/>
      <c r="AG64" s="254"/>
      <c r="AI64" s="718"/>
    </row>
    <row r="65" spans="1:35" x14ac:dyDescent="0.35">
      <c r="A65" s="9153"/>
      <c r="B65" s="302"/>
      <c r="C65" s="59" t="s">
        <v>5652</v>
      </c>
      <c r="F65" s="521"/>
      <c r="G65" s="457"/>
      <c r="H65" s="304"/>
      <c r="I65" s="932"/>
      <c r="J65" s="890">
        <f>IF(H65=0,0,I65/H65)</f>
        <v>0</v>
      </c>
      <c r="K65" s="457"/>
      <c r="L65" s="304"/>
      <c r="M65" s="933">
        <f>L65*J65</f>
        <v>0</v>
      </c>
      <c r="O65" s="304"/>
      <c r="P65" s="933">
        <f>O65*M65</f>
        <v>0</v>
      </c>
      <c r="Q65" s="723"/>
      <c r="R65" s="523">
        <f>IF(O65=0,0,P65/O65)</f>
        <v>0</v>
      </c>
      <c r="T65" s="304"/>
      <c r="U65" s="332"/>
      <c r="V65" s="157">
        <f>T65*R65</f>
        <v>0</v>
      </c>
      <c r="W65" s="312"/>
      <c r="Y65" s="304"/>
      <c r="Z65" s="932"/>
      <c r="AA65" s="1801"/>
      <c r="AB65" s="523">
        <f>IF(Y65=0,0,Z65/Y65)</f>
        <v>0</v>
      </c>
      <c r="AD65" s="304"/>
      <c r="AE65" s="332"/>
      <c r="AF65" s="7170"/>
      <c r="AG65" s="7710"/>
      <c r="AI65" s="723"/>
    </row>
    <row r="66" spans="1:35" x14ac:dyDescent="0.35">
      <c r="A66" s="9153"/>
      <c r="B66" s="302"/>
      <c r="C66" s="59" t="s">
        <v>5650</v>
      </c>
      <c r="F66" s="61"/>
      <c r="H66" s="62"/>
      <c r="I66" s="72"/>
      <c r="J66" s="782">
        <f>IF(H66=0,0,I66/H66)</f>
        <v>0</v>
      </c>
      <c r="L66" s="62"/>
      <c r="M66" s="934">
        <f>L66*J66</f>
        <v>0</v>
      </c>
      <c r="O66" s="62"/>
      <c r="P66" s="934">
        <f>O66*M66</f>
        <v>0</v>
      </c>
      <c r="Q66" s="723"/>
      <c r="R66" s="523">
        <f>IF(O66=0,0,P66/O66)</f>
        <v>0</v>
      </c>
      <c r="T66" s="62"/>
      <c r="U66" s="106"/>
      <c r="V66" s="157">
        <f>T66*R66</f>
        <v>0</v>
      </c>
      <c r="W66" s="312"/>
      <c r="Y66" s="62"/>
      <c r="Z66" s="72"/>
      <c r="AA66" s="66"/>
      <c r="AB66" s="523">
        <f>IF(Y66=0,0,Z66/Y66)</f>
        <v>0</v>
      </c>
      <c r="AD66" s="62"/>
      <c r="AE66" s="106"/>
      <c r="AF66" s="7171"/>
      <c r="AG66" s="7710"/>
      <c r="AI66" s="723"/>
    </row>
    <row r="67" spans="1:35" x14ac:dyDescent="0.35">
      <c r="A67" s="9153"/>
      <c r="B67" s="305"/>
      <c r="C67" s="59" t="s">
        <v>5651</v>
      </c>
      <c r="F67" s="61"/>
      <c r="H67" s="62"/>
      <c r="I67" s="72"/>
      <c r="J67" s="782">
        <f>IF(H67=0,0,I67/H67)</f>
        <v>0</v>
      </c>
      <c r="L67" s="62"/>
      <c r="M67" s="934">
        <f>L67*J67</f>
        <v>0</v>
      </c>
      <c r="O67" s="62"/>
      <c r="P67" s="934">
        <f>O67*M67</f>
        <v>0</v>
      </c>
      <c r="Q67" s="723"/>
      <c r="R67" s="523">
        <f>IF(O67=0,0,P67/O67)</f>
        <v>0</v>
      </c>
      <c r="T67" s="62"/>
      <c r="U67" s="106"/>
      <c r="V67" s="157">
        <f>T67*R67</f>
        <v>0</v>
      </c>
      <c r="W67" s="312"/>
      <c r="Y67" s="62"/>
      <c r="Z67" s="72"/>
      <c r="AA67" s="66"/>
      <c r="AB67" s="523">
        <f>IF(Y67=0,0,Z67/Y67)</f>
        <v>0</v>
      </c>
      <c r="AD67" s="62"/>
      <c r="AE67" s="106"/>
      <c r="AF67" s="7171"/>
      <c r="AG67" s="7710"/>
      <c r="AI67" s="723"/>
    </row>
    <row r="68" spans="1:35" x14ac:dyDescent="0.35">
      <c r="A68" s="9154"/>
      <c r="B68" s="306"/>
      <c r="C68" s="86" t="s">
        <v>5657</v>
      </c>
      <c r="F68" s="88"/>
      <c r="H68" s="89"/>
      <c r="I68" s="308"/>
      <c r="J68" s="798"/>
      <c r="L68" s="89"/>
      <c r="M68" s="935"/>
      <c r="O68" s="89"/>
      <c r="P68" s="935"/>
      <c r="Q68" s="722"/>
      <c r="R68" s="527">
        <f>IF(O68=0,0,P68/O68)</f>
        <v>0</v>
      </c>
      <c r="T68" s="89"/>
      <c r="U68" s="216"/>
      <c r="V68" s="213">
        <f>T68*R68</f>
        <v>0</v>
      </c>
      <c r="W68" s="312"/>
      <c r="Y68" s="89"/>
      <c r="Z68" s="308"/>
      <c r="AA68" s="92"/>
      <c r="AB68" s="527">
        <f>IF(Y68=0,0,Z68/Y68)</f>
        <v>0</v>
      </c>
      <c r="AD68" s="89"/>
      <c r="AE68" s="216"/>
      <c r="AF68" s="7172"/>
      <c r="AG68" s="7710"/>
      <c r="AI68" s="722"/>
    </row>
    <row r="69" spans="1:35" x14ac:dyDescent="0.35">
      <c r="A69" s="936"/>
      <c r="B69" s="936"/>
      <c r="E69" s="457"/>
      <c r="F69" s="847"/>
      <c r="H69" s="847"/>
      <c r="I69" s="847"/>
      <c r="J69" s="937"/>
      <c r="L69" s="847"/>
      <c r="M69" s="938"/>
      <c r="O69" s="106"/>
      <c r="P69" s="938"/>
      <c r="Q69" s="711"/>
      <c r="R69" s="558"/>
      <c r="T69" s="106"/>
      <c r="U69" s="106"/>
      <c r="V69" s="312"/>
      <c r="W69" s="312"/>
      <c r="Y69" s="106"/>
      <c r="Z69" s="106"/>
      <c r="AA69" s="106"/>
      <c r="AB69" s="558"/>
      <c r="AD69" s="106"/>
      <c r="AE69" s="106"/>
      <c r="AF69" s="312"/>
      <c r="AG69" s="312"/>
    </row>
    <row r="70" spans="1:35" customFormat="1" x14ac:dyDescent="0.35">
      <c r="A70" s="9159" t="s">
        <v>559</v>
      </c>
      <c r="B70" s="939" t="s">
        <v>560</v>
      </c>
      <c r="C70" s="940"/>
      <c r="D70" s="184"/>
      <c r="E70" s="1"/>
      <c r="F70" s="316"/>
      <c r="G70" s="290"/>
      <c r="H70" s="941"/>
      <c r="I70" s="942"/>
      <c r="J70" s="293"/>
      <c r="K70" s="1"/>
      <c r="L70" s="317"/>
      <c r="M70" s="268"/>
      <c r="N70" s="1"/>
      <c r="O70" s="941"/>
      <c r="P70" s="268"/>
      <c r="Q70" s="18"/>
      <c r="R70" s="293"/>
      <c r="S70" s="1"/>
      <c r="T70" s="317"/>
      <c r="U70" s="103"/>
      <c r="V70" s="323"/>
      <c r="W70" s="7697"/>
      <c r="X70" s="1"/>
      <c r="Y70" s="1388"/>
      <c r="Z70" s="520"/>
      <c r="AA70" s="105"/>
      <c r="AB70" s="293"/>
      <c r="AC70" s="1"/>
      <c r="AD70" s="1388"/>
      <c r="AE70" s="103"/>
      <c r="AF70" s="268"/>
      <c r="AG70" s="254"/>
      <c r="AH70" s="1"/>
      <c r="AI70" s="18"/>
    </row>
    <row r="71" spans="1:35" customFormat="1" x14ac:dyDescent="0.35">
      <c r="A71" s="9160"/>
      <c r="B71" s="944"/>
      <c r="C71" s="945" t="s">
        <v>562</v>
      </c>
      <c r="D71" s="197"/>
      <c r="E71" s="1"/>
      <c r="F71" s="327"/>
      <c r="G71" s="272"/>
      <c r="H71" s="325"/>
      <c r="I71" s="946"/>
      <c r="J71" s="523">
        <f t="shared" ref="J71:J79" si="8">IF(H71=0,0,I71/H71)</f>
        <v>0</v>
      </c>
      <c r="K71" s="1"/>
      <c r="L71" s="325"/>
      <c r="M71" s="157">
        <f t="shared" ref="M71:M79" si="9">L71*J71</f>
        <v>0</v>
      </c>
      <c r="N71" s="1"/>
      <c r="O71" s="325"/>
      <c r="P71" s="157">
        <f t="shared" ref="P71:P79" si="10">O71*M71</f>
        <v>0</v>
      </c>
      <c r="Q71" s="26"/>
      <c r="R71" s="523">
        <f t="shared" ref="R71:R78" si="11">IF(O71=0,0,P71/O71)</f>
        <v>0</v>
      </c>
      <c r="S71" s="1"/>
      <c r="T71" s="325"/>
      <c r="U71" s="332"/>
      <c r="V71" s="333">
        <f t="shared" ref="V71:V79" si="12">T71*R71</f>
        <v>0</v>
      </c>
      <c r="W71" s="4099"/>
      <c r="X71" s="1"/>
      <c r="Y71" s="325"/>
      <c r="Z71" s="947"/>
      <c r="AA71" s="1801"/>
      <c r="AB71" s="523">
        <f t="shared" ref="AB71:AB79" si="13">IF(Y71=0,0,Z71/Y71)</f>
        <v>0</v>
      </c>
      <c r="AC71" s="1"/>
      <c r="AD71" s="325"/>
      <c r="AE71" s="332"/>
      <c r="AF71" s="333"/>
      <c r="AG71" s="4099"/>
      <c r="AH71" s="1"/>
      <c r="AI71" s="26"/>
    </row>
    <row r="72" spans="1:35" customFormat="1" x14ac:dyDescent="0.35">
      <c r="A72" s="9160"/>
      <c r="B72" s="944"/>
      <c r="C72" s="945" t="s">
        <v>565</v>
      </c>
      <c r="D72" s="197"/>
      <c r="E72" s="1"/>
      <c r="F72" s="336"/>
      <c r="G72" s="272"/>
      <c r="H72" s="330"/>
      <c r="I72" s="948"/>
      <c r="J72" s="523">
        <f t="shared" si="8"/>
        <v>0</v>
      </c>
      <c r="K72" s="1"/>
      <c r="L72" s="330"/>
      <c r="M72" s="157">
        <f t="shared" si="9"/>
        <v>0</v>
      </c>
      <c r="N72" s="1"/>
      <c r="O72" s="330"/>
      <c r="P72" s="157">
        <f t="shared" si="10"/>
        <v>0</v>
      </c>
      <c r="Q72" s="26"/>
      <c r="R72" s="523">
        <f t="shared" si="11"/>
        <v>0</v>
      </c>
      <c r="S72" s="1"/>
      <c r="T72" s="330"/>
      <c r="U72" s="106"/>
      <c r="V72" s="333">
        <f t="shared" si="12"/>
        <v>0</v>
      </c>
      <c r="W72" s="4099"/>
      <c r="X72" s="1"/>
      <c r="Y72" s="330"/>
      <c r="Z72" s="331"/>
      <c r="AA72" s="66"/>
      <c r="AB72" s="523">
        <f t="shared" si="13"/>
        <v>0</v>
      </c>
      <c r="AC72" s="1"/>
      <c r="AD72" s="330"/>
      <c r="AE72" s="106"/>
      <c r="AF72" s="333"/>
      <c r="AG72" s="4099"/>
      <c r="AH72" s="1"/>
      <c r="AI72" s="26"/>
    </row>
    <row r="73" spans="1:35" customFormat="1" x14ac:dyDescent="0.35">
      <c r="A73" s="9160"/>
      <c r="B73" s="944"/>
      <c r="C73" s="945"/>
      <c r="D73" s="197"/>
      <c r="E73" s="1"/>
      <c r="F73" s="336"/>
      <c r="G73" s="272"/>
      <c r="H73" s="330"/>
      <c r="I73" s="948"/>
      <c r="J73" s="523">
        <f t="shared" si="8"/>
        <v>0</v>
      </c>
      <c r="K73" s="1"/>
      <c r="L73" s="330"/>
      <c r="M73" s="157">
        <f t="shared" si="9"/>
        <v>0</v>
      </c>
      <c r="N73" s="1"/>
      <c r="O73" s="330"/>
      <c r="P73" s="157">
        <f t="shared" si="10"/>
        <v>0</v>
      </c>
      <c r="Q73" s="26"/>
      <c r="R73" s="523">
        <f t="shared" si="11"/>
        <v>0</v>
      </c>
      <c r="S73" s="1"/>
      <c r="T73" s="330"/>
      <c r="U73" s="106"/>
      <c r="V73" s="333">
        <f t="shared" si="12"/>
        <v>0</v>
      </c>
      <c r="W73" s="4099"/>
      <c r="X73" s="1"/>
      <c r="Y73" s="330"/>
      <c r="Z73" s="331"/>
      <c r="AA73" s="66"/>
      <c r="AB73" s="523">
        <f t="shared" si="13"/>
        <v>0</v>
      </c>
      <c r="AC73" s="1"/>
      <c r="AD73" s="330"/>
      <c r="AE73" s="106"/>
      <c r="AF73" s="333"/>
      <c r="AG73" s="4099"/>
      <c r="AH73" s="1"/>
      <c r="AI73" s="26"/>
    </row>
    <row r="74" spans="1:35" customFormat="1" x14ac:dyDescent="0.35">
      <c r="A74" s="9160"/>
      <c r="B74" s="944"/>
      <c r="C74" s="945"/>
      <c r="D74" s="197"/>
      <c r="E74" s="1"/>
      <c r="F74" s="336"/>
      <c r="G74" s="272"/>
      <c r="H74" s="330"/>
      <c r="I74" s="948"/>
      <c r="J74" s="523">
        <f t="shared" si="8"/>
        <v>0</v>
      </c>
      <c r="K74" s="1"/>
      <c r="L74" s="330"/>
      <c r="M74" s="157">
        <f t="shared" si="9"/>
        <v>0</v>
      </c>
      <c r="N74" s="1"/>
      <c r="O74" s="330"/>
      <c r="P74" s="157">
        <f t="shared" si="10"/>
        <v>0</v>
      </c>
      <c r="Q74" s="26"/>
      <c r="R74" s="523">
        <f t="shared" si="11"/>
        <v>0</v>
      </c>
      <c r="S74" s="1"/>
      <c r="T74" s="330"/>
      <c r="U74" s="106"/>
      <c r="V74" s="333">
        <f t="shared" si="12"/>
        <v>0</v>
      </c>
      <c r="W74" s="4099"/>
      <c r="X74" s="1"/>
      <c r="Y74" s="330"/>
      <c r="Z74" s="331"/>
      <c r="AA74" s="66"/>
      <c r="AB74" s="523">
        <f t="shared" si="13"/>
        <v>0</v>
      </c>
      <c r="AC74" s="1"/>
      <c r="AD74" s="330"/>
      <c r="AE74" s="106"/>
      <c r="AF74" s="333"/>
      <c r="AG74" s="4099"/>
      <c r="AH74" s="1"/>
      <c r="AI74" s="26"/>
    </row>
    <row r="75" spans="1:35" customFormat="1" x14ac:dyDescent="0.35">
      <c r="A75" s="9160"/>
      <c r="B75" s="944"/>
      <c r="C75" s="945" t="s">
        <v>562</v>
      </c>
      <c r="D75" s="197"/>
      <c r="E75" s="1"/>
      <c r="F75" s="336"/>
      <c r="G75" s="272"/>
      <c r="H75" s="330"/>
      <c r="I75" s="948"/>
      <c r="J75" s="523">
        <f t="shared" si="8"/>
        <v>0</v>
      </c>
      <c r="K75" s="1"/>
      <c r="L75" s="330"/>
      <c r="M75" s="157">
        <f t="shared" si="9"/>
        <v>0</v>
      </c>
      <c r="N75" s="1"/>
      <c r="O75" s="330"/>
      <c r="P75" s="157">
        <f t="shared" si="10"/>
        <v>0</v>
      </c>
      <c r="Q75" s="26"/>
      <c r="R75" s="523">
        <f t="shared" si="11"/>
        <v>0</v>
      </c>
      <c r="S75" s="1"/>
      <c r="T75" s="330"/>
      <c r="U75" s="106"/>
      <c r="V75" s="333">
        <f t="shared" si="12"/>
        <v>0</v>
      </c>
      <c r="W75" s="4099"/>
      <c r="X75" s="1"/>
      <c r="Y75" s="330"/>
      <c r="Z75" s="331"/>
      <c r="AA75" s="66"/>
      <c r="AB75" s="523">
        <f t="shared" si="13"/>
        <v>0</v>
      </c>
      <c r="AC75" s="1"/>
      <c r="AD75" s="330"/>
      <c r="AE75" s="106"/>
      <c r="AF75" s="333"/>
      <c r="AG75" s="4099"/>
      <c r="AH75" s="1"/>
      <c r="AI75" s="26"/>
    </row>
    <row r="76" spans="1:35" customFormat="1" x14ac:dyDescent="0.35">
      <c r="A76" s="9160"/>
      <c r="B76" s="944"/>
      <c r="C76" s="945" t="s">
        <v>565</v>
      </c>
      <c r="D76" s="197"/>
      <c r="E76" s="1"/>
      <c r="F76" s="336"/>
      <c r="G76" s="272"/>
      <c r="H76" s="330"/>
      <c r="I76" s="948"/>
      <c r="J76" s="523">
        <f t="shared" si="8"/>
        <v>0</v>
      </c>
      <c r="K76" s="1"/>
      <c r="L76" s="330"/>
      <c r="M76" s="157">
        <f t="shared" si="9"/>
        <v>0</v>
      </c>
      <c r="N76" s="1"/>
      <c r="O76" s="330"/>
      <c r="P76" s="157">
        <f t="shared" si="10"/>
        <v>0</v>
      </c>
      <c r="Q76" s="26"/>
      <c r="R76" s="523">
        <f t="shared" si="11"/>
        <v>0</v>
      </c>
      <c r="S76" s="1"/>
      <c r="T76" s="330"/>
      <c r="U76" s="106"/>
      <c r="V76" s="333">
        <f t="shared" si="12"/>
        <v>0</v>
      </c>
      <c r="W76" s="4099"/>
      <c r="X76" s="1"/>
      <c r="Y76" s="330"/>
      <c r="Z76" s="331"/>
      <c r="AA76" s="66"/>
      <c r="AB76" s="523">
        <f t="shared" si="13"/>
        <v>0</v>
      </c>
      <c r="AC76" s="1"/>
      <c r="AD76" s="330"/>
      <c r="AE76" s="106"/>
      <c r="AF76" s="333"/>
      <c r="AG76" s="4099"/>
      <c r="AH76" s="1"/>
      <c r="AI76" s="26"/>
    </row>
    <row r="77" spans="1:35" customFormat="1" x14ac:dyDescent="0.35">
      <c r="A77" s="9160"/>
      <c r="B77" s="944"/>
      <c r="C77" s="945"/>
      <c r="D77" s="197"/>
      <c r="E77" s="1"/>
      <c r="F77" s="336"/>
      <c r="G77" s="272"/>
      <c r="H77" s="330"/>
      <c r="I77" s="948"/>
      <c r="J77" s="523">
        <f t="shared" si="8"/>
        <v>0</v>
      </c>
      <c r="K77" s="1"/>
      <c r="L77" s="330"/>
      <c r="M77" s="157">
        <f t="shared" si="9"/>
        <v>0</v>
      </c>
      <c r="N77" s="1"/>
      <c r="O77" s="330"/>
      <c r="P77" s="157">
        <f t="shared" si="10"/>
        <v>0</v>
      </c>
      <c r="Q77" s="26"/>
      <c r="R77" s="523">
        <f t="shared" si="11"/>
        <v>0</v>
      </c>
      <c r="S77" s="1"/>
      <c r="T77" s="330"/>
      <c r="U77" s="106"/>
      <c r="V77" s="333">
        <f t="shared" si="12"/>
        <v>0</v>
      </c>
      <c r="W77" s="4099"/>
      <c r="X77" s="1"/>
      <c r="Y77" s="330"/>
      <c r="Z77" s="331"/>
      <c r="AA77" s="66"/>
      <c r="AB77" s="523">
        <f t="shared" si="13"/>
        <v>0</v>
      </c>
      <c r="AC77" s="1"/>
      <c r="AD77" s="330"/>
      <c r="AE77" s="106"/>
      <c r="AF77" s="333"/>
      <c r="AG77" s="4099"/>
      <c r="AH77" s="1"/>
      <c r="AI77" s="26"/>
    </row>
    <row r="78" spans="1:35" customFormat="1" x14ac:dyDescent="0.35">
      <c r="A78" s="9160"/>
      <c r="B78" s="944"/>
      <c r="C78" s="945"/>
      <c r="D78" s="197"/>
      <c r="E78" s="1"/>
      <c r="F78" s="336"/>
      <c r="G78" s="272"/>
      <c r="H78" s="330"/>
      <c r="I78" s="948"/>
      <c r="J78" s="523">
        <f t="shared" si="8"/>
        <v>0</v>
      </c>
      <c r="K78" s="1"/>
      <c r="L78" s="330"/>
      <c r="M78" s="157">
        <f t="shared" si="9"/>
        <v>0</v>
      </c>
      <c r="N78" s="1"/>
      <c r="O78" s="330"/>
      <c r="P78" s="157">
        <f t="shared" si="10"/>
        <v>0</v>
      </c>
      <c r="Q78" s="26"/>
      <c r="R78" s="523">
        <f t="shared" si="11"/>
        <v>0</v>
      </c>
      <c r="S78" s="1"/>
      <c r="T78" s="330"/>
      <c r="U78" s="106"/>
      <c r="V78" s="333">
        <f t="shared" si="12"/>
        <v>0</v>
      </c>
      <c r="W78" s="4099"/>
      <c r="X78" s="1"/>
      <c r="Y78" s="330"/>
      <c r="Z78" s="331"/>
      <c r="AA78" s="66"/>
      <c r="AB78" s="523">
        <f t="shared" si="13"/>
        <v>0</v>
      </c>
      <c r="AC78" s="1"/>
      <c r="AD78" s="330"/>
      <c r="AE78" s="106"/>
      <c r="AF78" s="333"/>
      <c r="AG78" s="4099"/>
      <c r="AH78" s="1"/>
      <c r="AI78" s="26"/>
    </row>
    <row r="79" spans="1:35" customFormat="1" x14ac:dyDescent="0.35">
      <c r="A79" s="9161"/>
      <c r="B79" s="949"/>
      <c r="C79" s="950" t="s">
        <v>10</v>
      </c>
      <c r="D79" s="209"/>
      <c r="E79" s="1"/>
      <c r="F79" s="343"/>
      <c r="G79" s="274"/>
      <c r="H79" s="341"/>
      <c r="I79" s="951"/>
      <c r="J79" s="527">
        <f t="shared" si="8"/>
        <v>0</v>
      </c>
      <c r="K79" s="1"/>
      <c r="L79" s="341"/>
      <c r="M79" s="213">
        <f t="shared" si="9"/>
        <v>0</v>
      </c>
      <c r="N79" s="1"/>
      <c r="O79" s="341"/>
      <c r="P79" s="213">
        <f t="shared" si="10"/>
        <v>0</v>
      </c>
      <c r="Q79" s="24"/>
      <c r="R79" s="527">
        <f>IF(O79=0,0,P79/O79)</f>
        <v>0</v>
      </c>
      <c r="S79" s="1"/>
      <c r="T79" s="341"/>
      <c r="U79" s="216"/>
      <c r="V79" s="347">
        <f t="shared" si="12"/>
        <v>0</v>
      </c>
      <c r="W79" s="4099"/>
      <c r="X79" s="1"/>
      <c r="Y79" s="341"/>
      <c r="Z79" s="952"/>
      <c r="AA79" s="92"/>
      <c r="AB79" s="527">
        <f t="shared" si="13"/>
        <v>0</v>
      </c>
      <c r="AC79" s="1"/>
      <c r="AD79" s="341"/>
      <c r="AE79" s="216"/>
      <c r="AF79" s="347"/>
      <c r="AG79" s="4099"/>
      <c r="AH79" s="1"/>
      <c r="AI79" s="24"/>
    </row>
    <row r="80" spans="1:35" x14ac:dyDescent="0.35">
      <c r="A80" s="936"/>
      <c r="B80" s="936"/>
      <c r="E80" s="457"/>
      <c r="F80" s="847"/>
      <c r="H80" s="847"/>
      <c r="I80" s="847"/>
      <c r="J80" s="937"/>
      <c r="L80" s="847"/>
      <c r="M80" s="938"/>
      <c r="O80" s="106"/>
      <c r="P80" s="938"/>
      <c r="Q80" s="711"/>
      <c r="R80" s="558"/>
      <c r="T80" s="106"/>
      <c r="U80" s="106"/>
      <c r="V80" s="312"/>
      <c r="W80" s="312"/>
      <c r="Y80" s="106"/>
      <c r="Z80" s="106"/>
      <c r="AA80" s="106"/>
      <c r="AB80" s="558"/>
      <c r="AD80" s="106"/>
      <c r="AE80" s="106"/>
      <c r="AF80" s="312"/>
      <c r="AG80" s="312"/>
    </row>
    <row r="81" spans="1:34" customFormat="1" x14ac:dyDescent="0.35">
      <c r="A81" s="9152" t="s">
        <v>566</v>
      </c>
      <c r="B81" s="139" t="s">
        <v>567</v>
      </c>
      <c r="C81" s="348"/>
      <c r="D81" s="49"/>
      <c r="E81" s="141"/>
      <c r="F81" s="227"/>
      <c r="G81" s="141"/>
      <c r="H81" s="102"/>
      <c r="I81" s="103"/>
      <c r="J81" s="228"/>
      <c r="K81" s="141"/>
      <c r="L81" s="102"/>
      <c r="M81" s="268"/>
      <c r="N81" s="141"/>
      <c r="O81" s="102"/>
      <c r="P81" s="2909"/>
      <c r="Q81" s="348"/>
      <c r="R81" s="228"/>
      <c r="S81" s="141"/>
      <c r="T81" s="102"/>
      <c r="U81" s="103"/>
      <c r="V81" s="268"/>
      <c r="W81" s="254"/>
      <c r="X81" s="141"/>
      <c r="Y81" s="102"/>
      <c r="Z81" s="103"/>
      <c r="AA81" s="103"/>
      <c r="AB81" s="228"/>
      <c r="AC81" s="141"/>
      <c r="AD81" s="102"/>
      <c r="AE81" s="103"/>
      <c r="AF81" s="268"/>
      <c r="AG81" s="254"/>
      <c r="AH81" s="141"/>
    </row>
    <row r="82" spans="1:34" customFormat="1" ht="14.5" customHeight="1" x14ac:dyDescent="0.35">
      <c r="A82" s="9153"/>
      <c r="B82" s="6082"/>
      <c r="C82" t="s">
        <v>568</v>
      </c>
      <c r="D82" s="110"/>
      <c r="E82" s="1"/>
      <c r="F82" s="349">
        <f>SUM(F35:F38)-SUM(F40:F42)</f>
        <v>0</v>
      </c>
      <c r="G82" s="350"/>
      <c r="H82" s="351">
        <f>SUM(H35:H38)-SUM(H40:H42)</f>
        <v>0</v>
      </c>
      <c r="I82" s="352">
        <f>SUM(I35:I38)-SUM(I40:I42)</f>
        <v>2313.1999999999998</v>
      </c>
      <c r="J82" s="246"/>
      <c r="K82" s="350"/>
      <c r="L82" s="351">
        <f>SUM(L35:L38)-SUM(L40:L42)</f>
        <v>0</v>
      </c>
      <c r="M82" s="353">
        <f>SUM(M35:M38)-SUM(M40:M42)</f>
        <v>2464.6999999999998</v>
      </c>
      <c r="N82" s="350"/>
      <c r="O82" s="351">
        <f>SUM(O35:O38)-SUM(O40:O42)</f>
        <v>2687.9</v>
      </c>
      <c r="P82" s="352">
        <f>SUM(P35:P38)-SUM(P40:P42)</f>
        <v>2550.2999999999997</v>
      </c>
      <c r="R82" s="246"/>
      <c r="S82" s="350"/>
      <c r="T82" s="351">
        <f>SUM(T35:T38)-SUM(T40:T42)</f>
        <v>3226.9333333333334</v>
      </c>
      <c r="U82" s="352"/>
      <c r="V82" s="353">
        <f>SUM(V35:V38)-SUM(V40:V42)</f>
        <v>2970.9333333333334</v>
      </c>
      <c r="W82" s="352"/>
      <c r="X82" s="350"/>
      <c r="Y82" s="351">
        <f>SUM(Y35:Y38)-SUM(Y40:Y42)</f>
        <v>4127.5</v>
      </c>
      <c r="Z82" s="352">
        <f>SUM(Z35:Z38)-SUM(Z40:Z42)</f>
        <v>3826.6</v>
      </c>
      <c r="AA82" s="352"/>
      <c r="AB82" s="246"/>
      <c r="AC82" s="350"/>
      <c r="AD82" s="351">
        <f>SUM(AD35:AD38)-SUM(AD40:AD42)</f>
        <v>4711.1000000000004</v>
      </c>
      <c r="AE82" s="352"/>
      <c r="AF82" s="353">
        <f>SUM(AF35:AF38)-SUM(AF40:AF42)</f>
        <v>4419.2</v>
      </c>
      <c r="AG82" s="352"/>
      <c r="AH82" s="350"/>
    </row>
    <row r="83" spans="1:34" customFormat="1" x14ac:dyDescent="0.35">
      <c r="A83" s="9153"/>
      <c r="B83" s="6082"/>
      <c r="C83" t="s">
        <v>569</v>
      </c>
      <c r="D83" s="110"/>
      <c r="E83" s="1"/>
      <c r="F83" s="349">
        <f>SUM(F44:F50)</f>
        <v>0</v>
      </c>
      <c r="G83" s="350"/>
      <c r="H83" s="351">
        <f>SUM(H44:H50)</f>
        <v>0</v>
      </c>
      <c r="I83" s="352">
        <f>SUM(I44:I50)</f>
        <v>66.099999999999994</v>
      </c>
      <c r="J83" s="246"/>
      <c r="K83" s="350"/>
      <c r="L83" s="351">
        <f>SUM(L44:L50)</f>
        <v>0</v>
      </c>
      <c r="M83" s="353">
        <f>SUM(M44:M50)</f>
        <v>70.599999999999994</v>
      </c>
      <c r="N83" s="350"/>
      <c r="O83" s="351">
        <f>SUM(O44:O50)</f>
        <v>0</v>
      </c>
      <c r="P83" s="352">
        <f>SUM(P44:P50)</f>
        <v>70.599999999999994</v>
      </c>
      <c r="R83" s="246"/>
      <c r="S83" s="350"/>
      <c r="T83" s="351">
        <f>SUM(T44:T50)</f>
        <v>0</v>
      </c>
      <c r="U83" s="352"/>
      <c r="V83" s="353">
        <f>SUM(V44:V50)</f>
        <v>58.666666666666664</v>
      </c>
      <c r="W83" s="352"/>
      <c r="X83" s="350"/>
      <c r="Y83" s="351">
        <f>SUM(Y44:Y50)</f>
        <v>0</v>
      </c>
      <c r="Z83" s="352">
        <f>SUM(Z44:Z50)</f>
        <v>0</v>
      </c>
      <c r="AA83" s="352"/>
      <c r="AB83" s="246"/>
      <c r="AC83" s="350"/>
      <c r="AD83" s="351">
        <f>SUM(AD44:AD50)</f>
        <v>0</v>
      </c>
      <c r="AE83" s="352"/>
      <c r="AF83" s="353">
        <f>SUM(AF44:AF50)</f>
        <v>0</v>
      </c>
      <c r="AG83" s="352"/>
      <c r="AH83" s="350"/>
    </row>
    <row r="84" spans="1:34" customFormat="1" x14ac:dyDescent="0.35">
      <c r="A84" s="9153"/>
      <c r="B84" s="6082"/>
      <c r="C84" t="s">
        <v>570</v>
      </c>
      <c r="D84" s="110"/>
      <c r="E84" s="1"/>
      <c r="F84" s="349">
        <f>SUM(F52:F59)*F28</f>
        <v>0</v>
      </c>
      <c r="G84" s="350"/>
      <c r="H84" s="351">
        <f>SUM(H52:H59)*H28</f>
        <v>0</v>
      </c>
      <c r="I84" s="352">
        <f>SUM(I52:I59)*I28</f>
        <v>0</v>
      </c>
      <c r="J84" s="246"/>
      <c r="K84" s="350"/>
      <c r="L84" s="351">
        <f>SUM(L52:L59)*L28</f>
        <v>0</v>
      </c>
      <c r="M84" s="353">
        <f>SUM(M52:M59)*M28</f>
        <v>0</v>
      </c>
      <c r="N84" s="350"/>
      <c r="O84" s="351">
        <f>SUM(O52:O59)*O28</f>
        <v>0</v>
      </c>
      <c r="P84" s="352">
        <f>SUM(P52:P59)*P28</f>
        <v>0</v>
      </c>
      <c r="R84" s="246"/>
      <c r="S84" s="350"/>
      <c r="T84" s="351">
        <f>SUM(T52:T59)*T28</f>
        <v>0</v>
      </c>
      <c r="U84" s="352"/>
      <c r="V84" s="353">
        <f>SUM(V52:V59)*V28</f>
        <v>0</v>
      </c>
      <c r="W84" s="352"/>
      <c r="X84" s="350"/>
      <c r="Y84" s="351">
        <f>SUM(Y52:Y59)*Y28</f>
        <v>0</v>
      </c>
      <c r="Z84" s="352">
        <f>SUM(Z52:Z59)*Z28</f>
        <v>0</v>
      </c>
      <c r="AA84" s="352"/>
      <c r="AB84" s="246"/>
      <c r="AC84" s="350"/>
      <c r="AD84" s="351">
        <f>SUM(AD52:AD59)*AD28</f>
        <v>0</v>
      </c>
      <c r="AE84" s="352"/>
      <c r="AF84" s="353">
        <f>SUM(AF52:AF59)*AF28</f>
        <v>0</v>
      </c>
      <c r="AG84" s="352"/>
      <c r="AH84" s="350"/>
    </row>
    <row r="85" spans="1:34" customFormat="1" x14ac:dyDescent="0.35">
      <c r="A85" s="9153"/>
      <c r="B85" s="6082"/>
      <c r="C85" t="s">
        <v>552</v>
      </c>
      <c r="D85" s="110"/>
      <c r="E85" s="1"/>
      <c r="F85" s="349">
        <f>F62</f>
        <v>0</v>
      </c>
      <c r="G85" s="350"/>
      <c r="H85" s="351">
        <f>H62</f>
        <v>0</v>
      </c>
      <c r="I85" s="352">
        <f>I62</f>
        <v>0</v>
      </c>
      <c r="J85" s="246"/>
      <c r="K85" s="350"/>
      <c r="L85" s="351">
        <f>L62</f>
        <v>0</v>
      </c>
      <c r="M85" s="353">
        <f>M62</f>
        <v>0</v>
      </c>
      <c r="N85" s="350"/>
      <c r="O85" s="351">
        <f>O61+O62</f>
        <v>0</v>
      </c>
      <c r="P85" s="352">
        <f>P62</f>
        <v>0</v>
      </c>
      <c r="R85" s="246"/>
      <c r="S85" s="350"/>
      <c r="T85" s="351">
        <f>T61+T62</f>
        <v>0</v>
      </c>
      <c r="U85" s="352"/>
      <c r="V85" s="353">
        <f>V61+V62</f>
        <v>0</v>
      </c>
      <c r="W85" s="352"/>
      <c r="X85" s="350"/>
      <c r="Y85" s="351">
        <f>Y61+Y62</f>
        <v>0</v>
      </c>
      <c r="Z85" s="352">
        <f>Z61+Z62</f>
        <v>0</v>
      </c>
      <c r="AA85" s="352"/>
      <c r="AB85" s="246"/>
      <c r="AC85" s="350"/>
      <c r="AD85" s="351">
        <f>AD61+AD62</f>
        <v>0</v>
      </c>
      <c r="AE85" s="352"/>
      <c r="AF85" s="353">
        <f>AF61+AF62</f>
        <v>0</v>
      </c>
      <c r="AG85" s="352"/>
      <c r="AH85" s="350"/>
    </row>
    <row r="86" spans="1:34" customFormat="1" x14ac:dyDescent="0.35">
      <c r="A86" s="9153"/>
      <c r="B86" s="6082"/>
      <c r="C86" t="s">
        <v>571</v>
      </c>
      <c r="D86" s="356"/>
      <c r="E86" s="143"/>
      <c r="F86" s="357">
        <f>SUM(F82:F85)</f>
        <v>0</v>
      </c>
      <c r="G86" s="358"/>
      <c r="H86" s="359">
        <f>SUM(H82:H85)</f>
        <v>0</v>
      </c>
      <c r="I86" s="360">
        <f>SUM(I82:I85)</f>
        <v>2379.2999999999997</v>
      </c>
      <c r="J86" s="361"/>
      <c r="K86" s="358"/>
      <c r="L86" s="359">
        <f>SUM(L82:L85)</f>
        <v>0</v>
      </c>
      <c r="M86" s="362">
        <f>SUM(M82:M85)</f>
        <v>2535.2999999999997</v>
      </c>
      <c r="N86" s="358"/>
      <c r="O86" s="359">
        <f>SUM(O82:O85)</f>
        <v>2687.9</v>
      </c>
      <c r="P86" s="360">
        <f>SUM(P82:P85)</f>
        <v>2620.8999999999996</v>
      </c>
      <c r="R86" s="523">
        <f>IF(O86=0,0,P86/O86)</f>
        <v>0.97507347743591632</v>
      </c>
      <c r="S86" s="358"/>
      <c r="T86" s="359">
        <f>SUM(T82:T85)</f>
        <v>3226.9333333333334</v>
      </c>
      <c r="U86" s="360"/>
      <c r="V86" s="362">
        <f>SUM(V82:V85)</f>
        <v>3029.6</v>
      </c>
      <c r="W86" s="7702">
        <f>V86/T86</f>
        <v>0.93884802908850506</v>
      </c>
      <c r="X86" s="358"/>
      <c r="Y86" s="359">
        <f>SUM(Y82:Y85)</f>
        <v>4127.5</v>
      </c>
      <c r="Z86" s="360">
        <f>SUM(Z82:Z85)</f>
        <v>3826.6</v>
      </c>
      <c r="AA86" s="360"/>
      <c r="AB86" s="7702">
        <f>Z86/Y86</f>
        <v>0.92709872804360993</v>
      </c>
      <c r="AC86" s="358"/>
      <c r="AD86" s="359">
        <f>SUM(AD82:AD85)</f>
        <v>4711.1000000000004</v>
      </c>
      <c r="AE86" s="360"/>
      <c r="AF86" s="362">
        <f>SUM(AF82:AF85)</f>
        <v>4419.2</v>
      </c>
      <c r="AG86" s="7702">
        <f>AF86/AD86</f>
        <v>0.93803994820742487</v>
      </c>
      <c r="AH86" s="358"/>
    </row>
    <row r="87" spans="1:34" customFormat="1" ht="15.5" x14ac:dyDescent="0.35">
      <c r="A87" s="9153"/>
      <c r="B87" s="6082"/>
      <c r="C87" t="s">
        <v>5662</v>
      </c>
      <c r="D87" s="356"/>
      <c r="E87" s="1"/>
      <c r="F87" s="559" t="e">
        <f>F86/F12</f>
        <v>#DIV/0!</v>
      </c>
      <c r="G87" s="560"/>
      <c r="H87" s="561" t="e">
        <f>H86/H12</f>
        <v>#DIV/0!</v>
      </c>
      <c r="I87" s="562">
        <f>I86/I12</f>
        <v>0.19424918562786253</v>
      </c>
      <c r="J87" s="563"/>
      <c r="K87" s="560"/>
      <c r="L87" s="561" t="e">
        <f>L86/L12</f>
        <v>#DIV/0!</v>
      </c>
      <c r="M87" s="563">
        <f>M86/M12</f>
        <v>0.21083225227023247</v>
      </c>
      <c r="N87" s="560"/>
      <c r="O87" s="561">
        <f>O86/(O18+O19)</f>
        <v>0.16274620214460003</v>
      </c>
      <c r="P87" s="562">
        <f>P86/(P18+P19)</f>
        <v>0.16748998280941454</v>
      </c>
      <c r="R87" s="563"/>
      <c r="S87" s="560"/>
      <c r="T87" s="561">
        <f>T86/(T18+T19)</f>
        <v>0.17629662004662006</v>
      </c>
      <c r="U87" s="562"/>
      <c r="V87" s="563">
        <f>V86/(V18+V19)</f>
        <v>0.18252948170045952</v>
      </c>
      <c r="W87" s="3412"/>
      <c r="X87" s="560"/>
      <c r="Y87" s="561">
        <f>Y86/(Y22-Y20-Y21)</f>
        <v>0.16249552177695889</v>
      </c>
      <c r="Z87" s="562">
        <f>Z86/(Z22-Z20-Z21)</f>
        <v>0.16836871631283687</v>
      </c>
      <c r="AA87" s="562"/>
      <c r="AB87" s="563"/>
      <c r="AC87" s="560"/>
      <c r="AD87" s="561">
        <f>AD86/(AD22-AD20-AD21)</f>
        <v>0.19074514948336738</v>
      </c>
      <c r="AE87" s="562"/>
      <c r="AF87" s="563">
        <f>AF86/(AF22-AF20-AF21)</f>
        <v>0.19788909935204216</v>
      </c>
      <c r="AG87" s="3412"/>
      <c r="AH87" s="560"/>
    </row>
    <row r="88" spans="1:34" s="4043" customFormat="1" x14ac:dyDescent="0.35">
      <c r="A88" s="9153"/>
      <c r="B88" s="676"/>
      <c r="C88" s="677"/>
      <c r="D88" s="373" t="s">
        <v>573</v>
      </c>
      <c r="E88" s="7173"/>
      <c r="F88" s="679"/>
      <c r="G88" s="954"/>
      <c r="H88" s="381"/>
      <c r="I88" s="382"/>
      <c r="J88" s="955"/>
      <c r="K88" s="954"/>
      <c r="L88" s="386"/>
      <c r="M88" s="680"/>
      <c r="N88" s="6028"/>
      <c r="O88" s="381">
        <f>O35</f>
        <v>2602.3000000000002</v>
      </c>
      <c r="P88" s="382">
        <f>P35</f>
        <v>2464.6999999999998</v>
      </c>
      <c r="Q88" s="956"/>
      <c r="R88" s="955"/>
      <c r="S88" s="954"/>
      <c r="T88" s="386">
        <f>T35</f>
        <v>3021.2000000000003</v>
      </c>
      <c r="U88" s="956"/>
      <c r="V88" s="387">
        <f>V35</f>
        <v>2765.2000000000003</v>
      </c>
      <c r="W88" s="4903"/>
      <c r="X88" s="6028"/>
      <c r="Y88" s="381"/>
      <c r="Z88" s="382"/>
      <c r="AA88" s="956"/>
      <c r="AB88" s="955"/>
      <c r="AC88" s="954"/>
      <c r="AD88" s="386"/>
      <c r="AE88" s="956"/>
      <c r="AF88" s="7174"/>
      <c r="AG88" s="7711"/>
      <c r="AH88" s="6028"/>
    </row>
    <row r="89" spans="1:34" s="3341" customFormat="1" x14ac:dyDescent="0.35">
      <c r="A89" s="9153"/>
      <c r="B89" s="681"/>
      <c r="C89" s="682"/>
      <c r="D89" s="391" t="s">
        <v>575</v>
      </c>
      <c r="E89" s="3338"/>
      <c r="F89" s="683"/>
      <c r="G89" s="973"/>
      <c r="H89" s="397"/>
      <c r="I89" s="398"/>
      <c r="J89" s="3339"/>
      <c r="K89" s="3338"/>
      <c r="L89" s="402"/>
      <c r="M89" s="684"/>
      <c r="N89" s="6031"/>
      <c r="O89" s="397">
        <f>(O86-O88)/((O19))</f>
        <v>1.7617156146452883E-2</v>
      </c>
      <c r="P89" s="398">
        <f>(P86-P88)/((P19))</f>
        <v>3.7254340774661276E-2</v>
      </c>
      <c r="Q89" s="975"/>
      <c r="R89" s="974"/>
      <c r="S89" s="973"/>
      <c r="T89" s="402">
        <f>(T86-T88)/((T19))</f>
        <v>4.082766649908709E-2</v>
      </c>
      <c r="U89" s="975"/>
      <c r="V89" s="403">
        <f>(V86-V88)/((V19))</f>
        <v>5.7434976539419494E-2</v>
      </c>
      <c r="W89" s="7698"/>
      <c r="X89" s="6031"/>
      <c r="Y89" s="1056"/>
      <c r="Z89" s="953"/>
      <c r="AA89" s="3622"/>
      <c r="AB89" s="5419"/>
      <c r="AC89" s="958"/>
      <c r="AD89" s="1203"/>
      <c r="AE89" s="3622"/>
      <c r="AF89" s="691"/>
      <c r="AG89" s="7699"/>
      <c r="AH89" s="6031"/>
    </row>
    <row r="90" spans="1:34" s="3341" customFormat="1" x14ac:dyDescent="0.35">
      <c r="A90" s="9153"/>
      <c r="B90" s="681"/>
      <c r="C90" s="682"/>
      <c r="D90" s="391" t="s">
        <v>576</v>
      </c>
      <c r="E90" s="3338"/>
      <c r="F90" s="683"/>
      <c r="G90" s="973"/>
      <c r="H90" s="397"/>
      <c r="I90" s="398"/>
      <c r="J90" s="3339"/>
      <c r="K90" s="3338"/>
      <c r="L90" s="402"/>
      <c r="M90" s="684"/>
      <c r="N90" s="6031"/>
      <c r="O90" s="397">
        <f>O88/(O18)</f>
        <v>0.22323925538303166</v>
      </c>
      <c r="P90" s="398">
        <f>P88/(P18)</f>
        <v>0.21515804911263781</v>
      </c>
      <c r="Q90" s="975"/>
      <c r="R90" s="974"/>
      <c r="S90" s="973"/>
      <c r="T90" s="402">
        <f>T88/(T18)</f>
        <v>0.22775840059505262</v>
      </c>
      <c r="U90" s="975"/>
      <c r="V90" s="403">
        <f>V88/(V18)</f>
        <v>0.23054091909557797</v>
      </c>
      <c r="W90" s="7698"/>
      <c r="X90" s="6031"/>
      <c r="Y90" s="1056"/>
      <c r="Z90" s="953"/>
      <c r="AA90" s="3622"/>
      <c r="AB90" s="5419"/>
      <c r="AC90" s="958"/>
      <c r="AD90" s="1203"/>
      <c r="AE90" s="3622"/>
      <c r="AF90" s="691"/>
      <c r="AG90" s="7699"/>
      <c r="AH90" s="6031"/>
    </row>
    <row r="91" spans="1:34" s="3341" customFormat="1" x14ac:dyDescent="0.35">
      <c r="A91" s="9153"/>
      <c r="B91" s="681"/>
      <c r="C91" s="682"/>
      <c r="D91" s="391"/>
      <c r="E91" s="3338"/>
      <c r="F91" s="683"/>
      <c r="G91" s="973"/>
      <c r="H91" s="397"/>
      <c r="I91" s="398"/>
      <c r="J91" s="3339"/>
      <c r="K91" s="3338"/>
      <c r="L91" s="402"/>
      <c r="M91" s="684"/>
      <c r="N91" s="6031"/>
      <c r="O91" s="405"/>
      <c r="P91" s="406"/>
      <c r="R91" s="3339"/>
      <c r="S91" s="3338"/>
      <c r="T91" s="410"/>
      <c r="V91" s="411"/>
      <c r="W91" s="7699"/>
      <c r="X91" s="6031"/>
      <c r="Y91" s="1056"/>
      <c r="Z91" s="953"/>
      <c r="AA91" s="3622"/>
      <c r="AB91" s="5419"/>
      <c r="AC91" s="958"/>
      <c r="AD91" s="1203"/>
      <c r="AE91" s="3622"/>
      <c r="AF91" s="977"/>
      <c r="AG91" s="4907"/>
      <c r="AH91" s="6031"/>
    </row>
    <row r="92" spans="1:34" s="3341" customFormat="1" x14ac:dyDescent="0.35">
      <c r="A92" s="9153"/>
      <c r="B92" s="681"/>
      <c r="C92" s="682"/>
      <c r="D92" s="391" t="s">
        <v>577</v>
      </c>
      <c r="E92" s="3338"/>
      <c r="F92" s="683"/>
      <c r="G92" s="973"/>
      <c r="H92" s="397"/>
      <c r="I92" s="398">
        <f>I86/I12</f>
        <v>0.19424918562786253</v>
      </c>
      <c r="J92" s="3339"/>
      <c r="K92" s="3338"/>
      <c r="L92" s="402"/>
      <c r="M92" s="684">
        <f>M86/M12</f>
        <v>0.21083225227023247</v>
      </c>
      <c r="N92" s="6031"/>
      <c r="O92" s="397">
        <f>O86/O12</f>
        <v>0.21374950298210738</v>
      </c>
      <c r="P92" s="398">
        <f>P86/P12</f>
        <v>0.21250770278597608</v>
      </c>
      <c r="Q92" s="975"/>
      <c r="R92" s="974"/>
      <c r="S92" s="973"/>
      <c r="T92" s="402">
        <f>T86/T12</f>
        <v>0.25395592864637989</v>
      </c>
      <c r="U92" s="975"/>
      <c r="V92" s="403">
        <f>V86/V12</f>
        <v>0.24864036767522021</v>
      </c>
      <c r="W92" s="7698"/>
      <c r="X92" s="6031"/>
      <c r="Y92" s="1056">
        <f>Y86/Y12</f>
        <v>0.24829158545682045</v>
      </c>
      <c r="Z92" s="953">
        <f>Z86/Z12</f>
        <v>0.21368938924349287</v>
      </c>
      <c r="AA92" s="3622"/>
      <c r="AB92" s="5419"/>
      <c r="AC92" s="958"/>
      <c r="AD92" s="1203">
        <f>AD86/AD12</f>
        <v>0.25795306459914363</v>
      </c>
      <c r="AE92" s="3622"/>
      <c r="AF92" s="684">
        <f>AF86/AF12</f>
        <v>0.24313380281690145</v>
      </c>
      <c r="AG92" s="7698"/>
      <c r="AH92" s="6031"/>
    </row>
    <row r="93" spans="1:34" s="4043" customFormat="1" x14ac:dyDescent="0.35">
      <c r="A93" s="9153"/>
      <c r="B93" s="685"/>
      <c r="C93" s="686"/>
      <c r="D93" s="414" t="s">
        <v>578</v>
      </c>
      <c r="E93" s="3429"/>
      <c r="F93" s="688"/>
      <c r="G93" s="4723"/>
      <c r="H93" s="415"/>
      <c r="I93" s="416"/>
      <c r="J93" s="3432"/>
      <c r="K93" s="3429"/>
      <c r="L93" s="420"/>
      <c r="M93" s="690"/>
      <c r="N93" s="6028"/>
      <c r="O93" s="415"/>
      <c r="P93" s="416"/>
      <c r="Q93" s="4724"/>
      <c r="R93" s="5647"/>
      <c r="S93" s="4723"/>
      <c r="T93" s="420"/>
      <c r="U93" s="4724"/>
      <c r="V93" s="421"/>
      <c r="W93" s="7700"/>
      <c r="X93" s="6028"/>
      <c r="Y93" s="983"/>
      <c r="Z93" s="979"/>
      <c r="AA93" s="985"/>
      <c r="AB93" s="246"/>
      <c r="AC93" s="982"/>
      <c r="AD93" s="986"/>
      <c r="AE93" s="985"/>
      <c r="AF93" s="3294"/>
      <c r="AG93" s="7712"/>
      <c r="AH93" s="6028"/>
    </row>
    <row r="94" spans="1:34" s="3341" customFormat="1" x14ac:dyDescent="0.35">
      <c r="A94" s="9153"/>
      <c r="B94" s="681"/>
      <c r="C94" s="682"/>
      <c r="D94" s="391" t="s">
        <v>579</v>
      </c>
      <c r="E94" s="3338"/>
      <c r="F94" s="683"/>
      <c r="G94" s="973"/>
      <c r="H94" s="397"/>
      <c r="I94" s="398"/>
      <c r="J94" s="3339"/>
      <c r="K94" s="3338"/>
      <c r="L94" s="402"/>
      <c r="M94" s="684"/>
      <c r="N94" s="6031"/>
      <c r="O94" s="397"/>
      <c r="P94" s="398"/>
      <c r="Q94" s="975"/>
      <c r="R94" s="974"/>
      <c r="S94" s="973"/>
      <c r="T94" s="402"/>
      <c r="U94" s="975"/>
      <c r="V94" s="403"/>
      <c r="W94" s="7698"/>
      <c r="X94" s="6031"/>
      <c r="Y94" s="1056"/>
      <c r="Z94" s="953"/>
      <c r="AA94" s="3622"/>
      <c r="AB94" s="5419"/>
      <c r="AC94" s="958"/>
      <c r="AD94" s="1203"/>
      <c r="AE94" s="3622"/>
      <c r="AF94" s="684"/>
      <c r="AG94" s="7698"/>
      <c r="AH94" s="6031"/>
    </row>
    <row r="95" spans="1:34" s="3341" customFormat="1" x14ac:dyDescent="0.35">
      <c r="A95" s="9153"/>
      <c r="B95" s="681"/>
      <c r="C95" s="682"/>
      <c r="D95" s="391"/>
      <c r="E95" s="3338"/>
      <c r="F95" s="413"/>
      <c r="G95" s="3338"/>
      <c r="H95" s="405"/>
      <c r="I95" s="406"/>
      <c r="J95" s="3339"/>
      <c r="K95" s="3338"/>
      <c r="L95" s="410"/>
      <c r="M95" s="691"/>
      <c r="N95" s="6031"/>
      <c r="O95" s="397"/>
      <c r="P95" s="398"/>
      <c r="Q95" s="975"/>
      <c r="R95" s="974"/>
      <c r="S95" s="973"/>
      <c r="T95" s="402"/>
      <c r="U95" s="975"/>
      <c r="V95" s="403"/>
      <c r="W95" s="7698"/>
      <c r="X95" s="6031"/>
      <c r="Y95" s="1056"/>
      <c r="Z95" s="953"/>
      <c r="AA95" s="3622"/>
      <c r="AB95" s="5419"/>
      <c r="AC95" s="958"/>
      <c r="AD95" s="1203"/>
      <c r="AE95" s="3622"/>
      <c r="AF95" s="977"/>
      <c r="AG95" s="4907"/>
      <c r="AH95" s="6031"/>
    </row>
    <row r="96" spans="1:34" s="3341" customFormat="1" x14ac:dyDescent="0.35">
      <c r="A96" s="9153"/>
      <c r="B96" s="681"/>
      <c r="C96" s="682"/>
      <c r="D96" s="423" t="s">
        <v>580</v>
      </c>
      <c r="E96" s="7175"/>
      <c r="F96" s="693"/>
      <c r="G96" s="3346"/>
      <c r="H96" s="695"/>
      <c r="I96" s="696"/>
      <c r="J96" s="518"/>
      <c r="K96" s="3346"/>
      <c r="L96" s="697"/>
      <c r="M96" s="698"/>
      <c r="N96" s="6031"/>
      <c r="O96" s="397"/>
      <c r="P96" s="398"/>
      <c r="Q96" s="975"/>
      <c r="R96" s="974"/>
      <c r="S96" s="973"/>
      <c r="T96" s="402"/>
      <c r="U96" s="975"/>
      <c r="V96" s="403"/>
      <c r="W96" s="7698"/>
      <c r="X96" s="6031"/>
      <c r="Y96" s="3295"/>
      <c r="Z96" s="3296"/>
      <c r="AA96" s="3622"/>
      <c r="AB96" s="5419"/>
      <c r="AC96" s="6144"/>
      <c r="AD96" s="3297"/>
      <c r="AE96" s="6145"/>
      <c r="AF96" s="698"/>
      <c r="AG96" s="7713"/>
      <c r="AH96" s="6031"/>
    </row>
    <row r="97" spans="1:35" s="3341" customFormat="1" x14ac:dyDescent="0.35">
      <c r="A97" s="9154"/>
      <c r="B97" s="699"/>
      <c r="C97" s="700"/>
      <c r="D97" s="433" t="s">
        <v>581</v>
      </c>
      <c r="E97" s="7176"/>
      <c r="F97" s="702"/>
      <c r="G97" s="6146"/>
      <c r="H97" s="704"/>
      <c r="I97" s="705"/>
      <c r="J97" s="988"/>
      <c r="K97" s="6146"/>
      <c r="L97" s="707"/>
      <c r="M97" s="708"/>
      <c r="N97" s="6031"/>
      <c r="O97" s="441"/>
      <c r="P97" s="442"/>
      <c r="Q97" s="4741"/>
      <c r="R97" s="5660"/>
      <c r="S97" s="4740"/>
      <c r="T97" s="446"/>
      <c r="U97" s="4741"/>
      <c r="V97" s="447"/>
      <c r="W97" s="7701"/>
      <c r="X97" s="6031"/>
      <c r="Y97" s="1996"/>
      <c r="Z97" s="1997"/>
      <c r="AA97" s="3347"/>
      <c r="AB97" s="988"/>
      <c r="AC97" s="7177"/>
      <c r="AD97" s="1998"/>
      <c r="AE97" s="3347"/>
      <c r="AF97" s="708"/>
      <c r="AG97" s="4904"/>
      <c r="AH97" s="6031"/>
    </row>
    <row r="98" spans="1:35" ht="11.75" customHeight="1" x14ac:dyDescent="0.35">
      <c r="N98" s="982"/>
      <c r="O98" s="1087"/>
      <c r="P98" s="1087"/>
      <c r="Q98" s="1087"/>
      <c r="R98" s="1087"/>
      <c r="S98" s="1087"/>
      <c r="T98" s="1087"/>
      <c r="U98" s="1087"/>
      <c r="V98" s="1087"/>
      <c r="W98" s="1087"/>
      <c r="X98" s="1087"/>
      <c r="Y98" s="1087"/>
      <c r="Z98" s="1087"/>
      <c r="AA98" s="1087"/>
      <c r="AB98" s="1087"/>
      <c r="AC98" s="461"/>
      <c r="AD98" s="1087"/>
      <c r="AE98" s="1087"/>
      <c r="AF98" s="1087"/>
      <c r="AG98" s="461"/>
      <c r="AH98" s="461"/>
      <c r="AI98"/>
    </row>
    <row r="99" spans="1:35" x14ac:dyDescent="0.35">
      <c r="A99" s="455" t="s">
        <v>5663</v>
      </c>
      <c r="B99" s="455"/>
      <c r="E99" s="457"/>
      <c r="N99" s="460"/>
      <c r="O99" s="461"/>
      <c r="P99" s="461"/>
      <c r="Q99" s="461"/>
      <c r="R99" s="461"/>
      <c r="S99" s="461"/>
      <c r="T99" s="461"/>
      <c r="U99" s="461"/>
      <c r="V99" s="461"/>
      <c r="W99" s="461"/>
      <c r="X99" s="461"/>
      <c r="Y99" s="461"/>
      <c r="Z99" s="461"/>
      <c r="AA99" s="461"/>
      <c r="AB99" s="461"/>
      <c r="AC99" s="461"/>
      <c r="AD99" s="461"/>
      <c r="AE99" s="461"/>
      <c r="AF99" s="461"/>
      <c r="AG99" s="461"/>
      <c r="AH99" s="461"/>
      <c r="AI99"/>
    </row>
    <row r="100" spans="1:35" ht="47.25" customHeight="1" x14ac:dyDescent="0.35">
      <c r="A100" s="9537" t="s">
        <v>5664</v>
      </c>
      <c r="B100" s="9538"/>
      <c r="C100" s="9538"/>
      <c r="D100" s="9538"/>
      <c r="E100" s="9538"/>
      <c r="F100" s="9538"/>
      <c r="G100" s="9538"/>
      <c r="H100" s="9538"/>
      <c r="I100" s="9538"/>
      <c r="J100" s="9538"/>
      <c r="K100" s="9538"/>
      <c r="L100" s="9538"/>
      <c r="M100" s="9539"/>
      <c r="N100" s="456"/>
      <c r="O100" s="461"/>
      <c r="P100" s="461"/>
      <c r="Q100" s="461"/>
      <c r="R100" s="461"/>
      <c r="S100" s="461"/>
      <c r="T100" s="461"/>
      <c r="U100" s="461"/>
      <c r="V100" s="461"/>
      <c r="W100" s="461"/>
      <c r="X100" s="461"/>
      <c r="Y100" s="461"/>
      <c r="Z100" s="461"/>
      <c r="AA100" s="461"/>
      <c r="AB100" s="461"/>
      <c r="AC100" s="461"/>
      <c r="AD100" s="461"/>
      <c r="AE100" s="461"/>
      <c r="AF100" s="461"/>
      <c r="AG100" s="461"/>
      <c r="AH100" s="461"/>
      <c r="AI100"/>
    </row>
    <row r="101" spans="1:35" x14ac:dyDescent="0.35">
      <c r="AI101"/>
    </row>
    <row r="102" spans="1:35" x14ac:dyDescent="0.35">
      <c r="AI102"/>
    </row>
    <row r="103" spans="1:35" x14ac:dyDescent="0.35">
      <c r="AI103"/>
    </row>
    <row r="104" spans="1:35" x14ac:dyDescent="0.35">
      <c r="AI104"/>
    </row>
    <row r="105" spans="1:35" x14ac:dyDescent="0.35">
      <c r="AI105"/>
    </row>
    <row r="106" spans="1:35" x14ac:dyDescent="0.35">
      <c r="AI106"/>
    </row>
    <row r="107" spans="1:35" x14ac:dyDescent="0.35">
      <c r="AI107"/>
    </row>
    <row r="108" spans="1:35" x14ac:dyDescent="0.35">
      <c r="AI108"/>
    </row>
    <row r="109" spans="1:35" x14ac:dyDescent="0.35">
      <c r="AI109"/>
    </row>
  </sheetData>
  <mergeCells count="33">
    <mergeCell ref="F1:M1"/>
    <mergeCell ref="O1:V1"/>
    <mergeCell ref="Y1:AF1"/>
    <mergeCell ref="H4:J4"/>
    <mergeCell ref="L4:M4"/>
    <mergeCell ref="O4:R4"/>
    <mergeCell ref="T4:V4"/>
    <mergeCell ref="Y4:AA4"/>
    <mergeCell ref="AD4:AF4"/>
    <mergeCell ref="AI4:AI5"/>
    <mergeCell ref="H5:J5"/>
    <mergeCell ref="L5:M5"/>
    <mergeCell ref="O5:R5"/>
    <mergeCell ref="T5:V5"/>
    <mergeCell ref="Y5:AA5"/>
    <mergeCell ref="AD5:AF5"/>
    <mergeCell ref="Y7:Z7"/>
    <mergeCell ref="AB7:AB8"/>
    <mergeCell ref="AD7:AF7"/>
    <mergeCell ref="A10:A31"/>
    <mergeCell ref="O10:P10"/>
    <mergeCell ref="Y10:Z10"/>
    <mergeCell ref="H7:I7"/>
    <mergeCell ref="J7:J8"/>
    <mergeCell ref="L7:M7"/>
    <mergeCell ref="O7:P7"/>
    <mergeCell ref="R7:R8"/>
    <mergeCell ref="T7:V7"/>
    <mergeCell ref="A33:A68"/>
    <mergeCell ref="Y33:Z33"/>
    <mergeCell ref="A70:A79"/>
    <mergeCell ref="A81:A97"/>
    <mergeCell ref="A100:M100"/>
  </mergeCells>
  <hyperlinks>
    <hyperlink ref="I10" r:id="rId1" display="http://minfin.tj/downloads/isp budjet_2014.pdf" xr:uid="{C0B3F85E-64A2-413D-A4FD-7752540AF3B6}"/>
    <hyperlink ref="M10" r:id="rId2" xr:uid="{E83E26EA-EFFE-42D3-AA30-46766929229F}"/>
    <hyperlink ref="Q10" r:id="rId3" xr:uid="{D79BC0E5-613E-40CE-8735-BBABCF676B7C}"/>
    <hyperlink ref="AA33" r:id="rId4" xr:uid="{317669A5-53AB-44B4-890F-32CF534FDCAB}"/>
    <hyperlink ref="AE33" r:id="rId5" xr:uid="{91094973-1E17-4692-A393-F07876D2AF0D}"/>
    <hyperlink ref="AA10" r:id="rId6" xr:uid="{D393B186-9D68-49AC-9B23-461EE8A31863}"/>
    <hyperlink ref="AE10" r:id="rId7" xr:uid="{B8C3E9EF-AEEF-4FE1-9A22-F15A66C3BC35}"/>
  </hyperlinks>
  <pageMargins left="0.11811023622047245" right="0.11811023622047245" top="0.35433070866141736" bottom="0.35433070866141736" header="0.31496062992125984" footer="0.31496062992125984"/>
  <pageSetup paperSize="9" scale="26" orientation="landscape" horizontalDpi="4294967293" r:id="rId8"/>
  <legacyDrawing r:id="rId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K131"/>
  <sheetViews>
    <sheetView topLeftCell="B1" zoomScale="64" zoomScaleNormal="54" zoomScalePageLayoutView="93" workbookViewId="0">
      <pane xSplit="3" topLeftCell="W1" activePane="topRight" state="frozen"/>
      <selection activeCell="B54" sqref="B54"/>
      <selection pane="topRight" activeCell="AG105" sqref="AG105"/>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 customWidth="1"/>
    <col min="22" max="22" width="21.6328125" customWidth="1"/>
    <col min="23" max="23" width="1.6328125" style="1" customWidth="1"/>
    <col min="24" max="26" width="21.6328125" style="6" customWidth="1"/>
    <col min="27" max="27" width="8.6328125" style="7" customWidth="1"/>
    <col min="28" max="28" width="1.6328125" style="1" customWidth="1"/>
    <col min="29" max="29" width="21.6328125" customWidth="1"/>
    <col min="30" max="30" width="23" customWidth="1"/>
    <col min="31" max="31" width="21.6328125" customWidth="1"/>
    <col min="32" max="32" width="1.6328125" style="1" customWidth="1"/>
    <col min="33" max="35" width="21.6328125" style="6" customWidth="1"/>
    <col min="36" max="36" width="8.6328125" style="7" customWidth="1"/>
    <col min="37" max="37" width="1.6328125" style="1" customWidth="1"/>
    <col min="38" max="38" width="21.6328125" customWidth="1"/>
    <col min="39" max="39" width="23" customWidth="1"/>
    <col min="40" max="40" width="21.6328125" customWidth="1"/>
    <col min="41" max="41" width="1.6328125" style="1" customWidth="1"/>
    <col min="42" max="44" width="21.6328125" style="6" customWidth="1"/>
    <col min="45" max="45" width="8.6328125" style="7" customWidth="1"/>
    <col min="46" max="46" width="1.6328125" style="1" customWidth="1"/>
    <col min="47" max="47" width="21.6328125" customWidth="1"/>
    <col min="48" max="48" width="23" customWidth="1"/>
    <col min="49" max="49" width="21.6328125" customWidth="1"/>
    <col min="50" max="50" width="1.6328125" style="1" customWidth="1"/>
    <col min="51" max="53" width="21.6328125" style="6" customWidth="1"/>
    <col min="54" max="54" width="8.6328125" style="7" customWidth="1"/>
    <col min="55" max="55" width="1.6328125" style="1" customWidth="1"/>
    <col min="56" max="56" width="21.6328125" customWidth="1"/>
    <col min="57" max="57" width="23" customWidth="1"/>
    <col min="58" max="58" width="21.6328125" customWidth="1"/>
    <col min="59" max="59" width="1.6328125" style="1" customWidth="1"/>
    <col min="60" max="60" width="55" customWidth="1"/>
  </cols>
  <sheetData>
    <row r="1" spans="1:60" ht="31" x14ac:dyDescent="0.7">
      <c r="F1" s="9118" t="s">
        <v>394</v>
      </c>
      <c r="G1" s="9119"/>
      <c r="H1" s="9119"/>
      <c r="I1" s="9119"/>
      <c r="J1" s="9119"/>
      <c r="K1" s="9119"/>
      <c r="L1" s="9119"/>
      <c r="M1" s="9120"/>
      <c r="O1" s="9121" t="s">
        <v>395</v>
      </c>
      <c r="P1" s="9122"/>
      <c r="Q1" s="9122"/>
      <c r="R1" s="9122"/>
      <c r="S1" s="9122"/>
      <c r="T1" s="9122"/>
      <c r="U1" s="9122"/>
      <c r="V1" s="9123"/>
      <c r="X1" s="9207" t="s">
        <v>396</v>
      </c>
      <c r="Y1" s="9208"/>
      <c r="Z1" s="9208"/>
      <c r="AA1" s="9208"/>
      <c r="AB1" s="9208"/>
      <c r="AC1" s="9208"/>
      <c r="AD1" s="9208"/>
      <c r="AE1" s="9209"/>
      <c r="AG1" s="9477" t="s">
        <v>397</v>
      </c>
      <c r="AH1" s="9478"/>
      <c r="AI1" s="9478"/>
      <c r="AJ1" s="9478"/>
      <c r="AK1" s="9478"/>
      <c r="AL1" s="9478"/>
      <c r="AM1" s="9478"/>
      <c r="AN1" s="9479"/>
      <c r="AP1" s="9164" t="s">
        <v>398</v>
      </c>
      <c r="AQ1" s="9165"/>
      <c r="AR1" s="9165"/>
      <c r="AS1" s="9165"/>
      <c r="AT1" s="9165"/>
      <c r="AU1" s="9165"/>
      <c r="AV1" s="9165"/>
      <c r="AW1" s="9166"/>
      <c r="AY1" s="9517" t="s">
        <v>399</v>
      </c>
      <c r="AZ1" s="9518"/>
      <c r="BA1" s="9518"/>
      <c r="BB1" s="9518"/>
      <c r="BC1" s="9518"/>
      <c r="BD1" s="9518"/>
      <c r="BE1" s="9518"/>
      <c r="BF1" s="9519"/>
    </row>
    <row r="2" spans="1:60" ht="42" x14ac:dyDescent="0.5">
      <c r="B2" s="1" t="s">
        <v>9</v>
      </c>
      <c r="C2" s="578" t="s">
        <v>5665</v>
      </c>
      <c r="H2"/>
    </row>
    <row r="4" spans="1:60"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G4" s="9130" t="s">
        <v>403</v>
      </c>
      <c r="AH4" s="9131"/>
      <c r="AI4" s="9131"/>
      <c r="AJ4" s="9132"/>
      <c r="AL4" s="9130" t="s">
        <v>402</v>
      </c>
      <c r="AM4" s="9131"/>
      <c r="AN4" s="9132"/>
      <c r="AP4" s="9130" t="s">
        <v>403</v>
      </c>
      <c r="AQ4" s="9131"/>
      <c r="AR4" s="9131"/>
      <c r="AS4" s="9132"/>
      <c r="AU4" s="9130" t="s">
        <v>402</v>
      </c>
      <c r="AV4" s="9131"/>
      <c r="AW4" s="9132"/>
      <c r="AY4" s="9130" t="s">
        <v>403</v>
      </c>
      <c r="AZ4" s="9131"/>
      <c r="BA4" s="9131"/>
      <c r="BB4" s="9132"/>
      <c r="BD4" s="9130" t="s">
        <v>402</v>
      </c>
      <c r="BE4" s="9131"/>
      <c r="BF4" s="9132"/>
      <c r="BH4" s="9180" t="s">
        <v>404</v>
      </c>
    </row>
    <row r="5" spans="1:60" x14ac:dyDescent="0.35">
      <c r="B5" s="1" t="s">
        <v>406</v>
      </c>
      <c r="C5" s="11">
        <v>2013</v>
      </c>
      <c r="F5" s="8324" t="s">
        <v>4880</v>
      </c>
      <c r="G5" s="12"/>
      <c r="H5" s="9138" t="s">
        <v>2771</v>
      </c>
      <c r="I5" s="9139"/>
      <c r="J5" s="9140"/>
      <c r="K5" s="12"/>
      <c r="L5" s="9138" t="s">
        <v>738</v>
      </c>
      <c r="M5" s="9140"/>
      <c r="O5" s="9138" t="s">
        <v>738</v>
      </c>
      <c r="P5" s="9139"/>
      <c r="Q5" s="9139"/>
      <c r="R5" s="9140"/>
      <c r="S5" s="12"/>
      <c r="T5" s="9138" t="s">
        <v>739</v>
      </c>
      <c r="U5" s="9139"/>
      <c r="V5" s="9140"/>
      <c r="X5" s="9138" t="s">
        <v>739</v>
      </c>
      <c r="Y5" s="9139"/>
      <c r="Z5" s="9139"/>
      <c r="AA5" s="9140"/>
      <c r="AB5" s="12"/>
      <c r="AC5" s="9138" t="s">
        <v>740</v>
      </c>
      <c r="AD5" s="9139"/>
      <c r="AE5" s="9140"/>
      <c r="AG5" s="9138" t="s">
        <v>740</v>
      </c>
      <c r="AH5" s="9139"/>
      <c r="AI5" s="9139"/>
      <c r="AJ5" s="9140"/>
      <c r="AK5" s="12"/>
      <c r="AL5" s="9138" t="s">
        <v>741</v>
      </c>
      <c r="AM5" s="9139"/>
      <c r="AN5" s="9140"/>
      <c r="AP5" s="9138" t="s">
        <v>741</v>
      </c>
      <c r="AQ5" s="9139"/>
      <c r="AR5" s="9139"/>
      <c r="AS5" s="9140"/>
      <c r="AT5" s="12"/>
      <c r="AU5" s="9138" t="s">
        <v>742</v>
      </c>
      <c r="AV5" s="9139"/>
      <c r="AW5" s="9140"/>
      <c r="AY5" s="9138" t="s">
        <v>743</v>
      </c>
      <c r="AZ5" s="9139"/>
      <c r="BA5" s="9139"/>
      <c r="BB5" s="9140"/>
      <c r="BC5" s="12"/>
      <c r="BD5" s="9138" t="s">
        <v>3078</v>
      </c>
      <c r="BE5" s="9139"/>
      <c r="BF5" s="9140"/>
      <c r="BH5" s="9181"/>
    </row>
    <row r="6" spans="1:60" x14ac:dyDescent="0.35">
      <c r="C6"/>
      <c r="F6" s="6"/>
      <c r="L6" s="14"/>
      <c r="T6" s="14"/>
      <c r="U6" s="14"/>
      <c r="AC6" s="14"/>
      <c r="AD6" s="14"/>
      <c r="AL6" s="14"/>
      <c r="AM6" s="14"/>
      <c r="AU6" s="14"/>
      <c r="AV6" s="14"/>
      <c r="BD6" s="14"/>
      <c r="BE6" s="14"/>
      <c r="BH6" s="6"/>
    </row>
    <row r="7" spans="1:60" ht="12.75" customHeight="1" x14ac:dyDescent="0.35">
      <c r="B7" s="1" t="s">
        <v>101</v>
      </c>
      <c r="C7" s="15" t="s">
        <v>5666</v>
      </c>
      <c r="D7" s="2" t="s">
        <v>417</v>
      </c>
      <c r="F7" s="8322" t="s">
        <v>5667</v>
      </c>
      <c r="H7" s="9173" t="s">
        <v>5667</v>
      </c>
      <c r="I7" s="9173"/>
      <c r="J7" s="9147" t="s">
        <v>419</v>
      </c>
      <c r="L7" s="9149" t="s">
        <v>5667</v>
      </c>
      <c r="M7" s="9151"/>
      <c r="O7" s="9173" t="str">
        <f>L7</f>
        <v>billions</v>
      </c>
      <c r="P7" s="9173"/>
      <c r="Q7" s="16"/>
      <c r="R7" s="9147" t="s">
        <v>419</v>
      </c>
      <c r="T7" s="9149" t="str">
        <f>O7</f>
        <v>billions</v>
      </c>
      <c r="U7" s="9150"/>
      <c r="V7" s="9151"/>
      <c r="X7" s="9173" t="s">
        <v>5668</v>
      </c>
      <c r="Y7" s="9173"/>
      <c r="Z7" s="16"/>
      <c r="AA7" s="9147" t="s">
        <v>419</v>
      </c>
      <c r="AC7" s="9149" t="s">
        <v>5668</v>
      </c>
      <c r="AD7" s="9150"/>
      <c r="AE7" s="9151"/>
      <c r="AG7" s="9173" t="s">
        <v>5668</v>
      </c>
      <c r="AH7" s="9173"/>
      <c r="AI7" s="16"/>
      <c r="AJ7" s="9147" t="s">
        <v>419</v>
      </c>
      <c r="AL7" s="9149" t="s">
        <v>5668</v>
      </c>
      <c r="AM7" s="9150"/>
      <c r="AN7" s="9151"/>
      <c r="AP7" s="9173" t="s">
        <v>5668</v>
      </c>
      <c r="AQ7" s="9173"/>
      <c r="AR7" s="16"/>
      <c r="AS7" s="9147" t="s">
        <v>419</v>
      </c>
      <c r="AU7" s="9149" t="s">
        <v>5668</v>
      </c>
      <c r="AV7" s="9150"/>
      <c r="AW7" s="9151"/>
      <c r="AY7" s="9173" t="s">
        <v>5668</v>
      </c>
      <c r="AZ7" s="9173"/>
      <c r="BA7" s="16"/>
      <c r="BB7" s="9147" t="s">
        <v>419</v>
      </c>
      <c r="BD7" s="9149" t="s">
        <v>5668</v>
      </c>
      <c r="BE7" s="9150"/>
      <c r="BF7" s="9151"/>
      <c r="BH7" s="18"/>
    </row>
    <row r="8" spans="1:60" x14ac:dyDescent="0.35">
      <c r="B8" s="1" t="s">
        <v>420</v>
      </c>
      <c r="C8" s="19" t="s">
        <v>747</v>
      </c>
      <c r="F8" s="20" t="s">
        <v>424</v>
      </c>
      <c r="H8" s="20" t="s">
        <v>424</v>
      </c>
      <c r="I8" s="20" t="s">
        <v>96</v>
      </c>
      <c r="J8" s="9148"/>
      <c r="L8" s="21" t="s">
        <v>424</v>
      </c>
      <c r="M8" s="20" t="s">
        <v>96</v>
      </c>
      <c r="O8" s="20" t="s">
        <v>424</v>
      </c>
      <c r="P8" s="20" t="s">
        <v>96</v>
      </c>
      <c r="Q8" s="22" t="s">
        <v>425</v>
      </c>
      <c r="R8" s="9148"/>
      <c r="T8" s="21" t="s">
        <v>424</v>
      </c>
      <c r="U8" s="22" t="s">
        <v>425</v>
      </c>
      <c r="V8" s="20" t="s">
        <v>96</v>
      </c>
      <c r="X8" s="20" t="s">
        <v>424</v>
      </c>
      <c r="Y8" s="20" t="s">
        <v>96</v>
      </c>
      <c r="Z8" s="22" t="s">
        <v>425</v>
      </c>
      <c r="AA8" s="9148"/>
      <c r="AC8" s="21" t="s">
        <v>424</v>
      </c>
      <c r="AD8" s="22" t="s">
        <v>425</v>
      </c>
      <c r="AE8" s="20" t="s">
        <v>96</v>
      </c>
      <c r="AG8" s="20" t="s">
        <v>424</v>
      </c>
      <c r="AH8" s="20" t="s">
        <v>96</v>
      </c>
      <c r="AI8" s="22" t="s">
        <v>425</v>
      </c>
      <c r="AJ8" s="9148"/>
      <c r="AL8" s="21" t="s">
        <v>424</v>
      </c>
      <c r="AM8" s="22" t="s">
        <v>425</v>
      </c>
      <c r="AN8" s="20" t="s">
        <v>96</v>
      </c>
      <c r="AP8" s="20" t="s">
        <v>424</v>
      </c>
      <c r="AQ8" s="20" t="s">
        <v>96</v>
      </c>
      <c r="AR8" s="22" t="s">
        <v>425</v>
      </c>
      <c r="AS8" s="9148"/>
      <c r="AU8" s="21" t="s">
        <v>424</v>
      </c>
      <c r="AV8" s="22" t="s">
        <v>425</v>
      </c>
      <c r="AW8" s="20" t="s">
        <v>96</v>
      </c>
      <c r="AY8" s="20" t="s">
        <v>424</v>
      </c>
      <c r="AZ8" s="20" t="s">
        <v>96</v>
      </c>
      <c r="BA8" s="22" t="s">
        <v>425</v>
      </c>
      <c r="BB8" s="9148"/>
      <c r="BD8" s="21" t="s">
        <v>424</v>
      </c>
      <c r="BE8" s="22" t="s">
        <v>425</v>
      </c>
      <c r="BF8" s="20" t="s">
        <v>96</v>
      </c>
      <c r="BH8" s="24"/>
    </row>
    <row r="9" spans="1:60" x14ac:dyDescent="0.35">
      <c r="C9"/>
      <c r="E9"/>
      <c r="F9"/>
      <c r="G9"/>
      <c r="H9"/>
      <c r="I9"/>
      <c r="J9" s="25"/>
      <c r="K9"/>
      <c r="N9"/>
      <c r="O9"/>
      <c r="P9"/>
      <c r="Q9"/>
      <c r="R9" s="25"/>
      <c r="S9"/>
      <c r="W9"/>
      <c r="X9"/>
      <c r="Y9"/>
      <c r="Z9"/>
      <c r="AA9" s="25"/>
      <c r="AB9"/>
      <c r="AF9"/>
      <c r="AG9"/>
      <c r="AH9"/>
      <c r="AI9"/>
      <c r="AJ9" s="25"/>
      <c r="AK9"/>
      <c r="AO9"/>
      <c r="AP9"/>
      <c r="AQ9"/>
      <c r="AR9"/>
      <c r="AS9" s="25"/>
      <c r="AT9"/>
      <c r="AX9"/>
      <c r="AY9"/>
      <c r="AZ9"/>
      <c r="BA9"/>
      <c r="BB9" s="25"/>
      <c r="BC9"/>
      <c r="BG9"/>
    </row>
    <row r="10" spans="1:60" ht="33.25" customHeight="1" x14ac:dyDescent="0.35">
      <c r="A10" s="9167" t="s">
        <v>426</v>
      </c>
      <c r="B10" s="27"/>
      <c r="C10" s="28" t="s">
        <v>427</v>
      </c>
      <c r="D10" s="580" t="s">
        <v>428</v>
      </c>
      <c r="E10" s="30"/>
      <c r="F10" s="31" t="s">
        <v>5669</v>
      </c>
      <c r="G10"/>
      <c r="H10" s="9155" t="s">
        <v>5670</v>
      </c>
      <c r="I10" s="9156"/>
      <c r="J10" s="32"/>
      <c r="K10" s="33"/>
      <c r="L10" s="9155" t="s">
        <v>5671</v>
      </c>
      <c r="M10" s="9156"/>
      <c r="N10" s="33"/>
      <c r="O10" s="9542" t="s">
        <v>5672</v>
      </c>
      <c r="P10" s="9543"/>
      <c r="Q10" s="35" t="s">
        <v>5673</v>
      </c>
      <c r="R10" s="32"/>
      <c r="S10" s="33"/>
      <c r="T10" s="36"/>
      <c r="U10" s="581"/>
      <c r="V10" s="582"/>
      <c r="W10" s="33"/>
      <c r="X10" s="9542" t="s">
        <v>5674</v>
      </c>
      <c r="Y10" s="9543"/>
      <c r="Z10" s="583" t="s">
        <v>5675</v>
      </c>
      <c r="AA10" s="32"/>
      <c r="AB10" s="33"/>
      <c r="AC10" s="36" t="s">
        <v>5676</v>
      </c>
      <c r="AD10" s="583" t="s">
        <v>5675</v>
      </c>
      <c r="AE10" s="36" t="s">
        <v>5676</v>
      </c>
      <c r="AF10" s="33"/>
      <c r="AG10" s="9542" t="s">
        <v>5674</v>
      </c>
      <c r="AH10" s="9543"/>
      <c r="AI10" s="583" t="s">
        <v>5675</v>
      </c>
      <c r="AJ10" s="32"/>
      <c r="AK10" s="33"/>
      <c r="AL10" s="36" t="s">
        <v>5677</v>
      </c>
      <c r="AM10" s="584" t="s">
        <v>5678</v>
      </c>
      <c r="AN10" s="36" t="s">
        <v>5677</v>
      </c>
      <c r="AO10" s="33"/>
      <c r="AP10" s="9542" t="s">
        <v>5679</v>
      </c>
      <c r="AQ10" s="9543"/>
      <c r="AR10" s="7486" t="s">
        <v>5675</v>
      </c>
      <c r="AS10" s="32"/>
      <c r="AT10" s="33"/>
      <c r="AU10" s="36" t="s">
        <v>5680</v>
      </c>
      <c r="AV10" s="7486" t="s">
        <v>5678</v>
      </c>
      <c r="AW10" s="36" t="s">
        <v>5680</v>
      </c>
      <c r="AX10" s="33"/>
      <c r="AY10" s="9542" t="s">
        <v>5679</v>
      </c>
      <c r="AZ10" s="9543"/>
      <c r="BA10" s="584" t="s">
        <v>5675</v>
      </c>
      <c r="BB10" s="32"/>
      <c r="BC10" s="33"/>
      <c r="BD10" s="36" t="s">
        <v>5681</v>
      </c>
      <c r="BE10" s="584" t="s">
        <v>5678</v>
      </c>
      <c r="BF10" s="34" t="s">
        <v>1027</v>
      </c>
      <c r="BG10" s="33"/>
      <c r="BH10" s="39"/>
    </row>
    <row r="11" spans="1:60" ht="12.75" customHeight="1" x14ac:dyDescent="0.35">
      <c r="A11" s="9168"/>
      <c r="B11" s="40" t="s">
        <v>451</v>
      </c>
      <c r="C11" s="41"/>
      <c r="D11" s="585"/>
      <c r="E11" s="43"/>
      <c r="F11" s="44"/>
      <c r="G11"/>
      <c r="H11" s="45"/>
      <c r="I11" s="46"/>
      <c r="J11" s="47"/>
      <c r="K11" s="48"/>
      <c r="L11" s="45"/>
      <c r="M11" s="52"/>
      <c r="N11" s="50"/>
      <c r="O11" s="51"/>
      <c r="P11" s="52"/>
      <c r="Q11" s="53"/>
      <c r="R11" s="47"/>
      <c r="S11" s="48"/>
      <c r="T11" s="52"/>
      <c r="U11" s="53"/>
      <c r="V11" s="586"/>
      <c r="W11" s="50"/>
      <c r="X11" s="51"/>
      <c r="Y11" s="52"/>
      <c r="Z11" s="53"/>
      <c r="AA11" s="47"/>
      <c r="AB11" s="48"/>
      <c r="AC11" s="52"/>
      <c r="AD11" s="53"/>
      <c r="AE11" s="586"/>
      <c r="AF11" s="50"/>
      <c r="AG11" s="52"/>
      <c r="AH11" s="54"/>
      <c r="AI11" s="53"/>
      <c r="AJ11" s="47"/>
      <c r="AK11" s="48"/>
      <c r="AL11" s="52"/>
      <c r="AM11" s="53"/>
      <c r="AN11" s="586"/>
      <c r="AO11" s="50"/>
      <c r="AP11" s="3928"/>
      <c r="AQ11" s="54"/>
      <c r="AR11" s="53"/>
      <c r="AS11" s="47"/>
      <c r="AT11" s="48"/>
      <c r="AU11" s="3929"/>
      <c r="AV11" s="53"/>
      <c r="AW11" s="586"/>
      <c r="AX11" s="50"/>
      <c r="AY11" s="3928"/>
      <c r="AZ11" s="54"/>
      <c r="BA11" s="53"/>
      <c r="BB11" s="47"/>
      <c r="BC11" s="48"/>
      <c r="BD11" s="3928"/>
      <c r="BE11" s="109"/>
      <c r="BF11" s="6096"/>
      <c r="BG11" s="43"/>
      <c r="BH11" s="18"/>
    </row>
    <row r="12" spans="1:60" x14ac:dyDescent="0.35">
      <c r="A12" s="9168"/>
      <c r="B12" s="58"/>
      <c r="C12" s="59" t="s">
        <v>456</v>
      </c>
      <c r="D12" s="197">
        <v>1</v>
      </c>
      <c r="F12" s="61">
        <f>8787+362.2</f>
        <v>9149.2000000000007</v>
      </c>
      <c r="G12"/>
      <c r="H12" s="62">
        <v>11537.5</v>
      </c>
      <c r="I12" s="62">
        <v>10182</v>
      </c>
      <c r="J12" s="64">
        <f t="shared" ref="J12:J34" si="0">IF(H12=0,0,I12/H12)</f>
        <v>0.88251354279523297</v>
      </c>
      <c r="K12" s="65"/>
      <c r="L12" s="298">
        <f>12178+458.5</f>
        <v>12636.5</v>
      </c>
      <c r="M12" s="69">
        <v>10957.8</v>
      </c>
      <c r="N12" s="67"/>
      <c r="O12" s="68"/>
      <c r="P12" s="69"/>
      <c r="R12" s="64"/>
      <c r="S12" s="65"/>
      <c r="T12" s="68"/>
      <c r="U12" s="53"/>
      <c r="V12" s="69"/>
      <c r="W12" s="67"/>
      <c r="X12" s="68"/>
      <c r="Y12" s="69"/>
      <c r="AA12" s="64"/>
      <c r="AB12" s="65"/>
      <c r="AC12" s="68"/>
      <c r="AD12" s="53"/>
      <c r="AE12" s="69"/>
      <c r="AF12" s="67"/>
      <c r="AG12" s="68"/>
      <c r="AH12" s="299"/>
      <c r="AI12" s="53"/>
      <c r="AJ12" s="64"/>
      <c r="AK12" s="65"/>
      <c r="AL12" s="68"/>
      <c r="AM12" s="53"/>
      <c r="AN12" s="69"/>
      <c r="AO12" s="67"/>
      <c r="AP12" s="68"/>
      <c r="AQ12" s="299"/>
      <c r="AR12" s="53"/>
      <c r="AS12" s="476"/>
      <c r="AT12" s="65"/>
      <c r="AU12" s="68"/>
      <c r="AV12" s="53"/>
      <c r="AW12" s="69"/>
      <c r="AX12" s="67"/>
      <c r="AY12" s="68"/>
      <c r="AZ12" s="299"/>
      <c r="BA12" s="53"/>
      <c r="BB12" s="64"/>
      <c r="BC12" s="65"/>
      <c r="BD12" s="68"/>
      <c r="BE12" s="57"/>
      <c r="BF12" s="619"/>
      <c r="BH12" s="26" t="s">
        <v>5682</v>
      </c>
    </row>
    <row r="13" spans="1:60" x14ac:dyDescent="0.35">
      <c r="A13" s="9168"/>
      <c r="B13" s="58"/>
      <c r="C13" s="587" t="s">
        <v>5683</v>
      </c>
      <c r="D13" s="197"/>
      <c r="F13" s="61"/>
      <c r="G13"/>
      <c r="H13" s="62"/>
      <c r="I13" s="62"/>
      <c r="J13" s="64"/>
      <c r="K13" s="65"/>
      <c r="L13" s="298"/>
      <c r="M13" s="69"/>
      <c r="N13" s="67"/>
      <c r="O13" s="68">
        <v>12178</v>
      </c>
      <c r="P13" s="69">
        <v>10597.7</v>
      </c>
      <c r="Q13" s="70" t="s">
        <v>5684</v>
      </c>
      <c r="R13" s="64">
        <f>P13/O13</f>
        <v>0.8702332074232223</v>
      </c>
      <c r="S13" s="65"/>
      <c r="T13" s="68">
        <v>13475.6435</v>
      </c>
      <c r="U13" s="53" t="s">
        <v>5685</v>
      </c>
      <c r="V13" s="69"/>
      <c r="W13" s="67"/>
      <c r="X13" s="68">
        <v>13475.643</v>
      </c>
      <c r="Y13" s="69">
        <v>13660.143</v>
      </c>
      <c r="Z13" s="70" t="s">
        <v>5686</v>
      </c>
      <c r="AA13" s="64">
        <f>Y13/X13</f>
        <v>1.0136913689387586</v>
      </c>
      <c r="AB13" s="65"/>
      <c r="AC13" s="68">
        <v>17798.099999999999</v>
      </c>
      <c r="AD13" s="53" t="s">
        <v>900</v>
      </c>
      <c r="AE13" s="69">
        <v>16128.1</v>
      </c>
      <c r="AF13" s="67"/>
      <c r="AG13" s="68">
        <v>17798.099999999999</v>
      </c>
      <c r="AH13" s="299">
        <v>16128.1</v>
      </c>
      <c r="AI13" s="53" t="s">
        <v>900</v>
      </c>
      <c r="AJ13" s="64">
        <f>AH13/AG13</f>
        <v>0.90616975969345048</v>
      </c>
      <c r="AK13" s="65"/>
      <c r="AL13" s="68">
        <v>19289.7</v>
      </c>
      <c r="AM13" s="53" t="s">
        <v>2906</v>
      </c>
      <c r="AN13" s="69">
        <v>16128.1</v>
      </c>
      <c r="AO13" s="67"/>
      <c r="AP13" s="68">
        <v>19289.7</v>
      </c>
      <c r="AQ13" s="299">
        <v>17429.5</v>
      </c>
      <c r="AR13" s="53" t="s">
        <v>2906</v>
      </c>
      <c r="AS13" s="476">
        <f>AQ13/AP13</f>
        <v>0.9035651150614058</v>
      </c>
      <c r="AT13" s="65"/>
      <c r="AU13" s="68">
        <v>20159</v>
      </c>
      <c r="AV13" s="53" t="s">
        <v>2906</v>
      </c>
      <c r="AW13" s="69">
        <v>17866.2</v>
      </c>
      <c r="AX13" s="67"/>
      <c r="AY13" s="68">
        <v>20159</v>
      </c>
      <c r="AZ13" s="299">
        <v>17866.2</v>
      </c>
      <c r="BA13" s="53" t="s">
        <v>2906</v>
      </c>
      <c r="BB13" s="64">
        <f>AZ13/AY13</f>
        <v>0.88626419961307612</v>
      </c>
      <c r="BC13" s="65"/>
      <c r="BD13" s="68">
        <f>23045.3-BD14</f>
        <v>22279.899999999998</v>
      </c>
      <c r="BE13" s="57" t="s">
        <v>1825</v>
      </c>
      <c r="BF13" s="619">
        <f>BD13*BB13</f>
        <v>19745.877740959371</v>
      </c>
      <c r="BH13" s="26"/>
    </row>
    <row r="14" spans="1:60" x14ac:dyDescent="0.35">
      <c r="A14" s="9168"/>
      <c r="B14" s="58"/>
      <c r="C14" s="587" t="s">
        <v>5687</v>
      </c>
      <c r="D14" s="197"/>
      <c r="F14" s="61"/>
      <c r="G14"/>
      <c r="H14" s="62"/>
      <c r="I14" s="62"/>
      <c r="J14" s="64"/>
      <c r="K14" s="65"/>
      <c r="L14" s="298"/>
      <c r="M14" s="69"/>
      <c r="N14" s="67"/>
      <c r="O14" s="68">
        <v>458.5</v>
      </c>
      <c r="P14" s="69">
        <v>360.1</v>
      </c>
      <c r="Q14" s="70" t="s">
        <v>5684</v>
      </c>
      <c r="R14" s="64">
        <f t="shared" ref="R14:R29" si="1">P14/O14</f>
        <v>0.78538713195201748</v>
      </c>
      <c r="S14" s="65"/>
      <c r="T14" s="68">
        <v>521.87900000000002</v>
      </c>
      <c r="U14" s="53" t="s">
        <v>5685</v>
      </c>
      <c r="V14" s="69"/>
      <c r="W14" s="67"/>
      <c r="X14" s="68">
        <v>521.87900000000002</v>
      </c>
      <c r="Y14" s="69">
        <v>425.85199999999998</v>
      </c>
      <c r="Z14" s="70" t="s">
        <v>5686</v>
      </c>
      <c r="AA14" s="64">
        <f t="shared" ref="AA14:AA17" si="2">Y14/X14</f>
        <v>0.81599757798263572</v>
      </c>
      <c r="AB14" s="65"/>
      <c r="AC14" s="68">
        <v>665.4</v>
      </c>
      <c r="AD14" s="53" t="s">
        <v>900</v>
      </c>
      <c r="AE14" s="69">
        <v>511.7</v>
      </c>
      <c r="AF14" s="67"/>
      <c r="AG14" s="68">
        <v>665.4</v>
      </c>
      <c r="AH14" s="299">
        <v>511.7</v>
      </c>
      <c r="AI14" s="53" t="s">
        <v>900</v>
      </c>
      <c r="AJ14" s="64">
        <f t="shared" ref="AJ14:AJ17" si="3">AH14/AG14</f>
        <v>0.76901112113014725</v>
      </c>
      <c r="AK14" s="65"/>
      <c r="AL14" s="68">
        <v>687.3</v>
      </c>
      <c r="AM14" s="53"/>
      <c r="AN14" s="69">
        <v>511.7</v>
      </c>
      <c r="AO14" s="67"/>
      <c r="AP14" s="68">
        <v>687.3</v>
      </c>
      <c r="AQ14" s="299">
        <v>541.5</v>
      </c>
      <c r="AR14" s="53" t="s">
        <v>2906</v>
      </c>
      <c r="AS14" s="476">
        <f t="shared" ref="AS14:AS17" si="4">AQ14/AP14</f>
        <v>0.78786556089044091</v>
      </c>
      <c r="AT14" s="65"/>
      <c r="AU14" s="68">
        <v>735.6</v>
      </c>
      <c r="AV14" s="53"/>
      <c r="AW14" s="69">
        <v>659.1</v>
      </c>
      <c r="AX14" s="67"/>
      <c r="AY14" s="68">
        <v>735.6</v>
      </c>
      <c r="AZ14" s="299">
        <v>659.1</v>
      </c>
      <c r="BA14" s="53"/>
      <c r="BB14" s="64">
        <f t="shared" ref="BB14:BB17" si="5">AZ14/AY14</f>
        <v>0.89600326264274066</v>
      </c>
      <c r="BC14" s="65"/>
      <c r="BD14" s="68">
        <v>765.4</v>
      </c>
      <c r="BE14" s="57"/>
      <c r="BF14" s="619">
        <f t="shared" ref="BF14:BF15" si="6">BD14*BB14</f>
        <v>685.8008972267537</v>
      </c>
      <c r="BH14" s="26"/>
    </row>
    <row r="15" spans="1:60" x14ac:dyDescent="0.35">
      <c r="A15" s="9168"/>
      <c r="B15" s="58"/>
      <c r="C15" s="59" t="s">
        <v>1041</v>
      </c>
      <c r="D15" s="197">
        <v>2</v>
      </c>
      <c r="F15" s="61">
        <f>842.4+2314.2</f>
        <v>3156.6</v>
      </c>
      <c r="G15"/>
      <c r="H15" s="62">
        <v>2390</v>
      </c>
      <c r="I15" s="62">
        <v>1587.6</v>
      </c>
      <c r="J15" s="64">
        <f t="shared" si="0"/>
        <v>0.6642677824267782</v>
      </c>
      <c r="K15" s="65"/>
      <c r="L15" s="298">
        <f>922.2+2019.4</f>
        <v>2941.6000000000004</v>
      </c>
      <c r="M15" s="69">
        <v>1024.0999999999999</v>
      </c>
      <c r="N15" s="67"/>
      <c r="O15" s="68">
        <v>1481.2</v>
      </c>
      <c r="P15" s="69">
        <v>1024.0999999999999</v>
      </c>
      <c r="Q15" s="53" t="s">
        <v>5688</v>
      </c>
      <c r="R15" s="64">
        <f t="shared" si="1"/>
        <v>0.69139886578449894</v>
      </c>
      <c r="S15" s="65"/>
      <c r="T15" s="298">
        <v>2322</v>
      </c>
      <c r="U15" s="53" t="s">
        <v>5689</v>
      </c>
      <c r="V15" s="69"/>
      <c r="W15" s="67"/>
      <c r="X15" s="68">
        <f>1463.155+199.026</f>
        <v>1662.181</v>
      </c>
      <c r="Y15" s="69">
        <v>1727</v>
      </c>
      <c r="Z15" s="70" t="s">
        <v>5689</v>
      </c>
      <c r="AA15" s="64">
        <f t="shared" si="2"/>
        <v>1.0389963547892798</v>
      </c>
      <c r="AB15" s="65"/>
      <c r="AC15" s="298">
        <v>1423.1</v>
      </c>
      <c r="AD15" s="53" t="s">
        <v>1995</v>
      </c>
      <c r="AE15" s="69">
        <v>1092.5</v>
      </c>
      <c r="AF15" s="67"/>
      <c r="AG15" s="298">
        <v>1423.1</v>
      </c>
      <c r="AH15" s="299">
        <v>1092.5</v>
      </c>
      <c r="AI15" s="53" t="s">
        <v>1995</v>
      </c>
      <c r="AJ15" s="64">
        <f t="shared" si="3"/>
        <v>0.76769025367156218</v>
      </c>
      <c r="AK15" s="65"/>
      <c r="AL15" s="298">
        <v>1426.6</v>
      </c>
      <c r="AM15" s="53" t="s">
        <v>5690</v>
      </c>
      <c r="AN15" s="69">
        <f>869.8</f>
        <v>869.8</v>
      </c>
      <c r="AO15" s="67"/>
      <c r="AP15" s="298">
        <v>1462.6</v>
      </c>
      <c r="AQ15" s="299">
        <v>930.6</v>
      </c>
      <c r="AR15" s="53" t="s">
        <v>5690</v>
      </c>
      <c r="AS15" s="476">
        <f t="shared" si="4"/>
        <v>0.63626418706413246</v>
      </c>
      <c r="AT15" s="65"/>
      <c r="AU15" s="298">
        <v>1081.4000000000001</v>
      </c>
      <c r="AV15" s="53" t="s">
        <v>5690</v>
      </c>
      <c r="AW15" s="69" t="s">
        <v>5691</v>
      </c>
      <c r="AX15" s="67"/>
      <c r="AY15" s="298">
        <v>1081.4000000000001</v>
      </c>
      <c r="AZ15" s="299">
        <v>461.2</v>
      </c>
      <c r="BA15" s="53" t="s">
        <v>5690</v>
      </c>
      <c r="BB15" s="9544">
        <f>(AZ15+AZ16)/(AY15+AY16)</f>
        <v>0.77153883991070416</v>
      </c>
      <c r="BC15" s="65"/>
      <c r="BD15" s="298">
        <v>2783.7</v>
      </c>
      <c r="BE15" s="57" t="s">
        <v>5692</v>
      </c>
      <c r="BF15" s="619">
        <f t="shared" si="6"/>
        <v>2147.732668659427</v>
      </c>
      <c r="BH15" s="26" t="s">
        <v>5693</v>
      </c>
    </row>
    <row r="16" spans="1:60" x14ac:dyDescent="0.35">
      <c r="A16" s="9168"/>
      <c r="B16" s="75"/>
      <c r="C16" s="76" t="s">
        <v>465</v>
      </c>
      <c r="D16" s="197"/>
      <c r="F16" s="77"/>
      <c r="G16"/>
      <c r="H16" s="62"/>
      <c r="I16" s="62"/>
      <c r="J16" s="64"/>
      <c r="K16" s="80"/>
      <c r="L16" s="588"/>
      <c r="M16" s="82"/>
      <c r="N16" s="67"/>
      <c r="O16" s="81">
        <f>375.5+1000+85</f>
        <v>1460.5</v>
      </c>
      <c r="P16" s="82">
        <f>374.7+640.7+163.2</f>
        <v>1178.6000000000001</v>
      </c>
      <c r="Q16" s="53" t="s">
        <v>5694</v>
      </c>
      <c r="R16" s="64">
        <f t="shared" si="1"/>
        <v>0.80698390961999322</v>
      </c>
      <c r="S16" s="80"/>
      <c r="T16" s="588"/>
      <c r="U16" s="53"/>
      <c r="V16" s="82"/>
      <c r="W16" s="67"/>
      <c r="X16" s="81">
        <v>660.33699999999999</v>
      </c>
      <c r="Y16" s="82"/>
      <c r="Z16" s="53"/>
      <c r="AA16" s="64">
        <f t="shared" si="2"/>
        <v>0</v>
      </c>
      <c r="AB16" s="80"/>
      <c r="AC16" s="588">
        <v>303.7</v>
      </c>
      <c r="AD16" s="53" t="s">
        <v>1995</v>
      </c>
      <c r="AE16" s="82">
        <v>152.5</v>
      </c>
      <c r="AF16" s="67"/>
      <c r="AG16" s="588">
        <v>303.7</v>
      </c>
      <c r="AH16" s="589">
        <v>152.5</v>
      </c>
      <c r="AI16" s="53" t="s">
        <v>1995</v>
      </c>
      <c r="AJ16" s="64">
        <f t="shared" si="3"/>
        <v>0.50214027000329275</v>
      </c>
      <c r="AK16" s="80"/>
      <c r="AL16" s="588">
        <f>715.2+1401.9</f>
        <v>2117.1000000000004</v>
      </c>
      <c r="AM16" s="53" t="s">
        <v>5690</v>
      </c>
      <c r="AN16" s="82">
        <f>75.3+1095.2</f>
        <v>1170.5</v>
      </c>
      <c r="AO16" s="67"/>
      <c r="AP16" s="588">
        <f>751.2+1401.9</f>
        <v>2153.1000000000004</v>
      </c>
      <c r="AQ16" s="589">
        <f>0+1464.3</f>
        <v>1464.3</v>
      </c>
      <c r="AR16" s="53" t="s">
        <v>5690</v>
      </c>
      <c r="AS16" s="476">
        <f t="shared" si="4"/>
        <v>0.68008917374947742</v>
      </c>
      <c r="AT16" s="80"/>
      <c r="AU16" s="588">
        <f>309.5+1252</f>
        <v>1561.5</v>
      </c>
      <c r="AV16" s="53" t="s">
        <v>5690</v>
      </c>
      <c r="AW16" s="82">
        <f>125.4+1452.5</f>
        <v>1577.9</v>
      </c>
      <c r="AX16" s="67"/>
      <c r="AY16" s="588">
        <f>309.5+1252</f>
        <v>1561.5</v>
      </c>
      <c r="AZ16" s="589">
        <f>125.4+1452.5</f>
        <v>1577.9</v>
      </c>
      <c r="BA16" s="53" t="s">
        <v>5690</v>
      </c>
      <c r="BB16" s="9544"/>
      <c r="BC16" s="80"/>
      <c r="BD16" s="588"/>
      <c r="BE16" s="57"/>
      <c r="BF16" s="619"/>
      <c r="BH16" s="26"/>
    </row>
    <row r="17" spans="1:63" x14ac:dyDescent="0.35">
      <c r="A17" s="9168"/>
      <c r="B17" s="85"/>
      <c r="C17" s="86" t="s">
        <v>466</v>
      </c>
      <c r="D17" s="209"/>
      <c r="F17" s="88">
        <f>SUM(F12:F15)</f>
        <v>12305.800000000001</v>
      </c>
      <c r="G17"/>
      <c r="H17" s="62">
        <f>SUM(H12:H15)</f>
        <v>13927.5</v>
      </c>
      <c r="I17" s="62">
        <f>SUM(I12:I15)</f>
        <v>11769.6</v>
      </c>
      <c r="J17" s="64">
        <f t="shared" si="0"/>
        <v>0.84506192784060319</v>
      </c>
      <c r="K17" s="80"/>
      <c r="L17" s="590">
        <f>SUM(L12:L15)</f>
        <v>15578.1</v>
      </c>
      <c r="M17" s="94">
        <f>SUM(M12:M15)</f>
        <v>11981.9</v>
      </c>
      <c r="N17" s="67"/>
      <c r="O17" s="93">
        <f>SUM(O12:O16)</f>
        <v>15578.2</v>
      </c>
      <c r="P17" s="94">
        <f>SUM(P12:P16)</f>
        <v>13160.500000000002</v>
      </c>
      <c r="Q17" s="95"/>
      <c r="R17" s="64">
        <f t="shared" si="1"/>
        <v>0.84480235200472464</v>
      </c>
      <c r="S17" s="80"/>
      <c r="T17" s="590">
        <f>SUM(T12:T16)</f>
        <v>16319.522500000001</v>
      </c>
      <c r="U17" s="95"/>
      <c r="V17" s="94">
        <f>SUM(V12:V16)</f>
        <v>0</v>
      </c>
      <c r="W17" s="67"/>
      <c r="X17" s="93">
        <f>SUM(X12:X16)</f>
        <v>16320.04</v>
      </c>
      <c r="Y17" s="94">
        <f>SUM(Y12:Y16)</f>
        <v>15812.995000000001</v>
      </c>
      <c r="Z17" s="95"/>
      <c r="AA17" s="64">
        <f t="shared" si="2"/>
        <v>0.9689311423256316</v>
      </c>
      <c r="AB17" s="80"/>
      <c r="AC17" s="590">
        <f>SUM(AC12:AC16)</f>
        <v>20190.3</v>
      </c>
      <c r="AD17" s="95"/>
      <c r="AE17" s="94">
        <f>SUM(AE12:AE16)</f>
        <v>17884.8</v>
      </c>
      <c r="AF17" s="67"/>
      <c r="AG17" s="590">
        <f>SUM(AG12:AG16)</f>
        <v>20190.3</v>
      </c>
      <c r="AH17" s="591">
        <f>SUM(AH12:AH16)</f>
        <v>17884.8</v>
      </c>
      <c r="AI17" s="95"/>
      <c r="AJ17" s="64">
        <f t="shared" si="3"/>
        <v>0.88581150354378091</v>
      </c>
      <c r="AK17" s="80"/>
      <c r="AL17" s="590">
        <f>SUM(AL12:AL16)</f>
        <v>23520.699999999997</v>
      </c>
      <c r="AM17" s="95"/>
      <c r="AN17" s="94">
        <f>SUM(AN12:AN16)</f>
        <v>18680.099999999999</v>
      </c>
      <c r="AO17" s="67"/>
      <c r="AP17" s="590">
        <f>SUM(AP12:AP16)</f>
        <v>23592.699999999997</v>
      </c>
      <c r="AQ17" s="591">
        <f>SUM(AQ12:AQ16)</f>
        <v>20365.899999999998</v>
      </c>
      <c r="AR17" s="95"/>
      <c r="AS17" s="476">
        <f t="shared" si="4"/>
        <v>0.86322888011969801</v>
      </c>
      <c r="AT17" s="80"/>
      <c r="AU17" s="590">
        <f>SUM(AU12:AU16)</f>
        <v>23537.5</v>
      </c>
      <c r="AV17" s="95"/>
      <c r="AW17" s="94">
        <f>SUM(AW12:AW16)</f>
        <v>20103.2</v>
      </c>
      <c r="AX17" s="67"/>
      <c r="AY17" s="590">
        <f>SUM(AY12:AY16)</f>
        <v>23537.5</v>
      </c>
      <c r="AZ17" s="591">
        <f>SUM(AZ12:AZ16)</f>
        <v>20564.400000000001</v>
      </c>
      <c r="BA17" s="95"/>
      <c r="BB17" s="64">
        <f t="shared" si="5"/>
        <v>0.87368667020711632</v>
      </c>
      <c r="BC17" s="80"/>
      <c r="BD17" s="590">
        <f>SUM(BD12:BD16)</f>
        <v>25829</v>
      </c>
      <c r="BE17" s="98"/>
      <c r="BF17" s="628">
        <f>SUM(BF12:BF16)</f>
        <v>22579.411306845552</v>
      </c>
      <c r="BH17" s="24"/>
    </row>
    <row r="18" spans="1:63" x14ac:dyDescent="0.35">
      <c r="A18" s="9168"/>
      <c r="B18" s="100" t="s">
        <v>468</v>
      </c>
      <c r="C18" s="49"/>
      <c r="D18" s="585"/>
      <c r="E18" s="43"/>
      <c r="F18" s="101"/>
      <c r="G18"/>
      <c r="H18" s="102"/>
      <c r="I18" s="103"/>
      <c r="J18" s="104"/>
      <c r="K18" s="43"/>
      <c r="L18" s="102"/>
      <c r="M18" s="105"/>
      <c r="N18" s="43"/>
      <c r="O18" s="102"/>
      <c r="P18" s="106"/>
      <c r="Q18" s="592"/>
      <c r="R18" s="104"/>
      <c r="S18" s="43"/>
      <c r="T18" s="107"/>
      <c r="U18" s="592"/>
      <c r="V18" s="105"/>
      <c r="W18" s="43"/>
      <c r="X18" s="102"/>
      <c r="Y18" s="106"/>
      <c r="Z18" s="592"/>
      <c r="AA18" s="104"/>
      <c r="AB18" s="43"/>
      <c r="AC18" s="107"/>
      <c r="AD18" s="592"/>
      <c r="AE18" s="105"/>
      <c r="AF18" s="43"/>
      <c r="AG18" s="107"/>
      <c r="AH18" s="103"/>
      <c r="AI18" s="592"/>
      <c r="AJ18" s="104"/>
      <c r="AK18" s="43"/>
      <c r="AL18" s="107"/>
      <c r="AM18" s="592"/>
      <c r="AN18" s="105"/>
      <c r="AO18" s="43"/>
      <c r="AP18" s="107"/>
      <c r="AQ18" s="103"/>
      <c r="AR18" s="592"/>
      <c r="AS18" s="104"/>
      <c r="AT18" s="43"/>
      <c r="AU18" s="107"/>
      <c r="AV18" s="592"/>
      <c r="AW18" s="105"/>
      <c r="AX18" s="43"/>
      <c r="AY18" s="107"/>
      <c r="AZ18" s="103"/>
      <c r="BA18" s="592"/>
      <c r="BB18" s="104"/>
      <c r="BC18" s="43"/>
      <c r="BD18" s="107"/>
      <c r="BE18" s="592" t="s">
        <v>5695</v>
      </c>
      <c r="BF18" s="105"/>
      <c r="BG18" s="43"/>
      <c r="BH18" s="18"/>
    </row>
    <row r="19" spans="1:63" x14ac:dyDescent="0.35">
      <c r="A19" s="9168"/>
      <c r="B19" s="6082"/>
      <c r="C19" s="110" t="s">
        <v>470</v>
      </c>
      <c r="D19" s="197"/>
      <c r="F19" s="111">
        <f>10664.105-F27</f>
        <v>7919.0489999999991</v>
      </c>
      <c r="G19"/>
      <c r="H19" s="117">
        <v>9285</v>
      </c>
      <c r="I19" s="113">
        <f>8074.7</f>
        <v>8074.7</v>
      </c>
      <c r="J19" s="64">
        <f t="shared" si="0"/>
        <v>0.86964997307485192</v>
      </c>
      <c r="L19" s="112">
        <f>13408.22-L27</f>
        <v>9053.49</v>
      </c>
      <c r="M19" s="482">
        <v>8460</v>
      </c>
      <c r="O19" s="593">
        <f>9025.6-O20</f>
        <v>8974.5</v>
      </c>
      <c r="P19" s="594">
        <f>8460-P20</f>
        <v>8422</v>
      </c>
      <c r="Q19" s="116" t="s">
        <v>5696</v>
      </c>
      <c r="R19" s="64">
        <f t="shared" si="1"/>
        <v>0.9384366817092874</v>
      </c>
      <c r="T19" s="595">
        <f>6466.481+3146.32</f>
        <v>9612.8009999999995</v>
      </c>
      <c r="U19" s="116" t="s">
        <v>5697</v>
      </c>
      <c r="V19" s="596"/>
      <c r="X19" s="593">
        <f>6466.48+3723.36</f>
        <v>10189.84</v>
      </c>
      <c r="Y19" s="594">
        <f>6562.93+2802.95</f>
        <v>9365.880000000001</v>
      </c>
      <c r="Z19" s="116" t="s">
        <v>5698</v>
      </c>
      <c r="AA19" s="64">
        <f t="shared" ref="AA19" si="7">Y19/X19</f>
        <v>0.91913906400885592</v>
      </c>
      <c r="AC19" s="595">
        <f>AC29-SUM(AC20:AC28)</f>
        <v>10075.077459</v>
      </c>
      <c r="AD19" s="116" t="s">
        <v>3115</v>
      </c>
      <c r="AE19" s="596">
        <f>AE29-SUM(AE20:AE28)</f>
        <v>9157.8854139999985</v>
      </c>
      <c r="AG19" s="595">
        <f>AG29-SUM(AG20:AG28)</f>
        <v>10075.077459</v>
      </c>
      <c r="AH19" s="597">
        <f>AH29-SUM(AH20:AH28)</f>
        <v>9157.8854139999985</v>
      </c>
      <c r="AI19" s="116" t="s">
        <v>3115</v>
      </c>
      <c r="AJ19" s="64">
        <f t="shared" ref="AJ19" si="8">AH19/AG19</f>
        <v>0.9089642686388798</v>
      </c>
      <c r="AL19" s="595">
        <f>20279.316043552-AL28</f>
        <v>10707.107681552001</v>
      </c>
      <c r="AM19" s="116" t="s">
        <v>5699</v>
      </c>
      <c r="AN19" s="596">
        <f>18778.474769661-AN28</f>
        <v>9245.6811141210001</v>
      </c>
      <c r="AP19" s="595">
        <f>20279.316043552-AP28</f>
        <v>10707.107681552001</v>
      </c>
      <c r="AQ19" s="597">
        <f>18778.474769661-AQ28</f>
        <v>9245.6811141210001</v>
      </c>
      <c r="AR19" s="116" t="s">
        <v>5700</v>
      </c>
      <c r="AS19" s="476">
        <f t="shared" ref="AS19" si="9">AQ19/AP19</f>
        <v>0.86350874476129613</v>
      </c>
      <c r="AU19" s="595">
        <f>20642.558368068-AU28</f>
        <v>11014.121047807999</v>
      </c>
      <c r="AV19" s="116" t="s">
        <v>5701</v>
      </c>
      <c r="AW19" s="596">
        <f>19099.950340223-AW28</f>
        <v>9986.1726012880008</v>
      </c>
      <c r="AY19" s="595">
        <f>20642.558368068-AY28</f>
        <v>11014.121047807999</v>
      </c>
      <c r="AZ19" s="597">
        <f>19099.950340223-AZ28</f>
        <v>9986.1726012880008</v>
      </c>
      <c r="BA19" s="116" t="s">
        <v>5701</v>
      </c>
      <c r="BB19" s="64">
        <f t="shared" ref="BB19:BB29" si="10">AZ19/AY19</f>
        <v>0.90666995195911904</v>
      </c>
      <c r="BD19" s="595">
        <f>20856.8-BD27-BD28</f>
        <v>12994.22</v>
      </c>
      <c r="BE19" s="119" t="s">
        <v>1831</v>
      </c>
      <c r="BF19" s="619">
        <f>BD19*BB19</f>
        <v>11781.468823146222</v>
      </c>
      <c r="BH19" s="26"/>
    </row>
    <row r="20" spans="1:63" x14ac:dyDescent="0.35">
      <c r="A20" s="9168"/>
      <c r="B20" s="6082"/>
      <c r="C20" s="110" t="s">
        <v>5702</v>
      </c>
      <c r="D20" s="197"/>
      <c r="F20" s="122"/>
      <c r="G20"/>
      <c r="H20" s="114"/>
      <c r="I20" s="123"/>
      <c r="J20" s="64"/>
      <c r="L20" s="114"/>
      <c r="M20" s="482"/>
      <c r="O20" s="598">
        <f>30.1+21</f>
        <v>51.1</v>
      </c>
      <c r="P20" s="594">
        <f>17+21</f>
        <v>38</v>
      </c>
      <c r="Q20" s="116" t="s">
        <v>5703</v>
      </c>
      <c r="R20" s="64">
        <f>P20/O20</f>
        <v>0.74363992172211346</v>
      </c>
      <c r="T20" s="595">
        <v>38.273000000000003</v>
      </c>
      <c r="U20" s="53" t="s">
        <v>5704</v>
      </c>
      <c r="V20" s="596"/>
      <c r="X20" s="598"/>
      <c r="Y20" s="594"/>
      <c r="Z20" s="116"/>
      <c r="AA20" s="64" t="e">
        <f>Y20/X20</f>
        <v>#DIV/0!</v>
      </c>
      <c r="AC20" s="595"/>
      <c r="AD20" s="53"/>
      <c r="AE20" s="596"/>
      <c r="AG20" s="595"/>
      <c r="AH20" s="597"/>
      <c r="AI20" s="53"/>
      <c r="AJ20" s="64" t="e">
        <f>AH20/AG20</f>
        <v>#DIV/0!</v>
      </c>
      <c r="AL20" s="595"/>
      <c r="AM20" s="53"/>
      <c r="AN20" s="596"/>
      <c r="AP20" s="595"/>
      <c r="AQ20" s="597"/>
      <c r="AR20" s="53"/>
      <c r="AS20" s="476" t="e">
        <f>AQ20/AP20</f>
        <v>#DIV/0!</v>
      </c>
      <c r="AU20" s="595"/>
      <c r="AV20" s="53"/>
      <c r="AW20" s="596"/>
      <c r="AY20" s="595"/>
      <c r="AZ20" s="597"/>
      <c r="BA20" s="53"/>
      <c r="BB20" s="64"/>
      <c r="BD20" s="595"/>
      <c r="BE20" s="57"/>
      <c r="BF20" s="619"/>
      <c r="BH20" s="26"/>
      <c r="BK20" t="s">
        <v>5705</v>
      </c>
    </row>
    <row r="21" spans="1:63" x14ac:dyDescent="0.35">
      <c r="A21" s="9168"/>
      <c r="B21" s="6082"/>
      <c r="C21" s="110" t="s">
        <v>5706</v>
      </c>
      <c r="D21" s="197"/>
      <c r="F21" s="122"/>
      <c r="G21"/>
      <c r="H21" s="114"/>
      <c r="I21" s="123"/>
      <c r="J21" s="64"/>
      <c r="L21" s="114"/>
      <c r="M21" s="482"/>
      <c r="O21" s="598"/>
      <c r="P21" s="594"/>
      <c r="Q21" s="53"/>
      <c r="R21" s="64"/>
      <c r="T21" s="595">
        <v>528.76300000000003</v>
      </c>
      <c r="U21" s="53" t="s">
        <v>5707</v>
      </c>
      <c r="V21" s="596"/>
      <c r="X21" s="598"/>
      <c r="Y21" s="594"/>
      <c r="Z21" s="53"/>
      <c r="AA21" s="64"/>
      <c r="AC21" s="595"/>
      <c r="AD21" s="53"/>
      <c r="AE21" s="596"/>
      <c r="AG21" s="595"/>
      <c r="AH21" s="597"/>
      <c r="AI21" s="53"/>
      <c r="AJ21" s="64"/>
      <c r="AL21" s="595"/>
      <c r="AM21" s="53"/>
      <c r="AN21" s="596"/>
      <c r="AP21" s="595"/>
      <c r="AQ21" s="597"/>
      <c r="AR21" s="53"/>
      <c r="AS21" s="476"/>
      <c r="AU21" s="595"/>
      <c r="AV21" s="53"/>
      <c r="AW21" s="596"/>
      <c r="AY21" s="595"/>
      <c r="AZ21" s="597"/>
      <c r="BA21" s="53"/>
      <c r="BB21" s="64"/>
      <c r="BD21" s="595"/>
      <c r="BE21" s="57"/>
      <c r="BF21" s="619"/>
      <c r="BH21" s="26"/>
      <c r="BK21" t="s">
        <v>5708</v>
      </c>
    </row>
    <row r="22" spans="1:63" x14ac:dyDescent="0.35">
      <c r="A22" s="9168"/>
      <c r="B22" s="6082"/>
      <c r="C22" s="110" t="s">
        <v>502</v>
      </c>
      <c r="D22" s="197"/>
      <c r="F22" s="122">
        <v>4527.8389999999999</v>
      </c>
      <c r="G22"/>
      <c r="H22" s="117">
        <v>5645</v>
      </c>
      <c r="I22" s="123">
        <f>3926</f>
        <v>3926</v>
      </c>
      <c r="J22" s="64">
        <f t="shared" si="0"/>
        <v>0.69548272807794509</v>
      </c>
      <c r="L22" s="114">
        <v>6445.11</v>
      </c>
      <c r="M22" s="482">
        <v>3710.2</v>
      </c>
      <c r="O22" s="598"/>
      <c r="P22" s="594"/>
      <c r="Q22" s="116"/>
      <c r="R22" s="64"/>
      <c r="T22" s="595"/>
      <c r="U22" s="116"/>
      <c r="V22" s="596"/>
      <c r="X22" s="598"/>
      <c r="Y22" s="594"/>
      <c r="Z22" s="116"/>
      <c r="AA22" s="64"/>
      <c r="AC22" s="595"/>
      <c r="AD22" s="116"/>
      <c r="AE22" s="596"/>
      <c r="AG22" s="595"/>
      <c r="AH22" s="597"/>
      <c r="AI22" s="116"/>
      <c r="AJ22" s="64"/>
      <c r="AL22" s="595"/>
      <c r="AM22" s="116"/>
      <c r="AN22" s="596"/>
      <c r="AP22" s="595"/>
      <c r="AQ22" s="597"/>
      <c r="AR22" s="116"/>
      <c r="AS22" s="476"/>
      <c r="AU22" s="595"/>
      <c r="AV22" s="116"/>
      <c r="AW22" s="596"/>
      <c r="AY22" s="595"/>
      <c r="AZ22" s="597"/>
      <c r="BA22" s="116"/>
      <c r="BB22" s="64"/>
      <c r="BD22" s="595"/>
      <c r="BE22" s="119"/>
      <c r="BF22" s="619"/>
      <c r="BH22" s="26"/>
    </row>
    <row r="23" spans="1:63" x14ac:dyDescent="0.35">
      <c r="A23" s="9168"/>
      <c r="B23" s="6082"/>
      <c r="C23" s="110"/>
      <c r="D23" s="197"/>
      <c r="F23" s="122"/>
      <c r="G23"/>
      <c r="H23" s="114"/>
      <c r="I23" s="123"/>
      <c r="J23" s="64"/>
      <c r="L23" s="114"/>
      <c r="M23" s="482"/>
      <c r="O23" s="598"/>
      <c r="P23" s="594"/>
      <c r="Q23" s="53"/>
      <c r="R23" s="64"/>
      <c r="T23" s="595">
        <v>50.905999999999999</v>
      </c>
      <c r="U23" s="53" t="s">
        <v>5704</v>
      </c>
      <c r="V23" s="596"/>
      <c r="X23" s="598"/>
      <c r="Y23" s="594"/>
      <c r="Z23" s="53"/>
      <c r="AA23" s="64"/>
      <c r="AC23" s="595"/>
      <c r="AD23" s="53"/>
      <c r="AE23" s="596"/>
      <c r="AG23" s="595"/>
      <c r="AH23" s="597"/>
      <c r="AI23" s="53"/>
      <c r="AJ23" s="64"/>
      <c r="AL23" s="595"/>
      <c r="AM23" s="53"/>
      <c r="AN23" s="596"/>
      <c r="AP23" s="595"/>
      <c r="AQ23" s="597"/>
      <c r="AR23" s="53"/>
      <c r="AS23" s="476"/>
      <c r="AU23" s="595"/>
      <c r="AV23" s="53"/>
      <c r="AW23" s="596"/>
      <c r="AY23" s="595"/>
      <c r="AZ23" s="597"/>
      <c r="BA23" s="53"/>
      <c r="BB23" s="64"/>
      <c r="BD23" s="595"/>
      <c r="BE23" s="57"/>
      <c r="BF23" s="619"/>
      <c r="BH23" s="26"/>
      <c r="BK23" t="s">
        <v>5709</v>
      </c>
    </row>
    <row r="24" spans="1:63" x14ac:dyDescent="0.35">
      <c r="A24" s="9168"/>
      <c r="B24" s="6082"/>
      <c r="C24" s="110"/>
      <c r="D24" s="197"/>
      <c r="F24" s="122"/>
      <c r="G24"/>
      <c r="H24" s="114"/>
      <c r="I24" s="123"/>
      <c r="J24" s="64"/>
      <c r="L24" s="114"/>
      <c r="M24" s="482"/>
      <c r="O24" s="598"/>
      <c r="P24" s="594"/>
      <c r="Q24" s="53"/>
      <c r="R24" s="64"/>
      <c r="T24" s="595">
        <v>688.44500000000005</v>
      </c>
      <c r="U24" s="53" t="s">
        <v>5707</v>
      </c>
      <c r="V24" s="596"/>
      <c r="X24" s="598"/>
      <c r="Y24" s="594"/>
      <c r="Z24" s="53"/>
      <c r="AA24" s="64"/>
      <c r="AC24" s="595"/>
      <c r="AD24" s="53"/>
      <c r="AE24" s="596"/>
      <c r="AG24" s="595"/>
      <c r="AH24" s="597"/>
      <c r="AI24" s="53"/>
      <c r="AJ24" s="64"/>
      <c r="AL24" s="595"/>
      <c r="AM24" s="53"/>
      <c r="AN24" s="596"/>
      <c r="AP24" s="595"/>
      <c r="AQ24" s="597"/>
      <c r="AR24" s="53"/>
      <c r="AS24" s="476"/>
      <c r="AU24" s="595"/>
      <c r="AV24" s="53"/>
      <c r="AW24" s="596"/>
      <c r="AY24" s="595"/>
      <c r="AZ24" s="597"/>
      <c r="BA24" s="53"/>
      <c r="BB24" s="64"/>
      <c r="BD24" s="595"/>
      <c r="BE24" s="57"/>
      <c r="BF24" s="619"/>
      <c r="BH24" s="26"/>
      <c r="BK24" t="s">
        <v>5673</v>
      </c>
    </row>
    <row r="25" spans="1:63" x14ac:dyDescent="0.35">
      <c r="A25" s="9168"/>
      <c r="B25" s="6082"/>
      <c r="C25" s="121" t="s">
        <v>630</v>
      </c>
      <c r="D25" s="197"/>
      <c r="F25" s="122"/>
      <c r="G25"/>
      <c r="H25" s="114"/>
      <c r="I25" s="123"/>
      <c r="J25" s="64"/>
      <c r="L25" s="114"/>
      <c r="M25" s="482"/>
      <c r="O25" s="598">
        <v>4453.6000000000004</v>
      </c>
      <c r="P25" s="594">
        <v>2264.5</v>
      </c>
      <c r="Q25" s="53" t="s">
        <v>5710</v>
      </c>
      <c r="R25" s="64">
        <f t="shared" si="1"/>
        <v>0.50846506197233698</v>
      </c>
      <c r="T25" s="595">
        <v>5179.7020000000002</v>
      </c>
      <c r="U25" s="53" t="s">
        <v>5711</v>
      </c>
      <c r="V25" s="596"/>
      <c r="X25" s="598">
        <v>4286.87</v>
      </c>
      <c r="Y25" s="594">
        <v>3117.22</v>
      </c>
      <c r="Z25" s="53"/>
      <c r="AA25" s="64">
        <f t="shared" ref="AA25:AA29" si="11">Y25/X25</f>
        <v>0.72715524380258789</v>
      </c>
      <c r="AC25" s="595">
        <v>8364.7540210000006</v>
      </c>
      <c r="AD25" s="53" t="s">
        <v>5712</v>
      </c>
      <c r="AE25" s="596">
        <v>5110.8678149999996</v>
      </c>
      <c r="AG25" s="595">
        <v>8364.7540210000006</v>
      </c>
      <c r="AH25" s="597">
        <v>5110.8678149999996</v>
      </c>
      <c r="AI25" s="53" t="s">
        <v>5712</v>
      </c>
      <c r="AJ25" s="64">
        <f t="shared" ref="AJ25:AJ29" si="12">AH25/AG25</f>
        <v>0.6110003715792468</v>
      </c>
      <c r="AL25" s="595">
        <v>8179.1484656450002</v>
      </c>
      <c r="AM25" s="53" t="s">
        <v>5713</v>
      </c>
      <c r="AN25" s="596">
        <v>5068.8106803629998</v>
      </c>
      <c r="AP25" s="595">
        <v>8179.1484656450002</v>
      </c>
      <c r="AQ25" s="597">
        <v>5068.8106803629998</v>
      </c>
      <c r="AR25" s="53" t="s">
        <v>5714</v>
      </c>
      <c r="AS25" s="476">
        <f t="shared" ref="AS25:AS29" si="13">AQ25/AP25</f>
        <v>0.61972352032165712</v>
      </c>
      <c r="AU25" s="595">
        <v>9698.7942229300006</v>
      </c>
      <c r="AV25" s="53" t="s">
        <v>5715</v>
      </c>
      <c r="AW25" s="596">
        <v>6496.2221981920002</v>
      </c>
      <c r="AY25" s="595">
        <v>9698.7942229300006</v>
      </c>
      <c r="AZ25" s="597">
        <v>6496.2221981920002</v>
      </c>
      <c r="BA25" s="53" t="s">
        <v>5715</v>
      </c>
      <c r="BB25" s="64">
        <f t="shared" si="10"/>
        <v>0.66979688906416401</v>
      </c>
      <c r="BD25" s="595">
        <v>9737.7000000000007</v>
      </c>
      <c r="BE25" s="119" t="s">
        <v>1831</v>
      </c>
      <c r="BF25" s="619">
        <f t="shared" ref="BF25:BF26" si="14">BD25*BB25</f>
        <v>6522.2811666401103</v>
      </c>
      <c r="BH25" s="26"/>
    </row>
    <row r="26" spans="1:63" x14ac:dyDescent="0.35">
      <c r="A26" s="9168"/>
      <c r="B26" s="6082"/>
      <c r="C26" s="121" t="s">
        <v>632</v>
      </c>
      <c r="D26" s="197"/>
      <c r="F26" s="122"/>
      <c r="G26"/>
      <c r="H26" s="114"/>
      <c r="I26" s="123"/>
      <c r="J26" s="64"/>
      <c r="L26" s="114"/>
      <c r="M26" s="482"/>
      <c r="O26" s="598">
        <v>2019.4</v>
      </c>
      <c r="P26" s="594">
        <v>1445.7</v>
      </c>
      <c r="Q26" s="53" t="s">
        <v>5710</v>
      </c>
      <c r="R26" s="64">
        <f t="shared" si="1"/>
        <v>0.71590571456868379</v>
      </c>
      <c r="T26" s="595"/>
      <c r="U26" s="53"/>
      <c r="V26" s="596"/>
      <c r="X26" s="598">
        <v>1662.18</v>
      </c>
      <c r="Y26" s="594">
        <v>1140.22</v>
      </c>
      <c r="Z26" s="53"/>
      <c r="AA26" s="64">
        <f t="shared" si="11"/>
        <v>0.68597865453801632</v>
      </c>
      <c r="AC26" s="595">
        <v>3090.4305300000001</v>
      </c>
      <c r="AD26" s="53" t="s">
        <v>5716</v>
      </c>
      <c r="AE26" s="596">
        <v>1356.853188</v>
      </c>
      <c r="AG26" s="595">
        <v>3090.4305300000001</v>
      </c>
      <c r="AH26" s="597">
        <v>1356.853188</v>
      </c>
      <c r="AI26" s="53" t="s">
        <v>5716</v>
      </c>
      <c r="AJ26" s="64">
        <f t="shared" si="12"/>
        <v>0.43904989121370092</v>
      </c>
      <c r="AL26" s="595">
        <v>3253.5213748040001</v>
      </c>
      <c r="AM26" s="53" t="s">
        <v>5717</v>
      </c>
      <c r="AN26" s="596">
        <v>1474.3890632739999</v>
      </c>
      <c r="AP26" s="595">
        <v>3253.5213748040001</v>
      </c>
      <c r="AQ26" s="597">
        <v>1474.3890632739999</v>
      </c>
      <c r="AR26" s="53" t="s">
        <v>5718</v>
      </c>
      <c r="AS26" s="476">
        <f t="shared" si="13"/>
        <v>0.4531671667172682</v>
      </c>
      <c r="AU26" s="595">
        <v>2134.5968914209998</v>
      </c>
      <c r="AV26" s="53" t="s">
        <v>5719</v>
      </c>
      <c r="AW26" s="596">
        <v>1453.071164638</v>
      </c>
      <c r="AY26" s="595">
        <v>2134.5968914209998</v>
      </c>
      <c r="AZ26" s="597">
        <v>1453.071164638</v>
      </c>
      <c r="BA26" s="53" t="s">
        <v>5719</v>
      </c>
      <c r="BB26" s="64">
        <f t="shared" si="10"/>
        <v>0.68072392051067376</v>
      </c>
      <c r="BD26" s="595">
        <v>2510.8000000000002</v>
      </c>
      <c r="BE26" s="119" t="s">
        <v>1831</v>
      </c>
      <c r="BF26" s="619">
        <f t="shared" si="14"/>
        <v>1709.1616196181999</v>
      </c>
      <c r="BH26" s="26"/>
    </row>
    <row r="27" spans="1:63" x14ac:dyDescent="0.35">
      <c r="A27" s="9168"/>
      <c r="B27" s="6082"/>
      <c r="C27" s="121" t="s">
        <v>3967</v>
      </c>
      <c r="D27" s="197">
        <v>3</v>
      </c>
      <c r="F27" s="122">
        <v>2745.056</v>
      </c>
      <c r="H27" s="114">
        <f>998+783</f>
        <v>1781</v>
      </c>
      <c r="I27" s="123">
        <f>977.1+980.3</f>
        <v>1957.4</v>
      </c>
      <c r="J27" s="64">
        <f t="shared" si="0"/>
        <v>1.0990454800673779</v>
      </c>
      <c r="L27" s="114">
        <v>4354.7299999999996</v>
      </c>
      <c r="M27" s="482">
        <f>1261+1172.5</f>
        <v>2433.5</v>
      </c>
      <c r="O27" s="598">
        <v>994.5</v>
      </c>
      <c r="P27" s="599">
        <v>1261</v>
      </c>
      <c r="Q27" s="116" t="s">
        <v>5720</v>
      </c>
      <c r="R27" s="64">
        <f t="shared" si="1"/>
        <v>1.2679738562091503</v>
      </c>
      <c r="T27" s="598"/>
      <c r="U27" s="116"/>
      <c r="V27" s="600"/>
      <c r="X27" s="598"/>
      <c r="Y27" s="599"/>
      <c r="Z27" s="116"/>
      <c r="AA27" s="64" t="e">
        <f t="shared" si="11"/>
        <v>#DIV/0!</v>
      </c>
      <c r="AC27" s="598"/>
      <c r="AD27" s="116"/>
      <c r="AE27" s="600"/>
      <c r="AG27" s="598"/>
      <c r="AH27" s="601"/>
      <c r="AI27" s="116"/>
      <c r="AJ27" s="64" t="e">
        <f t="shared" si="12"/>
        <v>#DIV/0!</v>
      </c>
      <c r="AL27" s="598"/>
      <c r="AM27" s="116"/>
      <c r="AN27" s="600"/>
      <c r="AP27" s="598"/>
      <c r="AQ27" s="601"/>
      <c r="AR27" s="116"/>
      <c r="AS27" s="476" t="e">
        <f t="shared" si="13"/>
        <v>#DIV/0!</v>
      </c>
      <c r="AU27" s="598"/>
      <c r="AV27" s="116"/>
      <c r="AW27" s="600"/>
      <c r="AY27" s="598"/>
      <c r="AZ27" s="601"/>
      <c r="BA27" s="116"/>
      <c r="BB27" s="64"/>
      <c r="BD27" s="598"/>
      <c r="BE27" s="119"/>
      <c r="BF27" s="619"/>
      <c r="BH27" s="26" t="s">
        <v>5721</v>
      </c>
    </row>
    <row r="28" spans="1:63" x14ac:dyDescent="0.35">
      <c r="A28" s="9168"/>
      <c r="B28" s="6082"/>
      <c r="C28" s="121" t="s">
        <v>3285</v>
      </c>
      <c r="D28" s="197"/>
      <c r="F28" s="122"/>
      <c r="H28" s="114"/>
      <c r="I28" s="123"/>
      <c r="J28" s="64"/>
      <c r="L28" s="114"/>
      <c r="M28" s="482"/>
      <c r="O28" s="598">
        <v>700.9</v>
      </c>
      <c r="P28" s="599">
        <v>1172.5</v>
      </c>
      <c r="Q28" s="116" t="s">
        <v>5722</v>
      </c>
      <c r="R28" s="64">
        <f t="shared" si="1"/>
        <v>1.6728491938935655</v>
      </c>
      <c r="T28" s="598">
        <v>6396.6019999999999</v>
      </c>
      <c r="U28" s="116" t="s">
        <v>5723</v>
      </c>
      <c r="V28" s="600"/>
      <c r="X28" s="598">
        <v>6396.6019999999999</v>
      </c>
      <c r="Y28" s="599">
        <v>6480.87</v>
      </c>
      <c r="Z28" s="116"/>
      <c r="AA28" s="64">
        <f t="shared" si="11"/>
        <v>1.0131738695013384</v>
      </c>
      <c r="AC28" s="598">
        <v>8009.341187</v>
      </c>
      <c r="AD28" s="116" t="s">
        <v>5724</v>
      </c>
      <c r="AE28" s="600">
        <v>7792.2614860000003</v>
      </c>
      <c r="AG28" s="598">
        <v>8009.341187</v>
      </c>
      <c r="AH28" s="601">
        <v>7792.2614860000003</v>
      </c>
      <c r="AI28" s="116" t="s">
        <v>5724</v>
      </c>
      <c r="AJ28" s="64">
        <f t="shared" si="12"/>
        <v>0.97289668451728051</v>
      </c>
      <c r="AL28" s="598">
        <v>9572.2083619999994</v>
      </c>
      <c r="AM28" s="116" t="s">
        <v>5725</v>
      </c>
      <c r="AN28" s="600">
        <v>9532.7936555399992</v>
      </c>
      <c r="AP28" s="598">
        <v>9572.2083619999994</v>
      </c>
      <c r="AQ28" s="601">
        <v>9532.7936555399992</v>
      </c>
      <c r="AR28" s="116" t="s">
        <v>5724</v>
      </c>
      <c r="AS28" s="476">
        <f t="shared" si="13"/>
        <v>0.99588238105885052</v>
      </c>
      <c r="AU28" s="598">
        <v>9628.43732026</v>
      </c>
      <c r="AV28" s="116" t="s">
        <v>5725</v>
      </c>
      <c r="AW28" s="600">
        <v>9113.7777389349994</v>
      </c>
      <c r="AY28" s="598">
        <v>9628.43732026</v>
      </c>
      <c r="AZ28" s="601">
        <v>9113.7777389349994</v>
      </c>
      <c r="BA28" s="116" t="s">
        <v>5725</v>
      </c>
      <c r="BB28" s="64">
        <f t="shared" si="10"/>
        <v>0.94654796368232441</v>
      </c>
      <c r="BD28" s="598">
        <v>7862.58</v>
      </c>
      <c r="BE28" s="119" t="s">
        <v>5726</v>
      </c>
      <c r="BF28" s="619">
        <f t="shared" ref="BF28:BF29" si="15">BD28*BB28</f>
        <v>7442.3090882893703</v>
      </c>
      <c r="BH28" s="26"/>
    </row>
    <row r="29" spans="1:63" x14ac:dyDescent="0.35">
      <c r="A29" s="9168"/>
      <c r="B29" s="128"/>
      <c r="C29" s="129" t="s">
        <v>479</v>
      </c>
      <c r="D29" s="209"/>
      <c r="F29" s="130">
        <f>SUM(F19:F27)</f>
        <v>15191.944</v>
      </c>
      <c r="H29" s="117">
        <f>SUM(H19:H27)</f>
        <v>16711</v>
      </c>
      <c r="I29" s="132">
        <f>SUM(I19:I27)</f>
        <v>13958.1</v>
      </c>
      <c r="J29" s="133">
        <f t="shared" si="0"/>
        <v>0.83526419723535394</v>
      </c>
      <c r="L29" s="131">
        <f>SUM(L19:L27)</f>
        <v>19853.329999999998</v>
      </c>
      <c r="M29" s="485">
        <f>SUM(M19:M27)</f>
        <v>14603.7</v>
      </c>
      <c r="O29" s="602">
        <v>17194.099999999999</v>
      </c>
      <c r="P29" s="603">
        <v>14603.7</v>
      </c>
      <c r="Q29" s="116" t="s">
        <v>10</v>
      </c>
      <c r="R29" s="64">
        <f t="shared" si="1"/>
        <v>0.84934367021245671</v>
      </c>
      <c r="T29" s="602">
        <f>SUM(T19:T28)</f>
        <v>22495.491999999998</v>
      </c>
      <c r="U29" s="134"/>
      <c r="V29" s="604"/>
      <c r="X29" s="602">
        <f>SUM(X19:X28)</f>
        <v>22535.491999999998</v>
      </c>
      <c r="Y29" s="603">
        <f>SUM(Y19:Y28)</f>
        <v>20104.189999999999</v>
      </c>
      <c r="Z29" s="116"/>
      <c r="AA29" s="64">
        <f t="shared" si="11"/>
        <v>0.89211231776080147</v>
      </c>
      <c r="AC29" s="602">
        <v>29539.603197</v>
      </c>
      <c r="AD29" s="134" t="s">
        <v>5727</v>
      </c>
      <c r="AE29" s="604">
        <v>23417.867902999998</v>
      </c>
      <c r="AG29" s="602">
        <v>29539.603197</v>
      </c>
      <c r="AH29" s="605">
        <v>23417.867902999998</v>
      </c>
      <c r="AI29" s="134" t="s">
        <v>5727</v>
      </c>
      <c r="AJ29" s="64">
        <f t="shared" si="12"/>
        <v>0.79276176280452826</v>
      </c>
      <c r="AL29" s="602">
        <f>SUM(AL19:AL28)</f>
        <v>31711.985884000998</v>
      </c>
      <c r="AM29" s="134" t="s">
        <v>5727</v>
      </c>
      <c r="AN29" s="604">
        <f>SUM(AN19:AN28)</f>
        <v>25321.674513298</v>
      </c>
      <c r="AP29" s="602">
        <f>SUM(AP19:AP28)</f>
        <v>31711.985884000998</v>
      </c>
      <c r="AQ29" s="605">
        <f>SUM(AQ19:AQ28)</f>
        <v>25321.674513298</v>
      </c>
      <c r="AR29" s="134"/>
      <c r="AS29" s="476">
        <f t="shared" si="13"/>
        <v>0.79848908251668427</v>
      </c>
      <c r="AU29" s="602">
        <f>SUM(AU19:AU28)</f>
        <v>32475.949482418997</v>
      </c>
      <c r="AV29" s="134"/>
      <c r="AW29" s="604">
        <f>SUM(AW19:AW28)</f>
        <v>27049.243703052998</v>
      </c>
      <c r="AY29" s="602">
        <f>SUM(AY19:AY28)</f>
        <v>32475.949482418997</v>
      </c>
      <c r="AZ29" s="605">
        <f>SUM(AZ19:AZ28)</f>
        <v>27049.243703052998</v>
      </c>
      <c r="BA29" s="134"/>
      <c r="BB29" s="64">
        <f t="shared" si="10"/>
        <v>0.83290078147511071</v>
      </c>
      <c r="BD29" s="602">
        <f>SUM(BD19:BD28)</f>
        <v>33105.299999999996</v>
      </c>
      <c r="BE29" s="137"/>
      <c r="BF29" s="628">
        <f t="shared" si="15"/>
        <v>27573.43024096798</v>
      </c>
      <c r="BH29" s="24"/>
    </row>
    <row r="30" spans="1:63" x14ac:dyDescent="0.35">
      <c r="A30" s="9168"/>
      <c r="B30" s="139" t="s">
        <v>480</v>
      </c>
      <c r="C30" s="49"/>
      <c r="D30" s="184"/>
      <c r="E30" s="141"/>
      <c r="F30" s="142"/>
      <c r="G30" s="143"/>
      <c r="H30" s="144"/>
      <c r="I30" s="145"/>
      <c r="J30" s="146"/>
      <c r="K30" s="141"/>
      <c r="L30" s="147"/>
      <c r="M30" s="148"/>
      <c r="N30" s="141"/>
      <c r="O30" s="606"/>
      <c r="P30" s="145"/>
      <c r="Q30" s="145"/>
      <c r="R30" s="146"/>
      <c r="S30" s="141"/>
      <c r="T30" s="151"/>
      <c r="U30" s="145"/>
      <c r="V30" s="148"/>
      <c r="W30" s="141"/>
      <c r="X30" s="606"/>
      <c r="Y30" s="145"/>
      <c r="Z30" s="145"/>
      <c r="AA30" s="146"/>
      <c r="AB30" s="141"/>
      <c r="AC30" s="151"/>
      <c r="AD30" s="145"/>
      <c r="AE30" s="148"/>
      <c r="AF30" s="141"/>
      <c r="AG30" s="151"/>
      <c r="AH30" s="152"/>
      <c r="AI30" s="145"/>
      <c r="AJ30" s="146"/>
      <c r="AK30" s="141"/>
      <c r="AL30" s="151"/>
      <c r="AM30" s="145"/>
      <c r="AN30" s="148"/>
      <c r="AO30" s="141"/>
      <c r="AP30" s="151"/>
      <c r="AQ30" s="152"/>
      <c r="AR30" s="145"/>
      <c r="AS30" s="486"/>
      <c r="AT30" s="141"/>
      <c r="AU30" s="151"/>
      <c r="AV30" s="145"/>
      <c r="AW30" s="148"/>
      <c r="AX30" s="141"/>
      <c r="AY30" s="151"/>
      <c r="AZ30" s="152"/>
      <c r="BA30" s="145"/>
      <c r="BB30" s="146"/>
      <c r="BC30" s="141"/>
      <c r="BD30" s="8306"/>
      <c r="BE30" s="3463"/>
      <c r="BF30" s="157"/>
      <c r="BG30" s="141"/>
      <c r="BH30" s="18"/>
    </row>
    <row r="31" spans="1:63" x14ac:dyDescent="0.35">
      <c r="A31" s="9168"/>
      <c r="B31" s="6082"/>
      <c r="C31" s="110" t="s">
        <v>483</v>
      </c>
      <c r="D31" s="197"/>
      <c r="F31" s="117">
        <v>3781.1</v>
      </c>
      <c r="H31" s="117">
        <v>4246.2</v>
      </c>
      <c r="I31" s="115">
        <v>3969.1</v>
      </c>
      <c r="J31" s="64">
        <f t="shared" si="0"/>
        <v>0.93474165135886211</v>
      </c>
      <c r="L31" s="156">
        <v>5317.55</v>
      </c>
      <c r="M31" s="482">
        <v>4617.6000000000004</v>
      </c>
      <c r="O31" s="595">
        <v>4732.6000000000004</v>
      </c>
      <c r="P31" s="594">
        <v>4617.6000000000004</v>
      </c>
      <c r="Q31" s="116" t="s">
        <v>5728</v>
      </c>
      <c r="R31" s="64"/>
      <c r="T31" s="607">
        <v>6466.4809999999998</v>
      </c>
      <c r="U31" s="116" t="s">
        <v>5729</v>
      </c>
      <c r="V31" s="596"/>
      <c r="X31" s="595">
        <v>6466.4809999999998</v>
      </c>
      <c r="Y31" s="594">
        <v>6562.93</v>
      </c>
      <c r="Z31" s="116" t="s">
        <v>5698</v>
      </c>
      <c r="AA31" s="64"/>
      <c r="AC31" s="607"/>
      <c r="AD31" s="116" t="s">
        <v>3984</v>
      </c>
      <c r="AE31" s="596"/>
      <c r="AG31" s="607"/>
      <c r="AH31" s="597"/>
      <c r="AI31" s="116" t="s">
        <v>3984</v>
      </c>
      <c r="AJ31" s="64"/>
      <c r="AL31" s="607"/>
      <c r="AM31" s="116" t="s">
        <v>3984</v>
      </c>
      <c r="AN31" s="596"/>
      <c r="AP31" s="607"/>
      <c r="AQ31" s="597"/>
      <c r="AR31" s="116" t="s">
        <v>3984</v>
      </c>
      <c r="AS31" s="476"/>
      <c r="AU31" s="607"/>
      <c r="AV31" s="116" t="s">
        <v>3984</v>
      </c>
      <c r="AW31" s="596"/>
      <c r="AY31" s="607"/>
      <c r="AZ31" s="597"/>
      <c r="BA31" s="116" t="s">
        <v>3984</v>
      </c>
      <c r="BB31" s="64"/>
      <c r="BD31" s="607"/>
      <c r="BE31" s="116"/>
      <c r="BF31" s="596"/>
      <c r="BH31" s="26"/>
    </row>
    <row r="32" spans="1:63" x14ac:dyDescent="0.35">
      <c r="A32" s="9168"/>
      <c r="B32" s="6082"/>
      <c r="C32" s="110" t="s">
        <v>489</v>
      </c>
      <c r="D32" s="197"/>
      <c r="F32" s="117"/>
      <c r="H32" s="117"/>
      <c r="I32" s="115"/>
      <c r="J32" s="64">
        <f t="shared" si="0"/>
        <v>0</v>
      </c>
      <c r="L32" s="156"/>
      <c r="M32" s="482"/>
      <c r="O32" s="595"/>
      <c r="P32" s="594"/>
      <c r="Q32" s="116"/>
      <c r="R32" s="64"/>
      <c r="T32" s="607"/>
      <c r="U32" s="116"/>
      <c r="V32" s="596"/>
      <c r="X32" s="595"/>
      <c r="Y32" s="594"/>
      <c r="Z32" s="116"/>
      <c r="AA32" s="64"/>
      <c r="AC32" s="607"/>
      <c r="AD32" s="116"/>
      <c r="AE32" s="596"/>
      <c r="AG32" s="607"/>
      <c r="AH32" s="597"/>
      <c r="AI32" s="116"/>
      <c r="AJ32" s="64"/>
      <c r="AL32" s="607"/>
      <c r="AM32" s="116"/>
      <c r="AN32" s="596"/>
      <c r="AP32" s="607"/>
      <c r="AQ32" s="597"/>
      <c r="AR32" s="116"/>
      <c r="AS32" s="476"/>
      <c r="AU32" s="607"/>
      <c r="AV32" s="116"/>
      <c r="AW32" s="596"/>
      <c r="AY32" s="607"/>
      <c r="AZ32" s="597"/>
      <c r="BA32" s="116"/>
      <c r="BB32" s="64"/>
      <c r="BD32" s="607"/>
      <c r="BE32" s="116"/>
      <c r="BF32" s="596"/>
      <c r="BH32" s="26" t="s">
        <v>5730</v>
      </c>
    </row>
    <row r="33" spans="1:63" x14ac:dyDescent="0.35">
      <c r="A33" s="9168"/>
      <c r="B33" s="6082"/>
      <c r="C33" s="110" t="s">
        <v>490</v>
      </c>
      <c r="D33" s="197">
        <v>4</v>
      </c>
      <c r="F33" s="117"/>
      <c r="H33" s="117"/>
      <c r="I33" s="115">
        <f>699.72485464+259.41360976</f>
        <v>959.13846439999998</v>
      </c>
      <c r="J33" s="64">
        <f t="shared" si="0"/>
        <v>0</v>
      </c>
      <c r="L33" s="156">
        <f>477.792226+205.777174</f>
        <v>683.56940000000009</v>
      </c>
      <c r="M33" s="482"/>
      <c r="O33" s="595"/>
      <c r="P33" s="594"/>
      <c r="Q33" s="116"/>
      <c r="R33" s="64"/>
      <c r="T33" s="159"/>
      <c r="V33" s="608"/>
      <c r="X33" s="595"/>
      <c r="Y33" s="594"/>
      <c r="Z33" s="116"/>
      <c r="AA33" s="64"/>
      <c r="AC33" s="159"/>
      <c r="AE33" s="608"/>
      <c r="AG33" s="159"/>
      <c r="AH33" s="609"/>
      <c r="AI33"/>
      <c r="AJ33" s="64"/>
      <c r="AL33" s="159"/>
      <c r="AN33" s="608"/>
      <c r="AP33" s="159"/>
      <c r="AQ33" s="609"/>
      <c r="AR33"/>
      <c r="AS33" s="476"/>
      <c r="AU33" s="159"/>
      <c r="AW33" s="608"/>
      <c r="AY33" s="159"/>
      <c r="AZ33" s="609"/>
      <c r="BA33"/>
      <c r="BB33" s="64"/>
      <c r="BD33" s="159"/>
      <c r="BF33" s="608"/>
      <c r="BH33" s="26" t="s">
        <v>5731</v>
      </c>
    </row>
    <row r="34" spans="1:63" x14ac:dyDescent="0.35">
      <c r="A34" s="9168"/>
      <c r="B34" s="6082"/>
      <c r="C34" s="161" t="s">
        <v>497</v>
      </c>
      <c r="D34" s="610"/>
      <c r="F34" s="163"/>
      <c r="H34" s="164"/>
      <c r="I34" s="165"/>
      <c r="J34" s="64">
        <f t="shared" si="0"/>
        <v>0</v>
      </c>
      <c r="L34" s="166"/>
      <c r="M34" s="611"/>
      <c r="O34" s="612"/>
      <c r="P34" s="613"/>
      <c r="Q34" s="106"/>
      <c r="R34" s="64"/>
      <c r="T34" s="156"/>
      <c r="U34" s="106"/>
      <c r="V34" s="614"/>
      <c r="X34" s="612"/>
      <c r="Y34" s="613"/>
      <c r="Z34" s="106"/>
      <c r="AA34" s="64"/>
      <c r="AC34" s="156"/>
      <c r="AD34" s="106"/>
      <c r="AE34" s="614"/>
      <c r="AG34" s="156"/>
      <c r="AH34" s="613"/>
      <c r="AI34" s="106"/>
      <c r="AJ34" s="64"/>
      <c r="AL34" s="156"/>
      <c r="AM34" s="106"/>
      <c r="AN34" s="614"/>
      <c r="AP34" s="156"/>
      <c r="AQ34" s="613"/>
      <c r="AR34" s="106"/>
      <c r="AS34" s="476"/>
      <c r="AU34" s="156"/>
      <c r="AV34" s="106"/>
      <c r="AW34" s="614"/>
      <c r="AY34" s="156"/>
      <c r="AZ34" s="613"/>
      <c r="BA34" s="106"/>
      <c r="BB34" s="64"/>
      <c r="BD34" s="156"/>
      <c r="BE34" s="106"/>
      <c r="BF34" s="614"/>
      <c r="BH34" s="26"/>
    </row>
    <row r="35" spans="1:63" x14ac:dyDescent="0.35">
      <c r="A35" s="9168"/>
      <c r="B35" s="128"/>
      <c r="C35" s="129" t="s">
        <v>499</v>
      </c>
      <c r="D35" s="209"/>
      <c r="F35" s="169">
        <f>IF(F31=0,0,(F33-F34)/F31)</f>
        <v>0</v>
      </c>
      <c r="G35" s="170"/>
      <c r="H35" s="171">
        <f>IF(H32=0,0,(H33-H34)/H32)</f>
        <v>0</v>
      </c>
      <c r="I35" s="172">
        <f>IF(I31=0,0,(I33-I34)/I31)</f>
        <v>0.24165137295608577</v>
      </c>
      <c r="J35" s="173"/>
      <c r="K35" s="170"/>
      <c r="L35" s="615">
        <f>IF(L31=0,0,(L33-L34)/L31)</f>
        <v>0.12854968923658452</v>
      </c>
      <c r="M35" s="175">
        <f>IF(M32=0,0,M33/M32)</f>
        <v>0</v>
      </c>
      <c r="N35" s="176"/>
      <c r="O35" s="171"/>
      <c r="P35" s="177"/>
      <c r="Q35" s="177"/>
      <c r="R35" s="173"/>
      <c r="S35" s="170"/>
      <c r="T35" s="174"/>
      <c r="U35" s="177"/>
      <c r="V35" s="175"/>
      <c r="W35" s="176"/>
      <c r="X35" s="171"/>
      <c r="Y35" s="177"/>
      <c r="Z35" s="177"/>
      <c r="AA35" s="173"/>
      <c r="AB35" s="170"/>
      <c r="AC35" s="174"/>
      <c r="AD35" s="177"/>
      <c r="AE35" s="175"/>
      <c r="AF35" s="176"/>
      <c r="AG35" s="174"/>
      <c r="AH35" s="178"/>
      <c r="AI35" s="177"/>
      <c r="AJ35" s="173"/>
      <c r="AK35" s="170"/>
      <c r="AL35" s="174"/>
      <c r="AM35" s="177"/>
      <c r="AN35" s="175"/>
      <c r="AO35" s="176"/>
      <c r="AP35" s="495"/>
      <c r="AQ35" s="498"/>
      <c r="AR35" s="497"/>
      <c r="AS35" s="494"/>
      <c r="AT35" s="170"/>
      <c r="AU35" s="495"/>
      <c r="AV35" s="497"/>
      <c r="AW35" s="496"/>
      <c r="AX35" s="176"/>
      <c r="AY35" s="174"/>
      <c r="AZ35" s="178"/>
      <c r="BA35" s="177"/>
      <c r="BB35" s="173"/>
      <c r="BC35" s="170"/>
      <c r="BD35" s="174"/>
      <c r="BE35" s="177"/>
      <c r="BF35" s="175"/>
      <c r="BG35" s="176"/>
      <c r="BH35" s="24"/>
    </row>
    <row r="36" spans="1:63" x14ac:dyDescent="0.35">
      <c r="A36" s="9168"/>
      <c r="B36" s="139" t="s">
        <v>552</v>
      </c>
      <c r="C36" s="49"/>
      <c r="D36" s="184"/>
      <c r="F36" s="185"/>
      <c r="H36" s="186"/>
      <c r="I36" s="187"/>
      <c r="J36" s="188"/>
      <c r="L36" s="186"/>
      <c r="M36" s="148">
        <f t="shared" ref="M36" si="16">L36*J36</f>
        <v>0</v>
      </c>
      <c r="O36" s="189"/>
      <c r="P36" s="190"/>
      <c r="Q36" s="190"/>
      <c r="R36" s="191"/>
      <c r="S36" s="170"/>
      <c r="T36" s="192"/>
      <c r="U36" s="190"/>
      <c r="V36" s="616"/>
      <c r="X36" s="189"/>
      <c r="Y36" s="190"/>
      <c r="Z36" s="190"/>
      <c r="AA36" s="191"/>
      <c r="AB36" s="170"/>
      <c r="AC36" s="192"/>
      <c r="AD36" s="190"/>
      <c r="AE36" s="616"/>
      <c r="AG36" s="192"/>
      <c r="AH36" s="193"/>
      <c r="AI36" s="190"/>
      <c r="AJ36" s="191"/>
      <c r="AK36" s="170"/>
      <c r="AL36" s="192"/>
      <c r="AM36" s="190"/>
      <c r="AN36" s="616"/>
      <c r="AP36" s="7487"/>
      <c r="AQ36" s="3366" t="s">
        <v>5732</v>
      </c>
      <c r="AR36" s="6698"/>
      <c r="AS36" s="840"/>
      <c r="AT36" s="170"/>
      <c r="AU36" s="3364"/>
      <c r="AV36" s="839"/>
      <c r="AW36" s="3482"/>
      <c r="AY36" s="8307"/>
      <c r="AZ36" s="193"/>
      <c r="BA36" s="4319"/>
      <c r="BB36" s="191"/>
      <c r="BC36" s="170"/>
      <c r="BD36" s="192"/>
      <c r="BE36" s="190"/>
      <c r="BF36" s="616"/>
      <c r="BH36" s="617" t="s">
        <v>5733</v>
      </c>
    </row>
    <row r="37" spans="1:63" x14ac:dyDescent="0.35">
      <c r="A37" s="9168"/>
      <c r="B37" s="196"/>
      <c r="C37" s="121" t="s">
        <v>470</v>
      </c>
      <c r="D37" s="197"/>
      <c r="F37" s="122"/>
      <c r="H37" s="198"/>
      <c r="I37" s="199"/>
      <c r="J37" s="64"/>
      <c r="L37" s="198"/>
      <c r="M37" s="157"/>
      <c r="O37" s="200"/>
      <c r="P37" s="201"/>
      <c r="Q37" s="202"/>
      <c r="R37" s="203"/>
      <c r="S37" s="170"/>
      <c r="T37" s="595">
        <v>4004.09</v>
      </c>
      <c r="U37" s="618" t="s">
        <v>5734</v>
      </c>
      <c r="V37" s="619"/>
      <c r="X37" s="620">
        <v>4004.09</v>
      </c>
      <c r="Y37" s="621"/>
      <c r="Z37" s="622" t="s">
        <v>5734</v>
      </c>
      <c r="AA37" s="203"/>
      <c r="AB37" s="170"/>
      <c r="AC37" s="595">
        <v>4769.3</v>
      </c>
      <c r="AD37" s="618" t="s">
        <v>5735</v>
      </c>
      <c r="AE37" s="623">
        <v>4497.0870940000004</v>
      </c>
      <c r="AG37" s="595">
        <v>4769.3</v>
      </c>
      <c r="AH37" s="624">
        <v>4497.0870940000004</v>
      </c>
      <c r="AI37" s="618" t="s">
        <v>5735</v>
      </c>
      <c r="AJ37" s="203"/>
      <c r="AK37" s="170"/>
      <c r="AL37" s="595">
        <v>4541.1000000000004</v>
      </c>
      <c r="AM37" s="618" t="s">
        <v>5736</v>
      </c>
      <c r="AN37" s="623"/>
      <c r="AP37" s="7488">
        <v>4760.3219513840004</v>
      </c>
      <c r="AQ37" s="7489">
        <v>3735.2140661190001</v>
      </c>
      <c r="AS37" s="835"/>
      <c r="AT37" s="170"/>
      <c r="AU37" s="595">
        <v>4744.9683847449996</v>
      </c>
      <c r="AV37" s="7490" t="s">
        <v>2424</v>
      </c>
      <c r="AW37" s="623">
        <v>4138.0763746869998</v>
      </c>
      <c r="AY37" s="595">
        <v>4744.9683847449996</v>
      </c>
      <c r="AZ37" s="624">
        <v>4138.0763746869998</v>
      </c>
      <c r="BB37" s="64">
        <f>AZ37/AY37</f>
        <v>0.87209777582309123</v>
      </c>
      <c r="BC37" s="170"/>
      <c r="BD37" s="595">
        <v>4320.3</v>
      </c>
      <c r="BE37" s="618" t="s">
        <v>4695</v>
      </c>
      <c r="BF37" s="619">
        <f>BD37*BB37</f>
        <v>3767.7240208885014</v>
      </c>
      <c r="BH37" s="625"/>
    </row>
    <row r="38" spans="1:63" x14ac:dyDescent="0.35">
      <c r="A38" s="9169"/>
      <c r="B38" s="207"/>
      <c r="C38" s="208" t="s">
        <v>502</v>
      </c>
      <c r="D38" s="209"/>
      <c r="F38" s="210"/>
      <c r="H38" s="211"/>
      <c r="I38" s="212"/>
      <c r="J38" s="133"/>
      <c r="L38" s="211"/>
      <c r="M38" s="213"/>
      <c r="O38" s="214"/>
      <c r="P38" s="215"/>
      <c r="Q38" s="216"/>
      <c r="R38" s="133"/>
      <c r="T38" s="626">
        <v>688.44500000000005</v>
      </c>
      <c r="U38" s="627"/>
      <c r="V38" s="628"/>
      <c r="X38" s="629">
        <v>688.44500000000005</v>
      </c>
      <c r="Y38" s="630"/>
      <c r="Z38" s="631"/>
      <c r="AA38" s="133"/>
      <c r="AC38" s="626"/>
      <c r="AD38" s="627"/>
      <c r="AE38" s="604"/>
      <c r="AG38" s="626"/>
      <c r="AH38" s="605"/>
      <c r="AI38" s="627"/>
      <c r="AJ38" s="133"/>
      <c r="AL38" s="626">
        <v>1290.7</v>
      </c>
      <c r="AM38" s="627"/>
      <c r="AN38" s="604"/>
      <c r="AP38" s="7491">
        <v>1668.5315802709999</v>
      </c>
      <c r="AQ38" s="7492">
        <v>757.51984329200002</v>
      </c>
      <c r="AR38" s="627"/>
      <c r="AS38" s="484"/>
      <c r="AU38" s="626">
        <f>1029.981097456+457.878312412</f>
        <v>1487.8594098680001</v>
      </c>
      <c r="AV38" s="627" t="s">
        <v>5737</v>
      </c>
      <c r="AW38" s="604">
        <f>729.640421547+234.629257832</f>
        <v>964.26967937899997</v>
      </c>
      <c r="AY38" s="626">
        <f>1029.981097456+457.878312412</f>
        <v>1487.8594098680001</v>
      </c>
      <c r="AZ38" s="605">
        <f>729.640421547+234.629257832</f>
        <v>964.26967937899997</v>
      </c>
      <c r="BA38" s="627"/>
      <c r="BB38" s="133">
        <f>AZ38/AY38</f>
        <v>0.64809193192826464</v>
      </c>
      <c r="BD38" s="626">
        <v>1162</v>
      </c>
      <c r="BE38" s="627" t="s">
        <v>5738</v>
      </c>
      <c r="BF38" s="628">
        <f>BD38*BB38</f>
        <v>753.08282490064346</v>
      </c>
      <c r="BH38" s="625"/>
      <c r="BK38" t="s">
        <v>5739</v>
      </c>
    </row>
    <row r="39" spans="1:63" x14ac:dyDescent="0.35">
      <c r="A39" s="220"/>
      <c r="B39" s="220"/>
      <c r="F39" s="106"/>
      <c r="H39" s="106"/>
      <c r="I39" s="106"/>
      <c r="J39" s="221"/>
      <c r="L39" s="106"/>
      <c r="O39" s="106"/>
      <c r="P39" s="106"/>
      <c r="Q39" s="106"/>
      <c r="R39" s="221"/>
      <c r="T39" s="106"/>
      <c r="U39" s="106"/>
      <c r="X39" s="106"/>
      <c r="Y39" s="106"/>
      <c r="Z39" s="106"/>
      <c r="AA39" s="221"/>
      <c r="AC39" s="106"/>
      <c r="AD39" s="106"/>
      <c r="AG39" s="106"/>
      <c r="AH39"/>
      <c r="AI39" s="106"/>
      <c r="AJ39" s="221"/>
      <c r="AL39" s="106"/>
      <c r="AM39" s="106"/>
      <c r="AQ39"/>
      <c r="AR39" s="106"/>
      <c r="AS39" s="221"/>
      <c r="AU39" s="106"/>
      <c r="AV39" s="106"/>
      <c r="AZ39"/>
      <c r="BA39" s="106"/>
      <c r="BB39" s="221"/>
      <c r="BD39" s="106"/>
      <c r="BE39" s="106"/>
    </row>
    <row r="40" spans="1:63" ht="27.75" customHeight="1" x14ac:dyDescent="0.35">
      <c r="A40" s="9167" t="s">
        <v>503</v>
      </c>
      <c r="B40" s="27"/>
      <c r="C40" s="28" t="s">
        <v>427</v>
      </c>
      <c r="D40" s="585" t="s">
        <v>428</v>
      </c>
      <c r="E40" s="30"/>
      <c r="F40" s="31" t="s">
        <v>5669</v>
      </c>
      <c r="G40" s="223"/>
      <c r="H40" s="31" t="s">
        <v>5740</v>
      </c>
      <c r="I40" s="222"/>
      <c r="J40" s="224"/>
      <c r="K40" s="223"/>
      <c r="L40" s="31" t="s">
        <v>5741</v>
      </c>
      <c r="M40" s="632"/>
      <c r="N40" s="30"/>
      <c r="O40" s="36" t="s">
        <v>5741</v>
      </c>
      <c r="P40" s="8338"/>
      <c r="Q40" s="35" t="s">
        <v>5742</v>
      </c>
      <c r="R40" s="224"/>
      <c r="S40" s="223"/>
      <c r="T40" s="36" t="s">
        <v>5743</v>
      </c>
      <c r="U40" s="225" t="s">
        <v>5744</v>
      </c>
      <c r="V40" s="34"/>
      <c r="W40" s="30"/>
      <c r="X40" s="36" t="s">
        <v>5743</v>
      </c>
      <c r="Y40" s="8338"/>
      <c r="Z40" s="35" t="s">
        <v>5744</v>
      </c>
      <c r="AA40" s="224"/>
      <c r="AB40" s="223"/>
      <c r="AC40" s="36" t="s">
        <v>5743</v>
      </c>
      <c r="AD40" s="225" t="s">
        <v>5744</v>
      </c>
      <c r="AE40" s="34"/>
      <c r="AF40" s="30"/>
      <c r="AG40" s="36" t="s">
        <v>5743</v>
      </c>
      <c r="AH40" s="633"/>
      <c r="AI40" s="225" t="s">
        <v>5744</v>
      </c>
      <c r="AJ40" s="224"/>
      <c r="AK40" s="223"/>
      <c r="AL40" s="36" t="s">
        <v>5677</v>
      </c>
      <c r="AM40" s="225" t="s">
        <v>5744</v>
      </c>
      <c r="AN40" s="36" t="s">
        <v>5677</v>
      </c>
      <c r="AO40" s="30"/>
      <c r="AP40" s="9155" t="s">
        <v>5677</v>
      </c>
      <c r="AQ40" s="9156"/>
      <c r="AR40" s="4645" t="s">
        <v>5745</v>
      </c>
      <c r="AS40" s="224"/>
      <c r="AT40" s="223"/>
      <c r="AU40" s="36" t="s">
        <v>5677</v>
      </c>
      <c r="AV40" s="4645" t="s">
        <v>5745</v>
      </c>
      <c r="AW40" s="36" t="s">
        <v>5677</v>
      </c>
      <c r="AX40" s="30"/>
      <c r="AY40" s="9155" t="s">
        <v>5680</v>
      </c>
      <c r="AZ40" s="9156"/>
      <c r="BA40" s="225" t="s">
        <v>5745</v>
      </c>
      <c r="BB40" s="224"/>
      <c r="BC40" s="223"/>
      <c r="BD40" s="36"/>
      <c r="BE40" s="225" t="s">
        <v>5745</v>
      </c>
      <c r="BF40" s="36"/>
      <c r="BG40" s="30"/>
      <c r="BH40" s="39"/>
      <c r="BK40" t="s">
        <v>5746</v>
      </c>
    </row>
    <row r="41" spans="1:63" x14ac:dyDescent="0.35">
      <c r="A41" s="9168"/>
      <c r="B41" s="141" t="s">
        <v>514</v>
      </c>
      <c r="C41"/>
      <c r="D41" s="184"/>
      <c r="E41" s="143"/>
      <c r="F41" s="227"/>
      <c r="G41" s="143"/>
      <c r="H41" s="102"/>
      <c r="I41" s="103"/>
      <c r="J41" s="228"/>
      <c r="K41" s="143"/>
      <c r="L41" s="102"/>
      <c r="M41" s="229"/>
      <c r="N41" s="143"/>
      <c r="O41" s="634"/>
      <c r="P41" s="635"/>
      <c r="Q41" s="53"/>
      <c r="R41" s="228"/>
      <c r="S41" s="143"/>
      <c r="T41" s="230"/>
      <c r="U41" s="53"/>
      <c r="V41" s="49"/>
      <c r="W41" s="143"/>
      <c r="X41" s="634"/>
      <c r="Y41" s="635"/>
      <c r="Z41" s="53"/>
      <c r="AA41" s="228"/>
      <c r="AB41" s="143"/>
      <c r="AC41" s="230"/>
      <c r="AD41" s="53"/>
      <c r="AE41" s="49"/>
      <c r="AF41" s="143"/>
      <c r="AG41" s="230"/>
      <c r="AH41" s="348"/>
      <c r="AI41" s="53"/>
      <c r="AJ41" s="228"/>
      <c r="AK41" s="143"/>
      <c r="AL41" s="230"/>
      <c r="AM41" s="53"/>
      <c r="AN41" s="49"/>
      <c r="AO41" s="143"/>
      <c r="AP41" s="230"/>
      <c r="AQ41" s="348"/>
      <c r="AR41" s="53"/>
      <c r="AS41" s="228"/>
      <c r="AT41" s="143"/>
      <c r="AU41" s="230"/>
      <c r="AV41" s="53"/>
      <c r="AW41" s="49"/>
      <c r="AX41" s="143"/>
      <c r="AY41" s="230"/>
      <c r="AZ41" s="348"/>
      <c r="BA41" s="53"/>
      <c r="BB41" s="228"/>
      <c r="BC41" s="143"/>
      <c r="BD41" s="230"/>
      <c r="BE41" s="109" t="s">
        <v>5747</v>
      </c>
      <c r="BF41" s="49"/>
      <c r="BG41" s="143"/>
      <c r="BH41" s="18"/>
      <c r="BK41" t="s">
        <v>5742</v>
      </c>
    </row>
    <row r="42" spans="1:63" x14ac:dyDescent="0.35">
      <c r="A42" s="9168"/>
      <c r="B42" s="240"/>
      <c r="C42" s="240" t="s">
        <v>5748</v>
      </c>
      <c r="D42" s="197">
        <v>6</v>
      </c>
      <c r="F42" s="111">
        <v>2890.1</v>
      </c>
      <c r="H42" s="112">
        <v>3127.9</v>
      </c>
      <c r="I42" s="636"/>
      <c r="J42" s="64">
        <f>J19</f>
        <v>0.86964997307485192</v>
      </c>
      <c r="L42" s="593">
        <v>3465.1</v>
      </c>
      <c r="M42" s="157">
        <f>L42*J42</f>
        <v>3013.4241217016693</v>
      </c>
      <c r="O42" s="593">
        <v>3465.1</v>
      </c>
      <c r="P42" s="233"/>
      <c r="Q42" s="57" t="s">
        <v>5747</v>
      </c>
      <c r="R42" s="64"/>
      <c r="T42" s="593">
        <v>3870.2</v>
      </c>
      <c r="U42" s="57" t="s">
        <v>5749</v>
      </c>
      <c r="V42" s="637"/>
      <c r="X42" s="593">
        <v>3870.2</v>
      </c>
      <c r="Y42" s="233"/>
      <c r="Z42" s="57" t="s">
        <v>5750</v>
      </c>
      <c r="AA42" s="64"/>
      <c r="AC42" s="593">
        <v>4770</v>
      </c>
      <c r="AD42" s="57" t="s">
        <v>5751</v>
      </c>
      <c r="AE42" s="637"/>
      <c r="AG42" s="593">
        <v>4770</v>
      </c>
      <c r="AH42" s="638"/>
      <c r="AI42" s="57" t="s">
        <v>5751</v>
      </c>
      <c r="AJ42" s="64"/>
      <c r="AL42" s="593">
        <v>435.207798884</v>
      </c>
      <c r="AM42" s="57" t="s">
        <v>505</v>
      </c>
      <c r="AN42" s="637">
        <v>425.38371246000003</v>
      </c>
      <c r="AP42" s="593"/>
      <c r="AQ42" s="641"/>
      <c r="AR42" s="57"/>
      <c r="AS42" s="476"/>
      <c r="AU42" s="593"/>
      <c r="AV42" s="57"/>
      <c r="AW42" s="637"/>
      <c r="AY42" s="593"/>
      <c r="AZ42" s="641"/>
      <c r="BA42" s="57"/>
      <c r="BB42" s="64"/>
      <c r="BD42" s="593"/>
      <c r="BE42" s="57"/>
      <c r="BF42" s="66"/>
      <c r="BH42" s="26"/>
      <c r="BK42" t="s">
        <v>5744</v>
      </c>
    </row>
    <row r="43" spans="1:63" x14ac:dyDescent="0.35">
      <c r="A43" s="9168"/>
      <c r="B43" s="240"/>
      <c r="C43" s="639" t="s">
        <v>5752</v>
      </c>
      <c r="D43" s="197"/>
      <c r="F43" s="111"/>
      <c r="H43" s="112"/>
      <c r="I43" s="636"/>
      <c r="J43" s="64"/>
      <c r="L43" s="593"/>
      <c r="M43" s="157"/>
      <c r="O43" s="593"/>
      <c r="P43" s="233"/>
      <c r="Q43" s="57"/>
      <c r="R43" s="64"/>
      <c r="T43" s="112"/>
      <c r="U43" s="57"/>
      <c r="V43" s="637"/>
      <c r="X43" s="593"/>
      <c r="Y43" s="233"/>
      <c r="Z43" s="57"/>
      <c r="AA43" s="64"/>
      <c r="AC43" s="593"/>
      <c r="AD43" s="57"/>
      <c r="AE43" s="640"/>
      <c r="AG43" s="593"/>
      <c r="AH43" s="641"/>
      <c r="AI43" s="57"/>
      <c r="AJ43" s="64"/>
      <c r="AL43" s="593"/>
      <c r="AM43" s="57"/>
      <c r="AN43" s="640"/>
      <c r="AP43" s="593">
        <v>435.207798884</v>
      </c>
      <c r="AQ43" s="641">
        <v>425.38371246000003</v>
      </c>
      <c r="AR43" s="57" t="s">
        <v>5753</v>
      </c>
      <c r="AS43" s="476"/>
      <c r="AU43" s="593">
        <v>481.218847692</v>
      </c>
      <c r="AV43" s="57" t="s">
        <v>5753</v>
      </c>
      <c r="AW43" s="637">
        <v>459.50101808699998</v>
      </c>
      <c r="AY43" s="593">
        <v>481.218847692</v>
      </c>
      <c r="AZ43" s="641">
        <v>459.50101808699998</v>
      </c>
      <c r="BA43" s="57" t="s">
        <v>5753</v>
      </c>
      <c r="BB43" s="64">
        <f>AZ43/AY43</f>
        <v>0.95486912096406429</v>
      </c>
      <c r="BD43" s="593">
        <v>523.78892299999995</v>
      </c>
      <c r="BE43" s="57" t="s">
        <v>5754</v>
      </c>
      <c r="BF43" s="619">
        <f>BD43*BB43</f>
        <v>500.14986847572391</v>
      </c>
      <c r="BH43" s="26"/>
    </row>
    <row r="44" spans="1:63" x14ac:dyDescent="0.35">
      <c r="A44" s="9168"/>
      <c r="B44" s="240"/>
      <c r="C44" s="639" t="s">
        <v>1116</v>
      </c>
      <c r="D44" s="197"/>
      <c r="F44" s="111"/>
      <c r="H44" s="112"/>
      <c r="I44" s="636"/>
      <c r="J44" s="64"/>
      <c r="L44" s="593"/>
      <c r="M44" s="157"/>
      <c r="O44" s="593"/>
      <c r="P44" s="642"/>
      <c r="Q44" s="106"/>
      <c r="R44" s="64"/>
      <c r="T44" s="112"/>
      <c r="U44" s="57"/>
      <c r="V44" s="637"/>
      <c r="X44" s="593"/>
      <c r="Y44" s="642"/>
      <c r="Z44" s="106"/>
      <c r="AA44" s="64"/>
      <c r="AC44" s="593"/>
      <c r="AD44" s="57"/>
      <c r="AE44" s="640"/>
      <c r="AG44" s="593"/>
      <c r="AH44" s="641"/>
      <c r="AI44" s="57"/>
      <c r="AJ44" s="64"/>
      <c r="AL44" s="593">
        <v>662.51917267399995</v>
      </c>
      <c r="AM44" s="57" t="s">
        <v>5755</v>
      </c>
      <c r="AN44" s="640">
        <v>537.541529406</v>
      </c>
      <c r="AP44" s="593">
        <v>662.51917267399995</v>
      </c>
      <c r="AQ44" s="641">
        <v>537.541529406</v>
      </c>
      <c r="AR44" s="57" t="s">
        <v>5755</v>
      </c>
      <c r="AS44" s="476"/>
      <c r="AU44" s="593">
        <v>626.35956922399998</v>
      </c>
      <c r="AV44" s="57" t="s">
        <v>5755</v>
      </c>
      <c r="AW44" s="640">
        <v>562.22082447900004</v>
      </c>
      <c r="AY44" s="593">
        <v>626.35956922399998</v>
      </c>
      <c r="AZ44" s="641">
        <v>562.22082447900004</v>
      </c>
      <c r="BA44" s="57" t="s">
        <v>5755</v>
      </c>
      <c r="BB44" s="64">
        <f t="shared" ref="BB44:BB49" si="17">AZ44/AY44</f>
        <v>0.89760075857951405</v>
      </c>
      <c r="BD44" s="593">
        <v>583.41499999999996</v>
      </c>
      <c r="BE44" s="57" t="s">
        <v>5756</v>
      </c>
      <c r="BF44" s="619">
        <f t="shared" ref="BF44:BF49" si="18">BD44*BB44</f>
        <v>523.67374656666721</v>
      </c>
      <c r="BH44" s="26"/>
    </row>
    <row r="45" spans="1:63" x14ac:dyDescent="0.35">
      <c r="A45" s="9168"/>
      <c r="B45" s="240"/>
      <c r="C45" s="240"/>
      <c r="D45" s="197"/>
      <c r="F45" s="155"/>
      <c r="H45" s="112"/>
      <c r="I45" s="636">
        <v>618.02310727400004</v>
      </c>
      <c r="J45" s="64">
        <f t="shared" ref="J45:J46" si="19">IF(H45=0,0,I45/H45)</f>
        <v>0</v>
      </c>
      <c r="L45" s="593"/>
      <c r="M45" s="157">
        <f>L45*J45</f>
        <v>0</v>
      </c>
      <c r="O45" s="593"/>
      <c r="P45" s="643"/>
      <c r="Q45" s="106"/>
      <c r="R45" s="64"/>
      <c r="T45" s="593"/>
      <c r="U45" s="106"/>
      <c r="V45" s="637"/>
      <c r="X45" s="593"/>
      <c r="Y45" s="643"/>
      <c r="Z45" s="106"/>
      <c r="AA45" s="64"/>
      <c r="AC45" s="593"/>
      <c r="AD45" s="57"/>
      <c r="AE45" s="640"/>
      <c r="AG45" s="593"/>
      <c r="AH45" s="641"/>
      <c r="AI45" s="57"/>
      <c r="AJ45" s="64"/>
      <c r="AL45" s="593">
        <v>294.32264932599998</v>
      </c>
      <c r="AM45" s="57" t="s">
        <v>5757</v>
      </c>
      <c r="AN45" s="640">
        <v>175.44375180700001</v>
      </c>
      <c r="AP45" s="593">
        <v>294.32264932599998</v>
      </c>
      <c r="AQ45" s="641">
        <v>175.44375180700001</v>
      </c>
      <c r="AR45" s="57" t="s">
        <v>5757</v>
      </c>
      <c r="AS45" s="476"/>
      <c r="AU45" s="593">
        <v>298.78019292300002</v>
      </c>
      <c r="AV45" s="57" t="s">
        <v>5757</v>
      </c>
      <c r="AW45" s="640">
        <v>204.93620765899999</v>
      </c>
      <c r="AY45" s="593">
        <v>298.78019292300002</v>
      </c>
      <c r="AZ45" s="641">
        <v>204.93620765899999</v>
      </c>
      <c r="BA45" s="57" t="s">
        <v>5758</v>
      </c>
      <c r="BB45" s="64">
        <f t="shared" si="17"/>
        <v>0.68590961687950658</v>
      </c>
      <c r="BD45" s="593">
        <v>279.30399999999997</v>
      </c>
      <c r="BE45" s="57" t="s">
        <v>5759</v>
      </c>
      <c r="BF45" s="619">
        <f t="shared" si="18"/>
        <v>191.57729963291368</v>
      </c>
      <c r="BH45" s="26"/>
    </row>
    <row r="46" spans="1:63" x14ac:dyDescent="0.35">
      <c r="A46" s="9168"/>
      <c r="B46" s="241"/>
      <c r="C46" s="240"/>
      <c r="D46" s="197"/>
      <c r="F46" s="163"/>
      <c r="H46" s="112"/>
      <c r="I46" s="594">
        <f>27.7801562+20.60943987</f>
        <v>48.389596069999996</v>
      </c>
      <c r="J46" s="64">
        <f t="shared" si="19"/>
        <v>0</v>
      </c>
      <c r="L46" s="595"/>
      <c r="M46" s="157">
        <f>L46*J46</f>
        <v>0</v>
      </c>
      <c r="O46" s="595"/>
      <c r="P46" s="642"/>
      <c r="Q46" s="106"/>
      <c r="R46" s="64"/>
      <c r="T46" s="595"/>
      <c r="U46" s="106"/>
      <c r="V46" s="637"/>
      <c r="X46" s="595"/>
      <c r="Y46" s="642"/>
      <c r="Z46" s="106"/>
      <c r="AA46" s="64"/>
      <c r="AC46" s="595"/>
      <c r="AD46" s="106"/>
      <c r="AE46" s="637"/>
      <c r="AG46" s="595"/>
      <c r="AH46" s="638"/>
      <c r="AI46" s="106"/>
      <c r="AJ46" s="64"/>
      <c r="AL46" s="595"/>
      <c r="AM46" s="106"/>
      <c r="AN46" s="637"/>
      <c r="AP46" s="595"/>
      <c r="AQ46" s="638"/>
      <c r="AR46" s="106"/>
      <c r="AS46" s="476"/>
      <c r="AU46" s="595"/>
      <c r="AV46" s="106"/>
      <c r="AW46" s="637"/>
      <c r="AY46" s="595"/>
      <c r="AZ46" s="638"/>
      <c r="BA46" s="106"/>
      <c r="BB46" s="64"/>
      <c r="BD46" s="595"/>
      <c r="BE46" s="106"/>
      <c r="BF46" s="619"/>
      <c r="BH46" s="26"/>
      <c r="BK46" t="s">
        <v>5760</v>
      </c>
    </row>
    <row r="47" spans="1:63" x14ac:dyDescent="0.35">
      <c r="A47" s="9168"/>
      <c r="B47" s="241"/>
      <c r="C47" s="240" t="s">
        <v>3603</v>
      </c>
      <c r="D47" s="197"/>
      <c r="F47" s="163"/>
      <c r="H47" s="114"/>
      <c r="I47" s="644"/>
      <c r="J47" s="64"/>
      <c r="L47" s="1172"/>
      <c r="M47" s="157"/>
      <c r="O47" s="1172"/>
      <c r="P47" s="642"/>
      <c r="Q47" s="106"/>
      <c r="R47" s="64"/>
      <c r="T47" s="1172"/>
      <c r="U47" s="106"/>
      <c r="V47" s="637"/>
      <c r="X47" s="1172"/>
      <c r="Y47" s="642"/>
      <c r="Z47" s="106"/>
      <c r="AA47" s="64"/>
      <c r="AC47" s="1172"/>
      <c r="AD47" s="106"/>
      <c r="AE47" s="637"/>
      <c r="AG47" s="1172"/>
      <c r="AH47" s="638"/>
      <c r="AI47" s="106"/>
      <c r="AJ47" s="64"/>
      <c r="AL47" s="1172"/>
      <c r="AM47" s="106"/>
      <c r="AN47" s="637"/>
      <c r="AP47" s="1172">
        <v>12.506678758</v>
      </c>
      <c r="AQ47" s="641">
        <v>9.4264634520000001</v>
      </c>
      <c r="AR47" s="57" t="s">
        <v>5761</v>
      </c>
      <c r="AS47" s="476"/>
      <c r="AU47" s="1172">
        <v>12.51526</v>
      </c>
      <c r="AV47" s="57" t="s">
        <v>5515</v>
      </c>
      <c r="AW47" s="640">
        <v>9.7218610000000005</v>
      </c>
      <c r="AY47" s="1172">
        <v>12.51526</v>
      </c>
      <c r="AZ47" s="641">
        <v>9.7218610000000005</v>
      </c>
      <c r="BA47" s="57" t="s">
        <v>5515</v>
      </c>
      <c r="BB47" s="64">
        <f t="shared" si="17"/>
        <v>0.77680056187406421</v>
      </c>
      <c r="BD47" s="1172">
        <v>15.901157</v>
      </c>
      <c r="BE47" s="57" t="s">
        <v>5762</v>
      </c>
      <c r="BF47" s="619">
        <f t="shared" si="18"/>
        <v>12.352027692047709</v>
      </c>
      <c r="BH47" s="26"/>
    </row>
    <row r="48" spans="1:63" x14ac:dyDescent="0.35">
      <c r="A48" s="9168"/>
      <c r="B48" s="241"/>
      <c r="C48" s="240" t="s">
        <v>1116</v>
      </c>
      <c r="D48" s="197"/>
      <c r="F48" s="163"/>
      <c r="H48" s="114"/>
      <c r="I48" s="644"/>
      <c r="J48" s="64"/>
      <c r="L48" s="1172"/>
      <c r="M48" s="157"/>
      <c r="O48" s="1172"/>
      <c r="P48" s="642"/>
      <c r="Q48" s="106"/>
      <c r="R48" s="64"/>
      <c r="T48" s="1172"/>
      <c r="U48" s="106"/>
      <c r="V48" s="637"/>
      <c r="X48" s="1172"/>
      <c r="Y48" s="642"/>
      <c r="Z48" s="106"/>
      <c r="AA48" s="64"/>
      <c r="AC48" s="1172"/>
      <c r="AD48" s="106"/>
      <c r="AE48" s="637"/>
      <c r="AG48" s="1172"/>
      <c r="AH48" s="638"/>
      <c r="AI48" s="106"/>
      <c r="AJ48" s="64"/>
      <c r="AL48" s="1172"/>
      <c r="AM48" s="106"/>
      <c r="AN48" s="637"/>
      <c r="AP48" s="1172"/>
      <c r="AQ48" s="638"/>
      <c r="AR48" s="106"/>
      <c r="AS48" s="476"/>
      <c r="AU48" s="1172"/>
      <c r="AV48" s="106"/>
      <c r="AW48" s="637"/>
      <c r="AY48" s="1172"/>
      <c r="AZ48" s="638"/>
      <c r="BA48" s="106"/>
      <c r="BB48" s="64"/>
      <c r="BD48" s="1172"/>
      <c r="BE48" s="106"/>
      <c r="BF48" s="619"/>
      <c r="BH48" s="26"/>
    </row>
    <row r="49" spans="1:63" x14ac:dyDescent="0.35">
      <c r="A49" s="9168"/>
      <c r="B49" s="241"/>
      <c r="C49" s="240"/>
      <c r="D49" s="197"/>
      <c r="F49" s="163"/>
      <c r="H49" s="114"/>
      <c r="I49" s="644"/>
      <c r="J49" s="64"/>
      <c r="L49" s="1172"/>
      <c r="M49" s="157"/>
      <c r="O49" s="1172"/>
      <c r="P49" s="642"/>
      <c r="Q49" s="106"/>
      <c r="R49" s="64"/>
      <c r="T49" s="1172"/>
      <c r="U49" s="106"/>
      <c r="V49" s="637"/>
      <c r="X49" s="1172"/>
      <c r="Y49" s="642"/>
      <c r="Z49" s="106"/>
      <c r="AA49" s="64"/>
      <c r="AC49" s="1172"/>
      <c r="AD49" s="106"/>
      <c r="AE49" s="637"/>
      <c r="AG49" s="1172"/>
      <c r="AH49" s="638"/>
      <c r="AI49" s="106"/>
      <c r="AJ49" s="64"/>
      <c r="AL49" s="1172"/>
      <c r="AM49" s="106"/>
      <c r="AN49" s="637"/>
      <c r="AP49" s="1172">
        <v>0.62312299999999998</v>
      </c>
      <c r="AQ49" s="641">
        <v>0.28135529999999997</v>
      </c>
      <c r="AR49" s="57" t="s">
        <v>5763</v>
      </c>
      <c r="AS49" s="476"/>
      <c r="AU49" s="1172">
        <v>0.66685499999999998</v>
      </c>
      <c r="AV49" s="106" t="s">
        <v>5763</v>
      </c>
      <c r="AW49" s="640">
        <v>0.51698</v>
      </c>
      <c r="AY49" s="1172">
        <v>0.66685499999999998</v>
      </c>
      <c r="AZ49" s="641">
        <v>0.51698</v>
      </c>
      <c r="BA49" s="57" t="s">
        <v>5763</v>
      </c>
      <c r="BB49" s="64">
        <f t="shared" si="17"/>
        <v>0.77525099159487443</v>
      </c>
      <c r="BD49" s="1172">
        <v>2.1560169999999999</v>
      </c>
      <c r="BE49" s="106" t="s">
        <v>5764</v>
      </c>
      <c r="BF49" s="619">
        <f t="shared" si="18"/>
        <v>1.6714543171454062</v>
      </c>
      <c r="BH49" s="26"/>
    </row>
    <row r="50" spans="1:63" x14ac:dyDescent="0.35">
      <c r="A50" s="9168"/>
      <c r="B50" s="241"/>
      <c r="C50" s="240"/>
      <c r="D50" s="197"/>
      <c r="F50" s="163"/>
      <c r="H50" s="114"/>
      <c r="I50" s="644"/>
      <c r="J50" s="64"/>
      <c r="L50" s="1172"/>
      <c r="M50" s="157"/>
      <c r="O50" s="1172"/>
      <c r="P50" s="642"/>
      <c r="Q50" s="106"/>
      <c r="R50" s="64"/>
      <c r="T50" s="1172"/>
      <c r="U50" s="106"/>
      <c r="V50" s="637"/>
      <c r="X50" s="1172"/>
      <c r="Y50" s="642"/>
      <c r="Z50" s="106"/>
      <c r="AA50" s="64"/>
      <c r="AC50" s="1172"/>
      <c r="AD50" s="106"/>
      <c r="AE50" s="637"/>
      <c r="AG50" s="1172"/>
      <c r="AH50" s="638"/>
      <c r="AI50" s="106"/>
      <c r="AJ50" s="64"/>
      <c r="AL50" s="1172"/>
      <c r="AM50" s="106"/>
      <c r="AN50" s="637"/>
      <c r="AP50" s="1172"/>
      <c r="AQ50" s="638"/>
      <c r="AR50" s="106"/>
      <c r="AS50" s="476"/>
      <c r="AU50" s="1172"/>
      <c r="AV50" s="106"/>
      <c r="AW50" s="637"/>
      <c r="AY50" s="1172"/>
      <c r="AZ50" s="638"/>
      <c r="BA50" s="106"/>
      <c r="BB50" s="64"/>
      <c r="BD50" s="1172"/>
      <c r="BE50" s="106"/>
      <c r="BF50" s="66"/>
      <c r="BH50" s="26"/>
    </row>
    <row r="51" spans="1:63" x14ac:dyDescent="0.35">
      <c r="A51" s="9168"/>
      <c r="B51" s="241"/>
      <c r="C51" s="240"/>
      <c r="D51" s="197"/>
      <c r="F51" s="163"/>
      <c r="H51" s="114"/>
      <c r="I51" s="644"/>
      <c r="J51" s="64"/>
      <c r="L51" s="1172"/>
      <c r="M51" s="157"/>
      <c r="O51" s="1172"/>
      <c r="P51" s="642"/>
      <c r="Q51" s="106"/>
      <c r="R51" s="64"/>
      <c r="T51" s="1172"/>
      <c r="U51" s="106"/>
      <c r="V51" s="637"/>
      <c r="X51" s="1172"/>
      <c r="Y51" s="642"/>
      <c r="Z51" s="106"/>
      <c r="AA51" s="64"/>
      <c r="AC51" s="1172"/>
      <c r="AD51" s="106"/>
      <c r="AE51" s="637"/>
      <c r="AG51" s="1172"/>
      <c r="AH51" s="638"/>
      <c r="AI51" s="106"/>
      <c r="AJ51" s="64"/>
      <c r="AL51" s="1172"/>
      <c r="AM51" s="106"/>
      <c r="AN51" s="637"/>
      <c r="AP51" s="1172"/>
      <c r="AQ51" s="638"/>
      <c r="AR51" s="106"/>
      <c r="AS51" s="476"/>
      <c r="AU51" s="1172"/>
      <c r="AV51" s="106"/>
      <c r="AW51" s="637"/>
      <c r="AY51" s="1172"/>
      <c r="AZ51" s="638"/>
      <c r="BA51" s="106"/>
      <c r="BB51" s="64"/>
      <c r="BD51" s="1172"/>
      <c r="BE51" s="106"/>
      <c r="BF51" s="66"/>
      <c r="BH51" s="26"/>
    </row>
    <row r="52" spans="1:63" x14ac:dyDescent="0.35">
      <c r="A52" s="9168"/>
      <c r="B52" s="241"/>
      <c r="C52" s="240"/>
      <c r="D52" s="197"/>
      <c r="F52" s="163"/>
      <c r="H52" s="242"/>
      <c r="I52" s="644"/>
      <c r="J52" s="64">
        <f>IF(H52=0,0,I52/H52)</f>
        <v>0</v>
      </c>
      <c r="L52" s="242"/>
      <c r="M52" s="157">
        <f>L52*J52</f>
        <v>0</v>
      </c>
      <c r="O52" s="242"/>
      <c r="P52" s="643"/>
      <c r="Q52" s="106"/>
      <c r="R52" s="64"/>
      <c r="T52" s="242"/>
      <c r="U52" s="106"/>
      <c r="V52" s="637"/>
      <c r="X52" s="242"/>
      <c r="Y52" s="643"/>
      <c r="Z52" s="106"/>
      <c r="AA52" s="64"/>
      <c r="AC52" s="242"/>
      <c r="AD52" s="106"/>
      <c r="AE52" s="637"/>
      <c r="AG52" s="242"/>
      <c r="AH52" s="638"/>
      <c r="AI52" s="106"/>
      <c r="AJ52" s="64"/>
      <c r="AL52" s="242"/>
      <c r="AM52" s="106"/>
      <c r="AN52" s="637"/>
      <c r="AP52" s="242"/>
      <c r="AQ52" s="638"/>
      <c r="AR52" s="106"/>
      <c r="AS52" s="476"/>
      <c r="AU52" s="242"/>
      <c r="AV52" s="106"/>
      <c r="AW52" s="637"/>
      <c r="AY52" s="242"/>
      <c r="AZ52" s="638"/>
      <c r="BA52" s="106"/>
      <c r="BB52" s="64"/>
      <c r="BD52" s="242"/>
      <c r="BE52" s="106"/>
      <c r="BF52" s="66"/>
      <c r="BH52" s="26"/>
      <c r="BK52" t="s">
        <v>5765</v>
      </c>
    </row>
    <row r="53" spans="1:63" x14ac:dyDescent="0.35">
      <c r="A53" s="9168"/>
      <c r="B53" s="141" t="s">
        <v>531</v>
      </c>
      <c r="C53"/>
      <c r="D53" s="197"/>
      <c r="E53" s="143"/>
      <c r="F53" s="168"/>
      <c r="G53" s="143"/>
      <c r="H53" s="245"/>
      <c r="I53" s="645"/>
      <c r="J53" s="246"/>
      <c r="K53" s="143"/>
      <c r="L53" s="245"/>
      <c r="M53" s="247"/>
      <c r="N53" s="143"/>
      <c r="O53" s="245"/>
      <c r="P53" s="106"/>
      <c r="Q53" s="106"/>
      <c r="R53" s="246"/>
      <c r="S53" s="143"/>
      <c r="T53" s="245"/>
      <c r="U53" s="106"/>
      <c r="V53" s="236"/>
      <c r="W53" s="143"/>
      <c r="X53" s="245"/>
      <c r="Y53" s="106"/>
      <c r="Z53" s="106"/>
      <c r="AA53" s="246"/>
      <c r="AB53" s="143"/>
      <c r="AC53" s="245"/>
      <c r="AD53" s="106"/>
      <c r="AE53" s="236"/>
      <c r="AF53" s="143"/>
      <c r="AG53" s="245"/>
      <c r="AH53" s="106"/>
      <c r="AI53" s="106"/>
      <c r="AJ53" s="246"/>
      <c r="AK53" s="143"/>
      <c r="AL53" s="245"/>
      <c r="AM53" s="106"/>
      <c r="AN53" s="236"/>
      <c r="AO53" s="143"/>
      <c r="AP53" s="245"/>
      <c r="AQ53" s="106"/>
      <c r="AR53" s="106"/>
      <c r="AS53" s="246"/>
      <c r="AT53" s="143"/>
      <c r="AU53" s="245"/>
      <c r="AV53" s="106"/>
      <c r="AW53" s="236"/>
      <c r="AX53" s="143"/>
      <c r="AY53" s="245"/>
      <c r="AZ53" s="106"/>
      <c r="BA53" s="106"/>
      <c r="BB53" s="246"/>
      <c r="BC53" s="143"/>
      <c r="BD53" s="245"/>
      <c r="BE53" s="106"/>
      <c r="BF53" s="66"/>
      <c r="BG53" s="143"/>
      <c r="BH53" s="18"/>
      <c r="BK53" t="s">
        <v>5766</v>
      </c>
    </row>
    <row r="54" spans="1:63" x14ac:dyDescent="0.35">
      <c r="A54" s="9168"/>
      <c r="B54" s="240"/>
      <c r="C54" s="240" t="s">
        <v>532</v>
      </c>
      <c r="D54" s="197"/>
      <c r="F54" s="111"/>
      <c r="H54" s="112"/>
      <c r="I54" s="636"/>
      <c r="J54" s="64">
        <f>IF(H54=0,0,I54/H54)</f>
        <v>0</v>
      </c>
      <c r="L54" s="112"/>
      <c r="M54" s="157">
        <f>L54*J54</f>
        <v>0</v>
      </c>
      <c r="O54" s="248"/>
      <c r="P54" s="233"/>
      <c r="Q54" s="106"/>
      <c r="R54" s="64"/>
      <c r="T54" s="112"/>
      <c r="U54" s="106"/>
      <c r="V54" s="646"/>
      <c r="X54" s="248"/>
      <c r="Y54" s="233"/>
      <c r="Z54" s="106"/>
      <c r="AA54" s="64"/>
      <c r="AC54" s="112"/>
      <c r="AD54" s="106"/>
      <c r="AE54" s="646"/>
      <c r="AG54" s="112"/>
      <c r="AH54" s="647"/>
      <c r="AI54" s="106"/>
      <c r="AJ54" s="64"/>
      <c r="AL54" s="112"/>
      <c r="AM54" s="106"/>
      <c r="AN54" s="646"/>
      <c r="AP54" s="112"/>
      <c r="AQ54" s="647"/>
      <c r="AR54" s="106"/>
      <c r="AS54" s="476"/>
      <c r="AU54" s="112"/>
      <c r="AV54" s="106"/>
      <c r="AW54" s="646"/>
      <c r="AY54" s="112"/>
      <c r="AZ54" s="647"/>
      <c r="BA54" s="106"/>
      <c r="BB54" s="64"/>
      <c r="BD54" s="112"/>
      <c r="BE54" s="106"/>
      <c r="BF54" s="3254"/>
      <c r="BH54" s="26"/>
    </row>
    <row r="55" spans="1:63" x14ac:dyDescent="0.35">
      <c r="A55" s="9168"/>
      <c r="B55" s="240"/>
      <c r="C55" s="240" t="s">
        <v>533</v>
      </c>
      <c r="D55" s="197"/>
      <c r="F55" s="155"/>
      <c r="H55" s="117"/>
      <c r="I55" s="594"/>
      <c r="J55" s="64">
        <f>IF(H55=0,0,I55/H55)</f>
        <v>0</v>
      </c>
      <c r="L55" s="117"/>
      <c r="M55" s="157">
        <f>L55*J55</f>
        <v>0</v>
      </c>
      <c r="O55" s="200"/>
      <c r="P55" s="201"/>
      <c r="Q55" s="106"/>
      <c r="R55" s="64"/>
      <c r="T55" s="117"/>
      <c r="U55" s="106"/>
      <c r="V55" s="648"/>
      <c r="X55" s="200"/>
      <c r="Y55" s="201"/>
      <c r="Z55" s="106"/>
      <c r="AA55" s="64"/>
      <c r="AC55" s="117"/>
      <c r="AD55" s="106"/>
      <c r="AE55" s="648"/>
      <c r="AG55" s="117"/>
      <c r="AH55" s="649"/>
      <c r="AI55" s="106"/>
      <c r="AJ55" s="64"/>
      <c r="AL55" s="117"/>
      <c r="AM55" s="106"/>
      <c r="AN55" s="648"/>
      <c r="AP55" s="117"/>
      <c r="AQ55" s="649"/>
      <c r="AR55" s="106"/>
      <c r="AS55" s="476"/>
      <c r="AU55" s="117"/>
      <c r="AV55" s="106"/>
      <c r="AW55" s="648"/>
      <c r="AY55" s="117"/>
      <c r="AZ55" s="649"/>
      <c r="BA55" s="106"/>
      <c r="BB55" s="64"/>
      <c r="BD55" s="117"/>
      <c r="BE55" s="106"/>
      <c r="BF55" s="3265"/>
      <c r="BH55" s="26"/>
      <c r="BK55" t="s">
        <v>5767</v>
      </c>
    </row>
    <row r="56" spans="1:63" x14ac:dyDescent="0.35">
      <c r="A56" s="9168"/>
      <c r="B56" s="250"/>
      <c r="C56" s="250" t="s">
        <v>534</v>
      </c>
      <c r="D56" s="209"/>
      <c r="F56" s="130"/>
      <c r="H56" s="242"/>
      <c r="I56" s="644"/>
      <c r="J56" s="64">
        <f>IF(H56=0,0,I56/H56)</f>
        <v>0</v>
      </c>
      <c r="L56" s="131"/>
      <c r="M56" s="213">
        <f>L56*J56</f>
        <v>0</v>
      </c>
      <c r="O56" s="164"/>
      <c r="P56" s="215"/>
      <c r="Q56" s="216"/>
      <c r="R56" s="64"/>
      <c r="T56" s="131"/>
      <c r="U56" s="216"/>
      <c r="V56" s="650"/>
      <c r="X56" s="164"/>
      <c r="Y56" s="215"/>
      <c r="Z56" s="216"/>
      <c r="AA56" s="64"/>
      <c r="AC56" s="131"/>
      <c r="AD56" s="216"/>
      <c r="AE56" s="650"/>
      <c r="AG56" s="131"/>
      <c r="AH56" s="651"/>
      <c r="AI56" s="216"/>
      <c r="AJ56" s="64"/>
      <c r="AL56" s="131"/>
      <c r="AM56" s="216"/>
      <c r="AN56" s="650"/>
      <c r="AP56" s="131"/>
      <c r="AQ56" s="651"/>
      <c r="AR56" s="216"/>
      <c r="AS56" s="476"/>
      <c r="AU56" s="131"/>
      <c r="AV56" s="216"/>
      <c r="AW56" s="650"/>
      <c r="AY56" s="131"/>
      <c r="AZ56" s="651"/>
      <c r="BA56" s="216"/>
      <c r="BB56" s="64"/>
      <c r="BD56" s="131"/>
      <c r="BE56" s="216"/>
      <c r="BF56" s="3264"/>
      <c r="BH56" s="24"/>
      <c r="BK56" s="652" t="s">
        <v>5768</v>
      </c>
    </row>
    <row r="57" spans="1:63" x14ac:dyDescent="0.35">
      <c r="A57" s="9168"/>
      <c r="B57" s="141" t="s">
        <v>535</v>
      </c>
      <c r="C57" s="141"/>
      <c r="D57" s="197"/>
      <c r="E57" s="143"/>
      <c r="F57" s="227"/>
      <c r="G57" s="143"/>
      <c r="H57" s="102"/>
      <c r="I57" s="653"/>
      <c r="J57" s="252"/>
      <c r="K57" s="143"/>
      <c r="L57" s="245"/>
      <c r="M57" s="247"/>
      <c r="N57" s="143"/>
      <c r="O57" s="102"/>
      <c r="P57" s="103"/>
      <c r="Q57" s="53"/>
      <c r="R57" s="252"/>
      <c r="S57" s="143"/>
      <c r="T57" s="245"/>
      <c r="U57" s="53"/>
      <c r="V57" s="247"/>
      <c r="W57" s="143"/>
      <c r="X57" s="654" t="s">
        <v>5769</v>
      </c>
      <c r="Y57" s="103"/>
      <c r="Z57" s="53"/>
      <c r="AA57" s="252"/>
      <c r="AB57" s="143"/>
      <c r="AC57" s="654" t="s">
        <v>5769</v>
      </c>
      <c r="AD57" s="53"/>
      <c r="AE57" s="247"/>
      <c r="AF57" s="143"/>
      <c r="AG57" s="654" t="s">
        <v>5769</v>
      </c>
      <c r="AH57" s="254"/>
      <c r="AI57" s="53"/>
      <c r="AJ57" s="252"/>
      <c r="AK57" s="143"/>
      <c r="AL57" s="654" t="s">
        <v>5770</v>
      </c>
      <c r="AM57" s="53"/>
      <c r="AN57" s="655" t="s">
        <v>4960</v>
      </c>
      <c r="AO57" s="143"/>
      <c r="AP57" s="654" t="s">
        <v>5770</v>
      </c>
      <c r="AQ57" s="5940" t="s">
        <v>4960</v>
      </c>
      <c r="AR57" s="53"/>
      <c r="AS57" s="516"/>
      <c r="AT57" s="143"/>
      <c r="AU57" s="654" t="s">
        <v>5770</v>
      </c>
      <c r="AV57" s="53"/>
      <c r="AW57" s="655" t="s">
        <v>4960</v>
      </c>
      <c r="AX57" s="143"/>
      <c r="AY57" s="654" t="s">
        <v>5770</v>
      </c>
      <c r="AZ57" s="5940" t="s">
        <v>4960</v>
      </c>
      <c r="BA57" s="53"/>
      <c r="BB57" s="252"/>
      <c r="BC57" s="143"/>
      <c r="BD57" s="654" t="s">
        <v>5770</v>
      </c>
      <c r="BE57" s="53"/>
      <c r="BF57" s="655" t="s">
        <v>4960</v>
      </c>
      <c r="BG57" s="143"/>
      <c r="BH57" s="26"/>
      <c r="BK57" t="s">
        <v>5771</v>
      </c>
    </row>
    <row r="58" spans="1:63" ht="18.75" customHeight="1" x14ac:dyDescent="0.35">
      <c r="A58" s="9168"/>
      <c r="B58" s="240"/>
      <c r="C58" s="240" t="s">
        <v>532</v>
      </c>
      <c r="D58" s="197">
        <v>7</v>
      </c>
      <c r="F58" s="111"/>
      <c r="H58" s="112"/>
      <c r="I58" s="636">
        <v>1.5773784150000001</v>
      </c>
      <c r="J58" s="64">
        <f t="shared" ref="J58:J65" si="20">IF(H58=0,0,I58/H58)</f>
        <v>0</v>
      </c>
      <c r="L58" s="593">
        <v>2.5144624000000002</v>
      </c>
      <c r="M58" s="157">
        <f t="shared" ref="M58:M65" si="21">L58*J58</f>
        <v>0</v>
      </c>
      <c r="O58" s="593">
        <v>2.5144624000000002</v>
      </c>
      <c r="P58" s="642">
        <v>2.3448757680000001</v>
      </c>
      <c r="Q58" s="57" t="s">
        <v>5772</v>
      </c>
      <c r="R58" s="64"/>
      <c r="T58" s="593">
        <v>2.1042369999999999</v>
      </c>
      <c r="U58" s="106"/>
      <c r="V58" s="611"/>
      <c r="X58" s="593">
        <v>2.1042369999999999</v>
      </c>
      <c r="Y58" s="642"/>
      <c r="Z58" s="57"/>
      <c r="AA58" s="64"/>
      <c r="AC58" s="593">
        <v>2.002726</v>
      </c>
      <c r="AD58" s="57" t="s">
        <v>5773</v>
      </c>
      <c r="AE58" s="611"/>
      <c r="AG58" s="593">
        <v>2.002726</v>
      </c>
      <c r="AH58" s="656"/>
      <c r="AI58" s="57" t="s">
        <v>5773</v>
      </c>
      <c r="AJ58" s="64"/>
      <c r="AL58" s="593">
        <v>1.782176</v>
      </c>
      <c r="AM58" s="57" t="s">
        <v>3428</v>
      </c>
      <c r="AN58" s="657">
        <f>AL58</f>
        <v>1.782176</v>
      </c>
      <c r="AP58" s="593">
        <v>1.782176</v>
      </c>
      <c r="AQ58" s="7493">
        <f>AP58</f>
        <v>1.782176</v>
      </c>
      <c r="AR58" s="57" t="s">
        <v>3428</v>
      </c>
      <c r="AS58" s="476"/>
      <c r="AU58" s="593">
        <v>2.2423579999999999</v>
      </c>
      <c r="AV58" s="57" t="s">
        <v>3428</v>
      </c>
      <c r="AW58" s="657">
        <f>AU58</f>
        <v>2.2423579999999999</v>
      </c>
      <c r="AY58" s="593">
        <v>2.2423579999999999</v>
      </c>
      <c r="AZ58" s="7493">
        <f>AY58</f>
        <v>2.2423579999999999</v>
      </c>
      <c r="BA58" s="57" t="s">
        <v>3428</v>
      </c>
      <c r="BB58" s="64"/>
      <c r="BD58" s="593">
        <v>2.4423569999999999</v>
      </c>
      <c r="BE58" s="57" t="s">
        <v>5774</v>
      </c>
      <c r="BF58" s="1371">
        <f>BD58</f>
        <v>2.4423569999999999</v>
      </c>
      <c r="BH58" s="257" t="s">
        <v>5775</v>
      </c>
    </row>
    <row r="59" spans="1:63" ht="18.75" customHeight="1" x14ac:dyDescent="0.35">
      <c r="A59" s="9168"/>
      <c r="B59" s="240"/>
      <c r="C59" s="240"/>
      <c r="D59" s="197"/>
      <c r="F59" s="111"/>
      <c r="H59" s="112"/>
      <c r="I59" s="636"/>
      <c r="J59" s="64"/>
      <c r="L59" s="593"/>
      <c r="M59" s="157"/>
      <c r="O59" s="593"/>
      <c r="P59" s="642">
        <v>7.2780010590000002</v>
      </c>
      <c r="Q59" s="57" t="s">
        <v>5772</v>
      </c>
      <c r="R59" s="64"/>
      <c r="T59" s="593">
        <v>10.411701000000001</v>
      </c>
      <c r="U59" s="106"/>
      <c r="V59" s="611"/>
      <c r="X59" s="593">
        <v>10.411701000000001</v>
      </c>
      <c r="Y59" s="642"/>
      <c r="Z59" s="57"/>
      <c r="AA59" s="64"/>
      <c r="AC59" s="593">
        <v>4.8724470000000002</v>
      </c>
      <c r="AD59" s="57" t="s">
        <v>5772</v>
      </c>
      <c r="AE59" s="611"/>
      <c r="AG59" s="593">
        <v>4.8724470000000002</v>
      </c>
      <c r="AH59" s="656"/>
      <c r="AI59" s="57" t="s">
        <v>5772</v>
      </c>
      <c r="AJ59" s="64"/>
      <c r="AL59" s="593">
        <v>4.5419229999999997</v>
      </c>
      <c r="AM59" s="57" t="s">
        <v>5776</v>
      </c>
      <c r="AN59" s="657">
        <f t="shared" ref="AN59:AN62" si="22">AL59</f>
        <v>4.5419229999999997</v>
      </c>
      <c r="AP59" s="593">
        <v>4.5419229999999997</v>
      </c>
      <c r="AQ59" s="7493">
        <f t="shared" ref="AQ59:AQ62" si="23">AP59</f>
        <v>4.5419229999999997</v>
      </c>
      <c r="AR59" s="57" t="s">
        <v>5776</v>
      </c>
      <c r="AS59" s="476"/>
      <c r="AU59" s="593">
        <v>5.218496</v>
      </c>
      <c r="AV59" s="57" t="s">
        <v>5776</v>
      </c>
      <c r="AW59" s="657">
        <f t="shared" ref="AW59:AW62" si="24">AU59</f>
        <v>5.218496</v>
      </c>
      <c r="AY59" s="593">
        <v>5.218496</v>
      </c>
      <c r="AZ59" s="7493">
        <f t="shared" ref="AZ59:AZ62" si="25">AY59</f>
        <v>5.218496</v>
      </c>
      <c r="BA59" s="57" t="s">
        <v>5776</v>
      </c>
      <c r="BB59" s="64"/>
      <c r="BD59" s="593">
        <v>5.3024950000000004</v>
      </c>
      <c r="BE59" s="57" t="s">
        <v>5774</v>
      </c>
      <c r="BF59" s="1371">
        <f t="shared" ref="BF59:BF62" si="26">BD59</f>
        <v>5.3024950000000004</v>
      </c>
      <c r="BH59" s="257" t="s">
        <v>5777</v>
      </c>
    </row>
    <row r="60" spans="1:63" x14ac:dyDescent="0.35">
      <c r="A60" s="9168"/>
      <c r="B60" s="240"/>
      <c r="C60" s="240" t="s">
        <v>533</v>
      </c>
      <c r="D60" s="197">
        <v>8</v>
      </c>
      <c r="F60" s="155"/>
      <c r="H60" s="117"/>
      <c r="I60" s="594">
        <v>2.7376838320000001</v>
      </c>
      <c r="J60" s="64">
        <f t="shared" si="20"/>
        <v>0</v>
      </c>
      <c r="L60" s="595">
        <v>3.4090780000000001</v>
      </c>
      <c r="M60" s="157">
        <f t="shared" si="21"/>
        <v>0</v>
      </c>
      <c r="O60" s="595">
        <v>3.4090780000000001</v>
      </c>
      <c r="P60" s="643">
        <v>3.2119843819999998</v>
      </c>
      <c r="Q60" s="57" t="s">
        <v>5778</v>
      </c>
      <c r="R60" s="64"/>
      <c r="T60" s="593">
        <v>2.893615</v>
      </c>
      <c r="U60" s="57"/>
      <c r="V60" s="611"/>
      <c r="X60" s="595">
        <v>2.893615</v>
      </c>
      <c r="Y60" s="643"/>
      <c r="Z60" s="57"/>
      <c r="AA60" s="64"/>
      <c r="AC60" s="593">
        <v>3.330111</v>
      </c>
      <c r="AD60" s="57" t="s">
        <v>5779</v>
      </c>
      <c r="AE60" s="611"/>
      <c r="AG60" s="593">
        <v>3.330111</v>
      </c>
      <c r="AH60" s="656"/>
      <c r="AI60" s="57" t="s">
        <v>5779</v>
      </c>
      <c r="AJ60" s="64"/>
      <c r="AL60" s="593">
        <v>3.5960007639999998</v>
      </c>
      <c r="AM60" s="57" t="s">
        <v>5780</v>
      </c>
      <c r="AN60" s="657">
        <f t="shared" si="22"/>
        <v>3.5960007639999998</v>
      </c>
      <c r="AP60" s="593">
        <v>3.5960007639999998</v>
      </c>
      <c r="AQ60" s="7493">
        <f t="shared" si="23"/>
        <v>3.5960007639999998</v>
      </c>
      <c r="AR60" s="57" t="s">
        <v>5780</v>
      </c>
      <c r="AS60" s="476"/>
      <c r="AU60" s="593">
        <v>3.7736360000000002</v>
      </c>
      <c r="AV60" s="57" t="s">
        <v>5780</v>
      </c>
      <c r="AW60" s="657">
        <f t="shared" si="24"/>
        <v>3.7736360000000002</v>
      </c>
      <c r="AY60" s="593">
        <v>3.7736360000000002</v>
      </c>
      <c r="AZ60" s="7493">
        <f t="shared" si="25"/>
        <v>3.7736360000000002</v>
      </c>
      <c r="BA60" s="57" t="s">
        <v>5780</v>
      </c>
      <c r="BB60" s="64"/>
      <c r="BD60" s="593">
        <v>3.3073999999999999</v>
      </c>
      <c r="BE60" s="57" t="s">
        <v>5781</v>
      </c>
      <c r="BF60" s="1371">
        <f t="shared" si="26"/>
        <v>3.3073999999999999</v>
      </c>
      <c r="BH60" s="26" t="s">
        <v>5782</v>
      </c>
      <c r="BK60" t="s">
        <v>5783</v>
      </c>
    </row>
    <row r="61" spans="1:63" x14ac:dyDescent="0.35">
      <c r="A61" s="9168"/>
      <c r="B61" s="240"/>
      <c r="C61" s="240" t="s">
        <v>534</v>
      </c>
      <c r="D61" s="197">
        <v>9</v>
      </c>
      <c r="F61" s="155"/>
      <c r="H61" s="117"/>
      <c r="I61" s="594">
        <v>8.1593844369999999</v>
      </c>
      <c r="J61" s="64">
        <f t="shared" si="20"/>
        <v>0</v>
      </c>
      <c r="L61" s="595">
        <v>7.7689339999999998</v>
      </c>
      <c r="M61" s="157">
        <f t="shared" si="21"/>
        <v>0</v>
      </c>
      <c r="O61" s="595">
        <v>7.7689339999999998</v>
      </c>
      <c r="P61" s="643">
        <v>4.9867037119999997</v>
      </c>
      <c r="Q61" s="57" t="s">
        <v>5784</v>
      </c>
      <c r="R61" s="64"/>
      <c r="T61" s="593">
        <v>9.4062994100000008</v>
      </c>
      <c r="U61" s="106"/>
      <c r="V61" s="611"/>
      <c r="X61" s="595">
        <v>9.4062994100000008</v>
      </c>
      <c r="Y61" s="643"/>
      <c r="Z61" s="57"/>
      <c r="AA61" s="64"/>
      <c r="AC61" s="593">
        <v>8.1656329999999997</v>
      </c>
      <c r="AD61" s="57" t="s">
        <v>5785</v>
      </c>
      <c r="AE61" s="611"/>
      <c r="AG61" s="593">
        <v>8.1656329999999997</v>
      </c>
      <c r="AH61" s="656"/>
      <c r="AI61" s="57" t="s">
        <v>5785</v>
      </c>
      <c r="AJ61" s="64"/>
      <c r="AL61" s="593">
        <v>5.6374645000000001</v>
      </c>
      <c r="AM61" s="57" t="s">
        <v>5786</v>
      </c>
      <c r="AN61" s="657">
        <f t="shared" si="22"/>
        <v>5.6374645000000001</v>
      </c>
      <c r="AP61" s="593">
        <v>5.6374645000000001</v>
      </c>
      <c r="AQ61" s="7493">
        <f t="shared" si="23"/>
        <v>5.6374645000000001</v>
      </c>
      <c r="AR61" s="57" t="s">
        <v>5786</v>
      </c>
      <c r="AS61" s="476"/>
      <c r="AU61" s="593">
        <v>5.3969339999999999</v>
      </c>
      <c r="AV61" s="57" t="s">
        <v>5786</v>
      </c>
      <c r="AW61" s="657">
        <f t="shared" si="24"/>
        <v>5.3969339999999999</v>
      </c>
      <c r="AY61" s="593">
        <v>5.3969339999999999</v>
      </c>
      <c r="AZ61" s="7493">
        <f t="shared" si="25"/>
        <v>5.3969339999999999</v>
      </c>
      <c r="BA61" s="57" t="s">
        <v>5786</v>
      </c>
      <c r="BB61" s="64"/>
      <c r="BD61" s="593">
        <v>23.796557</v>
      </c>
      <c r="BE61" s="57" t="s">
        <v>5787</v>
      </c>
      <c r="BF61" s="1371">
        <f t="shared" si="26"/>
        <v>23.796557</v>
      </c>
      <c r="BH61" s="26" t="s">
        <v>5788</v>
      </c>
      <c r="BK61" s="652" t="s">
        <v>5789</v>
      </c>
    </row>
    <row r="62" spans="1:63" x14ac:dyDescent="0.35">
      <c r="A62" s="9168"/>
      <c r="B62" s="240"/>
      <c r="C62" s="240" t="s">
        <v>536</v>
      </c>
      <c r="D62" s="197">
        <v>10</v>
      </c>
      <c r="F62" s="155"/>
      <c r="H62" s="117"/>
      <c r="I62" s="594">
        <v>3.9456439470000002</v>
      </c>
      <c r="J62" s="64">
        <f t="shared" si="20"/>
        <v>0</v>
      </c>
      <c r="L62" s="595">
        <v>5.555911</v>
      </c>
      <c r="M62" s="157">
        <f t="shared" si="21"/>
        <v>0</v>
      </c>
      <c r="O62" s="595">
        <v>5.555911</v>
      </c>
      <c r="P62" s="643">
        <v>9.3392579530000006</v>
      </c>
      <c r="Q62" s="57" t="s">
        <v>5790</v>
      </c>
      <c r="R62" s="64"/>
      <c r="T62" s="593">
        <v>15.446324000000001</v>
      </c>
      <c r="U62" s="57"/>
      <c r="V62" s="611"/>
      <c r="X62" s="595">
        <v>15.446324000000001</v>
      </c>
      <c r="Y62" s="643"/>
      <c r="Z62" s="57"/>
      <c r="AA62" s="64"/>
      <c r="AC62" s="593">
        <v>12.67733</v>
      </c>
      <c r="AD62" s="57" t="s">
        <v>5791</v>
      </c>
      <c r="AE62" s="611"/>
      <c r="AG62" s="593">
        <v>12.67733</v>
      </c>
      <c r="AH62" s="656"/>
      <c r="AI62" s="57" t="s">
        <v>5791</v>
      </c>
      <c r="AJ62" s="64"/>
      <c r="AL62" s="593">
        <v>12.5480502</v>
      </c>
      <c r="AM62" s="57" t="s">
        <v>5792</v>
      </c>
      <c r="AN62" s="657">
        <f t="shared" si="22"/>
        <v>12.5480502</v>
      </c>
      <c r="AP62" s="593">
        <v>12.5480502</v>
      </c>
      <c r="AQ62" s="7493">
        <f t="shared" si="23"/>
        <v>12.5480502</v>
      </c>
      <c r="AR62" s="57" t="s">
        <v>5792</v>
      </c>
      <c r="AS62" s="476"/>
      <c r="AU62" s="593">
        <v>11.811158734999999</v>
      </c>
      <c r="AV62" s="57" t="s">
        <v>5792</v>
      </c>
      <c r="AW62" s="657">
        <f t="shared" si="24"/>
        <v>11.811158734999999</v>
      </c>
      <c r="AY62" s="593">
        <v>11.811158734999999</v>
      </c>
      <c r="AZ62" s="7493">
        <f t="shared" si="25"/>
        <v>11.811158734999999</v>
      </c>
      <c r="BA62" s="57" t="s">
        <v>5792</v>
      </c>
      <c r="BB62" s="64"/>
      <c r="BD62" s="593">
        <v>12.261842</v>
      </c>
      <c r="BE62" s="57" t="s">
        <v>5793</v>
      </c>
      <c r="BF62" s="1371">
        <f t="shared" si="26"/>
        <v>12.261842</v>
      </c>
      <c r="BH62" s="26" t="s">
        <v>5794</v>
      </c>
      <c r="BK62" t="s">
        <v>5795</v>
      </c>
    </row>
    <row r="63" spans="1:63" x14ac:dyDescent="0.35">
      <c r="A63" s="9168"/>
      <c r="B63" s="240"/>
      <c r="C63" s="240" t="s">
        <v>537</v>
      </c>
      <c r="D63" s="197">
        <v>11</v>
      </c>
      <c r="F63" s="155"/>
      <c r="H63" s="117"/>
      <c r="I63" s="594">
        <v>7.6440623079999996</v>
      </c>
      <c r="J63" s="64">
        <f t="shared" si="20"/>
        <v>0</v>
      </c>
      <c r="L63" s="595">
        <v>12.3853101</v>
      </c>
      <c r="M63" s="157">
        <f t="shared" si="21"/>
        <v>0</v>
      </c>
      <c r="O63" s="595"/>
      <c r="P63" s="201"/>
      <c r="Q63"/>
      <c r="R63" s="64"/>
      <c r="T63" s="112"/>
      <c r="V63" s="611"/>
      <c r="X63" s="595"/>
      <c r="Y63" s="201"/>
      <c r="Z63"/>
      <c r="AA63" s="64"/>
      <c r="AC63" s="112"/>
      <c r="AE63" s="611"/>
      <c r="AG63" s="112"/>
      <c r="AH63" s="656"/>
      <c r="AI63"/>
      <c r="AJ63" s="64"/>
      <c r="AL63" s="112"/>
      <c r="AN63" s="657"/>
      <c r="AP63" s="112"/>
      <c r="AQ63" s="656"/>
      <c r="AR63"/>
      <c r="AS63" s="476"/>
      <c r="AU63" s="112"/>
      <c r="AW63" s="657"/>
      <c r="AY63" s="112"/>
      <c r="AZ63" s="656"/>
      <c r="BA63"/>
      <c r="BB63" s="64"/>
      <c r="BD63" s="112"/>
      <c r="BF63" s="1371"/>
      <c r="BH63" s="26" t="s">
        <v>5796</v>
      </c>
    </row>
    <row r="64" spans="1:63" x14ac:dyDescent="0.35">
      <c r="A64" s="9168"/>
      <c r="B64" s="240"/>
      <c r="C64" s="240" t="s">
        <v>538</v>
      </c>
      <c r="D64" s="197"/>
      <c r="F64" s="155"/>
      <c r="H64" s="117"/>
      <c r="I64" s="115"/>
      <c r="J64" s="64">
        <f t="shared" si="20"/>
        <v>0</v>
      </c>
      <c r="L64" s="117"/>
      <c r="M64" s="157">
        <f t="shared" si="21"/>
        <v>0</v>
      </c>
      <c r="O64" s="117"/>
      <c r="P64" s="201"/>
      <c r="Q64" s="106"/>
      <c r="R64" s="64"/>
      <c r="T64" s="112"/>
      <c r="U64" s="106"/>
      <c r="V64" s="611"/>
      <c r="X64" s="117"/>
      <c r="Y64" s="201"/>
      <c r="Z64" s="106"/>
      <c r="AA64" s="64"/>
      <c r="AC64" s="112"/>
      <c r="AD64" s="106"/>
      <c r="AE64" s="611"/>
      <c r="AG64" s="112"/>
      <c r="AH64" s="656"/>
      <c r="AI64" s="106"/>
      <c r="AJ64" s="64"/>
      <c r="AL64" s="112"/>
      <c r="AM64" s="106"/>
      <c r="AN64" s="611"/>
      <c r="AP64" s="112"/>
      <c r="AQ64" s="656"/>
      <c r="AR64" s="106"/>
      <c r="AS64" s="476"/>
      <c r="AU64" s="112"/>
      <c r="AV64" s="106"/>
      <c r="AW64" s="611"/>
      <c r="AY64" s="112"/>
      <c r="AZ64" s="656"/>
      <c r="BA64" s="106"/>
      <c r="BB64" s="64"/>
      <c r="BD64" s="112"/>
      <c r="BE64" s="106"/>
      <c r="BF64" s="157"/>
      <c r="BH64" s="26"/>
    </row>
    <row r="65" spans="1:60" x14ac:dyDescent="0.35">
      <c r="A65" s="9168"/>
      <c r="B65" s="241"/>
      <c r="C65" s="241" t="s">
        <v>539</v>
      </c>
      <c r="D65" s="209"/>
      <c r="F65" s="130"/>
      <c r="H65" s="131"/>
      <c r="I65" s="132"/>
      <c r="J65" s="133">
        <f t="shared" si="20"/>
        <v>0</v>
      </c>
      <c r="L65" s="242"/>
      <c r="M65" s="157">
        <f t="shared" si="21"/>
        <v>0</v>
      </c>
      <c r="O65" s="131"/>
      <c r="P65" s="264"/>
      <c r="Q65" s="216"/>
      <c r="R65" s="133"/>
      <c r="T65" s="242"/>
      <c r="U65" s="216"/>
      <c r="V65" s="611"/>
      <c r="X65" s="131"/>
      <c r="Y65" s="264"/>
      <c r="Z65" s="216"/>
      <c r="AA65" s="133"/>
      <c r="AC65" s="242"/>
      <c r="AD65" s="216"/>
      <c r="AE65" s="611"/>
      <c r="AG65" s="242"/>
      <c r="AH65" s="656"/>
      <c r="AI65" s="216"/>
      <c r="AJ65" s="133"/>
      <c r="AL65" s="242"/>
      <c r="AM65" s="216"/>
      <c r="AN65" s="611"/>
      <c r="AP65" s="242"/>
      <c r="AQ65" s="656"/>
      <c r="AR65" s="216"/>
      <c r="AS65" s="484"/>
      <c r="AU65" s="242"/>
      <c r="AV65" s="216"/>
      <c r="AW65" s="611"/>
      <c r="AY65" s="242"/>
      <c r="AZ65" s="656"/>
      <c r="BA65" s="216"/>
      <c r="BB65" s="133"/>
      <c r="BD65" s="242"/>
      <c r="BE65" s="216"/>
      <c r="BF65" s="157"/>
      <c r="BH65" s="26"/>
    </row>
    <row r="66" spans="1:60" x14ac:dyDescent="0.35">
      <c r="A66" s="9168"/>
      <c r="B66" s="271" t="s">
        <v>540</v>
      </c>
      <c r="C66" s="271"/>
      <c r="D66" s="184"/>
      <c r="E66" s="141"/>
      <c r="F66" s="227"/>
      <c r="G66" s="141"/>
      <c r="H66" s="245"/>
      <c r="I66" s="106"/>
      <c r="J66" s="267"/>
      <c r="K66" s="141"/>
      <c r="L66" s="102"/>
      <c r="M66" s="268"/>
      <c r="N66" s="141"/>
      <c r="O66" s="245"/>
      <c r="P66" s="106"/>
      <c r="Q66" s="53"/>
      <c r="R66" s="267"/>
      <c r="S66" s="141"/>
      <c r="T66" s="102"/>
      <c r="U66" s="57"/>
      <c r="V66" s="105"/>
      <c r="W66" s="141"/>
      <c r="X66" s="245"/>
      <c r="Y66" s="106"/>
      <c r="Z66" s="53"/>
      <c r="AA66" s="267"/>
      <c r="AB66" s="141"/>
      <c r="AC66" s="102"/>
      <c r="AD66" s="57"/>
      <c r="AE66" s="105"/>
      <c r="AF66" s="141"/>
      <c r="AG66" s="102"/>
      <c r="AH66" s="103"/>
      <c r="AI66" s="57"/>
      <c r="AJ66" s="267"/>
      <c r="AK66" s="141"/>
      <c r="AL66" s="102"/>
      <c r="AM66" s="57"/>
      <c r="AN66" s="105"/>
      <c r="AO66" s="141"/>
      <c r="AP66" s="102"/>
      <c r="AQ66" s="103"/>
      <c r="AR66" s="57"/>
      <c r="AS66" s="518"/>
      <c r="AT66" s="141"/>
      <c r="AU66" s="102"/>
      <c r="AV66" s="57"/>
      <c r="AW66" s="105"/>
      <c r="AX66" s="141"/>
      <c r="AY66" s="102"/>
      <c r="AZ66" s="103"/>
      <c r="BA66" s="57"/>
      <c r="BB66" s="267"/>
      <c r="BC66" s="141"/>
      <c r="BD66" s="102"/>
      <c r="BE66" s="57"/>
      <c r="BF66" s="105"/>
      <c r="BG66" s="141"/>
      <c r="BH66" s="18"/>
    </row>
    <row r="67" spans="1:60" x14ac:dyDescent="0.35">
      <c r="A67" s="9168"/>
      <c r="B67" s="240"/>
      <c r="C67" s="240" t="s">
        <v>532</v>
      </c>
      <c r="D67" s="197"/>
      <c r="F67" s="111"/>
      <c r="H67" s="112"/>
      <c r="I67" s="113"/>
      <c r="J67" s="64">
        <f>IF(H67=0,0,I67/H67)</f>
        <v>0</v>
      </c>
      <c r="L67" s="112"/>
      <c r="M67" s="157">
        <f>L67*J67</f>
        <v>0</v>
      </c>
      <c r="O67" s="112"/>
      <c r="P67" s="233"/>
      <c r="Q67" s="106"/>
      <c r="R67" s="64"/>
      <c r="T67" s="112"/>
      <c r="U67" s="106"/>
      <c r="V67" s="273"/>
      <c r="X67" s="112"/>
      <c r="Y67" s="233"/>
      <c r="Z67" s="106"/>
      <c r="AA67" s="64"/>
      <c r="AC67" s="112"/>
      <c r="AD67" s="106"/>
      <c r="AE67" s="273"/>
      <c r="AG67" s="112"/>
      <c r="AH67" s="204"/>
      <c r="AI67" s="106"/>
      <c r="AJ67" s="64"/>
      <c r="AL67" s="112"/>
      <c r="AM67" s="106"/>
      <c r="AN67" s="273"/>
      <c r="AP67" s="112"/>
      <c r="AQ67" s="204"/>
      <c r="AR67" s="106"/>
      <c r="AS67" s="476"/>
      <c r="AU67" s="112"/>
      <c r="AV67" s="106"/>
      <c r="AW67" s="273"/>
      <c r="AY67" s="112"/>
      <c r="AZ67" s="204"/>
      <c r="BA67" s="106"/>
      <c r="BB67" s="64"/>
      <c r="BD67" s="112"/>
      <c r="BE67" s="106"/>
      <c r="BF67" s="273"/>
      <c r="BH67" s="26"/>
    </row>
    <row r="68" spans="1:60" x14ac:dyDescent="0.35">
      <c r="A68" s="9168"/>
      <c r="B68" s="240"/>
      <c r="C68" s="240" t="s">
        <v>533</v>
      </c>
      <c r="D68" s="197"/>
      <c r="F68" s="155"/>
      <c r="H68" s="117"/>
      <c r="I68" s="115"/>
      <c r="J68" s="64">
        <f>IF(H68=0,0,I68/H68)</f>
        <v>0</v>
      </c>
      <c r="L68" s="117"/>
      <c r="M68" s="157">
        <f>L68*J68</f>
        <v>0</v>
      </c>
      <c r="O68" s="117"/>
      <c r="P68" s="201"/>
      <c r="Q68" s="106"/>
      <c r="R68" s="64"/>
      <c r="T68" s="117"/>
      <c r="U68" s="106"/>
      <c r="V68" s="273"/>
      <c r="X68" s="117"/>
      <c r="Y68" s="201"/>
      <c r="Z68" s="106"/>
      <c r="AA68" s="64"/>
      <c r="AC68" s="117"/>
      <c r="AD68" s="106"/>
      <c r="AE68" s="273"/>
      <c r="AG68" s="117"/>
      <c r="AH68" s="204"/>
      <c r="AI68" s="106"/>
      <c r="AJ68" s="64"/>
      <c r="AL68" s="117"/>
      <c r="AM68" s="106"/>
      <c r="AN68" s="273"/>
      <c r="AP68" s="117"/>
      <c r="AQ68" s="204"/>
      <c r="AR68" s="106"/>
      <c r="AS68" s="476"/>
      <c r="AU68" s="117"/>
      <c r="AV68" s="106"/>
      <c r="AW68" s="273"/>
      <c r="AY68" s="117"/>
      <c r="AZ68" s="204"/>
      <c r="BA68" s="106"/>
      <c r="BB68" s="64"/>
      <c r="BD68" s="117"/>
      <c r="BE68" s="106"/>
      <c r="BF68" s="273"/>
      <c r="BH68" s="26"/>
    </row>
    <row r="69" spans="1:60" x14ac:dyDescent="0.35">
      <c r="A69" s="9168"/>
      <c r="B69" s="240"/>
      <c r="C69" s="240" t="s">
        <v>534</v>
      </c>
      <c r="D69" s="197"/>
      <c r="F69" s="163"/>
      <c r="H69" s="242"/>
      <c r="I69" s="243"/>
      <c r="J69" s="64">
        <f>IF(H69=0,0,I69/H69)</f>
        <v>0</v>
      </c>
      <c r="L69" s="242"/>
      <c r="M69" s="157">
        <f>L69*J69</f>
        <v>0</v>
      </c>
      <c r="O69" s="117"/>
      <c r="P69" s="201"/>
      <c r="R69" s="64"/>
      <c r="T69" s="242"/>
      <c r="U69" s="106"/>
      <c r="V69" s="276"/>
      <c r="X69" s="117"/>
      <c r="Y69" s="201"/>
      <c r="AA69" s="64"/>
      <c r="AC69" s="242"/>
      <c r="AD69" s="106"/>
      <c r="AE69" s="276"/>
      <c r="AG69" s="242"/>
      <c r="AH69" s="165"/>
      <c r="AI69" s="106"/>
      <c r="AJ69" s="64"/>
      <c r="AL69" s="242"/>
      <c r="AM69" s="106"/>
      <c r="AN69" s="276"/>
      <c r="AP69" s="242"/>
      <c r="AQ69" s="165"/>
      <c r="AR69" s="106"/>
      <c r="AS69" s="476"/>
      <c r="AU69" s="242"/>
      <c r="AV69" s="106"/>
      <c r="AW69" s="276"/>
      <c r="AY69" s="242"/>
      <c r="AZ69" s="165"/>
      <c r="BA69" s="106"/>
      <c r="BB69" s="64"/>
      <c r="BD69" s="242"/>
      <c r="BE69" s="106"/>
      <c r="BF69" s="276"/>
      <c r="BH69" s="26"/>
    </row>
    <row r="70" spans="1:60" x14ac:dyDescent="0.35">
      <c r="A70" s="9168"/>
      <c r="B70" s="240"/>
      <c r="C70" s="240" t="s">
        <v>536</v>
      </c>
      <c r="D70" s="197"/>
      <c r="F70" s="163"/>
      <c r="H70" s="242"/>
      <c r="I70" s="243"/>
      <c r="J70" s="64">
        <f>IF(H70=0,0,I70/H70)</f>
        <v>0</v>
      </c>
      <c r="L70" s="242"/>
      <c r="M70" s="157">
        <f>L70*J70</f>
        <v>0</v>
      </c>
      <c r="O70" s="117"/>
      <c r="P70" s="201"/>
      <c r="Q70" s="106"/>
      <c r="R70" s="64"/>
      <c r="T70" s="242"/>
      <c r="U70" s="106"/>
      <c r="V70" s="276"/>
      <c r="X70" s="117"/>
      <c r="Y70" s="201"/>
      <c r="Z70" s="106"/>
      <c r="AA70" s="64"/>
      <c r="AC70" s="242"/>
      <c r="AD70" s="106"/>
      <c r="AE70" s="276"/>
      <c r="AG70" s="242"/>
      <c r="AH70" s="165"/>
      <c r="AI70" s="106"/>
      <c r="AJ70" s="64"/>
      <c r="AL70" s="242"/>
      <c r="AM70" s="106"/>
      <c r="AN70" s="276"/>
      <c r="AP70" s="242"/>
      <c r="AQ70" s="165"/>
      <c r="AR70" s="106"/>
      <c r="AS70" s="476"/>
      <c r="AU70" s="242"/>
      <c r="AV70" s="106"/>
      <c r="AW70" s="276"/>
      <c r="AY70" s="242"/>
      <c r="AZ70" s="165"/>
      <c r="BA70" s="106"/>
      <c r="BB70" s="64"/>
      <c r="BD70" s="242"/>
      <c r="BE70" s="106"/>
      <c r="BF70" s="276"/>
      <c r="BH70" s="26"/>
    </row>
    <row r="71" spans="1:60" x14ac:dyDescent="0.35">
      <c r="A71" s="9168"/>
      <c r="B71" s="240"/>
      <c r="C71" s="240" t="s">
        <v>537</v>
      </c>
      <c r="D71" s="197"/>
      <c r="F71" s="163"/>
      <c r="H71" s="242"/>
      <c r="I71" s="243"/>
      <c r="J71" s="64">
        <f>IF(H71=0,0,I71/H71)</f>
        <v>0</v>
      </c>
      <c r="L71" s="242"/>
      <c r="M71" s="157">
        <f>L71*J71</f>
        <v>0</v>
      </c>
      <c r="O71" s="117"/>
      <c r="P71" s="201"/>
      <c r="Q71" s="106"/>
      <c r="R71" s="64"/>
      <c r="T71" s="242"/>
      <c r="U71" s="106"/>
      <c r="V71" s="276"/>
      <c r="X71" s="117"/>
      <c r="Y71" s="201"/>
      <c r="Z71" s="106"/>
      <c r="AA71" s="64"/>
      <c r="AC71" s="242"/>
      <c r="AD71" s="106"/>
      <c r="AE71" s="276"/>
      <c r="AG71" s="242"/>
      <c r="AH71" s="165"/>
      <c r="AI71" s="106"/>
      <c r="AJ71" s="64"/>
      <c r="AL71" s="242"/>
      <c r="AM71" s="106"/>
      <c r="AN71" s="276"/>
      <c r="AP71" s="242"/>
      <c r="AQ71" s="165"/>
      <c r="AR71" s="106"/>
      <c r="AS71" s="476"/>
      <c r="AU71" s="242"/>
      <c r="AV71" s="106"/>
      <c r="AW71" s="276"/>
      <c r="AY71" s="242"/>
      <c r="AZ71" s="165"/>
      <c r="BA71" s="106"/>
      <c r="BB71" s="64"/>
      <c r="BD71" s="242"/>
      <c r="BE71" s="106"/>
      <c r="BF71" s="276"/>
      <c r="BH71" s="26"/>
    </row>
    <row r="72" spans="1:60" x14ac:dyDescent="0.35">
      <c r="A72" s="9168"/>
      <c r="B72" s="240"/>
      <c r="C72" s="240" t="s">
        <v>538</v>
      </c>
      <c r="D72" s="197"/>
      <c r="F72" s="163"/>
      <c r="H72" s="242"/>
      <c r="I72" s="243"/>
      <c r="J72" s="64"/>
      <c r="L72" s="242"/>
      <c r="M72" s="157"/>
      <c r="O72" s="117"/>
      <c r="P72" s="201"/>
      <c r="Q72" s="106"/>
      <c r="R72" s="64"/>
      <c r="T72" s="242"/>
      <c r="U72" s="106"/>
      <c r="V72" s="276"/>
      <c r="X72" s="117"/>
      <c r="Y72" s="201"/>
      <c r="Z72" s="106"/>
      <c r="AA72" s="64"/>
      <c r="AC72" s="242"/>
      <c r="AD72" s="106"/>
      <c r="AE72" s="276"/>
      <c r="AG72" s="242"/>
      <c r="AH72" s="165"/>
      <c r="AI72" s="106"/>
      <c r="AJ72" s="64"/>
      <c r="AL72" s="242"/>
      <c r="AM72" s="106"/>
      <c r="AN72" s="276"/>
      <c r="AP72" s="242"/>
      <c r="AQ72" s="165"/>
      <c r="AR72" s="106"/>
      <c r="AS72" s="476"/>
      <c r="AU72" s="242"/>
      <c r="AV72" s="106"/>
      <c r="AW72" s="276"/>
      <c r="AY72" s="242"/>
      <c r="AZ72" s="165"/>
      <c r="BA72" s="106"/>
      <c r="BB72" s="64"/>
      <c r="BD72" s="242"/>
      <c r="BE72" s="106"/>
      <c r="BF72" s="276"/>
      <c r="BH72" s="26"/>
    </row>
    <row r="73" spans="1:60" x14ac:dyDescent="0.35">
      <c r="A73" s="9168"/>
      <c r="B73" s="240"/>
      <c r="C73" s="240" t="s">
        <v>539</v>
      </c>
      <c r="D73" s="197"/>
      <c r="F73" s="163"/>
      <c r="H73" s="242"/>
      <c r="I73" s="243"/>
      <c r="J73" s="64">
        <f>IF(H73=0,0,I73/H73)</f>
        <v>0</v>
      </c>
      <c r="L73" s="242"/>
      <c r="M73" s="157">
        <f>L73*J73</f>
        <v>0</v>
      </c>
      <c r="O73" s="242"/>
      <c r="P73" s="201"/>
      <c r="Q73" s="106"/>
      <c r="R73" s="64"/>
      <c r="T73" s="242"/>
      <c r="U73" s="106"/>
      <c r="V73" s="276"/>
      <c r="X73" s="242"/>
      <c r="Y73" s="201"/>
      <c r="Z73" s="106"/>
      <c r="AA73" s="64"/>
      <c r="AC73" s="242"/>
      <c r="AD73" s="106"/>
      <c r="AE73" s="276"/>
      <c r="AG73" s="242"/>
      <c r="AH73" s="165"/>
      <c r="AI73" s="106"/>
      <c r="AJ73" s="64"/>
      <c r="AL73" s="242"/>
      <c r="AM73" s="106"/>
      <c r="AN73" s="276"/>
      <c r="AP73" s="242"/>
      <c r="AQ73" s="165"/>
      <c r="AR73" s="106"/>
      <c r="AS73" s="476"/>
      <c r="AU73" s="242"/>
      <c r="AV73" s="106"/>
      <c r="AW73" s="276"/>
      <c r="AY73" s="242"/>
      <c r="AZ73" s="165"/>
      <c r="BA73" s="106"/>
      <c r="BB73" s="64"/>
      <c r="BD73" s="242"/>
      <c r="BE73" s="106"/>
      <c r="BF73" s="276"/>
      <c r="BH73" s="26"/>
    </row>
    <row r="74" spans="1:60" x14ac:dyDescent="0.35">
      <c r="A74" s="9168"/>
      <c r="B74" s="250"/>
      <c r="C74" s="250" t="s">
        <v>704</v>
      </c>
      <c r="D74" s="209"/>
      <c r="F74" s="130"/>
      <c r="H74" s="242"/>
      <c r="I74" s="243"/>
      <c r="J74" s="64">
        <f>IF(H74=0,0,I74/H74)</f>
        <v>0</v>
      </c>
      <c r="L74" s="242"/>
      <c r="M74" s="157">
        <f>L74*J74</f>
        <v>0</v>
      </c>
      <c r="O74" s="242"/>
      <c r="P74" s="201"/>
      <c r="Q74" s="216"/>
      <c r="R74" s="64"/>
      <c r="T74" s="242"/>
      <c r="U74" s="216"/>
      <c r="V74" s="658"/>
      <c r="X74" s="242"/>
      <c r="Y74" s="201"/>
      <c r="Z74" s="216"/>
      <c r="AA74" s="64"/>
      <c r="AC74" s="242"/>
      <c r="AD74" s="216"/>
      <c r="AE74" s="658"/>
      <c r="AG74" s="242"/>
      <c r="AH74" s="135"/>
      <c r="AI74" s="216"/>
      <c r="AJ74" s="64"/>
      <c r="AL74" s="242"/>
      <c r="AM74" s="216"/>
      <c r="AN74" s="658"/>
      <c r="AP74" s="242"/>
      <c r="AQ74" s="135"/>
      <c r="AR74" s="216"/>
      <c r="AS74" s="476"/>
      <c r="AU74" s="242"/>
      <c r="AV74" s="216"/>
      <c r="AW74" s="658"/>
      <c r="AY74" s="242"/>
      <c r="AZ74" s="135"/>
      <c r="BA74" s="216"/>
      <c r="BB74" s="64"/>
      <c r="BD74" s="242"/>
      <c r="BE74" s="216"/>
      <c r="BF74" s="658"/>
      <c r="BH74" s="24"/>
    </row>
    <row r="75" spans="1:60" x14ac:dyDescent="0.35">
      <c r="A75" s="9168"/>
      <c r="B75" s="271" t="s">
        <v>552</v>
      </c>
      <c r="C75" s="271"/>
      <c r="D75" s="184"/>
      <c r="E75" s="143"/>
      <c r="F75" s="227"/>
      <c r="G75" s="143"/>
      <c r="H75" s="102"/>
      <c r="I75" s="103"/>
      <c r="J75" s="228"/>
      <c r="K75" s="143"/>
      <c r="L75" s="102"/>
      <c r="M75" s="268"/>
      <c r="N75" s="143"/>
      <c r="O75" s="102"/>
      <c r="P75" s="103"/>
      <c r="Q75" s="106"/>
      <c r="R75" s="228"/>
      <c r="S75" s="143"/>
      <c r="T75" s="102"/>
      <c r="U75" s="106"/>
      <c r="V75" s="105"/>
      <c r="W75" s="143"/>
      <c r="X75" s="102"/>
      <c r="Y75" s="103"/>
      <c r="Z75" s="106"/>
      <c r="AA75" s="228"/>
      <c r="AB75" s="143"/>
      <c r="AC75" s="102"/>
      <c r="AD75" s="106"/>
      <c r="AE75" s="105"/>
      <c r="AF75" s="143"/>
      <c r="AG75" s="102"/>
      <c r="AH75" s="103"/>
      <c r="AI75" s="106"/>
      <c r="AJ75" s="228"/>
      <c r="AK75" s="143"/>
      <c r="AL75" s="659"/>
      <c r="AM75" s="106" t="s">
        <v>5797</v>
      </c>
      <c r="AN75" s="660" t="s">
        <v>1481</v>
      </c>
      <c r="AO75" s="143"/>
      <c r="AP75" s="102" t="s">
        <v>5798</v>
      </c>
      <c r="AQ75" s="231" t="s">
        <v>5799</v>
      </c>
      <c r="AR75" s="106"/>
      <c r="AS75" s="228"/>
      <c r="AT75" s="143"/>
      <c r="AU75" s="659" t="s">
        <v>5800</v>
      </c>
      <c r="AV75" s="106"/>
      <c r="AW75" s="3377" t="s">
        <v>5799</v>
      </c>
      <c r="AX75" s="143"/>
      <c r="AY75" s="102" t="s">
        <v>5800</v>
      </c>
      <c r="AZ75" s="231" t="s">
        <v>5799</v>
      </c>
      <c r="BA75" s="106"/>
      <c r="BB75" s="228"/>
      <c r="BC75" s="143"/>
      <c r="BD75" s="659"/>
      <c r="BE75" s="103"/>
      <c r="BF75" s="3377" t="s">
        <v>5799</v>
      </c>
      <c r="BG75" s="143"/>
      <c r="BH75" s="18"/>
    </row>
    <row r="76" spans="1:60" x14ac:dyDescent="0.35">
      <c r="A76" s="9168"/>
      <c r="B76" s="661"/>
      <c r="C76" s="272"/>
      <c r="D76" s="197">
        <v>12</v>
      </c>
      <c r="F76" s="155"/>
      <c r="H76" s="117"/>
      <c r="I76" s="115">
        <f>I36*I79</f>
        <v>0</v>
      </c>
      <c r="J76" s="64">
        <f>IF(H76=0,0,I76/H76)</f>
        <v>0</v>
      </c>
      <c r="L76" s="117"/>
      <c r="M76" s="157"/>
      <c r="O76" s="117"/>
      <c r="P76" s="201"/>
      <c r="Q76" s="106"/>
      <c r="R76" s="64"/>
      <c r="T76" s="117"/>
      <c r="U76" s="106"/>
      <c r="V76" s="273"/>
      <c r="X76" s="117">
        <v>2663.75</v>
      </c>
      <c r="Y76" s="201"/>
      <c r="Z76" s="106" t="s">
        <v>5734</v>
      </c>
      <c r="AA76" s="64"/>
      <c r="AC76" s="117">
        <v>2958</v>
      </c>
      <c r="AD76" s="106" t="s">
        <v>5798</v>
      </c>
      <c r="AE76" s="273"/>
      <c r="AG76" s="117">
        <v>2958</v>
      </c>
      <c r="AH76" s="204"/>
      <c r="AI76" s="106" t="s">
        <v>5798</v>
      </c>
      <c r="AJ76" s="64"/>
      <c r="AL76" s="117"/>
      <c r="AN76" s="662"/>
      <c r="AP76" s="117"/>
      <c r="AQ76" s="204"/>
      <c r="AR76" s="106"/>
      <c r="AS76" s="476"/>
      <c r="AU76" s="117"/>
      <c r="AW76" s="662"/>
      <c r="AY76" s="117"/>
      <c r="AZ76" s="204"/>
      <c r="BA76" s="106"/>
      <c r="BB76" s="64"/>
      <c r="BD76" s="117"/>
      <c r="BF76" s="1780"/>
      <c r="BH76" s="26" t="s">
        <v>5801</v>
      </c>
    </row>
    <row r="77" spans="1:60" x14ac:dyDescent="0.35">
      <c r="A77" s="9168"/>
      <c r="B77" s="663"/>
      <c r="C77" s="274"/>
      <c r="D77" s="197"/>
      <c r="F77" s="163"/>
      <c r="H77" s="242"/>
      <c r="I77" s="243"/>
      <c r="J77" s="64"/>
      <c r="L77" s="242"/>
      <c r="M77" s="157"/>
      <c r="O77" s="117"/>
      <c r="P77" s="201"/>
      <c r="Q77" s="106"/>
      <c r="R77" s="64"/>
      <c r="T77" s="117"/>
      <c r="U77" s="106"/>
      <c r="V77" s="276"/>
      <c r="X77" s="117"/>
      <c r="Y77" s="201"/>
      <c r="Z77" s="106" t="s">
        <v>5802</v>
      </c>
      <c r="AA77" s="64"/>
      <c r="AC77" s="117"/>
      <c r="AD77" s="106"/>
      <c r="AE77" s="276"/>
      <c r="AG77" s="117"/>
      <c r="AH77" s="165"/>
      <c r="AI77" s="106"/>
      <c r="AJ77" s="64"/>
      <c r="AL77" s="117">
        <v>3024.58</v>
      </c>
      <c r="AM77" s="313" t="s">
        <v>2359</v>
      </c>
      <c r="AN77" s="664">
        <f>AL77</f>
        <v>3024.58</v>
      </c>
      <c r="AP77" s="117">
        <v>3024.58</v>
      </c>
      <c r="AQ77" s="7494">
        <f>AP77*AQ37/AP37</f>
        <v>2373.2541360606124</v>
      </c>
      <c r="AR77" s="106"/>
      <c r="AS77" s="476"/>
      <c r="AU77" s="117">
        <v>2935.4459438959998</v>
      </c>
      <c r="AV77" s="313"/>
      <c r="AW77" s="664">
        <f>AU77*AW37/AU37</f>
        <v>2559.995878720616</v>
      </c>
      <c r="AY77" s="117">
        <v>2935.4459438959998</v>
      </c>
      <c r="AZ77" s="7494">
        <f>AY77*AZ37/AY37</f>
        <v>2559.995878720616</v>
      </c>
      <c r="BA77" s="106"/>
      <c r="BB77" s="64"/>
      <c r="BD77" s="595">
        <v>2904.8</v>
      </c>
      <c r="BE77" s="313" t="s">
        <v>5803</v>
      </c>
      <c r="BF77" s="1780">
        <f>BD77*BF37/BD37</f>
        <v>2533.2696192109156</v>
      </c>
      <c r="BH77" s="26"/>
    </row>
    <row r="78" spans="1:60" x14ac:dyDescent="0.35">
      <c r="A78" s="9168"/>
      <c r="B78" s="274"/>
      <c r="C78" s="275" t="s">
        <v>1116</v>
      </c>
      <c r="D78" s="197"/>
      <c r="F78" s="163"/>
      <c r="H78" s="242"/>
      <c r="I78" s="243"/>
      <c r="J78" s="64"/>
      <c r="L78" s="242"/>
      <c r="M78" s="157"/>
      <c r="O78" s="117"/>
      <c r="P78" s="643"/>
      <c r="Q78" s="106"/>
      <c r="R78" s="64"/>
      <c r="T78" s="117"/>
      <c r="U78" s="106"/>
      <c r="V78" s="276"/>
      <c r="X78" s="117"/>
      <c r="Y78" s="643"/>
      <c r="Z78" s="106"/>
      <c r="AA78" s="64"/>
      <c r="AC78" s="117"/>
      <c r="AD78" s="106"/>
      <c r="AE78" s="276"/>
      <c r="AG78" s="117"/>
      <c r="AH78" s="165"/>
      <c r="AI78" s="106"/>
      <c r="AJ78" s="64"/>
      <c r="AL78" s="117">
        <v>201.66</v>
      </c>
      <c r="AM78" s="106"/>
      <c r="AN78" s="664">
        <f>AL78</f>
        <v>201.66</v>
      </c>
      <c r="AP78" s="117">
        <v>201.66</v>
      </c>
      <c r="AQ78" s="7494">
        <f>AP78*AQ38/AP38</f>
        <v>91.55442630187045</v>
      </c>
      <c r="AR78" s="106"/>
      <c r="AS78" s="476"/>
      <c r="AU78" s="117">
        <v>286.64319435599998</v>
      </c>
      <c r="AV78" s="106"/>
      <c r="AW78" s="664">
        <f>AU78*AW38/AU38</f>
        <v>185.77114160426908</v>
      </c>
      <c r="AY78" s="117">
        <v>286.64319435599998</v>
      </c>
      <c r="AZ78" s="7494">
        <f>AY78*AZ38/AY38</f>
        <v>185.77114160426908</v>
      </c>
      <c r="BA78" s="106"/>
      <c r="BB78" s="64"/>
      <c r="BD78" s="595">
        <v>322.99133900499999</v>
      </c>
      <c r="BE78" s="106" t="s">
        <v>5804</v>
      </c>
      <c r="BF78" s="1780">
        <f>BD78*BF38/BD38</f>
        <v>209.32808089184749</v>
      </c>
      <c r="BH78" s="26"/>
    </row>
    <row r="79" spans="1:60" x14ac:dyDescent="0.35">
      <c r="A79" s="9168"/>
      <c r="B79" s="277"/>
      <c r="C79" s="277" t="s">
        <v>555</v>
      </c>
      <c r="D79" s="209"/>
      <c r="F79" s="665">
        <f>AZ79</f>
        <v>0</v>
      </c>
      <c r="G79" s="666"/>
      <c r="H79" s="283">
        <f>AZ79</f>
        <v>0</v>
      </c>
      <c r="I79" s="667">
        <f>AZ79</f>
        <v>0</v>
      </c>
      <c r="J79" s="133"/>
      <c r="L79" s="283">
        <f>AZ79</f>
        <v>0</v>
      </c>
      <c r="M79" s="668"/>
      <c r="O79" s="283"/>
      <c r="P79" s="201"/>
      <c r="Q79" s="284"/>
      <c r="R79" s="133"/>
      <c r="T79" s="283"/>
      <c r="U79" s="284"/>
      <c r="V79" s="285"/>
      <c r="X79" s="283">
        <f>X76/(X37+X38)</f>
        <v>0.56765692743900686</v>
      </c>
      <c r="Y79" s="201"/>
      <c r="Z79" s="284"/>
      <c r="AA79" s="133"/>
      <c r="AC79" s="283"/>
      <c r="AD79" s="284"/>
      <c r="AE79" s="285"/>
      <c r="AG79" s="283"/>
      <c r="AH79" s="669"/>
      <c r="AI79" s="284"/>
      <c r="AJ79" s="133"/>
      <c r="AL79" s="283"/>
      <c r="AM79" s="284"/>
      <c r="AN79" s="285"/>
      <c r="AP79" s="283"/>
      <c r="AQ79" s="669"/>
      <c r="AR79" s="3329"/>
      <c r="AS79" s="484"/>
      <c r="AU79" s="283"/>
      <c r="AV79" s="3329"/>
      <c r="AW79" s="285"/>
      <c r="AY79" s="283"/>
      <c r="AZ79" s="669"/>
      <c r="BA79" s="284"/>
      <c r="BB79" s="133"/>
      <c r="BD79" s="283"/>
      <c r="BE79" s="284"/>
      <c r="BF79" s="1800"/>
      <c r="BH79" s="670">
        <f>2663.75/4692.53</f>
        <v>0.56765753229068328</v>
      </c>
    </row>
    <row r="80" spans="1:60" ht="15.25" customHeight="1" x14ac:dyDescent="0.35">
      <c r="A80" s="9168"/>
      <c r="B80" s="287" t="s">
        <v>556</v>
      </c>
      <c r="C80" s="288"/>
      <c r="D80" s="184"/>
      <c r="E80" s="143"/>
      <c r="F80" s="289"/>
      <c r="G80" s="290"/>
      <c r="H80" s="291"/>
      <c r="I80" s="292"/>
      <c r="J80" s="293"/>
      <c r="L80" s="291"/>
      <c r="M80" s="268"/>
      <c r="N80" s="143"/>
      <c r="O80" s="291"/>
      <c r="P80" s="292"/>
      <c r="Q80" s="106"/>
      <c r="R80" s="293"/>
      <c r="T80" s="291"/>
      <c r="U80" s="106"/>
      <c r="V80" s="294"/>
      <c r="W80" s="143"/>
      <c r="X80" s="291"/>
      <c r="Y80" s="292"/>
      <c r="Z80" s="106"/>
      <c r="AA80" s="293"/>
      <c r="AC80" s="291"/>
      <c r="AD80" s="106"/>
      <c r="AE80" s="294"/>
      <c r="AF80" s="143"/>
      <c r="AG80" s="291"/>
      <c r="AH80" s="292"/>
      <c r="AI80" s="106"/>
      <c r="AJ80" s="293"/>
      <c r="AL80" s="291"/>
      <c r="AM80" s="106" t="s">
        <v>5805</v>
      </c>
      <c r="AN80" s="294"/>
      <c r="AO80" s="143"/>
      <c r="AP80" s="291"/>
      <c r="AQ80" s="292"/>
      <c r="AR80" s="106"/>
      <c r="AS80" s="293"/>
      <c r="AU80" s="291"/>
      <c r="AV80" s="106"/>
      <c r="AW80" s="294"/>
      <c r="AX80" s="143"/>
      <c r="AY80" s="291"/>
      <c r="AZ80" s="292"/>
      <c r="BA80" s="106"/>
      <c r="BB80" s="293"/>
      <c r="BD80" s="1192"/>
      <c r="BE80" s="106"/>
      <c r="BF80" s="7349"/>
      <c r="BG80" s="143"/>
      <c r="BH80" s="18"/>
    </row>
    <row r="81" spans="1:60" x14ac:dyDescent="0.35">
      <c r="A81" s="9168"/>
      <c r="B81" s="302"/>
      <c r="C81" s="59" t="s">
        <v>532</v>
      </c>
      <c r="D81" s="197"/>
      <c r="F81" s="521"/>
      <c r="G81" s="272"/>
      <c r="H81" s="304"/>
      <c r="I81" s="522"/>
      <c r="J81" s="297">
        <f>IF(H81=0,0,I81/H81)</f>
        <v>0</v>
      </c>
      <c r="L81" s="304"/>
      <c r="M81" s="157">
        <f>L81*J81</f>
        <v>0</v>
      </c>
      <c r="O81" s="298"/>
      <c r="P81" s="299"/>
      <c r="Q81" s="57"/>
      <c r="R81" s="300"/>
      <c r="T81" s="298"/>
      <c r="U81" s="57"/>
      <c r="V81" s="301"/>
      <c r="X81" s="298"/>
      <c r="Y81" s="299"/>
      <c r="Z81" s="57"/>
      <c r="AA81" s="300"/>
      <c r="AC81" s="298">
        <v>279.21369099999998</v>
      </c>
      <c r="AD81" s="57" t="s">
        <v>1989</v>
      </c>
      <c r="AE81" s="301">
        <v>25.943511000000001</v>
      </c>
      <c r="AG81" s="298">
        <v>279.21369099999998</v>
      </c>
      <c r="AH81" s="671">
        <v>25.943511000000001</v>
      </c>
      <c r="AI81" s="57" t="s">
        <v>1989</v>
      </c>
      <c r="AJ81" s="300"/>
      <c r="AL81" s="298">
        <v>294.32264932599998</v>
      </c>
      <c r="AM81" s="57" t="s">
        <v>1849</v>
      </c>
      <c r="AN81" s="301">
        <v>175.44375180700001</v>
      </c>
      <c r="AP81" s="298">
        <f>AP45</f>
        <v>294.32264932599998</v>
      </c>
      <c r="AQ81" s="671">
        <f>AQ45</f>
        <v>175.44375180700001</v>
      </c>
      <c r="AR81" s="57"/>
      <c r="AS81" s="5605"/>
      <c r="AU81" s="298">
        <f>AU45</f>
        <v>298.78019292300002</v>
      </c>
      <c r="AV81" s="57"/>
      <c r="AW81" s="301">
        <f>AW45</f>
        <v>204.93620765899999</v>
      </c>
      <c r="AY81" s="298">
        <f>AY45</f>
        <v>298.78019292300002</v>
      </c>
      <c r="AZ81" s="671">
        <f>AZ45</f>
        <v>204.93620765899999</v>
      </c>
      <c r="BA81" s="57"/>
      <c r="BB81" s="300"/>
      <c r="BD81" s="298">
        <f>BD45</f>
        <v>279.30399999999997</v>
      </c>
      <c r="BE81" s="57"/>
      <c r="BF81" s="301">
        <f>BF45</f>
        <v>191.57729963291368</v>
      </c>
      <c r="BH81" s="26"/>
    </row>
    <row r="82" spans="1:60" x14ac:dyDescent="0.35">
      <c r="A82" s="9168"/>
      <c r="B82" s="302"/>
      <c r="C82" s="59" t="s">
        <v>533</v>
      </c>
      <c r="D82" s="197"/>
      <c r="F82" s="61"/>
      <c r="G82" s="272"/>
      <c r="H82" s="62"/>
      <c r="I82" s="63"/>
      <c r="J82" s="297">
        <f>IF(H82=0,0,I82/H82)</f>
        <v>0</v>
      </c>
      <c r="L82" s="62"/>
      <c r="M82" s="157">
        <f>L82*J82</f>
        <v>0</v>
      </c>
      <c r="O82" s="62"/>
      <c r="P82" s="303"/>
      <c r="Q82" s="57"/>
      <c r="R82" s="297"/>
      <c r="T82" s="304"/>
      <c r="U82" s="57"/>
      <c r="V82" s="301"/>
      <c r="X82" s="62"/>
      <c r="Y82" s="303"/>
      <c r="Z82" s="57"/>
      <c r="AA82" s="297"/>
      <c r="AC82" s="304"/>
      <c r="AD82" s="57"/>
      <c r="AE82" s="301"/>
      <c r="AG82" s="304"/>
      <c r="AH82" s="671"/>
      <c r="AI82" s="57"/>
      <c r="AJ82" s="297"/>
      <c r="AL82" s="304"/>
      <c r="AM82" s="57"/>
      <c r="AN82" s="301"/>
      <c r="AP82" s="304"/>
      <c r="AQ82" s="671"/>
      <c r="AR82" s="57"/>
      <c r="AS82" s="523"/>
      <c r="AU82" s="304"/>
      <c r="AV82" s="57"/>
      <c r="AW82" s="301"/>
      <c r="AY82" s="304"/>
      <c r="AZ82" s="671"/>
      <c r="BA82" s="57"/>
      <c r="BB82" s="297"/>
      <c r="BD82" s="304"/>
      <c r="BE82" s="57"/>
      <c r="BF82" s="301"/>
      <c r="BH82" s="26"/>
    </row>
    <row r="83" spans="1:60" x14ac:dyDescent="0.35">
      <c r="A83" s="9168"/>
      <c r="B83" s="305"/>
      <c r="C83" s="59" t="s">
        <v>534</v>
      </c>
      <c r="D83" s="197"/>
      <c r="F83" s="61"/>
      <c r="G83" s="272"/>
      <c r="H83" s="62"/>
      <c r="I83" s="63"/>
      <c r="J83" s="297">
        <f>IF(H83=0,0,I83/H83)</f>
        <v>0</v>
      </c>
      <c r="L83" s="62"/>
      <c r="M83" s="157">
        <f>L83*J83</f>
        <v>0</v>
      </c>
      <c r="O83" s="62"/>
      <c r="P83" s="72"/>
      <c r="Q83" s="57"/>
      <c r="R83" s="297"/>
      <c r="T83" s="62"/>
      <c r="U83" s="57"/>
      <c r="V83" s="301"/>
      <c r="X83" s="62"/>
      <c r="Y83" s="72"/>
      <c r="Z83" s="57"/>
      <c r="AA83" s="297"/>
      <c r="AC83" s="62"/>
      <c r="AD83" s="57"/>
      <c r="AE83" s="301"/>
      <c r="AG83" s="62"/>
      <c r="AH83" s="671"/>
      <c r="AI83" s="57"/>
      <c r="AJ83" s="297"/>
      <c r="AL83" s="62"/>
      <c r="AM83" s="57"/>
      <c r="AN83" s="301"/>
      <c r="AP83" s="62"/>
      <c r="AQ83" s="671"/>
      <c r="AR83" s="57"/>
      <c r="AS83" s="523"/>
      <c r="AU83" s="62"/>
      <c r="AV83" s="57"/>
      <c r="AW83" s="301"/>
      <c r="AY83" s="62"/>
      <c r="AZ83" s="671"/>
      <c r="BA83" s="57"/>
      <c r="BB83" s="297"/>
      <c r="BD83" s="62"/>
      <c r="BE83" s="57"/>
      <c r="BF83" s="301"/>
      <c r="BH83" s="26"/>
    </row>
    <row r="84" spans="1:60" x14ac:dyDescent="0.35">
      <c r="A84" s="9169"/>
      <c r="B84" s="306"/>
      <c r="C84" s="86" t="s">
        <v>536</v>
      </c>
      <c r="D84" s="209"/>
      <c r="F84" s="88"/>
      <c r="G84" s="274"/>
      <c r="H84" s="89"/>
      <c r="I84" s="90"/>
      <c r="J84" s="307">
        <f>IF(H84=0,0,I84/H84)</f>
        <v>0</v>
      </c>
      <c r="L84" s="89"/>
      <c r="M84" s="213">
        <f>L84*J84</f>
        <v>0</v>
      </c>
      <c r="O84" s="89"/>
      <c r="P84" s="308"/>
      <c r="Q84" s="216"/>
      <c r="R84" s="307"/>
      <c r="T84" s="89"/>
      <c r="U84" s="216"/>
      <c r="V84" s="309"/>
      <c r="X84" s="89"/>
      <c r="Y84" s="308"/>
      <c r="Z84" s="216"/>
      <c r="AA84" s="307"/>
      <c r="AC84" s="89"/>
      <c r="AD84" s="216"/>
      <c r="AE84" s="309"/>
      <c r="AG84" s="89"/>
      <c r="AH84" s="672"/>
      <c r="AI84" s="216"/>
      <c r="AJ84" s="307"/>
      <c r="AL84" s="89"/>
      <c r="AM84" s="216"/>
      <c r="AN84" s="309"/>
      <c r="AP84" s="89"/>
      <c r="AQ84" s="672"/>
      <c r="AR84" s="216"/>
      <c r="AS84" s="527"/>
      <c r="AU84" s="89"/>
      <c r="AV84" s="216"/>
      <c r="AW84" s="309"/>
      <c r="AY84" s="89"/>
      <c r="AZ84" s="672"/>
      <c r="BA84" s="216"/>
      <c r="BB84" s="307"/>
      <c r="BD84" s="89"/>
      <c r="BE84" s="216"/>
      <c r="BF84" s="309"/>
      <c r="BH84" s="24"/>
    </row>
    <row r="85" spans="1:60" x14ac:dyDescent="0.35">
      <c r="A85" s="310"/>
      <c r="B85" s="310"/>
      <c r="F85" s="106"/>
      <c r="H85" s="106"/>
      <c r="I85" s="106"/>
      <c r="J85" s="311"/>
      <c r="L85" s="106"/>
      <c r="M85" s="312"/>
      <c r="O85" s="106"/>
      <c r="P85" s="106"/>
      <c r="Q85" s="106"/>
      <c r="R85" s="311"/>
      <c r="T85" s="106"/>
      <c r="U85" s="106"/>
      <c r="V85" s="312"/>
      <c r="X85" s="106"/>
      <c r="Y85" s="106"/>
      <c r="Z85" s="106"/>
      <c r="AA85" s="311"/>
      <c r="AC85" s="106"/>
      <c r="AD85" s="106"/>
      <c r="AE85" s="312"/>
      <c r="AG85" s="106"/>
      <c r="AH85" s="106"/>
      <c r="AI85" s="106"/>
      <c r="AJ85" s="311"/>
      <c r="AL85" s="106"/>
      <c r="AM85" s="106"/>
      <c r="AN85" s="312"/>
      <c r="AP85" s="106"/>
      <c r="AQ85" s="106"/>
      <c r="AR85" s="106"/>
      <c r="AS85" s="558"/>
      <c r="AU85" s="106"/>
      <c r="AV85" s="106"/>
      <c r="AW85" s="312"/>
      <c r="AY85" s="106"/>
      <c r="AZ85" s="106"/>
      <c r="BA85" s="106"/>
      <c r="BB85" s="311"/>
      <c r="BD85" s="106"/>
      <c r="BE85" s="106"/>
      <c r="BF85" s="312"/>
    </row>
    <row r="86" spans="1:60" ht="14.75" customHeight="1" x14ac:dyDescent="0.35">
      <c r="A86" s="9226" t="s">
        <v>1114</v>
      </c>
      <c r="B86" s="673"/>
      <c r="C86" s="315" t="s">
        <v>11</v>
      </c>
      <c r="D86" s="184"/>
      <c r="F86" s="316"/>
      <c r="H86" s="317"/>
      <c r="I86" s="318"/>
      <c r="J86" s="319"/>
      <c r="L86" s="317"/>
      <c r="M86" s="318"/>
      <c r="N86" s="141"/>
      <c r="O86" s="320"/>
      <c r="P86" s="321"/>
      <c r="Q86" s="109"/>
      <c r="R86" s="293"/>
      <c r="T86" s="317"/>
      <c r="U86" s="109"/>
      <c r="V86" s="323"/>
      <c r="W86" s="141"/>
      <c r="X86" s="320"/>
      <c r="Y86" s="321"/>
      <c r="Z86" s="109"/>
      <c r="AA86" s="293"/>
      <c r="AC86" s="317"/>
      <c r="AD86" s="109"/>
      <c r="AE86" s="323"/>
      <c r="AF86" s="141"/>
      <c r="AG86" s="317"/>
      <c r="AH86" s="321"/>
      <c r="AI86" s="109"/>
      <c r="AJ86" s="293"/>
      <c r="AL86" s="317"/>
      <c r="AM86" s="109"/>
      <c r="AN86" s="323"/>
      <c r="AO86" s="141"/>
      <c r="AP86" s="317"/>
      <c r="AQ86" s="321"/>
      <c r="AR86" s="109"/>
      <c r="AS86" s="293"/>
      <c r="AU86" s="317"/>
      <c r="AV86" s="109"/>
      <c r="AW86" s="323"/>
      <c r="AX86" s="141"/>
      <c r="AY86" s="317"/>
      <c r="AZ86" s="321"/>
      <c r="BA86" s="109"/>
      <c r="BB86" s="293"/>
      <c r="BD86" s="317"/>
      <c r="BE86" s="109"/>
      <c r="BF86" s="323"/>
      <c r="BG86" s="141"/>
    </row>
    <row r="87" spans="1:60" x14ac:dyDescent="0.35">
      <c r="A87" s="9227"/>
      <c r="B87" s="325"/>
      <c r="C87" s="326" t="s">
        <v>1116</v>
      </c>
      <c r="D87" s="197"/>
      <c r="F87" s="327"/>
      <c r="H87" s="325"/>
      <c r="I87" s="328"/>
      <c r="J87" s="329"/>
      <c r="L87" s="325"/>
      <c r="M87" s="328"/>
      <c r="O87" s="674"/>
      <c r="P87" s="675"/>
      <c r="Q87" s="332"/>
      <c r="R87" s="297"/>
      <c r="T87" s="325"/>
      <c r="U87" s="332"/>
      <c r="V87" s="333"/>
      <c r="X87" s="674"/>
      <c r="Y87" s="675"/>
      <c r="Z87" s="332"/>
      <c r="AA87" s="297"/>
      <c r="AC87" s="325"/>
      <c r="AD87" s="332"/>
      <c r="AE87" s="333"/>
      <c r="AG87" s="325"/>
      <c r="AH87" s="675"/>
      <c r="AI87" s="332"/>
      <c r="AJ87" s="297"/>
      <c r="AL87" s="325"/>
      <c r="AM87" s="332"/>
      <c r="AN87" s="333"/>
      <c r="AP87" s="325"/>
      <c r="AQ87" s="675"/>
      <c r="AR87" s="332"/>
      <c r="AS87" s="523"/>
      <c r="AU87" s="325"/>
      <c r="AV87" s="332"/>
      <c r="AW87" s="333"/>
      <c r="AY87" s="325"/>
      <c r="AZ87" s="675"/>
      <c r="BA87" s="332"/>
      <c r="BB87" s="297"/>
      <c r="BD87" s="325"/>
      <c r="BE87" s="332"/>
      <c r="BF87" s="333"/>
    </row>
    <row r="88" spans="1:60" x14ac:dyDescent="0.35">
      <c r="A88" s="9227"/>
      <c r="B88" s="335"/>
      <c r="C88" s="326"/>
      <c r="D88" s="197"/>
      <c r="F88" s="336"/>
      <c r="H88" s="330"/>
      <c r="I88" s="337"/>
      <c r="J88" s="329"/>
      <c r="L88" s="330"/>
      <c r="M88" s="337"/>
      <c r="O88" s="339"/>
      <c r="P88" s="340"/>
      <c r="Q88" s="106"/>
      <c r="R88" s="297"/>
      <c r="T88" s="330"/>
      <c r="U88" s="106"/>
      <c r="V88" s="333"/>
      <c r="X88" s="339"/>
      <c r="Y88" s="340"/>
      <c r="Z88" s="106"/>
      <c r="AA88" s="297"/>
      <c r="AC88" s="330"/>
      <c r="AD88" s="106"/>
      <c r="AE88" s="333"/>
      <c r="AG88" s="330"/>
      <c r="AH88" s="340"/>
      <c r="AI88" s="106"/>
      <c r="AJ88" s="297"/>
      <c r="AL88" s="330"/>
      <c r="AM88" s="106"/>
      <c r="AN88" s="333"/>
      <c r="AP88" s="330"/>
      <c r="AQ88" s="340"/>
      <c r="AR88" s="106"/>
      <c r="AS88" s="523"/>
      <c r="AU88" s="330"/>
      <c r="AV88" s="106"/>
      <c r="AW88" s="333"/>
      <c r="AY88" s="330"/>
      <c r="AZ88" s="340"/>
      <c r="BA88" s="106"/>
      <c r="BB88" s="297"/>
      <c r="BD88" s="330"/>
      <c r="BE88" s="106"/>
      <c r="BF88" s="333"/>
    </row>
    <row r="89" spans="1:60" x14ac:dyDescent="0.35">
      <c r="A89" s="9227"/>
      <c r="B89" s="330"/>
      <c r="C89" s="326"/>
      <c r="D89" s="197"/>
      <c r="F89" s="336"/>
      <c r="H89" s="330"/>
      <c r="I89" s="337"/>
      <c r="J89" s="329"/>
      <c r="L89" s="330"/>
      <c r="M89" s="337"/>
      <c r="O89" s="339"/>
      <c r="P89" s="340"/>
      <c r="Q89" s="106"/>
      <c r="R89" s="297"/>
      <c r="T89" s="330"/>
      <c r="U89" s="106"/>
      <c r="V89" s="333"/>
      <c r="X89" s="339"/>
      <c r="Y89" s="340"/>
      <c r="Z89" s="106"/>
      <c r="AA89" s="297"/>
      <c r="AC89" s="330"/>
      <c r="AD89" s="106"/>
      <c r="AE89" s="333"/>
      <c r="AG89" s="330"/>
      <c r="AH89" s="340"/>
      <c r="AI89" s="106"/>
      <c r="AJ89" s="297"/>
      <c r="AL89" s="330"/>
      <c r="AM89" s="106"/>
      <c r="AN89" s="333"/>
      <c r="AP89" s="330"/>
      <c r="AQ89" s="340"/>
      <c r="AR89" s="106"/>
      <c r="AS89" s="523"/>
      <c r="AU89" s="330"/>
      <c r="AV89" s="106"/>
      <c r="AW89" s="333"/>
      <c r="AY89" s="330"/>
      <c r="AZ89" s="340"/>
      <c r="BA89" s="106"/>
      <c r="BB89" s="297"/>
      <c r="BD89" s="330"/>
      <c r="BE89" s="106"/>
      <c r="BF89" s="333"/>
    </row>
    <row r="90" spans="1:60" x14ac:dyDescent="0.35">
      <c r="A90" s="9227"/>
      <c r="B90" s="330"/>
      <c r="C90" s="326"/>
      <c r="D90" s="197"/>
      <c r="F90" s="336"/>
      <c r="H90" s="330"/>
      <c r="I90" s="337"/>
      <c r="J90" s="329"/>
      <c r="L90" s="330"/>
      <c r="M90" s="337"/>
      <c r="O90" s="339"/>
      <c r="P90" s="340"/>
      <c r="Q90" s="106"/>
      <c r="R90" s="297"/>
      <c r="T90" s="330"/>
      <c r="U90" s="106"/>
      <c r="V90" s="333"/>
      <c r="X90" s="339"/>
      <c r="Y90" s="340"/>
      <c r="Z90" s="106"/>
      <c r="AA90" s="297"/>
      <c r="AC90" s="330"/>
      <c r="AD90" s="106"/>
      <c r="AE90" s="333"/>
      <c r="AG90" s="330"/>
      <c r="AH90" s="340"/>
      <c r="AI90" s="106"/>
      <c r="AJ90" s="297"/>
      <c r="AL90" s="330"/>
      <c r="AM90" s="106"/>
      <c r="AN90" s="333"/>
      <c r="AP90" s="330"/>
      <c r="AQ90" s="340"/>
      <c r="AR90" s="106"/>
      <c r="AS90" s="523"/>
      <c r="AU90" s="330"/>
      <c r="AV90" s="106"/>
      <c r="AW90" s="333"/>
      <c r="AY90" s="330"/>
      <c r="AZ90" s="340"/>
      <c r="BA90" s="106"/>
      <c r="BB90" s="297"/>
      <c r="BD90" s="330"/>
      <c r="BE90" s="106"/>
      <c r="BF90" s="333"/>
    </row>
    <row r="91" spans="1:60" x14ac:dyDescent="0.35">
      <c r="A91" s="9227"/>
      <c r="B91" s="330"/>
      <c r="C91" s="326"/>
      <c r="D91" s="197"/>
      <c r="F91" s="336"/>
      <c r="H91" s="330"/>
      <c r="I91" s="337"/>
      <c r="J91" s="329"/>
      <c r="L91" s="330"/>
      <c r="M91" s="337"/>
      <c r="N91" s="143"/>
      <c r="O91" s="339"/>
      <c r="P91" s="340"/>
      <c r="Q91" s="106"/>
      <c r="R91" s="297"/>
      <c r="T91" s="330"/>
      <c r="U91" s="106"/>
      <c r="V91" s="333"/>
      <c r="W91" s="143"/>
      <c r="X91" s="339"/>
      <c r="Y91" s="340"/>
      <c r="Z91" s="106"/>
      <c r="AA91" s="297"/>
      <c r="AC91" s="330"/>
      <c r="AD91" s="106"/>
      <c r="AE91" s="333"/>
      <c r="AF91" s="143"/>
      <c r="AG91" s="330"/>
      <c r="AH91" s="340"/>
      <c r="AI91" s="106"/>
      <c r="AJ91" s="297"/>
      <c r="AL91" s="330"/>
      <c r="AM91" s="106"/>
      <c r="AN91" s="333"/>
      <c r="AO91" s="143"/>
      <c r="AP91" s="330"/>
      <c r="AQ91" s="340"/>
      <c r="AR91" s="106"/>
      <c r="AS91" s="523"/>
      <c r="AU91" s="330"/>
      <c r="AV91" s="106"/>
      <c r="AW91" s="333"/>
      <c r="AX91" s="143"/>
      <c r="AY91" s="330"/>
      <c r="AZ91" s="340"/>
      <c r="BA91" s="106"/>
      <c r="BB91" s="297"/>
      <c r="BD91" s="330"/>
      <c r="BE91" s="106"/>
      <c r="BF91" s="333"/>
      <c r="BG91" s="143"/>
    </row>
    <row r="92" spans="1:60" x14ac:dyDescent="0.35">
      <c r="A92" s="9227"/>
      <c r="B92" s="330"/>
      <c r="C92" s="326"/>
      <c r="D92" s="197"/>
      <c r="F92" s="336"/>
      <c r="H92" s="330"/>
      <c r="I92" s="337"/>
      <c r="J92" s="329"/>
      <c r="L92" s="330"/>
      <c r="M92" s="337"/>
      <c r="O92" s="339"/>
      <c r="P92" s="340"/>
      <c r="Q92" s="106"/>
      <c r="R92" s="297"/>
      <c r="T92" s="330"/>
      <c r="U92" s="106"/>
      <c r="V92" s="333"/>
      <c r="X92" s="339"/>
      <c r="Y92" s="340"/>
      <c r="Z92" s="106"/>
      <c r="AA92" s="297"/>
      <c r="AC92" s="330"/>
      <c r="AD92" s="106"/>
      <c r="AE92" s="333"/>
      <c r="AG92" s="330"/>
      <c r="AH92" s="340"/>
      <c r="AI92" s="106"/>
      <c r="AJ92" s="297"/>
      <c r="AL92" s="330"/>
      <c r="AM92" s="106"/>
      <c r="AN92" s="333"/>
      <c r="AP92" s="330"/>
      <c r="AQ92" s="340"/>
      <c r="AR92" s="106"/>
      <c r="AS92" s="523"/>
      <c r="AU92" s="330"/>
      <c r="AV92" s="106"/>
      <c r="AW92" s="333"/>
      <c r="AY92" s="330"/>
      <c r="AZ92" s="340"/>
      <c r="BA92" s="106"/>
      <c r="BB92" s="297"/>
      <c r="BD92" s="330"/>
      <c r="BE92" s="106"/>
      <c r="BF92" s="333"/>
    </row>
    <row r="93" spans="1:60" x14ac:dyDescent="0.35">
      <c r="A93" s="9227"/>
      <c r="B93" s="330"/>
      <c r="C93" s="326"/>
      <c r="D93" s="197"/>
      <c r="F93" s="336"/>
      <c r="H93" s="330"/>
      <c r="I93" s="337"/>
      <c r="J93" s="329"/>
      <c r="L93" s="330"/>
      <c r="M93" s="337"/>
      <c r="O93" s="339"/>
      <c r="P93" s="340"/>
      <c r="Q93" s="106"/>
      <c r="R93" s="297"/>
      <c r="T93" s="330"/>
      <c r="U93" s="106"/>
      <c r="V93" s="333"/>
      <c r="X93" s="339"/>
      <c r="Y93" s="340"/>
      <c r="Z93" s="106"/>
      <c r="AA93" s="297"/>
      <c r="AC93" s="330"/>
      <c r="AD93" s="106"/>
      <c r="AE93" s="333"/>
      <c r="AG93" s="330"/>
      <c r="AH93" s="340"/>
      <c r="AI93" s="106"/>
      <c r="AJ93" s="297"/>
      <c r="AL93" s="330"/>
      <c r="AM93" s="106"/>
      <c r="AN93" s="333"/>
      <c r="AP93" s="330"/>
      <c r="AQ93" s="340"/>
      <c r="AR93" s="106"/>
      <c r="AS93" s="523"/>
      <c r="AU93" s="330"/>
      <c r="AV93" s="106"/>
      <c r="AW93" s="333"/>
      <c r="AY93" s="330"/>
      <c r="AZ93" s="340"/>
      <c r="BA93" s="106"/>
      <c r="BB93" s="297"/>
      <c r="BD93" s="330"/>
      <c r="BE93" s="106"/>
      <c r="BF93" s="333"/>
    </row>
    <row r="94" spans="1:60" x14ac:dyDescent="0.35">
      <c r="A94" s="9227"/>
      <c r="B94" s="330"/>
      <c r="C94" s="337"/>
      <c r="D94" s="197"/>
      <c r="F94" s="336"/>
      <c r="H94" s="330"/>
      <c r="I94" s="337"/>
      <c r="J94" s="329"/>
      <c r="L94" s="330"/>
      <c r="M94" s="337"/>
      <c r="O94" s="339"/>
      <c r="P94" s="340"/>
      <c r="Q94" s="106"/>
      <c r="R94" s="297"/>
      <c r="T94" s="330"/>
      <c r="U94" s="106"/>
      <c r="V94" s="333"/>
      <c r="X94" s="339"/>
      <c r="Y94" s="340"/>
      <c r="Z94" s="106"/>
      <c r="AA94" s="297"/>
      <c r="AC94" s="330"/>
      <c r="AD94" s="106"/>
      <c r="AE94" s="333"/>
      <c r="AG94" s="330"/>
      <c r="AH94" s="340"/>
      <c r="AI94" s="106"/>
      <c r="AJ94" s="297"/>
      <c r="AL94" s="330"/>
      <c r="AM94" s="106"/>
      <c r="AN94" s="333"/>
      <c r="AP94" s="330"/>
      <c r="AQ94" s="340"/>
      <c r="AR94" s="106"/>
      <c r="AS94" s="523"/>
      <c r="AU94" s="330"/>
      <c r="AV94" s="106"/>
      <c r="AW94" s="333"/>
      <c r="AY94" s="330"/>
      <c r="AZ94" s="340"/>
      <c r="BA94" s="106"/>
      <c r="BB94" s="297"/>
      <c r="BD94" s="330"/>
      <c r="BE94" s="106"/>
      <c r="BF94" s="333"/>
    </row>
    <row r="95" spans="1:60" x14ac:dyDescent="0.35">
      <c r="A95" s="9228"/>
      <c r="B95" s="341"/>
      <c r="C95" s="342"/>
      <c r="D95" s="209"/>
      <c r="F95" s="343"/>
      <c r="H95" s="341"/>
      <c r="I95" s="342"/>
      <c r="J95" s="344"/>
      <c r="L95" s="341"/>
      <c r="M95" s="342"/>
      <c r="O95" s="345"/>
      <c r="P95" s="346"/>
      <c r="Q95" s="216"/>
      <c r="R95" s="307"/>
      <c r="T95" s="341"/>
      <c r="U95" s="216"/>
      <c r="V95" s="347"/>
      <c r="X95" s="345"/>
      <c r="Y95" s="346"/>
      <c r="Z95" s="216"/>
      <c r="AA95" s="307"/>
      <c r="AC95" s="341"/>
      <c r="AD95" s="216"/>
      <c r="AE95" s="347"/>
      <c r="AG95" s="341"/>
      <c r="AH95" s="346"/>
      <c r="AI95" s="216"/>
      <c r="AJ95" s="307"/>
      <c r="AL95" s="341"/>
      <c r="AM95" s="216"/>
      <c r="AN95" s="347"/>
      <c r="AP95" s="341"/>
      <c r="AQ95" s="346"/>
      <c r="AR95" s="216"/>
      <c r="AS95" s="527"/>
      <c r="AU95" s="341"/>
      <c r="AV95" s="216"/>
      <c r="AW95" s="347"/>
      <c r="AY95" s="341"/>
      <c r="AZ95" s="346"/>
      <c r="BA95" s="216"/>
      <c r="BB95" s="307"/>
      <c r="BD95" s="341"/>
      <c r="BE95" s="216"/>
      <c r="BF95" s="347"/>
    </row>
    <row r="96" spans="1:60" x14ac:dyDescent="0.35">
      <c r="A96" s="310"/>
      <c r="B96" s="310"/>
      <c r="F96" s="106"/>
      <c r="H96" s="106"/>
      <c r="I96" s="106"/>
      <c r="J96" s="311"/>
      <c r="L96" s="106"/>
      <c r="M96" s="312"/>
      <c r="O96" s="106"/>
      <c r="P96" s="106"/>
      <c r="Q96" s="106"/>
      <c r="R96" s="311"/>
      <c r="T96" s="106"/>
      <c r="U96" s="106"/>
      <c r="V96" s="312"/>
      <c r="X96" s="106"/>
      <c r="Y96" s="106"/>
      <c r="Z96" s="106"/>
      <c r="AA96" s="311"/>
      <c r="AC96" s="106"/>
      <c r="AD96" s="106"/>
      <c r="AE96" s="312"/>
      <c r="AG96" s="106"/>
      <c r="AH96" s="106"/>
      <c r="AI96" s="106"/>
      <c r="AJ96" s="311"/>
      <c r="AL96" s="106"/>
      <c r="AM96" s="106"/>
      <c r="AN96" s="312"/>
      <c r="AP96" s="106"/>
      <c r="AQ96" s="106"/>
      <c r="AR96" s="106"/>
      <c r="AS96" s="558"/>
      <c r="AU96" s="106"/>
      <c r="AV96" s="106"/>
      <c r="AW96" s="312"/>
      <c r="AY96" s="106"/>
      <c r="AZ96" s="106"/>
      <c r="BA96" s="106"/>
      <c r="BB96" s="311"/>
      <c r="BD96" s="106"/>
      <c r="BE96" s="106"/>
      <c r="BF96" s="312"/>
    </row>
    <row r="97" spans="1:60" ht="18" customHeight="1" x14ac:dyDescent="0.35">
      <c r="A97" s="9167" t="s">
        <v>566</v>
      </c>
      <c r="B97" s="139" t="s">
        <v>567</v>
      </c>
      <c r="C97" s="348"/>
      <c r="D97" s="49"/>
      <c r="E97" s="141"/>
      <c r="F97" s="227"/>
      <c r="G97" s="141"/>
      <c r="H97" s="102"/>
      <c r="I97" s="103"/>
      <c r="J97" s="228"/>
      <c r="K97" s="141"/>
      <c r="L97" s="102"/>
      <c r="M97" s="268"/>
      <c r="O97" s="102"/>
      <c r="P97" s="103"/>
      <c r="Q97" s="103"/>
      <c r="R97" s="228"/>
      <c r="S97" s="141"/>
      <c r="T97" s="102"/>
      <c r="U97" s="103"/>
      <c r="V97" s="268"/>
      <c r="X97" s="102"/>
      <c r="Y97" s="103"/>
      <c r="Z97" s="103"/>
      <c r="AA97" s="228"/>
      <c r="AB97" s="141"/>
      <c r="AC97" s="102"/>
      <c r="AD97" s="103"/>
      <c r="AE97" s="268"/>
      <c r="AG97" s="102"/>
      <c r="AH97" s="103"/>
      <c r="AI97" s="103"/>
      <c r="AJ97" s="228"/>
      <c r="AK97" s="141"/>
      <c r="AL97" s="102"/>
      <c r="AM97" s="103"/>
      <c r="AN97" s="268"/>
      <c r="AP97" s="102"/>
      <c r="AQ97" s="103"/>
      <c r="AR97" s="103"/>
      <c r="AS97" s="228"/>
      <c r="AT97" s="141"/>
      <c r="AU97" s="102"/>
      <c r="AV97" s="103"/>
      <c r="AW97" s="268"/>
      <c r="AY97" s="102"/>
      <c r="AZ97" s="103"/>
      <c r="BA97" s="103"/>
      <c r="BB97" s="228"/>
      <c r="BC97" s="141"/>
      <c r="BD97" s="102"/>
      <c r="BE97" s="103"/>
      <c r="BF97" s="268"/>
    </row>
    <row r="98" spans="1:60" x14ac:dyDescent="0.35">
      <c r="A98" s="9168"/>
      <c r="B98" s="6082"/>
      <c r="C98"/>
      <c r="D98" s="110" t="s">
        <v>568</v>
      </c>
      <c r="F98" s="349">
        <f>SUM(F42:F52)-SUM(F54:F56)</f>
        <v>2890.1</v>
      </c>
      <c r="G98" s="350"/>
      <c r="H98" s="351">
        <f t="shared" ref="H98:I98" si="27">SUM(H42:H52)-SUM(H54:H56)</f>
        <v>3127.9</v>
      </c>
      <c r="I98" s="352">
        <f t="shared" si="27"/>
        <v>666.41270334400008</v>
      </c>
      <c r="J98" s="246"/>
      <c r="K98" s="350"/>
      <c r="L98" s="351">
        <f t="shared" ref="L98:M98" si="28">SUM(L42:L52)-SUM(L54:L56)</f>
        <v>3465.1</v>
      </c>
      <c r="M98" s="353">
        <f t="shared" si="28"/>
        <v>3013.4241217016693</v>
      </c>
      <c r="O98" s="354">
        <f>SUM(O42:O52)-SUM(O54:O56)</f>
        <v>3465.1</v>
      </c>
      <c r="P98" s="355">
        <f>SUM(P42:P52)-SUM(P54:P56)</f>
        <v>0</v>
      </c>
      <c r="Q98" s="352"/>
      <c r="R98" s="246"/>
      <c r="S98" s="350"/>
      <c r="T98" s="351">
        <f>SUM(T42:T52)-SUM(T54:T56)</f>
        <v>3870.2</v>
      </c>
      <c r="U98" s="352"/>
      <c r="V98" s="353">
        <f>SUM(V42:V52)-SUM(V54:V56)</f>
        <v>0</v>
      </c>
      <c r="X98" s="354">
        <f>SUM(X42:X52)-SUM(X54:X56)</f>
        <v>3870.2</v>
      </c>
      <c r="Y98" s="355">
        <f>SUM(Y42:Y52)-SUM(Y54:Y56)</f>
        <v>0</v>
      </c>
      <c r="Z98" s="352"/>
      <c r="AA98" s="246"/>
      <c r="AB98" s="350"/>
      <c r="AC98" s="351">
        <f>SUM(AC42:AC52)-SUM(AC54:AC56)</f>
        <v>4770</v>
      </c>
      <c r="AD98" s="352"/>
      <c r="AE98" s="353">
        <f>SUM(AE42:AE52)-SUM(AE54:AE56)</f>
        <v>0</v>
      </c>
      <c r="AG98" s="354">
        <f>SUM(AG42:AG52)-SUM(AG54:AG56)</f>
        <v>4770</v>
      </c>
      <c r="AH98" s="355">
        <f>SUM(AH42:AH52)-SUM(AH54:AH56)</f>
        <v>0</v>
      </c>
      <c r="AI98" s="352"/>
      <c r="AJ98" s="246"/>
      <c r="AK98" s="350"/>
      <c r="AL98" s="351">
        <f>SUM(AL42:AL52)-SUM(AL54:AL56)</f>
        <v>1392.049620884</v>
      </c>
      <c r="AM98" s="352"/>
      <c r="AN98" s="353">
        <f>SUM(AN42:AN52)-SUM(AN54:AN56)</f>
        <v>1138.3689936730002</v>
      </c>
      <c r="AP98" s="354">
        <f>SUM(AP42:AP52)-SUM(AP54:AP56)</f>
        <v>1405.179422642</v>
      </c>
      <c r="AQ98" s="355">
        <f>SUM(AQ42:AQ52)-SUM(AQ54:AQ56)</f>
        <v>1148.0768124250003</v>
      </c>
      <c r="AR98" s="352"/>
      <c r="AS98" s="246"/>
      <c r="AT98" s="350"/>
      <c r="AU98" s="351">
        <f>SUM(AU42:AU52)-SUM(AU54:AU56)</f>
        <v>1419.5407248389997</v>
      </c>
      <c r="AV98" s="352"/>
      <c r="AW98" s="353">
        <f>SUM(AW42:AW52)-SUM(AW54:AW56)</f>
        <v>1236.8968912250002</v>
      </c>
      <c r="AY98" s="354">
        <f>SUM(AY42:AY52)-SUM(AY54:AY56)</f>
        <v>1419.5407248389997</v>
      </c>
      <c r="AZ98" s="355">
        <f>SUM(AZ42:AZ52)-SUM(AZ54:AZ56)</f>
        <v>1236.8968912250002</v>
      </c>
      <c r="BA98" s="352"/>
      <c r="BB98" s="246"/>
      <c r="BC98" s="350"/>
      <c r="BD98" s="351">
        <f>SUM(BD42:BD52)-SUM(BD54:BD56)</f>
        <v>1404.5650970000002</v>
      </c>
      <c r="BE98" s="352"/>
      <c r="BF98" s="353">
        <f>SUM(BF42:BF52)-SUM(BF54:BF56)</f>
        <v>1229.4243966844979</v>
      </c>
    </row>
    <row r="99" spans="1:60" x14ac:dyDescent="0.35">
      <c r="A99" s="9168"/>
      <c r="B99" s="6082"/>
      <c r="C99"/>
      <c r="D99" s="110" t="s">
        <v>569</v>
      </c>
      <c r="F99" s="349">
        <f>SUM(F58:F65)</f>
        <v>0</v>
      </c>
      <c r="G99" s="350"/>
      <c r="H99" s="351">
        <f t="shared" ref="H99:I99" si="29">SUM(H58:H65)</f>
        <v>0</v>
      </c>
      <c r="I99" s="352">
        <f t="shared" si="29"/>
        <v>24.064152939</v>
      </c>
      <c r="J99" s="246"/>
      <c r="K99" s="350"/>
      <c r="L99" s="351">
        <f t="shared" ref="L99:M99" si="30">SUM(L58:L65)</f>
        <v>31.633695500000002</v>
      </c>
      <c r="M99" s="353">
        <f t="shared" si="30"/>
        <v>0</v>
      </c>
      <c r="O99" s="354">
        <f>SUM(O58:O65)</f>
        <v>19.2483854</v>
      </c>
      <c r="P99" s="355">
        <f>SUM(P58:P65)</f>
        <v>27.160822874000001</v>
      </c>
      <c r="Q99" s="352"/>
      <c r="R99" s="246"/>
      <c r="S99" s="350"/>
      <c r="T99" s="351">
        <f>SUM(T58:T65)</f>
        <v>40.262176410000002</v>
      </c>
      <c r="U99" s="352"/>
      <c r="V99" s="353">
        <f>SUM(V58:V65)</f>
        <v>0</v>
      </c>
      <c r="X99" s="354">
        <f>SUM(X58:X65)</f>
        <v>40.262176410000002</v>
      </c>
      <c r="Y99" s="355">
        <f>SUM(Y58:Y65)</f>
        <v>0</v>
      </c>
      <c r="Z99" s="352"/>
      <c r="AA99" s="246"/>
      <c r="AB99" s="350"/>
      <c r="AC99" s="351">
        <f>SUM(AC58:AC65)</f>
        <v>31.048246999999996</v>
      </c>
      <c r="AD99" s="352"/>
      <c r="AE99" s="353">
        <f>SUM(AE58:AE65)</f>
        <v>0</v>
      </c>
      <c r="AG99" s="354">
        <f>SUM(AG58:AG65)</f>
        <v>31.048246999999996</v>
      </c>
      <c r="AH99" s="355">
        <f>SUM(AH58:AH65)</f>
        <v>0</v>
      </c>
      <c r="AI99" s="352"/>
      <c r="AJ99" s="246"/>
      <c r="AK99" s="350"/>
      <c r="AL99" s="351">
        <f>SUM(AL58:AL65)</f>
        <v>28.105614463999999</v>
      </c>
      <c r="AM99" s="352"/>
      <c r="AN99" s="353">
        <f>SUM(AN58:AN65)</f>
        <v>28.105614463999999</v>
      </c>
      <c r="AP99" s="354">
        <f>SUM(AP58:AP65)</f>
        <v>28.105614463999999</v>
      </c>
      <c r="AQ99" s="355">
        <f>SUM(AQ58:AQ65)</f>
        <v>28.105614463999999</v>
      </c>
      <c r="AR99" s="352"/>
      <c r="AS99" s="246"/>
      <c r="AT99" s="350"/>
      <c r="AU99" s="351">
        <f>SUM(AU58:AU65)</f>
        <v>28.442582734999998</v>
      </c>
      <c r="AV99" s="352"/>
      <c r="AW99" s="353">
        <f>SUM(AW58:AW65)</f>
        <v>28.442582734999998</v>
      </c>
      <c r="AY99" s="354">
        <f>SUM(AY58:AY65)</f>
        <v>28.442582734999998</v>
      </c>
      <c r="AZ99" s="355">
        <f>SUM(AZ58:AZ65)</f>
        <v>28.442582734999998</v>
      </c>
      <c r="BA99" s="352"/>
      <c r="BB99" s="246"/>
      <c r="BC99" s="350"/>
      <c r="BD99" s="351">
        <f>SUM(BD58:BD65)</f>
        <v>47.110651000000004</v>
      </c>
      <c r="BE99" s="352"/>
      <c r="BF99" s="353">
        <f>SUM(BF58:BF65)</f>
        <v>47.110651000000004</v>
      </c>
    </row>
    <row r="100" spans="1:60" x14ac:dyDescent="0.35">
      <c r="A100" s="9168"/>
      <c r="B100" s="6082"/>
      <c r="C100"/>
      <c r="D100" s="110" t="s">
        <v>570</v>
      </c>
      <c r="F100" s="349">
        <f>SUM(F67:F74)*F35</f>
        <v>0</v>
      </c>
      <c r="G100" s="350"/>
      <c r="H100" s="351">
        <f t="shared" ref="H100:I100" si="31">SUM(H67:H74)*H35</f>
        <v>0</v>
      </c>
      <c r="I100" s="352">
        <f t="shared" si="31"/>
        <v>0</v>
      </c>
      <c r="J100" s="246"/>
      <c r="K100" s="350"/>
      <c r="L100" s="351">
        <f t="shared" ref="L100:M100" si="32">SUM(L67:L74)*L35</f>
        <v>0</v>
      </c>
      <c r="M100" s="353">
        <f t="shared" si="32"/>
        <v>0</v>
      </c>
      <c r="O100" s="354">
        <f>SUM(O67:O74)*O35</f>
        <v>0</v>
      </c>
      <c r="P100" s="355">
        <f>SUM(P67:P74)*P35</f>
        <v>0</v>
      </c>
      <c r="Q100" s="352"/>
      <c r="R100" s="246"/>
      <c r="S100" s="350"/>
      <c r="T100" s="351">
        <f>SUM(T67:T74)*T35</f>
        <v>0</v>
      </c>
      <c r="U100" s="352"/>
      <c r="V100" s="353">
        <f>SUM(V67:V74)*V35</f>
        <v>0</v>
      </c>
      <c r="X100" s="354">
        <f>SUM(X67:X74)*X35</f>
        <v>0</v>
      </c>
      <c r="Y100" s="355">
        <f>SUM(Y67:Y74)*Y35</f>
        <v>0</v>
      </c>
      <c r="Z100" s="352"/>
      <c r="AA100" s="246"/>
      <c r="AB100" s="350"/>
      <c r="AC100" s="351">
        <f>SUM(AC67:AC74)*AC35</f>
        <v>0</v>
      </c>
      <c r="AD100" s="352"/>
      <c r="AE100" s="353">
        <f>SUM(AE67:AE74)*AE35</f>
        <v>0</v>
      </c>
      <c r="AG100" s="354">
        <f>SUM(AG67:AG74)*AG35</f>
        <v>0</v>
      </c>
      <c r="AH100" s="355">
        <f>SUM(AH67:AH74)*AH35</f>
        <v>0</v>
      </c>
      <c r="AI100" s="352"/>
      <c r="AJ100" s="246"/>
      <c r="AK100" s="350"/>
      <c r="AL100" s="351">
        <f>SUM(AL67:AL74)*AL35</f>
        <v>0</v>
      </c>
      <c r="AM100" s="352"/>
      <c r="AN100" s="353">
        <f>SUM(AN67:AN74)*AN35</f>
        <v>0</v>
      </c>
      <c r="AP100" s="354">
        <f>SUM(AP67:AP74)*AP35</f>
        <v>0</v>
      </c>
      <c r="AQ100" s="355">
        <f>SUM(AQ67:AQ74)*AQ35</f>
        <v>0</v>
      </c>
      <c r="AR100" s="352"/>
      <c r="AS100" s="246"/>
      <c r="AT100" s="350"/>
      <c r="AU100" s="351">
        <f>SUM(AU67:AU74)*AU35</f>
        <v>0</v>
      </c>
      <c r="AV100" s="352"/>
      <c r="AW100" s="353">
        <f>SUM(AW67:AW74)*AW35</f>
        <v>0</v>
      </c>
      <c r="AY100" s="354">
        <f>SUM(AY67:AY74)*AY35</f>
        <v>0</v>
      </c>
      <c r="AZ100" s="355">
        <f>SUM(AZ67:AZ74)*AZ35</f>
        <v>0</v>
      </c>
      <c r="BA100" s="352"/>
      <c r="BB100" s="246"/>
      <c r="BC100" s="350"/>
      <c r="BD100" s="351">
        <f>SUM(BD67:BD74)*BD35</f>
        <v>0</v>
      </c>
      <c r="BE100" s="352"/>
      <c r="BF100" s="353">
        <f>SUM(BF67:BF74)*BF35</f>
        <v>0</v>
      </c>
    </row>
    <row r="101" spans="1:60" x14ac:dyDescent="0.35">
      <c r="A101" s="9168"/>
      <c r="B101" s="6082"/>
      <c r="C101"/>
      <c r="D101" s="110" t="s">
        <v>552</v>
      </c>
      <c r="F101" s="349">
        <f>SUM(F76:F79)</f>
        <v>0</v>
      </c>
      <c r="G101" s="350"/>
      <c r="H101" s="351">
        <f t="shared" ref="H101:I101" si="33">SUM(H76:H79)</f>
        <v>0</v>
      </c>
      <c r="I101" s="352">
        <f t="shared" si="33"/>
        <v>0</v>
      </c>
      <c r="J101" s="246"/>
      <c r="K101" s="350"/>
      <c r="L101" s="351">
        <f t="shared" ref="L101:M101" si="34">SUM(L76:L79)</f>
        <v>0</v>
      </c>
      <c r="M101" s="353">
        <f t="shared" si="34"/>
        <v>0</v>
      </c>
      <c r="O101" s="354">
        <f>SUM(O76:O79)</f>
        <v>0</v>
      </c>
      <c r="P101" s="355">
        <f>SUM(P76:P79)</f>
        <v>0</v>
      </c>
      <c r="Q101" s="352"/>
      <c r="R101" s="246"/>
      <c r="S101" s="350"/>
      <c r="T101" s="351">
        <f>SUM(T76:T79)</f>
        <v>0</v>
      </c>
      <c r="U101" s="352"/>
      <c r="V101" s="353">
        <f>SUM(V76:V79)</f>
        <v>0</v>
      </c>
      <c r="X101" s="354"/>
      <c r="Y101" s="355"/>
      <c r="Z101" s="352" t="s">
        <v>5802</v>
      </c>
      <c r="AA101" s="246"/>
      <c r="AB101" s="350"/>
      <c r="AC101" s="351"/>
      <c r="AD101" s="352" t="s">
        <v>5802</v>
      </c>
      <c r="AE101" s="353"/>
      <c r="AG101" s="354"/>
      <c r="AH101" s="355"/>
      <c r="AI101" s="352" t="s">
        <v>5802</v>
      </c>
      <c r="AJ101" s="246"/>
      <c r="AK101" s="350"/>
      <c r="AL101" s="351">
        <f>SUM(AL76:AL78)</f>
        <v>3226.24</v>
      </c>
      <c r="AM101" s="352" t="s">
        <v>5802</v>
      </c>
      <c r="AN101" s="353">
        <f>SUM(AN76:AN78)</f>
        <v>3226.24</v>
      </c>
      <c r="AP101" s="354">
        <f>SUM(AP76:AP78)</f>
        <v>3226.24</v>
      </c>
      <c r="AQ101" s="354">
        <f>SUM(AQ76:AQ78)</f>
        <v>2464.8085623624829</v>
      </c>
      <c r="AR101" s="352" t="s">
        <v>5802</v>
      </c>
      <c r="AS101" s="246"/>
      <c r="AT101" s="350"/>
      <c r="AU101" s="351">
        <f>SUM(AU76:AU78)</f>
        <v>3222.0891382519999</v>
      </c>
      <c r="AV101" s="352" t="s">
        <v>5802</v>
      </c>
      <c r="AW101" s="353">
        <f>SUM(AW76:AW78)</f>
        <v>2745.7670203248849</v>
      </c>
      <c r="AY101" s="354">
        <f>SUM(AY76:AY78)</f>
        <v>3222.0891382519999</v>
      </c>
      <c r="AZ101" s="354">
        <f>SUM(AZ76:AZ78)</f>
        <v>2745.7670203248849</v>
      </c>
      <c r="BA101" s="352"/>
      <c r="BB101" s="246"/>
      <c r="BC101" s="350"/>
      <c r="BD101" s="351">
        <f>SUM(BD76:BD78)</f>
        <v>3227.7913390050003</v>
      </c>
      <c r="BE101" s="352"/>
      <c r="BF101" s="353">
        <f>SUM(BF76:BF78)</f>
        <v>2742.5977001027632</v>
      </c>
    </row>
    <row r="102" spans="1:60" x14ac:dyDescent="0.35">
      <c r="A102" s="9168"/>
      <c r="B102" s="6082"/>
      <c r="C102"/>
      <c r="D102" s="356" t="s">
        <v>571</v>
      </c>
      <c r="E102" s="143"/>
      <c r="F102" s="357">
        <f t="shared" ref="F102" si="35">SUM(F98:F101)</f>
        <v>2890.1</v>
      </c>
      <c r="G102" s="358"/>
      <c r="H102" s="359">
        <f t="shared" ref="H102:I102" si="36">SUM(H98:H101)</f>
        <v>3127.9</v>
      </c>
      <c r="I102" s="360">
        <f t="shared" si="36"/>
        <v>690.47685628300007</v>
      </c>
      <c r="J102" s="361"/>
      <c r="K102" s="358"/>
      <c r="L102" s="359">
        <f t="shared" ref="L102:M102" si="37">SUM(L98:L101)</f>
        <v>3496.7336955000001</v>
      </c>
      <c r="M102" s="362">
        <f t="shared" si="37"/>
        <v>3013.4241217016693</v>
      </c>
      <c r="O102" s="363">
        <f t="shared" ref="O102:P102" si="38">SUM(O98:O101)</f>
        <v>3484.3483854000001</v>
      </c>
      <c r="P102" s="364">
        <f t="shared" si="38"/>
        <v>27.160822874000001</v>
      </c>
      <c r="Q102" s="360"/>
      <c r="R102" s="361"/>
      <c r="S102" s="358"/>
      <c r="T102" s="359">
        <f t="shared" ref="T102" si="39">SUM(T98:T101)</f>
        <v>3910.4621764099998</v>
      </c>
      <c r="U102" s="360"/>
      <c r="V102" s="362">
        <f t="shared" ref="V102" si="40">SUM(V98:V101)</f>
        <v>0</v>
      </c>
      <c r="X102" s="363">
        <f t="shared" ref="X102:Y102" si="41">SUM(X98:X101)</f>
        <v>3910.4621764099998</v>
      </c>
      <c r="Y102" s="364">
        <f t="shared" si="41"/>
        <v>0</v>
      </c>
      <c r="Z102" s="360"/>
      <c r="AA102" s="361"/>
      <c r="AB102" s="358"/>
      <c r="AC102" s="359">
        <f t="shared" ref="AC102" si="42">SUM(AC98:AC101)</f>
        <v>4801.0482469999997</v>
      </c>
      <c r="AD102" s="360"/>
      <c r="AE102" s="362">
        <f t="shared" ref="AE102" si="43">SUM(AE98:AE101)</f>
        <v>0</v>
      </c>
      <c r="AG102" s="363">
        <f t="shared" ref="AG102:AH102" si="44">SUM(AG98:AG101)</f>
        <v>4801.0482469999997</v>
      </c>
      <c r="AH102" s="364">
        <f t="shared" si="44"/>
        <v>0</v>
      </c>
      <c r="AI102" s="360"/>
      <c r="AJ102" s="361"/>
      <c r="AK102" s="358"/>
      <c r="AL102" s="359">
        <f t="shared" ref="AL102" si="45">SUM(AL98:AL101)</f>
        <v>4646.3952353479999</v>
      </c>
      <c r="AM102" s="360"/>
      <c r="AN102" s="362">
        <f t="shared" ref="AN102" si="46">SUM(AN98:AN101)</f>
        <v>4392.7146081370001</v>
      </c>
      <c r="AP102" s="363">
        <f t="shared" ref="AP102:AQ102" si="47">SUM(AP98:AP101)</f>
        <v>4659.5250371059992</v>
      </c>
      <c r="AQ102" s="364">
        <f t="shared" si="47"/>
        <v>3640.9909892514834</v>
      </c>
      <c r="AR102" s="360"/>
      <c r="AS102" s="361"/>
      <c r="AT102" s="358"/>
      <c r="AU102" s="359">
        <f t="shared" ref="AU102" si="48">SUM(AU98:AU101)</f>
        <v>4670.0724458259992</v>
      </c>
      <c r="AV102" s="360"/>
      <c r="AW102" s="362">
        <f t="shared" ref="AW102" si="49">SUM(AW98:AW101)</f>
        <v>4011.1064942848852</v>
      </c>
      <c r="AY102" s="363">
        <f t="shared" ref="AY102:AZ102" si="50">SUM(AY98:AY101)</f>
        <v>4670.0724458259992</v>
      </c>
      <c r="AZ102" s="364">
        <f t="shared" si="50"/>
        <v>4011.1064942848852</v>
      </c>
      <c r="BA102" s="360"/>
      <c r="BB102" s="361"/>
      <c r="BC102" s="358"/>
      <c r="BD102" s="359">
        <f t="shared" ref="BD102" si="51">SUM(BD98:BD101)</f>
        <v>4679.4670870050004</v>
      </c>
      <c r="BE102" s="360"/>
      <c r="BF102" s="362">
        <f t="shared" ref="BF102" si="52">SUM(BF98:BF101)</f>
        <v>4019.132747787261</v>
      </c>
    </row>
    <row r="103" spans="1:60" s="462" customFormat="1" ht="15.5" x14ac:dyDescent="0.35">
      <c r="A103" s="9168"/>
      <c r="B103" s="6082"/>
      <c r="C103"/>
      <c r="D103" s="356" t="s">
        <v>572</v>
      </c>
      <c r="E103" s="1"/>
      <c r="F103" s="366">
        <f>F102/(F19+F21+SUM(F22:F26))</f>
        <v>0.23219458550603173</v>
      </c>
      <c r="G103" s="367"/>
      <c r="H103" s="368">
        <f t="shared" ref="H103" si="53">H102/(H19+H21+SUM(H22:H26))</f>
        <v>0.2095043536503684</v>
      </c>
      <c r="I103" s="369"/>
      <c r="J103" s="370"/>
      <c r="K103" s="367"/>
      <c r="L103" s="368">
        <f t="shared" ref="L103:M103" si="54">L102/(L19+L21+SUM(L22:L26))</f>
        <v>0.22561610051875655</v>
      </c>
      <c r="M103" s="370">
        <f t="shared" si="54"/>
        <v>0.24760678720987897</v>
      </c>
      <c r="N103" s="456"/>
      <c r="O103" s="368">
        <f t="shared" ref="O103" si="55">O102/(O19+O21+SUM(O22:O26))</f>
        <v>0.22556066582942225</v>
      </c>
      <c r="P103" s="369"/>
      <c r="Q103" s="369"/>
      <c r="R103" s="370"/>
      <c r="S103" s="367"/>
      <c r="T103" s="368">
        <f>T102/(T19+T21+SUM(T22:T26))</f>
        <v>0.24348144136741445</v>
      </c>
      <c r="U103" s="369"/>
      <c r="V103" s="370"/>
      <c r="W103" s="456"/>
      <c r="X103" s="368">
        <f>X102/(X19+X21+SUM(X22:X26))</f>
        <v>0.24230056567768909</v>
      </c>
      <c r="Y103" s="369">
        <f>Y102/(Y19+Y21+SUM(Y22:Y26))</f>
        <v>0</v>
      </c>
      <c r="Z103" s="369"/>
      <c r="AA103" s="370"/>
      <c r="AB103" s="367"/>
      <c r="AC103" s="368">
        <f>AC102/(AC19+AC21+SUM(AC22:AC26))</f>
        <v>0.22299070233191279</v>
      </c>
      <c r="AD103" s="369"/>
      <c r="AE103" s="370">
        <f>AE102/(AE19+AE21+SUM(AE22:AE26))</f>
        <v>0</v>
      </c>
      <c r="AF103" s="456"/>
      <c r="AG103" s="368">
        <f>AG102/(AG19+AG21+SUM(AG22:AG26))</f>
        <v>0.22299070233191279</v>
      </c>
      <c r="AH103" s="369">
        <f>AH102/(AH19+AH21+SUM(AH22:AH26))</f>
        <v>0</v>
      </c>
      <c r="AI103" s="369"/>
      <c r="AJ103" s="370"/>
      <c r="AK103" s="367"/>
      <c r="AL103" s="368">
        <f>AL102/(AL19+AL21+SUM(AL22:AL26))</f>
        <v>0.20986639232172632</v>
      </c>
      <c r="AM103" s="369"/>
      <c r="AN103" s="370"/>
      <c r="AO103" s="456"/>
      <c r="AP103" s="561">
        <f>AP102/(AP19+AP21+SUM(AP22:AP26))</f>
        <v>0.21045943359077032</v>
      </c>
      <c r="AQ103" s="562">
        <f>AQ102/(AQ19+AQ21+SUM(AQ22:AQ26))</f>
        <v>0.23060475419715715</v>
      </c>
      <c r="AR103" s="562"/>
      <c r="AS103" s="563"/>
      <c r="AT103" s="560"/>
      <c r="AU103" s="561">
        <f>AU102/(AU19+AU21+SUM(AU22:AU26))</f>
        <v>0.20440179275014317</v>
      </c>
      <c r="AV103" s="562"/>
      <c r="AW103" s="563">
        <f>AW102/(AW19+AW21+SUM(AW22:AW26))</f>
        <v>0.22364105300133119</v>
      </c>
      <c r="AX103" s="456"/>
      <c r="AY103" s="368">
        <f>AY102/(AY19+AY21+SUM(AY22:AY26))</f>
        <v>0.20440179275014317</v>
      </c>
      <c r="AZ103" s="369">
        <f>AZ102/(AZ19+AZ21+SUM(AZ22:AZ26))</f>
        <v>0.22364105300133119</v>
      </c>
      <c r="BA103" s="369"/>
      <c r="BB103" s="370"/>
      <c r="BC103" s="367"/>
      <c r="BD103" s="368">
        <f>BD102/(BD19+BD21+SUM(BD22:BD26))</f>
        <v>0.18537887703880565</v>
      </c>
      <c r="BE103" s="369"/>
      <c r="BF103" s="370">
        <f>BF102/(BF19+BF21+SUM(BF22:BF26))</f>
        <v>0.20082698740839774</v>
      </c>
      <c r="BG103" s="456"/>
    </row>
    <row r="104" spans="1:60" s="462" customFormat="1" x14ac:dyDescent="0.35">
      <c r="A104" s="9168"/>
      <c r="B104" s="676"/>
      <c r="C104" s="677"/>
      <c r="D104" s="373" t="s">
        <v>573</v>
      </c>
      <c r="E104" s="678"/>
      <c r="F104" s="679"/>
      <c r="G104" s="385"/>
      <c r="H104" s="381"/>
      <c r="I104" s="382"/>
      <c r="J104" s="384"/>
      <c r="K104" s="385"/>
      <c r="L104" s="386"/>
      <c r="M104" s="680"/>
      <c r="N104" s="456"/>
      <c r="O104" s="381"/>
      <c r="P104" s="382"/>
      <c r="Q104" s="383"/>
      <c r="R104" s="384"/>
      <c r="S104" s="385"/>
      <c r="T104" s="386"/>
      <c r="U104" s="383"/>
      <c r="V104" s="387"/>
      <c r="W104" s="456"/>
      <c r="X104" s="381"/>
      <c r="Y104" s="382"/>
      <c r="Z104" s="383"/>
      <c r="AA104" s="384"/>
      <c r="AB104" s="385"/>
      <c r="AC104" s="386"/>
      <c r="AD104" s="383"/>
      <c r="AE104" s="387"/>
      <c r="AF104" s="456"/>
      <c r="AG104" s="381"/>
      <c r="AH104" s="382"/>
      <c r="AI104" s="383"/>
      <c r="AJ104" s="384"/>
      <c r="AK104" s="385"/>
      <c r="AL104" s="386"/>
      <c r="AM104" s="383"/>
      <c r="AN104" s="387"/>
      <c r="AO104" s="456"/>
      <c r="AP104" s="381">
        <f t="shared" ref="AP104:AQ104" si="56">AP43+AP47+AP49+SUM(AP58:AP62)+AP77+AP100</f>
        <v>3501.023215106</v>
      </c>
      <c r="AQ104" s="382">
        <f t="shared" si="56"/>
        <v>2836.4512817366121</v>
      </c>
      <c r="AR104" s="956"/>
      <c r="AS104" s="955"/>
      <c r="AT104" s="954"/>
      <c r="AU104" s="386">
        <f>AU43+AU47+AU49+SUM(AU58:AU62)+AU77+AU100</f>
        <v>3458.2894893229995</v>
      </c>
      <c r="AV104" s="956"/>
      <c r="AW104" s="387">
        <f>AW43+AW47+AW49+SUM(AW58:AW62)+AW77+AW100</f>
        <v>3058.1783205426159</v>
      </c>
      <c r="AX104" s="456"/>
      <c r="AY104" s="381">
        <f t="shared" ref="AY104:AZ104" si="57">AY43+AY47+AY49+SUM(AY58:AY62)+AY77+AY100</f>
        <v>3458.2894893229995</v>
      </c>
      <c r="AZ104" s="382">
        <f t="shared" si="57"/>
        <v>3058.1783205426159</v>
      </c>
      <c r="BA104" s="383"/>
      <c r="BB104" s="384"/>
      <c r="BC104" s="385"/>
      <c r="BD104" s="386">
        <f>BD43+BD47+BD49+SUM(BD58:BD62)+BD77+BD100</f>
        <v>3493.7567480000002</v>
      </c>
      <c r="BE104" s="383"/>
      <c r="BF104" s="387">
        <f>BF43+BF47+BF49+SUM(BF58:BF62)+BF77+BF100</f>
        <v>3094.5536206958327</v>
      </c>
      <c r="BG104" s="456"/>
    </row>
    <row r="105" spans="1:60" s="462" customFormat="1" ht="12" customHeight="1" x14ac:dyDescent="0.35">
      <c r="A105" s="9168"/>
      <c r="B105" s="681"/>
      <c r="C105" s="682"/>
      <c r="D105" s="391" t="s">
        <v>575</v>
      </c>
      <c r="E105" s="409"/>
      <c r="F105" s="683"/>
      <c r="G105" s="401"/>
      <c r="H105" s="397"/>
      <c r="I105" s="398"/>
      <c r="J105" s="408"/>
      <c r="K105" s="409"/>
      <c r="L105" s="402"/>
      <c r="M105" s="684"/>
      <c r="N105" s="456"/>
      <c r="O105" s="397"/>
      <c r="P105" s="398"/>
      <c r="Q105" s="399"/>
      <c r="R105" s="400"/>
      <c r="S105" s="401"/>
      <c r="T105" s="402"/>
      <c r="U105" s="399"/>
      <c r="V105" s="403"/>
      <c r="W105" s="456"/>
      <c r="X105" s="397"/>
      <c r="Y105" s="398"/>
      <c r="Z105" s="399"/>
      <c r="AA105" s="400"/>
      <c r="AB105" s="401"/>
      <c r="AC105" s="402"/>
      <c r="AD105" s="399"/>
      <c r="AE105" s="403"/>
      <c r="AF105" s="456"/>
      <c r="AG105" s="397"/>
      <c r="AH105" s="398"/>
      <c r="AI105" s="399"/>
      <c r="AJ105" s="400"/>
      <c r="AK105" s="401"/>
      <c r="AL105" s="402"/>
      <c r="AM105" s="399"/>
      <c r="AN105" s="403"/>
      <c r="AO105" s="456"/>
      <c r="AP105" s="397">
        <f>(AP102-AP104)/(AP25+AP26)</f>
        <v>0.10133257044659841</v>
      </c>
      <c r="AQ105" s="398">
        <f>(AQ102-AQ104)/(AQ25+AQ26)</f>
        <v>0.1229581457141445</v>
      </c>
      <c r="AR105" s="975"/>
      <c r="AS105" s="974"/>
      <c r="AT105" s="973"/>
      <c r="AU105" s="402">
        <f>(AU102-AU104)/(AU25+AU26)</f>
        <v>0.10240369348000374</v>
      </c>
      <c r="AV105" s="975"/>
      <c r="AW105" s="403">
        <f>(AW102-AW104)/(AW25+AW26)</f>
        <v>0.11987583427201896</v>
      </c>
      <c r="AX105" s="456"/>
      <c r="AY105" s="397">
        <f>(AY102-AY104)/(AY25+AY26)</f>
        <v>0.10240369348000374</v>
      </c>
      <c r="AZ105" s="398">
        <f>(AZ102-AZ104)/(AZ25+AZ26)</f>
        <v>0.11987583427201896</v>
      </c>
      <c r="BA105" s="399"/>
      <c r="BB105" s="400"/>
      <c r="BC105" s="401"/>
      <c r="BD105" s="402">
        <f>(BD102-BD104)/(BD25+BD26)</f>
        <v>9.680453435155327E-2</v>
      </c>
      <c r="BE105" s="399"/>
      <c r="BF105" s="403">
        <f>(BF102-BF104)/(BF25+BF26)</f>
        <v>0.1123228516676243</v>
      </c>
      <c r="BG105" s="456"/>
      <c r="BH105" s="577"/>
    </row>
    <row r="106" spans="1:60" s="462" customFormat="1" x14ac:dyDescent="0.35">
      <c r="A106" s="9168"/>
      <c r="B106" s="681"/>
      <c r="C106" s="682"/>
      <c r="D106" s="391" t="s">
        <v>576</v>
      </c>
      <c r="E106" s="409"/>
      <c r="F106" s="683"/>
      <c r="G106" s="401"/>
      <c r="H106" s="397"/>
      <c r="I106" s="398"/>
      <c r="J106" s="408"/>
      <c r="K106" s="409"/>
      <c r="L106" s="402"/>
      <c r="M106" s="684"/>
      <c r="N106" s="456"/>
      <c r="O106" s="397"/>
      <c r="P106" s="398"/>
      <c r="Q106" s="399"/>
      <c r="R106" s="400"/>
      <c r="S106" s="401"/>
      <c r="T106" s="402"/>
      <c r="U106" s="399"/>
      <c r="V106" s="403"/>
      <c r="W106" s="456"/>
      <c r="X106" s="397"/>
      <c r="Y106" s="398"/>
      <c r="Z106" s="399"/>
      <c r="AA106" s="400"/>
      <c r="AB106" s="401"/>
      <c r="AC106" s="402"/>
      <c r="AD106" s="399"/>
      <c r="AE106" s="403"/>
      <c r="AF106" s="456"/>
      <c r="AG106" s="397"/>
      <c r="AH106" s="398"/>
      <c r="AI106" s="399"/>
      <c r="AJ106" s="400"/>
      <c r="AK106" s="401"/>
      <c r="AL106" s="402"/>
      <c r="AM106" s="399"/>
      <c r="AN106" s="403"/>
      <c r="AO106" s="456"/>
      <c r="AP106" s="397">
        <f>AP104/AP19</f>
        <v>0.3269812277257797</v>
      </c>
      <c r="AQ106" s="398">
        <f>AQ104/AQ19</f>
        <v>0.30678662250253019</v>
      </c>
      <c r="AR106" s="975"/>
      <c r="AS106" s="974"/>
      <c r="AT106" s="973"/>
      <c r="AU106" s="402">
        <f>AU104/AU19</f>
        <v>0.31398687869072028</v>
      </c>
      <c r="AV106" s="975"/>
      <c r="AW106" s="403">
        <f>AW104/AW19</f>
        <v>0.30624128408797752</v>
      </c>
      <c r="AX106" s="456"/>
      <c r="AY106" s="397">
        <f>AY104/AY19</f>
        <v>0.31398687869072028</v>
      </c>
      <c r="AZ106" s="398">
        <f>AZ104/AZ19</f>
        <v>0.30624128408797752</v>
      </c>
      <c r="BA106" s="399"/>
      <c r="BB106" s="400"/>
      <c r="BC106" s="401"/>
      <c r="BD106" s="402">
        <f>BD104/BD19</f>
        <v>0.26887006284332576</v>
      </c>
      <c r="BE106" s="399"/>
      <c r="BF106" s="403">
        <f>BF104/BF19</f>
        <v>0.26266280267331193</v>
      </c>
      <c r="BG106" s="456"/>
      <c r="BH106" s="577"/>
    </row>
    <row r="107" spans="1:60" s="462" customFormat="1" x14ac:dyDescent="0.35">
      <c r="A107" s="9168"/>
      <c r="B107" s="681"/>
      <c r="C107" s="682"/>
      <c r="D107" s="391"/>
      <c r="E107" s="409"/>
      <c r="F107" s="683"/>
      <c r="G107" s="401"/>
      <c r="H107" s="397"/>
      <c r="I107" s="398"/>
      <c r="J107" s="408"/>
      <c r="K107" s="409"/>
      <c r="L107" s="402"/>
      <c r="M107" s="684"/>
      <c r="N107" s="456"/>
      <c r="O107" s="405"/>
      <c r="P107" s="406"/>
      <c r="Q107" s="407"/>
      <c r="R107" s="408"/>
      <c r="S107" s="409"/>
      <c r="T107" s="410"/>
      <c r="U107" s="407"/>
      <c r="V107" s="411"/>
      <c r="W107" s="456"/>
      <c r="X107" s="405"/>
      <c r="Y107" s="406"/>
      <c r="Z107" s="407"/>
      <c r="AA107" s="408"/>
      <c r="AB107" s="409"/>
      <c r="AC107" s="410"/>
      <c r="AD107" s="407"/>
      <c r="AE107" s="411"/>
      <c r="AF107" s="456"/>
      <c r="AG107" s="405"/>
      <c r="AH107" s="406"/>
      <c r="AI107" s="407"/>
      <c r="AJ107" s="408"/>
      <c r="AK107" s="409"/>
      <c r="AL107" s="410"/>
      <c r="AM107" s="407"/>
      <c r="AN107" s="411"/>
      <c r="AO107" s="456"/>
      <c r="AP107" s="405"/>
      <c r="AQ107" s="406"/>
      <c r="AR107" s="3341"/>
      <c r="AS107" s="3339"/>
      <c r="AT107" s="3338"/>
      <c r="AU107" s="410"/>
      <c r="AV107" s="3341"/>
      <c r="AW107" s="411"/>
      <c r="AX107" s="456"/>
      <c r="AY107" s="405"/>
      <c r="AZ107" s="406"/>
      <c r="BA107" s="407"/>
      <c r="BB107" s="408"/>
      <c r="BC107" s="409"/>
      <c r="BD107" s="410"/>
      <c r="BE107" s="407"/>
      <c r="BF107" s="411"/>
      <c r="BG107" s="456"/>
      <c r="BH107" s="577"/>
    </row>
    <row r="108" spans="1:60" s="462" customFormat="1" x14ac:dyDescent="0.35">
      <c r="A108" s="9168"/>
      <c r="B108" s="681"/>
      <c r="C108" s="682"/>
      <c r="D108" s="391" t="s">
        <v>577</v>
      </c>
      <c r="E108" s="409"/>
      <c r="F108" s="683">
        <f>F102/(F12+F13+F14)</f>
        <v>0.31588554190530316</v>
      </c>
      <c r="G108" s="401"/>
      <c r="H108" s="397">
        <f t="shared" ref="H108:I108" si="58">H102/(H12+H13+H14)</f>
        <v>0.27110725893824489</v>
      </c>
      <c r="I108" s="398">
        <f t="shared" si="58"/>
        <v>6.7813480287075234E-2</v>
      </c>
      <c r="J108" s="408"/>
      <c r="K108" s="409"/>
      <c r="L108" s="402">
        <f t="shared" ref="L108:M108" si="59">L102/(L12+L13+L14)</f>
        <v>0.27671694658331025</v>
      </c>
      <c r="M108" s="684">
        <f t="shared" si="59"/>
        <v>0.27500265762303289</v>
      </c>
      <c r="N108" s="456"/>
      <c r="O108" s="397">
        <f>O102/(O12+O13+O14)</f>
        <v>0.27573682470620819</v>
      </c>
      <c r="P108" s="398">
        <f>P102/(P12+P13+P14)</f>
        <v>2.478674813739984E-3</v>
      </c>
      <c r="Q108" s="399"/>
      <c r="R108" s="400"/>
      <c r="S108" s="401"/>
      <c r="T108" s="402">
        <f>T102/(T12+T13+T14)</f>
        <v>0.27936816507421219</v>
      </c>
      <c r="U108" s="399"/>
      <c r="V108" s="403" t="e">
        <f>V102/(V12+V13+V14)</f>
        <v>#DIV/0!</v>
      </c>
      <c r="W108" s="456"/>
      <c r="X108" s="397">
        <f>X102/(X12+X13+X14)</f>
        <v>0.27936817505341299</v>
      </c>
      <c r="Y108" s="398">
        <f>Y102/(Y12+Y13+Y14)</f>
        <v>0</v>
      </c>
      <c r="Z108" s="399"/>
      <c r="AA108" s="400"/>
      <c r="AB108" s="401"/>
      <c r="AC108" s="402">
        <f>AC102/(AC12+AC13+AC14)</f>
        <v>0.26002915194843879</v>
      </c>
      <c r="AD108" s="399"/>
      <c r="AE108" s="403">
        <f>AE102/(AE12+AE13+AE14)</f>
        <v>0</v>
      </c>
      <c r="AF108" s="456"/>
      <c r="AG108" s="397">
        <f>AG102/(AG12+AG13+AG14)</f>
        <v>0.26002915194843879</v>
      </c>
      <c r="AH108" s="398">
        <f>AH102/(AH12+AH13+AH14)</f>
        <v>0</v>
      </c>
      <c r="AI108" s="399"/>
      <c r="AJ108" s="400"/>
      <c r="AK108" s="401"/>
      <c r="AL108" s="402">
        <f>AL102/(AL12+AL13+AL14)</f>
        <v>0.23258723709005355</v>
      </c>
      <c r="AM108" s="399"/>
      <c r="AN108" s="403">
        <f>AN102/(AN12+AN13+AN14)</f>
        <v>0.26398842583065907</v>
      </c>
      <c r="AO108" s="456"/>
      <c r="AP108" s="397">
        <f>AP102/(AP12+AP13+AP14)</f>
        <v>0.23324448301076234</v>
      </c>
      <c r="AQ108" s="398">
        <f>AQ102/(AQ12+AQ13+AQ14)</f>
        <v>0.20260369424358596</v>
      </c>
      <c r="AR108" s="975"/>
      <c r="AS108" s="974"/>
      <c r="AT108" s="973"/>
      <c r="AU108" s="402">
        <f>AU102/(AU12+AU13+AU14)</f>
        <v>0.22350619039493455</v>
      </c>
      <c r="AV108" s="975"/>
      <c r="AW108" s="403">
        <f>AW102/(AW12+AW13+AW14)</f>
        <v>0.21652046089860275</v>
      </c>
      <c r="AX108" s="456"/>
      <c r="AY108" s="397">
        <f>AY102/(AY12+AY13+AY14)</f>
        <v>0.22350619039493455</v>
      </c>
      <c r="AZ108" s="398">
        <f>AZ102/(AZ12+AZ13+AZ14)</f>
        <v>0.21652046089860275</v>
      </c>
      <c r="BA108" s="399"/>
      <c r="BB108" s="400"/>
      <c r="BC108" s="401"/>
      <c r="BD108" s="402">
        <f>BD102/(BD12+BD13+BD14)</f>
        <v>0.20305516035829435</v>
      </c>
      <c r="BE108" s="399"/>
      <c r="BF108" s="403">
        <f>BF102/(BF12+BF13+BF14)</f>
        <v>0.19671084392819474</v>
      </c>
      <c r="BG108" s="456"/>
      <c r="BH108" s="577"/>
    </row>
    <row r="109" spans="1:60" s="462" customFormat="1" x14ac:dyDescent="0.35">
      <c r="A109" s="9168"/>
      <c r="B109" s="685"/>
      <c r="C109" s="686"/>
      <c r="D109" s="414" t="s">
        <v>578</v>
      </c>
      <c r="E109" s="687"/>
      <c r="F109" s="688"/>
      <c r="G109" s="419"/>
      <c r="H109" s="415"/>
      <c r="I109" s="416"/>
      <c r="J109" s="689"/>
      <c r="K109" s="687"/>
      <c r="L109" s="420"/>
      <c r="M109" s="690"/>
      <c r="N109" s="456"/>
      <c r="O109" s="415"/>
      <c r="P109" s="416"/>
      <c r="Q109" s="417"/>
      <c r="R109" s="418"/>
      <c r="S109" s="419"/>
      <c r="T109" s="420"/>
      <c r="U109" s="417"/>
      <c r="V109" s="421"/>
      <c r="W109" s="456"/>
      <c r="X109" s="415"/>
      <c r="Y109" s="416"/>
      <c r="Z109" s="417"/>
      <c r="AA109" s="418"/>
      <c r="AB109" s="419"/>
      <c r="AC109" s="420"/>
      <c r="AD109" s="417"/>
      <c r="AE109" s="421"/>
      <c r="AF109" s="456"/>
      <c r="AG109" s="415"/>
      <c r="AH109" s="416"/>
      <c r="AI109" s="417"/>
      <c r="AJ109" s="418"/>
      <c r="AK109" s="419"/>
      <c r="AL109" s="420"/>
      <c r="AM109" s="417"/>
      <c r="AN109" s="421"/>
      <c r="AO109" s="456"/>
      <c r="AP109" s="415">
        <f>AP102-AP81</f>
        <v>4365.2023877799993</v>
      </c>
      <c r="AQ109" s="416">
        <f>AQ102-AQ81</f>
        <v>3465.5472374444835</v>
      </c>
      <c r="AR109" s="4724"/>
      <c r="AS109" s="5647"/>
      <c r="AT109" s="4723"/>
      <c r="AU109" s="420">
        <f>AU102-AU81</f>
        <v>4371.2922529029993</v>
      </c>
      <c r="AV109" s="4724"/>
      <c r="AW109" s="421">
        <f>AW102-AW81</f>
        <v>3806.1702866258852</v>
      </c>
      <c r="AX109" s="456"/>
      <c r="AY109" s="415">
        <f>AY102-AY81</f>
        <v>4371.2922529029993</v>
      </c>
      <c r="AZ109" s="416">
        <f>AZ102-AZ81</f>
        <v>3806.1702866258852</v>
      </c>
      <c r="BA109" s="417"/>
      <c r="BB109" s="418"/>
      <c r="BC109" s="419"/>
      <c r="BD109" s="420">
        <f>BD102-BD81</f>
        <v>4400.1630870050003</v>
      </c>
      <c r="BE109" s="417"/>
      <c r="BF109" s="421">
        <f>BF102-BF81</f>
        <v>3827.5554481543472</v>
      </c>
      <c r="BG109" s="456"/>
      <c r="BH109" s="577"/>
    </row>
    <row r="110" spans="1:60" s="462" customFormat="1" x14ac:dyDescent="0.35">
      <c r="A110" s="9168"/>
      <c r="B110" s="681"/>
      <c r="C110" s="682"/>
      <c r="D110" s="391" t="s">
        <v>579</v>
      </c>
      <c r="E110" s="409"/>
      <c r="F110" s="683"/>
      <c r="G110" s="401"/>
      <c r="H110" s="397"/>
      <c r="I110" s="398"/>
      <c r="J110" s="408"/>
      <c r="K110" s="409"/>
      <c r="L110" s="402"/>
      <c r="M110" s="684"/>
      <c r="N110" s="456"/>
      <c r="O110" s="397"/>
      <c r="P110" s="398"/>
      <c r="Q110" s="399"/>
      <c r="R110" s="400"/>
      <c r="S110" s="401"/>
      <c r="T110" s="402"/>
      <c r="U110" s="399"/>
      <c r="V110" s="403"/>
      <c r="W110" s="456"/>
      <c r="X110" s="397"/>
      <c r="Y110" s="398"/>
      <c r="Z110" s="399"/>
      <c r="AA110" s="400"/>
      <c r="AB110" s="401"/>
      <c r="AC110" s="402"/>
      <c r="AD110" s="399"/>
      <c r="AE110" s="403"/>
      <c r="AF110" s="456"/>
      <c r="AG110" s="397"/>
      <c r="AH110" s="398"/>
      <c r="AI110" s="399"/>
      <c r="AJ110" s="400"/>
      <c r="AK110" s="401"/>
      <c r="AL110" s="402"/>
      <c r="AM110" s="399"/>
      <c r="AN110" s="403"/>
      <c r="AO110" s="456"/>
      <c r="AP110" s="397">
        <f>AP109/(AP13+AP14)</f>
        <v>0.21851140750763373</v>
      </c>
      <c r="AQ110" s="398">
        <f>AQ109/(AQ13+AQ14)</f>
        <v>0.1928410905038386</v>
      </c>
      <c r="AR110" s="975"/>
      <c r="AS110" s="974"/>
      <c r="AT110" s="973"/>
      <c r="AU110" s="402">
        <f>AU109/(AU13+AU14)</f>
        <v>0.20920679280306873</v>
      </c>
      <c r="AV110" s="975"/>
      <c r="AW110" s="403">
        <f>AW109/(AW13+AW14)</f>
        <v>0.20545795677402717</v>
      </c>
      <c r="AX110" s="456"/>
      <c r="AY110" s="397">
        <f>AY109/(AY13+AY14)</f>
        <v>0.20920679280306873</v>
      </c>
      <c r="AZ110" s="398">
        <f>AZ109/(AZ13+AZ14)</f>
        <v>0.20545795677402717</v>
      </c>
      <c r="BA110" s="399"/>
      <c r="BB110" s="400"/>
      <c r="BC110" s="401"/>
      <c r="BD110" s="402">
        <f>BD109/(BD13+BD14)</f>
        <v>0.19093537888441464</v>
      </c>
      <c r="BE110" s="399"/>
      <c r="BF110" s="403">
        <f>BF109/(BF13+BF14)</f>
        <v>0.1873343603300795</v>
      </c>
      <c r="BG110" s="456"/>
      <c r="BH110" s="577"/>
    </row>
    <row r="111" spans="1:60" s="462" customFormat="1" x14ac:dyDescent="0.35">
      <c r="A111" s="9168"/>
      <c r="B111" s="681"/>
      <c r="C111" s="682"/>
      <c r="D111" s="391"/>
      <c r="E111" s="409"/>
      <c r="F111" s="413"/>
      <c r="G111" s="409"/>
      <c r="H111" s="405"/>
      <c r="I111" s="406"/>
      <c r="J111" s="408"/>
      <c r="K111" s="409"/>
      <c r="L111" s="410"/>
      <c r="M111" s="691"/>
      <c r="N111" s="456"/>
      <c r="O111" s="397"/>
      <c r="P111" s="398"/>
      <c r="Q111" s="399"/>
      <c r="R111" s="400"/>
      <c r="S111" s="401"/>
      <c r="T111" s="402"/>
      <c r="U111" s="399"/>
      <c r="V111" s="403"/>
      <c r="W111" s="456"/>
      <c r="X111" s="397"/>
      <c r="Y111" s="398"/>
      <c r="Z111" s="399"/>
      <c r="AA111" s="400"/>
      <c r="AB111" s="401"/>
      <c r="AC111" s="402"/>
      <c r="AD111" s="399"/>
      <c r="AE111" s="403"/>
      <c r="AF111" s="456"/>
      <c r="AG111" s="397"/>
      <c r="AH111" s="398"/>
      <c r="AI111" s="399"/>
      <c r="AJ111" s="400"/>
      <c r="AK111" s="401"/>
      <c r="AL111" s="402"/>
      <c r="AM111" s="399"/>
      <c r="AN111" s="403"/>
      <c r="AO111" s="456"/>
      <c r="AP111" s="397"/>
      <c r="AQ111" s="398"/>
      <c r="AR111" s="975"/>
      <c r="AS111" s="974"/>
      <c r="AT111" s="973"/>
      <c r="AU111" s="402"/>
      <c r="AV111" s="975"/>
      <c r="AW111" s="403"/>
      <c r="AX111" s="456"/>
      <c r="AY111" s="397"/>
      <c r="AZ111" s="398"/>
      <c r="BA111" s="399"/>
      <c r="BB111" s="400"/>
      <c r="BC111" s="401"/>
      <c r="BD111" s="402"/>
      <c r="BE111" s="399"/>
      <c r="BF111" s="403"/>
      <c r="BG111" s="456"/>
      <c r="BH111" s="577"/>
    </row>
    <row r="112" spans="1:60" s="462" customFormat="1" x14ac:dyDescent="0.35">
      <c r="A112" s="9168"/>
      <c r="B112" s="681"/>
      <c r="C112" s="682"/>
      <c r="D112" s="423" t="s">
        <v>580</v>
      </c>
      <c r="E112" s="692"/>
      <c r="F112" s="693"/>
      <c r="G112" s="694"/>
      <c r="H112" s="695"/>
      <c r="I112" s="696"/>
      <c r="J112" s="267"/>
      <c r="K112" s="694"/>
      <c r="L112" s="697"/>
      <c r="M112" s="698"/>
      <c r="N112" s="456"/>
      <c r="O112" s="397"/>
      <c r="P112" s="398"/>
      <c r="Q112" s="399"/>
      <c r="R112" s="400"/>
      <c r="S112" s="401"/>
      <c r="T112" s="402"/>
      <c r="U112" s="399"/>
      <c r="V112" s="403"/>
      <c r="W112" s="456"/>
      <c r="X112" s="397"/>
      <c r="Y112" s="398"/>
      <c r="Z112" s="399"/>
      <c r="AA112" s="400"/>
      <c r="AB112" s="401"/>
      <c r="AC112" s="402"/>
      <c r="AD112" s="399"/>
      <c r="AE112" s="403"/>
      <c r="AF112" s="456"/>
      <c r="AG112" s="397"/>
      <c r="AH112" s="398"/>
      <c r="AI112" s="399"/>
      <c r="AJ112" s="400"/>
      <c r="AK112" s="401"/>
      <c r="AL112" s="402"/>
      <c r="AM112" s="399"/>
      <c r="AN112" s="403"/>
      <c r="AO112" s="456"/>
      <c r="AP112" s="397"/>
      <c r="AQ112" s="398"/>
      <c r="AR112" s="975"/>
      <c r="AS112" s="974"/>
      <c r="AT112" s="973"/>
      <c r="AU112" s="402"/>
      <c r="AV112" s="975"/>
      <c r="AW112" s="403"/>
      <c r="AX112" s="456"/>
      <c r="AY112" s="397"/>
      <c r="AZ112" s="398"/>
      <c r="BA112" s="399"/>
      <c r="BB112" s="400"/>
      <c r="BC112" s="401"/>
      <c r="BD112" s="402"/>
      <c r="BE112" s="399"/>
      <c r="BF112" s="403"/>
      <c r="BG112" s="456"/>
      <c r="BH112" s="577"/>
    </row>
    <row r="113" spans="1:60" s="462" customFormat="1" x14ac:dyDescent="0.35">
      <c r="A113" s="9169"/>
      <c r="B113" s="699"/>
      <c r="C113" s="700"/>
      <c r="D113" s="433" t="s">
        <v>581</v>
      </c>
      <c r="E113" s="701"/>
      <c r="F113" s="702"/>
      <c r="G113" s="703"/>
      <c r="H113" s="704"/>
      <c r="I113" s="705"/>
      <c r="J113" s="706"/>
      <c r="K113" s="703"/>
      <c r="L113" s="707"/>
      <c r="M113" s="708"/>
      <c r="N113" s="456"/>
      <c r="O113" s="441"/>
      <c r="P113" s="442"/>
      <c r="Q113" s="443"/>
      <c r="R113" s="444"/>
      <c r="S113" s="445"/>
      <c r="T113" s="446"/>
      <c r="U113" s="443"/>
      <c r="V113" s="447"/>
      <c r="W113" s="456"/>
      <c r="X113" s="441"/>
      <c r="Y113" s="442"/>
      <c r="Z113" s="443"/>
      <c r="AA113" s="444"/>
      <c r="AB113" s="445"/>
      <c r="AC113" s="446"/>
      <c r="AD113" s="443"/>
      <c r="AE113" s="447"/>
      <c r="AF113" s="456"/>
      <c r="AG113" s="441"/>
      <c r="AH113" s="442"/>
      <c r="AI113" s="443"/>
      <c r="AJ113" s="444"/>
      <c r="AK113" s="445"/>
      <c r="AL113" s="446"/>
      <c r="AM113" s="443"/>
      <c r="AN113" s="447"/>
      <c r="AO113" s="456"/>
      <c r="AP113" s="441"/>
      <c r="AQ113" s="442"/>
      <c r="AR113" s="4741"/>
      <c r="AS113" s="5660"/>
      <c r="AT113" s="4740"/>
      <c r="AU113" s="446"/>
      <c r="AV113" s="4741"/>
      <c r="AW113" s="447"/>
      <c r="AX113" s="456"/>
      <c r="AY113" s="441"/>
      <c r="AZ113" s="442"/>
      <c r="BA113" s="443"/>
      <c r="BB113" s="444"/>
      <c r="BC113" s="445"/>
      <c r="BD113" s="446"/>
      <c r="BE113" s="443"/>
      <c r="BF113" s="447"/>
      <c r="BG113" s="456"/>
      <c r="BH113" s="577"/>
    </row>
    <row r="114" spans="1:60" s="462" customFormat="1" ht="12" x14ac:dyDescent="0.3">
      <c r="C114" s="456"/>
      <c r="D114" s="2"/>
      <c r="E114" s="456"/>
      <c r="F114" s="456"/>
      <c r="G114" s="456"/>
      <c r="H114" s="459"/>
      <c r="I114" s="459"/>
      <c r="J114" s="7"/>
      <c r="K114" s="456"/>
      <c r="N114" s="456"/>
      <c r="O114" s="459"/>
      <c r="P114" s="459"/>
      <c r="Q114" s="459"/>
      <c r="R114" s="7"/>
      <c r="S114" s="456"/>
      <c r="W114" s="456"/>
      <c r="X114" s="459"/>
      <c r="Y114" s="459"/>
      <c r="Z114" s="459"/>
      <c r="AA114" s="7"/>
      <c r="AB114" s="456"/>
      <c r="AF114" s="456"/>
      <c r="AG114" s="459"/>
      <c r="AH114" s="459"/>
      <c r="AI114" s="459"/>
      <c r="AJ114" s="7"/>
      <c r="AK114" s="456"/>
      <c r="AO114" s="456"/>
      <c r="AP114" s="459"/>
      <c r="AQ114" s="459"/>
      <c r="AR114" s="459"/>
      <c r="AS114" s="7"/>
      <c r="AT114" s="456"/>
      <c r="AX114" s="456"/>
      <c r="AY114" s="459"/>
      <c r="AZ114" s="459"/>
      <c r="BA114" s="459"/>
      <c r="BB114" s="7"/>
      <c r="BC114" s="456"/>
      <c r="BG114" s="456"/>
      <c r="BH114" s="577"/>
    </row>
    <row r="115" spans="1:60" s="462" customFormat="1" ht="12" x14ac:dyDescent="0.3">
      <c r="A115" s="455" t="s">
        <v>582</v>
      </c>
      <c r="B115" s="455"/>
      <c r="C115" s="456"/>
      <c r="D115" s="2"/>
      <c r="E115" s="456"/>
      <c r="F115" s="456"/>
      <c r="G115" s="456"/>
      <c r="H115" s="459"/>
      <c r="I115" s="459"/>
      <c r="J115" s="7"/>
      <c r="K115" s="456"/>
      <c r="N115" s="456"/>
      <c r="O115" s="459"/>
      <c r="P115" s="459"/>
      <c r="Q115" s="459"/>
      <c r="R115" s="7"/>
      <c r="S115" s="456"/>
      <c r="W115" s="456"/>
      <c r="X115" s="459"/>
      <c r="Y115" s="459"/>
      <c r="Z115" s="459"/>
      <c r="AA115" s="7"/>
      <c r="AB115" s="456"/>
      <c r="AF115" s="456"/>
      <c r="AG115" s="459"/>
      <c r="AH115" s="459"/>
      <c r="AI115" s="459"/>
      <c r="AJ115" s="7"/>
      <c r="AK115" s="456"/>
      <c r="AO115" s="456"/>
      <c r="AP115" s="459"/>
      <c r="AQ115" s="459"/>
      <c r="AR115" s="459"/>
      <c r="AS115" s="7"/>
      <c r="AT115" s="456"/>
      <c r="AX115" s="456"/>
      <c r="AY115" s="459"/>
      <c r="AZ115" s="459"/>
      <c r="BA115" s="459"/>
      <c r="BB115" s="7"/>
      <c r="BC115" s="456"/>
      <c r="BG115" s="456"/>
      <c r="BH115" s="577"/>
    </row>
    <row r="116" spans="1:60" s="462" customFormat="1" ht="12" x14ac:dyDescent="0.3">
      <c r="A116" s="463">
        <v>1</v>
      </c>
      <c r="B116" s="464">
        <f>AZ12</f>
        <v>0</v>
      </c>
      <c r="D116" s="709"/>
      <c r="E116" s="466"/>
      <c r="F116" s="466"/>
      <c r="G116" s="466"/>
      <c r="H116" s="466"/>
      <c r="I116" s="466"/>
      <c r="J116" s="467"/>
      <c r="K116" s="466"/>
      <c r="L116" s="466"/>
      <c r="M116" s="466"/>
      <c r="N116" s="456"/>
      <c r="O116" s="466"/>
      <c r="P116" s="466"/>
      <c r="Q116" s="466"/>
      <c r="R116" s="467"/>
      <c r="S116" s="466"/>
      <c r="T116" s="466"/>
      <c r="U116" s="466"/>
      <c r="V116" s="466"/>
      <c r="W116" s="456"/>
      <c r="X116" s="466"/>
      <c r="Y116" s="466"/>
      <c r="Z116" s="466"/>
      <c r="AA116" s="467"/>
      <c r="AB116" s="466"/>
      <c r="AC116" s="466"/>
      <c r="AD116" s="466"/>
      <c r="AE116" s="466"/>
      <c r="AF116" s="456"/>
      <c r="AG116" s="466"/>
      <c r="AH116" s="466"/>
      <c r="AI116" s="466"/>
      <c r="AJ116" s="467"/>
      <c r="AK116" s="466"/>
      <c r="AL116" s="466"/>
      <c r="AM116" s="466"/>
      <c r="AN116" s="466"/>
      <c r="AO116" s="456"/>
      <c r="AP116" s="466"/>
      <c r="AQ116" s="466"/>
      <c r="AR116" s="466"/>
      <c r="AS116" s="467"/>
      <c r="AT116" s="466"/>
      <c r="AU116" s="466"/>
      <c r="AV116" s="466"/>
      <c r="AW116" s="466"/>
      <c r="AX116" s="456"/>
      <c r="AY116" s="466"/>
      <c r="AZ116" s="466"/>
      <c r="BA116" s="466"/>
      <c r="BB116" s="467"/>
      <c r="BC116" s="466"/>
      <c r="BD116" s="466"/>
      <c r="BE116" s="466"/>
      <c r="BF116" s="466"/>
      <c r="BG116" s="456"/>
      <c r="BH116" s="577"/>
    </row>
    <row r="117" spans="1:60" s="462" customFormat="1" ht="12" x14ac:dyDescent="0.3">
      <c r="A117" s="468">
        <v>2</v>
      </c>
      <c r="B117" s="464">
        <f>AZ15</f>
        <v>461.2</v>
      </c>
      <c r="D117" s="2"/>
      <c r="E117" s="456"/>
      <c r="F117" s="456"/>
      <c r="G117" s="456"/>
      <c r="H117" s="459"/>
      <c r="I117" s="459"/>
      <c r="J117" s="7"/>
      <c r="K117" s="456"/>
      <c r="N117" s="456"/>
      <c r="O117" s="459"/>
      <c r="P117" s="459"/>
      <c r="Q117" s="459"/>
      <c r="R117" s="7"/>
      <c r="S117" s="456"/>
      <c r="W117" s="456"/>
      <c r="X117" s="459"/>
      <c r="Y117" s="459"/>
      <c r="Z117" s="459"/>
      <c r="AA117" s="7"/>
      <c r="AB117" s="456"/>
      <c r="AF117" s="456"/>
      <c r="AG117" s="459"/>
      <c r="AH117" s="459"/>
      <c r="AI117" s="459"/>
      <c r="AJ117" s="7"/>
      <c r="AK117" s="456"/>
      <c r="AO117" s="456"/>
      <c r="AP117" s="459"/>
      <c r="AQ117" s="459"/>
      <c r="AR117" s="459"/>
      <c r="AS117" s="7"/>
      <c r="AT117" s="456"/>
      <c r="AX117" s="456"/>
      <c r="AY117" s="459"/>
      <c r="AZ117" s="459"/>
      <c r="BA117" s="459"/>
      <c r="BB117" s="7"/>
      <c r="BC117" s="456"/>
      <c r="BG117" s="456"/>
      <c r="BH117" s="577"/>
    </row>
    <row r="118" spans="1:60" s="462" customFormat="1" ht="12" x14ac:dyDescent="0.3">
      <c r="A118" s="463">
        <v>3</v>
      </c>
      <c r="B118" s="469">
        <f>AZ27</f>
        <v>0</v>
      </c>
      <c r="D118" s="2"/>
      <c r="E118" s="456"/>
      <c r="F118" s="456"/>
      <c r="G118" s="456"/>
      <c r="H118" s="459"/>
      <c r="I118" s="459"/>
      <c r="J118" s="7"/>
      <c r="K118" s="456"/>
      <c r="N118" s="456"/>
      <c r="O118" s="459"/>
      <c r="P118" s="459"/>
      <c r="Q118" s="459"/>
      <c r="R118" s="7"/>
      <c r="S118" s="456"/>
      <c r="W118" s="456"/>
      <c r="X118" s="459"/>
      <c r="Y118" s="459"/>
      <c r="Z118" s="459"/>
      <c r="AA118" s="7"/>
      <c r="AB118" s="456"/>
      <c r="AF118" s="456"/>
      <c r="AG118" s="459"/>
      <c r="AH118" s="459"/>
      <c r="AI118" s="459"/>
      <c r="AJ118" s="7"/>
      <c r="AK118" s="456"/>
      <c r="AO118" s="456"/>
      <c r="AP118" s="459"/>
      <c r="AQ118" s="459"/>
      <c r="AR118" s="459"/>
      <c r="AS118" s="7"/>
      <c r="AT118" s="456"/>
      <c r="AX118" s="456"/>
      <c r="AY118" s="459"/>
      <c r="AZ118" s="459"/>
      <c r="BA118" s="459"/>
      <c r="BB118" s="7"/>
      <c r="BC118" s="456"/>
      <c r="BG118" s="456"/>
      <c r="BH118" s="577"/>
    </row>
    <row r="119" spans="1:60" s="462" customFormat="1" ht="12" x14ac:dyDescent="0.3">
      <c r="A119" s="468">
        <v>4</v>
      </c>
      <c r="B119" s="469">
        <f>AZ33</f>
        <v>0</v>
      </c>
      <c r="D119" s="2"/>
      <c r="E119" s="456"/>
      <c r="F119" s="456"/>
      <c r="G119" s="456"/>
      <c r="H119" s="459"/>
      <c r="I119" s="459"/>
      <c r="J119" s="7"/>
      <c r="K119" s="456"/>
      <c r="N119" s="456"/>
      <c r="O119" s="459"/>
      <c r="P119" s="459"/>
      <c r="Q119" s="459"/>
      <c r="R119" s="7"/>
      <c r="S119" s="456"/>
      <c r="W119" s="456"/>
      <c r="X119" s="459"/>
      <c r="Y119" s="459"/>
      <c r="Z119" s="459"/>
      <c r="AA119" s="7"/>
      <c r="AB119" s="456"/>
      <c r="AF119" s="456"/>
      <c r="AG119" s="459"/>
      <c r="AH119" s="459"/>
      <c r="AI119" s="459"/>
      <c r="AJ119" s="7"/>
      <c r="AK119" s="456"/>
      <c r="AO119" s="456"/>
      <c r="AP119" s="459"/>
      <c r="AQ119" s="459"/>
      <c r="AR119" s="459"/>
      <c r="AS119" s="7"/>
      <c r="AT119" s="456"/>
      <c r="AX119" s="456"/>
      <c r="AY119" s="459"/>
      <c r="AZ119" s="459"/>
      <c r="BA119" s="459"/>
      <c r="BB119" s="7"/>
      <c r="BC119" s="456"/>
      <c r="BG119" s="456"/>
      <c r="BH119" s="577"/>
    </row>
    <row r="120" spans="1:60" s="462" customFormat="1" ht="14.75" customHeight="1" x14ac:dyDescent="0.3">
      <c r="A120" s="463">
        <v>5</v>
      </c>
      <c r="B120" s="469">
        <f>AZ36</f>
        <v>0</v>
      </c>
      <c r="D120" s="2"/>
      <c r="E120" s="456"/>
      <c r="F120" s="456"/>
      <c r="G120" s="456"/>
      <c r="H120" s="459"/>
      <c r="I120" s="459"/>
      <c r="J120" s="7"/>
      <c r="K120" s="456"/>
      <c r="N120" s="456"/>
      <c r="W120" s="456"/>
      <c r="AF120" s="456"/>
      <c r="AO120" s="456"/>
      <c r="AX120" s="456"/>
      <c r="BG120" s="456"/>
      <c r="BH120" s="577"/>
    </row>
    <row r="121" spans="1:60" x14ac:dyDescent="0.35">
      <c r="A121" s="468">
        <v>6</v>
      </c>
      <c r="B121" s="469">
        <f>AZ42</f>
        <v>0</v>
      </c>
      <c r="C121" s="462"/>
      <c r="E121" s="456"/>
      <c r="F121" s="456"/>
      <c r="G121" s="456"/>
      <c r="H121" s="459"/>
      <c r="I121" s="459"/>
      <c r="K121" s="456"/>
      <c r="L121" s="462"/>
      <c r="M121" s="462"/>
      <c r="O121" s="462"/>
      <c r="P121" s="462"/>
      <c r="Q121" s="462"/>
      <c r="R121" s="462"/>
      <c r="S121" s="462"/>
      <c r="T121" s="462"/>
      <c r="U121" s="462"/>
      <c r="V121" s="462"/>
      <c r="X121" s="462"/>
      <c r="Y121" s="462"/>
      <c r="Z121" s="462"/>
      <c r="AA121" s="462"/>
      <c r="AB121" s="462"/>
      <c r="AC121" s="462"/>
      <c r="AD121" s="462"/>
      <c r="AE121" s="462"/>
      <c r="AG121" s="462"/>
      <c r="AH121" s="462"/>
      <c r="AI121" s="462"/>
      <c r="AJ121" s="462"/>
      <c r="AK121" s="462"/>
      <c r="AL121" s="462"/>
      <c r="AM121" s="462"/>
      <c r="AN121" s="462"/>
      <c r="AP121" s="462"/>
      <c r="AQ121" s="462"/>
      <c r="AR121" s="462"/>
      <c r="AS121" s="462"/>
      <c r="AT121" s="462"/>
      <c r="AU121" s="462"/>
      <c r="AV121" s="462"/>
      <c r="AW121" s="462"/>
      <c r="AY121" s="462"/>
      <c r="AZ121" s="462"/>
      <c r="BA121" s="462"/>
      <c r="BB121" s="462"/>
      <c r="BC121" s="462"/>
      <c r="BD121" s="462"/>
      <c r="BE121" s="462"/>
      <c r="BF121" s="462"/>
    </row>
    <row r="122" spans="1:60" x14ac:dyDescent="0.35">
      <c r="A122" s="463">
        <v>7</v>
      </c>
      <c r="B122" s="469">
        <f>AZ58</f>
        <v>2.2423579999999999</v>
      </c>
      <c r="C122" s="462"/>
      <c r="E122" s="456"/>
      <c r="F122" s="456"/>
      <c r="G122" s="456"/>
      <c r="H122" s="459"/>
      <c r="I122" s="459"/>
      <c r="K122" s="456"/>
      <c r="L122" s="462"/>
      <c r="M122" s="462"/>
      <c r="O122" s="462"/>
      <c r="P122" s="462"/>
      <c r="Q122" s="462"/>
      <c r="R122" s="462"/>
      <c r="S122" s="462"/>
      <c r="T122" s="462"/>
      <c r="U122" s="462"/>
      <c r="V122" s="462"/>
      <c r="X122" s="462"/>
      <c r="Y122" s="462"/>
      <c r="Z122" s="462"/>
      <c r="AA122" s="462"/>
      <c r="AB122" s="462"/>
      <c r="AC122" s="462"/>
      <c r="AD122" s="462"/>
      <c r="AE122" s="462"/>
      <c r="AG122" s="462"/>
      <c r="AH122" s="462"/>
      <c r="AI122" s="462"/>
      <c r="AJ122" s="462"/>
      <c r="AK122" s="462"/>
      <c r="AL122" s="462"/>
      <c r="AM122" s="462"/>
      <c r="AN122" s="462"/>
      <c r="AP122" s="462"/>
      <c r="AQ122" s="462"/>
      <c r="AR122" s="462"/>
      <c r="AS122" s="462"/>
      <c r="AT122" s="462"/>
      <c r="AU122" s="462"/>
      <c r="AV122" s="462"/>
      <c r="AW122" s="462"/>
      <c r="AY122" s="462"/>
      <c r="AZ122" s="462"/>
      <c r="BA122" s="462"/>
      <c r="BB122" s="462"/>
      <c r="BC122" s="462"/>
      <c r="BD122" s="462"/>
      <c r="BE122" s="462"/>
      <c r="BF122" s="462"/>
    </row>
    <row r="123" spans="1:60" x14ac:dyDescent="0.35">
      <c r="A123" s="468">
        <v>8</v>
      </c>
      <c r="B123" s="469">
        <f t="shared" ref="B123:B125" si="60">AZ60</f>
        <v>3.7736360000000002</v>
      </c>
      <c r="C123" s="462"/>
      <c r="E123" s="456"/>
      <c r="F123" s="456"/>
      <c r="G123" s="456"/>
      <c r="H123" s="459"/>
      <c r="I123" s="459"/>
      <c r="K123" s="456"/>
      <c r="L123" s="462"/>
      <c r="M123" s="462"/>
      <c r="O123" s="462"/>
      <c r="P123" s="462"/>
      <c r="Q123" s="462"/>
      <c r="R123" s="462"/>
      <c r="S123" s="462"/>
      <c r="T123" s="462"/>
      <c r="U123" s="462"/>
      <c r="V123" s="462"/>
      <c r="X123" s="462"/>
      <c r="Y123" s="462"/>
      <c r="Z123" s="462"/>
      <c r="AA123" s="462"/>
      <c r="AB123" s="462"/>
      <c r="AC123" s="462"/>
      <c r="AD123" s="462"/>
      <c r="AE123" s="462"/>
      <c r="AG123" s="462"/>
      <c r="AH123" s="462"/>
      <c r="AI123" s="462"/>
      <c r="AJ123" s="462"/>
      <c r="AK123" s="462"/>
      <c r="AL123" s="462"/>
      <c r="AM123" s="462"/>
      <c r="AN123" s="462"/>
      <c r="AP123" s="462"/>
      <c r="AQ123" s="462"/>
      <c r="AR123" s="462"/>
      <c r="AS123" s="462"/>
      <c r="AT123" s="462"/>
      <c r="AU123" s="462"/>
      <c r="AV123" s="462"/>
      <c r="AW123" s="462"/>
      <c r="AY123" s="462"/>
      <c r="AZ123" s="462"/>
      <c r="BA123" s="462"/>
      <c r="BB123" s="462"/>
      <c r="BC123" s="462"/>
      <c r="BD123" s="462"/>
      <c r="BE123" s="462"/>
      <c r="BF123" s="462"/>
    </row>
    <row r="124" spans="1:60" x14ac:dyDescent="0.35">
      <c r="A124" s="463">
        <v>9</v>
      </c>
      <c r="B124" s="469">
        <f t="shared" si="60"/>
        <v>5.3969339999999999</v>
      </c>
      <c r="C124" s="462"/>
      <c r="E124" s="456"/>
      <c r="F124" s="456"/>
      <c r="G124" s="456"/>
      <c r="H124" s="459"/>
      <c r="I124" s="459"/>
      <c r="K124" s="456"/>
      <c r="L124" s="462"/>
      <c r="M124" s="462"/>
      <c r="O124" s="462"/>
      <c r="P124" s="462"/>
      <c r="Q124" s="462"/>
      <c r="R124" s="462"/>
      <c r="S124" s="462"/>
      <c r="T124" s="462"/>
      <c r="U124" s="462"/>
      <c r="V124" s="462"/>
      <c r="X124" s="462"/>
      <c r="Y124" s="462"/>
      <c r="Z124" s="462"/>
      <c r="AA124" s="462"/>
      <c r="AB124" s="462"/>
      <c r="AC124" s="462"/>
      <c r="AD124" s="462"/>
      <c r="AE124" s="462"/>
      <c r="AG124" s="462"/>
      <c r="AH124" s="462"/>
      <c r="AI124" s="462"/>
      <c r="AJ124" s="462"/>
      <c r="AK124" s="462"/>
      <c r="AL124" s="462"/>
      <c r="AM124" s="462"/>
      <c r="AN124" s="462"/>
      <c r="AP124" s="462"/>
      <c r="AQ124" s="462"/>
      <c r="AR124" s="462"/>
      <c r="AS124" s="462"/>
      <c r="AT124" s="462"/>
      <c r="AU124" s="462"/>
      <c r="AV124" s="462"/>
      <c r="AW124" s="462"/>
      <c r="AY124" s="462"/>
      <c r="AZ124" s="462"/>
      <c r="BA124" s="462"/>
      <c r="BB124" s="462"/>
      <c r="BC124" s="462"/>
      <c r="BD124" s="462"/>
      <c r="BE124" s="462"/>
      <c r="BF124" s="462"/>
    </row>
    <row r="125" spans="1:60" x14ac:dyDescent="0.35">
      <c r="A125" s="468">
        <v>10</v>
      </c>
      <c r="B125" s="469">
        <f t="shared" si="60"/>
        <v>11.811158734999999</v>
      </c>
      <c r="C125" s="462"/>
      <c r="E125" s="456"/>
      <c r="F125" s="456"/>
      <c r="G125" s="456"/>
      <c r="H125" s="459"/>
      <c r="I125" s="459"/>
      <c r="K125" s="456"/>
      <c r="L125" s="462"/>
      <c r="M125" s="462"/>
      <c r="O125" s="462"/>
      <c r="P125" s="462"/>
      <c r="Q125" s="462"/>
      <c r="R125" s="462"/>
      <c r="S125" s="462"/>
      <c r="T125" s="462"/>
      <c r="U125" s="462"/>
      <c r="V125" s="462"/>
      <c r="X125" s="462"/>
      <c r="Y125" s="462"/>
      <c r="Z125" s="462"/>
      <c r="AA125" s="462"/>
      <c r="AB125" s="462"/>
      <c r="AC125" s="462"/>
      <c r="AD125" s="462"/>
      <c r="AE125" s="462"/>
      <c r="AG125" s="462"/>
      <c r="AH125" s="462"/>
      <c r="AI125" s="462"/>
      <c r="AJ125" s="462"/>
      <c r="AK125" s="462"/>
      <c r="AL125" s="462"/>
      <c r="AM125" s="462"/>
      <c r="AN125" s="462"/>
      <c r="AP125" s="462"/>
      <c r="AQ125" s="462"/>
      <c r="AR125" s="462"/>
      <c r="AS125" s="462"/>
      <c r="AT125" s="462"/>
      <c r="AU125" s="462"/>
      <c r="AV125" s="462"/>
      <c r="AW125" s="462"/>
      <c r="AY125" s="462"/>
      <c r="AZ125" s="462"/>
      <c r="BA125" s="462"/>
      <c r="BB125" s="462"/>
      <c r="BC125" s="462"/>
      <c r="BD125" s="462"/>
      <c r="BE125" s="462"/>
      <c r="BF125" s="462"/>
    </row>
    <row r="126" spans="1:60" x14ac:dyDescent="0.35">
      <c r="A126" s="463">
        <v>11</v>
      </c>
      <c r="B126" s="469">
        <f>AZ63</f>
        <v>0</v>
      </c>
      <c r="C126" s="462"/>
      <c r="E126" s="456"/>
      <c r="F126" s="456"/>
      <c r="G126" s="456"/>
      <c r="H126" s="459"/>
      <c r="I126" s="459"/>
      <c r="K126" s="456"/>
      <c r="L126" s="462"/>
      <c r="M126" s="462"/>
      <c r="O126" s="462"/>
      <c r="P126" s="462"/>
      <c r="Q126" s="462"/>
      <c r="R126" s="462"/>
      <c r="S126" s="462"/>
      <c r="T126" s="462"/>
      <c r="U126" s="462"/>
      <c r="V126" s="462"/>
      <c r="X126" s="462"/>
      <c r="Y126" s="462"/>
      <c r="Z126" s="462"/>
      <c r="AA126" s="462"/>
      <c r="AB126" s="462"/>
      <c r="AC126" s="462"/>
      <c r="AD126" s="462"/>
      <c r="AE126" s="462"/>
      <c r="AG126" s="462"/>
      <c r="AH126" s="462"/>
      <c r="AI126" s="462"/>
      <c r="AJ126" s="462"/>
      <c r="AK126" s="462"/>
      <c r="AL126" s="462"/>
      <c r="AM126" s="462"/>
      <c r="AN126" s="462"/>
      <c r="AP126" s="462"/>
      <c r="AQ126" s="462"/>
      <c r="AR126" s="462"/>
      <c r="AS126" s="462"/>
      <c r="AT126" s="462"/>
      <c r="AU126" s="462"/>
      <c r="AV126" s="462"/>
      <c r="AW126" s="462"/>
      <c r="AY126" s="462"/>
      <c r="AZ126" s="462"/>
      <c r="BA126" s="462"/>
      <c r="BB126" s="462"/>
      <c r="BC126" s="462"/>
      <c r="BD126" s="462"/>
      <c r="BE126" s="462"/>
      <c r="BF126" s="462"/>
    </row>
    <row r="127" spans="1:60" x14ac:dyDescent="0.35">
      <c r="A127" s="468">
        <v>12</v>
      </c>
      <c r="B127" s="469">
        <f>AZ76</f>
        <v>0</v>
      </c>
      <c r="C127" s="462"/>
      <c r="E127" s="456"/>
      <c r="F127" s="456"/>
      <c r="G127" s="456"/>
      <c r="H127" s="459"/>
      <c r="I127" s="459"/>
      <c r="K127" s="456"/>
      <c r="L127" s="462"/>
      <c r="M127" s="462"/>
      <c r="O127" s="459"/>
      <c r="P127" s="459"/>
      <c r="Q127" s="459"/>
      <c r="S127" s="456"/>
      <c r="T127" s="462"/>
      <c r="U127" s="462"/>
      <c r="V127" s="462"/>
      <c r="X127" s="459"/>
      <c r="Y127" s="459"/>
      <c r="Z127" s="459"/>
      <c r="AB127" s="456"/>
      <c r="AC127" s="462"/>
      <c r="AD127" s="462"/>
      <c r="AE127" s="462"/>
      <c r="AG127" s="459"/>
      <c r="AH127" s="459"/>
      <c r="AI127" s="459"/>
      <c r="AK127" s="456"/>
      <c r="AL127" s="462"/>
      <c r="AM127" s="462"/>
      <c r="AN127" s="462"/>
      <c r="AP127" s="459"/>
      <c r="AQ127" s="459"/>
      <c r="AR127" s="459"/>
      <c r="AT127" s="456"/>
      <c r="AU127" s="462"/>
      <c r="AV127" s="462"/>
      <c r="AW127" s="462"/>
      <c r="AY127" s="459"/>
      <c r="AZ127" s="459"/>
      <c r="BA127" s="459"/>
      <c r="BC127" s="456"/>
      <c r="BD127" s="462"/>
      <c r="BE127" s="462"/>
      <c r="BF127" s="462"/>
    </row>
    <row r="128" spans="1:60" x14ac:dyDescent="0.35">
      <c r="A128" s="468"/>
      <c r="B128" s="469"/>
      <c r="C128" s="462"/>
      <c r="E128" s="456"/>
      <c r="F128" s="456"/>
      <c r="G128" s="456"/>
      <c r="H128" s="459"/>
      <c r="I128" s="459"/>
      <c r="K128" s="456"/>
      <c r="L128" s="462"/>
      <c r="M128" s="462"/>
      <c r="O128" s="459"/>
      <c r="P128" s="459"/>
      <c r="Q128" s="459"/>
      <c r="S128" s="456"/>
      <c r="T128" s="462"/>
      <c r="U128" s="462"/>
      <c r="V128" s="462"/>
      <c r="X128" s="459"/>
      <c r="Y128" s="459"/>
      <c r="Z128" s="459"/>
      <c r="AB128" s="456"/>
      <c r="AC128" s="462"/>
      <c r="AD128" s="462"/>
      <c r="AE128" s="462"/>
      <c r="AG128" s="459"/>
      <c r="AH128" s="459"/>
      <c r="AI128" s="459"/>
      <c r="AK128" s="456"/>
      <c r="AL128" s="462"/>
      <c r="AM128" s="462"/>
      <c r="AN128" s="462"/>
      <c r="AP128" s="459"/>
      <c r="AQ128" s="459"/>
      <c r="AR128" s="459"/>
      <c r="AT128" s="456"/>
      <c r="AU128" s="462"/>
      <c r="AV128" s="462"/>
      <c r="AW128" s="462"/>
      <c r="AY128" s="459"/>
      <c r="AZ128" s="459"/>
      <c r="BA128" s="459"/>
      <c r="BC128" s="456"/>
      <c r="BD128" s="462"/>
      <c r="BE128" s="462"/>
      <c r="BF128" s="462"/>
    </row>
    <row r="129" spans="1:58" x14ac:dyDescent="0.35">
      <c r="A129" s="468"/>
      <c r="B129" s="469"/>
      <c r="C129" s="462"/>
      <c r="E129" s="456"/>
      <c r="F129" s="456"/>
      <c r="G129" s="456"/>
      <c r="H129" s="459"/>
      <c r="I129" s="459"/>
      <c r="K129" s="456"/>
      <c r="L129" s="462"/>
      <c r="M129" s="462"/>
      <c r="O129" s="459"/>
      <c r="P129" s="459"/>
      <c r="Q129" s="459"/>
      <c r="S129" s="456"/>
      <c r="T129" s="462"/>
      <c r="U129" s="462"/>
      <c r="V129" s="462"/>
      <c r="X129" s="459"/>
      <c r="Y129" s="459"/>
      <c r="Z129" s="459"/>
      <c r="AB129" s="456"/>
      <c r="AC129" s="462"/>
      <c r="AD129" s="462"/>
      <c r="AE129" s="462"/>
      <c r="AG129" s="459"/>
      <c r="AH129" s="459"/>
      <c r="AI129" s="459"/>
      <c r="AK129" s="456"/>
      <c r="AL129" s="462"/>
      <c r="AM129" s="462"/>
      <c r="AN129" s="462"/>
      <c r="AP129" s="459"/>
      <c r="AQ129" s="459"/>
      <c r="AR129" s="459"/>
      <c r="AT129" s="456"/>
      <c r="AU129" s="462"/>
      <c r="AV129" s="462"/>
      <c r="AW129" s="462"/>
      <c r="AY129" s="459"/>
      <c r="AZ129" s="459"/>
      <c r="BA129" s="459"/>
      <c r="BC129" s="456"/>
      <c r="BD129" s="462"/>
      <c r="BE129" s="462"/>
      <c r="BF129" s="462"/>
    </row>
    <row r="130" spans="1:58" x14ac:dyDescent="0.35">
      <c r="A130" s="455" t="s">
        <v>583</v>
      </c>
      <c r="B130" s="455"/>
      <c r="C130" s="456"/>
      <c r="E130" s="456"/>
      <c r="F130" s="456"/>
      <c r="G130" s="456"/>
      <c r="H130" s="459"/>
      <c r="I130" s="459"/>
      <c r="K130" s="456"/>
      <c r="L130" s="462"/>
      <c r="M130" s="462"/>
    </row>
    <row r="131" spans="1:58" ht="94" customHeight="1" x14ac:dyDescent="0.35">
      <c r="A131" s="9170" t="s">
        <v>5806</v>
      </c>
      <c r="B131" s="9171"/>
      <c r="C131" s="9171"/>
      <c r="D131" s="9171"/>
      <c r="E131" s="9171"/>
      <c r="F131" s="9171"/>
      <c r="G131" s="9171"/>
      <c r="H131" s="9171"/>
      <c r="I131" s="9171"/>
      <c r="J131" s="9171"/>
      <c r="K131" s="9171"/>
      <c r="L131" s="9171"/>
      <c r="M131" s="9172"/>
    </row>
  </sheetData>
  <mergeCells count="64">
    <mergeCell ref="A86:A95"/>
    <mergeCell ref="A97:A113"/>
    <mergeCell ref="A131:M131"/>
    <mergeCell ref="AG7:AH7"/>
    <mergeCell ref="R7:R8"/>
    <mergeCell ref="H7:I7"/>
    <mergeCell ref="J7:J8"/>
    <mergeCell ref="L7:M7"/>
    <mergeCell ref="O7:P7"/>
    <mergeCell ref="A40:A84"/>
    <mergeCell ref="T7:V7"/>
    <mergeCell ref="X7:Y7"/>
    <mergeCell ref="AA7:AA8"/>
    <mergeCell ref="AC7:AE7"/>
    <mergeCell ref="AJ7:AJ8"/>
    <mergeCell ref="A10:A38"/>
    <mergeCell ref="H10:I10"/>
    <mergeCell ref="L10:M10"/>
    <mergeCell ref="O10:P10"/>
    <mergeCell ref="X10:Y10"/>
    <mergeCell ref="AC5:AE5"/>
    <mergeCell ref="AG5:AJ5"/>
    <mergeCell ref="AL5:AN5"/>
    <mergeCell ref="AP5:AS5"/>
    <mergeCell ref="AU5:AW5"/>
    <mergeCell ref="H5:J5"/>
    <mergeCell ref="L5:M5"/>
    <mergeCell ref="O5:R5"/>
    <mergeCell ref="T5:V5"/>
    <mergeCell ref="X5:AA5"/>
    <mergeCell ref="AP10:AQ10"/>
    <mergeCell ref="AP40:AQ40"/>
    <mergeCell ref="F1:M1"/>
    <mergeCell ref="O1:V1"/>
    <mergeCell ref="X1:AE1"/>
    <mergeCell ref="AG1:AN1"/>
    <mergeCell ref="H4:J4"/>
    <mergeCell ref="L4:M4"/>
    <mergeCell ref="O4:R4"/>
    <mergeCell ref="T4:V4"/>
    <mergeCell ref="X4:AA4"/>
    <mergeCell ref="AC4:AE4"/>
    <mergeCell ref="AG4:AJ4"/>
    <mergeCell ref="AL4:AN4"/>
    <mergeCell ref="AL7:AN7"/>
    <mergeCell ref="AG10:AH10"/>
    <mergeCell ref="AP1:AW1"/>
    <mergeCell ref="AP4:AS4"/>
    <mergeCell ref="AU4:AW4"/>
    <mergeCell ref="AP7:AQ7"/>
    <mergeCell ref="AS7:AS8"/>
    <mergeCell ref="AU7:AW7"/>
    <mergeCell ref="AY1:BF1"/>
    <mergeCell ref="AY4:BB4"/>
    <mergeCell ref="BD4:BF4"/>
    <mergeCell ref="BH4:BH5"/>
    <mergeCell ref="AY5:BB5"/>
    <mergeCell ref="BD5:BF5"/>
    <mergeCell ref="AY40:AZ40"/>
    <mergeCell ref="AY7:AZ7"/>
    <mergeCell ref="BB7:BB8"/>
    <mergeCell ref="BD7:BF7"/>
    <mergeCell ref="AY10:AZ10"/>
    <mergeCell ref="BB15:BB16"/>
  </mergeCells>
  <hyperlinks>
    <hyperlink ref="Q10" r:id="rId1" xr:uid="{00000000-0004-0000-2900-000002000000}"/>
    <hyperlink ref="AM10" r:id="rId2" xr:uid="{00000000-0004-0000-2900-000003000000}"/>
    <hyperlink ref="AV10" r:id="rId3" xr:uid="{86E10838-E5DF-4A64-A2AA-6FE1EC9F207D}"/>
    <hyperlink ref="AR10" r:id="rId4" xr:uid="{223A087D-40E3-41C0-B022-CBFBE9BB989F}"/>
    <hyperlink ref="AR40" r:id="rId5" xr:uid="{800BB963-1A01-4F53-BF4E-A78D20CDB4C8}"/>
    <hyperlink ref="AV40" r:id="rId6" xr:uid="{108E089C-FD17-4646-AC66-FBD960CAD672}"/>
    <hyperlink ref="BK61" r:id="rId7" xr:uid="{19977AAF-1C23-4242-A22B-271BD3839F69}"/>
    <hyperlink ref="BK56" r:id="rId8" xr:uid="{79F09C38-4692-4982-9833-FCBCA58A75CE}"/>
    <hyperlink ref="BE10" r:id="rId9" xr:uid="{7311B004-CB99-4802-BBDB-C040C69FFBB5}"/>
    <hyperlink ref="BA10" r:id="rId10" xr:uid="{F2E95F92-FED7-47E4-ABF7-A6665E90ADB6}"/>
    <hyperlink ref="BA40" r:id="rId11" xr:uid="{E4AC002F-C95A-4834-8EE5-1796047ABAFB}"/>
    <hyperlink ref="BE40" r:id="rId12" xr:uid="{2570155E-B138-48FF-9B7E-103609CB703A}"/>
  </hyperlinks>
  <pageMargins left="0.23622047244094491" right="0.23622047244094491" top="0.35433070866141736" bottom="0.35433070866141736" header="0.31496062992125984" footer="0.31496062992125984"/>
  <pageSetup paperSize="9" scale="38" orientation="portrait" horizontalDpi="4294967293" verticalDpi="4294967293" r:id="rId1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BJ124"/>
  <sheetViews>
    <sheetView topLeftCell="A67" zoomScale="81" zoomScaleNormal="84" workbookViewId="0">
      <pane xSplit="4" topLeftCell="AV1" activePane="topRight" state="frozen"/>
      <selection pane="topRight" activeCell="BD120" sqref="BD120"/>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 customWidth="1"/>
    <col min="22" max="22" width="21.6328125" customWidth="1"/>
    <col min="23" max="23" width="1.6328125" style="1" customWidth="1"/>
    <col min="24" max="26" width="21.6328125" style="6" customWidth="1"/>
    <col min="27" max="27" width="8.6328125" style="7" customWidth="1"/>
    <col min="28" max="28" width="1.6328125" style="1" customWidth="1"/>
    <col min="29" max="29" width="21.6328125" customWidth="1"/>
    <col min="30" max="30" width="23" customWidth="1"/>
    <col min="31" max="31" width="21.6328125" customWidth="1"/>
    <col min="32" max="32" width="1.6328125" style="1" customWidth="1"/>
    <col min="33" max="35" width="21.6328125" style="6" customWidth="1"/>
    <col min="36" max="36" width="8.6328125" style="7" customWidth="1"/>
    <col min="37" max="37" width="1.6328125" style="1" customWidth="1"/>
    <col min="38" max="38" width="21.6328125" customWidth="1"/>
    <col min="39" max="39" width="23" customWidth="1"/>
    <col min="40" max="40" width="21.6328125" customWidth="1"/>
    <col min="41" max="41" width="1.6328125" style="1" customWidth="1"/>
    <col min="42" max="44" width="21.6328125" style="6" customWidth="1"/>
    <col min="45" max="45" width="8.6328125" style="7" customWidth="1"/>
    <col min="46" max="46" width="1.6328125" style="1" customWidth="1"/>
    <col min="47" max="47" width="21.6328125" customWidth="1"/>
    <col min="48" max="48" width="23" customWidth="1"/>
    <col min="49" max="49" width="21.6328125" customWidth="1"/>
    <col min="50" max="50" width="1.6328125" style="1" customWidth="1"/>
    <col min="51" max="51" width="55" customWidth="1"/>
    <col min="52" max="52" width="1.6328125" style="1" customWidth="1"/>
    <col min="53" max="55" width="21.6328125" style="6" customWidth="1"/>
    <col min="56" max="56" width="8.6328125" style="7" customWidth="1"/>
    <col min="57" max="57" width="1.6328125" style="1" customWidth="1"/>
    <col min="58" max="58" width="21.6328125" customWidth="1"/>
    <col min="59" max="59" width="23" customWidth="1"/>
    <col min="60" max="60" width="21.6328125" customWidth="1"/>
    <col min="61" max="61" width="1.6328125" style="1" customWidth="1"/>
    <col min="62" max="62" width="55" customWidth="1"/>
  </cols>
  <sheetData>
    <row r="1" spans="1:62" ht="31" x14ac:dyDescent="0.7">
      <c r="D1" s="2"/>
      <c r="F1" s="9118" t="s">
        <v>394</v>
      </c>
      <c r="G1" s="9119"/>
      <c r="H1" s="9119"/>
      <c r="I1" s="9119"/>
      <c r="J1" s="9119"/>
      <c r="K1" s="9119"/>
      <c r="L1" s="9119"/>
      <c r="M1" s="9120"/>
      <c r="N1"/>
      <c r="O1" s="9121" t="s">
        <v>395</v>
      </c>
      <c r="P1" s="9122"/>
      <c r="Q1" s="9122"/>
      <c r="R1" s="9122"/>
      <c r="S1" s="9122"/>
      <c r="T1" s="9122"/>
      <c r="U1" s="9122"/>
      <c r="V1" s="9123"/>
      <c r="W1"/>
      <c r="X1" s="9207" t="s">
        <v>396</v>
      </c>
      <c r="Y1" s="9208"/>
      <c r="Z1" s="9208"/>
      <c r="AA1" s="9208"/>
      <c r="AB1" s="9208"/>
      <c r="AC1" s="9208"/>
      <c r="AD1" s="9208"/>
      <c r="AE1" s="9209"/>
      <c r="AF1"/>
      <c r="AG1" s="9477" t="s">
        <v>396</v>
      </c>
      <c r="AH1" s="9478"/>
      <c r="AI1" s="9478"/>
      <c r="AJ1" s="9478"/>
      <c r="AK1" s="9478"/>
      <c r="AL1" s="9478"/>
      <c r="AM1" s="9478"/>
      <c r="AN1" s="9479"/>
      <c r="AO1"/>
      <c r="AP1" s="9164" t="s">
        <v>398</v>
      </c>
      <c r="AQ1" s="9165"/>
      <c r="AR1" s="9165"/>
      <c r="AS1" s="9165"/>
      <c r="AT1" s="9165"/>
      <c r="AU1" s="9165"/>
      <c r="AV1" s="9165"/>
      <c r="AW1" s="9166"/>
      <c r="AX1"/>
      <c r="AZ1"/>
      <c r="BA1" s="9115" t="s">
        <v>399</v>
      </c>
      <c r="BB1" s="9116"/>
      <c r="BC1" s="9116"/>
      <c r="BD1" s="9116"/>
      <c r="BE1" s="9116"/>
      <c r="BF1" s="9116"/>
      <c r="BG1" s="9116"/>
      <c r="BH1" s="9117"/>
      <c r="BI1"/>
    </row>
    <row r="2" spans="1:62" ht="21" x14ac:dyDescent="0.5">
      <c r="B2" s="1" t="s">
        <v>9</v>
      </c>
      <c r="C2" s="4" t="s">
        <v>5807</v>
      </c>
      <c r="H2"/>
    </row>
    <row r="4" spans="1:62" s="8" customFormat="1" ht="15.25" customHeight="1" x14ac:dyDescent="0.35">
      <c r="D4" s="9"/>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G4" s="9130" t="s">
        <v>403</v>
      </c>
      <c r="AH4" s="9131"/>
      <c r="AI4" s="9131"/>
      <c r="AJ4" s="9132"/>
      <c r="AL4" s="9130" t="s">
        <v>402</v>
      </c>
      <c r="AM4" s="9131"/>
      <c r="AN4" s="9132"/>
      <c r="AP4" s="9130" t="s">
        <v>403</v>
      </c>
      <c r="AQ4" s="9131"/>
      <c r="AR4" s="9131"/>
      <c r="AS4" s="9132"/>
      <c r="AU4" s="9130" t="s">
        <v>402</v>
      </c>
      <c r="AV4" s="9131"/>
      <c r="AW4" s="9132"/>
      <c r="AY4" s="9180" t="s">
        <v>404</v>
      </c>
      <c r="BA4" s="9130" t="s">
        <v>403</v>
      </c>
      <c r="BB4" s="9131"/>
      <c r="BC4" s="9131"/>
      <c r="BD4" s="9132"/>
      <c r="BF4" s="9130" t="s">
        <v>402</v>
      </c>
      <c r="BG4" s="9131"/>
      <c r="BH4" s="9132"/>
      <c r="BJ4" s="9180" t="s">
        <v>404</v>
      </c>
    </row>
    <row r="5" spans="1:62" x14ac:dyDescent="0.35">
      <c r="B5" s="1" t="s">
        <v>406</v>
      </c>
      <c r="C5" s="11">
        <v>2013</v>
      </c>
      <c r="F5" s="8324" t="s">
        <v>5808</v>
      </c>
      <c r="G5" s="12"/>
      <c r="H5" s="9138" t="s">
        <v>2771</v>
      </c>
      <c r="I5" s="9139"/>
      <c r="J5" s="9140"/>
      <c r="K5" s="12"/>
      <c r="L5" s="9138" t="s">
        <v>738</v>
      </c>
      <c r="M5" s="9140"/>
      <c r="O5" s="9138" t="s">
        <v>738</v>
      </c>
      <c r="P5" s="9139"/>
      <c r="Q5" s="9139"/>
      <c r="R5" s="9140"/>
      <c r="S5" s="12"/>
      <c r="T5" s="9138" t="s">
        <v>739</v>
      </c>
      <c r="U5" s="9139"/>
      <c r="V5" s="9140"/>
      <c r="X5" s="9138" t="s">
        <v>3242</v>
      </c>
      <c r="Y5" s="9139"/>
      <c r="Z5" s="9139"/>
      <c r="AA5" s="9140"/>
      <c r="AB5" s="12"/>
      <c r="AC5" s="9138" t="s">
        <v>3243</v>
      </c>
      <c r="AD5" s="9139"/>
      <c r="AE5" s="9140"/>
      <c r="AG5" s="9138" t="s">
        <v>3243</v>
      </c>
      <c r="AH5" s="9139"/>
      <c r="AI5" s="9139"/>
      <c r="AJ5" s="9140"/>
      <c r="AK5" s="12"/>
      <c r="AL5" s="9138" t="s">
        <v>2111</v>
      </c>
      <c r="AM5" s="9139"/>
      <c r="AN5" s="9140"/>
      <c r="AP5" s="9138" t="s">
        <v>2111</v>
      </c>
      <c r="AQ5" s="9139"/>
      <c r="AR5" s="9139"/>
      <c r="AS5" s="9140"/>
      <c r="AT5" s="12"/>
      <c r="AU5" s="9138" t="s">
        <v>743</v>
      </c>
      <c r="AV5" s="9139"/>
      <c r="AW5" s="9140"/>
      <c r="AY5" s="9181"/>
      <c r="BA5" s="9138" t="s">
        <v>743</v>
      </c>
      <c r="BB5" s="9139"/>
      <c r="BC5" s="9139"/>
      <c r="BD5" s="9140"/>
      <c r="BE5" s="12"/>
      <c r="BF5" s="9138" t="s">
        <v>3078</v>
      </c>
      <c r="BG5" s="9139"/>
      <c r="BH5" s="9140"/>
      <c r="BJ5" s="9181"/>
    </row>
    <row r="6" spans="1:62" x14ac:dyDescent="0.35">
      <c r="C6"/>
      <c r="F6" s="6"/>
      <c r="L6" s="14"/>
      <c r="T6" s="14"/>
      <c r="U6" s="14"/>
      <c r="AC6" s="14"/>
      <c r="AD6" s="14"/>
      <c r="AL6" s="14"/>
      <c r="AM6" s="14"/>
      <c r="AU6" s="14"/>
      <c r="AV6" s="14"/>
      <c r="AY6" s="6"/>
      <c r="BF6" s="14"/>
      <c r="BG6" s="14"/>
      <c r="BJ6" s="6"/>
    </row>
    <row r="7" spans="1:62" ht="12.75" customHeight="1" x14ac:dyDescent="0.35">
      <c r="B7" s="1" t="s">
        <v>101</v>
      </c>
      <c r="C7" s="15" t="s">
        <v>5809</v>
      </c>
      <c r="D7" s="5" t="s">
        <v>417</v>
      </c>
      <c r="F7" s="8322" t="s">
        <v>5810</v>
      </c>
      <c r="H7" s="9173" t="str">
        <f>F7</f>
        <v>million TSH</v>
      </c>
      <c r="I7" s="9173"/>
      <c r="J7" s="9147" t="s">
        <v>419</v>
      </c>
      <c r="L7" s="9149" t="str">
        <f>F7</f>
        <v>million TSH</v>
      </c>
      <c r="M7" s="9151"/>
      <c r="O7" s="9173" t="str">
        <f>L7</f>
        <v>million TSH</v>
      </c>
      <c r="P7" s="9173"/>
      <c r="Q7" s="16"/>
      <c r="R7" s="9147" t="s">
        <v>419</v>
      </c>
      <c r="T7" s="9149" t="s">
        <v>5810</v>
      </c>
      <c r="U7" s="9150"/>
      <c r="V7" s="9150"/>
      <c r="X7" s="9173" t="s">
        <v>5810</v>
      </c>
      <c r="Y7" s="9173"/>
      <c r="Z7" s="16"/>
      <c r="AA7" s="9147" t="s">
        <v>419</v>
      </c>
      <c r="AC7" s="9149" t="s">
        <v>5811</v>
      </c>
      <c r="AD7" s="9150"/>
      <c r="AE7" s="9150"/>
      <c r="AG7" s="9173" t="s">
        <v>5810</v>
      </c>
      <c r="AH7" s="9173"/>
      <c r="AI7" s="16"/>
      <c r="AJ7" s="9147" t="s">
        <v>419</v>
      </c>
      <c r="AL7" s="9149" t="s">
        <v>5811</v>
      </c>
      <c r="AM7" s="9150"/>
      <c r="AN7" s="9150"/>
      <c r="AP7" s="9173" t="s">
        <v>5810</v>
      </c>
      <c r="AQ7" s="9173"/>
      <c r="AR7" s="16"/>
      <c r="AS7" s="9147" t="s">
        <v>419</v>
      </c>
      <c r="AU7" s="9149" t="s">
        <v>5811</v>
      </c>
      <c r="AV7" s="9150"/>
      <c r="AW7" s="9150"/>
      <c r="AY7" s="18"/>
      <c r="BA7" s="9173" t="s">
        <v>5810</v>
      </c>
      <c r="BB7" s="9173"/>
      <c r="BC7" s="16"/>
      <c r="BD7" s="9147" t="s">
        <v>419</v>
      </c>
      <c r="BF7" s="9149" t="s">
        <v>5811</v>
      </c>
      <c r="BG7" s="9150"/>
      <c r="BH7" s="9150"/>
      <c r="BJ7" s="18"/>
    </row>
    <row r="8" spans="1:62" x14ac:dyDescent="0.35">
      <c r="B8" s="1" t="s">
        <v>420</v>
      </c>
      <c r="C8" s="19" t="s">
        <v>747</v>
      </c>
      <c r="F8" s="20" t="s">
        <v>96</v>
      </c>
      <c r="H8" s="20" t="s">
        <v>423</v>
      </c>
      <c r="I8" s="20" t="s">
        <v>96</v>
      </c>
      <c r="J8" s="9148"/>
      <c r="L8" s="21" t="s">
        <v>423</v>
      </c>
      <c r="M8" s="20" t="s">
        <v>96</v>
      </c>
      <c r="O8" s="20" t="s">
        <v>424</v>
      </c>
      <c r="P8" s="20" t="s">
        <v>96</v>
      </c>
      <c r="Q8" s="22" t="s">
        <v>425</v>
      </c>
      <c r="R8" s="9148"/>
      <c r="T8" s="21" t="s">
        <v>424</v>
      </c>
      <c r="U8" s="22" t="s">
        <v>425</v>
      </c>
      <c r="V8" s="23" t="s">
        <v>96</v>
      </c>
      <c r="X8" s="20" t="s">
        <v>424</v>
      </c>
      <c r="Y8" s="20" t="s">
        <v>96</v>
      </c>
      <c r="Z8" s="22" t="s">
        <v>425</v>
      </c>
      <c r="AA8" s="9148"/>
      <c r="AC8" s="21" t="s">
        <v>424</v>
      </c>
      <c r="AD8" s="22" t="s">
        <v>425</v>
      </c>
      <c r="AE8" s="23" t="s">
        <v>96</v>
      </c>
      <c r="AG8" s="20" t="s">
        <v>424</v>
      </c>
      <c r="AH8" s="20" t="s">
        <v>96</v>
      </c>
      <c r="AI8" s="22" t="s">
        <v>425</v>
      </c>
      <c r="AJ8" s="9148"/>
      <c r="AL8" s="21" t="s">
        <v>424</v>
      </c>
      <c r="AM8" s="22" t="s">
        <v>425</v>
      </c>
      <c r="AN8" s="23" t="s">
        <v>96</v>
      </c>
      <c r="AP8" s="20" t="s">
        <v>424</v>
      </c>
      <c r="AQ8" s="20" t="s">
        <v>96</v>
      </c>
      <c r="AR8" s="22" t="s">
        <v>425</v>
      </c>
      <c r="AS8" s="9148"/>
      <c r="AU8" s="21" t="s">
        <v>424</v>
      </c>
      <c r="AV8" s="22" t="s">
        <v>425</v>
      </c>
      <c r="AW8" s="23" t="s">
        <v>96</v>
      </c>
      <c r="AY8" s="24"/>
      <c r="BA8" s="20" t="s">
        <v>424</v>
      </c>
      <c r="BB8" s="20" t="s">
        <v>96</v>
      </c>
      <c r="BC8" s="22" t="s">
        <v>425</v>
      </c>
      <c r="BD8" s="9148"/>
      <c r="BF8" s="21" t="s">
        <v>424</v>
      </c>
      <c r="BG8" s="22" t="s">
        <v>425</v>
      </c>
      <c r="BH8" s="23" t="s">
        <v>96</v>
      </c>
      <c r="BJ8" s="24"/>
    </row>
    <row r="9" spans="1:62" x14ac:dyDescent="0.35">
      <c r="C9"/>
      <c r="E9"/>
      <c r="F9"/>
      <c r="G9"/>
      <c r="H9"/>
      <c r="I9"/>
      <c r="J9" s="25"/>
      <c r="K9"/>
      <c r="N9"/>
      <c r="O9"/>
      <c r="P9"/>
      <c r="Q9"/>
      <c r="R9" s="25"/>
      <c r="S9"/>
      <c r="W9"/>
      <c r="X9"/>
      <c r="Y9"/>
      <c r="Z9"/>
      <c r="AA9" s="25"/>
      <c r="AB9"/>
      <c r="AF9"/>
      <c r="AG9"/>
      <c r="AH9"/>
      <c r="AI9"/>
      <c r="AJ9" s="25"/>
      <c r="AK9"/>
      <c r="AO9"/>
      <c r="AP9"/>
      <c r="AQ9"/>
      <c r="AR9"/>
      <c r="AS9" s="25"/>
      <c r="AT9"/>
      <c r="AX9"/>
      <c r="AZ9"/>
      <c r="BA9"/>
      <c r="BB9"/>
      <c r="BC9"/>
      <c r="BD9" s="25"/>
      <c r="BE9"/>
      <c r="BI9"/>
    </row>
    <row r="10" spans="1:62" ht="33.25" customHeight="1" x14ac:dyDescent="0.35">
      <c r="A10" s="9167" t="s">
        <v>426</v>
      </c>
      <c r="B10" s="27"/>
      <c r="C10" s="28" t="s">
        <v>427</v>
      </c>
      <c r="D10" s="29" t="s">
        <v>428</v>
      </c>
      <c r="E10" s="30"/>
      <c r="F10" s="31"/>
      <c r="G10"/>
      <c r="H10" s="31"/>
      <c r="I10" s="31"/>
      <c r="J10" s="32"/>
      <c r="K10" s="33"/>
      <c r="L10" s="31"/>
      <c r="M10" s="34" t="s">
        <v>3096</v>
      </c>
      <c r="N10" s="33"/>
      <c r="O10" s="9548" t="s">
        <v>752</v>
      </c>
      <c r="P10" s="9549"/>
      <c r="Q10" s="35" t="s">
        <v>5812</v>
      </c>
      <c r="R10" s="32"/>
      <c r="S10" s="33"/>
      <c r="T10" s="36" t="s">
        <v>752</v>
      </c>
      <c r="U10" s="35" t="s">
        <v>5812</v>
      </c>
      <c r="V10" s="34" t="s">
        <v>3096</v>
      </c>
      <c r="W10" s="33"/>
      <c r="X10" s="9548" t="s">
        <v>5705</v>
      </c>
      <c r="Y10" s="9549"/>
      <c r="Z10" s="35" t="s">
        <v>5812</v>
      </c>
      <c r="AA10" s="32"/>
      <c r="AB10" s="33"/>
      <c r="AC10" s="4130" t="s">
        <v>5813</v>
      </c>
      <c r="AD10" s="4132" t="s">
        <v>5814</v>
      </c>
      <c r="AE10" s="34" t="s">
        <v>3096</v>
      </c>
      <c r="AF10" s="33"/>
      <c r="AG10" s="4131" t="s">
        <v>5815</v>
      </c>
      <c r="AH10" s="38" t="s">
        <v>5815</v>
      </c>
      <c r="AI10" s="35" t="s">
        <v>5812</v>
      </c>
      <c r="AJ10" s="32"/>
      <c r="AK10" s="33"/>
      <c r="AL10" s="4130" t="s">
        <v>5816</v>
      </c>
      <c r="AM10" s="35" t="s">
        <v>5814</v>
      </c>
      <c r="AN10" s="34" t="s">
        <v>5817</v>
      </c>
      <c r="AO10" s="33"/>
      <c r="AP10" s="4131" t="s">
        <v>5815</v>
      </c>
      <c r="AQ10" s="38" t="s">
        <v>5818</v>
      </c>
      <c r="AR10" s="3375" t="s">
        <v>5819</v>
      </c>
      <c r="AS10" s="32"/>
      <c r="AT10" s="33"/>
      <c r="AU10" s="4130" t="s">
        <v>5820</v>
      </c>
      <c r="AV10" s="3375" t="s">
        <v>5819</v>
      </c>
      <c r="AW10" s="4130" t="s">
        <v>5820</v>
      </c>
      <c r="AX10" s="33"/>
      <c r="AY10" s="39"/>
      <c r="AZ10" s="33"/>
      <c r="BA10" s="9542" t="s">
        <v>5821</v>
      </c>
      <c r="BB10" s="9543"/>
      <c r="BC10" s="35" t="s">
        <v>5819</v>
      </c>
      <c r="BD10" s="32"/>
      <c r="BE10" s="33"/>
      <c r="BF10" s="4130" t="s">
        <v>5822</v>
      </c>
      <c r="BG10" s="35" t="s">
        <v>5823</v>
      </c>
      <c r="BH10" s="4130" t="s">
        <v>5822</v>
      </c>
      <c r="BI10" s="33"/>
      <c r="BJ10" s="39"/>
    </row>
    <row r="11" spans="1:62" ht="12.75" customHeight="1" x14ac:dyDescent="0.35">
      <c r="A11" s="9168"/>
      <c r="B11" s="40" t="s">
        <v>451</v>
      </c>
      <c r="C11" s="41"/>
      <c r="D11" s="42"/>
      <c r="E11" s="43"/>
      <c r="F11" s="44"/>
      <c r="G11"/>
      <c r="H11" s="45"/>
      <c r="I11" s="46"/>
      <c r="J11" s="47"/>
      <c r="K11" s="48"/>
      <c r="L11" s="45"/>
      <c r="M11" s="49"/>
      <c r="N11" s="50"/>
      <c r="O11" s="51"/>
      <c r="P11" s="4129"/>
      <c r="Q11" s="53"/>
      <c r="R11" s="47"/>
      <c r="S11" s="48"/>
      <c r="T11" s="3928"/>
      <c r="U11" s="109"/>
      <c r="V11" s="49"/>
      <c r="W11" s="43"/>
      <c r="X11" s="51"/>
      <c r="Y11" s="4129"/>
      <c r="Z11" s="53"/>
      <c r="AA11" s="47"/>
      <c r="AB11" s="48"/>
      <c r="AC11" s="3928" t="s">
        <v>5824</v>
      </c>
      <c r="AD11" s="4127" t="s">
        <v>5825</v>
      </c>
      <c r="AE11" s="49"/>
      <c r="AF11" s="43"/>
      <c r="AG11" s="3928" t="s">
        <v>5824</v>
      </c>
      <c r="AH11" s="4128" t="s">
        <v>5826</v>
      </c>
      <c r="AI11" s="4127" t="s">
        <v>5825</v>
      </c>
      <c r="AJ11" s="47"/>
      <c r="AK11" s="48"/>
      <c r="AL11" s="3928"/>
      <c r="AM11" s="4127"/>
      <c r="AN11" s="49" t="s">
        <v>5827</v>
      </c>
      <c r="AO11" s="43"/>
      <c r="AP11" s="3928" t="s">
        <v>5828</v>
      </c>
      <c r="AQ11" s="4128" t="s">
        <v>5829</v>
      </c>
      <c r="AR11" s="4127" t="s">
        <v>5825</v>
      </c>
      <c r="AS11" s="47"/>
      <c r="AT11" s="48"/>
      <c r="AU11" s="3928" t="s">
        <v>4225</v>
      </c>
      <c r="AV11" s="4127"/>
      <c r="AW11" s="49" t="s">
        <v>5830</v>
      </c>
      <c r="AX11" s="43"/>
      <c r="AY11" s="18"/>
      <c r="AZ11" s="43"/>
      <c r="BA11" s="3928" t="s">
        <v>5831</v>
      </c>
      <c r="BB11" s="4128" t="s">
        <v>5832</v>
      </c>
      <c r="BC11" s="4127" t="s">
        <v>5833</v>
      </c>
      <c r="BD11" s="47"/>
      <c r="BE11" s="48"/>
      <c r="BF11" s="3928" t="s">
        <v>5834</v>
      </c>
      <c r="BG11" s="4127"/>
      <c r="BH11" s="49" t="s">
        <v>5835</v>
      </c>
      <c r="BI11" s="43"/>
      <c r="BJ11" s="18"/>
    </row>
    <row r="12" spans="1:62" x14ac:dyDescent="0.35">
      <c r="A12" s="9168"/>
      <c r="B12" s="58"/>
      <c r="C12" s="59" t="s">
        <v>456</v>
      </c>
      <c r="D12" s="60"/>
      <c r="F12" s="61"/>
      <c r="G12"/>
      <c r="H12" s="298">
        <f>(324.6+25+26+5)*1000</f>
        <v>380600</v>
      </c>
      <c r="I12" s="63"/>
      <c r="J12" s="64"/>
      <c r="K12" s="65"/>
      <c r="L12" s="62"/>
      <c r="M12" s="66">
        <f>L12*J12</f>
        <v>0</v>
      </c>
      <c r="N12" s="67"/>
      <c r="O12" s="71">
        <f>(365.8+15+21)*1000</f>
        <v>401800</v>
      </c>
      <c r="P12" s="74">
        <f>(339.4+15+21)*1000</f>
        <v>375400</v>
      </c>
      <c r="Q12" s="70" t="s">
        <v>5836</v>
      </c>
      <c r="R12" s="64">
        <f>P12/O12</f>
        <v>0.93429566948730713</v>
      </c>
      <c r="S12" s="65"/>
      <c r="T12" s="71">
        <f>(429.5+30+21)*1000</f>
        <v>480500</v>
      </c>
      <c r="U12" s="53"/>
      <c r="V12" s="66">
        <f>T12*R12</f>
        <v>448929.0691886511</v>
      </c>
      <c r="X12" s="71">
        <f>T12</f>
        <v>480500</v>
      </c>
      <c r="Y12" s="74">
        <f>V12</f>
        <v>448929.0691886511</v>
      </c>
      <c r="Z12" s="70"/>
      <c r="AA12" s="64">
        <f>Y12/X12</f>
        <v>0.93429566948730725</v>
      </c>
      <c r="AB12" s="65"/>
      <c r="AC12" s="71">
        <v>461400</v>
      </c>
      <c r="AD12" s="53" t="s">
        <v>5837</v>
      </c>
      <c r="AE12" s="66">
        <f>AC12*AA12</f>
        <v>431084.02190144354</v>
      </c>
      <c r="AG12" s="71">
        <v>461400</v>
      </c>
      <c r="AH12" s="74">
        <v>509200</v>
      </c>
      <c r="AI12" s="53" t="s">
        <v>5837</v>
      </c>
      <c r="AJ12" s="64">
        <f>AH12/AG12</f>
        <v>1.1035977459904638</v>
      </c>
      <c r="AK12" s="65"/>
      <c r="AL12" s="71">
        <v>654900</v>
      </c>
      <c r="AM12" s="57"/>
      <c r="AN12" s="998">
        <f>465214*12/9</f>
        <v>620285.33333333337</v>
      </c>
      <c r="AP12" s="71">
        <v>654900</v>
      </c>
      <c r="AQ12" s="74">
        <f>465214*12/9</f>
        <v>620285.33333333337</v>
      </c>
      <c r="AR12" s="53" t="s">
        <v>5837</v>
      </c>
      <c r="AS12" s="476">
        <f>AQ12/AP12</f>
        <v>0.9471451112129079</v>
      </c>
      <c r="AT12" s="65"/>
      <c r="AU12" s="71">
        <v>807500</v>
      </c>
      <c r="AV12" s="57"/>
      <c r="AW12" s="998">
        <v>790800</v>
      </c>
      <c r="AY12" s="26"/>
      <c r="BA12" s="71">
        <v>847500</v>
      </c>
      <c r="BB12" s="74">
        <f>616528*12/9</f>
        <v>822037.33333333337</v>
      </c>
      <c r="BC12" s="57" t="s">
        <v>5838</v>
      </c>
      <c r="BD12" s="64">
        <f>BB12/BA12</f>
        <v>0.96995555555555557</v>
      </c>
      <c r="BE12" s="65"/>
      <c r="BF12" s="71">
        <v>967500</v>
      </c>
      <c r="BG12" s="53" t="s">
        <v>5837</v>
      </c>
      <c r="BH12" s="998">
        <v>835300</v>
      </c>
      <c r="BJ12" s="26"/>
    </row>
    <row r="13" spans="1:62" x14ac:dyDescent="0.35">
      <c r="A13" s="9168"/>
      <c r="B13" s="58"/>
      <c r="C13" s="59" t="s">
        <v>1041</v>
      </c>
      <c r="D13" s="60"/>
      <c r="F13" s="61"/>
      <c r="G13"/>
      <c r="H13" s="298">
        <f>(40+2.5+235.4)*1000</f>
        <v>277900</v>
      </c>
      <c r="I13" s="63"/>
      <c r="J13" s="73"/>
      <c r="K13" s="65"/>
      <c r="L13" s="62"/>
      <c r="M13" s="66">
        <f>L13*J13</f>
        <v>0</v>
      </c>
      <c r="N13" s="67"/>
      <c r="O13" s="71">
        <f>(40+0.6+265.4)*1000</f>
        <v>306000</v>
      </c>
      <c r="P13" s="74">
        <f>(19.2+0.6+127.9)*1000</f>
        <v>147700.00000000003</v>
      </c>
      <c r="Q13" s="53"/>
      <c r="R13" s="64">
        <f>P13/O13</f>
        <v>0.48267973856209162</v>
      </c>
      <c r="S13" s="65"/>
      <c r="T13" s="62">
        <f>(1.3+347.1+1.5)*1000</f>
        <v>349900.00000000006</v>
      </c>
      <c r="U13" s="53"/>
      <c r="V13" s="66">
        <f>T13*R13</f>
        <v>168889.64052287588</v>
      </c>
      <c r="X13" s="71">
        <f>T13</f>
        <v>349900.00000000006</v>
      </c>
      <c r="Y13" s="74">
        <f>V13</f>
        <v>168889.64052287588</v>
      </c>
      <c r="Z13" s="53"/>
      <c r="AA13" s="64">
        <f>Y13/X13</f>
        <v>0.48267973856209162</v>
      </c>
      <c r="AB13" s="65"/>
      <c r="AC13" s="62">
        <v>324800</v>
      </c>
      <c r="AD13" s="53" t="s">
        <v>5839</v>
      </c>
      <c r="AE13" s="66">
        <f>AC13*AA13</f>
        <v>156774.37908496737</v>
      </c>
      <c r="AG13" s="62">
        <v>324800</v>
      </c>
      <c r="AH13" s="74">
        <v>150000</v>
      </c>
      <c r="AI13" s="53" t="s">
        <v>5839</v>
      </c>
      <c r="AJ13" s="64">
        <f>AH13/AG13</f>
        <v>0.46182266009852219</v>
      </c>
      <c r="AK13" s="65"/>
      <c r="AL13" s="62">
        <v>380500</v>
      </c>
      <c r="AM13" s="57" t="s">
        <v>5840</v>
      </c>
      <c r="AN13" s="998">
        <f>151019*12/9</f>
        <v>201358.66666666666</v>
      </c>
      <c r="AP13" s="62">
        <v>380500</v>
      </c>
      <c r="AQ13" s="74">
        <f>151019*12/9</f>
        <v>201358.66666666666</v>
      </c>
      <c r="AR13" s="53" t="s">
        <v>5839</v>
      </c>
      <c r="AS13" s="476">
        <f>AQ13/AP13</f>
        <v>0.52919491896627247</v>
      </c>
      <c r="AT13" s="65"/>
      <c r="AU13" s="62">
        <f>464200+3400</f>
        <v>467600</v>
      </c>
      <c r="AV13" s="57"/>
      <c r="AW13" s="998">
        <f>261200+3400</f>
        <v>264600</v>
      </c>
      <c r="AY13" s="26"/>
      <c r="BA13" s="62">
        <v>464120</v>
      </c>
      <c r="BB13" s="74">
        <f>247970*12/9</f>
        <v>330626.66666666669</v>
      </c>
      <c r="BC13" s="57"/>
      <c r="BD13" s="64">
        <f>BB13/BA13</f>
        <v>0.71237323680657305</v>
      </c>
      <c r="BE13" s="65"/>
      <c r="BF13" s="62">
        <v>402900</v>
      </c>
      <c r="BG13" s="53" t="s">
        <v>5839</v>
      </c>
      <c r="BH13" s="998">
        <v>283500</v>
      </c>
      <c r="BJ13" s="26"/>
    </row>
    <row r="14" spans="1:62" x14ac:dyDescent="0.35">
      <c r="A14" s="9168"/>
      <c r="B14" s="75"/>
      <c r="C14" s="76" t="s">
        <v>465</v>
      </c>
      <c r="D14" s="60"/>
      <c r="F14" s="77"/>
      <c r="G14"/>
      <c r="H14" s="588"/>
      <c r="I14" s="79"/>
      <c r="J14" s="73"/>
      <c r="K14" s="80"/>
      <c r="L14" s="78"/>
      <c r="M14" s="66"/>
      <c r="N14" s="67"/>
      <c r="O14" s="760"/>
      <c r="P14" s="84"/>
      <c r="Q14" s="53"/>
      <c r="R14" s="64"/>
      <c r="S14" s="80"/>
      <c r="T14" s="78"/>
      <c r="U14" s="53"/>
      <c r="V14" s="66"/>
      <c r="X14" s="760"/>
      <c r="Y14" s="84"/>
      <c r="Z14" s="53"/>
      <c r="AA14" s="64"/>
      <c r="AB14" s="80"/>
      <c r="AC14" s="78"/>
      <c r="AD14" s="53"/>
      <c r="AE14" s="66"/>
      <c r="AG14" s="78"/>
      <c r="AH14" s="84"/>
      <c r="AI14" s="53"/>
      <c r="AJ14" s="64"/>
      <c r="AK14" s="80"/>
      <c r="AL14" s="78"/>
      <c r="AM14" s="57"/>
      <c r="AN14" s="999"/>
      <c r="AP14" s="78"/>
      <c r="AQ14" s="84"/>
      <c r="AR14" s="53"/>
      <c r="AS14" s="476"/>
      <c r="AT14" s="80"/>
      <c r="AU14" s="78"/>
      <c r="AV14" s="57"/>
      <c r="AW14" s="999"/>
      <c r="AY14" s="26"/>
      <c r="BA14" s="78"/>
      <c r="BB14" s="84"/>
      <c r="BC14" s="57"/>
      <c r="BD14" s="64"/>
      <c r="BE14" s="80"/>
      <c r="BF14" s="78"/>
      <c r="BG14" s="57"/>
      <c r="BH14" s="999"/>
      <c r="BJ14" s="26"/>
    </row>
    <row r="15" spans="1:62" x14ac:dyDescent="0.35">
      <c r="A15" s="9168"/>
      <c r="B15" s="85"/>
      <c r="C15" s="86" t="s">
        <v>466</v>
      </c>
      <c r="D15" s="87"/>
      <c r="F15" s="88"/>
      <c r="G15"/>
      <c r="H15" s="590">
        <f>SUM(H12:H14)</f>
        <v>658500</v>
      </c>
      <c r="I15" s="90"/>
      <c r="J15" s="91"/>
      <c r="K15" s="80"/>
      <c r="L15" s="89"/>
      <c r="M15" s="92">
        <f>L15*J15</f>
        <v>0</v>
      </c>
      <c r="N15" s="67"/>
      <c r="O15" s="768">
        <f>SUM(O12:O14)</f>
        <v>707800</v>
      </c>
      <c r="P15" s="99">
        <f>SUM(P12:P14)</f>
        <v>523100</v>
      </c>
      <c r="Q15" s="95"/>
      <c r="R15" s="64">
        <f>P15/O15</f>
        <v>0.73905057925967788</v>
      </c>
      <c r="S15" s="80"/>
      <c r="T15" s="89">
        <f>SUM(T12:T14)</f>
        <v>830400</v>
      </c>
      <c r="U15" s="95"/>
      <c r="V15" s="92">
        <f>SUM(V12:V14)</f>
        <v>617818.70971152699</v>
      </c>
      <c r="X15" s="768">
        <f>SUM(X12:X14)</f>
        <v>830400</v>
      </c>
      <c r="Y15" s="99">
        <f>SUM(Y12:Y14)</f>
        <v>617818.70971152699</v>
      </c>
      <c r="Z15" s="95"/>
      <c r="AA15" s="64">
        <f>Y15/X15</f>
        <v>0.74400133635781185</v>
      </c>
      <c r="AB15" s="80"/>
      <c r="AC15" s="89">
        <f>SUM(AC12:AC14)</f>
        <v>786200</v>
      </c>
      <c r="AD15" s="95"/>
      <c r="AE15" s="92">
        <f>SUM(AE12:AE14)</f>
        <v>587858.40098641091</v>
      </c>
      <c r="AG15" s="89">
        <f>SUM(AG12:AG14)</f>
        <v>786200</v>
      </c>
      <c r="AH15" s="99"/>
      <c r="AI15" s="95"/>
      <c r="AJ15" s="64">
        <f>AH15/AG15</f>
        <v>0</v>
      </c>
      <c r="AK15" s="80"/>
      <c r="AL15" s="89">
        <f>SUM(AL12:AL14)</f>
        <v>1035400</v>
      </c>
      <c r="AM15" s="98"/>
      <c r="AN15" s="1002">
        <f>SUM(AN12:AN14)</f>
        <v>821644</v>
      </c>
      <c r="AP15" s="89">
        <f>SUM(AP12:AP14)</f>
        <v>1035400</v>
      </c>
      <c r="AQ15" s="99">
        <f>SUM(AQ12:AQ14)</f>
        <v>821644</v>
      </c>
      <c r="AR15" s="95"/>
      <c r="AS15" s="476">
        <f>AQ15/AP15</f>
        <v>0.79355225033803356</v>
      </c>
      <c r="AT15" s="80"/>
      <c r="AU15" s="89">
        <f>SUM(AU12:AU14)</f>
        <v>1275100</v>
      </c>
      <c r="AV15" s="98" t="s">
        <v>5841</v>
      </c>
      <c r="AW15" s="1002">
        <f>SUM(AW12:AW14)</f>
        <v>1055400</v>
      </c>
      <c r="AY15" s="24"/>
      <c r="BA15" s="89">
        <f>SUM(BA12:BA14)</f>
        <v>1311620</v>
      </c>
      <c r="BB15" s="99">
        <f>SUM(BB12:BB14)</f>
        <v>1152664</v>
      </c>
      <c r="BC15" s="98" t="s">
        <v>5841</v>
      </c>
      <c r="BD15" s="64">
        <f>BB15/BA15</f>
        <v>0.8788094112624083</v>
      </c>
      <c r="BE15" s="80"/>
      <c r="BF15" s="89">
        <f>SUM(BF12:BF14)</f>
        <v>1370400</v>
      </c>
      <c r="BG15" s="98" t="s">
        <v>5841</v>
      </c>
      <c r="BH15" s="1002">
        <f>SUM(BH12:BH14)</f>
        <v>1118800</v>
      </c>
      <c r="BJ15" s="24"/>
    </row>
    <row r="16" spans="1:62" x14ac:dyDescent="0.35">
      <c r="A16" s="9168"/>
      <c r="B16" s="100" t="s">
        <v>468</v>
      </c>
      <c r="C16" s="49"/>
      <c r="D16" s="42"/>
      <c r="E16" s="43"/>
      <c r="F16" s="101"/>
      <c r="G16"/>
      <c r="H16" s="102"/>
      <c r="I16" s="103"/>
      <c r="J16" s="104"/>
      <c r="K16" s="43"/>
      <c r="L16" s="102"/>
      <c r="M16" s="105"/>
      <c r="N16" s="43"/>
      <c r="O16" s="102"/>
      <c r="P16" s="106"/>
      <c r="Q16" s="53"/>
      <c r="R16" s="104"/>
      <c r="S16" s="43"/>
      <c r="T16" s="107"/>
      <c r="U16" s="53"/>
      <c r="V16" s="105"/>
      <c r="W16" s="43"/>
      <c r="X16" s="102"/>
      <c r="Y16" s="106"/>
      <c r="Z16" s="53"/>
      <c r="AA16" s="104"/>
      <c r="AB16" s="43"/>
      <c r="AC16" s="107"/>
      <c r="AD16" s="53"/>
      <c r="AE16" s="105"/>
      <c r="AF16" s="43"/>
      <c r="AG16" s="107"/>
      <c r="AH16" s="106"/>
      <c r="AI16" s="53"/>
      <c r="AJ16" s="104"/>
      <c r="AK16" s="43"/>
      <c r="AL16" s="107" t="s">
        <v>5842</v>
      </c>
      <c r="AM16" s="53"/>
      <c r="AN16" s="105" t="s">
        <v>5162</v>
      </c>
      <c r="AO16" s="43"/>
      <c r="AP16" s="3928" t="s">
        <v>5828</v>
      </c>
      <c r="AQ16" s="1122" t="s">
        <v>5843</v>
      </c>
      <c r="AR16" s="53"/>
      <c r="AS16" s="104"/>
      <c r="AT16" s="43"/>
      <c r="AU16" s="107" t="s">
        <v>4225</v>
      </c>
      <c r="AV16" s="53"/>
      <c r="AW16" s="105"/>
      <c r="AX16" s="43"/>
      <c r="AY16" s="18"/>
      <c r="AZ16" s="43"/>
      <c r="BA16" s="107"/>
      <c r="BB16" s="1122"/>
      <c r="BC16" s="53" t="s">
        <v>5844</v>
      </c>
      <c r="BD16" s="104"/>
      <c r="BE16" s="43"/>
      <c r="BF16" s="107" t="s">
        <v>5845</v>
      </c>
      <c r="BG16" s="53"/>
      <c r="BH16" s="105"/>
      <c r="BI16" s="43"/>
      <c r="BJ16" s="18"/>
    </row>
    <row r="17" spans="1:62" x14ac:dyDescent="0.35">
      <c r="A17" s="9168"/>
      <c r="B17" s="6082"/>
      <c r="C17" s="110" t="s">
        <v>470</v>
      </c>
      <c r="D17" s="60">
        <v>1</v>
      </c>
      <c r="F17" s="111">
        <v>307857</v>
      </c>
      <c r="G17"/>
      <c r="H17" s="593">
        <f>353.1*1000</f>
        <v>353100</v>
      </c>
      <c r="I17" s="113">
        <v>376492</v>
      </c>
      <c r="J17" s="64"/>
      <c r="L17" s="112"/>
      <c r="M17" s="66">
        <f>L17*J17</f>
        <v>0</v>
      </c>
      <c r="O17" s="117">
        <v>376500</v>
      </c>
      <c r="P17" s="115">
        <v>343400</v>
      </c>
      <c r="Q17" s="116"/>
      <c r="R17" s="64">
        <f>P17/O17</f>
        <v>0.91208499335989379</v>
      </c>
      <c r="T17" s="117">
        <v>431400</v>
      </c>
      <c r="U17" s="116"/>
      <c r="V17" s="66">
        <f>T17*R17</f>
        <v>393473.46613545821</v>
      </c>
      <c r="X17" s="117">
        <f>T17</f>
        <v>431400</v>
      </c>
      <c r="Y17" s="115">
        <f>V17</f>
        <v>393473.46613545821</v>
      </c>
      <c r="Z17" s="116"/>
      <c r="AA17" s="64">
        <f>Y17/X17</f>
        <v>0.9120849933598939</v>
      </c>
      <c r="AC17" s="117">
        <v>445900</v>
      </c>
      <c r="AD17" s="116" t="s">
        <v>5846</v>
      </c>
      <c r="AE17" s="66">
        <f>AC17*AA17</f>
        <v>406698.69853917666</v>
      </c>
      <c r="AG17" s="117">
        <v>445900</v>
      </c>
      <c r="AH17" s="115">
        <v>470200</v>
      </c>
      <c r="AI17" s="116"/>
      <c r="AJ17" s="64">
        <f>AH17/AG17</f>
        <v>1.0544965238842789</v>
      </c>
      <c r="AL17" s="117">
        <v>590800</v>
      </c>
      <c r="AM17" s="116" t="s">
        <v>5846</v>
      </c>
      <c r="AN17" s="1780">
        <f>AL17</f>
        <v>590800</v>
      </c>
      <c r="AP17" s="117">
        <v>590800</v>
      </c>
      <c r="AQ17" s="3085">
        <f>AP17*AW17/AU17</f>
        <v>596606.18145563314</v>
      </c>
      <c r="AR17" s="116"/>
      <c r="AS17" s="476">
        <f>AQ17/AP17</f>
        <v>1.0098276598775104</v>
      </c>
      <c r="AU17" s="117">
        <v>702100</v>
      </c>
      <c r="AV17" s="116" t="s">
        <v>5846</v>
      </c>
      <c r="AW17" s="3254">
        <v>709000</v>
      </c>
      <c r="AY17" s="26"/>
      <c r="BA17" s="117">
        <v>702160</v>
      </c>
      <c r="BB17" s="244">
        <f>535750*12/9</f>
        <v>714333.33333333337</v>
      </c>
      <c r="BC17" s="116" t="s">
        <v>5846</v>
      </c>
      <c r="BD17" s="64">
        <f>BB17/BA17</f>
        <v>1.0173369792260074</v>
      </c>
      <c r="BF17" s="117">
        <v>842400</v>
      </c>
      <c r="BG17" s="116" t="s">
        <v>5846</v>
      </c>
      <c r="BH17" s="3254">
        <v>740000</v>
      </c>
      <c r="BJ17" s="26"/>
    </row>
    <row r="18" spans="1:62" x14ac:dyDescent="0.35">
      <c r="A18" s="9168"/>
      <c r="B18" s="6082"/>
      <c r="C18" s="121" t="s">
        <v>630</v>
      </c>
      <c r="D18" s="60"/>
      <c r="F18" s="122">
        <v>47900</v>
      </c>
      <c r="G18"/>
      <c r="H18" s="598">
        <v>70000</v>
      </c>
      <c r="I18" s="123">
        <v>65900</v>
      </c>
      <c r="J18" s="64"/>
      <c r="L18" s="114"/>
      <c r="M18" s="66"/>
      <c r="O18" s="117">
        <v>65900</v>
      </c>
      <c r="P18" s="115">
        <v>51800</v>
      </c>
      <c r="Q18" s="116" t="s">
        <v>5847</v>
      </c>
      <c r="R18" s="64">
        <f>P18/O18</f>
        <v>0.78603945371775419</v>
      </c>
      <c r="T18" s="117">
        <v>51900</v>
      </c>
      <c r="U18" s="116"/>
      <c r="V18" s="66">
        <f>T18*R18</f>
        <v>40795.447647951441</v>
      </c>
      <c r="X18" s="117">
        <f>T18</f>
        <v>51900</v>
      </c>
      <c r="Y18" s="115">
        <f>V18</f>
        <v>40795.447647951441</v>
      </c>
      <c r="Z18" s="116"/>
      <c r="AA18" s="64">
        <f>Y18/X18</f>
        <v>0.78603945371775419</v>
      </c>
      <c r="AC18" s="117">
        <v>70800</v>
      </c>
      <c r="AD18" s="116" t="s">
        <v>5848</v>
      </c>
      <c r="AE18" s="66">
        <f>AC18*AA18</f>
        <v>55651.593323216999</v>
      </c>
      <c r="AG18" s="117">
        <v>70800</v>
      </c>
      <c r="AH18" s="115">
        <v>67000</v>
      </c>
      <c r="AI18" s="116"/>
      <c r="AJ18" s="64">
        <f>AH18/AG18</f>
        <v>0.9463276836158192</v>
      </c>
      <c r="AL18" s="117">
        <v>116100</v>
      </c>
      <c r="AM18" s="116" t="s">
        <v>5849</v>
      </c>
      <c r="AN18" s="66">
        <f>AL18*AJ18</f>
        <v>109868.64406779662</v>
      </c>
      <c r="AP18" s="117">
        <v>116100</v>
      </c>
      <c r="AQ18" s="127">
        <f t="shared" ref="AQ18:AQ19" si="0">AP18*AW18/AU18</f>
        <v>102679.83870967742</v>
      </c>
      <c r="AR18" s="116"/>
      <c r="AS18" s="476">
        <f>AQ18/AP18</f>
        <v>0.88440860215053763</v>
      </c>
      <c r="AU18" s="117">
        <v>148800</v>
      </c>
      <c r="AV18" s="116" t="s">
        <v>5849</v>
      </c>
      <c r="AW18" s="3265">
        <v>131600</v>
      </c>
      <c r="AY18" s="26"/>
      <c r="BA18" s="117">
        <v>148750</v>
      </c>
      <c r="BB18" s="244">
        <f>83010*12/9</f>
        <v>110680</v>
      </c>
      <c r="BC18" s="116" t="s">
        <v>5849</v>
      </c>
      <c r="BD18" s="64">
        <f>BB18/BA18</f>
        <v>0.74406722689075633</v>
      </c>
      <c r="BF18" s="117">
        <v>182400</v>
      </c>
      <c r="BG18" s="116" t="s">
        <v>5850</v>
      </c>
      <c r="BH18" s="3265">
        <v>135300</v>
      </c>
      <c r="BJ18" s="26"/>
    </row>
    <row r="19" spans="1:62" x14ac:dyDescent="0.35">
      <c r="A19" s="9168"/>
      <c r="B19" s="6082"/>
      <c r="C19" s="121" t="s">
        <v>632</v>
      </c>
      <c r="D19" s="60"/>
      <c r="F19" s="122"/>
      <c r="G19"/>
      <c r="H19" s="598">
        <v>235400</v>
      </c>
      <c r="I19" s="123"/>
      <c r="J19" s="64"/>
      <c r="L19" s="114"/>
      <c r="M19" s="66"/>
      <c r="O19" s="117">
        <v>265400</v>
      </c>
      <c r="P19" s="115">
        <v>127900</v>
      </c>
      <c r="Q19" s="53"/>
      <c r="R19" s="64">
        <f>P19/O19</f>
        <v>0.48191409193669932</v>
      </c>
      <c r="T19" s="117">
        <v>347100</v>
      </c>
      <c r="U19" s="53"/>
      <c r="V19" s="66">
        <f>T19*R19</f>
        <v>167272.38131122832</v>
      </c>
      <c r="X19" s="117">
        <f>T19</f>
        <v>347100</v>
      </c>
      <c r="Y19" s="115">
        <f>V19</f>
        <v>167272.38131122832</v>
      </c>
      <c r="Z19" s="53"/>
      <c r="AA19" s="64">
        <f>Y19/X19</f>
        <v>0.48191409193669932</v>
      </c>
      <c r="AC19" s="117">
        <v>324800</v>
      </c>
      <c r="AD19" s="116" t="s">
        <v>5851</v>
      </c>
      <c r="AE19" s="66">
        <f>AC19*AA19</f>
        <v>156525.69706103994</v>
      </c>
      <c r="AG19" s="117">
        <v>324800</v>
      </c>
      <c r="AH19" s="115">
        <v>150000</v>
      </c>
      <c r="AI19" s="53"/>
      <c r="AJ19" s="64">
        <f>AH19/AG19</f>
        <v>0.46182266009852219</v>
      </c>
      <c r="AL19" s="117">
        <v>380500</v>
      </c>
      <c r="AM19" s="116" t="s">
        <v>5839</v>
      </c>
      <c r="AN19" s="66">
        <f>AL19*AJ19</f>
        <v>175723.52216748768</v>
      </c>
      <c r="AP19" s="117">
        <v>380500</v>
      </c>
      <c r="AQ19" s="127">
        <f t="shared" si="0"/>
        <v>214102.97285652737</v>
      </c>
      <c r="AR19" s="53"/>
      <c r="AS19" s="476">
        <f>AQ19/AP19</f>
        <v>0.5626884963377855</v>
      </c>
      <c r="AU19" s="117">
        <v>464200</v>
      </c>
      <c r="AV19" s="116" t="s">
        <v>5839</v>
      </c>
      <c r="AW19" s="3265">
        <v>261200</v>
      </c>
      <c r="AY19" s="26"/>
      <c r="BA19" s="117">
        <v>464120</v>
      </c>
      <c r="BB19" s="244">
        <f>244580*12/9</f>
        <v>326106.66666666669</v>
      </c>
      <c r="BC19" s="116" t="s">
        <v>5852</v>
      </c>
      <c r="BD19" s="64">
        <f>BB19/BA19</f>
        <v>0.70263437616708324</v>
      </c>
      <c r="BF19" s="117">
        <v>394600</v>
      </c>
      <c r="BG19" s="116" t="s">
        <v>5839</v>
      </c>
      <c r="BH19" s="3265">
        <v>283500</v>
      </c>
      <c r="BJ19" s="26"/>
    </row>
    <row r="20" spans="1:62" x14ac:dyDescent="0.35">
      <c r="A20" s="9168"/>
      <c r="B20" s="6082"/>
      <c r="C20" s="121" t="s">
        <v>3967</v>
      </c>
      <c r="D20" s="60"/>
      <c r="F20" s="122"/>
      <c r="H20" s="598"/>
      <c r="I20" s="123"/>
      <c r="J20" s="64"/>
      <c r="L20" s="114"/>
      <c r="M20" s="66">
        <f>L20*J20</f>
        <v>0</v>
      </c>
      <c r="O20" s="114"/>
      <c r="P20" s="123"/>
      <c r="Q20" s="116"/>
      <c r="R20" s="64"/>
      <c r="T20" s="114"/>
      <c r="U20" s="116"/>
      <c r="V20" s="66"/>
      <c r="X20" s="114"/>
      <c r="Y20" s="123"/>
      <c r="Z20" s="116"/>
      <c r="AA20" s="64"/>
      <c r="AC20" s="114"/>
      <c r="AD20" s="116"/>
      <c r="AE20" s="66"/>
      <c r="AG20" s="114"/>
      <c r="AH20" s="123"/>
      <c r="AI20" s="116"/>
      <c r="AJ20" s="64"/>
      <c r="AL20" s="114"/>
      <c r="AM20" s="116"/>
      <c r="AN20" s="66"/>
      <c r="AP20" s="114"/>
      <c r="AQ20" s="127"/>
      <c r="AR20" s="116"/>
      <c r="AS20" s="476"/>
      <c r="AU20" s="114"/>
      <c r="AV20" s="116"/>
      <c r="AW20" s="3265"/>
      <c r="AY20" s="26"/>
      <c r="BA20" s="114"/>
      <c r="BB20" s="244"/>
      <c r="BC20" s="116"/>
      <c r="BD20" s="64"/>
      <c r="BF20" s="114"/>
      <c r="BG20" s="116"/>
      <c r="BH20" s="3265"/>
      <c r="BJ20" s="26"/>
    </row>
    <row r="21" spans="1:62" x14ac:dyDescent="0.35">
      <c r="A21" s="9168"/>
      <c r="B21" s="6082"/>
      <c r="C21" s="121" t="s">
        <v>3285</v>
      </c>
      <c r="D21" s="60"/>
      <c r="F21" s="122"/>
      <c r="H21" s="598"/>
      <c r="I21" s="123"/>
      <c r="J21" s="64"/>
      <c r="L21" s="114"/>
      <c r="M21" s="66"/>
      <c r="O21" s="114"/>
      <c r="P21" s="123"/>
      <c r="Q21" s="127"/>
      <c r="R21" s="64"/>
      <c r="T21" s="114"/>
      <c r="U21" s="116"/>
      <c r="V21" s="66"/>
      <c r="X21" s="114"/>
      <c r="Y21" s="123"/>
      <c r="Z21" s="127"/>
      <c r="AA21" s="64"/>
      <c r="AC21" s="114"/>
      <c r="AD21" s="116"/>
      <c r="AE21" s="66"/>
      <c r="AG21" s="114"/>
      <c r="AH21" s="123"/>
      <c r="AI21" s="127"/>
      <c r="AJ21" s="64"/>
      <c r="AL21" s="114"/>
      <c r="AM21" s="116"/>
      <c r="AN21" s="66"/>
      <c r="AP21" s="114"/>
      <c r="AQ21" s="127"/>
      <c r="AR21" s="127"/>
      <c r="AS21" s="476"/>
      <c r="AU21" s="114"/>
      <c r="AV21" s="116"/>
      <c r="AW21" s="3265"/>
      <c r="AY21" s="26"/>
      <c r="BA21" s="114"/>
      <c r="BB21" s="244"/>
      <c r="BC21" s="116"/>
      <c r="BD21" s="64"/>
      <c r="BF21" s="114"/>
      <c r="BG21" s="116"/>
      <c r="BH21" s="3265"/>
      <c r="BJ21" s="26"/>
    </row>
    <row r="22" spans="1:62" x14ac:dyDescent="0.35">
      <c r="A22" s="9168"/>
      <c r="B22" s="128"/>
      <c r="C22" s="129" t="s">
        <v>479</v>
      </c>
      <c r="D22" s="87"/>
      <c r="F22" s="130"/>
      <c r="H22" s="602">
        <f>SUM(H17:H21)</f>
        <v>658500</v>
      </c>
      <c r="I22" s="132"/>
      <c r="J22" s="133"/>
      <c r="L22" s="131"/>
      <c r="M22" s="92">
        <f>L22*J22</f>
        <v>0</v>
      </c>
      <c r="O22" s="114">
        <f>SUM(O17:O21)</f>
        <v>707800</v>
      </c>
      <c r="P22" s="123">
        <f>SUM(P17:P21)</f>
        <v>523100</v>
      </c>
      <c r="Q22" s="116"/>
      <c r="R22" s="64">
        <f>P22/O22</f>
        <v>0.73905057925967788</v>
      </c>
      <c r="T22" s="131">
        <f>SUM(T17:T21)</f>
        <v>830400</v>
      </c>
      <c r="U22" s="134"/>
      <c r="V22" s="66">
        <f>SUM(V17:V21)</f>
        <v>601541.2950946379</v>
      </c>
      <c r="X22" s="114">
        <f>SUM(X17:X21)</f>
        <v>830400</v>
      </c>
      <c r="Y22" s="123">
        <f>SUM(Y17:Y21)</f>
        <v>601541.2950946379</v>
      </c>
      <c r="Z22" s="116"/>
      <c r="AA22" s="64">
        <f>Y22/X22</f>
        <v>0.72439944014286839</v>
      </c>
      <c r="AC22" s="131">
        <f>SUM(AC17:AC21)</f>
        <v>841500</v>
      </c>
      <c r="AD22" s="134"/>
      <c r="AE22" s="66">
        <f>SUM(AE17:AE21)</f>
        <v>618875.98892343359</v>
      </c>
      <c r="AG22" s="131">
        <f>SUM(AG17:AG21)</f>
        <v>841500</v>
      </c>
      <c r="AH22" s="123">
        <f>SUM(AH17:AH21)</f>
        <v>687200</v>
      </c>
      <c r="AI22" s="116"/>
      <c r="AJ22" s="64">
        <f>AH22/AG22</f>
        <v>0.81663695781342838</v>
      </c>
      <c r="AL22" s="131">
        <f>SUM(AL17:AL21)</f>
        <v>1087400</v>
      </c>
      <c r="AM22" s="134"/>
      <c r="AN22" s="66">
        <f>SUM(AN17:AN21)</f>
        <v>876392.1662352843</v>
      </c>
      <c r="AP22" s="131">
        <f>SUM(AP17:AP21)</f>
        <v>1087400</v>
      </c>
      <c r="AQ22" s="800">
        <f>SUM(AQ17:AQ21)</f>
        <v>913388.9930218379</v>
      </c>
      <c r="AR22" s="116"/>
      <c r="AS22" s="476">
        <f>AQ22/AP22</f>
        <v>0.83997516371329584</v>
      </c>
      <c r="AU22" s="131">
        <f>SUM(AU17:AU21)</f>
        <v>1315100</v>
      </c>
      <c r="AV22" s="134"/>
      <c r="AW22" s="3264">
        <f>SUM(AW17:AW21)</f>
        <v>1101800</v>
      </c>
      <c r="AY22" s="24"/>
      <c r="BA22" s="131">
        <f>SUM(BA17:BA21)</f>
        <v>1315030</v>
      </c>
      <c r="BB22" s="215">
        <f>SUM(BB17:BB21)</f>
        <v>1151120</v>
      </c>
      <c r="BC22" s="134"/>
      <c r="BD22" s="64">
        <f>BB22/BA22</f>
        <v>0.87535645574625676</v>
      </c>
      <c r="BF22" s="131">
        <f>SUM(BF17:BF21)</f>
        <v>1419400</v>
      </c>
      <c r="BG22" s="134"/>
      <c r="BH22" s="3264">
        <f>SUM(BH17:BH21)</f>
        <v>1158800</v>
      </c>
      <c r="BJ22" s="24"/>
    </row>
    <row r="23" spans="1:62" x14ac:dyDescent="0.35">
      <c r="A23" s="9168"/>
      <c r="B23" s="139" t="s">
        <v>480</v>
      </c>
      <c r="C23" s="49"/>
      <c r="D23" s="140"/>
      <c r="E23" s="141"/>
      <c r="F23" s="142"/>
      <c r="G23" s="143"/>
      <c r="H23" s="144"/>
      <c r="I23" s="145"/>
      <c r="J23" s="146"/>
      <c r="K23" s="141"/>
      <c r="L23" s="147"/>
      <c r="M23" s="148"/>
      <c r="N23" s="141"/>
      <c r="O23" s="149"/>
      <c r="P23" s="150"/>
      <c r="Q23" s="145"/>
      <c r="R23" s="146"/>
      <c r="S23" s="141"/>
      <c r="T23" s="4055"/>
      <c r="U23" s="53"/>
      <c r="V23" s="148"/>
      <c r="W23" s="141"/>
      <c r="X23" s="149"/>
      <c r="Y23" s="150"/>
      <c r="Z23" s="145"/>
      <c r="AA23" s="146"/>
      <c r="AB23" s="141"/>
      <c r="AC23" s="4055"/>
      <c r="AD23" s="53"/>
      <c r="AE23" s="148"/>
      <c r="AF23" s="141"/>
      <c r="AG23" s="4055"/>
      <c r="AH23" s="150"/>
      <c r="AI23" s="145"/>
      <c r="AJ23" s="146"/>
      <c r="AK23" s="141"/>
      <c r="AL23" s="4055"/>
      <c r="AM23" s="53"/>
      <c r="AN23" s="148"/>
      <c r="AO23" s="141"/>
      <c r="AP23" s="4055"/>
      <c r="AQ23" s="7495"/>
      <c r="AR23" s="145"/>
      <c r="AS23" s="486"/>
      <c r="AT23" s="141"/>
      <c r="AU23" s="4055"/>
      <c r="AV23" s="53"/>
      <c r="AW23" s="148"/>
      <c r="AX23" s="141"/>
      <c r="AY23" s="18"/>
      <c r="AZ23" s="141"/>
      <c r="BA23" s="4055"/>
      <c r="BB23" s="7495"/>
      <c r="BC23" s="53" t="s">
        <v>5844</v>
      </c>
      <c r="BD23" s="146"/>
      <c r="BE23" s="141"/>
      <c r="BF23" s="4055" t="s">
        <v>5853</v>
      </c>
      <c r="BG23" s="53"/>
      <c r="BH23" s="148"/>
      <c r="BI23" s="141"/>
      <c r="BJ23" s="18"/>
    </row>
    <row r="24" spans="1:62" x14ac:dyDescent="0.35">
      <c r="A24" s="9168"/>
      <c r="B24" s="6082"/>
      <c r="C24" s="110" t="s">
        <v>5854</v>
      </c>
      <c r="D24" s="60"/>
      <c r="F24" s="155"/>
      <c r="H24" s="595">
        <v>155500</v>
      </c>
      <c r="I24" s="115"/>
      <c r="J24" s="64"/>
      <c r="L24" s="156"/>
      <c r="M24" s="157">
        <f>L24*J24</f>
        <v>0</v>
      </c>
      <c r="O24" s="117">
        <v>184500</v>
      </c>
      <c r="P24" s="115">
        <v>182600</v>
      </c>
      <c r="Q24" s="116"/>
      <c r="R24" s="64">
        <f>P24/O24</f>
        <v>0.98970189701897016</v>
      </c>
      <c r="T24" s="156">
        <v>205800</v>
      </c>
      <c r="U24" s="119"/>
      <c r="V24" s="66">
        <f>T24*R24</f>
        <v>203680.65040650405</v>
      </c>
      <c r="X24" s="117">
        <f>T24</f>
        <v>205800</v>
      </c>
      <c r="Y24" s="115">
        <f>V24</f>
        <v>203680.65040650405</v>
      </c>
      <c r="Z24" s="116"/>
      <c r="AA24" s="64">
        <f>Y24/X24</f>
        <v>0.98970189701897016</v>
      </c>
      <c r="AC24" s="156">
        <f>223800+26700</f>
        <v>250500</v>
      </c>
      <c r="AD24" s="119" t="s">
        <v>5855</v>
      </c>
      <c r="AE24" s="66">
        <f>AC24*AA24</f>
        <v>247920.32520325202</v>
      </c>
      <c r="AG24" s="156">
        <f>223800+26700</f>
        <v>250500</v>
      </c>
      <c r="AH24" s="115">
        <f>223800+26700</f>
        <v>250500</v>
      </c>
      <c r="AI24" s="116" t="s">
        <v>5856</v>
      </c>
      <c r="AJ24" s="64">
        <f>AH24/AG24</f>
        <v>1</v>
      </c>
      <c r="AL24" s="156">
        <f>295600+30300</f>
        <v>325900</v>
      </c>
      <c r="AM24" s="119" t="s">
        <v>5856</v>
      </c>
      <c r="AN24" s="66">
        <f>AL24*AJ24</f>
        <v>325900</v>
      </c>
      <c r="AP24" s="156">
        <f>295600+30300</f>
        <v>325900</v>
      </c>
      <c r="AQ24" s="127">
        <f t="shared" ref="AQ24:AQ25" si="1">AP24*AW24/AU24</f>
        <v>329958.04921434924</v>
      </c>
      <c r="AR24" s="116" t="s">
        <v>5856</v>
      </c>
      <c r="AS24" s="476">
        <f>AQ24/AP24</f>
        <v>1.012451823302698</v>
      </c>
      <c r="AU24" s="156">
        <f>293800+43500</f>
        <v>337300</v>
      </c>
      <c r="AV24" s="119" t="s">
        <v>5856</v>
      </c>
      <c r="AW24" s="1034">
        <f>232200+109300</f>
        <v>341500</v>
      </c>
      <c r="AY24" s="26"/>
      <c r="BA24" s="156">
        <v>232540</v>
      </c>
      <c r="BB24" s="244">
        <f>169720*12/9</f>
        <v>226293.33333333334</v>
      </c>
      <c r="BC24" s="119" t="s">
        <v>5856</v>
      </c>
      <c r="BD24" s="64">
        <f>BB24/BA24</f>
        <v>0.97313723803790031</v>
      </c>
      <c r="BF24" s="156">
        <v>301500</v>
      </c>
      <c r="BG24" s="119" t="s">
        <v>5856</v>
      </c>
      <c r="BH24" s="1034">
        <v>248300</v>
      </c>
      <c r="BJ24" s="26"/>
    </row>
    <row r="25" spans="1:62" x14ac:dyDescent="0.35">
      <c r="A25" s="9168"/>
      <c r="B25" s="6082"/>
      <c r="C25" s="110" t="s">
        <v>489</v>
      </c>
      <c r="D25" s="60"/>
      <c r="F25" s="155"/>
      <c r="H25" s="117"/>
      <c r="I25" s="115"/>
      <c r="J25" s="64"/>
      <c r="L25" s="156"/>
      <c r="M25" s="157">
        <f>L25*J25</f>
        <v>0</v>
      </c>
      <c r="O25" s="117"/>
      <c r="P25" s="115"/>
      <c r="Q25" s="116"/>
      <c r="R25" s="64"/>
      <c r="T25" s="156"/>
      <c r="U25" s="116"/>
      <c r="V25" s="66"/>
      <c r="X25" s="117"/>
      <c r="Y25" s="115"/>
      <c r="Z25" s="116"/>
      <c r="AA25" s="64"/>
      <c r="AC25" s="156"/>
      <c r="AD25" s="116"/>
      <c r="AE25" s="66"/>
      <c r="AG25" s="156"/>
      <c r="AH25" s="115"/>
      <c r="AI25" s="116"/>
      <c r="AJ25" s="64"/>
      <c r="AL25" s="156"/>
      <c r="AM25" s="116"/>
      <c r="AN25" s="66"/>
      <c r="AP25" s="156">
        <f>295600</f>
        <v>295600</v>
      </c>
      <c r="AQ25" s="127">
        <f t="shared" si="1"/>
        <v>233622.60040844113</v>
      </c>
      <c r="AR25" s="116"/>
      <c r="AS25" s="476"/>
      <c r="AU25" s="156">
        <v>293800</v>
      </c>
      <c r="AV25" s="116"/>
      <c r="AW25" s="273">
        <v>232200</v>
      </c>
      <c r="AY25" s="26"/>
      <c r="BA25" s="156"/>
      <c r="BB25" s="244"/>
      <c r="BC25" s="116"/>
      <c r="BD25" s="64"/>
      <c r="BF25" s="156"/>
      <c r="BG25" s="116"/>
      <c r="BH25" s="273"/>
      <c r="BJ25" s="26"/>
    </row>
    <row r="26" spans="1:62" x14ac:dyDescent="0.35">
      <c r="A26" s="9168"/>
      <c r="B26" s="6082"/>
      <c r="C26" s="110" t="s">
        <v>490</v>
      </c>
      <c r="D26" s="60"/>
      <c r="F26" s="155"/>
      <c r="H26" s="117"/>
      <c r="I26" s="115"/>
      <c r="J26" s="64"/>
      <c r="L26" s="156"/>
      <c r="M26" s="157">
        <f>L26*J26</f>
        <v>0</v>
      </c>
      <c r="O26" s="117"/>
      <c r="P26" s="115"/>
      <c r="Q26" s="116"/>
      <c r="R26" s="64"/>
      <c r="T26" s="159"/>
      <c r="U26" s="116"/>
      <c r="V26" s="66"/>
      <c r="X26" s="117"/>
      <c r="Y26" s="115"/>
      <c r="Z26" s="116"/>
      <c r="AA26" s="64"/>
      <c r="AC26" s="159"/>
      <c r="AD26" s="116"/>
      <c r="AE26" s="66"/>
      <c r="AG26" s="159"/>
      <c r="AH26" s="115"/>
      <c r="AI26" s="116"/>
      <c r="AJ26" s="64"/>
      <c r="AL26" s="159"/>
      <c r="AM26" s="116"/>
      <c r="AN26" s="66"/>
      <c r="AP26" s="159"/>
      <c r="AQ26" s="127"/>
      <c r="AR26" s="116"/>
      <c r="AS26" s="476"/>
      <c r="AU26" s="159"/>
      <c r="AV26" s="116"/>
      <c r="AW26" s="273"/>
      <c r="AY26" s="26"/>
      <c r="BA26" s="159"/>
      <c r="BB26" s="244"/>
      <c r="BC26" s="116"/>
      <c r="BD26" s="64"/>
      <c r="BF26" s="159"/>
      <c r="BG26" s="116"/>
      <c r="BH26" s="273"/>
      <c r="BJ26" s="26"/>
    </row>
    <row r="27" spans="1:62" x14ac:dyDescent="0.35">
      <c r="A27" s="9168"/>
      <c r="B27" s="6082"/>
      <c r="C27" s="161" t="s">
        <v>5857</v>
      </c>
      <c r="D27" s="162"/>
      <c r="F27" s="163"/>
      <c r="H27" s="164"/>
      <c r="I27" s="165"/>
      <c r="J27" s="64"/>
      <c r="L27" s="166"/>
      <c r="M27" s="157">
        <f>L27*J27</f>
        <v>0</v>
      </c>
      <c r="O27" s="164"/>
      <c r="P27" s="165"/>
      <c r="Q27" s="106"/>
      <c r="R27" s="64"/>
      <c r="T27" s="156"/>
      <c r="U27" s="106"/>
      <c r="V27" s="3031"/>
      <c r="X27" s="164"/>
      <c r="Y27" s="165"/>
      <c r="Z27" s="106"/>
      <c r="AA27" s="64"/>
      <c r="AC27" s="156"/>
      <c r="AD27" s="106"/>
      <c r="AE27" s="3031"/>
      <c r="AG27" s="156"/>
      <c r="AH27" s="165"/>
      <c r="AI27" s="106"/>
      <c r="AJ27" s="64"/>
      <c r="AL27" s="156"/>
      <c r="AM27" s="106"/>
      <c r="AN27" s="3031"/>
      <c r="AP27" s="156"/>
      <c r="AQ27" s="789"/>
      <c r="AR27" s="106"/>
      <c r="AS27" s="476"/>
      <c r="AU27" s="156"/>
      <c r="AV27" s="106"/>
      <c r="AW27" s="276"/>
      <c r="AY27" s="26"/>
      <c r="BA27" s="156"/>
      <c r="BB27" s="244"/>
      <c r="BC27" s="106"/>
      <c r="BD27" s="64"/>
      <c r="BF27" s="156"/>
      <c r="BG27" s="106"/>
      <c r="BH27" s="276"/>
      <c r="BJ27" s="26"/>
    </row>
    <row r="28" spans="1:62" x14ac:dyDescent="0.35">
      <c r="A28" s="9168"/>
      <c r="B28" s="128"/>
      <c r="C28" s="129" t="s">
        <v>499</v>
      </c>
      <c r="D28" s="87">
        <v>2</v>
      </c>
      <c r="F28" s="169"/>
      <c r="G28" s="170"/>
      <c r="H28" s="171"/>
      <c r="I28" s="172"/>
      <c r="J28" s="173"/>
      <c r="K28" s="170"/>
      <c r="L28" s="174"/>
      <c r="M28" s="175">
        <f>$F28</f>
        <v>0</v>
      </c>
      <c r="N28" s="176"/>
      <c r="O28" s="171"/>
      <c r="P28" s="177"/>
      <c r="Q28" s="177"/>
      <c r="R28" s="173"/>
      <c r="S28" s="170"/>
      <c r="T28" s="174"/>
      <c r="U28" s="177"/>
      <c r="V28" s="175"/>
      <c r="W28" s="176"/>
      <c r="X28" s="171"/>
      <c r="Y28" s="177"/>
      <c r="Z28" s="177"/>
      <c r="AA28" s="173"/>
      <c r="AB28" s="170"/>
      <c r="AC28" s="174"/>
      <c r="AD28" s="177"/>
      <c r="AE28" s="175"/>
      <c r="AF28" s="176"/>
      <c r="AG28" s="174"/>
      <c r="AH28" s="177"/>
      <c r="AI28" s="177"/>
      <c r="AJ28" s="173"/>
      <c r="AK28" s="170"/>
      <c r="AL28" s="174"/>
      <c r="AM28" s="177"/>
      <c r="AN28" s="175"/>
      <c r="AO28" s="176"/>
      <c r="AP28" s="495"/>
      <c r="AQ28" s="497"/>
      <c r="AR28" s="497"/>
      <c r="AS28" s="494"/>
      <c r="AT28" s="170"/>
      <c r="AU28" s="495"/>
      <c r="AV28" s="497"/>
      <c r="AW28" s="496"/>
      <c r="AX28" s="176"/>
      <c r="AY28" s="24"/>
      <c r="AZ28" s="176"/>
      <c r="BA28" s="174"/>
      <c r="BB28" s="177"/>
      <c r="BC28" s="177"/>
      <c r="BD28" s="173"/>
      <c r="BE28" s="170"/>
      <c r="BF28" s="174"/>
      <c r="BG28" s="177"/>
      <c r="BH28" s="175"/>
      <c r="BI28" s="176"/>
      <c r="BJ28" s="24"/>
    </row>
    <row r="29" spans="1:62" x14ac:dyDescent="0.35">
      <c r="A29" s="9168"/>
      <c r="B29" s="139" t="s">
        <v>552</v>
      </c>
      <c r="C29" s="49"/>
      <c r="D29" s="184"/>
      <c r="F29" s="185"/>
      <c r="H29" s="186"/>
      <c r="I29" s="187"/>
      <c r="J29" s="188"/>
      <c r="L29" s="186"/>
      <c r="M29" s="148">
        <f>L29*J29</f>
        <v>0</v>
      </c>
      <c r="O29" s="189"/>
      <c r="P29" s="190"/>
      <c r="Q29" s="190"/>
      <c r="R29" s="191"/>
      <c r="S29" s="170"/>
      <c r="T29" s="192"/>
      <c r="U29" s="190"/>
      <c r="V29" s="616"/>
      <c r="X29" s="189"/>
      <c r="Y29" s="190"/>
      <c r="Z29" s="190"/>
      <c r="AA29" s="191"/>
      <c r="AB29" s="170"/>
      <c r="AC29" s="192"/>
      <c r="AD29" s="190"/>
      <c r="AE29" s="616"/>
      <c r="AG29" s="192"/>
      <c r="AH29" s="190"/>
      <c r="AI29" s="190"/>
      <c r="AJ29" s="191"/>
      <c r="AK29" s="170"/>
      <c r="AL29" s="192"/>
      <c r="AM29" s="190"/>
      <c r="AN29" s="616"/>
      <c r="AP29" s="3364"/>
      <c r="AQ29" s="839"/>
      <c r="AR29" s="839"/>
      <c r="AS29" s="840"/>
      <c r="AT29" s="170"/>
      <c r="AU29" s="3364"/>
      <c r="AV29" s="839"/>
      <c r="AW29" s="3482"/>
      <c r="AY29" s="195"/>
      <c r="BA29" s="192"/>
      <c r="BB29" s="190"/>
      <c r="BC29" s="190"/>
      <c r="BD29" s="191"/>
      <c r="BE29" s="170"/>
      <c r="BF29" s="192"/>
      <c r="BG29" s="190"/>
      <c r="BH29" s="616"/>
      <c r="BJ29" s="195"/>
    </row>
    <row r="30" spans="1:62" x14ac:dyDescent="0.35">
      <c r="A30" s="9168"/>
      <c r="B30" s="196"/>
      <c r="C30" s="121" t="s">
        <v>470</v>
      </c>
      <c r="D30" s="197"/>
      <c r="F30" s="122"/>
      <c r="H30" s="198"/>
      <c r="I30" s="199"/>
      <c r="J30" s="64"/>
      <c r="L30" s="198"/>
      <c r="M30" s="157"/>
      <c r="O30" s="200"/>
      <c r="P30" s="201"/>
      <c r="Q30" s="202"/>
      <c r="R30" s="203"/>
      <c r="S30" s="170"/>
      <c r="T30" s="117"/>
      <c r="U30" s="202"/>
      <c r="V30" s="3031"/>
      <c r="X30" s="200"/>
      <c r="Y30" s="201"/>
      <c r="Z30" s="202"/>
      <c r="AA30" s="203"/>
      <c r="AB30" s="170"/>
      <c r="AC30" s="117"/>
      <c r="AD30" s="202"/>
      <c r="AE30" s="3031"/>
      <c r="AG30" s="117"/>
      <c r="AH30" s="201"/>
      <c r="AI30" s="202"/>
      <c r="AJ30" s="203"/>
      <c r="AK30" s="170"/>
      <c r="AL30" s="117"/>
      <c r="AM30" s="202"/>
      <c r="AN30" s="3031"/>
      <c r="AP30" s="117"/>
      <c r="AQ30" s="201"/>
      <c r="AR30" s="834"/>
      <c r="AS30" s="835"/>
      <c r="AT30" s="170"/>
      <c r="AU30" s="117"/>
      <c r="AV30" s="834"/>
      <c r="AW30" s="273"/>
      <c r="AY30" s="206"/>
      <c r="BA30" s="117"/>
      <c r="BB30" s="201"/>
      <c r="BC30" s="202"/>
      <c r="BD30" s="203"/>
      <c r="BE30" s="170"/>
      <c r="BF30" s="117"/>
      <c r="BG30" s="202"/>
      <c r="BH30" s="273"/>
      <c r="BJ30" s="206"/>
    </row>
    <row r="31" spans="1:62" x14ac:dyDescent="0.35">
      <c r="A31" s="9169"/>
      <c r="B31" s="207"/>
      <c r="C31" s="208" t="s">
        <v>1116</v>
      </c>
      <c r="D31" s="209"/>
      <c r="F31" s="210"/>
      <c r="H31" s="211"/>
      <c r="I31" s="212"/>
      <c r="J31" s="133"/>
      <c r="L31" s="211"/>
      <c r="M31" s="213"/>
      <c r="O31" s="214"/>
      <c r="P31" s="215"/>
      <c r="Q31" s="216"/>
      <c r="R31" s="133"/>
      <c r="T31" s="217"/>
      <c r="U31" s="216"/>
      <c r="V31" s="175"/>
      <c r="X31" s="214"/>
      <c r="Y31" s="215"/>
      <c r="Z31" s="216"/>
      <c r="AA31" s="133"/>
      <c r="AC31" s="217"/>
      <c r="AD31" s="216"/>
      <c r="AE31" s="175"/>
      <c r="AG31" s="217"/>
      <c r="AH31" s="215"/>
      <c r="AI31" s="216"/>
      <c r="AJ31" s="133"/>
      <c r="AL31" s="217"/>
      <c r="AM31" s="216"/>
      <c r="AN31" s="175"/>
      <c r="AP31" s="217"/>
      <c r="AQ31" s="215"/>
      <c r="AR31" s="216"/>
      <c r="AS31" s="484"/>
      <c r="AU31" s="217"/>
      <c r="AV31" s="216"/>
      <c r="AW31" s="7496"/>
      <c r="AY31" s="219"/>
      <c r="BA31" s="217"/>
      <c r="BB31" s="215"/>
      <c r="BC31" s="216"/>
      <c r="BD31" s="133"/>
      <c r="BF31" s="217"/>
      <c r="BG31" s="216"/>
      <c r="BH31" s="7496"/>
      <c r="BJ31" s="219"/>
    </row>
    <row r="32" spans="1:62" x14ac:dyDescent="0.35">
      <c r="A32" s="220"/>
      <c r="B32" s="220"/>
      <c r="F32" s="106"/>
      <c r="H32" s="106"/>
      <c r="I32" s="106"/>
      <c r="J32" s="221"/>
      <c r="L32" s="106"/>
      <c r="O32" s="106"/>
      <c r="P32" s="106"/>
      <c r="Q32" s="106"/>
      <c r="R32" s="221"/>
      <c r="T32" s="106"/>
      <c r="U32" s="106"/>
      <c r="X32" s="106"/>
      <c r="Y32" s="106"/>
      <c r="Z32" s="106"/>
      <c r="AA32" s="221"/>
      <c r="AC32" s="106"/>
      <c r="AD32" s="106"/>
      <c r="AG32" s="106"/>
      <c r="AH32" s="106"/>
      <c r="AI32" s="106"/>
      <c r="AJ32" s="221"/>
      <c r="AL32" s="106"/>
      <c r="AM32" s="106"/>
      <c r="AP32" s="106"/>
      <c r="AQ32" s="106"/>
      <c r="AR32" s="106"/>
      <c r="AS32" s="221"/>
      <c r="AU32" s="106"/>
      <c r="AV32" s="106"/>
      <c r="BA32" s="106"/>
      <c r="BB32" s="106"/>
      <c r="BC32" s="106"/>
      <c r="BD32" s="221"/>
      <c r="BF32" s="106"/>
      <c r="BG32" s="106"/>
    </row>
    <row r="33" spans="1:62" ht="27.75" customHeight="1" x14ac:dyDescent="0.35">
      <c r="A33" s="9167" t="s">
        <v>503</v>
      </c>
      <c r="B33" s="27"/>
      <c r="C33" s="28" t="s">
        <v>427</v>
      </c>
      <c r="D33" s="42" t="s">
        <v>428</v>
      </c>
      <c r="E33" s="30"/>
      <c r="F33" s="222"/>
      <c r="G33" s="223"/>
      <c r="H33" s="222" t="s">
        <v>5858</v>
      </c>
      <c r="I33" s="222"/>
      <c r="J33" s="224"/>
      <c r="K33" s="223"/>
      <c r="L33" s="31"/>
      <c r="M33" s="36" t="s">
        <v>5859</v>
      </c>
      <c r="N33" s="30"/>
      <c r="O33" s="8339" t="s">
        <v>5860</v>
      </c>
      <c r="P33" s="8340"/>
      <c r="Q33" s="35" t="s">
        <v>5861</v>
      </c>
      <c r="R33" s="224"/>
      <c r="S33" s="223"/>
      <c r="T33" s="8339" t="s">
        <v>5862</v>
      </c>
      <c r="U33" s="225" t="s">
        <v>5863</v>
      </c>
      <c r="V33" s="226" t="s">
        <v>5864</v>
      </c>
      <c r="W33" s="30"/>
      <c r="X33" s="9548" t="s">
        <v>5862</v>
      </c>
      <c r="Y33" s="9549"/>
      <c r="Z33" s="35" t="s">
        <v>5863</v>
      </c>
      <c r="AA33" s="224"/>
      <c r="AB33" s="223"/>
      <c r="AC33" s="8339" t="s">
        <v>5862</v>
      </c>
      <c r="AD33" s="225" t="s">
        <v>5863</v>
      </c>
      <c r="AE33" s="226" t="s">
        <v>5864</v>
      </c>
      <c r="AF33" s="30"/>
      <c r="AG33" s="8339" t="s">
        <v>5862</v>
      </c>
      <c r="AH33" s="38"/>
      <c r="AI33" s="35" t="s">
        <v>5863</v>
      </c>
      <c r="AJ33" s="224"/>
      <c r="AK33" s="223"/>
      <c r="AL33" s="8339" t="s">
        <v>5865</v>
      </c>
      <c r="AM33" s="4126" t="s">
        <v>5866</v>
      </c>
      <c r="AN33" s="226"/>
      <c r="AO33" s="30"/>
      <c r="AP33" s="9548" t="s">
        <v>5867</v>
      </c>
      <c r="AQ33" s="9549"/>
      <c r="AR33" s="7497" t="s">
        <v>5866</v>
      </c>
      <c r="AS33" s="224"/>
      <c r="AT33" s="223"/>
      <c r="AU33" s="8339" t="s">
        <v>5867</v>
      </c>
      <c r="AV33" s="7497" t="s">
        <v>5866</v>
      </c>
      <c r="AW33" s="7498" t="s">
        <v>865</v>
      </c>
      <c r="AX33" s="30"/>
      <c r="AY33" s="39"/>
      <c r="AZ33" s="30"/>
      <c r="BA33" s="8339" t="s">
        <v>5867</v>
      </c>
      <c r="BB33" s="8308" t="s">
        <v>5868</v>
      </c>
      <c r="BC33" s="4126" t="s">
        <v>5866</v>
      </c>
      <c r="BD33" s="224"/>
      <c r="BE33" s="223"/>
      <c r="BF33" s="8339" t="s">
        <v>5869</v>
      </c>
      <c r="BG33" s="4126" t="s">
        <v>5866</v>
      </c>
      <c r="BH33" s="226" t="s">
        <v>5870</v>
      </c>
      <c r="BI33" s="30"/>
      <c r="BJ33" s="39"/>
    </row>
    <row r="34" spans="1:62" x14ac:dyDescent="0.35">
      <c r="A34" s="9168"/>
      <c r="B34" s="141" t="s">
        <v>514</v>
      </c>
      <c r="C34"/>
      <c r="D34" s="140"/>
      <c r="E34" s="143"/>
      <c r="F34" s="227"/>
      <c r="G34" s="143"/>
      <c r="H34" s="102" t="s">
        <v>5871</v>
      </c>
      <c r="I34" s="231" t="s">
        <v>5872</v>
      </c>
      <c r="J34" s="228"/>
      <c r="K34" s="143"/>
      <c r="L34" s="102"/>
      <c r="M34" s="229"/>
      <c r="N34" s="143"/>
      <c r="O34" s="230"/>
      <c r="P34" s="103"/>
      <c r="Q34" s="53"/>
      <c r="R34" s="228"/>
      <c r="S34" s="143"/>
      <c r="T34" s="230"/>
      <c r="U34" s="53"/>
      <c r="V34" s="49"/>
      <c r="W34" s="143"/>
      <c r="X34" s="230"/>
      <c r="Y34" s="103"/>
      <c r="Z34" s="53"/>
      <c r="AA34" s="228"/>
      <c r="AB34" s="143"/>
      <c r="AC34" s="230"/>
      <c r="AD34" s="53"/>
      <c r="AE34" s="49"/>
      <c r="AF34" s="143"/>
      <c r="AG34" s="230"/>
      <c r="AH34" s="103" t="s">
        <v>5162</v>
      </c>
      <c r="AI34" s="53"/>
      <c r="AJ34" s="228"/>
      <c r="AK34" s="143"/>
      <c r="AL34" s="230" t="s">
        <v>5873</v>
      </c>
      <c r="AM34" s="53"/>
      <c r="AN34" s="49" t="s">
        <v>5874</v>
      </c>
      <c r="AO34" s="143"/>
      <c r="AP34" s="230" t="s">
        <v>5875</v>
      </c>
      <c r="AQ34" s="49" t="s">
        <v>5876</v>
      </c>
      <c r="AR34" s="53"/>
      <c r="AS34" s="228"/>
      <c r="AT34" s="143"/>
      <c r="AU34" s="9545" t="s">
        <v>5877</v>
      </c>
      <c r="AV34" s="9546"/>
      <c r="AW34" s="9547"/>
      <c r="AX34" s="143"/>
      <c r="AY34" s="18"/>
      <c r="AZ34" s="143"/>
      <c r="BA34" s="9545"/>
      <c r="BB34" s="9546"/>
      <c r="BC34" s="9547"/>
      <c r="BD34" s="228"/>
      <c r="BE34" s="143"/>
      <c r="BF34" s="9545"/>
      <c r="BG34" s="9546"/>
      <c r="BH34" s="9547"/>
      <c r="BI34" s="143"/>
      <c r="BJ34" s="18"/>
    </row>
    <row r="35" spans="1:62" x14ac:dyDescent="0.35">
      <c r="A35" s="9168"/>
      <c r="B35" s="232"/>
      <c r="C35" s="232" t="s">
        <v>5878</v>
      </c>
      <c r="D35" s="60"/>
      <c r="F35" s="111"/>
      <c r="H35" s="112"/>
      <c r="I35" s="113"/>
      <c r="J35" s="64"/>
      <c r="L35" s="112"/>
      <c r="M35" s="157">
        <f>L35*J35</f>
        <v>0</v>
      </c>
      <c r="O35" s="112"/>
      <c r="P35" s="233"/>
      <c r="R35" s="234"/>
      <c r="S35" s="235"/>
      <c r="T35" s="112"/>
      <c r="U35" s="70"/>
      <c r="V35" s="66"/>
      <c r="X35" s="112"/>
      <c r="Y35" s="233"/>
      <c r="AA35" s="234"/>
      <c r="AB35" s="235"/>
      <c r="AC35" s="112"/>
      <c r="AD35" s="70"/>
      <c r="AE35" s="66"/>
      <c r="AG35" s="112"/>
      <c r="AH35" s="920"/>
      <c r="AJ35" s="234"/>
      <c r="AK35" s="235"/>
      <c r="AL35" s="112"/>
      <c r="AM35" s="70" t="s">
        <v>5879</v>
      </c>
      <c r="AN35" s="1034"/>
      <c r="AP35" s="112"/>
      <c r="AQ35" s="1034"/>
      <c r="AR35" s="70" t="s">
        <v>5880</v>
      </c>
      <c r="AS35" s="543"/>
      <c r="AT35" s="235"/>
      <c r="AU35" s="112"/>
      <c r="AV35" s="70"/>
      <c r="AW35" s="66"/>
      <c r="AY35" s="26"/>
      <c r="BA35" s="112"/>
      <c r="BB35" s="1034"/>
      <c r="BC35" s="70"/>
      <c r="BD35" s="234"/>
      <c r="BE35" s="235"/>
      <c r="BF35" s="112"/>
      <c r="BG35" s="70"/>
      <c r="BH35" s="1034"/>
      <c r="BJ35" s="26"/>
    </row>
    <row r="36" spans="1:62" x14ac:dyDescent="0.35">
      <c r="A36" s="9168"/>
      <c r="B36" s="232"/>
      <c r="C36" s="238" t="s">
        <v>11</v>
      </c>
      <c r="D36" s="60"/>
      <c r="F36" s="111">
        <v>71050</v>
      </c>
      <c r="H36" s="112">
        <v>80200</v>
      </c>
      <c r="I36" s="636">
        <f>67124.582403*12/11</f>
        <v>73226.817166909095</v>
      </c>
      <c r="J36" s="64"/>
      <c r="L36" s="112"/>
      <c r="M36" s="157"/>
      <c r="O36" s="112">
        <v>86201.5</v>
      </c>
      <c r="P36" s="233"/>
      <c r="Q36" s="57" t="s">
        <v>5881</v>
      </c>
      <c r="R36" s="64"/>
      <c r="S36" s="235"/>
      <c r="T36" s="112">
        <f>66381.8+12466.22+17969.88</f>
        <v>96817.900000000009</v>
      </c>
      <c r="U36" s="57" t="s">
        <v>5882</v>
      </c>
      <c r="V36" s="1780">
        <f>(61485.025+5091.962+11959.777)*12/11</f>
        <v>85676.469818181824</v>
      </c>
      <c r="X36" s="112">
        <f>T36</f>
        <v>96817.900000000009</v>
      </c>
      <c r="Y36" s="233">
        <f>V36</f>
        <v>85676.469818181824</v>
      </c>
      <c r="Z36" s="57" t="s">
        <v>5882</v>
      </c>
      <c r="AA36" s="64">
        <f>Y36/X36</f>
        <v>0.88492386034175308</v>
      </c>
      <c r="AB36" s="235"/>
      <c r="AC36" s="112">
        <v>92957</v>
      </c>
      <c r="AD36" s="57" t="s">
        <v>5883</v>
      </c>
      <c r="AE36" s="66">
        <f>AC36*AA36</f>
        <v>82259.867285788336</v>
      </c>
      <c r="AG36" s="112">
        <v>92957</v>
      </c>
      <c r="AH36" s="920">
        <f>AE36</f>
        <v>82259.867285788336</v>
      </c>
      <c r="AI36" s="57" t="s">
        <v>5882</v>
      </c>
      <c r="AJ36" s="64">
        <f>AH36/AG36</f>
        <v>0.88492386034175308</v>
      </c>
      <c r="AK36" s="235"/>
      <c r="AL36" s="112">
        <f>197290.176-AL37-AL38</f>
        <v>136812.20000000001</v>
      </c>
      <c r="AM36" s="57"/>
      <c r="AN36" s="1034">
        <f>146029.587835-AN37-AN38</f>
        <v>120530.68929645457</v>
      </c>
      <c r="AP36" s="112">
        <f>197290.176-AP37-AP38</f>
        <v>136812.20000000001</v>
      </c>
      <c r="AQ36" s="1034">
        <f>146029.587835*12/10-AQ37-AQ38</f>
        <v>147186.71700959999</v>
      </c>
      <c r="AR36" s="57"/>
      <c r="AS36" s="476">
        <f>AQ36/AP36</f>
        <v>1.0758303499951025</v>
      </c>
      <c r="AT36" s="235"/>
      <c r="AU36" s="112">
        <f>57185.099+38979.201</f>
        <v>96164.3</v>
      </c>
      <c r="AV36" s="57"/>
      <c r="AW36" s="66">
        <f>AU36*AS36</f>
        <v>103456.47252603403</v>
      </c>
      <c r="AY36" s="26"/>
      <c r="BA36" s="112">
        <f>57185.099+38979.201</f>
        <v>96164.3</v>
      </c>
      <c r="BB36" s="8309"/>
      <c r="BC36" s="57"/>
      <c r="BD36" s="64">
        <f>BB36/BA36</f>
        <v>0</v>
      </c>
      <c r="BE36" s="235"/>
      <c r="BF36" s="112">
        <f>178917.149-BF37-BF38</f>
        <v>105543.10100000001</v>
      </c>
      <c r="BG36" s="57" t="s">
        <v>5884</v>
      </c>
      <c r="BH36" s="1034">
        <f>115519.162374*12/10-BH37-BH38</f>
        <v>100076.09713559999</v>
      </c>
      <c r="BJ36" s="26"/>
    </row>
    <row r="37" spans="1:62" x14ac:dyDescent="0.35">
      <c r="A37" s="9168"/>
      <c r="B37" s="232"/>
      <c r="C37" s="238" t="s">
        <v>5885</v>
      </c>
      <c r="D37" s="60"/>
      <c r="F37" s="111">
        <v>5100</v>
      </c>
      <c r="H37" s="112">
        <v>5350</v>
      </c>
      <c r="I37" s="4125">
        <f>H37</f>
        <v>5350</v>
      </c>
      <c r="J37" s="64"/>
      <c r="L37" s="112"/>
      <c r="M37" s="157"/>
      <c r="O37" s="112">
        <v>3300</v>
      </c>
      <c r="P37" s="201"/>
      <c r="Q37" s="106"/>
      <c r="R37" s="64"/>
      <c r="S37" s="235"/>
      <c r="T37" s="112">
        <v>2900</v>
      </c>
      <c r="U37" s="57" t="s">
        <v>5886</v>
      </c>
      <c r="V37" s="1780">
        <f>120*12/11</f>
        <v>130.90909090909091</v>
      </c>
      <c r="X37" s="112">
        <f>T37</f>
        <v>2900</v>
      </c>
      <c r="Y37" s="201">
        <f>V37</f>
        <v>130.90909090909091</v>
      </c>
      <c r="Z37" s="57" t="s">
        <v>5886</v>
      </c>
      <c r="AA37" s="64">
        <f>Y37/X37</f>
        <v>4.5141065830721E-2</v>
      </c>
      <c r="AB37" s="235"/>
      <c r="AC37" s="112">
        <v>1550</v>
      </c>
      <c r="AD37" s="57" t="s">
        <v>5887</v>
      </c>
      <c r="AE37" s="66">
        <f>AC37*AA37</f>
        <v>69.968652037617545</v>
      </c>
      <c r="AG37" s="112">
        <v>1550</v>
      </c>
      <c r="AH37" s="920">
        <f>AE37</f>
        <v>69.968652037617545</v>
      </c>
      <c r="AI37" s="57" t="s">
        <v>5886</v>
      </c>
      <c r="AJ37" s="64">
        <f>AH37/AG37</f>
        <v>4.5141065830721E-2</v>
      </c>
      <c r="AK37" s="235"/>
      <c r="AL37" s="112">
        <v>5908</v>
      </c>
      <c r="AM37" s="57"/>
      <c r="AN37" s="1034">
        <f>4452.0128*12/11</f>
        <v>4856.7412363636367</v>
      </c>
      <c r="AP37" s="112">
        <v>5908</v>
      </c>
      <c r="AQ37" s="1034">
        <f>4452.0128*12/10</f>
        <v>5342.4153600000009</v>
      </c>
      <c r="AR37" s="57" t="s">
        <v>5888</v>
      </c>
      <c r="AS37" s="476">
        <f>AQ37/AP37</f>
        <v>0.90426800270819241</v>
      </c>
      <c r="AT37" s="235"/>
      <c r="AU37" s="112">
        <v>5890</v>
      </c>
      <c r="AV37" s="57"/>
      <c r="AW37" s="66">
        <f t="shared" ref="AW37:AW38" si="2">AU37*AS37</f>
        <v>5326.1385359512533</v>
      </c>
      <c r="AY37" s="26"/>
      <c r="BA37" s="112">
        <v>5890</v>
      </c>
      <c r="BB37" s="8309"/>
      <c r="BC37" s="57"/>
      <c r="BD37" s="64">
        <f>BB37/BA37</f>
        <v>0</v>
      </c>
      <c r="BE37" s="235"/>
      <c r="BF37" s="112">
        <v>5800</v>
      </c>
      <c r="BG37" s="57" t="s">
        <v>5884</v>
      </c>
      <c r="BH37" s="1034">
        <f>1453.046*12/10</f>
        <v>1743.6551999999999</v>
      </c>
      <c r="BJ37" s="26"/>
    </row>
    <row r="38" spans="1:62" x14ac:dyDescent="0.35">
      <c r="A38" s="9168"/>
      <c r="B38" s="240"/>
      <c r="C38" s="238" t="s">
        <v>5889</v>
      </c>
      <c r="D38" s="60"/>
      <c r="F38" s="155"/>
      <c r="H38" s="117"/>
      <c r="I38" s="115"/>
      <c r="J38" s="64"/>
      <c r="L38" s="117"/>
      <c r="M38" s="157">
        <f>L38*J38</f>
        <v>0</v>
      </c>
      <c r="O38" s="117">
        <v>24132.45</v>
      </c>
      <c r="P38" s="233"/>
      <c r="R38" s="64"/>
      <c r="S38" s="235"/>
      <c r="T38" s="117">
        <f>3135.633+17862.867</f>
        <v>20998.5</v>
      </c>
      <c r="U38" s="70" t="s">
        <v>5886</v>
      </c>
      <c r="V38" s="1780">
        <f>(4803.778+1921.04)*12/11</f>
        <v>7336.1650909090913</v>
      </c>
      <c r="X38" s="117">
        <f>T38</f>
        <v>20998.5</v>
      </c>
      <c r="Y38" s="233">
        <f>V38</f>
        <v>7336.1650909090913</v>
      </c>
      <c r="Z38" s="70" t="s">
        <v>5886</v>
      </c>
      <c r="AA38" s="64">
        <f>Y38/X38</f>
        <v>0.34936614953016126</v>
      </c>
      <c r="AB38" s="235"/>
      <c r="AC38" s="117">
        <f>5555.562+40125.733</f>
        <v>45681.294999999998</v>
      </c>
      <c r="AD38" s="70" t="s">
        <v>5890</v>
      </c>
      <c r="AE38" s="66">
        <f>AC38*AA38</f>
        <v>15959.498139701407</v>
      </c>
      <c r="AG38" s="117">
        <f>5555.562+40125.733</f>
        <v>45681.294999999998</v>
      </c>
      <c r="AH38" s="920">
        <f>AE38</f>
        <v>15959.498139701407</v>
      </c>
      <c r="AI38" s="70" t="s">
        <v>5886</v>
      </c>
      <c r="AJ38" s="64">
        <f>AH38/AG38</f>
        <v>0.34936614953016126</v>
      </c>
      <c r="AK38" s="235"/>
      <c r="AL38" s="117">
        <v>54569.976000000002</v>
      </c>
      <c r="AM38" s="70"/>
      <c r="AN38" s="273">
        <f>18921.977527*12/11</f>
        <v>20642.157302181819</v>
      </c>
      <c r="AP38" s="117">
        <v>54569.976000000002</v>
      </c>
      <c r="AQ38" s="273">
        <f>18921.977527*12/10</f>
        <v>22706.373032399999</v>
      </c>
      <c r="AR38" s="70" t="s">
        <v>5891</v>
      </c>
      <c r="AS38" s="476">
        <f>AQ38/AP38</f>
        <v>0.41609644527606165</v>
      </c>
      <c r="AT38" s="235"/>
      <c r="AU38" s="117">
        <v>77551.600000000006</v>
      </c>
      <c r="AV38" s="70"/>
      <c r="AW38" s="66">
        <f t="shared" si="2"/>
        <v>32268.945085471027</v>
      </c>
      <c r="AY38" s="26"/>
      <c r="BA38" s="117">
        <v>77551.600000000006</v>
      </c>
      <c r="BB38" s="3256"/>
      <c r="BC38" s="70"/>
      <c r="BD38" s="64">
        <f>BB38/BA38</f>
        <v>0</v>
      </c>
      <c r="BE38" s="235"/>
      <c r="BF38" s="117">
        <f>8469.702+59104.346</f>
        <v>67574.047999999995</v>
      </c>
      <c r="BG38" s="57" t="s">
        <v>5884</v>
      </c>
      <c r="BH38" s="1034">
        <f>30669.368761*12/10</f>
        <v>36803.242513199999</v>
      </c>
      <c r="BJ38" s="26"/>
    </row>
    <row r="39" spans="1:62" x14ac:dyDescent="0.35">
      <c r="A39" s="9168"/>
      <c r="B39" s="241"/>
      <c r="C39" s="238"/>
      <c r="D39" s="60"/>
      <c r="F39" s="163"/>
      <c r="H39" s="242"/>
      <c r="I39" s="243"/>
      <c r="J39" s="64"/>
      <c r="L39" s="242"/>
      <c r="M39" s="157">
        <f>L39*J39</f>
        <v>0</v>
      </c>
      <c r="O39" s="242"/>
      <c r="P39" s="233"/>
      <c r="Q39" s="106"/>
      <c r="R39" s="64"/>
      <c r="S39" s="235"/>
      <c r="T39" s="242"/>
      <c r="U39" s="313"/>
      <c r="V39" s="1780"/>
      <c r="X39" s="242"/>
      <c r="Y39" s="233"/>
      <c r="Z39" s="106"/>
      <c r="AA39" s="64"/>
      <c r="AB39" s="235"/>
      <c r="AC39" s="242"/>
      <c r="AD39" s="313"/>
      <c r="AE39" s="1780"/>
      <c r="AG39" s="242"/>
      <c r="AH39" s="920"/>
      <c r="AI39" s="106"/>
      <c r="AJ39" s="64"/>
      <c r="AK39" s="235"/>
      <c r="AL39" s="242"/>
      <c r="AM39" s="313"/>
      <c r="AN39" s="276"/>
      <c r="AP39" s="242"/>
      <c r="AQ39" s="276"/>
      <c r="AR39" s="106"/>
      <c r="AS39" s="476"/>
      <c r="AT39" s="235"/>
      <c r="AU39" s="242"/>
      <c r="AV39" s="313"/>
      <c r="AW39" s="66"/>
      <c r="AY39" s="26"/>
      <c r="BA39" s="242"/>
      <c r="BB39" s="276"/>
      <c r="BC39" s="106"/>
      <c r="BD39" s="64"/>
      <c r="BE39" s="235"/>
      <c r="BF39" s="242"/>
      <c r="BG39" s="313"/>
      <c r="BH39" s="1034"/>
      <c r="BJ39" s="26"/>
    </row>
    <row r="40" spans="1:62" x14ac:dyDescent="0.35">
      <c r="A40" s="9168"/>
      <c r="B40" s="241"/>
      <c r="C40" s="238"/>
      <c r="D40" s="60"/>
      <c r="F40" s="163"/>
      <c r="H40" s="242"/>
      <c r="I40" s="243"/>
      <c r="J40" s="64"/>
      <c r="L40" s="242"/>
      <c r="M40" s="157">
        <f>L40*J40</f>
        <v>0</v>
      </c>
      <c r="O40" s="242"/>
      <c r="P40" s="201"/>
      <c r="Q40" s="57"/>
      <c r="R40" s="64"/>
      <c r="S40" s="235"/>
      <c r="T40" s="242"/>
      <c r="U40" s="57"/>
      <c r="V40" s="1780"/>
      <c r="X40" s="242"/>
      <c r="Y40" s="201"/>
      <c r="Z40" s="57"/>
      <c r="AA40" s="64"/>
      <c r="AB40" s="235"/>
      <c r="AC40" s="242"/>
      <c r="AD40" s="57"/>
      <c r="AE40" s="1780"/>
      <c r="AG40" s="242"/>
      <c r="AH40" s="1128"/>
      <c r="AI40" s="57"/>
      <c r="AJ40" s="64"/>
      <c r="AK40" s="235"/>
      <c r="AL40" s="242"/>
      <c r="AM40" s="57"/>
      <c r="AN40" s="276"/>
      <c r="AP40" s="242"/>
      <c r="AQ40" s="276"/>
      <c r="AR40" s="57"/>
      <c r="AS40" s="476"/>
      <c r="AT40" s="235"/>
      <c r="AU40" s="242"/>
      <c r="AV40" s="57"/>
      <c r="AW40" s="66"/>
      <c r="AY40" s="26"/>
      <c r="BA40" s="242"/>
      <c r="BB40" s="276"/>
      <c r="BC40" s="57"/>
      <c r="BD40" s="64"/>
      <c r="BE40" s="235"/>
      <c r="BF40" s="242"/>
      <c r="BG40" s="57"/>
      <c r="BH40" s="1034"/>
      <c r="BJ40" s="26"/>
    </row>
    <row r="41" spans="1:62" x14ac:dyDescent="0.35">
      <c r="A41" s="9168"/>
      <c r="B41" s="141" t="s">
        <v>531</v>
      </c>
      <c r="C41"/>
      <c r="D41" s="60"/>
      <c r="E41" s="143"/>
      <c r="F41" s="168"/>
      <c r="G41" s="143"/>
      <c r="H41" s="245"/>
      <c r="I41" s="106"/>
      <c r="J41" s="246"/>
      <c r="K41" s="143"/>
      <c r="L41" s="245"/>
      <c r="M41" s="247"/>
      <c r="N41" s="143"/>
      <c r="O41" s="245"/>
      <c r="P41" s="106"/>
      <c r="Q41" s="106"/>
      <c r="R41" s="246"/>
      <c r="S41" s="143"/>
      <c r="T41" s="245"/>
      <c r="U41" s="106"/>
      <c r="V41" s="66"/>
      <c r="W41" s="143"/>
      <c r="X41" s="245"/>
      <c r="Y41" s="106"/>
      <c r="Z41" s="106"/>
      <c r="AA41" s="246"/>
      <c r="AB41" s="143"/>
      <c r="AC41" s="245"/>
      <c r="AD41" s="106"/>
      <c r="AE41" s="66"/>
      <c r="AF41" s="143"/>
      <c r="AG41" s="245"/>
      <c r="AH41" s="106"/>
      <c r="AI41" s="106"/>
      <c r="AJ41" s="246"/>
      <c r="AK41" s="143"/>
      <c r="AL41" s="245"/>
      <c r="AM41" s="106"/>
      <c r="AN41" s="66"/>
      <c r="AO41" s="143"/>
      <c r="AP41" s="245"/>
      <c r="AQ41" s="106"/>
      <c r="AR41" s="106"/>
      <c r="AS41" s="246"/>
      <c r="AT41" s="143"/>
      <c r="AU41" s="245"/>
      <c r="AV41" s="106"/>
      <c r="AW41" s="66"/>
      <c r="AX41" s="143"/>
      <c r="AY41" s="26"/>
      <c r="AZ41" s="143"/>
      <c r="BA41" s="245"/>
      <c r="BB41" s="106"/>
      <c r="BC41" s="106"/>
      <c r="BD41" s="246"/>
      <c r="BE41" s="143"/>
      <c r="BF41" s="245"/>
      <c r="BG41" s="106"/>
      <c r="BH41" s="3012"/>
      <c r="BI41" s="143"/>
      <c r="BJ41" s="26"/>
    </row>
    <row r="42" spans="1:62" x14ac:dyDescent="0.35">
      <c r="A42" s="9168"/>
      <c r="B42" s="232"/>
      <c r="C42" s="232" t="s">
        <v>5892</v>
      </c>
      <c r="D42" s="60">
        <v>3</v>
      </c>
      <c r="F42" s="111"/>
      <c r="H42" s="112"/>
      <c r="I42" s="113"/>
      <c r="J42" s="64"/>
      <c r="L42" s="112"/>
      <c r="M42" s="157">
        <f>L42*J42</f>
        <v>0</v>
      </c>
      <c r="O42" s="248"/>
      <c r="P42" s="233"/>
      <c r="Q42" s="106"/>
      <c r="R42" s="64"/>
      <c r="T42" s="112"/>
      <c r="U42" s="106"/>
      <c r="V42" s="66"/>
      <c r="X42" s="248"/>
      <c r="Y42" s="233"/>
      <c r="Z42" s="106"/>
      <c r="AA42" s="64"/>
      <c r="AC42" s="112"/>
      <c r="AD42" s="106"/>
      <c r="AE42" s="66"/>
      <c r="AG42" s="112"/>
      <c r="AH42" s="233"/>
      <c r="AI42" s="106"/>
      <c r="AJ42" s="64"/>
      <c r="AL42" s="112"/>
      <c r="AM42" s="106"/>
      <c r="AN42" s="66"/>
      <c r="AP42" s="112"/>
      <c r="AQ42" s="233"/>
      <c r="AR42" s="106"/>
      <c r="AS42" s="476"/>
      <c r="AU42" s="112"/>
      <c r="AV42" s="106"/>
      <c r="AW42" s="66"/>
      <c r="AY42" s="26"/>
      <c r="BA42" s="112"/>
      <c r="BB42" s="233"/>
      <c r="BC42" s="106"/>
      <c r="BD42" s="64"/>
      <c r="BF42" s="112"/>
      <c r="BG42" s="106"/>
      <c r="BH42" s="1034"/>
      <c r="BJ42" s="26"/>
    </row>
    <row r="43" spans="1:62" x14ac:dyDescent="0.35">
      <c r="A43" s="9168"/>
      <c r="B43" s="232"/>
      <c r="C43" s="238" t="s">
        <v>11</v>
      </c>
      <c r="D43" s="60"/>
      <c r="F43" s="111"/>
      <c r="H43" s="112"/>
      <c r="I43" s="113"/>
      <c r="J43" s="64"/>
      <c r="L43" s="112"/>
      <c r="M43" s="157"/>
      <c r="O43" s="248"/>
      <c r="P43" s="233"/>
      <c r="Q43" s="106"/>
      <c r="R43" s="64"/>
      <c r="T43" s="112"/>
      <c r="U43" s="106"/>
      <c r="V43" s="66"/>
      <c r="X43" s="248"/>
      <c r="Y43" s="233"/>
      <c r="Z43" s="106"/>
      <c r="AA43" s="64"/>
      <c r="AC43" s="112"/>
      <c r="AD43" s="106"/>
      <c r="AE43" s="66"/>
      <c r="AG43" s="112"/>
      <c r="AH43" s="233"/>
      <c r="AI43" s="106"/>
      <c r="AJ43" s="64"/>
      <c r="AL43" s="112"/>
      <c r="AM43" s="106"/>
      <c r="AN43" s="66"/>
      <c r="AP43" s="112"/>
      <c r="AQ43" s="233"/>
      <c r="AR43" s="106"/>
      <c r="AS43" s="476"/>
      <c r="AU43" s="112"/>
      <c r="AV43" s="106"/>
      <c r="AW43" s="66"/>
      <c r="AY43" s="26"/>
      <c r="BA43" s="112"/>
      <c r="BB43" s="233"/>
      <c r="BC43" s="106"/>
      <c r="BD43" s="64"/>
      <c r="BF43" s="112"/>
      <c r="BG43" s="106"/>
      <c r="BH43" s="1034"/>
      <c r="BJ43" s="26"/>
    </row>
    <row r="44" spans="1:62" x14ac:dyDescent="0.35">
      <c r="A44" s="9168"/>
      <c r="B44" s="232"/>
      <c r="C44" s="238" t="s">
        <v>1116</v>
      </c>
      <c r="D44" s="60"/>
      <c r="F44" s="111"/>
      <c r="H44" s="112"/>
      <c r="I44" s="113"/>
      <c r="J44" s="64"/>
      <c r="L44" s="112"/>
      <c r="M44" s="157"/>
      <c r="O44" s="248"/>
      <c r="P44" s="233"/>
      <c r="Q44" s="106"/>
      <c r="R44" s="64"/>
      <c r="T44" s="112"/>
      <c r="U44" s="106"/>
      <c r="V44" s="66"/>
      <c r="X44" s="248"/>
      <c r="Y44" s="233"/>
      <c r="Z44" s="106"/>
      <c r="AA44" s="64"/>
      <c r="AC44" s="112"/>
      <c r="AD44" s="106"/>
      <c r="AE44" s="66"/>
      <c r="AG44" s="112"/>
      <c r="AH44" s="233"/>
      <c r="AI44" s="106"/>
      <c r="AJ44" s="64"/>
      <c r="AL44" s="112"/>
      <c r="AM44" s="106"/>
      <c r="AN44" s="66"/>
      <c r="AP44" s="112"/>
      <c r="AQ44" s="233"/>
      <c r="AR44" s="106"/>
      <c r="AS44" s="476"/>
      <c r="AU44" s="112"/>
      <c r="AV44" s="106"/>
      <c r="AW44" s="66"/>
      <c r="AY44" s="26"/>
      <c r="BA44" s="112"/>
      <c r="BB44" s="233"/>
      <c r="BC44" s="106"/>
      <c r="BD44" s="64"/>
      <c r="BF44" s="112"/>
      <c r="BG44" s="106"/>
      <c r="BH44" s="1034"/>
      <c r="BJ44" s="26"/>
    </row>
    <row r="45" spans="1:62" x14ac:dyDescent="0.35">
      <c r="A45" s="9168"/>
      <c r="B45" s="240"/>
      <c r="C45" s="240" t="s">
        <v>548</v>
      </c>
      <c r="D45" s="60">
        <v>4</v>
      </c>
      <c r="F45" s="155"/>
      <c r="H45" s="117"/>
      <c r="I45" s="115"/>
      <c r="J45" s="64"/>
      <c r="L45" s="117"/>
      <c r="M45" s="157">
        <f>L45*J45</f>
        <v>0</v>
      </c>
      <c r="O45" s="248"/>
      <c r="P45" s="233"/>
      <c r="Q45" s="106"/>
      <c r="R45" s="64"/>
      <c r="T45" s="112"/>
      <c r="U45" s="106"/>
      <c r="V45" s="66"/>
      <c r="X45" s="248"/>
      <c r="Y45" s="233"/>
      <c r="Z45" s="106"/>
      <c r="AA45" s="64"/>
      <c r="AC45" s="112"/>
      <c r="AD45" s="106"/>
      <c r="AE45" s="66"/>
      <c r="AG45" s="112"/>
      <c r="AH45" s="233"/>
      <c r="AI45" s="106"/>
      <c r="AJ45" s="64"/>
      <c r="AL45" s="112"/>
      <c r="AM45" s="106"/>
      <c r="AN45" s="66"/>
      <c r="AP45" s="112"/>
      <c r="AQ45" s="233"/>
      <c r="AR45" s="106"/>
      <c r="AS45" s="476"/>
      <c r="AU45" s="112"/>
      <c r="AV45" s="106"/>
      <c r="AW45" s="66"/>
      <c r="AY45" s="26"/>
      <c r="BA45" s="112"/>
      <c r="BB45" s="233"/>
      <c r="BC45" s="106"/>
      <c r="BD45" s="64"/>
      <c r="BF45" s="112"/>
      <c r="BG45" s="106"/>
      <c r="BH45" s="1034"/>
      <c r="BJ45" s="26"/>
    </row>
    <row r="46" spans="1:62" x14ac:dyDescent="0.35">
      <c r="A46" s="9168"/>
      <c r="B46" s="241"/>
      <c r="C46" s="249" t="s">
        <v>11</v>
      </c>
      <c r="D46" s="60"/>
      <c r="F46" s="163"/>
      <c r="H46" s="242"/>
      <c r="I46" s="243"/>
      <c r="J46" s="64"/>
      <c r="L46" s="242"/>
      <c r="M46" s="157"/>
      <c r="O46" s="200"/>
      <c r="P46" s="201"/>
      <c r="Q46" s="106"/>
      <c r="R46" s="64"/>
      <c r="T46" s="117"/>
      <c r="U46" s="106"/>
      <c r="V46" s="66"/>
      <c r="X46" s="200"/>
      <c r="Y46" s="201"/>
      <c r="Z46" s="106"/>
      <c r="AA46" s="64"/>
      <c r="AC46" s="117"/>
      <c r="AD46" s="106"/>
      <c r="AE46" s="66"/>
      <c r="AG46" s="117"/>
      <c r="AH46" s="201"/>
      <c r="AI46" s="106"/>
      <c r="AJ46" s="64"/>
      <c r="AL46" s="117"/>
      <c r="AM46" s="106"/>
      <c r="AN46" s="66"/>
      <c r="AP46" s="117"/>
      <c r="AQ46" s="201"/>
      <c r="AR46" s="106"/>
      <c r="AS46" s="476"/>
      <c r="AU46" s="117"/>
      <c r="AV46" s="106"/>
      <c r="AW46" s="66"/>
      <c r="AY46" s="26"/>
      <c r="BA46" s="117"/>
      <c r="BB46" s="201"/>
      <c r="BC46" s="106"/>
      <c r="BD46" s="64"/>
      <c r="BF46" s="117"/>
      <c r="BG46" s="106"/>
      <c r="BH46" s="1034"/>
      <c r="BJ46" s="26"/>
    </row>
    <row r="47" spans="1:62" x14ac:dyDescent="0.35">
      <c r="A47" s="9168"/>
      <c r="B47" s="250"/>
      <c r="C47" s="251" t="s">
        <v>1116</v>
      </c>
      <c r="D47" s="87"/>
      <c r="F47" s="130"/>
      <c r="H47" s="242"/>
      <c r="I47" s="243"/>
      <c r="J47" s="64"/>
      <c r="L47" s="131"/>
      <c r="M47" s="213">
        <f>L47*J47</f>
        <v>0</v>
      </c>
      <c r="O47" s="164"/>
      <c r="P47" s="215"/>
      <c r="Q47" s="216"/>
      <c r="R47" s="64"/>
      <c r="T47" s="131"/>
      <c r="U47" s="216"/>
      <c r="V47" s="92"/>
      <c r="X47" s="164"/>
      <c r="Y47" s="215"/>
      <c r="Z47" s="216"/>
      <c r="AA47" s="64"/>
      <c r="AC47" s="131"/>
      <c r="AD47" s="216"/>
      <c r="AE47" s="92"/>
      <c r="AG47" s="131"/>
      <c r="AH47" s="215"/>
      <c r="AI47" s="216"/>
      <c r="AJ47" s="64"/>
      <c r="AL47" s="131"/>
      <c r="AM47" s="216"/>
      <c r="AN47" s="92"/>
      <c r="AP47" s="131"/>
      <c r="AQ47" s="215"/>
      <c r="AR47" s="216"/>
      <c r="AS47" s="476"/>
      <c r="AU47" s="131"/>
      <c r="AV47" s="216"/>
      <c r="AW47" s="92"/>
      <c r="AY47" s="24"/>
      <c r="BA47" s="131"/>
      <c r="BB47" s="215"/>
      <c r="BC47" s="216"/>
      <c r="BD47" s="64"/>
      <c r="BF47" s="131"/>
      <c r="BG47" s="216"/>
      <c r="BH47" s="485"/>
      <c r="BJ47" s="24"/>
    </row>
    <row r="48" spans="1:62" x14ac:dyDescent="0.35">
      <c r="A48" s="9168"/>
      <c r="B48" s="141" t="s">
        <v>535</v>
      </c>
      <c r="C48" s="141"/>
      <c r="D48" s="60"/>
      <c r="E48" s="143"/>
      <c r="F48" s="227"/>
      <c r="G48" s="143"/>
      <c r="H48" s="102"/>
      <c r="I48" s="103"/>
      <c r="J48" s="252"/>
      <c r="K48" s="143"/>
      <c r="L48" s="245"/>
      <c r="M48" s="247"/>
      <c r="N48" s="143"/>
      <c r="O48" s="102"/>
      <c r="P48" s="103"/>
      <c r="Q48" s="53"/>
      <c r="R48" s="252"/>
      <c r="S48" s="143"/>
      <c r="T48" s="245"/>
      <c r="U48" s="53"/>
      <c r="V48" s="237"/>
      <c r="W48" s="143"/>
      <c r="X48" s="102"/>
      <c r="Y48" s="103"/>
      <c r="Z48" s="53"/>
      <c r="AA48" s="252"/>
      <c r="AB48" s="143"/>
      <c r="AC48" s="245"/>
      <c r="AD48" s="53"/>
      <c r="AE48" s="237"/>
      <c r="AF48" s="143"/>
      <c r="AG48" s="245"/>
      <c r="AH48" s="103"/>
      <c r="AI48" s="53"/>
      <c r="AJ48" s="252"/>
      <c r="AK48" s="143"/>
      <c r="AL48" s="245"/>
      <c r="AM48" s="53"/>
      <c r="AN48" s="237"/>
      <c r="AO48" s="143"/>
      <c r="AP48" s="245"/>
      <c r="AQ48" s="103"/>
      <c r="AR48" s="53"/>
      <c r="AS48" s="516"/>
      <c r="AT48" s="143"/>
      <c r="AU48" s="245"/>
      <c r="AV48" s="53"/>
      <c r="AW48" s="237"/>
      <c r="AX48" s="143"/>
      <c r="AY48" s="26"/>
      <c r="AZ48" s="143"/>
      <c r="BA48" s="245"/>
      <c r="BB48" s="103"/>
      <c r="BC48" s="53"/>
      <c r="BD48" s="252"/>
      <c r="BE48" s="143"/>
      <c r="BF48" s="245"/>
      <c r="BG48" s="53"/>
      <c r="BH48" s="237"/>
      <c r="BI48" s="143"/>
      <c r="BJ48" s="26"/>
    </row>
    <row r="49" spans="1:62" ht="14.5" customHeight="1" x14ac:dyDescent="0.35">
      <c r="A49" s="9168"/>
      <c r="B49" s="232"/>
      <c r="C49" s="232" t="s">
        <v>5893</v>
      </c>
      <c r="D49" s="60">
        <v>5</v>
      </c>
      <c r="F49" s="111"/>
      <c r="H49" s="112"/>
      <c r="I49" s="113"/>
      <c r="J49" s="64"/>
      <c r="L49" s="112"/>
      <c r="M49" s="157">
        <f>L49*J49</f>
        <v>0</v>
      </c>
      <c r="O49" s="117"/>
      <c r="P49" s="233"/>
      <c r="Q49" s="106"/>
      <c r="R49" s="64"/>
      <c r="T49" s="112"/>
      <c r="U49" s="106"/>
      <c r="V49" s="66"/>
      <c r="X49" s="117"/>
      <c r="Y49" s="233"/>
      <c r="Z49" s="106"/>
      <c r="AA49" s="64"/>
      <c r="AC49" s="112"/>
      <c r="AD49" s="106"/>
      <c r="AE49" s="66"/>
      <c r="AG49" s="112"/>
      <c r="AH49" s="233"/>
      <c r="AI49" s="106"/>
      <c r="AJ49" s="64"/>
      <c r="AL49" s="112"/>
      <c r="AM49" s="106"/>
      <c r="AN49" s="66"/>
      <c r="AP49" s="112"/>
      <c r="AQ49" s="233"/>
      <c r="AR49" s="106"/>
      <c r="AS49" s="476"/>
      <c r="AU49" s="112"/>
      <c r="AV49" s="106"/>
      <c r="AW49" s="66"/>
      <c r="AY49" s="257"/>
      <c r="BA49" s="112"/>
      <c r="BB49" s="233"/>
      <c r="BC49" s="106"/>
      <c r="BD49" s="64"/>
      <c r="BF49" s="112"/>
      <c r="BG49" s="106"/>
      <c r="BH49" s="1034"/>
      <c r="BJ49" s="257"/>
    </row>
    <row r="50" spans="1:62" ht="14.5" customHeight="1" x14ac:dyDescent="0.35">
      <c r="A50" s="9168"/>
      <c r="B50" s="232"/>
      <c r="C50" s="238" t="s">
        <v>933</v>
      </c>
      <c r="D50" s="60"/>
      <c r="F50" s="111"/>
      <c r="H50" s="112"/>
      <c r="I50" s="113"/>
      <c r="J50" s="64"/>
      <c r="L50" s="112"/>
      <c r="M50" s="157"/>
      <c r="O50" s="117"/>
      <c r="P50" s="201"/>
      <c r="Q50" s="57"/>
      <c r="R50" s="64"/>
      <c r="T50" s="112"/>
      <c r="U50" s="57"/>
      <c r="V50" s="237"/>
      <c r="X50" s="117"/>
      <c r="Y50" s="201"/>
      <c r="Z50" s="57"/>
      <c r="AA50" s="64"/>
      <c r="AC50" s="112"/>
      <c r="AD50" s="57"/>
      <c r="AE50" s="237"/>
      <c r="AG50" s="112"/>
      <c r="AH50" s="201"/>
      <c r="AI50" s="57"/>
      <c r="AJ50" s="64"/>
      <c r="AL50" s="112"/>
      <c r="AM50" s="57"/>
      <c r="AN50" s="237"/>
      <c r="AP50" s="112"/>
      <c r="AQ50" s="201"/>
      <c r="AR50" s="57"/>
      <c r="AS50" s="476"/>
      <c r="AU50" s="112"/>
      <c r="AV50" s="57"/>
      <c r="AW50" s="237"/>
      <c r="AY50" s="257"/>
      <c r="BA50" s="112"/>
      <c r="BB50" s="201"/>
      <c r="BC50" s="57"/>
      <c r="BD50" s="64"/>
      <c r="BF50" s="112"/>
      <c r="BG50" s="57"/>
      <c r="BH50" s="1034"/>
      <c r="BJ50" s="257"/>
    </row>
    <row r="51" spans="1:62" x14ac:dyDescent="0.35">
      <c r="A51" s="9168"/>
      <c r="B51" s="240"/>
      <c r="C51" s="240" t="s">
        <v>5894</v>
      </c>
      <c r="D51" s="60">
        <v>6</v>
      </c>
      <c r="F51" s="155"/>
      <c r="H51" s="117"/>
      <c r="I51" s="115"/>
      <c r="J51" s="64"/>
      <c r="L51" s="117"/>
      <c r="M51" s="157">
        <f>L51*J51</f>
        <v>0</v>
      </c>
      <c r="O51" s="117"/>
      <c r="P51" s="201"/>
      <c r="Q51" s="106"/>
      <c r="R51" s="64"/>
      <c r="T51" s="112"/>
      <c r="U51" s="106"/>
      <c r="V51" s="66"/>
      <c r="X51" s="117"/>
      <c r="Y51" s="201"/>
      <c r="Z51" s="106"/>
      <c r="AA51" s="64"/>
      <c r="AC51" s="112"/>
      <c r="AD51" s="106"/>
      <c r="AE51" s="66"/>
      <c r="AG51" s="112"/>
      <c r="AH51" s="201"/>
      <c r="AI51" s="106"/>
      <c r="AJ51" s="64"/>
      <c r="AL51" s="112"/>
      <c r="AM51" s="106"/>
      <c r="AN51" s="66"/>
      <c r="AP51" s="112"/>
      <c r="AQ51" s="201"/>
      <c r="AR51" s="106"/>
      <c r="AS51" s="476"/>
      <c r="AU51" s="112"/>
      <c r="AV51" s="106"/>
      <c r="AW51" s="66"/>
      <c r="AY51" s="26"/>
      <c r="BA51" s="112"/>
      <c r="BB51" s="201"/>
      <c r="BC51" s="106"/>
      <c r="BD51" s="64"/>
      <c r="BF51" s="112"/>
      <c r="BG51" s="106"/>
      <c r="BH51" s="1034"/>
      <c r="BJ51" s="26"/>
    </row>
    <row r="52" spans="1:62" x14ac:dyDescent="0.35">
      <c r="A52" s="9168"/>
      <c r="B52" s="240"/>
      <c r="C52" s="238" t="s">
        <v>933</v>
      </c>
      <c r="D52" s="60"/>
      <c r="F52" s="155"/>
      <c r="H52" s="117"/>
      <c r="I52" s="115"/>
      <c r="J52" s="64"/>
      <c r="L52" s="117"/>
      <c r="M52" s="157"/>
      <c r="O52" s="117"/>
      <c r="P52" s="201"/>
      <c r="Q52" s="106"/>
      <c r="R52" s="64"/>
      <c r="T52" s="112"/>
      <c r="U52" s="106"/>
      <c r="V52" s="66"/>
      <c r="X52" s="117"/>
      <c r="Y52" s="201"/>
      <c r="Z52" s="106"/>
      <c r="AA52" s="64"/>
      <c r="AC52" s="112"/>
      <c r="AD52" s="106"/>
      <c r="AE52" s="66"/>
      <c r="AG52" s="112"/>
      <c r="AH52" s="201"/>
      <c r="AI52" s="106"/>
      <c r="AJ52" s="64"/>
      <c r="AL52" s="112"/>
      <c r="AM52" s="106"/>
      <c r="AN52" s="66"/>
      <c r="AP52" s="112"/>
      <c r="AQ52" s="201"/>
      <c r="AR52" s="106"/>
      <c r="AS52" s="476"/>
      <c r="AU52" s="112"/>
      <c r="AV52" s="106"/>
      <c r="AW52" s="66"/>
      <c r="AY52" s="26"/>
      <c r="BA52" s="112"/>
      <c r="BB52" s="201"/>
      <c r="BC52" s="106"/>
      <c r="BD52" s="64"/>
      <c r="BF52" s="112"/>
      <c r="BG52" s="106"/>
      <c r="BH52" s="1034"/>
      <c r="BJ52" s="26"/>
    </row>
    <row r="53" spans="1:62" x14ac:dyDescent="0.35">
      <c r="A53" s="9168"/>
      <c r="B53" s="240"/>
      <c r="C53" s="240" t="s">
        <v>5895</v>
      </c>
      <c r="D53" s="60">
        <v>7</v>
      </c>
      <c r="F53" s="155"/>
      <c r="H53" s="117"/>
      <c r="I53" s="115"/>
      <c r="J53" s="64"/>
      <c r="L53" s="117"/>
      <c r="M53" s="157">
        <f>L53*J53</f>
        <v>0</v>
      </c>
      <c r="O53" s="117"/>
      <c r="P53" s="244"/>
      <c r="Q53" s="106"/>
      <c r="R53" s="64"/>
      <c r="T53" s="112"/>
      <c r="U53" s="106"/>
      <c r="V53" s="66"/>
      <c r="X53" s="117"/>
      <c r="Y53" s="244"/>
      <c r="Z53" s="106"/>
      <c r="AA53" s="64"/>
      <c r="AC53" s="112"/>
      <c r="AD53" s="106"/>
      <c r="AE53" s="66"/>
      <c r="AG53" s="112"/>
      <c r="AH53" s="244"/>
      <c r="AI53" s="106"/>
      <c r="AJ53" s="64"/>
      <c r="AL53" s="112"/>
      <c r="AM53" s="106"/>
      <c r="AN53" s="66"/>
      <c r="AP53" s="112"/>
      <c r="AQ53" s="244"/>
      <c r="AR53" s="106"/>
      <c r="AS53" s="476"/>
      <c r="AU53" s="112"/>
      <c r="AV53" s="106"/>
      <c r="AW53" s="66"/>
      <c r="AY53" s="26"/>
      <c r="BA53" s="112"/>
      <c r="BB53" s="244"/>
      <c r="BC53" s="106"/>
      <c r="BD53" s="64"/>
      <c r="BF53" s="112"/>
      <c r="BG53" s="106"/>
      <c r="BH53" s="1034"/>
      <c r="BJ53" s="26"/>
    </row>
    <row r="54" spans="1:62" x14ac:dyDescent="0.35">
      <c r="A54" s="9168"/>
      <c r="B54" s="240"/>
      <c r="C54" s="238" t="s">
        <v>933</v>
      </c>
      <c r="D54" s="60"/>
      <c r="F54" s="155"/>
      <c r="H54" s="117"/>
      <c r="I54" s="115"/>
      <c r="J54" s="64"/>
      <c r="L54" s="117"/>
      <c r="M54" s="157"/>
      <c r="O54" s="117"/>
      <c r="P54" s="244"/>
      <c r="Q54" s="106"/>
      <c r="R54" s="64"/>
      <c r="T54" s="112"/>
      <c r="U54" s="106"/>
      <c r="V54" s="66"/>
      <c r="X54" s="117"/>
      <c r="Y54" s="244"/>
      <c r="Z54" s="106"/>
      <c r="AA54" s="64"/>
      <c r="AC54" s="112"/>
      <c r="AD54" s="106"/>
      <c r="AE54" s="66"/>
      <c r="AG54" s="112"/>
      <c r="AH54" s="244"/>
      <c r="AI54" s="106"/>
      <c r="AJ54" s="64"/>
      <c r="AL54" s="112"/>
      <c r="AM54" s="106"/>
      <c r="AN54" s="66"/>
      <c r="AP54" s="112"/>
      <c r="AQ54" s="244"/>
      <c r="AR54" s="106"/>
      <c r="AS54" s="476"/>
      <c r="AU54" s="112"/>
      <c r="AV54" s="106"/>
      <c r="AW54" s="66"/>
      <c r="AY54" s="26"/>
      <c r="BA54" s="112"/>
      <c r="BB54" s="244"/>
      <c r="BC54" s="106"/>
      <c r="BD54" s="64"/>
      <c r="BF54" s="112"/>
      <c r="BG54" s="106"/>
      <c r="BH54" s="1034"/>
      <c r="BJ54" s="26"/>
    </row>
    <row r="55" spans="1:62" x14ac:dyDescent="0.35">
      <c r="A55" s="9168"/>
      <c r="B55" s="240"/>
      <c r="C55" s="240" t="s">
        <v>5896</v>
      </c>
      <c r="D55" s="60">
        <v>8</v>
      </c>
      <c r="F55" s="155"/>
      <c r="H55" s="117"/>
      <c r="I55" s="115"/>
      <c r="J55" s="64"/>
      <c r="L55" s="117"/>
      <c r="M55" s="157">
        <f>L55*J55</f>
        <v>0</v>
      </c>
      <c r="O55" s="117"/>
      <c r="P55" s="258"/>
      <c r="Q55" s="57"/>
      <c r="R55" s="64"/>
      <c r="T55" s="112"/>
      <c r="U55" s="57"/>
      <c r="V55" s="1780"/>
      <c r="X55" s="117"/>
      <c r="Y55" s="258"/>
      <c r="Z55" s="57"/>
      <c r="AA55" s="64"/>
      <c r="AC55" s="112"/>
      <c r="AD55" s="57"/>
      <c r="AE55" s="1780"/>
      <c r="AG55" s="112"/>
      <c r="AH55" s="258"/>
      <c r="AI55" s="57"/>
      <c r="AJ55" s="64"/>
      <c r="AL55" s="112"/>
      <c r="AM55" s="57"/>
      <c r="AN55" s="1780"/>
      <c r="AP55" s="112"/>
      <c r="AQ55" s="258"/>
      <c r="AR55" s="57"/>
      <c r="AS55" s="476"/>
      <c r="AU55" s="112"/>
      <c r="AV55" s="57"/>
      <c r="AW55" s="1780"/>
      <c r="AY55" s="26"/>
      <c r="BA55" s="112"/>
      <c r="BB55" s="258"/>
      <c r="BC55" s="57"/>
      <c r="BD55" s="64"/>
      <c r="BF55" s="112"/>
      <c r="BG55" s="57"/>
      <c r="BH55" s="1034"/>
      <c r="BJ55" s="26"/>
    </row>
    <row r="56" spans="1:62" x14ac:dyDescent="0.35">
      <c r="A56" s="9168"/>
      <c r="B56" s="240"/>
      <c r="C56" s="238" t="s">
        <v>933</v>
      </c>
      <c r="D56" s="60"/>
      <c r="F56" s="155"/>
      <c r="H56" s="117"/>
      <c r="I56" s="115"/>
      <c r="J56" s="64"/>
      <c r="L56" s="117"/>
      <c r="M56" s="157">
        <f>L56*J56</f>
        <v>0</v>
      </c>
      <c r="O56" s="117"/>
      <c r="P56" s="260"/>
      <c r="Q56"/>
      <c r="R56" s="64"/>
      <c r="T56" s="112"/>
      <c r="V56" s="66"/>
      <c r="X56" s="117"/>
      <c r="Y56" s="260"/>
      <c r="Z56"/>
      <c r="AA56" s="64"/>
      <c r="AC56" s="112"/>
      <c r="AE56" s="66"/>
      <c r="AG56" s="112"/>
      <c r="AH56" s="260"/>
      <c r="AI56"/>
      <c r="AJ56" s="64"/>
      <c r="AL56" s="112"/>
      <c r="AN56" s="66"/>
      <c r="AP56" s="112"/>
      <c r="AQ56" s="260"/>
      <c r="AR56"/>
      <c r="AS56" s="476"/>
      <c r="AU56" s="112"/>
      <c r="AW56" s="66"/>
      <c r="AY56" s="26"/>
      <c r="BA56" s="112"/>
      <c r="BB56" s="260"/>
      <c r="BC56"/>
      <c r="BD56" s="64"/>
      <c r="BF56" s="112"/>
      <c r="BH56" s="1034"/>
      <c r="BJ56" s="26"/>
    </row>
    <row r="57" spans="1:62" x14ac:dyDescent="0.35">
      <c r="A57" s="9168"/>
      <c r="B57" s="240"/>
      <c r="C57" s="240" t="s">
        <v>4295</v>
      </c>
      <c r="D57" s="60"/>
      <c r="F57" s="155"/>
      <c r="H57" s="117"/>
      <c r="I57" s="115"/>
      <c r="J57" s="64"/>
      <c r="L57" s="117"/>
      <c r="M57" s="157">
        <f>L57*J57</f>
        <v>0</v>
      </c>
      <c r="O57" s="117"/>
      <c r="P57" s="261"/>
      <c r="Q57" s="106"/>
      <c r="R57" s="64"/>
      <c r="T57" s="262"/>
      <c r="U57" s="106"/>
      <c r="V57" s="66"/>
      <c r="X57" s="117"/>
      <c r="Y57" s="261"/>
      <c r="Z57" s="106"/>
      <c r="AA57" s="64"/>
      <c r="AC57" s="262"/>
      <c r="AD57" s="106"/>
      <c r="AE57" s="66"/>
      <c r="AG57" s="262"/>
      <c r="AH57" s="261"/>
      <c r="AI57" s="106"/>
      <c r="AJ57" s="64"/>
      <c r="AL57" s="262"/>
      <c r="AM57" s="106"/>
      <c r="AN57" s="66"/>
      <c r="AP57" s="262"/>
      <c r="AQ57" s="261"/>
      <c r="AR57" s="106"/>
      <c r="AS57" s="476"/>
      <c r="AU57" s="262"/>
      <c r="AV57" s="106"/>
      <c r="AW57" s="66"/>
      <c r="AY57" s="26"/>
      <c r="BA57" s="262"/>
      <c r="BB57" s="261"/>
      <c r="BC57" s="106"/>
      <c r="BD57" s="64"/>
      <c r="BF57" s="262"/>
      <c r="BG57" s="106"/>
      <c r="BH57" s="1034"/>
      <c r="BJ57" s="26"/>
    </row>
    <row r="58" spans="1:62" x14ac:dyDescent="0.35">
      <c r="A58" s="9168"/>
      <c r="B58" s="241"/>
      <c r="C58" s="241" t="s">
        <v>4296</v>
      </c>
      <c r="D58" s="87"/>
      <c r="F58" s="130"/>
      <c r="H58" s="131"/>
      <c r="I58" s="132"/>
      <c r="J58" s="133"/>
      <c r="L58" s="242"/>
      <c r="M58" s="157">
        <f>L58*J58</f>
        <v>0</v>
      </c>
      <c r="O58" s="131"/>
      <c r="P58" s="264"/>
      <c r="Q58" s="216"/>
      <c r="R58" s="133"/>
      <c r="T58" s="131"/>
      <c r="U58" s="216"/>
      <c r="V58" s="92"/>
      <c r="X58" s="131"/>
      <c r="Y58" s="264"/>
      <c r="Z58" s="216"/>
      <c r="AA58" s="133"/>
      <c r="AC58" s="131"/>
      <c r="AD58" s="216"/>
      <c r="AE58" s="92"/>
      <c r="AG58" s="131"/>
      <c r="AH58" s="264"/>
      <c r="AI58" s="216"/>
      <c r="AJ58" s="133"/>
      <c r="AL58" s="131"/>
      <c r="AM58" s="216"/>
      <c r="AN58" s="92"/>
      <c r="AP58" s="131"/>
      <c r="AQ58" s="264"/>
      <c r="AR58" s="216"/>
      <c r="AS58" s="484"/>
      <c r="AU58" s="131"/>
      <c r="AV58" s="216"/>
      <c r="AW58" s="92"/>
      <c r="AY58" s="26"/>
      <c r="BA58" s="131"/>
      <c r="BB58" s="264"/>
      <c r="BC58" s="216"/>
      <c r="BD58" s="133"/>
      <c r="BF58" s="131"/>
      <c r="BG58" s="216"/>
      <c r="BH58" s="485"/>
      <c r="BJ58" s="26"/>
    </row>
    <row r="59" spans="1:62" x14ac:dyDescent="0.35">
      <c r="A59" s="9168"/>
      <c r="B59" s="266" t="s">
        <v>540</v>
      </c>
      <c r="C59" s="266"/>
      <c r="D59" s="140"/>
      <c r="E59" s="141"/>
      <c r="F59" s="227"/>
      <c r="G59" s="141"/>
      <c r="H59" s="245"/>
      <c r="I59" s="106"/>
      <c r="J59" s="267"/>
      <c r="K59" s="141"/>
      <c r="L59" s="102"/>
      <c r="M59" s="268"/>
      <c r="N59" s="141"/>
      <c r="O59" s="245"/>
      <c r="P59" s="106"/>
      <c r="Q59" s="53"/>
      <c r="R59" s="267"/>
      <c r="S59" s="141"/>
      <c r="T59" s="102"/>
      <c r="U59" s="231"/>
      <c r="V59" s="3377"/>
      <c r="W59" s="141"/>
      <c r="X59" s="245"/>
      <c r="Y59" s="106"/>
      <c r="Z59" s="53"/>
      <c r="AA59" s="267"/>
      <c r="AB59" s="141"/>
      <c r="AC59" s="102"/>
      <c r="AD59" s="231"/>
      <c r="AE59" s="3377"/>
      <c r="AF59" s="141"/>
      <c r="AG59" s="102"/>
      <c r="AH59" s="106"/>
      <c r="AI59" s="53"/>
      <c r="AJ59" s="267"/>
      <c r="AK59" s="141"/>
      <c r="AL59" s="102"/>
      <c r="AM59" s="231"/>
      <c r="AN59" s="3377"/>
      <c r="AO59" s="141"/>
      <c r="AP59" s="102"/>
      <c r="AQ59" s="106"/>
      <c r="AR59" s="53"/>
      <c r="AS59" s="518"/>
      <c r="AT59" s="141"/>
      <c r="AU59" s="102"/>
      <c r="AV59" s="231"/>
      <c r="AW59" s="3377"/>
      <c r="AX59" s="141"/>
      <c r="AY59" s="18"/>
      <c r="AZ59" s="141"/>
      <c r="BA59" s="102"/>
      <c r="BB59" s="106"/>
      <c r="BC59" s="53"/>
      <c r="BD59" s="267"/>
      <c r="BE59" s="141"/>
      <c r="BF59" s="102"/>
      <c r="BG59" s="231"/>
      <c r="BH59" s="3377"/>
      <c r="BI59" s="141"/>
      <c r="BJ59" s="18"/>
    </row>
    <row r="60" spans="1:62" x14ac:dyDescent="0.35">
      <c r="A60" s="9168"/>
      <c r="B60" s="232"/>
      <c r="C60" s="232" t="s">
        <v>5892</v>
      </c>
      <c r="D60" s="60"/>
      <c r="F60" s="111"/>
      <c r="H60" s="112"/>
      <c r="I60" s="113"/>
      <c r="J60" s="64"/>
      <c r="L60" s="112"/>
      <c r="M60" s="157">
        <f t="shared" ref="M60:M67" si="3">L60*J60</f>
        <v>0</v>
      </c>
      <c r="O60" s="112"/>
      <c r="P60" s="233"/>
      <c r="Q60" s="106"/>
      <c r="R60" s="64"/>
      <c r="T60" s="112"/>
      <c r="U60" s="254"/>
      <c r="V60" s="66"/>
      <c r="X60" s="112"/>
      <c r="Y60" s="233"/>
      <c r="Z60" s="106"/>
      <c r="AA60" s="64"/>
      <c r="AC60" s="112"/>
      <c r="AD60" s="254"/>
      <c r="AE60" s="66"/>
      <c r="AG60" s="112"/>
      <c r="AH60" s="233"/>
      <c r="AI60" s="106"/>
      <c r="AJ60" s="64"/>
      <c r="AL60" s="112"/>
      <c r="AM60" s="254"/>
      <c r="AN60" s="66"/>
      <c r="AP60" s="112"/>
      <c r="AQ60" s="233"/>
      <c r="AR60" s="106"/>
      <c r="AS60" s="476"/>
      <c r="AU60" s="112"/>
      <c r="AV60" s="254"/>
      <c r="AW60" s="66"/>
      <c r="AY60" s="26"/>
      <c r="BA60" s="112"/>
      <c r="BB60" s="233"/>
      <c r="BC60" s="106"/>
      <c r="BD60" s="64"/>
      <c r="BF60" s="112"/>
      <c r="BG60" s="254"/>
      <c r="BH60" s="1034"/>
      <c r="BJ60" s="26"/>
    </row>
    <row r="61" spans="1:62" x14ac:dyDescent="0.35">
      <c r="A61" s="9168"/>
      <c r="B61" s="240"/>
      <c r="C61" s="240" t="s">
        <v>548</v>
      </c>
      <c r="D61" s="60"/>
      <c r="F61" s="155"/>
      <c r="H61" s="117"/>
      <c r="I61" s="115"/>
      <c r="J61" s="64"/>
      <c r="L61" s="117"/>
      <c r="M61" s="157">
        <f t="shared" si="3"/>
        <v>0</v>
      </c>
      <c r="O61" s="117"/>
      <c r="P61" s="201"/>
      <c r="Q61" s="106"/>
      <c r="R61" s="64"/>
      <c r="T61" s="117"/>
      <c r="U61" s="254"/>
      <c r="V61" s="66"/>
      <c r="X61" s="117"/>
      <c r="Y61" s="201"/>
      <c r="Z61" s="106"/>
      <c r="AA61" s="64"/>
      <c r="AC61" s="117"/>
      <c r="AD61" s="254"/>
      <c r="AE61" s="66"/>
      <c r="AG61" s="117"/>
      <c r="AH61" s="201"/>
      <c r="AI61" s="106"/>
      <c r="AJ61" s="64"/>
      <c r="AL61" s="117"/>
      <c r="AM61" s="254"/>
      <c r="AN61" s="66"/>
      <c r="AP61" s="117"/>
      <c r="AQ61" s="201"/>
      <c r="AR61" s="106"/>
      <c r="AS61" s="476"/>
      <c r="AU61" s="117"/>
      <c r="AV61" s="254"/>
      <c r="AW61" s="66"/>
      <c r="AY61" s="26"/>
      <c r="BA61" s="117"/>
      <c r="BB61" s="201"/>
      <c r="BC61" s="106"/>
      <c r="BD61" s="64"/>
      <c r="BF61" s="117"/>
      <c r="BG61" s="254"/>
      <c r="BH61" s="1034"/>
      <c r="BJ61" s="26"/>
    </row>
    <row r="62" spans="1:62" x14ac:dyDescent="0.35">
      <c r="A62" s="9168"/>
      <c r="B62" s="232"/>
      <c r="C62" s="232" t="s">
        <v>4285</v>
      </c>
      <c r="D62" s="60"/>
      <c r="F62" s="163"/>
      <c r="H62" s="242"/>
      <c r="I62" s="243"/>
      <c r="J62" s="64"/>
      <c r="L62" s="242"/>
      <c r="M62" s="157">
        <f t="shared" si="3"/>
        <v>0</v>
      </c>
      <c r="O62" s="242"/>
      <c r="P62" s="233"/>
      <c r="R62" s="64"/>
      <c r="T62" s="242"/>
      <c r="U62" s="106"/>
      <c r="V62" s="3021"/>
      <c r="X62" s="242"/>
      <c r="Y62" s="233"/>
      <c r="AA62" s="64"/>
      <c r="AC62" s="242"/>
      <c r="AD62" s="106"/>
      <c r="AE62" s="3021"/>
      <c r="AG62" s="242"/>
      <c r="AH62" s="233"/>
      <c r="AJ62" s="64"/>
      <c r="AL62" s="242"/>
      <c r="AM62" s="106"/>
      <c r="AN62" s="3021"/>
      <c r="AP62" s="242"/>
      <c r="AQ62" s="233"/>
      <c r="AS62" s="476"/>
      <c r="AU62" s="242"/>
      <c r="AV62" s="106"/>
      <c r="AW62" s="3021"/>
      <c r="AY62" s="26"/>
      <c r="BA62" s="242"/>
      <c r="BB62" s="233"/>
      <c r="BD62" s="64"/>
      <c r="BF62" s="242"/>
      <c r="BG62" s="106"/>
      <c r="BH62" s="1034"/>
      <c r="BJ62" s="26"/>
    </row>
    <row r="63" spans="1:62" x14ac:dyDescent="0.35">
      <c r="A63" s="9168"/>
      <c r="B63" s="240"/>
      <c r="C63" s="240" t="s">
        <v>3868</v>
      </c>
      <c r="D63" s="60"/>
      <c r="F63" s="163"/>
      <c r="H63" s="242"/>
      <c r="I63" s="243"/>
      <c r="J63" s="64"/>
      <c r="L63" s="242"/>
      <c r="M63" s="157">
        <f t="shared" si="3"/>
        <v>0</v>
      </c>
      <c r="O63" s="242"/>
      <c r="P63" s="201"/>
      <c r="R63" s="64"/>
      <c r="T63" s="242"/>
      <c r="U63" s="106"/>
      <c r="V63" s="3021"/>
      <c r="X63" s="242"/>
      <c r="Y63" s="201"/>
      <c r="AA63" s="64"/>
      <c r="AC63" s="242"/>
      <c r="AD63" s="106"/>
      <c r="AE63" s="3021"/>
      <c r="AG63" s="242"/>
      <c r="AH63" s="201"/>
      <c r="AJ63" s="64"/>
      <c r="AL63" s="242"/>
      <c r="AM63" s="106"/>
      <c r="AN63" s="3021"/>
      <c r="AP63" s="242"/>
      <c r="AQ63" s="201"/>
      <c r="AS63" s="476"/>
      <c r="AU63" s="242"/>
      <c r="AV63" s="106"/>
      <c r="AW63" s="3021"/>
      <c r="AY63" s="26"/>
      <c r="BA63" s="242"/>
      <c r="BB63" s="201"/>
      <c r="BD63" s="64"/>
      <c r="BF63" s="242"/>
      <c r="BG63" s="106"/>
      <c r="BH63" s="1034"/>
      <c r="BJ63" s="26"/>
    </row>
    <row r="64" spans="1:62" x14ac:dyDescent="0.35">
      <c r="A64" s="9168"/>
      <c r="B64" s="240"/>
      <c r="C64" s="240" t="s">
        <v>5897</v>
      </c>
      <c r="D64" s="60"/>
      <c r="F64" s="163"/>
      <c r="H64" s="242"/>
      <c r="I64" s="243"/>
      <c r="J64" s="64"/>
      <c r="L64" s="242"/>
      <c r="M64" s="157">
        <f t="shared" si="3"/>
        <v>0</v>
      </c>
      <c r="O64" s="242"/>
      <c r="P64" s="233"/>
      <c r="Q64" s="106"/>
      <c r="R64" s="64"/>
      <c r="T64" s="242"/>
      <c r="U64" s="106"/>
      <c r="V64" s="66"/>
      <c r="X64" s="242"/>
      <c r="Y64" s="233"/>
      <c r="Z64" s="106"/>
      <c r="AA64" s="64"/>
      <c r="AC64" s="242"/>
      <c r="AD64" s="106"/>
      <c r="AE64" s="66"/>
      <c r="AG64" s="242"/>
      <c r="AH64" s="233"/>
      <c r="AI64" s="106"/>
      <c r="AJ64" s="64"/>
      <c r="AL64" s="242"/>
      <c r="AM64" s="106"/>
      <c r="AN64" s="66"/>
      <c r="AP64" s="242"/>
      <c r="AQ64" s="233"/>
      <c r="AR64" s="106"/>
      <c r="AS64" s="476"/>
      <c r="AU64" s="242"/>
      <c r="AV64" s="106"/>
      <c r="AW64" s="66"/>
      <c r="AY64" s="26"/>
      <c r="BA64" s="242"/>
      <c r="BB64" s="233"/>
      <c r="BC64" s="106"/>
      <c r="BD64" s="64"/>
      <c r="BF64" s="242"/>
      <c r="BG64" s="106"/>
      <c r="BH64" s="1034"/>
      <c r="BJ64" s="26"/>
    </row>
    <row r="65" spans="1:62" x14ac:dyDescent="0.35">
      <c r="A65" s="9168"/>
      <c r="B65" s="240"/>
      <c r="C65" s="240" t="s">
        <v>5898</v>
      </c>
      <c r="D65" s="60"/>
      <c r="F65" s="163"/>
      <c r="H65" s="242"/>
      <c r="I65" s="243"/>
      <c r="J65" s="64"/>
      <c r="L65" s="242"/>
      <c r="M65" s="157">
        <f t="shared" si="3"/>
        <v>0</v>
      </c>
      <c r="O65" s="242"/>
      <c r="P65" s="201"/>
      <c r="Q65" s="106"/>
      <c r="R65" s="64"/>
      <c r="T65" s="242"/>
      <c r="U65" s="106"/>
      <c r="V65" s="1780"/>
      <c r="X65" s="242"/>
      <c r="Y65" s="201"/>
      <c r="Z65" s="106"/>
      <c r="AA65" s="64"/>
      <c r="AC65" s="242"/>
      <c r="AD65" s="106"/>
      <c r="AE65" s="1780"/>
      <c r="AG65" s="242"/>
      <c r="AH65" s="201"/>
      <c r="AI65" s="106"/>
      <c r="AJ65" s="64"/>
      <c r="AL65" s="242"/>
      <c r="AM65" s="106"/>
      <c r="AN65" s="1780"/>
      <c r="AP65" s="242"/>
      <c r="AQ65" s="201"/>
      <c r="AR65" s="106"/>
      <c r="AS65" s="476"/>
      <c r="AU65" s="242"/>
      <c r="AV65" s="106"/>
      <c r="AW65" s="1780"/>
      <c r="AY65" s="26"/>
      <c r="BA65" s="242"/>
      <c r="BB65" s="201"/>
      <c r="BC65" s="106"/>
      <c r="BD65" s="64"/>
      <c r="BF65" s="242"/>
      <c r="BG65" s="106"/>
      <c r="BH65" s="1034"/>
      <c r="BJ65" s="26"/>
    </row>
    <row r="66" spans="1:62" x14ac:dyDescent="0.35">
      <c r="A66" s="9168"/>
      <c r="B66" s="240"/>
      <c r="C66" s="240" t="s">
        <v>4296</v>
      </c>
      <c r="D66" s="60"/>
      <c r="F66" s="163"/>
      <c r="H66" s="242"/>
      <c r="I66" s="243"/>
      <c r="J66" s="64"/>
      <c r="L66" s="242"/>
      <c r="M66" s="157">
        <f t="shared" si="3"/>
        <v>0</v>
      </c>
      <c r="O66" s="242"/>
      <c r="P66" s="201"/>
      <c r="Q66" s="106"/>
      <c r="R66" s="64"/>
      <c r="T66" s="242"/>
      <c r="U66" s="106"/>
      <c r="V66" s="66"/>
      <c r="X66" s="242"/>
      <c r="Y66" s="201"/>
      <c r="Z66" s="106"/>
      <c r="AA66" s="64"/>
      <c r="AC66" s="242"/>
      <c r="AD66" s="106"/>
      <c r="AE66" s="66"/>
      <c r="AG66" s="242"/>
      <c r="AH66" s="201"/>
      <c r="AI66" s="106"/>
      <c r="AJ66" s="64"/>
      <c r="AL66" s="242"/>
      <c r="AM66" s="106"/>
      <c r="AN66" s="66"/>
      <c r="AP66" s="242"/>
      <c r="AQ66" s="201"/>
      <c r="AR66" s="106"/>
      <c r="AS66" s="476"/>
      <c r="AU66" s="242"/>
      <c r="AV66" s="106"/>
      <c r="AW66" s="66"/>
      <c r="AY66" s="26"/>
      <c r="BA66" s="242"/>
      <c r="BB66" s="201"/>
      <c r="BC66" s="106"/>
      <c r="BD66" s="64"/>
      <c r="BF66" s="242"/>
      <c r="BG66" s="106"/>
      <c r="BH66" s="1034"/>
      <c r="BJ66" s="26"/>
    </row>
    <row r="67" spans="1:62" x14ac:dyDescent="0.35">
      <c r="A67" s="9168"/>
      <c r="B67" s="250"/>
      <c r="C67" s="250" t="s">
        <v>4301</v>
      </c>
      <c r="D67" s="87"/>
      <c r="F67" s="130"/>
      <c r="H67" s="242"/>
      <c r="I67" s="243"/>
      <c r="J67" s="64"/>
      <c r="L67" s="242"/>
      <c r="M67" s="157">
        <f t="shared" si="3"/>
        <v>0</v>
      </c>
      <c r="O67" s="242"/>
      <c r="P67" s="201"/>
      <c r="Q67" s="216"/>
      <c r="R67" s="64"/>
      <c r="T67" s="242"/>
      <c r="U67" s="216"/>
      <c r="V67" s="92"/>
      <c r="X67" s="242"/>
      <c r="Y67" s="201"/>
      <c r="Z67" s="216"/>
      <c r="AA67" s="64"/>
      <c r="AC67" s="242"/>
      <c r="AD67" s="216"/>
      <c r="AE67" s="92"/>
      <c r="AG67" s="242"/>
      <c r="AH67" s="201"/>
      <c r="AI67" s="216"/>
      <c r="AJ67" s="64"/>
      <c r="AL67" s="242"/>
      <c r="AM67" s="216"/>
      <c r="AN67" s="92"/>
      <c r="AP67" s="242"/>
      <c r="AQ67" s="201"/>
      <c r="AR67" s="216"/>
      <c r="AS67" s="476"/>
      <c r="AU67" s="242"/>
      <c r="AV67" s="106"/>
      <c r="AW67" s="66"/>
      <c r="AY67" s="24"/>
      <c r="BA67" s="242"/>
      <c r="BB67" s="201"/>
      <c r="BC67" s="216"/>
      <c r="BD67" s="64"/>
      <c r="BF67" s="242"/>
      <c r="BG67" s="106"/>
      <c r="BH67" s="1034"/>
      <c r="BJ67" s="24"/>
    </row>
    <row r="68" spans="1:62" x14ac:dyDescent="0.35">
      <c r="A68" s="9168"/>
      <c r="B68" s="271" t="s">
        <v>552</v>
      </c>
      <c r="C68" s="271"/>
      <c r="D68" s="140"/>
      <c r="E68" s="143"/>
      <c r="F68" s="227"/>
      <c r="G68" s="143"/>
      <c r="H68" s="102"/>
      <c r="I68" s="103"/>
      <c r="J68" s="228"/>
      <c r="K68" s="143"/>
      <c r="L68" s="102"/>
      <c r="M68" s="268"/>
      <c r="N68" s="143"/>
      <c r="O68" s="102"/>
      <c r="P68" s="103"/>
      <c r="Q68" s="106"/>
      <c r="R68" s="228"/>
      <c r="S68" s="143"/>
      <c r="T68" s="102"/>
      <c r="U68" s="106"/>
      <c r="V68" s="105"/>
      <c r="W68" s="143"/>
      <c r="X68" s="102"/>
      <c r="Y68" s="103"/>
      <c r="Z68" s="106"/>
      <c r="AA68" s="228"/>
      <c r="AB68" s="143"/>
      <c r="AC68" s="102"/>
      <c r="AD68" s="106"/>
      <c r="AE68" s="105"/>
      <c r="AF68" s="143"/>
      <c r="AG68" s="102"/>
      <c r="AH68" s="103"/>
      <c r="AI68" s="106"/>
      <c r="AJ68" s="228"/>
      <c r="AK68" s="143"/>
      <c r="AL68" s="102"/>
      <c r="AM68" s="106"/>
      <c r="AN68" s="105"/>
      <c r="AO68" s="143"/>
      <c r="AP68" s="102"/>
      <c r="AQ68" s="103"/>
      <c r="AR68" s="106"/>
      <c r="AS68" s="228"/>
      <c r="AT68" s="143"/>
      <c r="AU68" s="7499" t="s">
        <v>5899</v>
      </c>
      <c r="AV68" s="348"/>
      <c r="AW68" s="105" t="s">
        <v>860</v>
      </c>
      <c r="AX68" s="143"/>
      <c r="AY68" s="18"/>
      <c r="AZ68" s="143"/>
      <c r="BA68" s="7499" t="s">
        <v>5899</v>
      </c>
      <c r="BB68" s="103"/>
      <c r="BC68" s="106"/>
      <c r="BD68" s="228"/>
      <c r="BE68" s="143"/>
      <c r="BF68" s="7499" t="s">
        <v>5899</v>
      </c>
      <c r="BG68" s="348"/>
      <c r="BH68" s="105" t="s">
        <v>860</v>
      </c>
      <c r="BI68" s="143"/>
      <c r="BJ68" s="18"/>
    </row>
    <row r="69" spans="1:62" x14ac:dyDescent="0.35">
      <c r="A69" s="9168"/>
      <c r="B69" s="272"/>
      <c r="C69" s="272" t="s">
        <v>980</v>
      </c>
      <c r="D69" s="60"/>
      <c r="F69" s="155"/>
      <c r="H69" s="117"/>
      <c r="I69" s="115"/>
      <c r="J69" s="64"/>
      <c r="L69" s="117"/>
      <c r="M69" s="157">
        <f>M29*M72</f>
        <v>0</v>
      </c>
      <c r="O69" s="117"/>
      <c r="P69" s="201"/>
      <c r="Q69" s="106"/>
      <c r="R69" s="64"/>
      <c r="T69" s="117"/>
      <c r="U69" s="106"/>
      <c r="V69" s="66"/>
      <c r="X69" s="117"/>
      <c r="Y69" s="201"/>
      <c r="Z69" s="106"/>
      <c r="AA69" s="64"/>
      <c r="AC69" s="117"/>
      <c r="AD69" s="106"/>
      <c r="AE69" s="66"/>
      <c r="AG69" s="117"/>
      <c r="AH69" s="201"/>
      <c r="AI69" s="106"/>
      <c r="AJ69" s="64"/>
      <c r="AL69" s="117"/>
      <c r="AM69" s="106"/>
      <c r="AN69" s="66"/>
      <c r="AP69" s="117"/>
      <c r="AQ69" s="201"/>
      <c r="AR69" s="106"/>
      <c r="AS69" s="476"/>
      <c r="AU69" s="117"/>
      <c r="AV69" s="106"/>
      <c r="AW69" s="66"/>
      <c r="AY69" s="26"/>
      <c r="BA69" s="117"/>
      <c r="BB69" s="201"/>
      <c r="BC69" s="106"/>
      <c r="BD69" s="64"/>
      <c r="BF69" s="117"/>
      <c r="BG69" s="106"/>
      <c r="BH69" s="1034"/>
      <c r="BJ69" s="26"/>
    </row>
    <row r="70" spans="1:62" x14ac:dyDescent="0.35">
      <c r="A70" s="9168"/>
      <c r="B70" s="274"/>
      <c r="C70" s="275" t="s">
        <v>11</v>
      </c>
      <c r="D70" s="60"/>
      <c r="F70" s="163"/>
      <c r="H70" s="242"/>
      <c r="I70" s="243"/>
      <c r="J70" s="64"/>
      <c r="L70" s="242"/>
      <c r="M70" s="157"/>
      <c r="O70" s="117"/>
      <c r="P70" s="201"/>
      <c r="Q70" s="106"/>
      <c r="R70" s="64"/>
      <c r="T70" s="117"/>
      <c r="U70" s="106"/>
      <c r="V70" s="66"/>
      <c r="X70" s="117"/>
      <c r="Y70" s="201"/>
      <c r="Z70" s="106"/>
      <c r="AA70" s="64"/>
      <c r="AC70" s="117"/>
      <c r="AD70" s="106"/>
      <c r="AE70" s="66"/>
      <c r="AG70" s="117"/>
      <c r="AH70" s="201"/>
      <c r="AI70" s="106"/>
      <c r="AJ70" s="64"/>
      <c r="AL70" s="117"/>
      <c r="AM70" s="106"/>
      <c r="AN70" s="66"/>
      <c r="AP70" s="117"/>
      <c r="AQ70" s="201"/>
      <c r="AR70" s="106"/>
      <c r="AS70" s="476"/>
      <c r="AU70" s="117">
        <v>55259.298999999999</v>
      </c>
      <c r="AW70" s="66">
        <f>AU70*AW17/AU17</f>
        <v>55802.368595641645</v>
      </c>
      <c r="AY70" s="26"/>
      <c r="BA70" s="117">
        <v>55259.298999999999</v>
      </c>
      <c r="BB70" s="8310"/>
      <c r="BC70" s="106"/>
      <c r="BD70" s="64"/>
      <c r="BF70" s="809">
        <v>55259.298999999999</v>
      </c>
      <c r="BH70" s="1034">
        <f>BF70*BH17/BF17</f>
        <v>48542.119254510922</v>
      </c>
      <c r="BJ70" s="26"/>
    </row>
    <row r="71" spans="1:62" x14ac:dyDescent="0.35">
      <c r="A71" s="9168"/>
      <c r="B71" s="274"/>
      <c r="C71" s="275" t="s">
        <v>1116</v>
      </c>
      <c r="D71" s="60"/>
      <c r="F71" s="163"/>
      <c r="H71" s="242"/>
      <c r="I71" s="243"/>
      <c r="J71" s="64"/>
      <c r="L71" s="242"/>
      <c r="M71" s="157"/>
      <c r="O71" s="117"/>
      <c r="P71" s="201"/>
      <c r="Q71" s="106"/>
      <c r="R71" s="64"/>
      <c r="T71" s="117"/>
      <c r="U71" s="106"/>
      <c r="V71" s="66"/>
      <c r="X71" s="117"/>
      <c r="Y71" s="201"/>
      <c r="Z71" s="106"/>
      <c r="AA71" s="64"/>
      <c r="AC71" s="117"/>
      <c r="AD71" s="106"/>
      <c r="AE71" s="66"/>
      <c r="AG71" s="117"/>
      <c r="AH71" s="201"/>
      <c r="AI71" s="106"/>
      <c r="AJ71" s="64"/>
      <c r="AL71" s="117"/>
      <c r="AM71" s="106"/>
      <c r="AN71" s="66"/>
      <c r="AP71" s="117"/>
      <c r="AQ71" s="201"/>
      <c r="AR71" s="106"/>
      <c r="AS71" s="476"/>
      <c r="AU71" s="117"/>
      <c r="AV71" s="106"/>
      <c r="AW71" s="66"/>
      <c r="AY71" s="26"/>
      <c r="BA71" s="117"/>
      <c r="BB71" s="201"/>
      <c r="BC71" s="106"/>
      <c r="BD71" s="64"/>
      <c r="BF71" s="117"/>
      <c r="BG71" s="106"/>
      <c r="BH71" s="1034"/>
      <c r="BJ71" s="26"/>
    </row>
    <row r="72" spans="1:62" x14ac:dyDescent="0.35">
      <c r="A72" s="9168"/>
      <c r="B72" s="277"/>
      <c r="C72" s="277" t="s">
        <v>555</v>
      </c>
      <c r="D72" s="87"/>
      <c r="F72" s="278"/>
      <c r="G72" s="279"/>
      <c r="H72" s="280"/>
      <c r="I72" s="281"/>
      <c r="J72" s="133"/>
      <c r="L72" s="280"/>
      <c r="M72" s="282"/>
      <c r="O72" s="283"/>
      <c r="P72" s="201"/>
      <c r="Q72" s="284"/>
      <c r="R72" s="133"/>
      <c r="T72" s="283"/>
      <c r="U72" s="284"/>
      <c r="V72" s="1800"/>
      <c r="X72" s="283"/>
      <c r="Y72" s="201"/>
      <c r="Z72" s="284"/>
      <c r="AA72" s="133"/>
      <c r="AC72" s="283"/>
      <c r="AD72" s="284"/>
      <c r="AE72" s="1800"/>
      <c r="AG72" s="283"/>
      <c r="AH72" s="201"/>
      <c r="AI72" s="284"/>
      <c r="AJ72" s="133"/>
      <c r="AL72" s="283"/>
      <c r="AM72" s="284"/>
      <c r="AN72" s="1800"/>
      <c r="AP72" s="283"/>
      <c r="AQ72" s="201"/>
      <c r="AR72" s="3329"/>
      <c r="AS72" s="484"/>
      <c r="AU72" s="283"/>
      <c r="AV72" s="3329"/>
      <c r="AW72" s="3395"/>
      <c r="AY72" s="24"/>
      <c r="BA72" s="283"/>
      <c r="BB72" s="201"/>
      <c r="BC72" s="284"/>
      <c r="BD72" s="133"/>
      <c r="BF72" s="283"/>
      <c r="BG72" s="284"/>
      <c r="BH72" s="1034"/>
      <c r="BJ72" s="24"/>
    </row>
    <row r="73" spans="1:62" x14ac:dyDescent="0.35">
      <c r="A73" s="9168"/>
      <c r="B73" s="287" t="s">
        <v>556</v>
      </c>
      <c r="C73" s="288"/>
      <c r="D73" s="140"/>
      <c r="E73" s="143"/>
      <c r="F73" s="289"/>
      <c r="G73" s="290"/>
      <c r="H73" s="291"/>
      <c r="I73" s="292"/>
      <c r="J73" s="293"/>
      <c r="L73" s="291"/>
      <c r="M73" s="268"/>
      <c r="N73" s="143"/>
      <c r="O73" s="291"/>
      <c r="P73" s="292"/>
      <c r="Q73" s="106"/>
      <c r="R73" s="293"/>
      <c r="T73" s="291"/>
      <c r="U73" s="106"/>
      <c r="V73" s="294"/>
      <c r="W73" s="143"/>
      <c r="X73" s="291"/>
      <c r="Y73" s="292"/>
      <c r="Z73" s="106"/>
      <c r="AA73" s="293"/>
      <c r="AC73" s="291"/>
      <c r="AD73" s="106"/>
      <c r="AE73" s="294"/>
      <c r="AF73" s="143"/>
      <c r="AG73" s="291"/>
      <c r="AH73" s="292"/>
      <c r="AI73" s="106"/>
      <c r="AJ73" s="293"/>
      <c r="AL73" s="291"/>
      <c r="AM73" s="106"/>
      <c r="AN73" s="294"/>
      <c r="AO73" s="143"/>
      <c r="AP73" s="291"/>
      <c r="AQ73" s="292"/>
      <c r="AR73" s="106"/>
      <c r="AS73" s="293"/>
      <c r="AU73" s="1388"/>
      <c r="AV73" s="106"/>
      <c r="AW73" s="5068"/>
      <c r="AX73" s="143"/>
      <c r="AY73" s="18"/>
      <c r="AZ73" s="143"/>
      <c r="BA73" s="1388"/>
      <c r="BB73" s="292"/>
      <c r="BC73" s="106"/>
      <c r="BD73" s="293"/>
      <c r="BF73" s="1388"/>
      <c r="BG73" s="106"/>
      <c r="BH73" s="5068"/>
      <c r="BI73" s="143"/>
      <c r="BJ73" s="18"/>
    </row>
    <row r="74" spans="1:62" x14ac:dyDescent="0.35">
      <c r="A74" s="9168"/>
      <c r="B74" s="295"/>
      <c r="C74" s="296" t="s">
        <v>3603</v>
      </c>
      <c r="D74" s="60"/>
      <c r="F74" s="61"/>
      <c r="G74" s="272"/>
      <c r="H74" s="62"/>
      <c r="I74" s="63"/>
      <c r="J74" s="297">
        <f>IF(H74=0,0,I74/H74)</f>
        <v>0</v>
      </c>
      <c r="L74" s="62"/>
      <c r="M74" s="157">
        <f>L74*J74</f>
        <v>0</v>
      </c>
      <c r="O74" s="298"/>
      <c r="P74" s="299"/>
      <c r="Q74" s="57"/>
      <c r="R74" s="300"/>
      <c r="T74" s="62"/>
      <c r="U74" s="57"/>
      <c r="V74" s="301"/>
      <c r="X74" s="298"/>
      <c r="Y74" s="299"/>
      <c r="Z74" s="57"/>
      <c r="AA74" s="300"/>
      <c r="AC74" s="62"/>
      <c r="AD74" s="57"/>
      <c r="AE74" s="301"/>
      <c r="AG74" s="62"/>
      <c r="AH74" s="299"/>
      <c r="AI74" s="57"/>
      <c r="AJ74" s="300"/>
      <c r="AL74" s="62"/>
      <c r="AM74" s="57"/>
      <c r="AN74" s="301"/>
      <c r="AP74" s="62"/>
      <c r="AQ74" s="299"/>
      <c r="AR74" s="57"/>
      <c r="AS74" s="5605"/>
      <c r="AU74" s="62"/>
      <c r="AV74" s="57"/>
      <c r="AW74" s="301"/>
      <c r="AY74" s="26"/>
      <c r="BA74" s="62"/>
      <c r="BB74" s="299"/>
      <c r="BC74" s="57"/>
      <c r="BD74" s="300"/>
      <c r="BF74" s="62"/>
      <c r="BG74" s="57"/>
      <c r="BH74" s="301"/>
      <c r="BJ74" s="26"/>
    </row>
    <row r="75" spans="1:62" x14ac:dyDescent="0.35">
      <c r="A75" s="9168"/>
      <c r="B75" s="302"/>
      <c r="C75" s="59" t="s">
        <v>5783</v>
      </c>
      <c r="D75" s="60"/>
      <c r="F75" s="61"/>
      <c r="G75" s="272"/>
      <c r="H75" s="62"/>
      <c r="I75" s="63"/>
      <c r="J75" s="297">
        <f>IF(H75=0,0,I75/H75)</f>
        <v>0</v>
      </c>
      <c r="L75" s="62"/>
      <c r="M75" s="157">
        <f>L75*J75</f>
        <v>0</v>
      </c>
      <c r="O75" s="62"/>
      <c r="P75" s="303"/>
      <c r="Q75" s="57"/>
      <c r="R75" s="297"/>
      <c r="T75" s="304"/>
      <c r="U75" s="57"/>
      <c r="V75" s="301"/>
      <c r="X75" s="62"/>
      <c r="Y75" s="303"/>
      <c r="Z75" s="57"/>
      <c r="AA75" s="297"/>
      <c r="AC75" s="304"/>
      <c r="AD75" s="57"/>
      <c r="AE75" s="301"/>
      <c r="AG75" s="304"/>
      <c r="AH75" s="303"/>
      <c r="AI75" s="57"/>
      <c r="AJ75" s="297"/>
      <c r="AL75" s="304"/>
      <c r="AM75" s="57"/>
      <c r="AN75" s="301"/>
      <c r="AP75" s="304"/>
      <c r="AQ75" s="303"/>
      <c r="AR75" s="57"/>
      <c r="AS75" s="523"/>
      <c r="AU75" s="304"/>
      <c r="AV75" s="57"/>
      <c r="AW75" s="301"/>
      <c r="AY75" s="26"/>
      <c r="BA75" s="304"/>
      <c r="BB75" s="303"/>
      <c r="BC75" s="57"/>
      <c r="BD75" s="297"/>
      <c r="BF75" s="304"/>
      <c r="BG75" s="57"/>
      <c r="BH75" s="301"/>
      <c r="BJ75" s="26"/>
    </row>
    <row r="76" spans="1:62" x14ac:dyDescent="0.35">
      <c r="A76" s="9168"/>
      <c r="B76" s="305"/>
      <c r="C76" s="59"/>
      <c r="D76" s="60"/>
      <c r="F76" s="61"/>
      <c r="G76" s="272"/>
      <c r="H76" s="62"/>
      <c r="I76" s="63"/>
      <c r="J76" s="297">
        <f>IF(H76=0,0,I76/H76)</f>
        <v>0</v>
      </c>
      <c r="L76" s="62"/>
      <c r="M76" s="157">
        <f>L76*J76</f>
        <v>0</v>
      </c>
      <c r="O76" s="62"/>
      <c r="P76" s="72"/>
      <c r="Q76" s="57"/>
      <c r="R76" s="297"/>
      <c r="T76" s="62">
        <f>T38</f>
        <v>20998.5</v>
      </c>
      <c r="U76" s="57"/>
      <c r="V76" s="301">
        <f>V38</f>
        <v>7336.1650909090913</v>
      </c>
      <c r="X76" s="62">
        <f>X38</f>
        <v>20998.5</v>
      </c>
      <c r="Y76" s="72">
        <f>Y38</f>
        <v>7336.1650909090913</v>
      </c>
      <c r="Z76" s="57"/>
      <c r="AA76" s="297"/>
      <c r="AC76" s="62">
        <f>AC38</f>
        <v>45681.294999999998</v>
      </c>
      <c r="AD76" s="57"/>
      <c r="AE76" s="301">
        <f>AE38</f>
        <v>15959.498139701407</v>
      </c>
      <c r="AG76" s="62">
        <f>AG38</f>
        <v>45681.294999999998</v>
      </c>
      <c r="AH76" s="72">
        <f>AH38</f>
        <v>15959.498139701407</v>
      </c>
      <c r="AI76" s="57"/>
      <c r="AJ76" s="297"/>
      <c r="AL76" s="62">
        <f>AL38</f>
        <v>54569.976000000002</v>
      </c>
      <c r="AM76" s="57"/>
      <c r="AN76" s="301">
        <f>AN38</f>
        <v>20642.157302181819</v>
      </c>
      <c r="AP76" s="62">
        <f>AP38</f>
        <v>54569.976000000002</v>
      </c>
      <c r="AQ76" s="72">
        <f>AQ38</f>
        <v>22706.373032399999</v>
      </c>
      <c r="AR76" s="57"/>
      <c r="AS76" s="523"/>
      <c r="AU76" s="62">
        <f>AU38</f>
        <v>77551.600000000006</v>
      </c>
      <c r="AV76" s="57"/>
      <c r="AW76" s="301">
        <f>AW38</f>
        <v>32268.945085471027</v>
      </c>
      <c r="AY76" s="26"/>
      <c r="BA76" s="62">
        <f>BA38</f>
        <v>77551.600000000006</v>
      </c>
      <c r="BB76" s="8311"/>
      <c r="BC76" s="57"/>
      <c r="BD76" s="297"/>
      <c r="BF76" s="62">
        <f>BF38</f>
        <v>67574.047999999995</v>
      </c>
      <c r="BG76" s="57"/>
      <c r="BH76" s="301">
        <f>BH38</f>
        <v>36803.242513199999</v>
      </c>
      <c r="BJ76" s="26"/>
    </row>
    <row r="77" spans="1:62" x14ac:dyDescent="0.35">
      <c r="A77" s="9169"/>
      <c r="B77" s="306"/>
      <c r="C77" s="86" t="s">
        <v>4318</v>
      </c>
      <c r="D77" s="87"/>
      <c r="F77" s="88"/>
      <c r="G77" s="274"/>
      <c r="H77" s="89"/>
      <c r="I77" s="90"/>
      <c r="J77" s="307">
        <f>IF(H77=0,0,I77/H77)</f>
        <v>0</v>
      </c>
      <c r="L77" s="89"/>
      <c r="M77" s="213">
        <f>L77*J77</f>
        <v>0</v>
      </c>
      <c r="O77" s="89"/>
      <c r="P77" s="308"/>
      <c r="Q77" s="216"/>
      <c r="R77" s="307"/>
      <c r="T77" s="89"/>
      <c r="U77" s="216"/>
      <c r="V77" s="309"/>
      <c r="X77" s="89"/>
      <c r="Y77" s="308"/>
      <c r="Z77" s="216"/>
      <c r="AA77" s="307"/>
      <c r="AC77" s="89"/>
      <c r="AD77" s="216"/>
      <c r="AE77" s="309"/>
      <c r="AG77" s="89"/>
      <c r="AH77" s="308"/>
      <c r="AI77" s="216"/>
      <c r="AJ77" s="307"/>
      <c r="AL77" s="89"/>
      <c r="AM77" s="216"/>
      <c r="AN77" s="309"/>
      <c r="AP77" s="89"/>
      <c r="AQ77" s="308"/>
      <c r="AR77" s="216"/>
      <c r="AS77" s="527"/>
      <c r="AU77" s="89"/>
      <c r="AV77" s="216"/>
      <c r="AW77" s="309"/>
      <c r="AY77" s="24"/>
      <c r="BA77" s="89"/>
      <c r="BB77" s="308"/>
      <c r="BC77" s="216"/>
      <c r="BD77" s="307"/>
      <c r="BF77" s="89"/>
      <c r="BG77" s="216"/>
      <c r="BH77" s="309"/>
      <c r="BJ77" s="24"/>
    </row>
    <row r="78" spans="1:62" ht="14.75" customHeight="1" x14ac:dyDescent="0.35">
      <c r="A78" s="310"/>
      <c r="B78" s="310"/>
      <c r="F78" s="106"/>
      <c r="H78" s="106"/>
      <c r="I78" s="106"/>
      <c r="J78" s="311"/>
      <c r="L78" s="106"/>
      <c r="M78" s="312"/>
      <c r="O78" s="106"/>
      <c r="P78" s="106"/>
      <c r="Q78" s="106"/>
      <c r="R78" s="311"/>
      <c r="T78" s="106"/>
      <c r="U78" s="106"/>
      <c r="V78" s="312"/>
      <c r="X78" s="106"/>
      <c r="Y78" s="106"/>
      <c r="Z78" s="106"/>
      <c r="AA78" s="311"/>
      <c r="AC78" s="106"/>
      <c r="AD78" s="106"/>
      <c r="AE78" s="312"/>
      <c r="AG78" s="106"/>
      <c r="AH78" s="106"/>
      <c r="AI78" s="106"/>
      <c r="AJ78" s="311"/>
      <c r="AL78" s="106"/>
      <c r="AM78" s="106"/>
      <c r="AN78" s="312"/>
      <c r="AP78" s="106"/>
      <c r="AQ78" s="106"/>
      <c r="AR78" s="106"/>
      <c r="AS78" s="558"/>
      <c r="AU78" s="106"/>
      <c r="AV78" s="106"/>
      <c r="AW78" s="312"/>
      <c r="BA78" s="106"/>
      <c r="BB78" s="106"/>
      <c r="BC78" s="106"/>
      <c r="BD78" s="311"/>
      <c r="BF78" s="106"/>
      <c r="BG78" s="106"/>
      <c r="BH78" s="312"/>
    </row>
    <row r="79" spans="1:62" x14ac:dyDescent="0.35">
      <c r="A79" s="9226" t="s">
        <v>1114</v>
      </c>
      <c r="B79" s="314"/>
      <c r="C79" s="315"/>
      <c r="D79" s="184"/>
      <c r="F79" s="316"/>
      <c r="H79" s="317"/>
      <c r="I79" s="318"/>
      <c r="J79" s="319"/>
      <c r="L79" s="317"/>
      <c r="M79" s="318"/>
      <c r="O79" s="320"/>
      <c r="P79" s="321"/>
      <c r="Q79" s="322"/>
      <c r="R79" s="188"/>
      <c r="T79" s="317"/>
      <c r="U79" s="109"/>
      <c r="V79" s="323"/>
      <c r="X79" s="320"/>
      <c r="Y79" s="321"/>
      <c r="Z79" s="322"/>
      <c r="AA79" s="188"/>
      <c r="AC79" s="317"/>
      <c r="AD79" s="109"/>
      <c r="AE79" s="323"/>
      <c r="AG79" s="4124" t="s">
        <v>5900</v>
      </c>
      <c r="AH79" s="321"/>
      <c r="AI79" s="322"/>
      <c r="AJ79" s="188"/>
      <c r="AL79" s="4124" t="s">
        <v>5900</v>
      </c>
      <c r="AM79" s="109"/>
      <c r="AN79" s="323"/>
      <c r="AP79" s="4124" t="s">
        <v>5900</v>
      </c>
      <c r="AQ79" s="321"/>
      <c r="AR79" s="322"/>
      <c r="AS79" s="869"/>
      <c r="AU79" s="659" t="s">
        <v>5900</v>
      </c>
      <c r="AV79" s="109"/>
      <c r="AW79" s="268"/>
      <c r="AY79" s="18"/>
      <c r="BA79" s="659" t="s">
        <v>5900</v>
      </c>
      <c r="BB79" s="321"/>
      <c r="BC79" s="322"/>
      <c r="BD79" s="188"/>
      <c r="BF79" s="659" t="s">
        <v>5900</v>
      </c>
      <c r="BG79" s="109"/>
      <c r="BH79" s="268"/>
      <c r="BJ79" s="18"/>
    </row>
    <row r="80" spans="1:62" x14ac:dyDescent="0.35">
      <c r="A80" s="9227"/>
      <c r="B80" s="325"/>
      <c r="C80" s="326" t="s">
        <v>5901</v>
      </c>
      <c r="D80" s="197"/>
      <c r="F80" s="327"/>
      <c r="H80" s="325"/>
      <c r="I80" s="328"/>
      <c r="J80" s="329"/>
      <c r="L80" s="325"/>
      <c r="M80" s="328"/>
      <c r="O80" s="330"/>
      <c r="P80" s="331"/>
      <c r="R80" s="64"/>
      <c r="T80" s="330">
        <v>34141.035000000003</v>
      </c>
      <c r="U80" s="4123" t="s">
        <v>5902</v>
      </c>
      <c r="V80" s="333">
        <f>32712.835*12/11</f>
        <v>35686.729090909095</v>
      </c>
      <c r="X80" s="330"/>
      <c r="Y80" s="331"/>
      <c r="AA80" s="64"/>
      <c r="AC80" s="330"/>
      <c r="AD80" s="4123"/>
      <c r="AE80" s="333"/>
      <c r="AG80" s="330"/>
      <c r="AH80" s="331"/>
      <c r="AJ80" s="64"/>
      <c r="AL80" s="330"/>
      <c r="AM80" s="57" t="s">
        <v>5903</v>
      </c>
      <c r="AN80" s="333"/>
      <c r="AP80" s="330"/>
      <c r="AQ80" s="331"/>
      <c r="AR80" s="70" t="s">
        <v>5904</v>
      </c>
      <c r="AS80" s="476"/>
      <c r="AU80" s="330"/>
      <c r="AV80" s="57"/>
      <c r="AW80" s="7500"/>
      <c r="AY80" s="26"/>
      <c r="BA80" s="330"/>
      <c r="BB80" s="331"/>
      <c r="BC80" s="70"/>
      <c r="BD80" s="64"/>
      <c r="BF80" s="330"/>
      <c r="BG80" s="57"/>
      <c r="BH80" s="7500"/>
      <c r="BJ80" s="26"/>
    </row>
    <row r="81" spans="1:62" x14ac:dyDescent="0.35">
      <c r="A81" s="9227"/>
      <c r="B81" s="335"/>
      <c r="C81" s="326" t="s">
        <v>3603</v>
      </c>
      <c r="D81" s="197"/>
      <c r="F81" s="336"/>
      <c r="H81" s="330"/>
      <c r="I81" s="337"/>
      <c r="J81" s="329"/>
      <c r="L81" s="330"/>
      <c r="M81" s="337"/>
      <c r="O81" s="330"/>
      <c r="P81" s="331"/>
      <c r="Q81" s="106"/>
      <c r="R81" s="64"/>
      <c r="T81" s="330"/>
      <c r="U81" s="106"/>
      <c r="V81" s="333"/>
      <c r="X81" s="330">
        <v>29261.785</v>
      </c>
      <c r="Y81" s="331">
        <f>27909.057*12/11</f>
        <v>30446.244000000002</v>
      </c>
      <c r="Z81" s="70" t="s">
        <v>5905</v>
      </c>
      <c r="AA81" s="64">
        <f>Y81/X81</f>
        <v>1.0404780159515219</v>
      </c>
      <c r="AC81" s="330">
        <v>28746.885999999999</v>
      </c>
      <c r="AD81" s="254" t="s">
        <v>5906</v>
      </c>
      <c r="AE81" s="333">
        <f>AC81*AA81</f>
        <v>29910.502910064581</v>
      </c>
      <c r="AG81" s="330">
        <v>28746.885999999999</v>
      </c>
      <c r="AH81" s="331">
        <f>AE81</f>
        <v>29910.502910064581</v>
      </c>
      <c r="AI81" s="70" t="s">
        <v>5905</v>
      </c>
      <c r="AJ81" s="64">
        <f>AH81/AG81</f>
        <v>1.0404780159515219</v>
      </c>
      <c r="AL81" s="330">
        <f>1141.64+49465.1</f>
        <v>50606.74</v>
      </c>
      <c r="AM81" s="254"/>
      <c r="AN81" s="333">
        <f>(2706.489048+35835.005845)*12/11</f>
        <v>42045.267156000009</v>
      </c>
      <c r="AP81" s="330">
        <f>70724.571-AP82</f>
        <v>50606.74</v>
      </c>
      <c r="AQ81" s="331">
        <f>50518.855184*12/10</f>
        <v>60622.626220800004</v>
      </c>
      <c r="AS81" s="476">
        <f>AQ81/AP81</f>
        <v>1.1979160526996999</v>
      </c>
      <c r="AU81" s="330">
        <f>AU70</f>
        <v>55259.298999999999</v>
      </c>
      <c r="AV81" s="254"/>
      <c r="AW81" s="6795">
        <f>AW70</f>
        <v>55802.368595641645</v>
      </c>
      <c r="AY81" s="26"/>
      <c r="BA81" s="330">
        <f>BA70</f>
        <v>55259.298999999999</v>
      </c>
      <c r="BB81" s="8311"/>
      <c r="BD81" s="64">
        <f>BB81/BA81</f>
        <v>0</v>
      </c>
      <c r="BF81" s="330">
        <f>BF70</f>
        <v>55259.298999999999</v>
      </c>
      <c r="BG81" s="254"/>
      <c r="BH81" s="6795">
        <f>BH70</f>
        <v>48542.119254510922</v>
      </c>
      <c r="BJ81" s="26"/>
    </row>
    <row r="82" spans="1:62" x14ac:dyDescent="0.35">
      <c r="A82" s="9227"/>
      <c r="B82" s="330"/>
      <c r="C82" s="326" t="s">
        <v>502</v>
      </c>
      <c r="D82" s="197"/>
      <c r="F82" s="336"/>
      <c r="H82" s="330"/>
      <c r="I82" s="337"/>
      <c r="J82" s="329"/>
      <c r="L82" s="330"/>
      <c r="M82" s="337"/>
      <c r="O82" s="330"/>
      <c r="P82" s="331"/>
      <c r="Q82" s="106"/>
      <c r="R82" s="64"/>
      <c r="T82" s="330"/>
      <c r="U82" s="106"/>
      <c r="V82" s="333"/>
      <c r="X82" s="330">
        <v>4879.25</v>
      </c>
      <c r="Y82" s="331">
        <f>4803.778*12/11</f>
        <v>5240.485090909091</v>
      </c>
      <c r="Z82" s="106"/>
      <c r="AA82" s="64">
        <f>Y82/X82</f>
        <v>1.0740349625268415</v>
      </c>
      <c r="AC82" s="330">
        <v>5905.5619999999999</v>
      </c>
      <c r="AD82" s="106"/>
      <c r="AE82" s="333">
        <f>AC82*AA82</f>
        <v>6342.7800613699392</v>
      </c>
      <c r="AG82" s="330">
        <v>5905.5619999999999</v>
      </c>
      <c r="AH82" s="331">
        <f>AE82</f>
        <v>6342.7800613699392</v>
      </c>
      <c r="AI82" s="106"/>
      <c r="AJ82" s="64">
        <f>AH82/AG82</f>
        <v>1.0740349625268415</v>
      </c>
      <c r="AL82" s="330">
        <f>275+19842.831</f>
        <v>20117.830999999998</v>
      </c>
      <c r="AM82" s="106" t="s">
        <v>5907</v>
      </c>
      <c r="AN82" s="333">
        <f>(275+11702.360291)*12/11</f>
        <v>13066.211226545454</v>
      </c>
      <c r="AP82" s="330">
        <f>275+19842.831</f>
        <v>20117.830999999998</v>
      </c>
      <c r="AQ82" s="331">
        <f>(275+11702.360291)*12/10</f>
        <v>14372.8323492</v>
      </c>
      <c r="AR82" s="106" t="s">
        <v>5907</v>
      </c>
      <c r="AS82" s="476">
        <f>AQ82/AP82</f>
        <v>0.71443250264901825</v>
      </c>
      <c r="AU82" s="330">
        <v>10882.1</v>
      </c>
      <c r="AV82" s="57" t="s">
        <v>5908</v>
      </c>
      <c r="AW82" s="6795">
        <f>AU82*AS82</f>
        <v>7774.5259370768817</v>
      </c>
      <c r="AY82" s="26"/>
      <c r="BA82" s="330">
        <v>10882.1</v>
      </c>
      <c r="BB82" s="8311"/>
      <c r="BC82" s="106" t="s">
        <v>5907</v>
      </c>
      <c r="BD82" s="64">
        <f>BB82/BA82</f>
        <v>0</v>
      </c>
      <c r="BF82" s="330">
        <v>10882.1</v>
      </c>
      <c r="BG82" s="57" t="s">
        <v>5908</v>
      </c>
      <c r="BH82" s="6795">
        <f>BF82*BD82</f>
        <v>0</v>
      </c>
      <c r="BJ82" s="26"/>
    </row>
    <row r="83" spans="1:62" x14ac:dyDescent="0.35">
      <c r="A83" s="9227"/>
      <c r="B83" s="330"/>
      <c r="C83" s="326"/>
      <c r="D83" s="197"/>
      <c r="F83" s="336"/>
      <c r="H83" s="330"/>
      <c r="I83" s="337"/>
      <c r="J83" s="329"/>
      <c r="L83" s="330"/>
      <c r="M83" s="337"/>
      <c r="O83" s="330"/>
      <c r="P83" s="331"/>
      <c r="Q83" s="106"/>
      <c r="R83" s="64"/>
      <c r="T83" s="330"/>
      <c r="U83" s="106"/>
      <c r="V83" s="333"/>
      <c r="X83" s="330"/>
      <c r="Y83" s="331"/>
      <c r="Z83" s="106"/>
      <c r="AA83" s="64"/>
      <c r="AC83" s="330"/>
      <c r="AD83" s="106"/>
      <c r="AE83" s="333"/>
      <c r="AG83" s="330"/>
      <c r="AH83" s="331"/>
      <c r="AI83" s="106"/>
      <c r="AJ83" s="64"/>
      <c r="AL83" s="330"/>
      <c r="AM83" s="106"/>
      <c r="AN83" s="333"/>
      <c r="AP83" s="330"/>
      <c r="AQ83" s="331"/>
      <c r="AR83" s="106"/>
      <c r="AS83" s="476"/>
      <c r="AU83" s="330"/>
      <c r="AV83" s="106"/>
      <c r="AW83" s="6795"/>
      <c r="AY83" s="26"/>
      <c r="BA83" s="330"/>
      <c r="BB83" s="331"/>
      <c r="BC83" s="106"/>
      <c r="BD83" s="64"/>
      <c r="BF83" s="330"/>
      <c r="BG83" s="106"/>
      <c r="BH83" s="6795"/>
      <c r="BJ83" s="26"/>
    </row>
    <row r="84" spans="1:62" x14ac:dyDescent="0.35">
      <c r="A84" s="9227"/>
      <c r="B84" s="330"/>
      <c r="C84" s="326"/>
      <c r="D84" s="197"/>
      <c r="F84" s="336"/>
      <c r="H84" s="330"/>
      <c r="I84" s="337"/>
      <c r="J84" s="329"/>
      <c r="L84" s="330"/>
      <c r="M84" s="337"/>
      <c r="O84" s="330"/>
      <c r="P84" s="338"/>
      <c r="Q84" s="106"/>
      <c r="R84" s="64"/>
      <c r="T84" s="330"/>
      <c r="U84" s="106"/>
      <c r="V84" s="333"/>
      <c r="X84" s="330"/>
      <c r="Y84" s="338"/>
      <c r="Z84" s="106"/>
      <c r="AA84" s="64"/>
      <c r="AC84" s="330"/>
      <c r="AD84" s="106"/>
      <c r="AE84" s="333"/>
      <c r="AG84" s="330"/>
      <c r="AH84" s="338"/>
      <c r="AI84" s="106"/>
      <c r="AJ84" s="64"/>
      <c r="AL84" s="330"/>
      <c r="AM84" s="106"/>
      <c r="AN84" s="333"/>
      <c r="AP84" s="330"/>
      <c r="AQ84" s="338"/>
      <c r="AR84" s="106"/>
      <c r="AS84" s="476"/>
      <c r="AU84" s="330"/>
      <c r="AV84" s="106" t="s">
        <v>5909</v>
      </c>
      <c r="AW84" s="6795"/>
      <c r="AY84" s="26"/>
      <c r="BA84" s="330"/>
      <c r="BB84" s="338"/>
      <c r="BC84" s="106"/>
      <c r="BD84" s="64"/>
      <c r="BF84" s="330"/>
      <c r="BG84" s="106" t="s">
        <v>5909</v>
      </c>
      <c r="BH84" s="6795"/>
      <c r="BJ84" s="26"/>
    </row>
    <row r="85" spans="1:62" x14ac:dyDescent="0.35">
      <c r="A85" s="9227"/>
      <c r="B85" s="330"/>
      <c r="C85" s="326"/>
      <c r="D85" s="197"/>
      <c r="F85" s="336"/>
      <c r="H85" s="330"/>
      <c r="I85" s="337"/>
      <c r="J85" s="329"/>
      <c r="L85" s="330"/>
      <c r="M85" s="337"/>
      <c r="O85" s="339"/>
      <c r="P85" s="340"/>
      <c r="Q85" s="106"/>
      <c r="R85" s="64"/>
      <c r="T85" s="330"/>
      <c r="U85" s="106"/>
      <c r="V85" s="333"/>
      <c r="X85" s="339"/>
      <c r="Y85" s="340"/>
      <c r="Z85" s="106"/>
      <c r="AA85" s="64"/>
      <c r="AC85" s="330"/>
      <c r="AD85" s="106"/>
      <c r="AE85" s="333"/>
      <c r="AG85" s="330"/>
      <c r="AH85" s="340"/>
      <c r="AI85" s="106"/>
      <c r="AJ85" s="64"/>
      <c r="AL85" s="330"/>
      <c r="AM85" s="106"/>
      <c r="AN85" s="333"/>
      <c r="AP85" s="330"/>
      <c r="AQ85" s="340"/>
      <c r="AR85" s="106"/>
      <c r="AS85" s="476"/>
      <c r="AU85" s="330"/>
      <c r="AV85" s="106"/>
      <c r="AW85" s="6795"/>
      <c r="AY85" s="26"/>
      <c r="BA85" s="330"/>
      <c r="BB85" s="340"/>
      <c r="BC85" s="106"/>
      <c r="BD85" s="64"/>
      <c r="BF85" s="330"/>
      <c r="BG85" s="106"/>
      <c r="BH85" s="6795"/>
      <c r="BJ85" s="26"/>
    </row>
    <row r="86" spans="1:62" x14ac:dyDescent="0.35">
      <c r="A86" s="9227"/>
      <c r="B86" s="330"/>
      <c r="C86" s="326"/>
      <c r="D86" s="197"/>
      <c r="F86" s="336"/>
      <c r="H86" s="330"/>
      <c r="I86" s="337"/>
      <c r="J86" s="329"/>
      <c r="L86" s="330"/>
      <c r="M86" s="337"/>
      <c r="O86" s="339"/>
      <c r="P86" s="340"/>
      <c r="Q86" s="106"/>
      <c r="R86" s="64"/>
      <c r="T86" s="330"/>
      <c r="U86" s="106"/>
      <c r="V86" s="333"/>
      <c r="X86" s="339"/>
      <c r="Y86" s="340"/>
      <c r="Z86" s="106"/>
      <c r="AA86" s="64"/>
      <c r="AC86" s="330"/>
      <c r="AD86" s="106"/>
      <c r="AE86" s="333"/>
      <c r="AG86" s="330"/>
      <c r="AH86" s="340"/>
      <c r="AI86" s="106"/>
      <c r="AJ86" s="64"/>
      <c r="AL86" s="330"/>
      <c r="AM86" s="106"/>
      <c r="AN86" s="333"/>
      <c r="AP86" s="330"/>
      <c r="AQ86" s="340"/>
      <c r="AR86" s="106"/>
      <c r="AS86" s="476"/>
      <c r="AU86" s="330"/>
      <c r="AV86" s="106"/>
      <c r="AW86" s="6795"/>
      <c r="AY86" s="26"/>
      <c r="BA86" s="330"/>
      <c r="BB86" s="340"/>
      <c r="BC86" s="106"/>
      <c r="BD86" s="64"/>
      <c r="BF86" s="330"/>
      <c r="BG86" s="106"/>
      <c r="BH86" s="6795"/>
      <c r="BJ86" s="26"/>
    </row>
    <row r="87" spans="1:62" x14ac:dyDescent="0.35">
      <c r="A87" s="9227"/>
      <c r="B87" s="330"/>
      <c r="C87" s="337"/>
      <c r="D87" s="197"/>
      <c r="F87" s="336"/>
      <c r="H87" s="330"/>
      <c r="I87" s="337"/>
      <c r="J87" s="329"/>
      <c r="L87" s="330"/>
      <c r="M87" s="337"/>
      <c r="O87" s="339"/>
      <c r="P87" s="340"/>
      <c r="Q87" s="106"/>
      <c r="R87" s="64"/>
      <c r="T87" s="330"/>
      <c r="U87" s="106"/>
      <c r="V87" s="333"/>
      <c r="X87" s="339"/>
      <c r="Y87" s="340"/>
      <c r="Z87" s="106"/>
      <c r="AA87" s="64"/>
      <c r="AC87" s="330"/>
      <c r="AD87" s="106"/>
      <c r="AE87" s="333"/>
      <c r="AG87" s="330"/>
      <c r="AH87" s="340"/>
      <c r="AI87" s="106"/>
      <c r="AJ87" s="64"/>
      <c r="AL87" s="330"/>
      <c r="AM87" s="106"/>
      <c r="AN87" s="333"/>
      <c r="AP87" s="330"/>
      <c r="AQ87" s="340"/>
      <c r="AR87" s="106"/>
      <c r="AS87" s="476"/>
      <c r="AU87" s="330"/>
      <c r="AV87" s="106"/>
      <c r="AW87" s="6795"/>
      <c r="AY87" s="26"/>
      <c r="BA87" s="330"/>
      <c r="BB87" s="340"/>
      <c r="BC87" s="106"/>
      <c r="BD87" s="64"/>
      <c r="BF87" s="330"/>
      <c r="BG87" s="106"/>
      <c r="BH87" s="6795"/>
      <c r="BJ87" s="26"/>
    </row>
    <row r="88" spans="1:62" x14ac:dyDescent="0.35">
      <c r="A88" s="9228"/>
      <c r="B88" s="341"/>
      <c r="C88" s="342"/>
      <c r="D88" s="209"/>
      <c r="F88" s="343"/>
      <c r="H88" s="341"/>
      <c r="I88" s="342"/>
      <c r="J88" s="344"/>
      <c r="L88" s="341"/>
      <c r="M88" s="342"/>
      <c r="O88" s="345"/>
      <c r="P88" s="346"/>
      <c r="Q88" s="216"/>
      <c r="R88" s="133"/>
      <c r="T88" s="341"/>
      <c r="U88" s="216"/>
      <c r="V88" s="347"/>
      <c r="X88" s="345"/>
      <c r="Y88" s="346"/>
      <c r="Z88" s="216"/>
      <c r="AA88" s="133"/>
      <c r="AC88" s="341"/>
      <c r="AD88" s="216"/>
      <c r="AE88" s="347"/>
      <c r="AG88" s="341"/>
      <c r="AH88" s="346"/>
      <c r="AI88" s="216"/>
      <c r="AJ88" s="133"/>
      <c r="AL88" s="341"/>
      <c r="AM88" s="216"/>
      <c r="AN88" s="347"/>
      <c r="AP88" s="341"/>
      <c r="AQ88" s="346"/>
      <c r="AR88" s="216"/>
      <c r="AS88" s="484"/>
      <c r="AU88" s="341"/>
      <c r="AV88" s="216"/>
      <c r="AW88" s="6797"/>
      <c r="AY88" s="24"/>
      <c r="BA88" s="341"/>
      <c r="BB88" s="346"/>
      <c r="BC88" s="216"/>
      <c r="BD88" s="133"/>
      <c r="BF88" s="341"/>
      <c r="BG88" s="216"/>
      <c r="BH88" s="6797"/>
      <c r="BJ88" s="24"/>
    </row>
    <row r="89" spans="1:62" x14ac:dyDescent="0.35">
      <c r="A89" s="310"/>
      <c r="B89" s="310"/>
      <c r="F89" s="106"/>
      <c r="H89" s="106"/>
      <c r="I89" s="106"/>
      <c r="J89" s="311"/>
      <c r="L89" s="106"/>
      <c r="M89" s="312"/>
      <c r="O89" s="106"/>
      <c r="P89" s="106"/>
      <c r="Q89" s="106"/>
      <c r="R89" s="311"/>
      <c r="T89" s="106"/>
      <c r="U89" s="106"/>
      <c r="V89" s="312"/>
      <c r="X89" s="106"/>
      <c r="Y89" s="106"/>
      <c r="Z89" s="106"/>
      <c r="AA89" s="311"/>
      <c r="AC89" s="106"/>
      <c r="AD89" s="106"/>
      <c r="AE89" s="312"/>
      <c r="AG89" s="106"/>
      <c r="AH89" s="106"/>
      <c r="AI89" s="106"/>
      <c r="AJ89" s="311"/>
      <c r="AL89" s="106"/>
      <c r="AM89" s="106"/>
      <c r="AN89" s="312"/>
      <c r="AP89" s="106"/>
      <c r="AQ89" s="106"/>
      <c r="AR89" s="106"/>
      <c r="AS89" s="558"/>
      <c r="AU89" s="106"/>
      <c r="AV89" s="106"/>
      <c r="AW89" s="312"/>
      <c r="BA89" s="106"/>
      <c r="BB89" s="106"/>
      <c r="BC89" s="106"/>
      <c r="BD89" s="311"/>
      <c r="BF89" s="106"/>
      <c r="BG89" s="106"/>
      <c r="BH89" s="312"/>
    </row>
    <row r="90" spans="1:62" x14ac:dyDescent="0.35">
      <c r="A90" s="9167" t="s">
        <v>566</v>
      </c>
      <c r="B90" s="139" t="s">
        <v>567</v>
      </c>
      <c r="C90" s="348"/>
      <c r="D90" s="49"/>
      <c r="E90" s="141"/>
      <c r="F90" s="227"/>
      <c r="G90" s="141"/>
      <c r="H90" s="102"/>
      <c r="I90" s="103"/>
      <c r="J90" s="228"/>
      <c r="K90" s="141"/>
      <c r="L90" s="102"/>
      <c r="M90" s="268"/>
      <c r="N90" s="141"/>
      <c r="O90" s="102"/>
      <c r="P90" s="103"/>
      <c r="Q90" s="103"/>
      <c r="R90" s="228"/>
      <c r="S90" s="141"/>
      <c r="T90" s="102"/>
      <c r="U90" s="103"/>
      <c r="V90" s="268"/>
      <c r="W90" s="141"/>
      <c r="X90" s="102"/>
      <c r="Y90" s="103"/>
      <c r="Z90" s="103"/>
      <c r="AA90" s="228"/>
      <c r="AB90" s="141"/>
      <c r="AC90" s="102"/>
      <c r="AD90" s="103"/>
      <c r="AE90" s="268"/>
      <c r="AF90" s="141"/>
      <c r="AG90" s="102"/>
      <c r="AH90" s="103"/>
      <c r="AI90" s="103"/>
      <c r="AJ90" s="228"/>
      <c r="AK90" s="141"/>
      <c r="AL90" s="102"/>
      <c r="AM90" s="103"/>
      <c r="AN90" s="268"/>
      <c r="AO90" s="141"/>
      <c r="AP90" s="102"/>
      <c r="AQ90" s="103"/>
      <c r="AR90" s="103"/>
      <c r="AS90" s="228"/>
      <c r="AT90" s="141"/>
      <c r="AU90" s="102"/>
      <c r="AV90" s="103"/>
      <c r="AW90" s="268"/>
      <c r="AX90" s="141"/>
      <c r="AZ90" s="141"/>
      <c r="BA90" s="102"/>
      <c r="BB90" s="103"/>
      <c r="BC90" s="103"/>
      <c r="BD90" s="228"/>
      <c r="BE90" s="141"/>
      <c r="BF90" s="102"/>
      <c r="BG90" s="103"/>
      <c r="BH90" s="268"/>
      <c r="BI90" s="141"/>
    </row>
    <row r="91" spans="1:62" x14ac:dyDescent="0.35">
      <c r="A91" s="9168"/>
      <c r="B91" s="6082"/>
      <c r="C91"/>
      <c r="D91" s="110" t="s">
        <v>568</v>
      </c>
      <c r="F91" s="349">
        <f>SUM(F35:F40)-SUM(F42:F47)</f>
        <v>76150</v>
      </c>
      <c r="G91" s="350"/>
      <c r="H91" s="351">
        <f>SUM(H35:H40)-SUM(H42:H47)</f>
        <v>85550</v>
      </c>
      <c r="I91" s="352">
        <f>SUM(I35:I40)-SUM(I42:I47)</f>
        <v>78576.817166909095</v>
      </c>
      <c r="J91" s="246"/>
      <c r="K91" s="350"/>
      <c r="L91" s="351">
        <f>SUM(L35:L40)-SUM(L42:L47)</f>
        <v>0</v>
      </c>
      <c r="M91" s="353">
        <f>SUM(M35:M40)-SUM(M42:M47)</f>
        <v>0</v>
      </c>
      <c r="O91" s="354">
        <f>SUM(O35:O40)-SUM(O42:O47)</f>
        <v>113633.95</v>
      </c>
      <c r="P91" s="355">
        <f>SUM(P35:P40)-SUM(P42:P47)</f>
        <v>0</v>
      </c>
      <c r="Q91" s="352"/>
      <c r="R91" s="246"/>
      <c r="S91" s="350"/>
      <c r="T91" s="351">
        <f>SUM(T35:T40)-SUM(T42:T47)</f>
        <v>120716.40000000001</v>
      </c>
      <c r="U91" s="352"/>
      <c r="V91" s="353">
        <f>SUM(V35:V40)-SUM(V42:V47)</f>
        <v>93143.544000000009</v>
      </c>
      <c r="X91" s="354">
        <f>SUM(X35:X40)-SUM(X42:X47)</f>
        <v>120716.40000000001</v>
      </c>
      <c r="Y91" s="355">
        <f>SUM(Y35:Y40)-SUM(Y42:Y47)</f>
        <v>93143.544000000009</v>
      </c>
      <c r="Z91" s="352"/>
      <c r="AA91" s="246"/>
      <c r="AB91" s="350"/>
      <c r="AC91" s="351">
        <f>SUM(AC35:AC40)-SUM(AC42:AC47)</f>
        <v>140188.29499999998</v>
      </c>
      <c r="AD91" s="352"/>
      <c r="AE91" s="353">
        <f>SUM(AE35:AE40)-SUM(AE42:AE47)</f>
        <v>98289.334077527354</v>
      </c>
      <c r="AG91" s="354">
        <f>SUM(AG35:AG40)-SUM(AG42:AG47)</f>
        <v>140188.29499999998</v>
      </c>
      <c r="AH91" s="355">
        <f>SUM(AH35:AH40)-SUM(AH42:AH47)</f>
        <v>98289.334077527354</v>
      </c>
      <c r="AI91" s="352"/>
      <c r="AJ91" s="246"/>
      <c r="AK91" s="350"/>
      <c r="AL91" s="351">
        <f>SUM(AL35:AL40)-SUM(AL42:AL47)</f>
        <v>197290.17600000001</v>
      </c>
      <c r="AM91" s="352"/>
      <c r="AN91" s="353">
        <f>SUM(AN35:AN40)-SUM(AN42:AN47)</f>
        <v>146029.58783500001</v>
      </c>
      <c r="AP91" s="354">
        <f>SUM(AP35:AP40)-SUM(AP42:AP47)</f>
        <v>197290.17600000001</v>
      </c>
      <c r="AQ91" s="355">
        <f>SUM(AQ35:AQ40)-SUM(AQ42:AQ47)</f>
        <v>175235.50540200001</v>
      </c>
      <c r="AR91" s="352"/>
      <c r="AS91" s="246"/>
      <c r="AT91" s="350"/>
      <c r="AU91" s="351">
        <f>SUM(AU35:AU40)-SUM(AU42:AU47)</f>
        <v>179605.90000000002</v>
      </c>
      <c r="AV91" s="352"/>
      <c r="AW91" s="353">
        <f>SUM(AW35:AW40)-SUM(AW42:AW47)</f>
        <v>141051.55614745631</v>
      </c>
      <c r="BA91" s="354">
        <f>SUM(BA35:BA40)-SUM(BA42:BA47)</f>
        <v>179605.90000000002</v>
      </c>
      <c r="BB91" s="355">
        <f>SUM(BB35:BB40)-SUM(BB42:BB47)</f>
        <v>0</v>
      </c>
      <c r="BC91" s="352"/>
      <c r="BD91" s="246"/>
      <c r="BE91" s="350"/>
      <c r="BF91" s="351">
        <f>SUM(BF35:BF40)-SUM(BF42:BF47)</f>
        <v>178917.149</v>
      </c>
      <c r="BG91" s="352"/>
      <c r="BH91" s="353">
        <f>SUM(BH35:BH40)-SUM(BH42:BH47)</f>
        <v>138622.99484879998</v>
      </c>
    </row>
    <row r="92" spans="1:62" x14ac:dyDescent="0.35">
      <c r="A92" s="9168"/>
      <c r="B92" s="6082"/>
      <c r="C92"/>
      <c r="D92" s="110" t="s">
        <v>569</v>
      </c>
      <c r="F92" s="349">
        <f>SUM(F49:F58)</f>
        <v>0</v>
      </c>
      <c r="G92" s="350"/>
      <c r="H92" s="351">
        <f>SUM(H49:H58)</f>
        <v>0</v>
      </c>
      <c r="I92" s="352">
        <f>SUM(I49:I58)</f>
        <v>0</v>
      </c>
      <c r="J92" s="246"/>
      <c r="K92" s="350"/>
      <c r="L92" s="351">
        <f>SUM(L49:L58)</f>
        <v>0</v>
      </c>
      <c r="M92" s="353">
        <f>SUM(M49:M58)</f>
        <v>0</v>
      </c>
      <c r="O92" s="354">
        <f>SUM(O49:O58)</f>
        <v>0</v>
      </c>
      <c r="P92" s="355">
        <f>SUM(P49:P58)</f>
        <v>0</v>
      </c>
      <c r="Q92" s="352"/>
      <c r="R92" s="246"/>
      <c r="S92" s="350"/>
      <c r="T92" s="351">
        <f>SUM(T49:T58)</f>
        <v>0</v>
      </c>
      <c r="U92" s="352"/>
      <c r="V92" s="353">
        <f>SUM(V49:V58)</f>
        <v>0</v>
      </c>
      <c r="X92" s="354">
        <f>SUM(X49:X58)</f>
        <v>0</v>
      </c>
      <c r="Y92" s="355">
        <f>SUM(Y49:Y58)</f>
        <v>0</v>
      </c>
      <c r="Z92" s="352"/>
      <c r="AA92" s="246"/>
      <c r="AB92" s="350"/>
      <c r="AC92" s="351">
        <f>SUM(AC49:AC58)</f>
        <v>0</v>
      </c>
      <c r="AD92" s="352"/>
      <c r="AE92" s="353">
        <f>SUM(AE49:AE58)</f>
        <v>0</v>
      </c>
      <c r="AG92" s="354">
        <f>SUM(AG49:AG58)</f>
        <v>0</v>
      </c>
      <c r="AH92" s="355">
        <f>SUM(AH49:AH58)</f>
        <v>0</v>
      </c>
      <c r="AI92" s="352"/>
      <c r="AJ92" s="246"/>
      <c r="AK92" s="350"/>
      <c r="AL92" s="351">
        <f>SUM(AL49:AL58)</f>
        <v>0</v>
      </c>
      <c r="AM92" s="352"/>
      <c r="AN92" s="353">
        <f>SUM(AN49:AN58)</f>
        <v>0</v>
      </c>
      <c r="AP92" s="354">
        <f>SUM(AP49:AP58)</f>
        <v>0</v>
      </c>
      <c r="AQ92" s="355">
        <f>SUM(AQ49:AQ58)</f>
        <v>0</v>
      </c>
      <c r="AR92" s="352"/>
      <c r="AS92" s="246"/>
      <c r="AT92" s="350"/>
      <c r="AU92" s="351">
        <f>SUM(AU49:AU58)</f>
        <v>0</v>
      </c>
      <c r="AV92" s="352"/>
      <c r="AW92" s="353">
        <f>SUM(AW49:AW58)</f>
        <v>0</v>
      </c>
      <c r="BA92" s="354">
        <f>SUM(BA49:BA58)</f>
        <v>0</v>
      </c>
      <c r="BB92" s="355">
        <f>SUM(BB49:BB58)</f>
        <v>0</v>
      </c>
      <c r="BC92" s="352"/>
      <c r="BD92" s="246"/>
      <c r="BE92" s="350"/>
      <c r="BF92" s="351">
        <f>SUM(BF49:BF58)</f>
        <v>0</v>
      </c>
      <c r="BG92" s="352"/>
      <c r="BH92" s="353">
        <f>SUM(BH49:BH58)</f>
        <v>0</v>
      </c>
    </row>
    <row r="93" spans="1:62" x14ac:dyDescent="0.35">
      <c r="A93" s="9168"/>
      <c r="B93" s="6082"/>
      <c r="C93"/>
      <c r="D93" s="110" t="s">
        <v>570</v>
      </c>
      <c r="F93" s="349">
        <f>SUM(F60:F67)*F28</f>
        <v>0</v>
      </c>
      <c r="G93" s="350"/>
      <c r="H93" s="351">
        <f>SUM(H60:H67)*H28</f>
        <v>0</v>
      </c>
      <c r="I93" s="352">
        <f>SUM(I60:I67)*I28</f>
        <v>0</v>
      </c>
      <c r="J93" s="246"/>
      <c r="K93" s="350"/>
      <c r="L93" s="351">
        <f>SUM(L60:L67)*L28</f>
        <v>0</v>
      </c>
      <c r="M93" s="353">
        <f>SUM(M60:M67)*M28</f>
        <v>0</v>
      </c>
      <c r="O93" s="354">
        <f>SUM(O60:O67)*O28</f>
        <v>0</v>
      </c>
      <c r="P93" s="355">
        <f>SUM(P60:P67)*P28</f>
        <v>0</v>
      </c>
      <c r="Q93" s="352"/>
      <c r="R93" s="246"/>
      <c r="S93" s="350"/>
      <c r="T93" s="351">
        <f>SUM(T60:T67)*T28</f>
        <v>0</v>
      </c>
      <c r="U93" s="352"/>
      <c r="V93" s="353">
        <f>SUM(V60:V67)*V28</f>
        <v>0</v>
      </c>
      <c r="X93" s="354">
        <f>SUM(X60:X67)*X28</f>
        <v>0</v>
      </c>
      <c r="Y93" s="355">
        <f>SUM(Y60:Y67)*Y28</f>
        <v>0</v>
      </c>
      <c r="Z93" s="352"/>
      <c r="AA93" s="246"/>
      <c r="AB93" s="350"/>
      <c r="AC93" s="351">
        <f>SUM(AC60:AC67)*AC28</f>
        <v>0</v>
      </c>
      <c r="AD93" s="352"/>
      <c r="AE93" s="353">
        <f>SUM(AE60:AE67)*AE28</f>
        <v>0</v>
      </c>
      <c r="AG93" s="354">
        <f>SUM(AG60:AG67)*AG28</f>
        <v>0</v>
      </c>
      <c r="AH93" s="355">
        <f>SUM(AH60:AH67)*AH28</f>
        <v>0</v>
      </c>
      <c r="AI93" s="352"/>
      <c r="AJ93" s="246"/>
      <c r="AK93" s="350"/>
      <c r="AL93" s="351">
        <f>SUM(AL60:AL67)*AL28</f>
        <v>0</v>
      </c>
      <c r="AM93" s="352"/>
      <c r="AN93" s="353">
        <f>SUM(AN60:AN67)*AN28</f>
        <v>0</v>
      </c>
      <c r="AP93" s="354">
        <f>SUM(AP60:AP67)*AP28</f>
        <v>0</v>
      </c>
      <c r="AQ93" s="355">
        <f>SUM(AQ60:AQ67)*AQ28</f>
        <v>0</v>
      </c>
      <c r="AR93" s="352"/>
      <c r="AS93" s="246"/>
      <c r="AT93" s="350"/>
      <c r="AU93" s="351">
        <f>SUM(AU60:AU67)*AU28</f>
        <v>0</v>
      </c>
      <c r="AV93" s="352"/>
      <c r="AW93" s="353">
        <f>SUM(AW60:AW67)*AW28</f>
        <v>0</v>
      </c>
      <c r="BA93" s="354">
        <f>SUM(BA60:BA67)*BA28</f>
        <v>0</v>
      </c>
      <c r="BB93" s="355">
        <f>SUM(BB60:BB67)*BB28</f>
        <v>0</v>
      </c>
      <c r="BC93" s="352"/>
      <c r="BD93" s="246"/>
      <c r="BE93" s="350"/>
      <c r="BF93" s="351">
        <f>SUM(BF60:BF67)*BF28</f>
        <v>0</v>
      </c>
      <c r="BG93" s="352"/>
      <c r="BH93" s="353">
        <f>SUM(BH60:BH67)*BH28</f>
        <v>0</v>
      </c>
    </row>
    <row r="94" spans="1:62" x14ac:dyDescent="0.35">
      <c r="A94" s="9168"/>
      <c r="B94" s="6082"/>
      <c r="C94"/>
      <c r="D94" s="110" t="s">
        <v>552</v>
      </c>
      <c r="F94" s="349">
        <f>SUM(F69:F72)</f>
        <v>0</v>
      </c>
      <c r="G94" s="350"/>
      <c r="H94" s="351">
        <f>SUM(H69:H72)</f>
        <v>0</v>
      </c>
      <c r="I94" s="352">
        <f>SUM(I69:I72)</f>
        <v>0</v>
      </c>
      <c r="J94" s="246"/>
      <c r="K94" s="350"/>
      <c r="L94" s="351">
        <f>SUM(L69:L72)</f>
        <v>0</v>
      </c>
      <c r="M94" s="353">
        <f>SUM(M69:M72)</f>
        <v>0</v>
      </c>
      <c r="O94" s="354">
        <f>SUM(O69:O72)</f>
        <v>0</v>
      </c>
      <c r="P94" s="355">
        <f>SUM(P69:P72)</f>
        <v>0</v>
      </c>
      <c r="Q94" s="352"/>
      <c r="R94" s="246"/>
      <c r="S94" s="350"/>
      <c r="T94" s="351">
        <f>SUM(T69:T72)</f>
        <v>0</v>
      </c>
      <c r="U94" s="352"/>
      <c r="V94" s="353">
        <f>SUM(V69:V72)</f>
        <v>0</v>
      </c>
      <c r="X94" s="354">
        <f>SUM(X69:X72)</f>
        <v>0</v>
      </c>
      <c r="Y94" s="355">
        <f>SUM(Y69:Y72)</f>
        <v>0</v>
      </c>
      <c r="Z94" s="352"/>
      <c r="AA94" s="246"/>
      <c r="AB94" s="350"/>
      <c r="AC94" s="351">
        <f>SUM(AC69:AC72)</f>
        <v>0</v>
      </c>
      <c r="AD94" s="352"/>
      <c r="AE94" s="353">
        <f>SUM(AE69:AE72)</f>
        <v>0</v>
      </c>
      <c r="AG94" s="354">
        <f>SUM(AG69:AG72)</f>
        <v>0</v>
      </c>
      <c r="AH94" s="355">
        <f>SUM(AH69:AH72)</f>
        <v>0</v>
      </c>
      <c r="AI94" s="352"/>
      <c r="AJ94" s="246"/>
      <c r="AK94" s="350"/>
      <c r="AL94" s="351">
        <f>SUM(AL69:AL72)</f>
        <v>0</v>
      </c>
      <c r="AM94" s="352"/>
      <c r="AN94" s="353">
        <f>SUM(AN69:AN72)</f>
        <v>0</v>
      </c>
      <c r="AP94" s="354">
        <f>SUM(AP69:AP72)</f>
        <v>0</v>
      </c>
      <c r="AQ94" s="355">
        <f>SUM(AQ69:AQ72)</f>
        <v>0</v>
      </c>
      <c r="AR94" s="352"/>
      <c r="AS94" s="246"/>
      <c r="AT94" s="350"/>
      <c r="AU94" s="351">
        <f>SUM(AU69:AU72)</f>
        <v>55259.298999999999</v>
      </c>
      <c r="AV94" s="352"/>
      <c r="AW94" s="353">
        <f>SUM(AW69:AW72)</f>
        <v>55802.368595641645</v>
      </c>
      <c r="BA94" s="354">
        <f>SUM(BA69:BA72)</f>
        <v>55259.298999999999</v>
      </c>
      <c r="BB94" s="355">
        <f>SUM(BB69:BB72)</f>
        <v>0</v>
      </c>
      <c r="BC94" s="352"/>
      <c r="BD94" s="246"/>
      <c r="BE94" s="350"/>
      <c r="BF94" s="351">
        <f>SUM(BF69:BF72)</f>
        <v>55259.298999999999</v>
      </c>
      <c r="BG94" s="352"/>
      <c r="BH94" s="353">
        <f>SUM(BH69:BH72)</f>
        <v>48542.119254510922</v>
      </c>
    </row>
    <row r="95" spans="1:62" x14ac:dyDescent="0.35">
      <c r="A95" s="9168"/>
      <c r="B95" s="6082"/>
      <c r="C95"/>
      <c r="D95" s="356" t="s">
        <v>571</v>
      </c>
      <c r="E95" s="143"/>
      <c r="F95" s="357">
        <f>SUM(F91:F94)</f>
        <v>76150</v>
      </c>
      <c r="G95" s="358"/>
      <c r="H95" s="359">
        <f>SUM(H91:H94)</f>
        <v>85550</v>
      </c>
      <c r="I95" s="360">
        <f>SUM(I91:I94)</f>
        <v>78576.817166909095</v>
      </c>
      <c r="J95" s="361"/>
      <c r="K95" s="358"/>
      <c r="L95" s="359">
        <f>SUM(L91:L94)</f>
        <v>0</v>
      </c>
      <c r="M95" s="362">
        <f>SUM(M91:M94)</f>
        <v>0</v>
      </c>
      <c r="N95" s="143"/>
      <c r="O95" s="363">
        <f>SUM(O91:O94)</f>
        <v>113633.95</v>
      </c>
      <c r="P95" s="364">
        <f>SUM(P91:P94)</f>
        <v>0</v>
      </c>
      <c r="Q95" s="360"/>
      <c r="R95" s="361"/>
      <c r="S95" s="358"/>
      <c r="T95" s="359">
        <f>SUM(T91:T94)</f>
        <v>120716.40000000001</v>
      </c>
      <c r="U95" s="360"/>
      <c r="V95" s="362">
        <f>SUM(V91:V94)</f>
        <v>93143.544000000009</v>
      </c>
      <c r="W95" s="143"/>
      <c r="X95" s="363">
        <f>SUM(X91:X94)</f>
        <v>120716.40000000001</v>
      </c>
      <c r="Y95" s="364">
        <f>SUM(Y91:Y94)</f>
        <v>93143.544000000009</v>
      </c>
      <c r="Z95" s="360"/>
      <c r="AA95" s="361"/>
      <c r="AB95" s="358"/>
      <c r="AC95" s="359">
        <f>SUM(AC91:AC94)</f>
        <v>140188.29499999998</v>
      </c>
      <c r="AD95" s="360"/>
      <c r="AE95" s="362">
        <f>SUM(AE91:AE94)</f>
        <v>98289.334077527354</v>
      </c>
      <c r="AF95" s="143"/>
      <c r="AG95" s="363">
        <f>SUM(AG91:AG94)</f>
        <v>140188.29499999998</v>
      </c>
      <c r="AH95" s="364">
        <f>SUM(AH91:AH94)</f>
        <v>98289.334077527354</v>
      </c>
      <c r="AI95" s="360"/>
      <c r="AJ95" s="361"/>
      <c r="AK95" s="358"/>
      <c r="AL95" s="359">
        <f>SUM(AL91:AL94)</f>
        <v>197290.17600000001</v>
      </c>
      <c r="AM95" s="360"/>
      <c r="AN95" s="362">
        <f>SUM(AN91:AN94)</f>
        <v>146029.58783500001</v>
      </c>
      <c r="AO95" s="143"/>
      <c r="AP95" s="363">
        <f>SUM(AP91:AP94)</f>
        <v>197290.17600000001</v>
      </c>
      <c r="AQ95" s="364">
        <f>SUM(AQ91:AQ94)</f>
        <v>175235.50540200001</v>
      </c>
      <c r="AR95" s="360"/>
      <c r="AS95" s="361"/>
      <c r="AT95" s="358"/>
      <c r="AU95" s="359">
        <f>SUM(AU91:AU94)</f>
        <v>234865.19900000002</v>
      </c>
      <c r="AV95" s="360"/>
      <c r="AW95" s="362">
        <f>SUM(AW91:AW94)</f>
        <v>196853.92474309797</v>
      </c>
      <c r="AX95" s="143"/>
      <c r="AZ95" s="143"/>
      <c r="BA95" s="363">
        <f>SUM(BA91:BA94)</f>
        <v>234865.19900000002</v>
      </c>
      <c r="BB95" s="364">
        <f>SUM(BB91:BB94)</f>
        <v>0</v>
      </c>
      <c r="BC95" s="360"/>
      <c r="BD95" s="361"/>
      <c r="BE95" s="358"/>
      <c r="BF95" s="359">
        <f>SUM(BF91:BF94)</f>
        <v>234176.448</v>
      </c>
      <c r="BG95" s="360"/>
      <c r="BH95" s="362">
        <f>SUM(BH91:BH94)</f>
        <v>187165.11410331092</v>
      </c>
      <c r="BI95" s="143"/>
    </row>
    <row r="96" spans="1:62" ht="15.5" x14ac:dyDescent="0.35">
      <c r="A96" s="9168"/>
      <c r="B96" s="6082"/>
      <c r="C96"/>
      <c r="D96" s="365" t="s">
        <v>572</v>
      </c>
      <c r="F96" s="366">
        <f>F95/(F17+F18+F19)</f>
        <v>0.21405060195582939</v>
      </c>
      <c r="G96" s="367"/>
      <c r="H96" s="368">
        <f>H95/(H17+H18+H19)</f>
        <v>0.129916476841306</v>
      </c>
      <c r="I96" s="369">
        <f>I95/(I17+I18+I19)</f>
        <v>0.17761807891397019</v>
      </c>
      <c r="J96" s="370"/>
      <c r="K96" s="367"/>
      <c r="L96" s="368" t="e">
        <f>L95/(L17+L18+L19)</f>
        <v>#DIV/0!</v>
      </c>
      <c r="M96" s="370" t="e">
        <f>M95/(M17+M18+M19)</f>
        <v>#DIV/0!</v>
      </c>
      <c r="O96" s="368">
        <f>O95/(O17+O18+O19)</f>
        <v>0.16054528115286804</v>
      </c>
      <c r="P96" s="369">
        <f>P95/(P17+P18+P19)</f>
        <v>0</v>
      </c>
      <c r="Q96" s="369"/>
      <c r="R96" s="370"/>
      <c r="S96" s="367"/>
      <c r="T96" s="368">
        <f>T95/(T17+T18+T19)</f>
        <v>0.14537138728323701</v>
      </c>
      <c r="U96" s="369"/>
      <c r="V96" s="370">
        <f>V95/(V17+V18+V19)</f>
        <v>0.15484147931248202</v>
      </c>
      <c r="X96" s="368">
        <f>X95/(X17+X18+X19)</f>
        <v>0.14537138728323701</v>
      </c>
      <c r="Y96" s="369">
        <f>Y95/(Y17+Y18+Y19)</f>
        <v>0.15484147931248202</v>
      </c>
      <c r="Z96" s="369"/>
      <c r="AA96" s="370"/>
      <c r="AB96" s="367"/>
      <c r="AC96" s="368">
        <f>AC95/(AC17+AC18+AC19)</f>
        <v>0.16659333927510397</v>
      </c>
      <c r="AD96" s="369"/>
      <c r="AE96" s="370">
        <f>AE95/(AE17+AE18+AE19)</f>
        <v>0.15881911051114889</v>
      </c>
      <c r="AG96" s="368">
        <f>AG95/(AG17+AG18+AG19)</f>
        <v>0.16659333927510397</v>
      </c>
      <c r="AH96" s="369">
        <f>AH95/(AH17+AH18+AH19)</f>
        <v>0.14302871664366612</v>
      </c>
      <c r="AI96" s="369"/>
      <c r="AJ96" s="370"/>
      <c r="AK96" s="367"/>
      <c r="AL96" s="368">
        <f>AL95/(AL17+AL18+AL19)</f>
        <v>0.18143293728158913</v>
      </c>
      <c r="AM96" s="369"/>
      <c r="AN96" s="370">
        <f>AN95/(AN17+AN18+AN19)</f>
        <v>0.16662584794921087</v>
      </c>
      <c r="AP96" s="561">
        <f>AP95/(AP17+AP18+AP19)</f>
        <v>0.18143293728158913</v>
      </c>
      <c r="AQ96" s="562">
        <f>AQ95/(AQ17+AQ18+AQ19)</f>
        <v>0.19185200034243283</v>
      </c>
      <c r="AR96" s="562"/>
      <c r="AS96" s="563"/>
      <c r="AT96" s="560"/>
      <c r="AU96" s="561">
        <f>AU95/(AU17+AU18+AU19)</f>
        <v>0.1785911329936887</v>
      </c>
      <c r="AV96" s="562"/>
      <c r="AW96" s="563">
        <f>AW95/(AW17+AW18+AW19)</f>
        <v>0.17866575126438372</v>
      </c>
      <c r="BA96" s="368">
        <f>BA95/(BA17+BA18+BA19)</f>
        <v>0.17860063952913624</v>
      </c>
      <c r="BB96" s="369">
        <f>BB95/(BB17+BB18+BB19)</f>
        <v>0</v>
      </c>
      <c r="BC96" s="369"/>
      <c r="BD96" s="370"/>
      <c r="BE96" s="367"/>
      <c r="BF96" s="368">
        <f>BF95/(BF17+BF18+BF19)</f>
        <v>0.16498270255037339</v>
      </c>
      <c r="BG96" s="369"/>
      <c r="BH96" s="370">
        <f>BH95/(BH17+BH18+BH19)</f>
        <v>0.16151632214645401</v>
      </c>
    </row>
    <row r="97" spans="1:62" x14ac:dyDescent="0.35">
      <c r="A97" s="9168"/>
      <c r="B97" s="371"/>
      <c r="C97" s="372"/>
      <c r="D97" s="373" t="s">
        <v>573</v>
      </c>
      <c r="E97" s="374"/>
      <c r="F97" s="1713">
        <f>F36</f>
        <v>71050</v>
      </c>
      <c r="G97" s="3189"/>
      <c r="H97" s="566">
        <f>H36</f>
        <v>80200</v>
      </c>
      <c r="I97" s="567">
        <f>I36</f>
        <v>73226.817166909095</v>
      </c>
      <c r="J97" s="2964"/>
      <c r="K97" s="3189"/>
      <c r="L97" s="571"/>
      <c r="M97" s="2964"/>
      <c r="O97" s="381">
        <f>O36</f>
        <v>86201.5</v>
      </c>
      <c r="P97" s="382"/>
      <c r="Q97" s="383"/>
      <c r="R97" s="384"/>
      <c r="S97" s="385"/>
      <c r="T97" s="386">
        <f>T36</f>
        <v>96817.900000000009</v>
      </c>
      <c r="U97" s="383"/>
      <c r="V97" s="387">
        <f>V36</f>
        <v>85676.469818181824</v>
      </c>
      <c r="X97" s="381">
        <f>X36</f>
        <v>96817.900000000009</v>
      </c>
      <c r="Y97" s="382">
        <f>Y36</f>
        <v>85676.469818181824</v>
      </c>
      <c r="Z97" s="383"/>
      <c r="AA97" s="384"/>
      <c r="AB97" s="385"/>
      <c r="AC97" s="386">
        <f>AC36</f>
        <v>92957</v>
      </c>
      <c r="AD97" s="383"/>
      <c r="AE97" s="387">
        <f>AE36</f>
        <v>82259.867285788336</v>
      </c>
      <c r="AG97" s="381">
        <f>AG36</f>
        <v>92957</v>
      </c>
      <c r="AH97" s="382">
        <f>AH36</f>
        <v>82259.867285788336</v>
      </c>
      <c r="AI97" s="383"/>
      <c r="AJ97" s="384"/>
      <c r="AK97" s="385"/>
      <c r="AL97" s="386">
        <f>AL36</f>
        <v>136812.20000000001</v>
      </c>
      <c r="AM97" s="383"/>
      <c r="AN97" s="387">
        <f>AN36</f>
        <v>120530.68929645457</v>
      </c>
      <c r="AP97" s="381">
        <f>AP36</f>
        <v>136812.20000000001</v>
      </c>
      <c r="AQ97" s="382">
        <f>AQ36</f>
        <v>147186.71700959999</v>
      </c>
      <c r="AR97" s="956"/>
      <c r="AS97" s="955"/>
      <c r="AT97" s="954"/>
      <c r="AU97" s="386">
        <f>AU36+AU70</f>
        <v>151423.59899999999</v>
      </c>
      <c r="AV97" s="956"/>
      <c r="AW97" s="387">
        <f>AW36</f>
        <v>103456.47252603403</v>
      </c>
      <c r="BA97" s="381">
        <f t="shared" ref="BA97:BB97" si="4">BA36+BA70</f>
        <v>151423.59899999999</v>
      </c>
      <c r="BB97" s="382">
        <f t="shared" si="4"/>
        <v>0</v>
      </c>
      <c r="BC97" s="383"/>
      <c r="BD97" s="384"/>
      <c r="BE97" s="385"/>
      <c r="BF97" s="386">
        <f>BF36+BF70</f>
        <v>160802.40000000002</v>
      </c>
      <c r="BG97" s="383"/>
      <c r="BH97" s="387">
        <f>BH36+BH70</f>
        <v>148618.2163901109</v>
      </c>
    </row>
    <row r="98" spans="1:62" x14ac:dyDescent="0.35">
      <c r="A98" s="9168"/>
      <c r="B98" s="58"/>
      <c r="C98" s="390"/>
      <c r="D98" s="391" t="s">
        <v>575</v>
      </c>
      <c r="E98" s="392"/>
      <c r="F98" s="683">
        <f>(F95-F97)/((F18+F19))</f>
        <v>0.10647181628392484</v>
      </c>
      <c r="G98" s="401"/>
      <c r="H98" s="397">
        <f>(H95-H97)/((H18+H19))</f>
        <v>1.7518009168303865E-2</v>
      </c>
      <c r="I98" s="398">
        <f>(I95-I97)/((I18+I19))</f>
        <v>8.1183611532625183E-2</v>
      </c>
      <c r="J98" s="400"/>
      <c r="K98" s="401"/>
      <c r="L98" s="402"/>
      <c r="M98" s="400"/>
      <c r="O98" s="397">
        <f>(O95-O97)/((O18+O19))</f>
        <v>8.2802444913975246E-2</v>
      </c>
      <c r="P98" s="398"/>
      <c r="Q98" s="399"/>
      <c r="R98" s="400"/>
      <c r="S98" s="401"/>
      <c r="T98" s="402">
        <f>(T95-T97)/((T18+T19))</f>
        <v>5.9895989974937343E-2</v>
      </c>
      <c r="U98" s="399"/>
      <c r="V98" s="403">
        <f>(V95-V97)/((V18+V19))</f>
        <v>3.5887692101036581E-2</v>
      </c>
      <c r="X98" s="397">
        <f>(X95-X97)/((X18+X19))</f>
        <v>5.9895989974937343E-2</v>
      </c>
      <c r="Y98" s="398">
        <f>(Y95-Y97)/((Y18+Y19))</f>
        <v>3.5887692101036581E-2</v>
      </c>
      <c r="Z98" s="399"/>
      <c r="AA98" s="400"/>
      <c r="AB98" s="401"/>
      <c r="AC98" s="402">
        <f>(AC95-AC97)/((AC18+AC19))</f>
        <v>0.11939154448938318</v>
      </c>
      <c r="AD98" s="399"/>
      <c r="AE98" s="403">
        <f>(AE95-AE97)/((AE18+AE19))</f>
        <v>7.554751388666224E-2</v>
      </c>
      <c r="AG98" s="397">
        <f>(AG95-AG97)/((AG18+AG19))</f>
        <v>0.11939154448938318</v>
      </c>
      <c r="AH98" s="398">
        <f>(AH95-AH97)/((AH18+AH19))</f>
        <v>7.3868510561009293E-2</v>
      </c>
      <c r="AI98" s="399"/>
      <c r="AJ98" s="400"/>
      <c r="AK98" s="401"/>
      <c r="AL98" s="402">
        <f>(AL95-AL97)/((AL18+AL19))</f>
        <v>0.1217840837696335</v>
      </c>
      <c r="AM98" s="399"/>
      <c r="AN98" s="403">
        <f>(AN95-AN97)/((AN18+AN19))</f>
        <v>8.9284306620435266E-2</v>
      </c>
      <c r="AP98" s="397">
        <f>(AP95-AP97)/((AP18+AP19))</f>
        <v>0.1217840837696335</v>
      </c>
      <c r="AQ98" s="398">
        <f>(AQ95-AQ97)/((AQ18+AQ19))</f>
        <v>8.8542646154708027E-2</v>
      </c>
      <c r="AR98" s="975"/>
      <c r="AS98" s="974"/>
      <c r="AT98" s="973"/>
      <c r="AU98" s="402">
        <f>(AU95-AU97)/((AU18+AU19))</f>
        <v>0.13612006525285486</v>
      </c>
      <c r="AV98" s="975"/>
      <c r="AW98" s="403">
        <f>(AW95-AW97)/((AW18+AW19))</f>
        <v>0.23777355452409354</v>
      </c>
      <c r="BA98" s="397">
        <f>(BA95-BA97)/((BA18+BA19))</f>
        <v>0.13614893860035576</v>
      </c>
      <c r="BB98" s="398">
        <f>(BB95-BB97)/((BB18+BB19))</f>
        <v>0</v>
      </c>
      <c r="BC98" s="399"/>
      <c r="BD98" s="400"/>
      <c r="BE98" s="401"/>
      <c r="BF98" s="402">
        <f>(BF95-BF97)/((BF18+BF19))</f>
        <v>0.12716472790294625</v>
      </c>
      <c r="BG98" s="399"/>
      <c r="BH98" s="403">
        <f>(BH95-BH97)/((BH18+BH19))</f>
        <v>9.2041303040114653E-2</v>
      </c>
    </row>
    <row r="99" spans="1:62" x14ac:dyDescent="0.35">
      <c r="A99" s="9168"/>
      <c r="B99" s="58"/>
      <c r="C99" s="390"/>
      <c r="D99" s="391" t="s">
        <v>576</v>
      </c>
      <c r="E99" s="392"/>
      <c r="F99" s="683">
        <f>F97/(F17)</f>
        <v>0.23078897020369846</v>
      </c>
      <c r="G99" s="401"/>
      <c r="H99" s="397">
        <f>H97/(H17)</f>
        <v>0.227131124327386</v>
      </c>
      <c r="I99" s="398">
        <f>I97/(I17)</f>
        <v>0.19449767104456162</v>
      </c>
      <c r="J99" s="400"/>
      <c r="K99" s="401"/>
      <c r="L99" s="402"/>
      <c r="M99" s="400"/>
      <c r="O99" s="397">
        <f>O97/(O17)</f>
        <v>0.22895484727755644</v>
      </c>
      <c r="P99" s="398"/>
      <c r="Q99" s="399"/>
      <c r="R99" s="400"/>
      <c r="S99" s="401"/>
      <c r="T99" s="402">
        <f>T97/(T17)</f>
        <v>0.22442721372276311</v>
      </c>
      <c r="U99" s="399"/>
      <c r="V99" s="403">
        <f>V97/(V17)</f>
        <v>0.21774395783192815</v>
      </c>
      <c r="X99" s="397">
        <f>X97/(X17)</f>
        <v>0.22442721372276311</v>
      </c>
      <c r="Y99" s="398">
        <f>Y97/(Y17)</f>
        <v>0.21774395783192815</v>
      </c>
      <c r="Z99" s="399"/>
      <c r="AA99" s="400"/>
      <c r="AB99" s="401"/>
      <c r="AC99" s="402">
        <f>AC97/(AC17)</f>
        <v>0.20847050908275397</v>
      </c>
      <c r="AD99" s="399"/>
      <c r="AE99" s="403">
        <f>AE97/(AE17)</f>
        <v>0.20226243059360163</v>
      </c>
      <c r="AG99" s="397">
        <f>AG97/(AG17)</f>
        <v>0.20847050908275397</v>
      </c>
      <c r="AH99" s="398">
        <f>AH97/(AH17)</f>
        <v>0.17494654888513045</v>
      </c>
      <c r="AI99" s="399"/>
      <c r="AJ99" s="400"/>
      <c r="AK99" s="401"/>
      <c r="AL99" s="402">
        <f>AL97/(AL17)</f>
        <v>0.23157109004739337</v>
      </c>
      <c r="AM99" s="399"/>
      <c r="AN99" s="403">
        <f>AN97/(AN17)</f>
        <v>0.20401267653428329</v>
      </c>
      <c r="AP99" s="397">
        <f>AP97/(AP17)</f>
        <v>0.23157109004739337</v>
      </c>
      <c r="AQ99" s="398">
        <f>AQ97/(AQ17)</f>
        <v>0.2467066577327201</v>
      </c>
      <c r="AR99" s="975"/>
      <c r="AS99" s="974"/>
      <c r="AT99" s="973"/>
      <c r="AU99" s="402">
        <f>AU97/(AU17)</f>
        <v>0.21567240991311779</v>
      </c>
      <c r="AV99" s="975"/>
      <c r="AW99" s="403">
        <f>AW97/(AW17)</f>
        <v>0.14591886110865168</v>
      </c>
      <c r="BA99" s="397">
        <f>BA97/(BA17)</f>
        <v>0.21565398057422808</v>
      </c>
      <c r="BB99" s="398">
        <f>BB97/(BB17)</f>
        <v>0</v>
      </c>
      <c r="BC99" s="399"/>
      <c r="BD99" s="400"/>
      <c r="BE99" s="401"/>
      <c r="BF99" s="402">
        <f>BF97/(BF17)</f>
        <v>0.19088603988603992</v>
      </c>
      <c r="BG99" s="399"/>
      <c r="BH99" s="403">
        <f>BH97/(BH17)</f>
        <v>0.20083542755420392</v>
      </c>
    </row>
    <row r="100" spans="1:62" x14ac:dyDescent="0.35">
      <c r="A100" s="9168"/>
      <c r="B100" s="58"/>
      <c r="C100" s="390"/>
      <c r="D100" s="391"/>
      <c r="E100" s="392"/>
      <c r="F100" s="393"/>
      <c r="G100" s="392"/>
      <c r="H100" s="394"/>
      <c r="I100" s="395"/>
      <c r="J100" s="229"/>
      <c r="K100" s="392"/>
      <c r="L100" s="396"/>
      <c r="M100" s="229"/>
      <c r="O100" s="405"/>
      <c r="P100" s="406"/>
      <c r="Q100" s="407"/>
      <c r="R100" s="408"/>
      <c r="S100" s="409"/>
      <c r="T100" s="410"/>
      <c r="U100" s="407"/>
      <c r="V100" s="411"/>
      <c r="X100" s="405"/>
      <c r="Y100" s="406"/>
      <c r="Z100" s="407"/>
      <c r="AA100" s="408"/>
      <c r="AB100" s="409"/>
      <c r="AC100" s="410"/>
      <c r="AD100" s="407"/>
      <c r="AE100" s="411"/>
      <c r="AG100" s="405"/>
      <c r="AH100" s="406"/>
      <c r="AI100" s="407"/>
      <c r="AJ100" s="408"/>
      <c r="AK100" s="409"/>
      <c r="AL100" s="410"/>
      <c r="AM100" s="407"/>
      <c r="AN100" s="411"/>
      <c r="AP100" s="405"/>
      <c r="AQ100" s="406"/>
      <c r="AR100" s="3341"/>
      <c r="AS100" s="3339"/>
      <c r="AT100" s="3338"/>
      <c r="AU100" s="410"/>
      <c r="AV100" s="3341"/>
      <c r="AW100" s="411"/>
      <c r="BA100" s="405"/>
      <c r="BB100" s="406"/>
      <c r="BC100" s="407"/>
      <c r="BD100" s="408"/>
      <c r="BE100" s="409"/>
      <c r="BF100" s="410"/>
      <c r="BG100" s="407"/>
      <c r="BH100" s="411"/>
    </row>
    <row r="101" spans="1:62" x14ac:dyDescent="0.35">
      <c r="A101" s="9168"/>
      <c r="B101" s="58"/>
      <c r="C101" s="390"/>
      <c r="D101" s="391" t="s">
        <v>577</v>
      </c>
      <c r="E101" s="392"/>
      <c r="F101" s="683"/>
      <c r="G101" s="401"/>
      <c r="H101" s="397">
        <f>H95/H12</f>
        <v>0.22477666841828692</v>
      </c>
      <c r="I101" s="398"/>
      <c r="J101" s="400"/>
      <c r="K101" s="401"/>
      <c r="L101" s="402"/>
      <c r="M101" s="400"/>
      <c r="O101" s="397">
        <f>O95/O12</f>
        <v>0.28281222000995521</v>
      </c>
      <c r="P101" s="398"/>
      <c r="Q101" s="399"/>
      <c r="R101" s="400"/>
      <c r="S101" s="401"/>
      <c r="T101" s="402">
        <f>T95/T12</f>
        <v>0.25123080124869929</v>
      </c>
      <c r="U101" s="399"/>
      <c r="V101" s="403">
        <f>V95/V12</f>
        <v>0.20747942245829215</v>
      </c>
      <c r="X101" s="397">
        <f>X95/X12</f>
        <v>0.25123080124869929</v>
      </c>
      <c r="Y101" s="398">
        <f>Y95/Y12</f>
        <v>0.20747942245829215</v>
      </c>
      <c r="Z101" s="399"/>
      <c r="AA101" s="400"/>
      <c r="AB101" s="401"/>
      <c r="AC101" s="402">
        <f>AC95/AC12</f>
        <v>0.30383245557000432</v>
      </c>
      <c r="AD101" s="399"/>
      <c r="AE101" s="403">
        <f>AE95/AE12</f>
        <v>0.22800505025444603</v>
      </c>
      <c r="AG101" s="397">
        <f>AG95/AG12</f>
        <v>0.30383245557000432</v>
      </c>
      <c r="AH101" s="398">
        <f>AH95/AH12</f>
        <v>0.1930269718725989</v>
      </c>
      <c r="AI101" s="399"/>
      <c r="AJ101" s="400"/>
      <c r="AK101" s="401"/>
      <c r="AL101" s="402">
        <f>AL95/AL12</f>
        <v>0.30125236830050389</v>
      </c>
      <c r="AM101" s="399"/>
      <c r="AN101" s="403">
        <f>AN95/AN12</f>
        <v>0.2354232479595412</v>
      </c>
      <c r="AP101" s="397">
        <f>AP95/AP12</f>
        <v>0.30125236830050389</v>
      </c>
      <c r="AQ101" s="398">
        <f>AQ95/AQ12</f>
        <v>0.28250789755144945</v>
      </c>
      <c r="AR101" s="975"/>
      <c r="AS101" s="974"/>
      <c r="AT101" s="973"/>
      <c r="AU101" s="402">
        <f>AU95/AU12</f>
        <v>0.29085473560371522</v>
      </c>
      <c r="AV101" s="975"/>
      <c r="AW101" s="403">
        <f>AW95/AW12</f>
        <v>0.24893010210305763</v>
      </c>
      <c r="BA101" s="397">
        <f>BA95/BA12</f>
        <v>0.2771270784660767</v>
      </c>
      <c r="BB101" s="398">
        <f>BB95/BB12</f>
        <v>0</v>
      </c>
      <c r="BC101" s="399"/>
      <c r="BD101" s="400"/>
      <c r="BE101" s="401"/>
      <c r="BF101" s="402">
        <f>BF95/BF12</f>
        <v>0.24204284031007753</v>
      </c>
      <c r="BG101" s="399"/>
      <c r="BH101" s="403">
        <f>BH95/BH12</f>
        <v>0.22406933329739126</v>
      </c>
    </row>
    <row r="102" spans="1:62" x14ac:dyDescent="0.35">
      <c r="A102" s="9168"/>
      <c r="B102" s="58"/>
      <c r="C102" s="390"/>
      <c r="D102" s="414" t="s">
        <v>578</v>
      </c>
      <c r="E102" s="392"/>
      <c r="F102" s="2966"/>
      <c r="G102" s="1742"/>
      <c r="H102" s="572"/>
      <c r="I102" s="1993"/>
      <c r="J102" s="247"/>
      <c r="K102" s="1742"/>
      <c r="L102" s="1994"/>
      <c r="M102" s="247"/>
      <c r="O102" s="415"/>
      <c r="P102" s="416"/>
      <c r="Q102" s="417"/>
      <c r="R102" s="418"/>
      <c r="S102" s="419"/>
      <c r="T102" s="420">
        <f>T95-SUM(T74:T77)</f>
        <v>99717.900000000009</v>
      </c>
      <c r="U102" s="417"/>
      <c r="V102" s="421">
        <f>V95-SUM(V74:V77)</f>
        <v>85807.378909090912</v>
      </c>
      <c r="X102" s="415">
        <f>X95-SUM(X74:X77)</f>
        <v>99717.900000000009</v>
      </c>
      <c r="Y102" s="416">
        <f>Y95-SUM(Y74:Y77)</f>
        <v>85807.378909090912</v>
      </c>
      <c r="Z102" s="417"/>
      <c r="AA102" s="418"/>
      <c r="AB102" s="419"/>
      <c r="AC102" s="420">
        <f>AC95-SUM(AC74:AC77)</f>
        <v>94506.999999999985</v>
      </c>
      <c r="AD102" s="417"/>
      <c r="AE102" s="421">
        <f>AE95-SUM(AE74:AE77)</f>
        <v>82329.835937825948</v>
      </c>
      <c r="AG102" s="415">
        <f>AG95-SUM(AG74:AG77)</f>
        <v>94506.999999999985</v>
      </c>
      <c r="AH102" s="416">
        <f>AH95-SUM(AH74:AH77)</f>
        <v>82329.835937825948</v>
      </c>
      <c r="AI102" s="417"/>
      <c r="AJ102" s="418"/>
      <c r="AK102" s="419"/>
      <c r="AL102" s="420">
        <f>AL95-SUM(AL74:AL77)</f>
        <v>142720.20000000001</v>
      </c>
      <c r="AM102" s="417"/>
      <c r="AN102" s="421">
        <f>AN95-SUM(AN74:AN77)</f>
        <v>125387.43053281819</v>
      </c>
      <c r="AP102" s="415">
        <f>AP95-SUM(AP74:AP77)</f>
        <v>142720.20000000001</v>
      </c>
      <c r="AQ102" s="416">
        <f>AQ95-SUM(AQ74:AQ77)</f>
        <v>152529.1323696</v>
      </c>
      <c r="AR102" s="4724"/>
      <c r="AS102" s="5647"/>
      <c r="AT102" s="4723"/>
      <c r="AU102" s="420">
        <f>AU95-SUM(AU74:AU77)</f>
        <v>157313.59900000002</v>
      </c>
      <c r="AV102" s="4724"/>
      <c r="AW102" s="421">
        <f>AW95-SUM(AW74:AW77)</f>
        <v>164584.97965762694</v>
      </c>
      <c r="BA102" s="415">
        <f>BA95-SUM(BA74:BA77)</f>
        <v>157313.59900000002</v>
      </c>
      <c r="BB102" s="416">
        <f>BB95-SUM(BB74:BB77)</f>
        <v>0</v>
      </c>
      <c r="BC102" s="417"/>
      <c r="BD102" s="418"/>
      <c r="BE102" s="419"/>
      <c r="BF102" s="420">
        <f>BF95-SUM(BF74:BF77)</f>
        <v>166602.40000000002</v>
      </c>
      <c r="BG102" s="417"/>
      <c r="BH102" s="421">
        <f>BH95-SUM(BH74:BH77)</f>
        <v>150361.87159011091</v>
      </c>
    </row>
    <row r="103" spans="1:62" x14ac:dyDescent="0.35">
      <c r="A103" s="9168"/>
      <c r="B103" s="58"/>
      <c r="C103" s="390"/>
      <c r="D103" s="391" t="s">
        <v>579</v>
      </c>
      <c r="E103" s="392"/>
      <c r="F103" s="413"/>
      <c r="G103" s="409"/>
      <c r="H103" s="405"/>
      <c r="I103" s="406"/>
      <c r="J103" s="408"/>
      <c r="K103" s="409"/>
      <c r="L103" s="410"/>
      <c r="M103" s="408"/>
      <c r="O103" s="397"/>
      <c r="P103" s="398"/>
      <c r="Q103" s="399"/>
      <c r="R103" s="400"/>
      <c r="S103" s="401"/>
      <c r="T103" s="402">
        <f>T102/T12</f>
        <v>0.20752944849115507</v>
      </c>
      <c r="U103" s="399"/>
      <c r="V103" s="403">
        <f>V102/V12</f>
        <v>0.19113794315919544</v>
      </c>
      <c r="X103" s="397">
        <f>X102/X12</f>
        <v>0.20752944849115507</v>
      </c>
      <c r="Y103" s="398">
        <f>Y102/Y12</f>
        <v>0.19113794315919544</v>
      </c>
      <c r="Z103" s="399"/>
      <c r="AA103" s="400"/>
      <c r="AB103" s="401"/>
      <c r="AC103" s="402">
        <f>AC102/AC12</f>
        <v>0.20482661465106194</v>
      </c>
      <c r="AD103" s="399"/>
      <c r="AE103" s="403">
        <f>AE102/AE12</f>
        <v>0.19098326951363692</v>
      </c>
      <c r="AG103" s="397">
        <f>AG102/AG12</f>
        <v>0.20482661465106194</v>
      </c>
      <c r="AH103" s="398">
        <f>AH102/AH12</f>
        <v>0.16168467387632748</v>
      </c>
      <c r="AI103" s="399"/>
      <c r="AJ103" s="400"/>
      <c r="AK103" s="401"/>
      <c r="AL103" s="402">
        <f>AL102/AL12</f>
        <v>0.21792670636738434</v>
      </c>
      <c r="AM103" s="399"/>
      <c r="AN103" s="403">
        <f>AN102/AN12</f>
        <v>0.20214476111985805</v>
      </c>
      <c r="AP103" s="397">
        <f>AP102/AP12</f>
        <v>0.21792670636738434</v>
      </c>
      <c r="AQ103" s="398">
        <f>AQ102/AQ12</f>
        <v>0.24590156202779795</v>
      </c>
      <c r="AR103" s="975"/>
      <c r="AS103" s="974"/>
      <c r="AT103" s="973"/>
      <c r="AU103" s="402">
        <f>AU102/AU12</f>
        <v>0.1948156024767802</v>
      </c>
      <c r="AV103" s="975"/>
      <c r="AW103" s="403">
        <f>AW102/AW12</f>
        <v>0.20812465814065118</v>
      </c>
      <c r="BA103" s="397">
        <f>BA102/BA12</f>
        <v>0.18562076578171094</v>
      </c>
      <c r="BB103" s="398">
        <f>BB102/BB12</f>
        <v>0</v>
      </c>
      <c r="BC103" s="399"/>
      <c r="BD103" s="400"/>
      <c r="BE103" s="401"/>
      <c r="BF103" s="402">
        <f>BF102/BF12</f>
        <v>0.17219886304909562</v>
      </c>
      <c r="BG103" s="399"/>
      <c r="BH103" s="403">
        <f>BH102/BH12</f>
        <v>0.18000942366827596</v>
      </c>
    </row>
    <row r="104" spans="1:62" x14ac:dyDescent="0.35">
      <c r="A104" s="9168"/>
      <c r="B104" s="58"/>
      <c r="C104" s="390"/>
      <c r="D104" s="391"/>
      <c r="E104" s="392"/>
      <c r="F104" s="413"/>
      <c r="G104" s="409"/>
      <c r="H104" s="405"/>
      <c r="I104" s="406"/>
      <c r="J104" s="408"/>
      <c r="K104" s="409"/>
      <c r="L104" s="410"/>
      <c r="M104" s="408"/>
      <c r="O104" s="397"/>
      <c r="P104" s="398"/>
      <c r="Q104" s="399"/>
      <c r="R104" s="400"/>
      <c r="S104" s="401"/>
      <c r="T104" s="402"/>
      <c r="U104" s="399"/>
      <c r="V104" s="403"/>
      <c r="X104" s="397"/>
      <c r="Y104" s="398"/>
      <c r="Z104" s="399"/>
      <c r="AA104" s="400"/>
      <c r="AB104" s="401"/>
      <c r="AC104" s="402"/>
      <c r="AD104" s="399"/>
      <c r="AE104" s="403"/>
      <c r="AG104" s="397"/>
      <c r="AH104" s="398"/>
      <c r="AI104" s="399"/>
      <c r="AJ104" s="400"/>
      <c r="AK104" s="401"/>
      <c r="AL104" s="402"/>
      <c r="AM104" s="399"/>
      <c r="AN104" s="403"/>
      <c r="AP104" s="397"/>
      <c r="AQ104" s="398"/>
      <c r="AR104" s="975"/>
      <c r="AS104" s="974"/>
      <c r="AT104" s="973"/>
      <c r="AU104" s="402"/>
      <c r="AV104" s="975"/>
      <c r="AW104" s="403"/>
      <c r="BA104" s="397"/>
      <c r="BB104" s="398"/>
      <c r="BC104" s="399"/>
      <c r="BD104" s="400"/>
      <c r="BE104" s="401"/>
      <c r="BF104" s="402"/>
      <c r="BG104" s="399"/>
      <c r="BH104" s="403"/>
    </row>
    <row r="105" spans="1:62" x14ac:dyDescent="0.35">
      <c r="A105" s="9168"/>
      <c r="B105" s="58"/>
      <c r="C105" s="390"/>
      <c r="D105" s="423" t="s">
        <v>580</v>
      </c>
      <c r="E105" s="424"/>
      <c r="F105" s="4122"/>
      <c r="G105" s="4120"/>
      <c r="H105" s="4121"/>
      <c r="I105" s="2969"/>
      <c r="J105" s="2971"/>
      <c r="K105" s="4120"/>
      <c r="L105" s="2968"/>
      <c r="M105" s="2971"/>
      <c r="O105" s="397"/>
      <c r="P105" s="398"/>
      <c r="Q105" s="399"/>
      <c r="R105" s="400"/>
      <c r="S105" s="401"/>
      <c r="T105" s="402">
        <f>SUM(T79:T88)/T95</f>
        <v>0.28282018847480545</v>
      </c>
      <c r="U105" s="399"/>
      <c r="V105" s="403">
        <f>SUM(V79:V88)/V95</f>
        <v>0.38313690416277368</v>
      </c>
      <c r="X105" s="397">
        <f>SUM(X80:X88)/X95</f>
        <v>0.28282018847480545</v>
      </c>
      <c r="Y105" s="398">
        <f>SUM(Y80:Y88)/Y95</f>
        <v>0.38313690416277368</v>
      </c>
      <c r="Z105" s="399"/>
      <c r="AA105" s="400"/>
      <c r="AB105" s="401"/>
      <c r="AC105" s="402">
        <f>SUM(AC80:AC88)/AC95</f>
        <v>0.24718503067606323</v>
      </c>
      <c r="AD105" s="399"/>
      <c r="AE105" s="403">
        <f>SUM(AE80:AE88)/AE95</f>
        <v>0.36884249254185747</v>
      </c>
      <c r="AG105" s="397">
        <f>SUM(AG80:AG88)/AG95</f>
        <v>0.24718503067606323</v>
      </c>
      <c r="AH105" s="398">
        <f>SUM(AH80:AH88)/AH95</f>
        <v>0.36884249254185747</v>
      </c>
      <c r="AI105" s="399"/>
      <c r="AJ105" s="400"/>
      <c r="AK105" s="401"/>
      <c r="AL105" s="402">
        <f>SUM(AL80:AL88)/AL95</f>
        <v>0.35847994276207645</v>
      </c>
      <c r="AM105" s="399"/>
      <c r="AN105" s="403">
        <f>SUM(AN80:AN88)/AN95</f>
        <v>0.37739939692780866</v>
      </c>
      <c r="AP105" s="397">
        <f>SUM(AP80:AP88)/AP95</f>
        <v>0.35847994276207645</v>
      </c>
      <c r="AQ105" s="398">
        <f>SUM(AQ80:AQ88)/AQ95</f>
        <v>0.42796953960874679</v>
      </c>
      <c r="AR105" s="975"/>
      <c r="AS105" s="974"/>
      <c r="AT105" s="973"/>
      <c r="AU105" s="402">
        <f>SUM(AU80:AU88)/AU95</f>
        <v>0.28161430165735196</v>
      </c>
      <c r="AV105" s="975"/>
      <c r="AW105" s="403">
        <f>SUM(AW80:AW88)/AW95</f>
        <v>0.32296483098159634</v>
      </c>
      <c r="BA105" s="397">
        <f>SUM(BA80:BA88)/BA95</f>
        <v>0.28161430165735196</v>
      </c>
      <c r="BB105" s="398" t="e">
        <f>SUM(BB80:BB88)/BB95</f>
        <v>#DIV/0!</v>
      </c>
      <c r="BC105" s="399"/>
      <c r="BD105" s="400"/>
      <c r="BE105" s="401"/>
      <c r="BF105" s="402">
        <f>SUM(BF80:BF88)/BF95</f>
        <v>0.28244257509619414</v>
      </c>
      <c r="BG105" s="399"/>
      <c r="BH105" s="403">
        <f>SUM(BH80:BH88)/BH95</f>
        <v>0.25935452494483974</v>
      </c>
    </row>
    <row r="106" spans="1:62" x14ac:dyDescent="0.35">
      <c r="A106" s="9169"/>
      <c r="B106" s="85"/>
      <c r="C106" s="432"/>
      <c r="D106" s="433" t="s">
        <v>581</v>
      </c>
      <c r="E106" s="274"/>
      <c r="F106" s="434"/>
      <c r="G106" s="2972"/>
      <c r="H106" s="436"/>
      <c r="I106" s="437"/>
      <c r="J106" s="438"/>
      <c r="K106" s="2972"/>
      <c r="L106" s="439"/>
      <c r="M106" s="440"/>
      <c r="O106" s="441"/>
      <c r="P106" s="442"/>
      <c r="Q106" s="443"/>
      <c r="R106" s="444"/>
      <c r="S106" s="445"/>
      <c r="T106" s="446">
        <f>(T80+T83)/T97</f>
        <v>0.35263143488962267</v>
      </c>
      <c r="U106" s="443"/>
      <c r="V106" s="447">
        <f>(V80+V83)/V97</f>
        <v>0.41652893923666123</v>
      </c>
      <c r="X106" s="441">
        <f>X81/X97</f>
        <v>0.30223527880691481</v>
      </c>
      <c r="Y106" s="442">
        <f>Y81/Y97</f>
        <v>0.35536296096946396</v>
      </c>
      <c r="Z106" s="443"/>
      <c r="AA106" s="444"/>
      <c r="AB106" s="445"/>
      <c r="AC106" s="446">
        <f>AC81/AC97</f>
        <v>0.30924928730488288</v>
      </c>
      <c r="AD106" s="443"/>
      <c r="AE106" s="447">
        <f>AE81/AE97</f>
        <v>0.36360990963125567</v>
      </c>
      <c r="AG106" s="441">
        <f>AG81/AG97</f>
        <v>0.30924928730488288</v>
      </c>
      <c r="AH106" s="442">
        <f>AH81/AH97</f>
        <v>0.36360990963125567</v>
      </c>
      <c r="AI106" s="443"/>
      <c r="AJ106" s="444"/>
      <c r="AK106" s="445"/>
      <c r="AL106" s="446">
        <f>AL81/AL97</f>
        <v>0.36989932184410451</v>
      </c>
      <c r="AM106" s="443"/>
      <c r="AN106" s="447">
        <f>AN81/AN97</f>
        <v>0.34883453667626851</v>
      </c>
      <c r="AP106" s="441">
        <f>AP81/AP97</f>
        <v>0.36989932184410451</v>
      </c>
      <c r="AQ106" s="442">
        <f>AQ81/AQ97</f>
        <v>0.41187566006276233</v>
      </c>
      <c r="AR106" s="4741"/>
      <c r="AS106" s="5660"/>
      <c r="AT106" s="4740"/>
      <c r="AU106" s="446">
        <f>AU81/AU97</f>
        <v>0.36493188224908063</v>
      </c>
      <c r="AV106" s="4741"/>
      <c r="AW106" s="447">
        <f>AW81/AW97</f>
        <v>0.53938015895138314</v>
      </c>
      <c r="BA106" s="441">
        <f>BA81/BA97</f>
        <v>0.36493188224908063</v>
      </c>
      <c r="BB106" s="442" t="e">
        <f>BB81/BB97</f>
        <v>#DIV/0!</v>
      </c>
      <c r="BC106" s="443"/>
      <c r="BD106" s="444"/>
      <c r="BE106" s="445"/>
      <c r="BF106" s="446">
        <f>BF81/BF97</f>
        <v>0.34364722790207108</v>
      </c>
      <c r="BG106" s="443"/>
      <c r="BH106" s="447">
        <f>BH81/BH97</f>
        <v>0.32662294322717311</v>
      </c>
    </row>
    <row r="107" spans="1:62" s="462" customFormat="1" ht="12" x14ac:dyDescent="0.3">
      <c r="C107" s="456"/>
      <c r="D107" s="5"/>
      <c r="E107" s="456"/>
      <c r="F107" s="456"/>
      <c r="G107" s="456"/>
      <c r="H107" s="459"/>
      <c r="I107" s="459"/>
      <c r="J107" s="7"/>
      <c r="K107" s="456"/>
      <c r="N107" s="456"/>
      <c r="O107" s="459"/>
      <c r="P107" s="459"/>
      <c r="Q107" s="459"/>
      <c r="R107" s="7"/>
      <c r="S107" s="456"/>
      <c r="W107" s="456"/>
      <c r="X107" s="459"/>
      <c r="Y107" s="459"/>
      <c r="Z107" s="459"/>
      <c r="AA107" s="7"/>
      <c r="AB107" s="456"/>
      <c r="AF107" s="456"/>
      <c r="AG107" s="459"/>
      <c r="AH107" s="459"/>
      <c r="AI107" s="459"/>
      <c r="AJ107" s="7"/>
      <c r="AK107" s="456"/>
      <c r="AO107" s="456"/>
      <c r="AP107" s="459"/>
      <c r="AQ107" s="459"/>
      <c r="AR107" s="459"/>
      <c r="AS107" s="7"/>
      <c r="AT107" s="456"/>
      <c r="AX107" s="456"/>
      <c r="AZ107" s="456"/>
      <c r="BA107" s="459"/>
      <c r="BB107" s="459"/>
      <c r="BC107" s="459"/>
      <c r="BD107" s="7"/>
      <c r="BE107" s="456"/>
      <c r="BI107" s="456"/>
    </row>
    <row r="108" spans="1:62" s="462" customFormat="1" ht="12" x14ac:dyDescent="0.3">
      <c r="A108" s="576" t="s">
        <v>582</v>
      </c>
      <c r="B108" s="576"/>
      <c r="C108" s="456"/>
      <c r="D108" s="5"/>
      <c r="E108" s="456"/>
      <c r="F108" s="456"/>
      <c r="G108" s="456"/>
      <c r="H108" s="459"/>
      <c r="I108" s="459"/>
      <c r="J108" s="7"/>
      <c r="K108" s="456"/>
      <c r="N108" s="456"/>
      <c r="O108" s="459"/>
      <c r="P108" s="459"/>
      <c r="Q108" s="459"/>
      <c r="R108" s="7"/>
      <c r="S108" s="456"/>
      <c r="W108" s="456"/>
      <c r="X108" s="459"/>
      <c r="Y108" s="459"/>
      <c r="Z108" s="459"/>
      <c r="AA108" s="7"/>
      <c r="AB108" s="456"/>
      <c r="AF108" s="456"/>
      <c r="AG108" s="459"/>
      <c r="AH108" s="459"/>
      <c r="AI108" s="459"/>
      <c r="AJ108" s="7"/>
      <c r="AK108" s="456"/>
      <c r="AO108" s="456"/>
      <c r="AP108" s="459"/>
      <c r="AQ108" s="459"/>
      <c r="AR108" s="459"/>
      <c r="AS108" s="7"/>
      <c r="AT108" s="456"/>
      <c r="AX108" s="456"/>
      <c r="AZ108" s="456"/>
      <c r="BA108" s="459"/>
      <c r="BB108" s="459"/>
      <c r="BC108" s="459"/>
      <c r="BD108" s="7"/>
      <c r="BE108" s="456"/>
      <c r="BI108" s="456"/>
    </row>
    <row r="109" spans="1:62" s="462" customFormat="1" ht="12" customHeight="1" x14ac:dyDescent="0.3">
      <c r="A109" s="463">
        <v>1</v>
      </c>
      <c r="B109" s="464"/>
      <c r="D109" s="465"/>
      <c r="E109" s="466"/>
      <c r="F109" s="466"/>
      <c r="G109" s="466"/>
      <c r="H109" s="466"/>
      <c r="I109" s="466"/>
      <c r="J109" s="467"/>
      <c r="K109" s="466"/>
      <c r="L109" s="466"/>
      <c r="M109" s="466"/>
      <c r="N109" s="456"/>
      <c r="O109" s="466"/>
      <c r="P109" s="466"/>
      <c r="Q109" s="466"/>
      <c r="R109" s="467"/>
      <c r="S109" s="466"/>
      <c r="T109" s="466"/>
      <c r="U109" s="466"/>
      <c r="V109" s="466"/>
      <c r="W109" s="456"/>
      <c r="X109" s="466"/>
      <c r="Y109" s="466"/>
      <c r="Z109" s="466"/>
      <c r="AA109" s="467"/>
      <c r="AB109" s="466"/>
      <c r="AC109" s="466"/>
      <c r="AD109" s="466"/>
      <c r="AE109" s="466"/>
      <c r="AF109" s="456"/>
      <c r="AG109" s="466"/>
      <c r="AH109" s="466"/>
      <c r="AI109" s="466"/>
      <c r="AJ109" s="467"/>
      <c r="AK109" s="466"/>
      <c r="AL109" s="466"/>
      <c r="AM109" s="466"/>
      <c r="AN109" s="466"/>
      <c r="AO109" s="456"/>
      <c r="AP109" s="466"/>
      <c r="AQ109" s="466"/>
      <c r="AR109" s="466"/>
      <c r="AS109" s="467"/>
      <c r="AT109" s="466"/>
      <c r="AU109" s="466"/>
      <c r="AV109" s="466"/>
      <c r="AW109" s="466"/>
      <c r="AX109" s="456"/>
      <c r="AY109" s="4743"/>
      <c r="AZ109" s="456"/>
      <c r="BA109" s="466"/>
      <c r="BB109" s="466"/>
      <c r="BC109" s="466"/>
      <c r="BD109" s="467"/>
      <c r="BE109" s="466"/>
      <c r="BF109" s="466"/>
      <c r="BG109" s="466"/>
      <c r="BH109" s="466"/>
      <c r="BI109" s="456"/>
      <c r="BJ109" s="4743"/>
    </row>
    <row r="110" spans="1:62" s="462" customFormat="1" ht="12" x14ac:dyDescent="0.3">
      <c r="A110" s="468">
        <v>2</v>
      </c>
      <c r="D110" s="5"/>
      <c r="E110" s="456"/>
      <c r="F110" s="456"/>
      <c r="G110" s="456"/>
      <c r="H110" s="459"/>
      <c r="I110" s="459"/>
      <c r="J110" s="7"/>
      <c r="K110" s="456"/>
      <c r="N110" s="456"/>
      <c r="O110" s="459"/>
      <c r="P110" s="459"/>
      <c r="Q110" s="459"/>
      <c r="R110" s="7"/>
      <c r="S110" s="456"/>
      <c r="W110" s="456"/>
      <c r="X110" s="459"/>
      <c r="Y110" s="459"/>
      <c r="Z110" s="459"/>
      <c r="AA110" s="7"/>
      <c r="AB110" s="456"/>
      <c r="AF110" s="456"/>
      <c r="AG110" s="459"/>
      <c r="AH110" s="459"/>
      <c r="AI110" s="459"/>
      <c r="AJ110" s="7"/>
      <c r="AK110" s="456"/>
      <c r="AO110" s="456"/>
      <c r="AP110" s="459"/>
      <c r="AQ110" s="459"/>
      <c r="AR110" s="459"/>
      <c r="AS110" s="7"/>
      <c r="AT110" s="456"/>
      <c r="AX110" s="456"/>
      <c r="AY110" s="4743"/>
      <c r="AZ110" s="456"/>
      <c r="BA110" s="459"/>
      <c r="BB110" s="459"/>
      <c r="BC110" s="459"/>
      <c r="BD110" s="7"/>
      <c r="BE110" s="456"/>
      <c r="BI110" s="456"/>
      <c r="BJ110" s="4743"/>
    </row>
    <row r="111" spans="1:62" s="462" customFormat="1" ht="12" x14ac:dyDescent="0.3">
      <c r="A111" s="468">
        <v>3</v>
      </c>
      <c r="B111" s="469"/>
      <c r="D111" s="5"/>
      <c r="E111" s="456"/>
      <c r="F111" s="456"/>
      <c r="G111" s="456"/>
      <c r="H111" s="459"/>
      <c r="I111" s="459"/>
      <c r="J111" s="7"/>
      <c r="K111" s="456"/>
      <c r="N111" s="456"/>
      <c r="O111" s="459"/>
      <c r="P111" s="459"/>
      <c r="Q111" s="459"/>
      <c r="R111" s="7"/>
      <c r="S111" s="456"/>
      <c r="W111" s="456"/>
      <c r="X111" s="459"/>
      <c r="Y111" s="459"/>
      <c r="Z111" s="459"/>
      <c r="AA111" s="7"/>
      <c r="AB111" s="456"/>
      <c r="AF111" s="456"/>
      <c r="AG111" s="459"/>
      <c r="AH111" s="459"/>
      <c r="AI111" s="459"/>
      <c r="AJ111" s="7"/>
      <c r="AK111" s="456"/>
      <c r="AO111" s="456"/>
      <c r="AP111" s="459"/>
      <c r="AQ111" s="459"/>
      <c r="AR111" s="459"/>
      <c r="AS111" s="7"/>
      <c r="AT111" s="456"/>
      <c r="AX111" s="456"/>
      <c r="AY111" s="4743"/>
      <c r="AZ111" s="456"/>
      <c r="BA111" s="459"/>
      <c r="BB111" s="459"/>
      <c r="BC111" s="459"/>
      <c r="BD111" s="7"/>
      <c r="BE111" s="456"/>
      <c r="BI111" s="456"/>
      <c r="BJ111" s="4743"/>
    </row>
    <row r="112" spans="1:62" s="462" customFormat="1" ht="12" x14ac:dyDescent="0.3">
      <c r="A112" s="468">
        <v>4</v>
      </c>
      <c r="B112" s="469"/>
      <c r="D112" s="5"/>
      <c r="E112" s="456"/>
      <c r="F112" s="456"/>
      <c r="G112" s="456"/>
      <c r="H112" s="459"/>
      <c r="I112" s="459"/>
      <c r="J112" s="7"/>
      <c r="K112" s="456"/>
      <c r="N112" s="456"/>
      <c r="O112" s="459"/>
      <c r="P112" s="459"/>
      <c r="Q112" s="459"/>
      <c r="R112" s="7"/>
      <c r="S112" s="456"/>
      <c r="W112" s="456"/>
      <c r="X112" s="459"/>
      <c r="Y112" s="459"/>
      <c r="Z112" s="459"/>
      <c r="AA112" s="7"/>
      <c r="AB112" s="456"/>
      <c r="AF112" s="456"/>
      <c r="AG112" s="459"/>
      <c r="AH112" s="459"/>
      <c r="AI112" s="459"/>
      <c r="AJ112" s="7"/>
      <c r="AK112" s="456"/>
      <c r="AO112" s="456"/>
      <c r="AP112" s="459"/>
      <c r="AQ112" s="459"/>
      <c r="AR112" s="459"/>
      <c r="AS112" s="7"/>
      <c r="AT112" s="456"/>
      <c r="AX112" s="456"/>
      <c r="AY112" s="4743"/>
      <c r="AZ112" s="456"/>
      <c r="BA112" s="459"/>
      <c r="BB112" s="459"/>
      <c r="BC112" s="459"/>
      <c r="BD112" s="7"/>
      <c r="BE112" s="456"/>
      <c r="BI112" s="456"/>
      <c r="BJ112" s="4743"/>
    </row>
    <row r="113" spans="1:62" s="462" customFormat="1" ht="12" x14ac:dyDescent="0.3">
      <c r="A113" s="468">
        <v>5</v>
      </c>
      <c r="B113" s="469"/>
      <c r="D113" s="5"/>
      <c r="E113" s="456"/>
      <c r="F113" s="456"/>
      <c r="G113" s="456"/>
      <c r="H113" s="459"/>
      <c r="I113" s="459"/>
      <c r="J113" s="7"/>
      <c r="K113" s="456"/>
      <c r="N113" s="456"/>
      <c r="W113" s="456"/>
      <c r="AF113" s="456"/>
      <c r="AO113" s="456"/>
      <c r="AX113" s="456"/>
      <c r="AY113" s="4743"/>
      <c r="AZ113" s="456"/>
      <c r="BI113" s="456"/>
      <c r="BJ113" s="4743"/>
    </row>
    <row r="114" spans="1:62" s="462" customFormat="1" ht="12" x14ac:dyDescent="0.3">
      <c r="A114" s="468">
        <v>6</v>
      </c>
      <c r="B114" s="469"/>
      <c r="D114" s="5"/>
      <c r="E114" s="456"/>
      <c r="F114" s="456"/>
      <c r="G114" s="456"/>
      <c r="H114" s="459"/>
      <c r="I114" s="459"/>
      <c r="J114" s="7"/>
      <c r="K114" s="456"/>
      <c r="N114" s="456"/>
      <c r="W114" s="456"/>
      <c r="AF114" s="456"/>
      <c r="AO114" s="456"/>
      <c r="AX114" s="456"/>
      <c r="AY114" s="4743"/>
      <c r="AZ114" s="456"/>
      <c r="BI114" s="456"/>
      <c r="BJ114" s="4743"/>
    </row>
    <row r="115" spans="1:62" s="462" customFormat="1" ht="12" x14ac:dyDescent="0.3">
      <c r="A115" s="468">
        <v>7</v>
      </c>
      <c r="B115" s="469"/>
      <c r="D115" s="5"/>
      <c r="E115" s="456"/>
      <c r="F115" s="456"/>
      <c r="G115" s="456"/>
      <c r="H115" s="459"/>
      <c r="I115" s="459"/>
      <c r="J115" s="7"/>
      <c r="K115" s="456"/>
      <c r="N115" s="456"/>
      <c r="W115" s="456"/>
      <c r="AF115" s="456"/>
      <c r="AO115" s="456"/>
      <c r="AX115" s="456"/>
      <c r="AY115" s="4743"/>
      <c r="AZ115" s="456"/>
      <c r="BI115" s="456"/>
      <c r="BJ115" s="4743"/>
    </row>
    <row r="116" spans="1:62" s="462" customFormat="1" ht="12" x14ac:dyDescent="0.3">
      <c r="A116" s="468">
        <v>8</v>
      </c>
      <c r="B116" s="469"/>
      <c r="D116" s="5"/>
      <c r="E116" s="456"/>
      <c r="F116" s="456"/>
      <c r="G116" s="456"/>
      <c r="H116" s="459"/>
      <c r="I116" s="459"/>
      <c r="J116" s="7"/>
      <c r="K116" s="456"/>
      <c r="N116" s="456"/>
      <c r="W116" s="456"/>
      <c r="AF116" s="456"/>
      <c r="AO116" s="456"/>
      <c r="AX116" s="456"/>
      <c r="AY116" s="4743"/>
      <c r="AZ116" s="456"/>
      <c r="BI116" s="456"/>
      <c r="BJ116" s="4743"/>
    </row>
    <row r="117" spans="1:62" s="462" customFormat="1" ht="12" x14ac:dyDescent="0.3">
      <c r="D117" s="5"/>
      <c r="E117" s="456"/>
      <c r="F117" s="456"/>
      <c r="G117" s="456"/>
      <c r="H117" s="459"/>
      <c r="I117" s="459"/>
      <c r="J117" s="7"/>
      <c r="K117" s="456"/>
      <c r="N117" s="456"/>
      <c r="W117" s="456"/>
      <c r="AF117" s="456"/>
      <c r="AO117" s="456"/>
      <c r="AX117" s="456"/>
      <c r="AY117" s="4743"/>
      <c r="AZ117" s="456"/>
      <c r="BI117" s="456"/>
      <c r="BJ117" s="4743"/>
    </row>
    <row r="118" spans="1:62" s="462" customFormat="1" ht="12" x14ac:dyDescent="0.3">
      <c r="B118" s="456"/>
      <c r="D118" s="5"/>
      <c r="E118" s="456"/>
      <c r="F118" s="456"/>
      <c r="G118" s="456"/>
      <c r="H118" s="459"/>
      <c r="I118" s="459"/>
      <c r="J118" s="7"/>
      <c r="K118" s="456"/>
      <c r="N118" s="456"/>
      <c r="W118" s="456"/>
      <c r="AF118" s="456"/>
      <c r="AO118" s="456"/>
      <c r="AX118" s="456"/>
      <c r="AY118" s="4743"/>
      <c r="AZ118" s="456"/>
      <c r="BI118" s="456"/>
      <c r="BJ118" s="4743"/>
    </row>
    <row r="119" spans="1:62" s="462" customFormat="1" ht="12" x14ac:dyDescent="0.3">
      <c r="B119" s="456"/>
      <c r="D119" s="5"/>
      <c r="E119" s="456"/>
      <c r="F119" s="456"/>
      <c r="G119" s="456"/>
      <c r="H119" s="459"/>
      <c r="I119" s="459"/>
      <c r="J119" s="7"/>
      <c r="K119" s="456"/>
      <c r="N119" s="456"/>
      <c r="W119" s="456"/>
      <c r="AF119" s="456"/>
      <c r="AO119" s="456"/>
      <c r="AX119" s="456"/>
      <c r="AY119" s="4743"/>
      <c r="AZ119" s="456"/>
      <c r="BI119" s="456"/>
      <c r="BJ119" s="4743"/>
    </row>
    <row r="120" spans="1:62" s="462" customFormat="1" ht="12" x14ac:dyDescent="0.3">
      <c r="B120" s="456"/>
      <c r="D120" s="5"/>
      <c r="E120" s="456"/>
      <c r="F120" s="456"/>
      <c r="G120" s="456"/>
      <c r="H120" s="459"/>
      <c r="I120" s="459"/>
      <c r="J120" s="7"/>
      <c r="K120" s="456"/>
      <c r="N120" s="456"/>
      <c r="O120" s="459"/>
      <c r="P120" s="459"/>
      <c r="Q120" s="459"/>
      <c r="R120" s="7"/>
      <c r="S120" s="456"/>
      <c r="W120" s="456"/>
      <c r="X120" s="459"/>
      <c r="Y120" s="459"/>
      <c r="Z120" s="459"/>
      <c r="AA120" s="7"/>
      <c r="AB120" s="456"/>
      <c r="AF120" s="456"/>
      <c r="AG120" s="459"/>
      <c r="AH120" s="459"/>
      <c r="AI120" s="459"/>
      <c r="AJ120" s="7"/>
      <c r="AK120" s="456"/>
      <c r="AO120" s="456"/>
      <c r="AP120" s="459"/>
      <c r="AQ120" s="459"/>
      <c r="AR120" s="459"/>
      <c r="AS120" s="7"/>
      <c r="AT120" s="456"/>
      <c r="AX120" s="456"/>
      <c r="AY120" s="4743"/>
      <c r="AZ120" s="456"/>
      <c r="BA120" s="459"/>
      <c r="BB120" s="459"/>
      <c r="BC120" s="459"/>
      <c r="BD120" s="7"/>
      <c r="BE120" s="456"/>
      <c r="BI120" s="456"/>
      <c r="BJ120" s="4743"/>
    </row>
    <row r="121" spans="1:62" s="462" customFormat="1" ht="12" x14ac:dyDescent="0.3">
      <c r="B121" s="456"/>
      <c r="D121" s="5"/>
      <c r="E121" s="456"/>
      <c r="F121" s="456"/>
      <c r="G121" s="456"/>
      <c r="H121" s="459"/>
      <c r="I121" s="459"/>
      <c r="J121" s="7"/>
      <c r="K121" s="456"/>
      <c r="N121" s="456"/>
      <c r="O121" s="459"/>
      <c r="P121" s="459"/>
      <c r="Q121" s="459"/>
      <c r="R121" s="7"/>
      <c r="S121" s="456"/>
      <c r="W121" s="456"/>
      <c r="X121" s="459"/>
      <c r="Y121" s="459"/>
      <c r="Z121" s="459"/>
      <c r="AA121" s="7"/>
      <c r="AB121" s="456"/>
      <c r="AF121" s="456"/>
      <c r="AG121" s="459"/>
      <c r="AH121" s="459"/>
      <c r="AI121" s="459"/>
      <c r="AJ121" s="7"/>
      <c r="AK121" s="456"/>
      <c r="AO121" s="456"/>
      <c r="AP121" s="459"/>
      <c r="AQ121" s="459"/>
      <c r="AR121" s="459"/>
      <c r="AS121" s="7"/>
      <c r="AT121" s="456"/>
      <c r="AX121" s="456"/>
      <c r="AY121" s="4743"/>
      <c r="AZ121" s="456"/>
      <c r="BA121" s="459"/>
      <c r="BB121" s="459"/>
      <c r="BC121" s="459"/>
      <c r="BD121" s="7"/>
      <c r="BE121" s="456"/>
      <c r="BI121" s="456"/>
      <c r="BJ121" s="4743"/>
    </row>
    <row r="122" spans="1:62" s="462" customFormat="1" ht="12" x14ac:dyDescent="0.3">
      <c r="B122" s="456"/>
      <c r="D122" s="5"/>
      <c r="E122" s="456"/>
      <c r="F122" s="456"/>
      <c r="G122" s="456"/>
      <c r="H122" s="459"/>
      <c r="I122" s="459"/>
      <c r="J122" s="7"/>
      <c r="K122" s="456"/>
      <c r="N122" s="456"/>
      <c r="O122" s="459"/>
      <c r="P122" s="459"/>
      <c r="Q122" s="459"/>
      <c r="R122" s="7"/>
      <c r="S122" s="456"/>
      <c r="W122" s="456"/>
      <c r="X122" s="459"/>
      <c r="Y122" s="459"/>
      <c r="Z122" s="459"/>
      <c r="AA122" s="7"/>
      <c r="AB122" s="456"/>
      <c r="AF122" s="456"/>
      <c r="AG122" s="459"/>
      <c r="AH122" s="459"/>
      <c r="AI122" s="459"/>
      <c r="AJ122" s="7"/>
      <c r="AK122" s="456"/>
      <c r="AO122" s="456"/>
      <c r="AP122" s="459"/>
      <c r="AQ122" s="459"/>
      <c r="AR122" s="459"/>
      <c r="AS122" s="7"/>
      <c r="AT122" s="456"/>
      <c r="AX122" s="456"/>
      <c r="AY122" s="4743"/>
      <c r="AZ122" s="456"/>
      <c r="BA122" s="459"/>
      <c r="BB122" s="459"/>
      <c r="BC122" s="459"/>
      <c r="BD122" s="7"/>
      <c r="BE122" s="456"/>
      <c r="BI122" s="456"/>
      <c r="BJ122" s="4743"/>
    </row>
    <row r="123" spans="1:62" s="462" customFormat="1" x14ac:dyDescent="0.35">
      <c r="A123" s="455" t="s">
        <v>5663</v>
      </c>
      <c r="B123" s="455"/>
      <c r="C123" s="456"/>
      <c r="D123" s="5"/>
      <c r="E123" s="456"/>
      <c r="F123" s="456"/>
      <c r="G123" s="456"/>
      <c r="H123" s="459"/>
      <c r="I123" s="459"/>
      <c r="J123" s="7"/>
      <c r="K123" s="456"/>
      <c r="N123" s="456"/>
      <c r="O123" s="6"/>
      <c r="P123" s="6"/>
      <c r="Q123" s="6"/>
      <c r="R123" s="7"/>
      <c r="S123" s="1"/>
      <c r="T123"/>
      <c r="U123"/>
      <c r="V123"/>
      <c r="W123" s="456"/>
      <c r="X123" s="6"/>
      <c r="Y123" s="6"/>
      <c r="Z123" s="6"/>
      <c r="AA123" s="7"/>
      <c r="AB123" s="1"/>
      <c r="AC123"/>
      <c r="AD123"/>
      <c r="AE123"/>
      <c r="AF123" s="456"/>
      <c r="AG123" s="6"/>
      <c r="AH123" s="6"/>
      <c r="AI123" s="6"/>
      <c r="AJ123" s="7"/>
      <c r="AK123" s="1"/>
      <c r="AL123"/>
      <c r="AM123"/>
      <c r="AN123"/>
      <c r="AO123" s="456"/>
      <c r="AP123" s="6"/>
      <c r="AQ123" s="6"/>
      <c r="AR123" s="6"/>
      <c r="AS123" s="7"/>
      <c r="AT123" s="1"/>
      <c r="AU123"/>
      <c r="AV123"/>
      <c r="AW123"/>
      <c r="AX123" s="456"/>
      <c r="AY123" s="4743"/>
      <c r="AZ123" s="456"/>
      <c r="BA123" s="6"/>
      <c r="BB123" s="6"/>
      <c r="BC123" s="6"/>
      <c r="BD123" s="7"/>
      <c r="BE123" s="1"/>
      <c r="BF123"/>
      <c r="BG123"/>
      <c r="BH123"/>
      <c r="BI123" s="456"/>
      <c r="BJ123" s="4743"/>
    </row>
    <row r="124" spans="1:62" s="462" customFormat="1" ht="93" customHeight="1" x14ac:dyDescent="0.35">
      <c r="A124" s="9170"/>
      <c r="B124" s="9171"/>
      <c r="C124" s="9171"/>
      <c r="D124" s="9171"/>
      <c r="E124" s="9171"/>
      <c r="F124" s="9171"/>
      <c r="G124" s="9171"/>
      <c r="H124" s="9171"/>
      <c r="I124" s="9171"/>
      <c r="J124" s="9171"/>
      <c r="K124" s="9171"/>
      <c r="L124" s="9171"/>
      <c r="M124" s="9172"/>
      <c r="N124" s="456"/>
      <c r="O124" s="6"/>
      <c r="P124" s="6"/>
      <c r="Q124" s="6"/>
      <c r="R124" s="7"/>
      <c r="S124" s="1"/>
      <c r="T124"/>
      <c r="U124"/>
      <c r="V124"/>
      <c r="W124" s="456"/>
      <c r="X124" s="6"/>
      <c r="Y124" s="6"/>
      <c r="Z124" s="6"/>
      <c r="AA124" s="7"/>
      <c r="AB124" s="1"/>
      <c r="AC124"/>
      <c r="AD124"/>
      <c r="AE124"/>
      <c r="AF124" s="456"/>
      <c r="AG124" s="6"/>
      <c r="AH124" s="6"/>
      <c r="AI124" s="6"/>
      <c r="AJ124" s="7"/>
      <c r="AK124" s="1"/>
      <c r="AL124"/>
      <c r="AM124"/>
      <c r="AN124"/>
      <c r="AO124" s="456"/>
      <c r="AP124" s="6"/>
      <c r="AQ124" s="6"/>
      <c r="AR124" s="6"/>
      <c r="AS124" s="7"/>
      <c r="AT124" s="1"/>
      <c r="AU124"/>
      <c r="AV124"/>
      <c r="AW124"/>
      <c r="AX124" s="456"/>
      <c r="AY124" s="4743"/>
      <c r="AZ124" s="456"/>
      <c r="BA124" s="6"/>
      <c r="BB124" s="6"/>
      <c r="BC124" s="6"/>
      <c r="BD124" s="7"/>
      <c r="BE124" s="1"/>
      <c r="BF124"/>
      <c r="BG124"/>
      <c r="BH124"/>
      <c r="BI124" s="456"/>
      <c r="BJ124" s="4743"/>
    </row>
  </sheetData>
  <mergeCells count="63">
    <mergeCell ref="AG1:AN1"/>
    <mergeCell ref="AG4:AJ4"/>
    <mergeCell ref="AL4:AN4"/>
    <mergeCell ref="AG5:AJ5"/>
    <mergeCell ref="AL5:AN5"/>
    <mergeCell ref="F1:M1"/>
    <mergeCell ref="O1:V1"/>
    <mergeCell ref="A10:A31"/>
    <mergeCell ref="A79:A88"/>
    <mergeCell ref="O4:R4"/>
    <mergeCell ref="T4:V4"/>
    <mergeCell ref="O5:R5"/>
    <mergeCell ref="T5:V5"/>
    <mergeCell ref="O7:P7"/>
    <mergeCell ref="R7:R8"/>
    <mergeCell ref="H4:J4"/>
    <mergeCell ref="L4:M4"/>
    <mergeCell ref="AG7:AH7"/>
    <mergeCell ref="AJ7:AJ8"/>
    <mergeCell ref="AL7:AN7"/>
    <mergeCell ref="AC7:AE7"/>
    <mergeCell ref="X10:Y10"/>
    <mergeCell ref="X7:Y7"/>
    <mergeCell ref="AA7:AA8"/>
    <mergeCell ref="A124:M124"/>
    <mergeCell ref="A33:A77"/>
    <mergeCell ref="H5:J5"/>
    <mergeCell ref="L5:M5"/>
    <mergeCell ref="H7:I7"/>
    <mergeCell ref="J7:J8"/>
    <mergeCell ref="L7:M7"/>
    <mergeCell ref="A90:A106"/>
    <mergeCell ref="X33:Y33"/>
    <mergeCell ref="T7:V7"/>
    <mergeCell ref="O10:P10"/>
    <mergeCell ref="X1:AE1"/>
    <mergeCell ref="X4:AA4"/>
    <mergeCell ref="AC4:AE4"/>
    <mergeCell ref="X5:AA5"/>
    <mergeCell ref="AC5:AE5"/>
    <mergeCell ref="AP1:AW1"/>
    <mergeCell ref="AP4:AS4"/>
    <mergeCell ref="AU4:AW4"/>
    <mergeCell ref="AY4:AY5"/>
    <mergeCell ref="AP5:AS5"/>
    <mergeCell ref="AU5:AW5"/>
    <mergeCell ref="AP7:AQ7"/>
    <mergeCell ref="AS7:AS8"/>
    <mergeCell ref="AU7:AW7"/>
    <mergeCell ref="AP33:AQ33"/>
    <mergeCell ref="AU34:AW34"/>
    <mergeCell ref="BA1:BH1"/>
    <mergeCell ref="BA4:BD4"/>
    <mergeCell ref="BF4:BH4"/>
    <mergeCell ref="BJ4:BJ5"/>
    <mergeCell ref="BA5:BD5"/>
    <mergeCell ref="BF5:BH5"/>
    <mergeCell ref="BA7:BB7"/>
    <mergeCell ref="BD7:BD8"/>
    <mergeCell ref="BF7:BH7"/>
    <mergeCell ref="BA10:BB10"/>
    <mergeCell ref="BA34:BC34"/>
    <mergeCell ref="BF34:BH34"/>
  </mergeCells>
  <hyperlinks>
    <hyperlink ref="U10" r:id="rId1" xr:uid="{00000000-0004-0000-2A00-000000000000}"/>
    <hyperlink ref="Q10" r:id="rId2" xr:uid="{00000000-0004-0000-2A00-000001000000}"/>
    <hyperlink ref="Q33" r:id="rId3" xr:uid="{00000000-0004-0000-2A00-000002000000}"/>
    <hyperlink ref="U33" r:id="rId4" xr:uid="{00000000-0004-0000-2A00-000003000000}"/>
    <hyperlink ref="Z33" r:id="rId5" display="http://www.zanzibar.go.tz/admin/uploads/Bajeti-WEMA-Final.pdf" xr:uid="{00000000-0004-0000-2A00-000004000000}"/>
    <hyperlink ref="AD33" r:id="rId6" xr:uid="{00000000-0004-0000-2A00-000005000000}"/>
    <hyperlink ref="Z10" r:id="rId7" xr:uid="{00000000-0004-0000-2A00-000006000000}"/>
    <hyperlink ref="AI33" r:id="rId8" xr:uid="{00000000-0004-0000-2A00-000007000000}"/>
    <hyperlink ref="AI10" r:id="rId9" xr:uid="{00000000-0004-0000-2A00-000008000000}"/>
    <hyperlink ref="AM10" r:id="rId10" xr:uid="{00000000-0004-0000-2A00-000009000000}"/>
    <hyperlink ref="AV10" r:id="rId11" xr:uid="{1869C39F-69B1-4F73-89FA-DB4CAC72EA52}"/>
    <hyperlink ref="BC10" r:id="rId12" xr:uid="{11FD5553-CD38-47C5-BD27-DB7F40DFE9FC}"/>
  </hyperlinks>
  <pageMargins left="0.23622047244094491" right="0.23622047244094491" top="0.35433070866141736" bottom="0.35433070866141736" header="0.31496062992125984" footer="0.31496062992125984"/>
  <pageSetup paperSize="9" scale="41" orientation="portrait" horizontalDpi="4294967293" r:id="rId1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BL140"/>
  <sheetViews>
    <sheetView zoomScale="90" zoomScaleNormal="90" zoomScalePageLayoutView="93" workbookViewId="0">
      <pane xSplit="4" topLeftCell="BD1" activePane="topRight" state="frozen"/>
      <selection pane="topRight" activeCell="BH7" sqref="BH7:BJ7"/>
    </sheetView>
  </sheetViews>
  <sheetFormatPr defaultColWidth="9.1796875" defaultRowHeight="14.5" x14ac:dyDescent="0.35"/>
  <cols>
    <col min="1" max="1" width="6.6328125" customWidth="1"/>
    <col min="2" max="2" width="9.453125" customWidth="1"/>
    <col min="3" max="3" width="28.6328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1796875" customWidth="1"/>
    <col min="22" max="22" width="21.6328125" customWidth="1"/>
    <col min="23" max="23" width="1.6328125" style="1" customWidth="1"/>
    <col min="24" max="26" width="21.6328125" style="6" customWidth="1"/>
    <col min="27" max="27" width="8.6328125" style="7" customWidth="1"/>
    <col min="28" max="28" width="1.6328125" style="1" customWidth="1"/>
    <col min="29" max="29" width="21.6328125" customWidth="1"/>
    <col min="30" max="30" width="23.1796875" customWidth="1"/>
    <col min="31" max="31" width="21.6328125" customWidth="1"/>
    <col min="32" max="32" width="1.6328125" style="1" customWidth="1"/>
    <col min="33" max="35" width="21.6328125" style="6" customWidth="1"/>
    <col min="36" max="36" width="8.6328125" style="7" customWidth="1"/>
    <col min="37" max="37" width="1.6328125" style="1" customWidth="1"/>
    <col min="38" max="38" width="21.6328125" customWidth="1"/>
    <col min="39" max="39" width="23.1796875" customWidth="1"/>
    <col min="40" max="40" width="21.6328125" customWidth="1"/>
    <col min="41" max="41" width="1.6328125" style="1" customWidth="1"/>
    <col min="42" max="42" width="10.453125" customWidth="1"/>
    <col min="44" max="46" width="21.6328125" style="6" customWidth="1"/>
    <col min="47" max="47" width="8.6328125" style="7" customWidth="1"/>
    <col min="48" max="48" width="1.6328125" style="1" customWidth="1"/>
    <col min="49" max="49" width="21.6328125" customWidth="1"/>
    <col min="50" max="50" width="23.1796875" customWidth="1"/>
    <col min="51" max="51" width="21.6328125" customWidth="1"/>
    <col min="52" max="52" width="2.453125" customWidth="1"/>
    <col min="53" max="53" width="5.1796875" customWidth="1"/>
    <col min="54" max="54" width="3.1796875" customWidth="1"/>
    <col min="55" max="57" width="21.6328125" style="6" customWidth="1"/>
    <col min="58" max="58" width="10.453125" style="7" customWidth="1"/>
    <col min="59" max="59" width="1.6328125" style="1" customWidth="1"/>
    <col min="60" max="60" width="21.6328125" customWidth="1"/>
    <col min="61" max="61" width="23.1796875" customWidth="1"/>
    <col min="62" max="62" width="21.6328125" customWidth="1"/>
    <col min="63" max="63" width="7.36328125" customWidth="1"/>
    <col min="64" max="64" width="5.1796875" customWidth="1"/>
  </cols>
  <sheetData>
    <row r="1" spans="1:64" ht="31" x14ac:dyDescent="0.7">
      <c r="F1" s="9118" t="s">
        <v>394</v>
      </c>
      <c r="G1" s="9119"/>
      <c r="H1" s="9119"/>
      <c r="I1" s="9119"/>
      <c r="J1" s="9119"/>
      <c r="K1" s="9119"/>
      <c r="L1" s="9119"/>
      <c r="M1" s="9120"/>
      <c r="N1"/>
      <c r="O1" s="9121" t="s">
        <v>395</v>
      </c>
      <c r="P1" s="9122"/>
      <c r="Q1" s="9122"/>
      <c r="R1" s="9122"/>
      <c r="S1" s="9122"/>
      <c r="T1" s="9122"/>
      <c r="U1" s="9122"/>
      <c r="V1" s="9123"/>
      <c r="W1"/>
      <c r="X1" s="9426" t="s">
        <v>396</v>
      </c>
      <c r="Y1" s="9427"/>
      <c r="Z1" s="9427"/>
      <c r="AA1" s="9427"/>
      <c r="AB1" s="9427"/>
      <c r="AC1" s="9427"/>
      <c r="AD1" s="9427"/>
      <c r="AE1" s="9428"/>
      <c r="AF1"/>
      <c r="AG1" s="9477" t="s">
        <v>397</v>
      </c>
      <c r="AH1" s="9478"/>
      <c r="AI1" s="9478"/>
      <c r="AJ1" s="9478"/>
      <c r="AK1" s="9478"/>
      <c r="AL1" s="9478"/>
      <c r="AM1" s="9478"/>
      <c r="AN1" s="9479"/>
      <c r="AO1"/>
      <c r="AR1" s="9187" t="s">
        <v>398</v>
      </c>
      <c r="AS1" s="9188"/>
      <c r="AT1" s="9188"/>
      <c r="AU1" s="9188"/>
      <c r="AV1" s="9188"/>
      <c r="AW1" s="9188"/>
      <c r="AX1" s="9188"/>
      <c r="AY1" s="9189"/>
      <c r="BC1" s="9552" t="s">
        <v>399</v>
      </c>
      <c r="BD1" s="9533"/>
      <c r="BE1" s="9533"/>
      <c r="BF1" s="9533"/>
      <c r="BG1" s="9533"/>
      <c r="BH1" s="9533"/>
      <c r="BI1" s="9533"/>
      <c r="BJ1" s="9534"/>
    </row>
    <row r="2" spans="1:64" ht="21" x14ac:dyDescent="0.5">
      <c r="B2" s="1" t="s">
        <v>9</v>
      </c>
      <c r="C2" s="4" t="s">
        <v>70</v>
      </c>
      <c r="H2"/>
      <c r="AR2" s="5661" t="s">
        <v>5910</v>
      </c>
      <c r="BC2" s="5661" t="s">
        <v>5911</v>
      </c>
    </row>
    <row r="4" spans="1:64"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30" t="s">
        <v>403</v>
      </c>
      <c r="Y4" s="9131"/>
      <c r="Z4" s="9131"/>
      <c r="AA4" s="9132"/>
      <c r="AC4" s="9130" t="s">
        <v>402</v>
      </c>
      <c r="AD4" s="9131"/>
      <c r="AE4" s="9132"/>
      <c r="AG4" s="9130" t="s">
        <v>403</v>
      </c>
      <c r="AH4" s="9131"/>
      <c r="AI4" s="9131"/>
      <c r="AJ4" s="9132"/>
      <c r="AL4" s="9130" t="s">
        <v>402</v>
      </c>
      <c r="AM4" s="9131"/>
      <c r="AN4" s="9132"/>
      <c r="AP4" s="9180" t="s">
        <v>404</v>
      </c>
      <c r="AR4" s="9130" t="s">
        <v>403</v>
      </c>
      <c r="AS4" s="9131"/>
      <c r="AT4" s="9131"/>
      <c r="AU4" s="9132"/>
      <c r="AW4" s="9130" t="s">
        <v>402</v>
      </c>
      <c r="AX4" s="9131"/>
      <c r="AY4" s="9132"/>
      <c r="BA4" s="9180" t="s">
        <v>404</v>
      </c>
      <c r="BC4" s="9130" t="s">
        <v>403</v>
      </c>
      <c r="BD4" s="9131"/>
      <c r="BE4" s="9131"/>
      <c r="BF4" s="9132"/>
      <c r="BH4" s="9130" t="s">
        <v>402</v>
      </c>
      <c r="BI4" s="9131"/>
      <c r="BJ4" s="9132"/>
      <c r="BL4" s="9180" t="s">
        <v>404</v>
      </c>
    </row>
    <row r="5" spans="1:64" x14ac:dyDescent="0.35">
      <c r="B5" s="1" t="s">
        <v>406</v>
      </c>
      <c r="C5" s="11">
        <v>2005</v>
      </c>
      <c r="F5" s="8324">
        <v>2011</v>
      </c>
      <c r="G5" s="12"/>
      <c r="H5" s="9138">
        <v>2014</v>
      </c>
      <c r="I5" s="9139"/>
      <c r="J5" s="9140"/>
      <c r="K5" s="12"/>
      <c r="L5" s="9138">
        <v>2015</v>
      </c>
      <c r="M5" s="9140"/>
      <c r="O5" s="9138">
        <v>2015</v>
      </c>
      <c r="P5" s="9139"/>
      <c r="Q5" s="9139"/>
      <c r="R5" s="9140"/>
      <c r="S5" s="12"/>
      <c r="T5" s="9138">
        <v>2016</v>
      </c>
      <c r="U5" s="9139"/>
      <c r="V5" s="9140"/>
      <c r="X5" s="9138">
        <v>2016</v>
      </c>
      <c r="Y5" s="9139"/>
      <c r="Z5" s="9139"/>
      <c r="AA5" s="9140"/>
      <c r="AB5" s="12"/>
      <c r="AC5" s="9138">
        <v>2017</v>
      </c>
      <c r="AD5" s="9139"/>
      <c r="AE5" s="9140"/>
      <c r="AG5" s="9138">
        <v>2017</v>
      </c>
      <c r="AH5" s="9139"/>
      <c r="AI5" s="9139"/>
      <c r="AJ5" s="9140"/>
      <c r="AK5" s="12"/>
      <c r="AL5" s="9138">
        <v>2018</v>
      </c>
      <c r="AM5" s="9139"/>
      <c r="AN5" s="9140"/>
      <c r="AP5" s="9181"/>
      <c r="AR5" s="9138">
        <v>2018</v>
      </c>
      <c r="AS5" s="9139"/>
      <c r="AT5" s="9139"/>
      <c r="AU5" s="9140"/>
      <c r="AV5" s="12"/>
      <c r="AW5" s="9138">
        <v>2019</v>
      </c>
      <c r="AX5" s="9139"/>
      <c r="AY5" s="9140"/>
      <c r="BA5" s="9181"/>
      <c r="BC5" s="9138">
        <v>2019</v>
      </c>
      <c r="BD5" s="9139"/>
      <c r="BE5" s="9139"/>
      <c r="BF5" s="9140"/>
      <c r="BG5" s="12"/>
      <c r="BH5" s="9138">
        <v>2020</v>
      </c>
      <c r="BI5" s="9139"/>
      <c r="BJ5" s="9140"/>
      <c r="BL5" s="9181"/>
    </row>
    <row r="6" spans="1:64" x14ac:dyDescent="0.35">
      <c r="C6"/>
      <c r="F6" s="6"/>
      <c r="L6" s="14"/>
      <c r="T6" s="14"/>
      <c r="U6" s="14"/>
      <c r="AC6" s="14"/>
      <c r="AD6" s="14"/>
      <c r="AL6" s="14"/>
      <c r="AM6" s="14"/>
      <c r="AP6" s="6"/>
      <c r="AW6" s="14"/>
      <c r="AX6" s="14"/>
      <c r="BA6" s="6"/>
      <c r="BH6" s="14"/>
      <c r="BI6" s="14"/>
      <c r="BL6" s="6"/>
    </row>
    <row r="7" spans="1:64" ht="12.75" customHeight="1" x14ac:dyDescent="0.35">
      <c r="B7" s="1" t="s">
        <v>101</v>
      </c>
      <c r="C7" s="15" t="s">
        <v>5912</v>
      </c>
      <c r="D7" s="2" t="s">
        <v>417</v>
      </c>
      <c r="F7" s="8322" t="s">
        <v>5913</v>
      </c>
      <c r="H7" s="9149" t="s">
        <v>5913</v>
      </c>
      <c r="I7" s="9151"/>
      <c r="J7" s="9147" t="s">
        <v>419</v>
      </c>
      <c r="L7" s="9149" t="s">
        <v>5913</v>
      </c>
      <c r="M7" s="9151"/>
      <c r="O7" s="9173" t="str">
        <f>L7</f>
        <v>000</v>
      </c>
      <c r="P7" s="9173"/>
      <c r="Q7" s="16"/>
      <c r="R7" s="9147" t="s">
        <v>419</v>
      </c>
      <c r="T7" s="9149" t="str">
        <f>O7</f>
        <v>000</v>
      </c>
      <c r="U7" s="9150"/>
      <c r="V7" s="9151"/>
      <c r="X7" s="9173" t="str">
        <f>T7</f>
        <v>000</v>
      </c>
      <c r="Y7" s="9173"/>
      <c r="Z7" s="16"/>
      <c r="AA7" s="9147" t="s">
        <v>419</v>
      </c>
      <c r="AC7" s="9149" t="str">
        <f>X7</f>
        <v>000</v>
      </c>
      <c r="AD7" s="9150"/>
      <c r="AE7" s="9151"/>
      <c r="AG7" s="9173" t="str">
        <f>AC7</f>
        <v>000</v>
      </c>
      <c r="AH7" s="9173"/>
      <c r="AI7" s="16"/>
      <c r="AJ7" s="9147" t="s">
        <v>419</v>
      </c>
      <c r="AL7" s="9149" t="str">
        <f>AG7</f>
        <v>000</v>
      </c>
      <c r="AM7" s="9150"/>
      <c r="AN7" s="9151"/>
      <c r="AP7" s="18"/>
      <c r="AR7" s="9173" t="str">
        <f>AL7</f>
        <v>000</v>
      </c>
      <c r="AS7" s="9173"/>
      <c r="AT7" s="16"/>
      <c r="AU7" s="9147" t="s">
        <v>419</v>
      </c>
      <c r="AW7" s="9149" t="str">
        <f>AR7</f>
        <v>000</v>
      </c>
      <c r="AX7" s="9150"/>
      <c r="AY7" s="9151"/>
      <c r="BA7" s="18"/>
      <c r="BC7" s="9173">
        <v>0</v>
      </c>
      <c r="BD7" s="9173"/>
      <c r="BE7" s="16"/>
      <c r="BF7" s="9147" t="s">
        <v>419</v>
      </c>
      <c r="BH7" s="9149">
        <v>0</v>
      </c>
      <c r="BI7" s="9150"/>
      <c r="BJ7" s="9151"/>
      <c r="BL7" s="18"/>
    </row>
    <row r="8" spans="1:64" x14ac:dyDescent="0.35">
      <c r="B8" s="1" t="s">
        <v>420</v>
      </c>
      <c r="C8" s="19" t="s">
        <v>589</v>
      </c>
      <c r="F8" s="1987" t="s">
        <v>424</v>
      </c>
      <c r="H8" s="20" t="s">
        <v>423</v>
      </c>
      <c r="I8" s="20" t="s">
        <v>96</v>
      </c>
      <c r="J8" s="9148"/>
      <c r="L8" s="21" t="s">
        <v>423</v>
      </c>
      <c r="M8" s="1987" t="s">
        <v>1019</v>
      </c>
      <c r="O8" s="20" t="s">
        <v>424</v>
      </c>
      <c r="P8" s="20" t="s">
        <v>96</v>
      </c>
      <c r="Q8" s="22" t="s">
        <v>425</v>
      </c>
      <c r="R8" s="9148"/>
      <c r="T8" s="21" t="s">
        <v>424</v>
      </c>
      <c r="U8" s="22" t="s">
        <v>425</v>
      </c>
      <c r="V8" s="20" t="s">
        <v>96</v>
      </c>
      <c r="X8" s="20" t="s">
        <v>424</v>
      </c>
      <c r="Y8" s="20" t="s">
        <v>96</v>
      </c>
      <c r="Z8" s="22" t="s">
        <v>425</v>
      </c>
      <c r="AA8" s="9148"/>
      <c r="AC8" s="21" t="s">
        <v>424</v>
      </c>
      <c r="AD8" s="22" t="s">
        <v>425</v>
      </c>
      <c r="AE8" s="20" t="s">
        <v>96</v>
      </c>
      <c r="AG8" s="20" t="s">
        <v>424</v>
      </c>
      <c r="AH8" s="20" t="s">
        <v>96</v>
      </c>
      <c r="AI8" s="22" t="s">
        <v>425</v>
      </c>
      <c r="AJ8" s="9148"/>
      <c r="AL8" s="21" t="s">
        <v>424</v>
      </c>
      <c r="AM8" s="22" t="s">
        <v>425</v>
      </c>
      <c r="AN8" s="20" t="s">
        <v>96</v>
      </c>
      <c r="AP8" s="24"/>
      <c r="AR8" s="20" t="s">
        <v>424</v>
      </c>
      <c r="AS8" s="20" t="s">
        <v>96</v>
      </c>
      <c r="AT8" s="22" t="s">
        <v>425</v>
      </c>
      <c r="AU8" s="9148"/>
      <c r="AW8" s="21" t="s">
        <v>424</v>
      </c>
      <c r="AX8" s="22" t="s">
        <v>425</v>
      </c>
      <c r="AY8" s="20" t="s">
        <v>96</v>
      </c>
      <c r="BA8" s="24"/>
      <c r="BC8" s="20" t="s">
        <v>424</v>
      </c>
      <c r="BD8" s="20" t="s">
        <v>96</v>
      </c>
      <c r="BE8" s="22" t="s">
        <v>425</v>
      </c>
      <c r="BF8" s="9148"/>
      <c r="BH8" s="21" t="s">
        <v>424</v>
      </c>
      <c r="BI8" s="22" t="s">
        <v>425</v>
      </c>
      <c r="BJ8" s="20" t="s">
        <v>96</v>
      </c>
      <c r="BL8" s="24"/>
    </row>
    <row r="9" spans="1:64" x14ac:dyDescent="0.35">
      <c r="C9"/>
      <c r="E9"/>
      <c r="F9"/>
      <c r="G9"/>
      <c r="I9"/>
      <c r="J9" s="25"/>
      <c r="K9"/>
      <c r="N9"/>
      <c r="O9"/>
      <c r="P9"/>
      <c r="Q9"/>
      <c r="R9" s="25"/>
      <c r="S9"/>
      <c r="W9"/>
      <c r="X9"/>
      <c r="Y9"/>
      <c r="Z9"/>
      <c r="AA9" s="25"/>
      <c r="AB9"/>
      <c r="AF9"/>
      <c r="AG9"/>
      <c r="AH9"/>
      <c r="AI9"/>
      <c r="AJ9" s="25"/>
      <c r="AK9"/>
      <c r="AO9"/>
      <c r="AR9"/>
      <c r="AS9"/>
      <c r="AT9"/>
      <c r="AU9" s="25"/>
      <c r="AV9"/>
      <c r="BC9"/>
      <c r="BD9"/>
      <c r="BE9"/>
      <c r="BF9" s="25"/>
      <c r="BG9"/>
    </row>
    <row r="10" spans="1:64" ht="40.5" customHeight="1" x14ac:dyDescent="0.35">
      <c r="A10" s="9167" t="s">
        <v>426</v>
      </c>
      <c r="B10" s="27"/>
      <c r="C10" s="28" t="s">
        <v>427</v>
      </c>
      <c r="D10" s="580" t="s">
        <v>428</v>
      </c>
      <c r="E10" s="30"/>
      <c r="F10" s="36" t="s">
        <v>5914</v>
      </c>
      <c r="G10"/>
      <c r="H10" s="9550" t="s">
        <v>5915</v>
      </c>
      <c r="I10" s="9551"/>
      <c r="J10" s="224"/>
      <c r="K10" s="223"/>
      <c r="L10" s="9550" t="s">
        <v>5915</v>
      </c>
      <c r="M10" s="9551"/>
      <c r="N10" s="30"/>
      <c r="O10" s="9550" t="s">
        <v>5915</v>
      </c>
      <c r="P10" s="9551"/>
      <c r="Q10" s="581"/>
      <c r="R10" s="32"/>
      <c r="S10" s="33"/>
      <c r="T10" s="36" t="str">
        <f>O10</f>
        <v>Budget Transparency Portal http://www.budgettransparency.gov.tl/publicTransparency</v>
      </c>
      <c r="U10" s="581"/>
      <c r="V10" s="582" t="str">
        <f>T10</f>
        <v>Budget Transparency Portal http://www.budgettransparency.gov.tl/publicTransparency</v>
      </c>
      <c r="W10" s="30"/>
      <c r="X10" s="9550" t="s">
        <v>5915</v>
      </c>
      <c r="Y10" s="9551"/>
      <c r="Z10" s="581"/>
      <c r="AA10" s="32"/>
      <c r="AB10" s="33"/>
      <c r="AC10" s="36" t="str">
        <f>X10</f>
        <v>Budget Transparency Portal http://www.budgettransparency.gov.tl/publicTransparency</v>
      </c>
      <c r="AD10" s="581"/>
      <c r="AE10" s="582" t="str">
        <f>AC10</f>
        <v>Budget Transparency Portal http://www.budgettransparency.gov.tl/publicTransparency</v>
      </c>
      <c r="AF10" s="30"/>
      <c r="AG10" s="9550" t="s">
        <v>5915</v>
      </c>
      <c r="AH10" s="9551"/>
      <c r="AI10" s="581"/>
      <c r="AJ10" s="32"/>
      <c r="AK10" s="33"/>
      <c r="AL10" s="36" t="str">
        <f>AG10</f>
        <v>Budget Transparency Portal http://www.budgettransparency.gov.tl/publicTransparency</v>
      </c>
      <c r="AM10" s="581"/>
      <c r="AN10" s="582" t="str">
        <f>AL10</f>
        <v>Budget Transparency Portal http://www.budgettransparency.gov.tl/publicTransparency</v>
      </c>
      <c r="AO10" s="30"/>
      <c r="AP10" s="4017" t="s">
        <v>5916</v>
      </c>
      <c r="AR10" s="582" t="s">
        <v>5917</v>
      </c>
      <c r="AS10" s="582" t="s">
        <v>5917</v>
      </c>
      <c r="AT10" s="35"/>
      <c r="AU10" s="32"/>
      <c r="AV10" s="33"/>
      <c r="AW10" s="36" t="s">
        <v>5917</v>
      </c>
      <c r="AX10" s="581"/>
      <c r="AY10" s="582" t="s">
        <v>5917</v>
      </c>
      <c r="BA10" s="4017"/>
      <c r="BC10" s="8810" t="s">
        <v>5917</v>
      </c>
      <c r="BD10" s="8810" t="s">
        <v>5917</v>
      </c>
      <c r="BE10" s="35" t="s">
        <v>5918</v>
      </c>
      <c r="BF10" s="32"/>
      <c r="BG10" s="33"/>
      <c r="BH10" s="582" t="s">
        <v>5919</v>
      </c>
      <c r="BI10" s="581" t="s">
        <v>5918</v>
      </c>
      <c r="BJ10" s="582"/>
      <c r="BL10" s="4017"/>
    </row>
    <row r="11" spans="1:64" ht="18" customHeight="1" x14ac:dyDescent="0.35">
      <c r="A11" s="9168"/>
      <c r="B11" s="40" t="s">
        <v>451</v>
      </c>
      <c r="C11" s="41"/>
      <c r="D11" s="585"/>
      <c r="E11" s="43"/>
      <c r="F11" s="3641"/>
      <c r="G11"/>
      <c r="H11" s="51"/>
      <c r="I11" s="46"/>
      <c r="J11" s="47"/>
      <c r="K11" s="48"/>
      <c r="L11" s="4018"/>
      <c r="M11" s="4019"/>
      <c r="N11" s="50"/>
      <c r="O11" s="51"/>
      <c r="P11" s="52"/>
      <c r="Q11" s="53" t="s">
        <v>5920</v>
      </c>
      <c r="R11" s="47"/>
      <c r="S11" s="48"/>
      <c r="T11" s="52"/>
      <c r="U11" s="53" t="s">
        <v>5920</v>
      </c>
      <c r="V11" s="586"/>
      <c r="W11" s="50"/>
      <c r="X11" s="51"/>
      <c r="Y11" s="52"/>
      <c r="Z11" s="53" t="s">
        <v>5920</v>
      </c>
      <c r="AA11" s="47"/>
      <c r="AB11" s="48"/>
      <c r="AC11" s="52"/>
      <c r="AD11" s="53" t="s">
        <v>5920</v>
      </c>
      <c r="AE11" s="738"/>
      <c r="AF11" s="50"/>
      <c r="AG11" s="51"/>
      <c r="AH11" s="52"/>
      <c r="AI11" s="53" t="s">
        <v>5920</v>
      </c>
      <c r="AJ11" s="47"/>
      <c r="AK11" s="48"/>
      <c r="AL11" s="52"/>
      <c r="AM11" s="53" t="s">
        <v>5920</v>
      </c>
      <c r="AN11" s="738"/>
      <c r="AO11" s="50"/>
      <c r="AP11" s="18"/>
      <c r="AR11" s="3928"/>
      <c r="AS11" s="3929"/>
      <c r="AT11" s="53"/>
      <c r="AU11" s="47"/>
      <c r="AV11" s="48"/>
      <c r="AW11" s="3929"/>
      <c r="AX11" s="53"/>
      <c r="AY11" s="586"/>
      <c r="BA11" s="18"/>
      <c r="BC11" s="3928"/>
      <c r="BD11" s="3929"/>
      <c r="BE11" s="53"/>
      <c r="BF11" s="47"/>
      <c r="BG11" s="48"/>
      <c r="BH11" s="3929"/>
      <c r="BI11" s="53"/>
      <c r="BJ11" s="586"/>
      <c r="BL11" s="18"/>
    </row>
    <row r="12" spans="1:64" x14ac:dyDescent="0.35">
      <c r="A12" s="9168"/>
      <c r="B12" s="58"/>
      <c r="C12" s="59" t="s">
        <v>456</v>
      </c>
      <c r="D12" s="197"/>
      <c r="F12" s="61">
        <v>108217</v>
      </c>
      <c r="G12" s="254"/>
      <c r="H12" s="62">
        <v>166126</v>
      </c>
      <c r="I12" s="63">
        <v>167967.1655</v>
      </c>
      <c r="J12" s="64">
        <f>IF(H12=0,0,I12/H12)</f>
        <v>1.0110829460770741</v>
      </c>
      <c r="K12" s="65"/>
      <c r="L12" s="4020">
        <f>170367.944</f>
        <v>170367.94399999999</v>
      </c>
      <c r="M12" s="301">
        <f>193839.76863</f>
        <v>193839.76863000001</v>
      </c>
      <c r="N12" s="67"/>
      <c r="O12" s="68">
        <f>170367.944</f>
        <v>170367.94399999999</v>
      </c>
      <c r="P12" s="69">
        <f>193839.76863-P15</f>
        <v>170007.71562999999</v>
      </c>
      <c r="R12" s="64"/>
      <c r="S12" s="65"/>
      <c r="T12" s="68">
        <v>171416.39199999999</v>
      </c>
      <c r="U12" s="53" t="s">
        <v>5921</v>
      </c>
      <c r="V12" s="69">
        <f>226493.24-V15</f>
        <v>195847.05505999998</v>
      </c>
      <c r="W12" s="67"/>
      <c r="X12" s="68">
        <v>171416.39199999999</v>
      </c>
      <c r="Y12" s="69">
        <v>198756.33413999999</v>
      </c>
      <c r="Z12" s="6" t="s">
        <v>5921</v>
      </c>
      <c r="AA12" s="64"/>
      <c r="AB12" s="65"/>
      <c r="AC12" s="68">
        <v>206241.481</v>
      </c>
      <c r="AD12" s="53" t="s">
        <v>5921</v>
      </c>
      <c r="AE12" s="69">
        <v>181043.04699999999</v>
      </c>
      <c r="AF12" s="67"/>
      <c r="AG12" s="68">
        <v>206241.481</v>
      </c>
      <c r="AH12" s="69">
        <v>181043.04699999999</v>
      </c>
      <c r="AI12" s="6" t="s">
        <v>5921</v>
      </c>
      <c r="AJ12" s="64"/>
      <c r="AK12" s="65"/>
      <c r="AL12" s="68">
        <v>188682.14</v>
      </c>
      <c r="AM12" s="53" t="s">
        <v>5921</v>
      </c>
      <c r="AN12" s="69">
        <v>167367.103</v>
      </c>
      <c r="AO12" s="67"/>
      <c r="AP12" s="26"/>
      <c r="AR12" s="68">
        <f t="shared" ref="AR12:AS12" si="0">AR16-AR15-AR14-AR13</f>
        <v>1215764.844</v>
      </c>
      <c r="AS12" s="69">
        <f t="shared" si="0"/>
        <v>1118950.6399999999</v>
      </c>
      <c r="AU12" s="64">
        <f>AS12/AR12</f>
        <v>0.92036765623073069</v>
      </c>
      <c r="AV12" s="65"/>
      <c r="AW12" s="68">
        <f>AW16-AW15-AW14-AW13</f>
        <v>198590.80000000005</v>
      </c>
      <c r="AX12" s="53" t="s">
        <v>5922</v>
      </c>
      <c r="AY12" s="69">
        <f>AY16-AY15-AY14-AY13</f>
        <v>-1286.3898160001263</v>
      </c>
      <c r="BA12" s="26"/>
      <c r="BC12" s="68">
        <f>136317133+55491933+6737085</f>
        <v>198546151</v>
      </c>
      <c r="BD12" s="69">
        <f>122799790.75+56433005.55+7810834.64</f>
        <v>187043630.94</v>
      </c>
      <c r="BE12" s="6" t="s">
        <v>5923</v>
      </c>
      <c r="BF12" s="64">
        <f>BD12/BC12</f>
        <v>0.94206626518788572</v>
      </c>
      <c r="BG12" s="65"/>
      <c r="BH12" s="68">
        <f>115100694+44589315+5063456</f>
        <v>164753465</v>
      </c>
      <c r="BI12" s="53" t="s">
        <v>5924</v>
      </c>
      <c r="BJ12" s="69">
        <f>118617593.63+56649270.69+6806358.02</f>
        <v>182073222.34</v>
      </c>
      <c r="BK12" s="8811">
        <f>BJ12/BH12</f>
        <v>1.1051252994284522</v>
      </c>
      <c r="BL12" s="26"/>
    </row>
    <row r="13" spans="1:64" x14ac:dyDescent="0.35">
      <c r="A13" s="9168"/>
      <c r="B13" s="58"/>
      <c r="C13" s="59" t="s">
        <v>5925</v>
      </c>
      <c r="D13" s="197"/>
      <c r="F13" s="61">
        <v>1055000</v>
      </c>
      <c r="G13" s="254"/>
      <c r="H13" s="4021">
        <f>730000+270600</f>
        <v>1000600</v>
      </c>
      <c r="I13" s="4022">
        <f>632300+99700</f>
        <v>732000</v>
      </c>
      <c r="J13" s="64"/>
      <c r="K13" s="65"/>
      <c r="L13" s="4023">
        <f>1399600-70000</f>
        <v>1329600</v>
      </c>
      <c r="M13" s="4024">
        <f>638500+640000</f>
        <v>1278500</v>
      </c>
      <c r="N13" s="67"/>
      <c r="O13" s="4023">
        <f>1399600-70000</f>
        <v>1329600</v>
      </c>
      <c r="P13" s="4022">
        <f>638500+640000</f>
        <v>1278500</v>
      </c>
      <c r="Q13" s="53" t="s">
        <v>5926</v>
      </c>
      <c r="R13" s="64"/>
      <c r="S13" s="65"/>
      <c r="T13" s="4025">
        <f>544800+739000</f>
        <v>1283800</v>
      </c>
      <c r="U13" s="53" t="s">
        <v>5927</v>
      </c>
      <c r="V13" s="4026">
        <f>T13</f>
        <v>1283800</v>
      </c>
      <c r="W13" s="67"/>
      <c r="X13" s="4023">
        <f>544800+739000</f>
        <v>1283800</v>
      </c>
      <c r="Y13" s="4022">
        <f>X13</f>
        <v>1283800</v>
      </c>
      <c r="Z13" s="53" t="s">
        <v>5927</v>
      </c>
      <c r="AA13" s="64"/>
      <c r="AB13" s="65"/>
      <c r="AC13" s="4025">
        <v>1078800</v>
      </c>
      <c r="AD13" s="53" t="s">
        <v>5928</v>
      </c>
      <c r="AE13" s="4027">
        <f>AC13</f>
        <v>1078800</v>
      </c>
      <c r="AF13" s="67"/>
      <c r="AG13" s="4023">
        <v>1078800</v>
      </c>
      <c r="AH13" s="4022">
        <f>AF13</f>
        <v>0</v>
      </c>
      <c r="AI13" s="53" t="s">
        <v>5928</v>
      </c>
      <c r="AJ13" s="64"/>
      <c r="AK13" s="65"/>
      <c r="AL13" s="4025">
        <v>599900</v>
      </c>
      <c r="AM13" s="53" t="s">
        <v>5929</v>
      </c>
      <c r="AN13" s="4027">
        <f>AL13</f>
        <v>599900</v>
      </c>
      <c r="AO13" s="67"/>
      <c r="AP13" s="26" t="s">
        <v>5930</v>
      </c>
      <c r="AR13" s="7501"/>
      <c r="AS13" s="4022"/>
      <c r="AT13" s="53"/>
      <c r="AU13" s="64"/>
      <c r="AV13" s="65"/>
      <c r="AW13" s="7501">
        <v>1196400</v>
      </c>
      <c r="AX13" s="53" t="s">
        <v>5931</v>
      </c>
      <c r="AY13" s="4027">
        <f>AW13</f>
        <v>1196400</v>
      </c>
      <c r="BA13" s="26"/>
      <c r="BC13" s="8812">
        <v>1196400000</v>
      </c>
      <c r="BD13" s="8813">
        <f>BC13</f>
        <v>1196400000</v>
      </c>
      <c r="BE13" s="53" t="s">
        <v>5932</v>
      </c>
      <c r="BF13" s="64"/>
      <c r="BG13" s="65"/>
      <c r="BH13" s="7501">
        <v>1466500000</v>
      </c>
      <c r="BI13" s="53" t="s">
        <v>5933</v>
      </c>
      <c r="BJ13" s="8814">
        <v>736300000</v>
      </c>
      <c r="BK13" s="8811">
        <f t="shared" ref="BK13:BK72" si="1">BJ13/BH13</f>
        <v>0.50207978179338564</v>
      </c>
      <c r="BL13" s="6219" t="s">
        <v>5934</v>
      </c>
    </row>
    <row r="14" spans="1:64" x14ac:dyDescent="0.35">
      <c r="A14" s="9168"/>
      <c r="B14" s="58"/>
      <c r="C14" s="59" t="s">
        <v>1041</v>
      </c>
      <c r="D14" s="197"/>
      <c r="F14" s="61"/>
      <c r="G14" s="254"/>
      <c r="H14" s="62"/>
      <c r="I14" s="63"/>
      <c r="J14" s="73">
        <f>IF(H14=0,0,I14/H14)</f>
        <v>0</v>
      </c>
      <c r="K14" s="65"/>
      <c r="L14" s="68"/>
      <c r="M14" s="301"/>
      <c r="N14" s="67"/>
      <c r="O14" s="68"/>
      <c r="P14" s="69"/>
      <c r="Q14" s="53"/>
      <c r="R14" s="64"/>
      <c r="S14" s="65"/>
      <c r="T14" s="298"/>
      <c r="U14" s="53"/>
      <c r="V14" s="69"/>
      <c r="W14" s="67"/>
      <c r="X14" s="68"/>
      <c r="Y14" s="69"/>
      <c r="Z14" s="53"/>
      <c r="AA14" s="64"/>
      <c r="AB14" s="65"/>
      <c r="AC14" s="298"/>
      <c r="AD14" s="53"/>
      <c r="AE14" s="69"/>
      <c r="AF14" s="67"/>
      <c r="AG14" s="68"/>
      <c r="AH14" s="69"/>
      <c r="AI14" s="53"/>
      <c r="AJ14" s="64"/>
      <c r="AK14" s="65"/>
      <c r="AL14" s="298"/>
      <c r="AM14" s="53"/>
      <c r="AN14" s="69"/>
      <c r="AO14" s="67"/>
      <c r="AP14" s="26"/>
      <c r="AR14" s="68"/>
      <c r="AS14" s="69"/>
      <c r="AT14" s="53"/>
      <c r="AU14" s="64"/>
      <c r="AV14" s="65"/>
      <c r="AW14" s="68">
        <v>0</v>
      </c>
      <c r="AX14" s="53"/>
      <c r="AY14" s="69"/>
      <c r="BA14" s="26"/>
      <c r="BC14" s="68"/>
      <c r="BD14" s="69"/>
      <c r="BE14" s="53"/>
      <c r="BF14" s="64"/>
      <c r="BG14" s="65"/>
      <c r="BH14" s="68">
        <v>7594425</v>
      </c>
      <c r="BI14" s="53" t="s">
        <v>5935</v>
      </c>
      <c r="BJ14" s="69">
        <v>7594425</v>
      </c>
      <c r="BK14" s="8811">
        <f t="shared" si="1"/>
        <v>1</v>
      </c>
      <c r="BL14" s="26"/>
    </row>
    <row r="15" spans="1:64" x14ac:dyDescent="0.35">
      <c r="A15" s="9168"/>
      <c r="B15" s="75"/>
      <c r="C15" s="76" t="s">
        <v>465</v>
      </c>
      <c r="D15" s="197"/>
      <c r="F15" s="77"/>
      <c r="G15" s="254"/>
      <c r="H15" s="78"/>
      <c r="I15" s="79"/>
      <c r="J15" s="73"/>
      <c r="K15" s="80"/>
      <c r="L15" s="81"/>
      <c r="M15" s="759"/>
      <c r="N15" s="67"/>
      <c r="O15" s="81">
        <v>70000</v>
      </c>
      <c r="P15" s="82">
        <v>23832.053</v>
      </c>
      <c r="Q15" s="53" t="s">
        <v>5936</v>
      </c>
      <c r="R15" s="64"/>
      <c r="S15" s="80"/>
      <c r="T15" s="588">
        <v>107002.522</v>
      </c>
      <c r="U15" s="53" t="s">
        <v>5936</v>
      </c>
      <c r="V15" s="82">
        <v>30646.184939999999</v>
      </c>
      <c r="W15" s="67"/>
      <c r="X15" s="81">
        <v>107002.522</v>
      </c>
      <c r="Y15" s="82">
        <v>30646.184939999999</v>
      </c>
      <c r="Z15" s="53" t="s">
        <v>5936</v>
      </c>
      <c r="AA15" s="64"/>
      <c r="AB15" s="80"/>
      <c r="AC15" s="588">
        <v>101825.751</v>
      </c>
      <c r="AD15" s="53" t="s">
        <v>5936</v>
      </c>
      <c r="AE15" s="82">
        <v>21921.132000000001</v>
      </c>
      <c r="AF15" s="67"/>
      <c r="AG15" s="81">
        <v>101825.751</v>
      </c>
      <c r="AH15" s="82">
        <v>21921.132000000001</v>
      </c>
      <c r="AI15" s="53" t="s">
        <v>5936</v>
      </c>
      <c r="AJ15" s="64"/>
      <c r="AK15" s="80"/>
      <c r="AL15" s="588">
        <v>61600</v>
      </c>
      <c r="AM15" s="53" t="s">
        <v>5936</v>
      </c>
      <c r="AN15" s="82">
        <v>39158.459000000003</v>
      </c>
      <c r="AO15" s="67"/>
      <c r="AP15" s="26"/>
      <c r="AR15" s="81">
        <f>41820.731+10612.819+9173.593</f>
        <v>61607.143000000004</v>
      </c>
      <c r="AS15" s="82">
        <f>28470.842+7547.764+3189.852</f>
        <v>39208.457999999999</v>
      </c>
      <c r="AT15" s="53"/>
      <c r="AU15" s="64">
        <f t="shared" ref="AU15:AU16" si="2">AS15/AR15</f>
        <v>0.63642714287205293</v>
      </c>
      <c r="AV15" s="80"/>
      <c r="AW15" s="81">
        <f>55800+13700+17000+500</f>
        <v>87000</v>
      </c>
      <c r="AX15" s="53" t="s">
        <v>5937</v>
      </c>
      <c r="AY15" s="82">
        <f>27627.718+10544.27+11.574816</f>
        <v>38183.562815999998</v>
      </c>
      <c r="BA15" s="26"/>
      <c r="BC15" s="81">
        <v>87000000</v>
      </c>
      <c r="BD15" s="82">
        <v>49746805.270000003</v>
      </c>
      <c r="BE15" s="6" t="s">
        <v>5923</v>
      </c>
      <c r="BF15" s="64">
        <f t="shared" ref="BF15:BF16" si="3">BD15/BC15</f>
        <v>0.57180235942528734</v>
      </c>
      <c r="BG15" s="80"/>
      <c r="BH15" s="81"/>
      <c r="BI15" s="53"/>
      <c r="BJ15" s="82"/>
      <c r="BK15" s="8811"/>
      <c r="BL15" s="26"/>
    </row>
    <row r="16" spans="1:64" x14ac:dyDescent="0.35">
      <c r="A16" s="9168"/>
      <c r="B16" s="85"/>
      <c r="C16" s="86" t="s">
        <v>466</v>
      </c>
      <c r="D16" s="209"/>
      <c r="F16" s="88">
        <v>1163216</v>
      </c>
      <c r="G16" s="254"/>
      <c r="H16" s="89">
        <f>SUM(H12:H14)</f>
        <v>1166726</v>
      </c>
      <c r="I16" s="90">
        <f>SUM(I12:I14)</f>
        <v>899967.1655</v>
      </c>
      <c r="J16" s="91">
        <f>IF(H16=0,0,I16/H16)</f>
        <v>0.7713611983447699</v>
      </c>
      <c r="K16" s="80"/>
      <c r="L16" s="768">
        <f>SUM(L12:L14)</f>
        <v>1499967.9439999999</v>
      </c>
      <c r="M16" s="309">
        <f>SUM(M12:M14)</f>
        <v>1472339.7686300001</v>
      </c>
      <c r="N16" s="67"/>
      <c r="O16" s="93">
        <f>SUM(O12:O15)</f>
        <v>1569967.9439999999</v>
      </c>
      <c r="P16" s="94">
        <f>SUM(P12:P15)</f>
        <v>1472339.7686300001</v>
      </c>
      <c r="Q16" s="95" t="s">
        <v>5938</v>
      </c>
      <c r="R16" s="64"/>
      <c r="S16" s="80"/>
      <c r="T16" s="590">
        <f>SUM(T12:T15)</f>
        <v>1562218.9139999999</v>
      </c>
      <c r="U16" s="95" t="s">
        <v>5938</v>
      </c>
      <c r="V16" s="1177">
        <f>SUM(V12:V15)</f>
        <v>1510293.24</v>
      </c>
      <c r="W16" s="67"/>
      <c r="X16" s="93">
        <f>SUM(X12:X15)</f>
        <v>1562218.9139999999</v>
      </c>
      <c r="Y16" s="94">
        <f>SUM(Y12:Y15)</f>
        <v>1513202.51908</v>
      </c>
      <c r="Z16" s="95" t="s">
        <v>5938</v>
      </c>
      <c r="AA16" s="64"/>
      <c r="AB16" s="80"/>
      <c r="AC16" s="590">
        <f>SUM(AC12:AC15)</f>
        <v>1386867.2319999998</v>
      </c>
      <c r="AD16" s="95" t="s">
        <v>5938</v>
      </c>
      <c r="AE16" s="94">
        <f>SUM(AE12:AE15)</f>
        <v>1281764.179</v>
      </c>
      <c r="AF16" s="67"/>
      <c r="AG16" s="93">
        <f>SUM(AG12:AG15)</f>
        <v>1386867.2319999998</v>
      </c>
      <c r="AH16" s="94">
        <f>SUM(AH12:AH15)</f>
        <v>202964.179</v>
      </c>
      <c r="AI16" s="95" t="s">
        <v>5938</v>
      </c>
      <c r="AJ16" s="64"/>
      <c r="AK16" s="80"/>
      <c r="AL16" s="590">
        <f>SUM(AL12:AL15)</f>
        <v>850182.14</v>
      </c>
      <c r="AM16" s="95" t="s">
        <v>5939</v>
      </c>
      <c r="AN16" s="94">
        <f>SUM(AN12:AN15)</f>
        <v>806425.56200000003</v>
      </c>
      <c r="AO16" s="67"/>
      <c r="AP16" s="3644"/>
      <c r="AR16" s="93">
        <v>1277371.987</v>
      </c>
      <c r="AS16" s="94">
        <v>1158159.098</v>
      </c>
      <c r="AT16" s="95"/>
      <c r="AU16" s="64">
        <f t="shared" si="2"/>
        <v>0.90667331817728369</v>
      </c>
      <c r="AV16" s="80"/>
      <c r="AW16" s="590">
        <v>1481990.8</v>
      </c>
      <c r="AX16" s="95"/>
      <c r="AY16" s="94">
        <v>1233297.173</v>
      </c>
      <c r="BA16" s="3644"/>
      <c r="BC16" s="93">
        <f>SUM(BC12:BC15)</f>
        <v>1481946151</v>
      </c>
      <c r="BD16" s="94">
        <f>SUM(BD12:BD15)</f>
        <v>1433190436.21</v>
      </c>
      <c r="BE16" s="95"/>
      <c r="BF16" s="64">
        <f t="shared" si="3"/>
        <v>0.96710021159871418</v>
      </c>
      <c r="BG16" s="80"/>
      <c r="BH16" s="590">
        <f>SUM(BH12:BH15)</f>
        <v>1638847890</v>
      </c>
      <c r="BI16" s="95"/>
      <c r="BJ16" s="94">
        <f>SUM(BJ12:BJ15)</f>
        <v>925967647.34000003</v>
      </c>
      <c r="BK16" s="8811">
        <f t="shared" si="1"/>
        <v>0.56501134302342115</v>
      </c>
      <c r="BL16" s="3644"/>
    </row>
    <row r="17" spans="1:64" ht="24" x14ac:dyDescent="0.35">
      <c r="A17" s="9168"/>
      <c r="B17" s="100" t="s">
        <v>468</v>
      </c>
      <c r="C17" s="49"/>
      <c r="D17" s="585"/>
      <c r="E17" s="43"/>
      <c r="F17" s="101"/>
      <c r="G17" s="254"/>
      <c r="H17" s="230"/>
      <c r="I17" s="103"/>
      <c r="J17" s="104"/>
      <c r="K17" s="43"/>
      <c r="L17" s="230"/>
      <c r="M17" s="105"/>
      <c r="N17" s="43"/>
      <c r="O17" s="102"/>
      <c r="P17" s="106"/>
      <c r="Q17" s="592" t="s">
        <v>5920</v>
      </c>
      <c r="R17" s="104"/>
      <c r="S17" s="43"/>
      <c r="T17" s="107"/>
      <c r="U17" s="592" t="s">
        <v>5920</v>
      </c>
      <c r="V17" s="105"/>
      <c r="W17" s="43"/>
      <c r="X17" s="102"/>
      <c r="Y17" s="106"/>
      <c r="Z17" s="592" t="s">
        <v>5920</v>
      </c>
      <c r="AA17" s="104"/>
      <c r="AB17" s="43"/>
      <c r="AC17" s="107"/>
      <c r="AD17" s="592" t="s">
        <v>5920</v>
      </c>
      <c r="AE17" s="105"/>
      <c r="AF17" s="43"/>
      <c r="AG17" s="102"/>
      <c r="AH17" s="106"/>
      <c r="AI17" s="592" t="s">
        <v>5920</v>
      </c>
      <c r="AJ17" s="104"/>
      <c r="AK17" s="43"/>
      <c r="AL17" s="107"/>
      <c r="AM17" s="592" t="s">
        <v>5920</v>
      </c>
      <c r="AN17" s="105"/>
      <c r="AO17" s="43"/>
      <c r="AP17" s="18"/>
      <c r="AR17" s="102"/>
      <c r="AS17" s="106"/>
      <c r="AT17" s="592"/>
      <c r="AU17" s="104"/>
      <c r="AV17" s="43"/>
      <c r="AW17" s="7502" t="s">
        <v>5940</v>
      </c>
      <c r="AX17" s="592"/>
      <c r="AY17" s="105"/>
      <c r="BA17" s="18"/>
      <c r="BC17" s="102"/>
      <c r="BD17" s="106"/>
      <c r="BE17" s="592"/>
      <c r="BF17" s="104"/>
      <c r="BG17" s="43"/>
      <c r="BH17" s="7502"/>
      <c r="BI17" s="592"/>
      <c r="BJ17" s="105"/>
      <c r="BL17" s="18"/>
    </row>
    <row r="18" spans="1:64" x14ac:dyDescent="0.35">
      <c r="A18" s="9168"/>
      <c r="B18" s="6082"/>
      <c r="C18" s="110" t="s">
        <v>470</v>
      </c>
      <c r="D18" s="197"/>
      <c r="F18" s="111">
        <v>501131</v>
      </c>
      <c r="G18" s="254"/>
      <c r="H18" s="112">
        <f>H24-H22-H19</f>
        <v>1043632.6459999999</v>
      </c>
      <c r="I18" s="113">
        <f>I24-I22-I19</f>
        <v>967890.35441999999</v>
      </c>
      <c r="J18" s="64">
        <f>IF(H18=0,0,I18/H18)</f>
        <v>0.9274243749749469</v>
      </c>
      <c r="L18" s="112">
        <f>L24-L22-L19</f>
        <v>1174289.6570000001</v>
      </c>
      <c r="M18" s="482">
        <f>M24-M22-M19</f>
        <v>1067424.3227200001</v>
      </c>
      <c r="O18" s="593">
        <f>O24-O22-O20</f>
        <v>1244289.6570000001</v>
      </c>
      <c r="P18" s="594">
        <f>P24-P22-P20</f>
        <v>1091256.3757200001</v>
      </c>
      <c r="Q18" s="116"/>
      <c r="R18" s="64"/>
      <c r="T18" s="595">
        <f>T24-T22-T20</f>
        <v>1176764.6940000001</v>
      </c>
      <c r="U18" s="116"/>
      <c r="V18" s="596">
        <f>V24-V22-V20</f>
        <v>1079895.7079400001</v>
      </c>
      <c r="X18" s="593">
        <v>1119490.672</v>
      </c>
      <c r="Y18" s="594">
        <v>1048550.2528599999</v>
      </c>
      <c r="Z18" s="116"/>
      <c r="AA18" s="64"/>
      <c r="AC18" s="595">
        <v>1037451.585</v>
      </c>
      <c r="AD18" s="116"/>
      <c r="AE18" s="596">
        <v>944775.85800000001</v>
      </c>
      <c r="AG18" s="593">
        <v>1037451.585</v>
      </c>
      <c r="AH18" s="594">
        <v>944775.85800000001</v>
      </c>
      <c r="AI18" s="116"/>
      <c r="AJ18" s="64"/>
      <c r="AL18" s="595">
        <f>AL24-SUM(AL19:AL23)</f>
        <v>833418.54899999988</v>
      </c>
      <c r="AM18" s="116"/>
      <c r="AN18" s="596">
        <f>AN24-SUM(AN19:AN23)</f>
        <v>862761.91300000006</v>
      </c>
      <c r="AP18" s="257"/>
      <c r="AR18" s="593">
        <f>AR24-SUM(AR19:AR23)</f>
        <v>883418.54899999988</v>
      </c>
      <c r="AS18" s="594">
        <f>AS24-SUM(AS19:AS23)</f>
        <v>822061.14800000004</v>
      </c>
      <c r="AT18" s="116"/>
      <c r="AU18" s="64">
        <f t="shared" ref="AU18:AU28" si="4">AS18/AR18</f>
        <v>0.93054549163649058</v>
      </c>
      <c r="AW18" s="595">
        <f>AW24-SUM(AW19:AW23)</f>
        <v>1040767.4310000001</v>
      </c>
      <c r="AX18" s="116"/>
      <c r="AY18" s="596">
        <f>AY24-SUM(AY19:AY23)</f>
        <v>916001.58899999992</v>
      </c>
      <c r="BA18" s="257"/>
      <c r="BC18" s="593">
        <f>1043783455-BC22-BC23-600000</f>
        <v>1040167431</v>
      </c>
      <c r="BD18" s="594">
        <f>919017609.68-BD22-BD23-599859.2</f>
        <v>915401727.8299998</v>
      </c>
      <c r="BE18" s="116" t="s">
        <v>5941</v>
      </c>
      <c r="BF18" s="64">
        <f t="shared" ref="BF18:BF22" si="5">BD18/BC18</f>
        <v>0.88005228826473403</v>
      </c>
      <c r="BH18" s="595">
        <f>208161481+565059610+494090220+9898150-BH22-BH23-60000</f>
        <v>1269149461</v>
      </c>
      <c r="BI18" s="116"/>
      <c r="BJ18" s="596">
        <f>201595198.81+377730838.36+387375496.02+8669029.48-BJ22-BJ23</f>
        <v>969257211.76000011</v>
      </c>
      <c r="BK18" s="8811">
        <f t="shared" si="1"/>
        <v>0.76370612094519896</v>
      </c>
      <c r="BL18" s="257"/>
    </row>
    <row r="19" spans="1:64" x14ac:dyDescent="0.35">
      <c r="A19" s="9168"/>
      <c r="B19" s="6082"/>
      <c r="C19" s="110" t="s">
        <v>5942</v>
      </c>
      <c r="D19" s="197"/>
      <c r="F19" s="111">
        <f>25482+566275</f>
        <v>591757</v>
      </c>
      <c r="G19" s="254"/>
      <c r="H19" s="112">
        <f>456367.608</f>
        <v>456367.60800000001</v>
      </c>
      <c r="I19" s="113">
        <f>371359.37152</f>
        <v>371359.37151999999</v>
      </c>
      <c r="J19" s="64">
        <f>IF(H19=0,0,I19/H19)</f>
        <v>0.81372859293729716</v>
      </c>
      <c r="L19" s="112">
        <f>395712.1</f>
        <v>395712.1</v>
      </c>
      <c r="M19" s="482">
        <f>272773.13949</f>
        <v>272773.13948999997</v>
      </c>
      <c r="O19" s="598"/>
      <c r="P19" s="594"/>
      <c r="Q19" s="116"/>
      <c r="R19" s="64"/>
      <c r="T19" s="595"/>
      <c r="U19" s="116"/>
      <c r="V19" s="596"/>
      <c r="X19" s="598"/>
      <c r="Y19" s="594"/>
      <c r="Z19" s="116"/>
      <c r="AA19" s="64"/>
      <c r="AC19" s="595"/>
      <c r="AD19" s="116"/>
      <c r="AE19" s="596"/>
      <c r="AG19" s="598"/>
      <c r="AH19" s="594"/>
      <c r="AI19" s="116"/>
      <c r="AJ19" s="64"/>
      <c r="AL19" s="595"/>
      <c r="AM19" s="116"/>
      <c r="AN19" s="596"/>
      <c r="AP19" s="257"/>
      <c r="AR19" s="593"/>
      <c r="AS19" s="594"/>
      <c r="AT19" s="116"/>
      <c r="AU19" s="64"/>
      <c r="AW19" s="595"/>
      <c r="AX19" s="116" t="s">
        <v>5943</v>
      </c>
      <c r="AY19" s="596"/>
      <c r="BA19" s="257"/>
      <c r="BC19" s="593"/>
      <c r="BD19" s="594"/>
      <c r="BF19" s="64"/>
      <c r="BH19" s="595"/>
      <c r="BI19" s="116"/>
      <c r="BJ19" s="596"/>
      <c r="BK19" s="8811"/>
      <c r="BL19" s="257"/>
    </row>
    <row r="20" spans="1:64" x14ac:dyDescent="0.35">
      <c r="A20" s="9168"/>
      <c r="B20" s="6082"/>
      <c r="C20" s="121" t="s">
        <v>630</v>
      </c>
      <c r="D20" s="197"/>
      <c r="F20" s="111"/>
      <c r="G20" s="254"/>
      <c r="H20" s="112"/>
      <c r="I20" s="113"/>
      <c r="J20" s="64"/>
      <c r="L20" s="112"/>
      <c r="M20" s="482"/>
      <c r="O20" s="598">
        <f>395712.1-O21</f>
        <v>325712.09999999998</v>
      </c>
      <c r="P20" s="594">
        <f>272773.13949-P21</f>
        <v>248941.08648999996</v>
      </c>
      <c r="Q20" s="116" t="s">
        <v>5944</v>
      </c>
      <c r="R20" s="64"/>
      <c r="T20" s="595">
        <f>883068-T21</f>
        <v>776065.478</v>
      </c>
      <c r="U20" s="116" t="s">
        <v>5944</v>
      </c>
      <c r="V20" s="596">
        <f>581338.963-V21</f>
        <v>550692.77806000004</v>
      </c>
      <c r="X20" s="598">
        <f>833068-X21</f>
        <v>726065.478</v>
      </c>
      <c r="Y20" s="594">
        <f>581384.58724-Y21</f>
        <v>550738.40230000007</v>
      </c>
      <c r="Z20" s="116" t="s">
        <v>5944</v>
      </c>
      <c r="AA20" s="64"/>
      <c r="AC20" s="595">
        <f>349374.15-AC21</f>
        <v>277056.39600000001</v>
      </c>
      <c r="AD20" s="116" t="s">
        <v>5944</v>
      </c>
      <c r="AE20" s="596">
        <f>240213.208-AE21</f>
        <v>231325.92600000001</v>
      </c>
      <c r="AG20" s="598">
        <f>349374.15-AG21</f>
        <v>277056.39600000001</v>
      </c>
      <c r="AH20" s="594">
        <f>240213.208-AH21</f>
        <v>231325.92600000001</v>
      </c>
      <c r="AI20" s="116" t="s">
        <v>5944</v>
      </c>
      <c r="AJ20" s="64"/>
      <c r="AL20" s="595">
        <f>393953.438-AL21</f>
        <v>332346.29500000004</v>
      </c>
      <c r="AM20" s="116" t="s">
        <v>5944</v>
      </c>
      <c r="AN20" s="596">
        <f>296748.4-AN21</f>
        <v>257589.94200000004</v>
      </c>
      <c r="AP20" s="26" t="s">
        <v>5945</v>
      </c>
      <c r="AR20" s="593">
        <f>393953.438-AR21</f>
        <v>332346.29500000004</v>
      </c>
      <c r="AS20" s="594">
        <f>336097.95-AS21</f>
        <v>296889.49200000003</v>
      </c>
      <c r="AT20" s="116"/>
      <c r="AU20" s="64">
        <f t="shared" si="4"/>
        <v>0.89331368053914961</v>
      </c>
      <c r="AW20" s="595">
        <f>37260.758+400946.587-AW21</f>
        <v>351207.34499999997</v>
      </c>
      <c r="AX20" s="116"/>
      <c r="AY20" s="596">
        <f>27443.781+286835.781-AY21</f>
        <v>276095.99918400001</v>
      </c>
      <c r="BA20" s="26"/>
      <c r="BC20" s="593">
        <f>313946587+37260758</f>
        <v>351207345</v>
      </c>
      <c r="BD20" s="594">
        <f>237088976.59+27443781.63</f>
        <v>264532758.22</v>
      </c>
      <c r="BE20" s="116"/>
      <c r="BF20" s="64"/>
      <c r="BH20" s="595">
        <f>150781313+9051846+60000</f>
        <v>159893159</v>
      </c>
      <c r="BI20" s="116"/>
      <c r="BJ20" s="596">
        <f>124792693.91+5308482.22</f>
        <v>130101176.13</v>
      </c>
      <c r="BK20" s="8811">
        <f t="shared" si="1"/>
        <v>0.81367568783852717</v>
      </c>
      <c r="BL20" s="26"/>
    </row>
    <row r="21" spans="1:64" x14ac:dyDescent="0.35">
      <c r="A21" s="9168"/>
      <c r="B21" s="6082"/>
      <c r="C21" s="121" t="s">
        <v>632</v>
      </c>
      <c r="D21" s="197"/>
      <c r="F21" s="111"/>
      <c r="G21" s="254"/>
      <c r="H21" s="112"/>
      <c r="I21" s="113"/>
      <c r="J21" s="64"/>
      <c r="L21" s="112"/>
      <c r="M21" s="482"/>
      <c r="O21" s="598">
        <f>O15</f>
        <v>70000</v>
      </c>
      <c r="P21" s="594">
        <f>P15</f>
        <v>23832.053</v>
      </c>
      <c r="Q21" s="53" t="s">
        <v>5936</v>
      </c>
      <c r="R21" s="64"/>
      <c r="T21" s="595">
        <f>T15</f>
        <v>107002.522</v>
      </c>
      <c r="U21" s="53" t="s">
        <v>5936</v>
      </c>
      <c r="V21" s="596">
        <f>V15</f>
        <v>30646.184939999999</v>
      </c>
      <c r="X21" s="598">
        <v>107002.522</v>
      </c>
      <c r="Y21" s="594">
        <v>30646.184939999999</v>
      </c>
      <c r="Z21" s="53" t="s">
        <v>5936</v>
      </c>
      <c r="AA21" s="64"/>
      <c r="AC21" s="595">
        <v>72317.754000000001</v>
      </c>
      <c r="AD21" s="53" t="s">
        <v>5936</v>
      </c>
      <c r="AE21" s="596">
        <v>8887.2819999999992</v>
      </c>
      <c r="AG21" s="598">
        <v>72317.754000000001</v>
      </c>
      <c r="AH21" s="594">
        <v>8887.2819999999992</v>
      </c>
      <c r="AI21" s="53" t="s">
        <v>5936</v>
      </c>
      <c r="AJ21" s="64"/>
      <c r="AL21" s="595">
        <v>61607.142999999996</v>
      </c>
      <c r="AM21" s="53" t="s">
        <v>5936</v>
      </c>
      <c r="AN21" s="596">
        <v>39158.457999999999</v>
      </c>
      <c r="AP21" s="257"/>
      <c r="AR21" s="593">
        <f>41820.731+10612.819+9173.593</f>
        <v>61607.143000000004</v>
      </c>
      <c r="AS21" s="594">
        <f>28470.842+7547.764+3189.852</f>
        <v>39208.457999999999</v>
      </c>
      <c r="AT21" s="53"/>
      <c r="AU21" s="64">
        <f t="shared" si="4"/>
        <v>0.63642714287205293</v>
      </c>
      <c r="AW21" s="595">
        <f>55800+13700+17000+500</f>
        <v>87000</v>
      </c>
      <c r="AX21" s="53" t="s">
        <v>5936</v>
      </c>
      <c r="AY21" s="596">
        <f>27627.718+10544.27+11.574816</f>
        <v>38183.562815999998</v>
      </c>
      <c r="BA21" s="257"/>
      <c r="BC21" s="593">
        <f>87000000+600000</f>
        <v>87600000</v>
      </c>
      <c r="BD21" s="594">
        <f>49746805.27+599859.2</f>
        <v>50346664.470000006</v>
      </c>
      <c r="BE21" s="6934" t="s">
        <v>5946</v>
      </c>
      <c r="BF21" s="64"/>
      <c r="BH21" s="595">
        <v>60000000</v>
      </c>
      <c r="BI21" s="53"/>
      <c r="BJ21" s="596">
        <f>30102025.97</f>
        <v>30102025.969999999</v>
      </c>
      <c r="BK21" s="8811">
        <f t="shared" si="1"/>
        <v>0.50170043283333332</v>
      </c>
      <c r="BL21" s="257"/>
    </row>
    <row r="22" spans="1:64" x14ac:dyDescent="0.35">
      <c r="A22" s="9168"/>
      <c r="B22" s="6082"/>
      <c r="C22" s="121" t="s">
        <v>3967</v>
      </c>
      <c r="D22" s="197"/>
      <c r="F22" s="111"/>
      <c r="G22" s="254"/>
      <c r="H22" s="112"/>
      <c r="I22" s="113"/>
      <c r="J22" s="64">
        <f t="shared" ref="J22" si="6">IF(H22=0,0,I22/H22)</f>
        <v>0</v>
      </c>
      <c r="L22" s="112"/>
      <c r="M22" s="482"/>
      <c r="O22" s="598"/>
      <c r="P22" s="599"/>
      <c r="Q22" s="116"/>
      <c r="R22" s="64"/>
      <c r="T22" s="598"/>
      <c r="U22" s="116"/>
      <c r="V22" s="600"/>
      <c r="X22" s="598"/>
      <c r="Y22" s="599"/>
      <c r="Z22" s="116"/>
      <c r="AA22" s="64"/>
      <c r="AC22" s="598"/>
      <c r="AD22" s="116"/>
      <c r="AE22" s="600"/>
      <c r="AG22" s="598"/>
      <c r="AH22" s="599"/>
      <c r="AI22" s="116"/>
      <c r="AJ22" s="64"/>
      <c r="AL22" s="598"/>
      <c r="AM22" s="116"/>
      <c r="AN22" s="600"/>
      <c r="AP22" s="257"/>
      <c r="AR22" s="593"/>
      <c r="AS22" s="594"/>
      <c r="AT22" s="116"/>
      <c r="AU22" s="64"/>
      <c r="AW22" s="595">
        <f>1253.621</f>
        <v>1253.6210000000001</v>
      </c>
      <c r="AX22" s="116" t="s">
        <v>5947</v>
      </c>
      <c r="AY22" s="600">
        <v>1253.6199999999999</v>
      </c>
      <c r="BA22" s="257"/>
      <c r="BC22" s="593">
        <v>1253621</v>
      </c>
      <c r="BD22" s="594">
        <v>1253620.45</v>
      </c>
      <c r="BE22" s="116" t="s">
        <v>5948</v>
      </c>
      <c r="BF22" s="64">
        <f t="shared" si="5"/>
        <v>0.99999956127091039</v>
      </c>
      <c r="BH22" s="593">
        <v>3349694</v>
      </c>
      <c r="BI22" s="116"/>
      <c r="BJ22" s="600">
        <v>1709098.43</v>
      </c>
      <c r="BK22" s="8811">
        <f t="shared" si="1"/>
        <v>0.51022524146981785</v>
      </c>
      <c r="BL22" s="257"/>
    </row>
    <row r="23" spans="1:64" x14ac:dyDescent="0.35">
      <c r="A23" s="9168"/>
      <c r="B23" s="6082"/>
      <c r="C23" s="121" t="s">
        <v>3285</v>
      </c>
      <c r="D23" s="197"/>
      <c r="F23" s="122"/>
      <c r="G23" s="254"/>
      <c r="H23" s="114"/>
      <c r="I23" s="123"/>
      <c r="J23" s="64"/>
      <c r="L23" s="114"/>
      <c r="M23" s="482"/>
      <c r="O23" s="598"/>
      <c r="P23" s="599"/>
      <c r="Q23" s="127"/>
      <c r="R23" s="64"/>
      <c r="T23" s="598"/>
      <c r="U23" s="116"/>
      <c r="V23" s="600"/>
      <c r="X23" s="598"/>
      <c r="Y23" s="599"/>
      <c r="Z23" s="127"/>
      <c r="AA23" s="64"/>
      <c r="AC23" s="598"/>
      <c r="AD23" s="116"/>
      <c r="AE23" s="600"/>
      <c r="AG23" s="598"/>
      <c r="AH23" s="599"/>
      <c r="AI23" s="127"/>
      <c r="AJ23" s="64"/>
      <c r="AL23" s="598"/>
      <c r="AM23" s="116"/>
      <c r="AN23" s="600"/>
      <c r="AP23" s="257"/>
      <c r="AR23" s="593"/>
      <c r="AS23" s="594"/>
      <c r="AT23" s="127"/>
      <c r="AU23" s="64"/>
      <c r="AW23" s="595">
        <v>1762.403</v>
      </c>
      <c r="AX23" s="116"/>
      <c r="AY23" s="600">
        <v>1762.402</v>
      </c>
      <c r="BA23" s="257"/>
      <c r="BC23" s="593">
        <v>1762403</v>
      </c>
      <c r="BD23" s="594">
        <v>1762402.2</v>
      </c>
      <c r="BE23" s="127" t="s">
        <v>5949</v>
      </c>
      <c r="BF23" s="64"/>
      <c r="BH23" s="595">
        <v>4650306</v>
      </c>
      <c r="BI23" s="116"/>
      <c r="BJ23" s="600">
        <v>4404252.4800000004</v>
      </c>
      <c r="BK23" s="8811">
        <f t="shared" si="1"/>
        <v>0.9470887464179778</v>
      </c>
      <c r="BL23" s="257"/>
    </row>
    <row r="24" spans="1:64" x14ac:dyDescent="0.35">
      <c r="A24" s="9168"/>
      <c r="B24" s="128"/>
      <c r="C24" s="129" t="s">
        <v>479</v>
      </c>
      <c r="D24" s="209"/>
      <c r="F24" s="130">
        <f>SUM(F18:F22)</f>
        <v>1092888</v>
      </c>
      <c r="G24" s="235"/>
      <c r="H24" s="131">
        <v>1500000.254</v>
      </c>
      <c r="I24" s="132">
        <f>1339249.72594</f>
        <v>1339249.72594</v>
      </c>
      <c r="J24" s="133">
        <f>IF(H24=0,0,I24/H24)</f>
        <v>0.89283299944027883</v>
      </c>
      <c r="L24" s="131">
        <v>1570001.757</v>
      </c>
      <c r="M24" s="485">
        <v>1340197.46221</v>
      </c>
      <c r="O24" s="602">
        <v>1570001.757</v>
      </c>
      <c r="P24" s="602">
        <v>1340197.46221</v>
      </c>
      <c r="Q24" s="116" t="s">
        <v>10</v>
      </c>
      <c r="R24" s="64"/>
      <c r="T24" s="602">
        <v>1952830.172</v>
      </c>
      <c r="U24" s="134" t="s">
        <v>10</v>
      </c>
      <c r="V24" s="604">
        <v>1630588.486</v>
      </c>
      <c r="X24" s="602">
        <f>SUM(X18:X23)</f>
        <v>1952558.6719999998</v>
      </c>
      <c r="Y24" s="602">
        <f>SUM(Y18:Y23)</f>
        <v>1629934.8401000001</v>
      </c>
      <c r="Z24" s="116" t="s">
        <v>10</v>
      </c>
      <c r="AA24" s="64"/>
      <c r="AC24" s="602">
        <f>SUM(AC18:AC23)</f>
        <v>1386825.7349999999</v>
      </c>
      <c r="AD24" s="134" t="s">
        <v>10</v>
      </c>
      <c r="AE24" s="604">
        <f>SUM(AE18:AE23)</f>
        <v>1184989.0659999999</v>
      </c>
      <c r="AG24" s="602">
        <f>SUM(AG18:AG23)</f>
        <v>1386825.7349999999</v>
      </c>
      <c r="AH24" s="602">
        <f>SUM(AH18:AH23)</f>
        <v>1184989.0659999999</v>
      </c>
      <c r="AI24" s="116" t="s">
        <v>10</v>
      </c>
      <c r="AJ24" s="64"/>
      <c r="AL24" s="602">
        <v>1227371.987</v>
      </c>
      <c r="AM24" s="134" t="s">
        <v>10</v>
      </c>
      <c r="AN24" s="604">
        <v>1159510.3130000001</v>
      </c>
      <c r="AP24" s="24"/>
      <c r="AR24" s="593">
        <v>1277371.987</v>
      </c>
      <c r="AS24" s="594">
        <v>1158159.098</v>
      </c>
      <c r="AT24" s="116"/>
      <c r="AU24" s="64">
        <f t="shared" si="4"/>
        <v>0.90667331817728369</v>
      </c>
      <c r="AW24" s="602">
        <v>1481990.8</v>
      </c>
      <c r="AX24" s="134"/>
      <c r="AY24" s="604">
        <f>1233297.173</f>
        <v>1233297.173</v>
      </c>
      <c r="BA24" s="24"/>
      <c r="BC24" s="593">
        <f>SUM(BC18:BC23)</f>
        <v>1481990800</v>
      </c>
      <c r="BD24" s="594">
        <f>SUM(BD18:BD23)</f>
        <v>1233297173.1699998</v>
      </c>
      <c r="BE24" s="116"/>
      <c r="BF24" s="64">
        <f t="shared" ref="BF24" si="7">BD24/BC24</f>
        <v>0.83218949346379201</v>
      </c>
      <c r="BH24" s="602">
        <f>SUM(BH18:BH23)</f>
        <v>1497042620</v>
      </c>
      <c r="BI24" s="134"/>
      <c r="BJ24" s="604">
        <f>SUM(BJ18:BJ23)</f>
        <v>1135573764.7700002</v>
      </c>
      <c r="BK24" s="8811">
        <f t="shared" si="1"/>
        <v>0.75854471315586203</v>
      </c>
      <c r="BL24" s="24"/>
    </row>
    <row r="25" spans="1:64" x14ac:dyDescent="0.35">
      <c r="A25" s="9168"/>
      <c r="B25" s="139" t="s">
        <v>480</v>
      </c>
      <c r="C25" s="49"/>
      <c r="D25" s="184"/>
      <c r="E25" s="141"/>
      <c r="F25" s="4028"/>
      <c r="G25" s="1579"/>
      <c r="H25" s="4029"/>
      <c r="I25" s="150"/>
      <c r="J25" s="146"/>
      <c r="K25" s="141"/>
      <c r="L25" s="3648"/>
      <c r="M25" s="268"/>
      <c r="N25" s="141"/>
      <c r="O25" s="606"/>
      <c r="P25" s="145"/>
      <c r="Q25" s="145"/>
      <c r="R25" s="146"/>
      <c r="S25" s="141"/>
      <c r="T25" s="151"/>
      <c r="U25" s="145"/>
      <c r="V25" s="148"/>
      <c r="W25" s="141"/>
      <c r="X25" s="606"/>
      <c r="Y25" s="145"/>
      <c r="Z25" s="145"/>
      <c r="AA25" s="146"/>
      <c r="AB25" s="141"/>
      <c r="AC25" s="151"/>
      <c r="AD25" s="145"/>
      <c r="AE25" s="148"/>
      <c r="AF25" s="141"/>
      <c r="AG25" s="606"/>
      <c r="AH25" s="145"/>
      <c r="AI25" s="145"/>
      <c r="AJ25" s="146"/>
      <c r="AK25" s="141"/>
      <c r="AL25" s="151"/>
      <c r="AM25" s="145"/>
      <c r="AN25" s="148"/>
      <c r="AO25" s="141"/>
      <c r="AP25" s="18"/>
      <c r="AR25" s="606"/>
      <c r="AS25" s="145"/>
      <c r="AT25" s="145"/>
      <c r="AU25" s="146"/>
      <c r="AV25" s="141"/>
      <c r="AW25" s="151"/>
      <c r="AX25" s="145"/>
      <c r="AY25" s="148"/>
      <c r="BA25" s="18"/>
      <c r="BC25" s="606"/>
      <c r="BD25" s="145"/>
      <c r="BE25" s="145"/>
      <c r="BF25" s="146"/>
      <c r="BG25" s="141"/>
      <c r="BH25" s="151"/>
      <c r="BI25" s="145"/>
      <c r="BJ25" s="148"/>
      <c r="BL25" s="18"/>
    </row>
    <row r="26" spans="1:64" x14ac:dyDescent="0.35">
      <c r="A26" s="9168"/>
      <c r="B26" s="6082"/>
      <c r="C26" s="110" t="s">
        <v>483</v>
      </c>
      <c r="D26" s="197"/>
      <c r="F26" s="155">
        <v>111590.28</v>
      </c>
      <c r="G26" s="235"/>
      <c r="H26" s="156">
        <v>177678.70800000001</v>
      </c>
      <c r="I26" s="115">
        <v>162489.61472000001</v>
      </c>
      <c r="J26" s="64"/>
      <c r="L26" s="156">
        <v>180368.992</v>
      </c>
      <c r="M26" s="482">
        <v>170444.014</v>
      </c>
      <c r="O26" s="595">
        <v>180368.992</v>
      </c>
      <c r="P26" s="594">
        <v>170444.014</v>
      </c>
      <c r="Q26" s="116"/>
      <c r="R26" s="64"/>
      <c r="T26" s="607">
        <v>183669.90599999999</v>
      </c>
      <c r="U26" s="116"/>
      <c r="V26" s="596">
        <v>173917.549</v>
      </c>
      <c r="X26" s="595">
        <v>183399.40599999999</v>
      </c>
      <c r="Y26" s="594">
        <v>173605.05661</v>
      </c>
      <c r="Z26" s="116"/>
      <c r="AA26" s="64"/>
      <c r="AC26" s="607">
        <v>213566.43900000001</v>
      </c>
      <c r="AD26" s="116"/>
      <c r="AE26" s="596">
        <v>195692.65599999999</v>
      </c>
      <c r="AG26" s="595">
        <v>213566.43900000001</v>
      </c>
      <c r="AH26" s="594">
        <v>195692.65599999999</v>
      </c>
      <c r="AI26" s="116"/>
      <c r="AJ26" s="64"/>
      <c r="AL26" s="607">
        <v>201169.94200000001</v>
      </c>
      <c r="AM26" s="116"/>
      <c r="AN26" s="596">
        <v>192861.59299999999</v>
      </c>
      <c r="AP26" s="26"/>
      <c r="AR26" s="595">
        <v>201169.94200000001</v>
      </c>
      <c r="AS26" s="594">
        <v>192805.448</v>
      </c>
      <c r="AT26" s="116"/>
      <c r="AU26" s="64">
        <f t="shared" si="4"/>
        <v>0.95842075651639846</v>
      </c>
      <c r="AW26" s="607">
        <v>215721.34400000001</v>
      </c>
      <c r="AX26" s="116"/>
      <c r="AY26" s="596">
        <v>202039.82199999999</v>
      </c>
      <c r="BA26" s="26"/>
      <c r="BC26" s="595">
        <v>215721344</v>
      </c>
      <c r="BD26" s="594">
        <v>202039822.78</v>
      </c>
      <c r="BE26" s="116"/>
      <c r="BF26" s="64">
        <f t="shared" ref="BF26" si="8">BD26/BC26</f>
        <v>0.93657780465154161</v>
      </c>
      <c r="BH26" s="607">
        <v>208161481</v>
      </c>
      <c r="BI26" s="116"/>
      <c r="BJ26" s="596">
        <v>201595198.81</v>
      </c>
      <c r="BK26" s="8811">
        <f t="shared" si="1"/>
        <v>0.96845582497561111</v>
      </c>
      <c r="BL26" s="26"/>
    </row>
    <row r="27" spans="1:64" x14ac:dyDescent="0.35">
      <c r="A27" s="9168"/>
      <c r="B27" s="6082"/>
      <c r="C27" s="110" t="s">
        <v>489</v>
      </c>
      <c r="D27" s="197">
        <v>1</v>
      </c>
      <c r="F27" s="155">
        <v>101142.94</v>
      </c>
      <c r="G27" s="235"/>
      <c r="H27" s="156">
        <v>160983.16899999999</v>
      </c>
      <c r="I27" s="115">
        <v>149820.94</v>
      </c>
      <c r="J27" s="64">
        <f>IF(H27=0,0,I27/H27)</f>
        <v>0.93066213648707596</v>
      </c>
      <c r="L27" s="156">
        <v>159944.14799999999</v>
      </c>
      <c r="M27" s="482">
        <v>156473.85665</v>
      </c>
      <c r="O27" s="595">
        <v>159944.14799999999</v>
      </c>
      <c r="P27" s="594">
        <v>156473.85665</v>
      </c>
      <c r="Q27" s="116"/>
      <c r="R27" s="64"/>
      <c r="T27" s="607">
        <v>163426.152</v>
      </c>
      <c r="U27" s="116"/>
      <c r="V27" s="596">
        <v>158746.791</v>
      </c>
      <c r="X27" s="595">
        <v>163155.652</v>
      </c>
      <c r="Y27" s="594">
        <v>158426.68606000001</v>
      </c>
      <c r="Z27" s="116"/>
      <c r="AA27" s="64"/>
      <c r="AC27" s="607">
        <v>189802.42199999999</v>
      </c>
      <c r="AD27" s="116"/>
      <c r="AE27" s="596">
        <v>178521.72899999999</v>
      </c>
      <c r="AG27" s="595">
        <v>189802.42199999999</v>
      </c>
      <c r="AH27" s="594">
        <v>178521.72899999999</v>
      </c>
      <c r="AI27" s="116"/>
      <c r="AJ27" s="64"/>
      <c r="AL27" s="607">
        <v>178444.34700000001</v>
      </c>
      <c r="AM27" s="116"/>
      <c r="AN27" s="596">
        <v>176981.88</v>
      </c>
      <c r="AP27" s="26" t="s">
        <v>5950</v>
      </c>
      <c r="AR27" s="595"/>
      <c r="AS27" s="594"/>
      <c r="AT27" s="116"/>
      <c r="AU27" s="64"/>
      <c r="AW27" s="607"/>
      <c r="AX27" s="116"/>
      <c r="AY27" s="596"/>
      <c r="BA27" s="26"/>
      <c r="BC27" s="595"/>
      <c r="BD27" s="594"/>
      <c r="BE27" s="116"/>
      <c r="BF27" s="64"/>
      <c r="BH27" s="607"/>
      <c r="BI27" s="116"/>
      <c r="BJ27" s="596"/>
      <c r="BK27" s="8811"/>
      <c r="BL27" s="26"/>
    </row>
    <row r="28" spans="1:64" x14ac:dyDescent="0.35">
      <c r="A28" s="9168"/>
      <c r="B28" s="6082"/>
      <c r="C28" s="110" t="s">
        <v>490</v>
      </c>
      <c r="D28" s="197">
        <v>2</v>
      </c>
      <c r="F28" s="155">
        <v>1772</v>
      </c>
      <c r="G28" s="235"/>
      <c r="H28" s="159">
        <v>4000</v>
      </c>
      <c r="I28" s="115">
        <v>878.83037000000002</v>
      </c>
      <c r="J28" s="64">
        <f>IF(H28=0,0,I28/H28)</f>
        <v>0.21970759249999999</v>
      </c>
      <c r="L28" s="159">
        <v>5991</v>
      </c>
      <c r="M28" s="482">
        <v>3771.2055999999998</v>
      </c>
      <c r="O28" s="595">
        <v>5991</v>
      </c>
      <c r="P28" s="594">
        <v>3771.2055999999998</v>
      </c>
      <c r="Q28" s="116"/>
      <c r="R28" s="64"/>
      <c r="T28" s="159">
        <v>4600</v>
      </c>
      <c r="U28" t="s">
        <v>5951</v>
      </c>
      <c r="V28" s="608">
        <v>4365.3344999999999</v>
      </c>
      <c r="X28" s="595">
        <v>4600</v>
      </c>
      <c r="Y28" s="594">
        <v>4365.3341499999997</v>
      </c>
      <c r="Z28" s="116" t="s">
        <v>5951</v>
      </c>
      <c r="AA28" s="64"/>
      <c r="AC28" s="159">
        <v>4896.9430000000002</v>
      </c>
      <c r="AD28" t="s">
        <v>5951</v>
      </c>
      <c r="AE28" s="608">
        <v>4671.357</v>
      </c>
      <c r="AG28" s="595">
        <v>4896.9430000000002</v>
      </c>
      <c r="AH28" s="594">
        <v>4671.357</v>
      </c>
      <c r="AI28" s="116" t="s">
        <v>5951</v>
      </c>
      <c r="AJ28" s="64"/>
      <c r="AL28" s="159">
        <v>5425</v>
      </c>
      <c r="AM28" t="s">
        <v>5951</v>
      </c>
      <c r="AN28" s="608">
        <v>4983.8149999999996</v>
      </c>
      <c r="AP28" s="26" t="s">
        <v>5951</v>
      </c>
      <c r="AR28" s="595">
        <v>5125</v>
      </c>
      <c r="AS28" s="594">
        <v>4982.3029999999999</v>
      </c>
      <c r="AT28" s="116"/>
      <c r="AU28" s="64">
        <f t="shared" si="4"/>
        <v>0.97215668292682922</v>
      </c>
      <c r="AW28" s="4747">
        <v>5000</v>
      </c>
      <c r="AX28" t="s">
        <v>5952</v>
      </c>
      <c r="AY28" s="608">
        <v>4852.9880000000003</v>
      </c>
      <c r="BA28" s="26"/>
      <c r="BC28" s="595">
        <v>5000000</v>
      </c>
      <c r="BD28" s="594">
        <v>4852988.26</v>
      </c>
      <c r="BE28" s="8450"/>
      <c r="BF28" s="64">
        <f t="shared" ref="BF28" si="9">BD28/BC28</f>
        <v>0.97059765199999992</v>
      </c>
      <c r="BH28" s="4747">
        <v>5000000</v>
      </c>
      <c r="BI28" s="972"/>
      <c r="BJ28" s="608">
        <v>4927991.37</v>
      </c>
      <c r="BK28" s="8811">
        <f t="shared" si="1"/>
        <v>0.985598274</v>
      </c>
      <c r="BL28" s="26"/>
    </row>
    <row r="29" spans="1:64" x14ac:dyDescent="0.35">
      <c r="A29" s="9168"/>
      <c r="B29" s="6082"/>
      <c r="C29" s="161" t="s">
        <v>497</v>
      </c>
      <c r="D29" s="610"/>
      <c r="F29" s="163"/>
      <c r="G29" s="235"/>
      <c r="H29" s="164"/>
      <c r="I29" s="165"/>
      <c r="J29" s="64">
        <f>IF(H29=0,0,I29/H29)</f>
        <v>0</v>
      </c>
      <c r="L29" s="166"/>
      <c r="M29" s="611"/>
      <c r="O29" s="612"/>
      <c r="P29" s="613"/>
      <c r="Q29" s="106"/>
      <c r="R29" s="64"/>
      <c r="T29" s="156"/>
      <c r="U29" s="106"/>
      <c r="V29" s="614"/>
      <c r="X29" s="612"/>
      <c r="Y29" s="613"/>
      <c r="Z29" s="106"/>
      <c r="AA29" s="64"/>
      <c r="AC29" s="156"/>
      <c r="AD29" s="106"/>
      <c r="AE29" s="614"/>
      <c r="AG29" s="612"/>
      <c r="AH29" s="613"/>
      <c r="AI29" s="106"/>
      <c r="AJ29" s="64"/>
      <c r="AL29" s="156"/>
      <c r="AM29" s="106"/>
      <c r="AN29" s="614"/>
      <c r="AP29" s="26"/>
      <c r="AR29" s="612"/>
      <c r="AS29" s="613"/>
      <c r="AT29" s="106"/>
      <c r="AU29" s="64"/>
      <c r="AW29" s="607"/>
      <c r="AX29" s="106"/>
      <c r="AY29" s="614"/>
      <c r="BA29" s="26"/>
      <c r="BC29" s="612"/>
      <c r="BD29" s="613"/>
      <c r="BE29" s="106"/>
      <c r="BF29" s="64"/>
      <c r="BH29" s="607"/>
      <c r="BI29" s="106"/>
      <c r="BJ29" s="614"/>
      <c r="BK29" s="8811"/>
      <c r="BL29" s="26"/>
    </row>
    <row r="30" spans="1:64" x14ac:dyDescent="0.35">
      <c r="A30" s="9168"/>
      <c r="B30" s="128"/>
      <c r="C30" s="129" t="s">
        <v>499</v>
      </c>
      <c r="D30" s="209"/>
      <c r="F30" s="3934">
        <f>IF(F27=0,0,(F28-F29)/F27)</f>
        <v>1.751975965895395E-2</v>
      </c>
      <c r="G30" s="170"/>
      <c r="H30" s="171">
        <f t="shared" ref="H30:I30" si="10">IF(H27=0,0,(H28-H29)/H27)</f>
        <v>2.4847318044782681E-2</v>
      </c>
      <c r="I30" s="3935">
        <f t="shared" si="10"/>
        <v>5.8658714195759286E-3</v>
      </c>
      <c r="J30" s="173"/>
      <c r="K30" s="170"/>
      <c r="L30" s="171">
        <f t="shared" ref="L30:P30" si="11">IF(L27=0,0,(L28-L29)/L27)</f>
        <v>3.7456825241271099E-2</v>
      </c>
      <c r="M30" s="169">
        <f t="shared" si="11"/>
        <v>2.4101186490439838E-2</v>
      </c>
      <c r="N30" s="176"/>
      <c r="O30" s="171">
        <f t="shared" si="11"/>
        <v>3.7456825241271099E-2</v>
      </c>
      <c r="P30" s="177">
        <f t="shared" si="11"/>
        <v>2.4101186490439838E-2</v>
      </c>
      <c r="Q30" s="177"/>
      <c r="R30" s="173"/>
      <c r="S30" s="170"/>
      <c r="T30" s="174">
        <f t="shared" ref="T30" si="12">IF(T27=0,0,(T28-T29)/T27)</f>
        <v>2.8147269844547278E-2</v>
      </c>
      <c r="U30" s="177"/>
      <c r="V30" s="175">
        <f>IF(V27=0,0,(V28-V29)/V27)</f>
        <v>2.7498725942749921E-2</v>
      </c>
      <c r="W30" s="176"/>
      <c r="X30" s="171">
        <f>X28/X26</f>
        <v>2.5081869676284559E-2</v>
      </c>
      <c r="Y30" s="177">
        <f>Y28/Y26</f>
        <v>2.5145201615910464E-2</v>
      </c>
      <c r="Z30" s="177"/>
      <c r="AA30" s="173"/>
      <c r="AB30" s="170"/>
      <c r="AC30" s="174">
        <f>AC28/AC26</f>
        <v>2.2929365788601268E-2</v>
      </c>
      <c r="AD30" s="177"/>
      <c r="AE30" s="175">
        <f>AE28/AE26</f>
        <v>2.3870885578864035E-2</v>
      </c>
      <c r="AF30" s="176"/>
      <c r="AG30" s="171">
        <f>AG28/AG26</f>
        <v>2.2929365788601268E-2</v>
      </c>
      <c r="AH30" s="177">
        <f>AH28/AH26</f>
        <v>2.3870885578864035E-2</v>
      </c>
      <c r="AI30" s="177"/>
      <c r="AJ30" s="173"/>
      <c r="AK30" s="170"/>
      <c r="AL30" s="174">
        <f>AL28/AL26</f>
        <v>2.6967249411445373E-2</v>
      </c>
      <c r="AM30" s="177"/>
      <c r="AN30" s="175">
        <f>AN28/AN26</f>
        <v>2.5841407418012979E-2</v>
      </c>
      <c r="AO30" s="176"/>
      <c r="AP30" s="24"/>
      <c r="AR30" s="171">
        <f>AR28/AR26</f>
        <v>2.5475972946296319E-2</v>
      </c>
      <c r="AS30" s="177">
        <f>AS28/AS26</f>
        <v>2.584109034097418E-2</v>
      </c>
      <c r="AT30" s="177"/>
      <c r="AU30" s="173"/>
      <c r="AV30" s="170"/>
      <c r="AW30" s="174">
        <f>AW28/AW26</f>
        <v>2.3178049548958864E-2</v>
      </c>
      <c r="AX30" s="177"/>
      <c r="AY30" s="175">
        <f>AY28/AY26</f>
        <v>2.4019957808119632E-2</v>
      </c>
      <c r="BA30" s="24"/>
      <c r="BC30" s="171">
        <f>BC28/BC26</f>
        <v>2.3178049548958864E-2</v>
      </c>
      <c r="BD30" s="177">
        <f>BD28/BD26</f>
        <v>2.4019959002262593E-2</v>
      </c>
      <c r="BE30" s="8815"/>
      <c r="BF30" s="173"/>
      <c r="BG30" s="170"/>
      <c r="BH30" s="174">
        <f>BH28/BH26</f>
        <v>2.4019813732973971E-2</v>
      </c>
      <c r="BI30" s="177"/>
      <c r="BJ30" s="175">
        <f>BJ28/BJ26</f>
        <v>2.4444983804621991E-2</v>
      </c>
      <c r="BK30" s="8811">
        <f t="shared" si="1"/>
        <v>1.0177008063582256</v>
      </c>
      <c r="BL30" s="24"/>
    </row>
    <row r="31" spans="1:64" x14ac:dyDescent="0.35">
      <c r="A31" s="9168"/>
      <c r="B31" s="139" t="s">
        <v>552</v>
      </c>
      <c r="C31" s="49"/>
      <c r="D31" s="184"/>
      <c r="F31" s="185"/>
      <c r="H31" s="186"/>
      <c r="I31" s="187"/>
      <c r="J31" s="188"/>
      <c r="L31" s="186"/>
      <c r="M31" s="148">
        <f t="shared" ref="M31" si="13">L31*J31</f>
        <v>0</v>
      </c>
      <c r="O31" s="189"/>
      <c r="P31" s="190"/>
      <c r="Q31" s="190"/>
      <c r="R31" s="191"/>
      <c r="S31" s="170"/>
      <c r="T31" s="192"/>
      <c r="U31" s="190"/>
      <c r="V31" s="616"/>
      <c r="X31" s="189"/>
      <c r="Y31" s="190"/>
      <c r="Z31" s="190"/>
      <c r="AA31" s="191"/>
      <c r="AB31" s="170"/>
      <c r="AC31" s="192"/>
      <c r="AD31" s="190"/>
      <c r="AE31" s="616"/>
      <c r="AG31" s="189"/>
      <c r="AH31" s="190"/>
      <c r="AI31" s="190"/>
      <c r="AJ31" s="191"/>
      <c r="AK31" s="170"/>
      <c r="AL31" s="192"/>
      <c r="AM31" s="190"/>
      <c r="AN31" s="616"/>
      <c r="AP31" s="39"/>
      <c r="AR31" s="189"/>
      <c r="AS31" s="190"/>
      <c r="AT31" s="190"/>
      <c r="AU31" s="191"/>
      <c r="AV31" s="170"/>
      <c r="AW31" s="192"/>
      <c r="AX31" s="190"/>
      <c r="AY31" s="616"/>
      <c r="BA31" s="39"/>
      <c r="BC31" s="189"/>
      <c r="BD31" s="190"/>
      <c r="BE31" s="190"/>
      <c r="BF31" s="191"/>
      <c r="BG31" s="170"/>
      <c r="BH31" s="192"/>
      <c r="BI31" s="190"/>
      <c r="BJ31" s="616"/>
      <c r="BK31" s="8811"/>
      <c r="BL31" s="39"/>
    </row>
    <row r="32" spans="1:64" x14ac:dyDescent="0.35">
      <c r="A32" s="9168"/>
      <c r="B32" s="196"/>
      <c r="C32" s="121" t="s">
        <v>470</v>
      </c>
      <c r="D32" s="197"/>
      <c r="F32" s="122"/>
      <c r="H32" s="198"/>
      <c r="I32" s="199"/>
      <c r="J32" s="64"/>
      <c r="L32" s="198"/>
      <c r="M32" s="157"/>
      <c r="O32" s="200"/>
      <c r="P32" s="201"/>
      <c r="Q32" s="202"/>
      <c r="R32" s="203"/>
      <c r="S32" s="170"/>
      <c r="T32" s="117"/>
      <c r="U32" s="202"/>
      <c r="V32" s="619"/>
      <c r="X32" s="200"/>
      <c r="Y32" s="201"/>
      <c r="Z32" s="202"/>
      <c r="AA32" s="203"/>
      <c r="AB32" s="170"/>
      <c r="AC32" s="117"/>
      <c r="AD32" s="202"/>
      <c r="AE32" s="619"/>
      <c r="AG32" s="200"/>
      <c r="AH32" s="201"/>
      <c r="AI32" s="202"/>
      <c r="AJ32" s="203"/>
      <c r="AK32" s="170"/>
      <c r="AL32" s="117"/>
      <c r="AM32" s="202"/>
      <c r="AN32" s="619"/>
      <c r="AR32" s="200"/>
      <c r="AS32" s="201"/>
      <c r="AT32" s="202"/>
      <c r="AU32" s="203"/>
      <c r="AV32" s="170"/>
      <c r="AW32" s="117"/>
      <c r="AX32" s="202"/>
      <c r="AY32" s="619"/>
      <c r="BC32" s="200"/>
      <c r="BD32" s="201"/>
      <c r="BE32" s="202"/>
      <c r="BF32" s="203"/>
      <c r="BG32" s="170"/>
      <c r="BH32" s="117"/>
      <c r="BI32" s="202"/>
      <c r="BJ32" s="619"/>
      <c r="BK32" s="8811"/>
    </row>
    <row r="33" spans="1:64" x14ac:dyDescent="0.35">
      <c r="A33" s="9169"/>
      <c r="B33" s="207"/>
      <c r="C33" s="208" t="s">
        <v>1116</v>
      </c>
      <c r="D33" s="209"/>
      <c r="F33" s="210"/>
      <c r="H33" s="211"/>
      <c r="I33" s="212"/>
      <c r="J33" s="133"/>
      <c r="L33" s="211"/>
      <c r="M33" s="213"/>
      <c r="O33" s="214"/>
      <c r="P33" s="215"/>
      <c r="Q33" s="216"/>
      <c r="R33" s="133"/>
      <c r="T33" s="217"/>
      <c r="U33" s="216"/>
      <c r="V33" s="628"/>
      <c r="X33" s="214"/>
      <c r="Y33" s="215"/>
      <c r="Z33" s="216"/>
      <c r="AA33" s="133"/>
      <c r="AC33" s="217"/>
      <c r="AD33" s="216"/>
      <c r="AE33" s="628"/>
      <c r="AG33" s="214"/>
      <c r="AH33" s="215"/>
      <c r="AI33" s="216"/>
      <c r="AJ33" s="133"/>
      <c r="AL33" s="217"/>
      <c r="AM33" s="216"/>
      <c r="AN33" s="628"/>
      <c r="AR33" s="214"/>
      <c r="AS33" s="215"/>
      <c r="AT33" s="216"/>
      <c r="AU33" s="133"/>
      <c r="AW33" s="217"/>
      <c r="AX33" s="216"/>
      <c r="AY33" s="628"/>
      <c r="BC33" s="214"/>
      <c r="BD33" s="215"/>
      <c r="BE33" s="216"/>
      <c r="BF33" s="133"/>
      <c r="BH33" s="217"/>
      <c r="BI33" s="216"/>
      <c r="BJ33" s="628"/>
      <c r="BK33" s="8811"/>
    </row>
    <row r="34" spans="1:64" x14ac:dyDescent="0.35">
      <c r="A34" s="220"/>
      <c r="B34" s="220"/>
      <c r="F34" s="106"/>
      <c r="H34" s="106"/>
      <c r="I34" s="106"/>
      <c r="J34" s="221"/>
      <c r="L34" s="106"/>
      <c r="O34" s="106"/>
      <c r="P34" s="106"/>
      <c r="Q34" s="106"/>
      <c r="R34" s="221"/>
      <c r="T34" s="106"/>
      <c r="U34" s="106"/>
      <c r="X34" s="106"/>
      <c r="Y34" s="106"/>
      <c r="Z34" s="106"/>
      <c r="AA34" s="221"/>
      <c r="AC34" s="106"/>
      <c r="AD34" s="106"/>
      <c r="AG34" s="106"/>
      <c r="AH34" s="106"/>
      <c r="AI34" s="106"/>
      <c r="AJ34" s="221"/>
      <c r="AL34" s="106"/>
      <c r="AM34" s="106"/>
      <c r="AR34" s="106"/>
      <c r="AS34" s="106"/>
      <c r="AT34" s="106"/>
      <c r="AU34" s="221"/>
      <c r="AW34" s="106"/>
      <c r="AX34" s="106"/>
      <c r="BC34" s="106"/>
      <c r="BD34" s="106"/>
      <c r="BE34" s="106"/>
      <c r="BF34" s="221"/>
      <c r="BH34" s="106"/>
      <c r="BI34" s="106"/>
      <c r="BK34" s="8811"/>
    </row>
    <row r="35" spans="1:64" ht="41.5" customHeight="1" x14ac:dyDescent="0.35">
      <c r="A35" s="9167" t="s">
        <v>503</v>
      </c>
      <c r="B35" s="27"/>
      <c r="C35" s="28" t="s">
        <v>427</v>
      </c>
      <c r="D35" s="585" t="s">
        <v>428</v>
      </c>
      <c r="E35" s="30"/>
      <c r="F35" s="36" t="s">
        <v>5914</v>
      </c>
      <c r="G35" s="223"/>
      <c r="H35" s="9550" t="s">
        <v>5915</v>
      </c>
      <c r="I35" s="9551"/>
      <c r="J35" s="224"/>
      <c r="K35" s="223"/>
      <c r="L35" s="9550" t="s">
        <v>5915</v>
      </c>
      <c r="M35" s="9551"/>
      <c r="N35" s="30"/>
      <c r="O35" s="9550" t="s">
        <v>5915</v>
      </c>
      <c r="P35" s="9551"/>
      <c r="Q35" s="35"/>
      <c r="R35" s="224"/>
      <c r="S35" s="223"/>
      <c r="T35" s="36"/>
      <c r="U35" s="225"/>
      <c r="V35" s="34"/>
      <c r="W35" s="30"/>
      <c r="X35" s="9550" t="s">
        <v>5915</v>
      </c>
      <c r="Y35" s="9551"/>
      <c r="Z35" s="35"/>
      <c r="AA35" s="224"/>
      <c r="AB35" s="223"/>
      <c r="AC35" s="36"/>
      <c r="AD35" s="225"/>
      <c r="AE35" s="34"/>
      <c r="AF35" s="30"/>
      <c r="AG35" s="4030"/>
      <c r="AH35" s="4031"/>
      <c r="AI35" s="35"/>
      <c r="AJ35" s="224"/>
      <c r="AK35" s="223"/>
      <c r="AL35" s="36"/>
      <c r="AM35" s="225"/>
      <c r="AN35" s="34"/>
      <c r="AO35" s="30"/>
      <c r="AP35" s="39"/>
      <c r="AR35" s="4030"/>
      <c r="AS35" s="4031"/>
      <c r="AT35" s="35"/>
      <c r="AU35" s="224"/>
      <c r="AV35" s="223"/>
      <c r="AW35" s="36" t="s">
        <v>5953</v>
      </c>
      <c r="AX35" s="225"/>
      <c r="AY35" s="34" t="s">
        <v>5954</v>
      </c>
      <c r="BA35" s="39" t="s">
        <v>5955</v>
      </c>
      <c r="BB35" t="s">
        <v>107</v>
      </c>
      <c r="BC35" s="4030"/>
      <c r="BD35" s="4031"/>
      <c r="BE35" s="35"/>
      <c r="BF35" s="224"/>
      <c r="BG35" s="223"/>
      <c r="BH35" s="36"/>
      <c r="BI35" s="225"/>
      <c r="BJ35" s="34"/>
      <c r="BK35" s="8811"/>
      <c r="BL35" s="39"/>
    </row>
    <row r="36" spans="1:64" x14ac:dyDescent="0.35">
      <c r="A36" s="9168"/>
      <c r="B36" s="141" t="s">
        <v>514</v>
      </c>
      <c r="C36"/>
      <c r="D36" s="184"/>
      <c r="E36" s="143"/>
      <c r="F36" s="3652"/>
      <c r="G36" s="143"/>
      <c r="H36" s="1368"/>
      <c r="I36" s="103"/>
      <c r="J36" s="228"/>
      <c r="K36" s="143"/>
      <c r="L36" s="230"/>
      <c r="M36" s="49"/>
      <c r="N36" s="143"/>
      <c r="O36" s="230"/>
      <c r="P36" s="103"/>
      <c r="Q36" s="53" t="s">
        <v>5956</v>
      </c>
      <c r="R36" s="228"/>
      <c r="S36" s="143"/>
      <c r="T36" s="230"/>
      <c r="U36" s="53" t="s">
        <v>5956</v>
      </c>
      <c r="V36" s="49"/>
      <c r="W36" s="143"/>
      <c r="X36" s="230"/>
      <c r="Y36" s="103"/>
      <c r="Z36" s="53" t="s">
        <v>5956</v>
      </c>
      <c r="AA36" s="228"/>
      <c r="AB36" s="143"/>
      <c r="AC36" s="230"/>
      <c r="AD36" s="53" t="s">
        <v>5956</v>
      </c>
      <c r="AE36" s="49"/>
      <c r="AF36" s="143"/>
      <c r="AG36" s="230"/>
      <c r="AH36" s="103"/>
      <c r="AI36" s="53" t="s">
        <v>5956</v>
      </c>
      <c r="AJ36" s="228"/>
      <c r="AK36" s="143"/>
      <c r="AL36" s="230"/>
      <c r="AM36" s="53" t="s">
        <v>5956</v>
      </c>
      <c r="AN36" s="49"/>
      <c r="AO36" s="143"/>
      <c r="AP36" s="18"/>
      <c r="AR36" s="230"/>
      <c r="AS36" s="103"/>
      <c r="AT36" s="53"/>
      <c r="AU36" s="228"/>
      <c r="AV36" s="143"/>
      <c r="AW36" s="230"/>
      <c r="AX36" s="53"/>
      <c r="AY36" s="7503"/>
      <c r="BA36" s="18"/>
      <c r="BC36" s="230"/>
      <c r="BD36" s="103"/>
      <c r="BE36" s="53"/>
      <c r="BF36" s="228"/>
      <c r="BG36" s="143"/>
      <c r="BH36" s="230"/>
      <c r="BI36" s="53"/>
      <c r="BJ36" s="7503"/>
      <c r="BK36" s="8811"/>
      <c r="BL36" s="18"/>
    </row>
    <row r="37" spans="1:64" x14ac:dyDescent="0.35">
      <c r="A37" s="9168"/>
      <c r="B37" s="240"/>
      <c r="C37" s="7507" t="s">
        <v>5957</v>
      </c>
      <c r="D37" s="197"/>
      <c r="F37" s="111">
        <v>70175</v>
      </c>
      <c r="H37" s="242">
        <v>116384.454</v>
      </c>
      <c r="I37" s="243">
        <v>110865.34169</v>
      </c>
      <c r="J37" s="64">
        <f>IF(H37=0,0,I37/H37)</f>
        <v>0.95257861234628471</v>
      </c>
      <c r="L37" s="112">
        <v>103010.69</v>
      </c>
      <c r="M37" s="3272">
        <v>100378.25287</v>
      </c>
      <c r="O37" s="593"/>
      <c r="P37" s="233"/>
      <c r="Q37" s="57"/>
      <c r="R37" s="64"/>
      <c r="T37" s="112"/>
      <c r="U37" s="57"/>
      <c r="V37" s="637"/>
      <c r="X37" s="593"/>
      <c r="Y37" s="233"/>
      <c r="Z37" s="57"/>
      <c r="AA37" s="64"/>
      <c r="AC37" s="112"/>
      <c r="AD37" s="57"/>
      <c r="AE37" s="637"/>
      <c r="AG37" s="593"/>
      <c r="AH37" s="233"/>
      <c r="AI37" s="57"/>
      <c r="AJ37" s="64"/>
      <c r="AL37" s="112"/>
      <c r="AM37" s="57"/>
      <c r="AN37" s="637"/>
      <c r="AP37" s="257"/>
      <c r="AR37" s="593"/>
      <c r="AS37" s="233"/>
      <c r="AT37" s="57"/>
      <c r="AU37" s="64"/>
      <c r="AW37" s="112"/>
      <c r="AX37" s="57"/>
      <c r="AY37" s="637"/>
      <c r="BA37" s="257"/>
      <c r="BC37" s="593"/>
      <c r="BD37" s="233"/>
      <c r="BE37" s="57"/>
      <c r="BF37" s="64"/>
      <c r="BH37" s="112"/>
      <c r="BI37" s="57"/>
      <c r="BJ37" s="637"/>
      <c r="BK37" s="8811"/>
      <c r="BL37" s="4761" t="s">
        <v>5958</v>
      </c>
    </row>
    <row r="38" spans="1:64" x14ac:dyDescent="0.35">
      <c r="A38" s="9168"/>
      <c r="B38" s="240"/>
      <c r="C38" s="7508" t="s">
        <v>11</v>
      </c>
      <c r="D38" s="197"/>
      <c r="F38" s="163"/>
      <c r="H38" s="242"/>
      <c r="I38" s="243"/>
      <c r="J38" s="64"/>
      <c r="L38" s="242"/>
      <c r="M38" s="3272"/>
      <c r="O38" s="593">
        <f>103010.69-O39</f>
        <v>102263.69</v>
      </c>
      <c r="P38" s="642">
        <f>100378.25287-P39</f>
        <v>100314.78186999999</v>
      </c>
      <c r="Q38" s="106"/>
      <c r="R38" s="64"/>
      <c r="T38" s="112">
        <f>103489.066-T39</f>
        <v>102643.125</v>
      </c>
      <c r="U38" s="57"/>
      <c r="V38" s="637">
        <f>99434.413-V39</f>
        <v>99012.01</v>
      </c>
      <c r="X38" s="593">
        <f>103218.566-X39</f>
        <v>102372.625</v>
      </c>
      <c r="Y38" s="642">
        <f>99354.69117-Y39</f>
        <v>98932.287909999999</v>
      </c>
      <c r="Z38" s="106"/>
      <c r="AA38" s="64"/>
      <c r="AC38" s="112">
        <f>87594.435-AC39</f>
        <v>87290.604999999996</v>
      </c>
      <c r="AD38" s="57"/>
      <c r="AE38" s="637">
        <f>84212.691-AE39</f>
        <v>83929.753000000012</v>
      </c>
      <c r="AG38" s="593">
        <f>87594.435-AG39</f>
        <v>87290.604999999996</v>
      </c>
      <c r="AH38" s="642">
        <f>84212.691-AH39</f>
        <v>83929.753000000012</v>
      </c>
      <c r="AI38" s="106"/>
      <c r="AJ38" s="64"/>
      <c r="AL38" s="112">
        <f>76771.82-AL39+3210.961</f>
        <v>79829.781000000003</v>
      </c>
      <c r="AM38" s="57" t="s">
        <v>5959</v>
      </c>
      <c r="AN38" s="637">
        <f>73790.752-AN39+2588.267</f>
        <v>76229.253999999986</v>
      </c>
      <c r="AP38" s="26"/>
      <c r="AR38" s="593">
        <f>76771.82-AR39</f>
        <v>76618.820000000007</v>
      </c>
      <c r="AS38" s="642">
        <f>73762.861-AS39</f>
        <v>73613.097000000009</v>
      </c>
      <c r="AT38" s="106"/>
      <c r="AU38" s="64">
        <f t="shared" ref="AU38:AU44" si="14">AS38/AR38</f>
        <v>0.96077043473131019</v>
      </c>
      <c r="AW38" s="112">
        <f>82429.983-AW39</f>
        <v>82400.570999999996</v>
      </c>
      <c r="AX38" s="57"/>
      <c r="AY38" s="637">
        <f>78911.871-AY39</f>
        <v>78737.353999999992</v>
      </c>
      <c r="BA38" s="7504"/>
      <c r="BC38" s="593">
        <v>81989071</v>
      </c>
      <c r="BD38" s="642">
        <v>78737353.709999993</v>
      </c>
      <c r="BE38" s="106"/>
      <c r="BF38" s="64">
        <f t="shared" ref="BF38:BF52" si="15">BD38/BC38</f>
        <v>0.9603396251434535</v>
      </c>
      <c r="BH38" s="112">
        <v>75398047</v>
      </c>
      <c r="BI38" s="57"/>
      <c r="BJ38" s="637">
        <v>73766002.090000004</v>
      </c>
      <c r="BK38" s="8811">
        <f t="shared" si="1"/>
        <v>0.97835428137813707</v>
      </c>
      <c r="BL38" s="7504"/>
    </row>
    <row r="39" spans="1:64" x14ac:dyDescent="0.35">
      <c r="A39" s="9168"/>
      <c r="B39" s="241"/>
      <c r="C39" s="7508" t="s">
        <v>5960</v>
      </c>
      <c r="D39" s="197"/>
      <c r="F39" s="163"/>
      <c r="H39" s="242"/>
      <c r="I39" s="243"/>
      <c r="J39" s="64"/>
      <c r="L39" s="242"/>
      <c r="M39" s="3272"/>
      <c r="O39" s="593">
        <v>747</v>
      </c>
      <c r="P39" s="643">
        <v>63.470999999999997</v>
      </c>
      <c r="Q39" s="106"/>
      <c r="R39" s="64"/>
      <c r="T39" s="593">
        <v>845.94100000000003</v>
      </c>
      <c r="U39" s="106"/>
      <c r="V39" s="637">
        <v>422.40300000000002</v>
      </c>
      <c r="X39" s="593">
        <v>845.94100000000003</v>
      </c>
      <c r="Y39" s="643">
        <v>422.40325999999999</v>
      </c>
      <c r="Z39" s="106"/>
      <c r="AA39" s="64"/>
      <c r="AC39" s="593">
        <v>303.83</v>
      </c>
      <c r="AD39" s="106"/>
      <c r="AE39" s="637">
        <v>282.93799999999999</v>
      </c>
      <c r="AG39" s="593">
        <v>303.83</v>
      </c>
      <c r="AH39" s="643">
        <v>282.93799999999999</v>
      </c>
      <c r="AI39" s="106"/>
      <c r="AJ39" s="64"/>
      <c r="AL39" s="593">
        <v>153</v>
      </c>
      <c r="AM39" s="106"/>
      <c r="AN39" s="637">
        <v>149.76499999999999</v>
      </c>
      <c r="AP39" s="26"/>
      <c r="AR39" s="593">
        <v>153</v>
      </c>
      <c r="AS39" s="643">
        <v>149.76400000000001</v>
      </c>
      <c r="AT39" s="106"/>
      <c r="AU39" s="64">
        <f t="shared" si="14"/>
        <v>0.9788496732026144</v>
      </c>
      <c r="AW39" s="593">
        <f>29.412</f>
        <v>29.411999999999999</v>
      </c>
      <c r="AX39" s="106"/>
      <c r="AY39" s="637">
        <f>149.051+25.466</f>
        <v>174.517</v>
      </c>
      <c r="BA39" s="26"/>
      <c r="BC39" s="593">
        <v>440912</v>
      </c>
      <c r="BD39" s="643">
        <v>174518.06</v>
      </c>
      <c r="BE39" s="106"/>
      <c r="BF39" s="64">
        <f t="shared" si="15"/>
        <v>0.39581154516093914</v>
      </c>
      <c r="BH39" s="593">
        <v>253500</v>
      </c>
      <c r="BI39" s="106"/>
      <c r="BJ39" s="637">
        <v>214509.8</v>
      </c>
      <c r="BK39" s="8811">
        <f t="shared" si="1"/>
        <v>0.84619250493096643</v>
      </c>
      <c r="BL39" s="26"/>
    </row>
    <row r="40" spans="1:64" x14ac:dyDescent="0.35">
      <c r="A40" s="9168"/>
      <c r="B40" s="241"/>
      <c r="C40" s="7507" t="s">
        <v>5961</v>
      </c>
      <c r="D40" s="197"/>
      <c r="F40" s="163"/>
      <c r="H40" s="242"/>
      <c r="I40" s="243"/>
      <c r="J40" s="64"/>
      <c r="L40" s="242"/>
      <c r="M40" s="3272"/>
      <c r="O40" s="593"/>
      <c r="P40" s="642"/>
      <c r="Q40" s="106"/>
      <c r="R40" s="64"/>
      <c r="T40" s="593"/>
      <c r="U40" s="106"/>
      <c r="V40" s="637"/>
      <c r="X40" s="593"/>
      <c r="Y40" s="642"/>
      <c r="Z40" s="106"/>
      <c r="AA40" s="64"/>
      <c r="AC40" s="593"/>
      <c r="AD40" s="106"/>
      <c r="AE40" s="637"/>
      <c r="AG40" s="593"/>
      <c r="AH40" s="642"/>
      <c r="AI40" s="106"/>
      <c r="AJ40" s="64"/>
      <c r="AL40" s="593"/>
      <c r="AM40" s="106"/>
      <c r="AN40" s="637"/>
      <c r="AP40" s="26"/>
      <c r="AR40" s="593"/>
      <c r="AS40" s="642"/>
      <c r="AT40" s="106"/>
      <c r="AU40" s="64"/>
      <c r="AW40" s="593"/>
      <c r="AX40" s="106"/>
      <c r="AY40" s="637"/>
      <c r="BA40" s="26"/>
      <c r="BC40" s="593"/>
      <c r="BD40" s="642"/>
      <c r="BE40" s="106"/>
      <c r="BF40" s="64"/>
      <c r="BH40" s="593"/>
      <c r="BI40" s="106"/>
      <c r="BJ40" s="637"/>
      <c r="BK40" s="8811"/>
      <c r="BL40" s="26"/>
    </row>
    <row r="41" spans="1:64" x14ac:dyDescent="0.35">
      <c r="A41" s="9168"/>
      <c r="B41" s="241"/>
      <c r="C41" s="7508" t="s">
        <v>11</v>
      </c>
      <c r="D41" s="197"/>
      <c r="F41" s="163"/>
      <c r="H41" s="242"/>
      <c r="I41" s="243"/>
      <c r="J41" s="64"/>
      <c r="L41" s="242"/>
      <c r="M41" s="3272"/>
      <c r="O41" s="593"/>
      <c r="P41" s="642"/>
      <c r="Q41" s="106"/>
      <c r="R41" s="64"/>
      <c r="T41" s="593"/>
      <c r="U41" s="106"/>
      <c r="V41" s="637"/>
      <c r="X41" s="593"/>
      <c r="Y41" s="642"/>
      <c r="Z41" s="106"/>
      <c r="AA41" s="64"/>
      <c r="AC41" s="593"/>
      <c r="AD41" s="106"/>
      <c r="AE41" s="637"/>
      <c r="AG41" s="593"/>
      <c r="AH41" s="642"/>
      <c r="AI41" s="106"/>
      <c r="AJ41" s="64"/>
      <c r="AL41" s="593"/>
      <c r="AM41" s="106"/>
      <c r="AN41" s="637"/>
      <c r="AP41" s="26"/>
      <c r="AR41" s="593">
        <f>3210.961-AR42</f>
        <v>3210.9609999999998</v>
      </c>
      <c r="AS41" s="642">
        <f>2578.055-AS42</f>
        <v>2578.0549999999998</v>
      </c>
      <c r="AT41" s="106"/>
      <c r="AU41" s="64">
        <f t="shared" si="14"/>
        <v>0.80289203138873377</v>
      </c>
      <c r="AW41" s="593">
        <f>618.987+4661.634-AW42</f>
        <v>5280.6210000000001</v>
      </c>
      <c r="AX41" s="106"/>
      <c r="AY41" s="637">
        <f>546.899+3913.841-AY42</f>
        <v>4460.74</v>
      </c>
      <c r="BA41" s="26"/>
      <c r="BC41" s="593">
        <v>6148068</v>
      </c>
      <c r="BD41" s="642">
        <v>5056257.1399999997</v>
      </c>
      <c r="BE41" s="106"/>
      <c r="BF41" s="64">
        <f t="shared" si="15"/>
        <v>0.82241399086672429</v>
      </c>
      <c r="BH41" s="593">
        <v>5429323</v>
      </c>
      <c r="BI41" s="106"/>
      <c r="BJ41" s="637">
        <v>5017234.03</v>
      </c>
      <c r="BK41" s="8811">
        <f t="shared" si="1"/>
        <v>0.92409938218816601</v>
      </c>
      <c r="BL41" s="26"/>
    </row>
    <row r="42" spans="1:64" x14ac:dyDescent="0.35">
      <c r="A42" s="9168"/>
      <c r="B42" s="241"/>
      <c r="C42" s="7508" t="s">
        <v>5960</v>
      </c>
      <c r="D42" s="197"/>
      <c r="F42" s="163"/>
      <c r="H42" s="242"/>
      <c r="I42" s="243"/>
      <c r="J42" s="64"/>
      <c r="L42" s="242"/>
      <c r="M42" s="3272"/>
      <c r="O42" s="593"/>
      <c r="P42" s="642"/>
      <c r="Q42" s="106"/>
      <c r="R42" s="64"/>
      <c r="T42" s="593"/>
      <c r="U42" s="106"/>
      <c r="V42" s="637"/>
      <c r="X42" s="593"/>
      <c r="Y42" s="642"/>
      <c r="Z42" s="106"/>
      <c r="AA42" s="64"/>
      <c r="AC42" s="593"/>
      <c r="AD42" s="106"/>
      <c r="AE42" s="637"/>
      <c r="AG42" s="593"/>
      <c r="AH42" s="642"/>
      <c r="AI42" s="106"/>
      <c r="AJ42" s="64"/>
      <c r="AL42" s="593"/>
      <c r="AM42" s="106"/>
      <c r="AN42" s="637"/>
      <c r="AP42" s="26"/>
      <c r="AR42" s="593">
        <v>0</v>
      </c>
      <c r="AS42" s="642">
        <v>0</v>
      </c>
      <c r="AT42" s="106"/>
      <c r="AU42" s="64"/>
      <c r="AW42" s="593">
        <v>0</v>
      </c>
      <c r="AX42" s="106"/>
      <c r="AY42" s="637">
        <v>0</v>
      </c>
      <c r="BA42" s="26"/>
      <c r="BC42" s="593">
        <v>976542</v>
      </c>
      <c r="BD42" s="642">
        <v>755591</v>
      </c>
      <c r="BE42" s="106"/>
      <c r="BF42" s="64">
        <f t="shared" si="15"/>
        <v>0.77374142638002252</v>
      </c>
      <c r="BH42" s="593">
        <v>0</v>
      </c>
      <c r="BI42" s="106"/>
      <c r="BJ42" s="637">
        <v>0</v>
      </c>
      <c r="BK42" s="8811"/>
      <c r="BL42" s="26"/>
    </row>
    <row r="43" spans="1:64" x14ac:dyDescent="0.35">
      <c r="A43" s="9168"/>
      <c r="B43" s="241"/>
      <c r="C43" s="7507" t="s">
        <v>5962</v>
      </c>
      <c r="D43" s="197"/>
      <c r="F43" s="163"/>
      <c r="H43" s="242">
        <v>14890</v>
      </c>
      <c r="I43" s="243">
        <v>12429.549080000001</v>
      </c>
      <c r="J43" s="64">
        <f>IF(H43=0,0,I43/H43)</f>
        <v>0.83475816521155144</v>
      </c>
      <c r="L43" s="242">
        <v>13487.273999999999</v>
      </c>
      <c r="M43" s="3272">
        <v>12785.954400000001</v>
      </c>
      <c r="O43" s="595"/>
      <c r="P43" s="233"/>
      <c r="Q43" s="106"/>
      <c r="R43" s="64"/>
      <c r="T43" s="595"/>
      <c r="U43" s="106"/>
      <c r="V43" s="637"/>
      <c r="X43" s="595"/>
      <c r="Y43" s="233"/>
      <c r="Z43" s="106"/>
      <c r="AA43" s="64"/>
      <c r="AC43" s="595"/>
      <c r="AD43" s="106"/>
      <c r="AE43" s="637"/>
      <c r="AG43" s="595"/>
      <c r="AH43" s="233"/>
      <c r="AI43" s="106"/>
      <c r="AJ43" s="64"/>
      <c r="AL43" s="595"/>
      <c r="AM43" s="106"/>
      <c r="AN43" s="637"/>
      <c r="AP43" s="26"/>
      <c r="AR43" s="595"/>
      <c r="AS43" s="233"/>
      <c r="AT43" s="106"/>
      <c r="AU43" s="64"/>
      <c r="AW43" s="595"/>
      <c r="AX43" s="106"/>
      <c r="AY43" s="637"/>
      <c r="BA43" s="26"/>
      <c r="BC43" s="595"/>
      <c r="BD43" s="233"/>
      <c r="BE43" s="106"/>
      <c r="BF43" s="64"/>
      <c r="BH43" s="595"/>
      <c r="BI43" s="106"/>
      <c r="BJ43" s="637"/>
      <c r="BK43" s="8811"/>
      <c r="BL43" s="26"/>
    </row>
    <row r="44" spans="1:64" x14ac:dyDescent="0.35">
      <c r="A44" s="9168"/>
      <c r="B44" s="241"/>
      <c r="C44" s="7508" t="s">
        <v>11</v>
      </c>
      <c r="D44" s="197"/>
      <c r="F44" s="163"/>
      <c r="H44" s="242"/>
      <c r="I44" s="243"/>
      <c r="J44" s="64"/>
      <c r="L44" s="242"/>
      <c r="M44" s="3272"/>
      <c r="O44" s="1172">
        <f>13487.274-O45</f>
        <v>12787.273999999999</v>
      </c>
      <c r="P44" s="233">
        <f>12785.9544-P45</f>
        <v>12487.340400000001</v>
      </c>
      <c r="Q44" s="106"/>
      <c r="R44" s="64"/>
      <c r="T44" s="595">
        <f>11911.018-T45</f>
        <v>11826.215</v>
      </c>
      <c r="U44" s="106"/>
      <c r="V44" s="637">
        <f>11635.255-V45</f>
        <v>11553.376999999999</v>
      </c>
      <c r="X44" s="1172">
        <f>11911.018-X45</f>
        <v>11826.215</v>
      </c>
      <c r="Y44" s="233">
        <f>11635.069-Y45</f>
        <v>11553.25022</v>
      </c>
      <c r="Z44" s="106"/>
      <c r="AA44" s="64"/>
      <c r="AC44" s="595">
        <v>12050</v>
      </c>
      <c r="AD44" s="106"/>
      <c r="AE44" s="637">
        <v>11418.855</v>
      </c>
      <c r="AG44" s="1172">
        <v>12050</v>
      </c>
      <c r="AH44" s="233">
        <v>11418.855</v>
      </c>
      <c r="AI44" s="106"/>
      <c r="AJ44" s="64"/>
      <c r="AL44" s="595">
        <f>13033.406-AL45</f>
        <v>13033.406000000001</v>
      </c>
      <c r="AM44" s="106"/>
      <c r="AN44" s="637">
        <f>12799.622-AN45</f>
        <v>12799.621999999999</v>
      </c>
      <c r="AP44" s="26"/>
      <c r="AR44" s="1172">
        <f>13033.406-AR45</f>
        <v>13033.406000000001</v>
      </c>
      <c r="AS44" s="233">
        <f>12791.163-AS45</f>
        <v>12791.163</v>
      </c>
      <c r="AT44" s="106"/>
      <c r="AU44" s="64">
        <f t="shared" si="14"/>
        <v>0.98141368418968911</v>
      </c>
      <c r="AW44" s="595">
        <f>16649.56-AW45</f>
        <v>15749.560000000001</v>
      </c>
      <c r="AX44" s="313"/>
      <c r="AY44" s="637">
        <f>14838.919-AY45</f>
        <v>14703.205</v>
      </c>
      <c r="BA44" s="26"/>
      <c r="BC44" s="1172">
        <v>14289560</v>
      </c>
      <c r="BD44" s="233">
        <v>13572305.459999999</v>
      </c>
      <c r="BE44" s="106"/>
      <c r="BF44" s="64">
        <f t="shared" si="15"/>
        <v>0.94980569450703867</v>
      </c>
      <c r="BH44" s="595">
        <v>12546595</v>
      </c>
      <c r="BI44" s="313"/>
      <c r="BJ44" s="637">
        <v>12259054.809999999</v>
      </c>
      <c r="BK44" s="8811">
        <f t="shared" si="1"/>
        <v>0.97708221314229071</v>
      </c>
      <c r="BL44" s="26"/>
    </row>
    <row r="45" spans="1:64" x14ac:dyDescent="0.35">
      <c r="A45" s="9168"/>
      <c r="B45" s="241"/>
      <c r="C45" s="7508" t="s">
        <v>5960</v>
      </c>
      <c r="D45" s="197"/>
      <c r="F45" s="163"/>
      <c r="H45" s="242"/>
      <c r="I45" s="243"/>
      <c r="J45" s="64">
        <f>IF(H45=0,0,I45/H45)</f>
        <v>0</v>
      </c>
      <c r="L45" s="242"/>
      <c r="M45" s="3272">
        <f>L45*J45</f>
        <v>0</v>
      </c>
      <c r="O45" s="242">
        <v>700</v>
      </c>
      <c r="P45" s="201">
        <v>298.61399999999998</v>
      </c>
      <c r="Q45" s="106"/>
      <c r="R45" s="64"/>
      <c r="T45" s="242">
        <v>84.802999999999997</v>
      </c>
      <c r="U45" s="106"/>
      <c r="V45" s="637">
        <v>81.878</v>
      </c>
      <c r="X45" s="1172">
        <v>84.802999999999997</v>
      </c>
      <c r="Y45" s="643">
        <v>81.818780000000004</v>
      </c>
      <c r="Z45" s="106"/>
      <c r="AA45" s="64"/>
      <c r="AC45" s="242">
        <v>0</v>
      </c>
      <c r="AD45" s="106"/>
      <c r="AE45" s="637">
        <v>0</v>
      </c>
      <c r="AG45" s="1172">
        <v>0</v>
      </c>
      <c r="AH45" s="643">
        <v>0</v>
      </c>
      <c r="AI45" s="106"/>
      <c r="AJ45" s="64"/>
      <c r="AL45" s="242">
        <v>0</v>
      </c>
      <c r="AM45" s="106"/>
      <c r="AN45" s="637">
        <v>0</v>
      </c>
      <c r="AP45" s="26"/>
      <c r="AR45" s="1172">
        <v>0</v>
      </c>
      <c r="AS45" s="643">
        <v>0</v>
      </c>
      <c r="AT45" s="106"/>
      <c r="AU45" s="64"/>
      <c r="AW45" s="242">
        <v>900</v>
      </c>
      <c r="AX45" s="106"/>
      <c r="AY45" s="637">
        <v>135.714</v>
      </c>
      <c r="BA45" s="26"/>
      <c r="BC45" s="1172">
        <v>2360000</v>
      </c>
      <c r="BD45" s="643">
        <v>1266614.08</v>
      </c>
      <c r="BE45" s="106"/>
      <c r="BF45" s="64">
        <f t="shared" si="15"/>
        <v>0.53670088135593219</v>
      </c>
      <c r="BH45" s="242">
        <v>1500922</v>
      </c>
      <c r="BI45" s="106"/>
      <c r="BJ45" s="637">
        <v>658835.47</v>
      </c>
      <c r="BK45" s="8811">
        <f t="shared" si="1"/>
        <v>0.43895383637524132</v>
      </c>
      <c r="BL45" s="26"/>
    </row>
    <row r="46" spans="1:64" x14ac:dyDescent="0.35">
      <c r="A46" s="9168"/>
      <c r="B46" s="241"/>
      <c r="C46" s="7507" t="s">
        <v>5963</v>
      </c>
      <c r="D46" s="197"/>
      <c r="F46" s="163"/>
      <c r="H46" s="242"/>
      <c r="I46" s="243"/>
      <c r="J46" s="64"/>
      <c r="L46" s="242"/>
      <c r="M46" s="3272"/>
      <c r="O46" s="595"/>
      <c r="P46" s="233"/>
      <c r="Q46" s="106"/>
      <c r="R46" s="64"/>
      <c r="T46" s="595"/>
      <c r="U46" s="106"/>
      <c r="V46" s="637"/>
      <c r="X46" s="595"/>
      <c r="Y46" s="233"/>
      <c r="Z46" s="106"/>
      <c r="AA46" s="64"/>
      <c r="AC46" s="595"/>
      <c r="AD46" s="106"/>
      <c r="AE46" s="637"/>
      <c r="AG46" s="595"/>
      <c r="AH46" s="233"/>
      <c r="AI46" s="106"/>
      <c r="AJ46" s="64"/>
      <c r="AL46" s="595"/>
      <c r="AM46" s="106"/>
      <c r="AN46" s="637"/>
      <c r="AP46" s="26"/>
      <c r="AR46" s="595"/>
      <c r="AS46" s="233"/>
      <c r="AT46" s="106"/>
      <c r="AU46" s="64"/>
      <c r="AW46" s="595"/>
      <c r="AX46" s="106"/>
      <c r="AY46" s="637"/>
      <c r="BA46" s="26"/>
      <c r="BC46" s="595"/>
      <c r="BD46" s="233"/>
      <c r="BE46" s="106"/>
      <c r="BF46" s="64"/>
      <c r="BH46" s="595"/>
      <c r="BI46" s="106"/>
      <c r="BJ46" s="637"/>
      <c r="BK46" s="8811"/>
      <c r="BL46" s="26"/>
    </row>
    <row r="47" spans="1:64" x14ac:dyDescent="0.35">
      <c r="A47" s="9168"/>
      <c r="B47" s="241"/>
      <c r="C47" s="7508" t="s">
        <v>11</v>
      </c>
      <c r="D47" s="197"/>
      <c r="F47" s="163"/>
      <c r="H47" s="242"/>
      <c r="I47" s="243"/>
      <c r="J47" s="64"/>
      <c r="L47" s="242"/>
      <c r="M47" s="3272"/>
      <c r="O47" s="1172"/>
      <c r="P47" s="233"/>
      <c r="Q47" s="106"/>
      <c r="R47" s="64"/>
      <c r="T47" s="595"/>
      <c r="U47" s="106"/>
      <c r="V47" s="637"/>
      <c r="X47" s="1172"/>
      <c r="Y47" s="233"/>
      <c r="Z47" s="106"/>
      <c r="AA47" s="64"/>
      <c r="AC47" s="595"/>
      <c r="AD47" s="106"/>
      <c r="AE47" s="637"/>
      <c r="AG47" s="1172"/>
      <c r="AH47" s="233"/>
      <c r="AI47" s="106"/>
      <c r="AJ47" s="64"/>
      <c r="AL47" s="595"/>
      <c r="AM47" s="106"/>
      <c r="AN47" s="637"/>
      <c r="AP47" s="26"/>
      <c r="AR47" s="1172"/>
      <c r="AS47" s="233"/>
      <c r="AT47" s="106"/>
      <c r="AU47" s="64"/>
      <c r="AW47" s="595"/>
      <c r="AX47" s="313"/>
      <c r="AY47" s="637"/>
      <c r="BA47" s="26"/>
      <c r="BC47" s="1172">
        <v>5417747</v>
      </c>
      <c r="BD47" s="233">
        <v>4814196.54</v>
      </c>
      <c r="BE47" s="106"/>
      <c r="BF47" s="64">
        <f t="shared" si="15"/>
        <v>0.888597518488774</v>
      </c>
      <c r="BH47" s="595">
        <v>3731825</v>
      </c>
      <c r="BI47" s="313"/>
      <c r="BJ47" s="637">
        <v>3542303.79</v>
      </c>
      <c r="BK47" s="8811">
        <f t="shared" si="1"/>
        <v>0.94921487208001443</v>
      </c>
      <c r="BL47" s="26"/>
    </row>
    <row r="48" spans="1:64" x14ac:dyDescent="0.35">
      <c r="A48" s="9168"/>
      <c r="B48" s="241"/>
      <c r="C48" s="7508" t="s">
        <v>5960</v>
      </c>
      <c r="D48" s="197"/>
      <c r="F48" s="163"/>
      <c r="H48" s="242"/>
      <c r="I48" s="243"/>
      <c r="J48" s="64"/>
      <c r="L48" s="242"/>
      <c r="M48" s="3272"/>
      <c r="O48" s="242"/>
      <c r="P48" s="201"/>
      <c r="Q48" s="106"/>
      <c r="R48" s="64"/>
      <c r="T48" s="242"/>
      <c r="U48" s="106"/>
      <c r="V48" s="637"/>
      <c r="X48" s="1172"/>
      <c r="Y48" s="643"/>
      <c r="Z48" s="106"/>
      <c r="AA48" s="64"/>
      <c r="AC48" s="242"/>
      <c r="AD48" s="106"/>
      <c r="AE48" s="637"/>
      <c r="AG48" s="1172"/>
      <c r="AH48" s="643"/>
      <c r="AI48" s="106"/>
      <c r="AJ48" s="64"/>
      <c r="AL48" s="242"/>
      <c r="AM48" s="106"/>
      <c r="AN48" s="637"/>
      <c r="AP48" s="26"/>
      <c r="AR48" s="1172"/>
      <c r="AS48" s="643"/>
      <c r="AT48" s="106"/>
      <c r="AU48" s="64"/>
      <c r="AW48" s="242"/>
      <c r="AX48" s="106"/>
      <c r="AY48" s="637"/>
      <c r="BA48" s="26"/>
      <c r="BC48" s="1172">
        <v>210000</v>
      </c>
      <c r="BD48" s="643">
        <v>45530.2</v>
      </c>
      <c r="BE48" s="106"/>
      <c r="BF48" s="64">
        <f t="shared" si="15"/>
        <v>0.21681047619047616</v>
      </c>
      <c r="BH48" s="242">
        <v>198000</v>
      </c>
      <c r="BI48" s="106"/>
      <c r="BJ48" s="637">
        <v>197068</v>
      </c>
      <c r="BK48" s="8811">
        <f t="shared" si="1"/>
        <v>0.99529292929292934</v>
      </c>
      <c r="BL48" s="26"/>
    </row>
    <row r="49" spans="1:64" x14ac:dyDescent="0.35">
      <c r="A49" s="9168"/>
      <c r="B49" s="141" t="s">
        <v>531</v>
      </c>
      <c r="C49"/>
      <c r="D49" s="197"/>
      <c r="E49" s="143"/>
      <c r="F49" s="168"/>
      <c r="G49" s="143"/>
      <c r="H49" s="245"/>
      <c r="I49" s="106"/>
      <c r="J49" s="246"/>
      <c r="K49" s="143"/>
      <c r="L49" s="245"/>
      <c r="M49" s="66"/>
      <c r="N49" s="143"/>
      <c r="O49" s="245"/>
      <c r="P49" s="106"/>
      <c r="Q49" s="106"/>
      <c r="R49" s="246"/>
      <c r="S49" s="143"/>
      <c r="T49" s="245"/>
      <c r="U49" s="106"/>
      <c r="V49" s="236"/>
      <c r="W49" s="143"/>
      <c r="X49" s="245"/>
      <c r="Y49" s="106"/>
      <c r="Z49" s="106"/>
      <c r="AA49" s="246"/>
      <c r="AB49" s="143"/>
      <c r="AC49" s="245"/>
      <c r="AD49" s="106"/>
      <c r="AE49" s="236"/>
      <c r="AF49" s="143"/>
      <c r="AG49" s="245"/>
      <c r="AH49" s="106"/>
      <c r="AI49" s="106"/>
      <c r="AJ49" s="246"/>
      <c r="AK49" s="143"/>
      <c r="AL49" s="245"/>
      <c r="AM49" s="106"/>
      <c r="AN49" s="236"/>
      <c r="AO49" s="143"/>
      <c r="AP49" s="26"/>
      <c r="AR49" s="245"/>
      <c r="AS49" s="106"/>
      <c r="AT49" s="106"/>
      <c r="AU49" s="246"/>
      <c r="AV49" s="143"/>
      <c r="AW49" s="245"/>
      <c r="AX49" s="106"/>
      <c r="AY49" s="236"/>
      <c r="BA49" s="26"/>
      <c r="BC49" s="245"/>
      <c r="BD49" s="106"/>
      <c r="BE49" s="106"/>
      <c r="BF49" s="64"/>
      <c r="BG49" s="143"/>
      <c r="BH49" s="245"/>
      <c r="BI49" s="106"/>
      <c r="BJ49" s="236"/>
      <c r="BK49" s="8811"/>
      <c r="BL49" s="26"/>
    </row>
    <row r="50" spans="1:64" x14ac:dyDescent="0.35">
      <c r="A50" s="9168"/>
      <c r="B50" s="240"/>
      <c r="C50" s="7330" t="s">
        <v>5964</v>
      </c>
      <c r="D50" s="197">
        <v>3</v>
      </c>
      <c r="F50" s="155">
        <v>845</v>
      </c>
      <c r="H50" s="112">
        <v>0</v>
      </c>
      <c r="I50" s="113">
        <v>0</v>
      </c>
      <c r="J50" s="64">
        <f>IF(H50=0,0,I50/H50)</f>
        <v>0</v>
      </c>
      <c r="L50" s="112">
        <v>0</v>
      </c>
      <c r="M50" s="3254">
        <v>0</v>
      </c>
      <c r="O50" s="248"/>
      <c r="P50" s="233"/>
      <c r="Q50" s="106"/>
      <c r="R50" s="64"/>
      <c r="T50" s="112"/>
      <c r="U50" s="106"/>
      <c r="V50" s="646"/>
      <c r="X50" s="248"/>
      <c r="Y50" s="233"/>
      <c r="Z50" s="106"/>
      <c r="AA50" s="64"/>
      <c r="AC50" s="112"/>
      <c r="AD50" s="106"/>
      <c r="AE50" s="646"/>
      <c r="AG50" s="248"/>
      <c r="AH50" s="233"/>
      <c r="AI50" s="106"/>
      <c r="AJ50" s="64"/>
      <c r="AL50" s="112"/>
      <c r="AM50" s="106"/>
      <c r="AN50" s="646"/>
      <c r="AP50" s="26" t="s">
        <v>5965</v>
      </c>
      <c r="AR50" s="248"/>
      <c r="AS50" s="233"/>
      <c r="AT50" s="106"/>
      <c r="AU50" s="64"/>
      <c r="AW50" s="8821" t="s">
        <v>5965</v>
      </c>
      <c r="AX50" s="106"/>
      <c r="AY50" s="646"/>
      <c r="BA50" s="26"/>
      <c r="BC50" s="8816" t="s">
        <v>5965</v>
      </c>
      <c r="BD50" s="233"/>
      <c r="BE50" s="106"/>
      <c r="BF50" s="64"/>
      <c r="BH50" s="8816" t="s">
        <v>5965</v>
      </c>
      <c r="BI50" s="106"/>
      <c r="BJ50" s="646"/>
      <c r="BK50" s="8811"/>
      <c r="BL50" s="26"/>
    </row>
    <row r="51" spans="1:64" ht="15.75" customHeight="1" x14ac:dyDescent="0.35">
      <c r="A51" s="9168"/>
      <c r="B51" s="240"/>
      <c r="C51" s="7508" t="s">
        <v>11</v>
      </c>
      <c r="D51" s="197"/>
      <c r="F51" s="155"/>
      <c r="H51" s="117"/>
      <c r="I51" s="115"/>
      <c r="J51" s="64">
        <f>IF(H51=0,0,I51/H51)</f>
        <v>0</v>
      </c>
      <c r="L51" s="117"/>
      <c r="M51" s="3265">
        <f>L51*J51</f>
        <v>0</v>
      </c>
      <c r="O51" s="200"/>
      <c r="P51" s="201"/>
      <c r="Q51" s="106"/>
      <c r="R51" s="64"/>
      <c r="T51" s="117"/>
      <c r="U51" s="106"/>
      <c r="V51" s="648"/>
      <c r="X51" s="200"/>
      <c r="Y51" s="201"/>
      <c r="Z51" s="106"/>
      <c r="AA51" s="64"/>
      <c r="AC51" s="117"/>
      <c r="AD51" s="106"/>
      <c r="AE51" s="648"/>
      <c r="AG51" s="200"/>
      <c r="AH51" s="201"/>
      <c r="AI51" s="106"/>
      <c r="AJ51" s="64"/>
      <c r="AL51" s="117"/>
      <c r="AM51" s="106"/>
      <c r="AN51" s="648"/>
      <c r="AP51" s="26"/>
      <c r="AR51" s="200">
        <v>409.98899999999998</v>
      </c>
      <c r="AS51" s="233">
        <v>384.12630000000001</v>
      </c>
      <c r="AT51" s="106"/>
      <c r="AU51" s="64"/>
      <c r="AW51" s="117">
        <v>1566.539</v>
      </c>
      <c r="AX51" s="106"/>
      <c r="AY51" s="648">
        <v>1255.5373500000001</v>
      </c>
      <c r="BA51" s="26"/>
      <c r="BC51" s="200">
        <v>1566539</v>
      </c>
      <c r="BD51" s="201">
        <v>1255537.3500000001</v>
      </c>
      <c r="BE51" s="106"/>
      <c r="BF51" s="64">
        <f t="shared" si="15"/>
        <v>0.80147213060128097</v>
      </c>
      <c r="BH51" s="117">
        <v>1136525</v>
      </c>
      <c r="BI51" s="106"/>
      <c r="BJ51" s="648">
        <v>1080929.4099999999</v>
      </c>
      <c r="BK51" s="8811">
        <f t="shared" si="1"/>
        <v>0.9510828270385604</v>
      </c>
      <c r="BL51" s="26"/>
    </row>
    <row r="52" spans="1:64" x14ac:dyDescent="0.35">
      <c r="A52" s="9168"/>
      <c r="B52" s="250"/>
      <c r="C52" s="7508" t="s">
        <v>5960</v>
      </c>
      <c r="D52" s="209"/>
      <c r="F52" s="130"/>
      <c r="H52" s="242"/>
      <c r="I52" s="243"/>
      <c r="J52" s="64">
        <f>IF(H52=0,0,I52/H52)</f>
        <v>0</v>
      </c>
      <c r="L52" s="131"/>
      <c r="M52" s="3264">
        <f>L52*J52</f>
        <v>0</v>
      </c>
      <c r="O52" s="164"/>
      <c r="P52" s="215"/>
      <c r="Q52" s="216"/>
      <c r="R52" s="64"/>
      <c r="T52" s="131"/>
      <c r="U52" s="216"/>
      <c r="V52" s="650"/>
      <c r="X52" s="164"/>
      <c r="Y52" s="215"/>
      <c r="Z52" s="216"/>
      <c r="AA52" s="64"/>
      <c r="AC52" s="131"/>
      <c r="AD52" s="216"/>
      <c r="AE52" s="650"/>
      <c r="AG52" s="164"/>
      <c r="AH52" s="215"/>
      <c r="AI52" s="216"/>
      <c r="AJ52" s="64"/>
      <c r="AL52" s="131"/>
      <c r="AM52" s="216"/>
      <c r="AN52" s="650"/>
      <c r="AP52" s="24"/>
      <c r="AR52" s="164">
        <v>454.74299999999999</v>
      </c>
      <c r="AS52" s="233">
        <v>373.97098</v>
      </c>
      <c r="AT52" s="216"/>
      <c r="AU52" s="64"/>
      <c r="AW52" s="131">
        <v>277.45</v>
      </c>
      <c r="AX52" s="216"/>
      <c r="AY52" s="650">
        <v>95.57</v>
      </c>
      <c r="BA52" s="24"/>
      <c r="BC52" s="164">
        <v>277450</v>
      </c>
      <c r="BD52" s="215">
        <v>95570</v>
      </c>
      <c r="BE52" s="216"/>
      <c r="BF52" s="64">
        <f t="shared" si="15"/>
        <v>0.3444584609839611</v>
      </c>
      <c r="BH52" s="131">
        <v>0</v>
      </c>
      <c r="BI52" s="216"/>
      <c r="BJ52" s="650">
        <v>0</v>
      </c>
      <c r="BK52" s="8811"/>
      <c r="BL52" s="24"/>
    </row>
    <row r="53" spans="1:64" x14ac:dyDescent="0.35">
      <c r="A53" s="9168"/>
      <c r="B53" s="141" t="s">
        <v>535</v>
      </c>
      <c r="C53" s="141"/>
      <c r="D53" s="197"/>
      <c r="E53" s="143"/>
      <c r="F53" s="227"/>
      <c r="G53" s="143"/>
      <c r="H53" s="102"/>
      <c r="I53" s="103"/>
      <c r="J53" s="252"/>
      <c r="K53" s="143"/>
      <c r="L53" s="245"/>
      <c r="M53" s="247"/>
      <c r="N53" s="143"/>
      <c r="O53" s="102"/>
      <c r="P53" s="103"/>
      <c r="Q53" s="53" t="s">
        <v>5956</v>
      </c>
      <c r="R53" s="252"/>
      <c r="S53" s="143"/>
      <c r="T53" s="245"/>
      <c r="U53" s="53" t="s">
        <v>5956</v>
      </c>
      <c r="V53" s="247"/>
      <c r="W53" s="143"/>
      <c r="X53" s="102"/>
      <c r="Y53" s="103"/>
      <c r="Z53" s="53" t="s">
        <v>5956</v>
      </c>
      <c r="AA53" s="252"/>
      <c r="AB53" s="143"/>
      <c r="AC53" s="245"/>
      <c r="AD53" s="53" t="s">
        <v>5956</v>
      </c>
      <c r="AE53" s="247"/>
      <c r="AF53" s="143"/>
      <c r="AG53" s="102"/>
      <c r="AH53" s="103"/>
      <c r="AI53" s="53" t="s">
        <v>5956</v>
      </c>
      <c r="AJ53" s="252"/>
      <c r="AK53" s="143"/>
      <c r="AL53" s="245"/>
      <c r="AM53" s="53" t="s">
        <v>5956</v>
      </c>
      <c r="AN53" s="247"/>
      <c r="AO53" s="143"/>
      <c r="AP53" s="26"/>
      <c r="AR53" s="102"/>
      <c r="AS53" s="103"/>
      <c r="AT53" s="53"/>
      <c r="AU53" s="252"/>
      <c r="AV53" s="143"/>
      <c r="AW53" s="245"/>
      <c r="AX53" s="53"/>
      <c r="AY53" s="247"/>
      <c r="BA53" s="26"/>
      <c r="BC53" s="102"/>
      <c r="BD53" s="103"/>
      <c r="BE53" s="53"/>
      <c r="BF53" s="252"/>
      <c r="BG53" s="143"/>
      <c r="BH53" s="245"/>
      <c r="BI53" s="53"/>
      <c r="BJ53" s="247"/>
      <c r="BK53" s="8811"/>
      <c r="BL53" s="26"/>
    </row>
    <row r="54" spans="1:64" ht="72.5" x14ac:dyDescent="0.35">
      <c r="A54" s="9168"/>
      <c r="B54" s="240"/>
      <c r="C54" s="240" t="s">
        <v>5966</v>
      </c>
      <c r="D54" s="197">
        <v>4</v>
      </c>
      <c r="F54" s="111">
        <v>1074</v>
      </c>
      <c r="H54" s="112">
        <v>955.7</v>
      </c>
      <c r="I54" s="113">
        <v>944.3</v>
      </c>
      <c r="J54" s="64">
        <f t="shared" ref="J54:J62" si="16">IF(H54=0,0,I54/H54)</f>
        <v>0.98807157057654071</v>
      </c>
      <c r="L54" s="112">
        <v>1269.587</v>
      </c>
      <c r="M54" s="4032">
        <f>1198.38196</f>
        <v>1198.3819599999999</v>
      </c>
      <c r="O54" s="117">
        <v>1269.587</v>
      </c>
      <c r="P54" s="233">
        <v>1198.3810000000001</v>
      </c>
      <c r="Q54" s="106"/>
      <c r="R54" s="64"/>
      <c r="T54" s="112">
        <v>689.5</v>
      </c>
      <c r="U54" s="106"/>
      <c r="V54" s="611">
        <v>665.98500000000001</v>
      </c>
      <c r="X54" s="595">
        <v>689.5</v>
      </c>
      <c r="Y54" s="642">
        <v>665.98500000000001</v>
      </c>
      <c r="Z54" s="645"/>
      <c r="AA54" s="1274"/>
      <c r="AB54" s="1270"/>
      <c r="AC54" s="593">
        <v>620.26700000000005</v>
      </c>
      <c r="AD54" s="645"/>
      <c r="AE54" s="4032">
        <v>613.42200000000003</v>
      </c>
      <c r="AG54" s="595">
        <v>620.26700000000005</v>
      </c>
      <c r="AH54" s="642">
        <v>613.42200000000003</v>
      </c>
      <c r="AI54" s="645"/>
      <c r="AJ54" s="1274"/>
      <c r="AK54" s="1270"/>
      <c r="AL54" s="593"/>
      <c r="AM54" s="645"/>
      <c r="AN54" s="4032">
        <v>613.42200000000003</v>
      </c>
      <c r="AP54" s="257" t="s">
        <v>5967</v>
      </c>
      <c r="AR54" s="595">
        <v>264.48700000000002</v>
      </c>
      <c r="AS54" s="642">
        <v>254.22499999999999</v>
      </c>
      <c r="AT54" s="645" t="s">
        <v>5967</v>
      </c>
      <c r="AU54" s="64">
        <f t="shared" ref="AU54:AU71" si="17">AS54/AR54</f>
        <v>0.9612003614544381</v>
      </c>
      <c r="AV54" s="1270"/>
      <c r="AW54" s="593">
        <v>366.30099999999999</v>
      </c>
      <c r="AX54" s="1256" t="s">
        <v>5967</v>
      </c>
      <c r="AY54" s="4032">
        <v>300.887</v>
      </c>
      <c r="BA54" s="257"/>
      <c r="BC54" s="2789">
        <v>366301</v>
      </c>
      <c r="BD54" s="8817">
        <v>300887.44</v>
      </c>
      <c r="BE54" s="4792"/>
      <c r="BF54" s="64"/>
      <c r="BG54" s="1270"/>
      <c r="BH54" s="593">
        <v>285918</v>
      </c>
      <c r="BI54" s="1256"/>
      <c r="BJ54" s="640">
        <v>280321.43</v>
      </c>
      <c r="BK54" s="8811">
        <f t="shared" si="1"/>
        <v>0.98042596128960047</v>
      </c>
      <c r="BL54" s="257"/>
    </row>
    <row r="55" spans="1:64" x14ac:dyDescent="0.35">
      <c r="A55" s="9168"/>
      <c r="B55" s="240"/>
      <c r="C55" s="240" t="s">
        <v>5968</v>
      </c>
      <c r="D55" s="197">
        <v>5</v>
      </c>
      <c r="F55" s="155">
        <v>203</v>
      </c>
      <c r="H55" s="117">
        <v>158.65799999999999</v>
      </c>
      <c r="I55" s="115">
        <v>140.905</v>
      </c>
      <c r="J55" s="64">
        <f t="shared" si="16"/>
        <v>0.88810523263875762</v>
      </c>
      <c r="L55" s="117">
        <v>177</v>
      </c>
      <c r="M55" s="4032">
        <v>143.98944</v>
      </c>
      <c r="O55" s="117">
        <v>177</v>
      </c>
      <c r="P55" s="201">
        <v>143.98944</v>
      </c>
      <c r="Q55" s="57" t="s">
        <v>5969</v>
      </c>
      <c r="R55" s="64"/>
      <c r="T55" s="112">
        <v>193.9</v>
      </c>
      <c r="U55" s="57" t="s">
        <v>5969</v>
      </c>
      <c r="V55" s="611">
        <v>169.6</v>
      </c>
      <c r="X55" s="595">
        <v>193.9</v>
      </c>
      <c r="Y55" s="643">
        <v>169.6</v>
      </c>
      <c r="Z55" s="1161" t="s">
        <v>5969</v>
      </c>
      <c r="AA55" s="1274"/>
      <c r="AB55" s="1270"/>
      <c r="AC55" s="593">
        <v>225</v>
      </c>
      <c r="AD55" s="1161" t="s">
        <v>5969</v>
      </c>
      <c r="AE55" s="4032">
        <v>128.35298</v>
      </c>
      <c r="AG55" s="595">
        <v>225</v>
      </c>
      <c r="AH55" s="643">
        <v>128.35298</v>
      </c>
      <c r="AI55" s="1161" t="s">
        <v>5969</v>
      </c>
      <c r="AJ55" s="1274"/>
      <c r="AK55" s="1270"/>
      <c r="AL55" s="593">
        <v>199.18600000000001</v>
      </c>
      <c r="AM55" s="1161" t="s">
        <v>5969</v>
      </c>
      <c r="AN55" s="4032">
        <v>173.63900000000001</v>
      </c>
      <c r="AP55" s="26" t="s">
        <v>5970</v>
      </c>
      <c r="AR55" s="595">
        <v>199.18600000000001</v>
      </c>
      <c r="AS55" s="643">
        <v>173.88900000000001</v>
      </c>
      <c r="AT55" s="1161" t="s">
        <v>5970</v>
      </c>
      <c r="AU55" s="64">
        <f t="shared" si="17"/>
        <v>0.8729981022762644</v>
      </c>
      <c r="AV55" s="1270"/>
      <c r="AW55" s="593">
        <v>203.04599999999999</v>
      </c>
      <c r="AX55" s="1161" t="s">
        <v>5970</v>
      </c>
      <c r="AY55" s="4032">
        <v>127.18</v>
      </c>
      <c r="BA55" s="26"/>
      <c r="BC55" s="595">
        <v>154266</v>
      </c>
      <c r="BD55" s="643">
        <v>102890.31</v>
      </c>
      <c r="BE55" s="1161"/>
      <c r="BF55" s="64">
        <f t="shared" ref="BF55:BF57" si="18">BD55/BC55</f>
        <v>0.66696686243242187</v>
      </c>
      <c r="BG55" s="1270"/>
      <c r="BH55" s="593">
        <v>128156</v>
      </c>
      <c r="BI55" s="1256"/>
      <c r="BJ55" s="637">
        <v>125954</v>
      </c>
      <c r="BK55" s="8811">
        <f t="shared" si="1"/>
        <v>0.98281781578700955</v>
      </c>
      <c r="BL55" s="26"/>
    </row>
    <row r="56" spans="1:64" x14ac:dyDescent="0.35">
      <c r="A56" s="9168"/>
      <c r="B56" s="240"/>
      <c r="C56" s="240" t="s">
        <v>5971</v>
      </c>
      <c r="D56" s="197">
        <v>6</v>
      </c>
      <c r="F56" s="155">
        <v>251</v>
      </c>
      <c r="H56" s="4021"/>
      <c r="I56" s="4022"/>
      <c r="J56" s="64">
        <f t="shared" si="16"/>
        <v>0</v>
      </c>
      <c r="L56" s="4021"/>
      <c r="M56" s="4033"/>
      <c r="O56" s="4021"/>
      <c r="P56" s="4034"/>
      <c r="Q56" s="106"/>
      <c r="R56" s="64"/>
      <c r="T56" s="112">
        <v>448</v>
      </c>
      <c r="U56" s="106"/>
      <c r="V56" s="611">
        <v>349.84500000000003</v>
      </c>
      <c r="X56" s="595">
        <v>448</v>
      </c>
      <c r="Y56" s="642">
        <v>350.73599999999999</v>
      </c>
      <c r="Z56" s="645"/>
      <c r="AA56" s="1274"/>
      <c r="AB56" s="1270"/>
      <c r="AC56" s="593">
        <v>396</v>
      </c>
      <c r="AD56" s="645"/>
      <c r="AE56" s="4032">
        <v>342.05597</v>
      </c>
      <c r="AG56" s="595">
        <v>396</v>
      </c>
      <c r="AH56" s="642">
        <v>342.05597</v>
      </c>
      <c r="AI56" s="645"/>
      <c r="AJ56" s="1274"/>
      <c r="AK56" s="1270"/>
      <c r="AL56" s="593">
        <v>472.13600000000002</v>
      </c>
      <c r="AM56" s="645"/>
      <c r="AN56" s="4032">
        <v>446.74700000000001</v>
      </c>
      <c r="AP56" s="26" t="s">
        <v>5972</v>
      </c>
      <c r="AR56" s="595">
        <v>472.13600000000002</v>
      </c>
      <c r="AS56" s="642">
        <v>446.74700000000001</v>
      </c>
      <c r="AT56" s="645" t="s">
        <v>5972</v>
      </c>
      <c r="AU56" s="64">
        <f t="shared" si="17"/>
        <v>0.9462252401850314</v>
      </c>
      <c r="AV56" s="1270"/>
      <c r="AW56" s="593">
        <v>1132.58</v>
      </c>
      <c r="AX56" s="1256" t="s">
        <v>5972</v>
      </c>
      <c r="AY56" s="4032">
        <v>1019.779</v>
      </c>
      <c r="BA56" s="26"/>
      <c r="BC56" s="595">
        <v>1132580</v>
      </c>
      <c r="BD56" s="642">
        <v>1019779.11</v>
      </c>
      <c r="BE56" s="645"/>
      <c r="BF56" s="64">
        <f t="shared" si="18"/>
        <v>0.9004036006286531</v>
      </c>
      <c r="BG56" s="1270"/>
      <c r="BH56" s="593">
        <v>555291</v>
      </c>
      <c r="BI56" s="1256"/>
      <c r="BJ56" s="637">
        <v>470816.79</v>
      </c>
      <c r="BK56" s="8811">
        <f t="shared" si="1"/>
        <v>0.84787397958908028</v>
      </c>
      <c r="BL56" s="26"/>
    </row>
    <row r="57" spans="1:64" x14ac:dyDescent="0.35">
      <c r="A57" s="9168"/>
      <c r="B57" s="240"/>
      <c r="C57" s="240" t="s">
        <v>5973</v>
      </c>
      <c r="D57" s="197">
        <v>7</v>
      </c>
      <c r="F57" s="155">
        <v>11685</v>
      </c>
      <c r="H57" s="117">
        <f>13535.531+7001.559+2344.5</f>
        <v>22881.59</v>
      </c>
      <c r="I57" s="115">
        <f>13.1403014+4.335+6231.45234+2254.8352</f>
        <v>8503.7628413999992</v>
      </c>
      <c r="J57" s="64">
        <f t="shared" si="16"/>
        <v>0.37164212982576816</v>
      </c>
      <c r="L57" s="117">
        <f>10466.284+5573.252</f>
        <v>16039.536</v>
      </c>
      <c r="M57" s="4032">
        <f>5573.252+142.266+4912.05026</f>
        <v>10627.56826</v>
      </c>
      <c r="O57" s="117">
        <f>10466.284+5573.252</f>
        <v>16039.536</v>
      </c>
      <c r="P57" s="258">
        <f>8732.372+142.266+4912.05-0.3</f>
        <v>13786.387999999999</v>
      </c>
      <c r="Q57" s="57" t="s">
        <v>5974</v>
      </c>
      <c r="R57" s="64"/>
      <c r="T57" s="112">
        <v>15564.003000000001</v>
      </c>
      <c r="U57" s="57" t="s">
        <v>5974</v>
      </c>
      <c r="V57" s="611">
        <v>13836.303</v>
      </c>
      <c r="X57" s="595">
        <v>15564.003000000001</v>
      </c>
      <c r="Y57" s="258">
        <v>13834.848</v>
      </c>
      <c r="Z57" s="1161" t="s">
        <v>5974</v>
      </c>
      <c r="AA57" s="1274"/>
      <c r="AB57" s="1270"/>
      <c r="AC57" s="593">
        <v>13778.843000000001</v>
      </c>
      <c r="AD57" s="1161" t="s">
        <v>5974</v>
      </c>
      <c r="AE57" s="4032">
        <v>13009.70623</v>
      </c>
      <c r="AG57" s="595">
        <v>13778.843000000001</v>
      </c>
      <c r="AH57" s="258">
        <v>13009.70623</v>
      </c>
      <c r="AI57" s="1161" t="s">
        <v>5974</v>
      </c>
      <c r="AJ57" s="1274"/>
      <c r="AK57" s="1270"/>
      <c r="AL57" s="593">
        <v>15794.416999999999</v>
      </c>
      <c r="AM57" s="1161" t="s">
        <v>5975</v>
      </c>
      <c r="AN57" s="4032">
        <v>13926.986000000001</v>
      </c>
      <c r="AP57" s="26" t="s">
        <v>5976</v>
      </c>
      <c r="AR57" s="595">
        <v>15794.416999999999</v>
      </c>
      <c r="AS57" s="258">
        <v>14496.066000000001</v>
      </c>
      <c r="AT57" s="1161" t="s">
        <v>5976</v>
      </c>
      <c r="AU57" s="64">
        <f t="shared" si="17"/>
        <v>0.9177968392248983</v>
      </c>
      <c r="AV57" s="1270"/>
      <c r="AW57" s="593">
        <v>20000</v>
      </c>
      <c r="AX57" s="26" t="s">
        <v>5976</v>
      </c>
      <c r="AY57" s="4032">
        <v>17732.075000000001</v>
      </c>
      <c r="BA57" s="26"/>
      <c r="BC57" s="595">
        <v>20000000</v>
      </c>
      <c r="BD57" s="642">
        <v>17732075.079999998</v>
      </c>
      <c r="BE57" s="1161"/>
      <c r="BF57" s="64">
        <f t="shared" si="18"/>
        <v>0.88660375399999991</v>
      </c>
      <c r="BG57" s="1270"/>
      <c r="BH57" s="593">
        <v>10731984</v>
      </c>
      <c r="BI57" s="1256"/>
      <c r="BJ57" s="637">
        <v>8849610.3800000008</v>
      </c>
      <c r="BK57" s="8811">
        <f t="shared" si="1"/>
        <v>0.82460152568248335</v>
      </c>
      <c r="BL57" s="26"/>
    </row>
    <row r="58" spans="1:64" x14ac:dyDescent="0.35">
      <c r="A58" s="9168"/>
      <c r="B58" s="240"/>
      <c r="C58" s="240" t="s">
        <v>5973</v>
      </c>
      <c r="D58" s="197">
        <v>8</v>
      </c>
      <c r="F58" s="155">
        <v>259</v>
      </c>
      <c r="H58" s="117">
        <f>3707.7+701.8</f>
        <v>4409.5</v>
      </c>
      <c r="I58" s="115">
        <f>2081.59555+567.93165</f>
        <v>2649.5272</v>
      </c>
      <c r="J58" s="64">
        <f t="shared" si="16"/>
        <v>0.6008679442113618</v>
      </c>
      <c r="L58" s="117">
        <f>4063.877+70</f>
        <v>4133.8770000000004</v>
      </c>
      <c r="M58" s="4032">
        <f>2699.23288+38.836</f>
        <v>2738.0688799999998</v>
      </c>
      <c r="O58" s="117">
        <f>4063.877+70</f>
        <v>4133.8770000000004</v>
      </c>
      <c r="P58" s="260">
        <f>2699.232+38.836</f>
        <v>2738.0679999999998</v>
      </c>
      <c r="Q58" t="s">
        <v>5977</v>
      </c>
      <c r="R58" s="64"/>
      <c r="T58" s="112">
        <v>5827.7290000000003</v>
      </c>
      <c r="U58" t="s">
        <v>5978</v>
      </c>
      <c r="V58" s="611">
        <v>4437.192</v>
      </c>
      <c r="X58" s="595">
        <v>5827.7290000000003</v>
      </c>
      <c r="Y58" s="260">
        <v>4437.192</v>
      </c>
      <c r="Z58" s="1256" t="s">
        <v>5978</v>
      </c>
      <c r="AA58" s="1274"/>
      <c r="AB58" s="1270"/>
      <c r="AC58" s="593">
        <v>2441.4639999999999</v>
      </c>
      <c r="AD58" s="1256" t="s">
        <v>5978</v>
      </c>
      <c r="AE58" s="4032">
        <v>1769.6938500000001</v>
      </c>
      <c r="AG58" s="595">
        <v>2441.4639999999999</v>
      </c>
      <c r="AH58" s="260">
        <v>1769.6938500000001</v>
      </c>
      <c r="AI58" s="1256" t="s">
        <v>5978</v>
      </c>
      <c r="AJ58" s="1274"/>
      <c r="AK58" s="1270"/>
      <c r="AL58" s="593"/>
      <c r="AM58" s="1256"/>
      <c r="AN58" s="4032"/>
      <c r="AP58" s="26" t="s">
        <v>5979</v>
      </c>
      <c r="AR58" s="595"/>
      <c r="AS58" s="260"/>
      <c r="AT58" s="1256" t="s">
        <v>5979</v>
      </c>
      <c r="AU58" s="64"/>
      <c r="AV58" s="1270"/>
      <c r="AW58" s="593"/>
      <c r="AX58" s="26" t="s">
        <v>5979</v>
      </c>
      <c r="AY58" s="4032"/>
      <c r="BA58" s="26"/>
      <c r="BC58" s="595"/>
      <c r="BD58" s="642"/>
      <c r="BE58" s="1256"/>
      <c r="BF58" s="64"/>
      <c r="BG58" s="1270"/>
      <c r="BH58" s="593"/>
      <c r="BI58" s="1256"/>
      <c r="BJ58" s="637"/>
      <c r="BK58" s="8811"/>
      <c r="BL58" s="26"/>
    </row>
    <row r="59" spans="1:64" x14ac:dyDescent="0.35">
      <c r="A59" s="9168"/>
      <c r="B59" s="240"/>
      <c r="C59" s="240" t="s">
        <v>5980</v>
      </c>
      <c r="D59" s="197">
        <v>9</v>
      </c>
      <c r="F59" s="155">
        <v>346</v>
      </c>
      <c r="H59" s="117" t="s">
        <v>5981</v>
      </c>
      <c r="I59" s="115"/>
      <c r="J59" s="64"/>
      <c r="L59" s="4021" t="s">
        <v>5982</v>
      </c>
      <c r="M59" s="4035"/>
      <c r="N59" s="4036"/>
      <c r="O59" s="4021" t="s">
        <v>5982</v>
      </c>
      <c r="P59" s="4037"/>
      <c r="Q59" s="106"/>
      <c r="R59" s="64"/>
      <c r="T59" s="112">
        <v>518</v>
      </c>
      <c r="U59" s="106"/>
      <c r="V59" s="611">
        <v>412.59800000000001</v>
      </c>
      <c r="X59" s="595">
        <v>518</v>
      </c>
      <c r="Y59" s="260">
        <v>412.59800000000001</v>
      </c>
      <c r="Z59" s="645"/>
      <c r="AA59" s="1274"/>
      <c r="AB59" s="1270"/>
      <c r="AC59" s="593">
        <v>248.16</v>
      </c>
      <c r="AD59" s="645"/>
      <c r="AE59" s="4032">
        <v>234.56200000000001</v>
      </c>
      <c r="AG59" s="595">
        <v>248.16</v>
      </c>
      <c r="AH59" s="260">
        <v>234.56200000000001</v>
      </c>
      <c r="AI59" s="645"/>
      <c r="AJ59" s="1274"/>
      <c r="AK59" s="1270"/>
      <c r="AL59" s="593">
        <v>365.27699999999999</v>
      </c>
      <c r="AM59" s="645"/>
      <c r="AN59" s="4032">
        <v>345.52499999999998</v>
      </c>
      <c r="AP59" s="26" t="s">
        <v>5983</v>
      </c>
      <c r="AR59" s="595">
        <v>365.27699999999999</v>
      </c>
      <c r="AS59" s="260">
        <v>345.52499999999998</v>
      </c>
      <c r="AT59" s="645" t="s">
        <v>5983</v>
      </c>
      <c r="AU59" s="64">
        <f t="shared" si="17"/>
        <v>0.94592596851156796</v>
      </c>
      <c r="AV59" s="1270"/>
      <c r="AW59" s="593">
        <v>650.92200000000003</v>
      </c>
      <c r="AX59" s="1256" t="s">
        <v>5983</v>
      </c>
      <c r="AY59" s="4032">
        <v>612.87300000000005</v>
      </c>
      <c r="BA59" s="26"/>
      <c r="BC59" s="2789">
        <v>650922</v>
      </c>
      <c r="BD59" s="8817">
        <v>612873</v>
      </c>
      <c r="BE59" s="645"/>
      <c r="BF59" s="64">
        <f t="shared" ref="BF59:BF60" si="19">BD59/BC59</f>
        <v>0.94154599168563979</v>
      </c>
      <c r="BG59" s="1270"/>
      <c r="BH59" s="593">
        <v>378570</v>
      </c>
      <c r="BI59" s="1256"/>
      <c r="BJ59" s="637">
        <v>376824.65</v>
      </c>
      <c r="BK59" s="8811">
        <f t="shared" si="1"/>
        <v>0.99538962411178922</v>
      </c>
      <c r="BL59" s="26"/>
    </row>
    <row r="60" spans="1:64" x14ac:dyDescent="0.35">
      <c r="A60" s="9168"/>
      <c r="B60" s="241"/>
      <c r="C60" s="241" t="s">
        <v>5984</v>
      </c>
      <c r="D60" s="197"/>
      <c r="F60" s="163"/>
      <c r="H60" s="242"/>
      <c r="I60" s="243"/>
      <c r="J60" s="64"/>
      <c r="L60" s="4039"/>
      <c r="M60" s="4035"/>
      <c r="N60" s="4036"/>
      <c r="O60" s="4039"/>
      <c r="P60" s="4037"/>
      <c r="Q60" s="106"/>
      <c r="R60" s="64"/>
      <c r="T60" s="114"/>
      <c r="U60" s="106"/>
      <c r="V60" s="611"/>
      <c r="X60" s="1172"/>
      <c r="Y60" s="260"/>
      <c r="Z60" s="645"/>
      <c r="AA60" s="1274"/>
      <c r="AB60" s="1270"/>
      <c r="AC60" s="598"/>
      <c r="AD60" s="645"/>
      <c r="AE60" s="4032"/>
      <c r="AG60" s="1172"/>
      <c r="AH60" s="260"/>
      <c r="AI60" s="645"/>
      <c r="AJ60" s="1274"/>
      <c r="AK60" s="1270"/>
      <c r="AL60" s="598"/>
      <c r="AM60" s="645"/>
      <c r="AN60" s="4032"/>
      <c r="AP60" s="26"/>
      <c r="AR60" s="1172"/>
      <c r="AS60" s="260"/>
      <c r="AT60" s="645"/>
      <c r="AU60" s="64"/>
      <c r="AV60" s="1270"/>
      <c r="AW60" s="598"/>
      <c r="AX60" s="1256"/>
      <c r="AY60" s="4032"/>
      <c r="BA60" s="26"/>
      <c r="BC60" s="1172">
        <v>355690</v>
      </c>
      <c r="BD60" s="642">
        <v>350252.82</v>
      </c>
      <c r="BE60" s="645"/>
      <c r="BF60" s="64">
        <f t="shared" si="19"/>
        <v>0.98471371137788521</v>
      </c>
      <c r="BG60" s="1270"/>
      <c r="BH60" s="593">
        <v>208838</v>
      </c>
      <c r="BI60" s="1256"/>
      <c r="BJ60" s="637">
        <v>205304.13</v>
      </c>
      <c r="BK60" s="8811">
        <f t="shared" si="1"/>
        <v>0.98307841484787251</v>
      </c>
      <c r="BL60" s="26"/>
    </row>
    <row r="61" spans="1:64" x14ac:dyDescent="0.35">
      <c r="A61" s="9168"/>
      <c r="B61" s="4038" t="s">
        <v>1116</v>
      </c>
      <c r="C61" s="241"/>
      <c r="D61" s="197"/>
      <c r="F61" s="163"/>
      <c r="H61" s="242"/>
      <c r="I61" s="243"/>
      <c r="J61" s="64"/>
      <c r="L61" s="4039"/>
      <c r="M61" s="4035"/>
      <c r="N61" s="4036"/>
      <c r="O61" s="4039"/>
      <c r="P61" s="4037"/>
      <c r="Q61" s="106"/>
      <c r="R61" s="64"/>
      <c r="T61" s="114"/>
      <c r="U61" s="106"/>
      <c r="V61" s="611"/>
      <c r="X61" s="1172"/>
      <c r="Y61" s="261"/>
      <c r="Z61" s="645"/>
      <c r="AA61" s="1274"/>
      <c r="AB61" s="1270"/>
      <c r="AC61" s="598"/>
      <c r="AD61" s="645"/>
      <c r="AE61" s="4032"/>
      <c r="AG61" s="1172"/>
      <c r="AH61" s="261"/>
      <c r="AI61" s="645"/>
      <c r="AJ61" s="1274"/>
      <c r="AK61" s="1270"/>
      <c r="AL61" s="598"/>
      <c r="AM61" s="645"/>
      <c r="AN61" s="4032"/>
      <c r="AP61" s="26"/>
      <c r="AR61" s="1172"/>
      <c r="AS61" s="261"/>
      <c r="AT61" s="645"/>
      <c r="AU61" s="64"/>
      <c r="AV61" s="1270"/>
      <c r="AW61" s="598"/>
      <c r="AX61" s="645"/>
      <c r="AY61" s="4032"/>
      <c r="BA61" s="26"/>
      <c r="BC61" s="1172"/>
      <c r="BD61" s="642"/>
      <c r="BE61" s="645"/>
      <c r="BF61" s="64"/>
      <c r="BG61" s="1270"/>
      <c r="BH61" s="593"/>
      <c r="BI61" s="1256"/>
      <c r="BJ61" s="637"/>
      <c r="BK61" s="8811"/>
      <c r="BL61" s="26"/>
    </row>
    <row r="62" spans="1:64" x14ac:dyDescent="0.35">
      <c r="A62" s="9168"/>
      <c r="B62" s="241"/>
      <c r="C62" s="241" t="s">
        <v>5985</v>
      </c>
      <c r="D62" s="197">
        <v>10</v>
      </c>
      <c r="F62" s="130">
        <v>299</v>
      </c>
      <c r="H62" s="131">
        <f>4658.724+495.716</f>
        <v>5154.4400000000005</v>
      </c>
      <c r="I62" s="132">
        <f>3745.68607+134.142</f>
        <v>3879.82807</v>
      </c>
      <c r="J62" s="133">
        <f t="shared" si="16"/>
        <v>0.75271573051582708</v>
      </c>
      <c r="L62" s="242">
        <f>879.993+1856.098</f>
        <v>2736.0909999999999</v>
      </c>
      <c r="M62" s="4032">
        <f>461.69161+1604.018</f>
        <v>2065.7096099999999</v>
      </c>
      <c r="O62" s="131">
        <f>879.993+1856.098</f>
        <v>2736.0909999999999</v>
      </c>
      <c r="P62" s="264">
        <f>461.69161+1604.018</f>
        <v>2065.7096099999999</v>
      </c>
      <c r="Q62" s="216" t="s">
        <v>5986</v>
      </c>
      <c r="R62" s="133"/>
      <c r="T62" s="242">
        <v>1080.588</v>
      </c>
      <c r="U62" s="216" t="s">
        <v>5986</v>
      </c>
      <c r="V62" s="611">
        <v>854.43214</v>
      </c>
      <c r="X62" s="602">
        <v>1080.588</v>
      </c>
      <c r="Y62" s="264">
        <v>854.43214</v>
      </c>
      <c r="Z62" s="3965" t="s">
        <v>5986</v>
      </c>
      <c r="AA62" s="1313"/>
      <c r="AB62" s="1270"/>
      <c r="AC62" s="1172">
        <v>475.25099999999998</v>
      </c>
      <c r="AD62" s="1200" t="s">
        <v>5986</v>
      </c>
      <c r="AE62" s="4032">
        <v>244.05500000000001</v>
      </c>
      <c r="AG62" s="602">
        <v>475.25099999999998</v>
      </c>
      <c r="AH62" s="264">
        <v>244.05500000000001</v>
      </c>
      <c r="AI62" s="3965" t="s">
        <v>5986</v>
      </c>
      <c r="AJ62" s="1313"/>
      <c r="AK62" s="1270"/>
      <c r="AL62" s="1172">
        <v>511.27</v>
      </c>
      <c r="AM62" s="1200" t="s">
        <v>5986</v>
      </c>
      <c r="AN62" s="4032">
        <v>109.32299999999999</v>
      </c>
      <c r="AP62" s="26" t="s">
        <v>5987</v>
      </c>
      <c r="AR62" s="602">
        <f>111.27+400</f>
        <v>511.27</v>
      </c>
      <c r="AS62" s="264">
        <v>109.32299999999999</v>
      </c>
      <c r="AT62" s="3965" t="s">
        <v>5988</v>
      </c>
      <c r="AU62" s="133">
        <f t="shared" si="17"/>
        <v>0.21382635398126235</v>
      </c>
      <c r="AV62" s="1270"/>
      <c r="AW62" s="1172">
        <f>170.942+500</f>
        <v>670.94200000000001</v>
      </c>
      <c r="AX62" s="1200" t="s">
        <v>5988</v>
      </c>
      <c r="AY62" s="4032">
        <f>149.183</f>
        <v>149.18299999999999</v>
      </c>
      <c r="BA62" s="26"/>
      <c r="BC62" s="602">
        <v>670942</v>
      </c>
      <c r="BD62" s="264">
        <v>149183.88</v>
      </c>
      <c r="BE62" s="3965"/>
      <c r="BF62" s="133">
        <f t="shared" ref="BF62" si="20">BD62/BC62</f>
        <v>0.22234989015443959</v>
      </c>
      <c r="BG62" s="1270"/>
      <c r="BH62" s="1172">
        <v>0</v>
      </c>
      <c r="BI62" s="1200"/>
      <c r="BJ62" s="4032">
        <v>0</v>
      </c>
      <c r="BK62" s="8811"/>
      <c r="BL62" s="26"/>
    </row>
    <row r="63" spans="1:64" x14ac:dyDescent="0.35">
      <c r="A63" s="9168"/>
      <c r="B63" s="271" t="s">
        <v>540</v>
      </c>
      <c r="C63" s="271"/>
      <c r="D63" s="184"/>
      <c r="E63" s="141"/>
      <c r="F63" s="227"/>
      <c r="G63" s="141"/>
      <c r="H63" s="245"/>
      <c r="I63" s="106"/>
      <c r="J63" s="267"/>
      <c r="K63" s="141"/>
      <c r="L63" s="102"/>
      <c r="M63" s="268"/>
      <c r="N63" s="141"/>
      <c r="O63" s="245"/>
      <c r="P63" s="106"/>
      <c r="Q63" s="53" t="s">
        <v>5956</v>
      </c>
      <c r="R63" s="267"/>
      <c r="S63" s="141"/>
      <c r="T63" s="102"/>
      <c r="U63" s="57" t="s">
        <v>5956</v>
      </c>
      <c r="V63" s="105"/>
      <c r="W63" s="141"/>
      <c r="X63" s="1361"/>
      <c r="Y63" s="645"/>
      <c r="Z63" s="1279" t="s">
        <v>5956</v>
      </c>
      <c r="AA63" s="1367"/>
      <c r="AB63" s="1319"/>
      <c r="AC63" s="1375"/>
      <c r="AD63" s="1161" t="s">
        <v>5956</v>
      </c>
      <c r="AE63" s="1377"/>
      <c r="AF63" s="141"/>
      <c r="AG63" s="1361"/>
      <c r="AH63" s="645"/>
      <c r="AI63" s="1279" t="s">
        <v>5956</v>
      </c>
      <c r="AJ63" s="1367"/>
      <c r="AK63" s="1319"/>
      <c r="AL63" s="1375"/>
      <c r="AM63" s="1161" t="s">
        <v>5956</v>
      </c>
      <c r="AN63" s="1377"/>
      <c r="AO63" s="141"/>
      <c r="AP63" s="18"/>
      <c r="AR63" s="1361"/>
      <c r="AS63" s="645"/>
      <c r="AT63" s="1279"/>
      <c r="AU63" s="1367"/>
      <c r="AV63" s="1319"/>
      <c r="AW63" s="1375"/>
      <c r="AX63" s="1161"/>
      <c r="AY63" s="1377"/>
      <c r="BA63" s="18"/>
      <c r="BC63" s="1361"/>
      <c r="BD63" s="645"/>
      <c r="BE63" s="1279"/>
      <c r="BF63" s="1367"/>
      <c r="BG63" s="1319"/>
      <c r="BH63" s="1375"/>
      <c r="BI63" s="1161"/>
      <c r="BJ63" s="1377"/>
      <c r="BK63" s="8811"/>
      <c r="BL63" s="18"/>
    </row>
    <row r="64" spans="1:64" x14ac:dyDescent="0.35">
      <c r="A64" s="9168"/>
      <c r="B64" s="240"/>
      <c r="C64" s="240" t="s">
        <v>5296</v>
      </c>
      <c r="D64" s="197">
        <v>11</v>
      </c>
      <c r="F64" s="155">
        <v>42294</v>
      </c>
      <c r="H64" s="242">
        <v>57512.89</v>
      </c>
      <c r="I64" s="243">
        <v>56022.491929999997</v>
      </c>
      <c r="J64" s="64">
        <f>IF(H64=0,0,I64/H64)</f>
        <v>0.97408584284323041</v>
      </c>
      <c r="L64" s="112">
        <v>55929.39</v>
      </c>
      <c r="M64" s="611">
        <v>57551.698329999999</v>
      </c>
      <c r="O64" s="112">
        <v>58000.89</v>
      </c>
      <c r="P64" s="233">
        <v>57958.417000000001</v>
      </c>
      <c r="Q64" s="106"/>
      <c r="R64" s="64"/>
      <c r="T64" s="112">
        <v>54675.784</v>
      </c>
      <c r="U64" s="106"/>
      <c r="V64" s="273">
        <v>55692.51137</v>
      </c>
      <c r="X64" s="593">
        <v>56255.544000000002</v>
      </c>
      <c r="Y64" s="642">
        <v>55997.779000000002</v>
      </c>
      <c r="Z64" s="645"/>
      <c r="AA64" s="1274"/>
      <c r="AB64" s="1270"/>
      <c r="AC64" s="593">
        <v>61406.112000000001</v>
      </c>
      <c r="AD64" s="645"/>
      <c r="AE64" s="608">
        <v>61171.885999999999</v>
      </c>
      <c r="AG64" s="593">
        <v>61406.112000000001</v>
      </c>
      <c r="AH64" s="642">
        <v>61171.885999999999</v>
      </c>
      <c r="AI64" s="645"/>
      <c r="AJ64" s="1274"/>
      <c r="AK64" s="1270"/>
      <c r="AL64" s="593">
        <f>58794.75+1330.205</f>
        <v>60124.955000000002</v>
      </c>
      <c r="AM64" s="4040" t="s">
        <v>5989</v>
      </c>
      <c r="AN64" s="608">
        <f>57937.76+1223.644</f>
        <v>59161.404000000002</v>
      </c>
      <c r="AP64" s="26" t="s">
        <v>5990</v>
      </c>
      <c r="AR64" s="593">
        <v>58794.75</v>
      </c>
      <c r="AS64" s="642">
        <v>58937.760000000002</v>
      </c>
      <c r="AT64" s="645"/>
      <c r="AU64" s="64">
        <f t="shared" si="17"/>
        <v>1.0024323600321459</v>
      </c>
      <c r="AV64" s="1270"/>
      <c r="AW64" s="593">
        <v>61037.442000000003</v>
      </c>
      <c r="AX64" s="57"/>
      <c r="AY64" s="608">
        <v>61013.078000000001</v>
      </c>
      <c r="BA64" s="26"/>
      <c r="BC64" s="593">
        <v>61037442</v>
      </c>
      <c r="BD64" s="642">
        <v>61013078.189999998</v>
      </c>
      <c r="BE64" s="645"/>
      <c r="BF64" s="64">
        <f t="shared" ref="BF64:BF72" si="21">BD64/BC64</f>
        <v>0.99960083828545765</v>
      </c>
      <c r="BG64" s="1270"/>
      <c r="BH64" s="593">
        <v>59341349</v>
      </c>
      <c r="BI64" s="57"/>
      <c r="BJ64" s="608">
        <v>59338725.869999997</v>
      </c>
      <c r="BK64" s="8811">
        <f t="shared" si="1"/>
        <v>0.99995579591559336</v>
      </c>
      <c r="BL64" s="26"/>
    </row>
    <row r="65" spans="1:64" x14ac:dyDescent="0.35">
      <c r="A65" s="9168"/>
      <c r="B65" s="240"/>
      <c r="C65" s="7508" t="s">
        <v>5991</v>
      </c>
      <c r="D65" s="197"/>
      <c r="F65" s="155"/>
      <c r="H65" s="242"/>
      <c r="I65" s="243"/>
      <c r="J65" s="64"/>
      <c r="L65" s="112"/>
      <c r="M65" s="611"/>
      <c r="O65" s="112"/>
      <c r="P65" s="233"/>
      <c r="Q65" s="106"/>
      <c r="R65" s="64"/>
      <c r="T65" s="112"/>
      <c r="U65" s="106"/>
      <c r="V65" s="273"/>
      <c r="X65" s="593"/>
      <c r="Y65" s="642"/>
      <c r="Z65" s="645"/>
      <c r="AA65" s="1274"/>
      <c r="AB65" s="1270"/>
      <c r="AC65" s="593"/>
      <c r="AD65" s="645"/>
      <c r="AE65" s="608"/>
      <c r="AG65" s="593"/>
      <c r="AH65" s="642"/>
      <c r="AI65" s="645"/>
      <c r="AJ65" s="1274"/>
      <c r="AK65" s="1270"/>
      <c r="AL65" s="593"/>
      <c r="AM65" s="4040"/>
      <c r="AN65" s="608"/>
      <c r="AP65" s="26"/>
      <c r="AR65" s="593">
        <v>1330.2049999999999</v>
      </c>
      <c r="AS65" s="642">
        <v>1230.45</v>
      </c>
      <c r="AT65" s="645"/>
      <c r="AU65" s="64">
        <f t="shared" si="17"/>
        <v>0.92500779954969359</v>
      </c>
      <c r="AV65" s="1270"/>
      <c r="AW65" s="593">
        <f>1530.697+192.451</f>
        <v>1723.1479999999999</v>
      </c>
      <c r="AX65" s="254"/>
      <c r="AY65" s="608">
        <f>1201.692+175.453</f>
        <v>1377.145</v>
      </c>
      <c r="BA65" s="26"/>
      <c r="BC65" s="593">
        <f>2254200-531052</f>
        <v>1723148</v>
      </c>
      <c r="BD65" s="642">
        <f>1763533.04-386386.71</f>
        <v>1377146.33</v>
      </c>
      <c r="BE65" s="645" t="s">
        <v>5992</v>
      </c>
      <c r="BF65" s="64">
        <f t="shared" si="21"/>
        <v>0.7992037422206334</v>
      </c>
      <c r="BG65" s="1270"/>
      <c r="BH65" s="593">
        <f>2162679-393591</f>
        <v>1769088</v>
      </c>
      <c r="BI65" s="254"/>
      <c r="BJ65" s="608">
        <f>2046012.63-365193.55</f>
        <v>1680819.0799999998</v>
      </c>
      <c r="BK65" s="8811">
        <f t="shared" si="1"/>
        <v>0.95010484498227321</v>
      </c>
      <c r="BL65" s="26"/>
    </row>
    <row r="66" spans="1:64" x14ac:dyDescent="0.35">
      <c r="A66" s="9168"/>
      <c r="B66" s="240"/>
      <c r="C66" s="240" t="s">
        <v>5962</v>
      </c>
      <c r="D66" s="197"/>
      <c r="F66" s="155"/>
      <c r="H66" s="242">
        <v>6727</v>
      </c>
      <c r="I66" s="243">
        <v>4987.3844300000001</v>
      </c>
      <c r="J66" s="64">
        <f>IF(H66=0,0,I66/H66)</f>
        <v>0.74139801248699277</v>
      </c>
      <c r="L66" s="117">
        <v>6616</v>
      </c>
      <c r="M66" s="611">
        <v>6362.3741499999996</v>
      </c>
      <c r="O66" s="117">
        <v>6697</v>
      </c>
      <c r="P66" s="201">
        <v>6442</v>
      </c>
      <c r="Q66" s="106"/>
      <c r="R66" s="64"/>
      <c r="T66" s="117">
        <v>8336.5</v>
      </c>
      <c r="U66" s="106"/>
      <c r="V66" s="273">
        <v>8170.47</v>
      </c>
      <c r="X66" s="595">
        <v>8475.5570000000007</v>
      </c>
      <c r="Y66" s="643">
        <v>8251.2039999999997</v>
      </c>
      <c r="Z66" s="645"/>
      <c r="AA66" s="1274"/>
      <c r="AB66" s="1270"/>
      <c r="AC66" s="595">
        <v>9100</v>
      </c>
      <c r="AD66" s="645"/>
      <c r="AE66" s="608">
        <v>8519.9580000000005</v>
      </c>
      <c r="AG66" s="595">
        <v>9100</v>
      </c>
      <c r="AH66" s="643">
        <v>8519.9580000000005</v>
      </c>
      <c r="AI66" s="645"/>
      <c r="AJ66" s="1274"/>
      <c r="AK66" s="1270"/>
      <c r="AL66" s="595">
        <v>8775.5570000000007</v>
      </c>
      <c r="AM66" s="645"/>
      <c r="AN66" s="608">
        <v>8396.8050000000003</v>
      </c>
      <c r="AP66" s="26"/>
      <c r="AR66" s="595">
        <v>8775.5570000000007</v>
      </c>
      <c r="AS66" s="643">
        <v>8573.741</v>
      </c>
      <c r="AT66" s="645"/>
      <c r="AU66" s="64">
        <f t="shared" si="17"/>
        <v>0.9770024854262811</v>
      </c>
      <c r="AV66" s="1270"/>
      <c r="AW66" s="595">
        <v>9031.1560000000009</v>
      </c>
      <c r="AX66" s="57"/>
      <c r="AY66" s="608">
        <v>8583.9840000000004</v>
      </c>
      <c r="BA66" s="26"/>
      <c r="BC66" s="595">
        <v>9031156</v>
      </c>
      <c r="BD66" s="643">
        <v>8583984.5500000007</v>
      </c>
      <c r="BE66" s="645"/>
      <c r="BF66" s="64">
        <f t="shared" si="21"/>
        <v>0.95048569086836732</v>
      </c>
      <c r="BG66" s="1270"/>
      <c r="BH66" s="595">
        <v>8621133</v>
      </c>
      <c r="BI66" s="57"/>
      <c r="BJ66" s="608">
        <v>8588607.4299999997</v>
      </c>
      <c r="BK66" s="8811">
        <f t="shared" si="1"/>
        <v>0.99622722790612317</v>
      </c>
      <c r="BL66" s="26"/>
    </row>
    <row r="67" spans="1:64" x14ac:dyDescent="0.35">
      <c r="A67" s="9168"/>
      <c r="B67" s="240"/>
      <c r="C67" s="240" t="s">
        <v>5963</v>
      </c>
      <c r="D67" s="197"/>
      <c r="F67" s="163"/>
      <c r="H67" s="242"/>
      <c r="I67" s="243"/>
      <c r="J67" s="64"/>
      <c r="L67" s="117"/>
      <c r="M67" s="611"/>
      <c r="O67" s="117"/>
      <c r="P67" s="233"/>
      <c r="Q67" s="106"/>
      <c r="R67" s="64"/>
      <c r="T67" s="242"/>
      <c r="U67" s="106"/>
      <c r="V67" s="276"/>
      <c r="X67" s="595"/>
      <c r="Y67" s="642"/>
      <c r="Z67" s="645"/>
      <c r="AA67" s="1274"/>
      <c r="AB67" s="1270"/>
      <c r="AC67" s="1172"/>
      <c r="AD67" s="645"/>
      <c r="AE67" s="614"/>
      <c r="AG67" s="595"/>
      <c r="AH67" s="642"/>
      <c r="AI67" s="645"/>
      <c r="AJ67" s="1274"/>
      <c r="AK67" s="1270"/>
      <c r="AL67" s="1172"/>
      <c r="AM67" s="645"/>
      <c r="AN67" s="614"/>
      <c r="AP67" s="26"/>
      <c r="AR67" s="595"/>
      <c r="AS67" s="642"/>
      <c r="AT67" s="645"/>
      <c r="AU67" s="64"/>
      <c r="AV67" s="1270"/>
      <c r="AW67" s="1172"/>
      <c r="AX67" s="57"/>
      <c r="AY67" s="614"/>
      <c r="BA67" s="26"/>
      <c r="BC67" s="595">
        <v>1450962</v>
      </c>
      <c r="BD67" s="642">
        <v>1301529.8</v>
      </c>
      <c r="BE67" s="645"/>
      <c r="BF67" s="64">
        <f t="shared" si="21"/>
        <v>0.89701163779616566</v>
      </c>
      <c r="BG67" s="1270"/>
      <c r="BH67" s="1172">
        <v>1457601</v>
      </c>
      <c r="BI67" s="57"/>
      <c r="BJ67" s="614">
        <v>1410777.58</v>
      </c>
      <c r="BK67" s="8811">
        <f t="shared" si="1"/>
        <v>0.96787638043607271</v>
      </c>
      <c r="BL67" s="26"/>
    </row>
    <row r="68" spans="1:64" x14ac:dyDescent="0.35">
      <c r="A68" s="9168"/>
      <c r="B68" s="240"/>
      <c r="C68" s="240" t="s">
        <v>5972</v>
      </c>
      <c r="D68" s="197"/>
      <c r="F68" s="163"/>
      <c r="H68" s="242"/>
      <c r="I68" s="243"/>
      <c r="J68" s="64">
        <f>IF(H68=0,0,I68/H68)</f>
        <v>0</v>
      </c>
      <c r="L68" s="4021"/>
      <c r="M68" s="4033"/>
      <c r="O68" s="4021"/>
      <c r="P68" s="4034"/>
      <c r="R68" s="64"/>
      <c r="T68" s="242">
        <v>301</v>
      </c>
      <c r="U68" s="106"/>
      <c r="V68" s="276">
        <v>242.404</v>
      </c>
      <c r="X68" s="595">
        <v>306</v>
      </c>
      <c r="Y68" s="642">
        <v>285.53300000000002</v>
      </c>
      <c r="Z68" s="1425"/>
      <c r="AA68" s="1274"/>
      <c r="AB68" s="1270"/>
      <c r="AC68" s="1172">
        <v>396</v>
      </c>
      <c r="AD68" s="645"/>
      <c r="AE68" s="614">
        <v>335.423</v>
      </c>
      <c r="AG68" s="595">
        <v>396</v>
      </c>
      <c r="AH68" s="642">
        <v>335.423</v>
      </c>
      <c r="AI68" s="1425"/>
      <c r="AJ68" s="1274"/>
      <c r="AK68" s="1270"/>
      <c r="AL68" s="1172">
        <v>345.48700000000002</v>
      </c>
      <c r="AM68" s="645"/>
      <c r="AN68" s="614">
        <v>330.52</v>
      </c>
      <c r="AP68" s="26"/>
      <c r="AR68" s="595">
        <v>345.48700000000002</v>
      </c>
      <c r="AS68" s="642">
        <v>330.52</v>
      </c>
      <c r="AT68" s="1425"/>
      <c r="AU68" s="64">
        <f t="shared" si="17"/>
        <v>0.95667854362103333</v>
      </c>
      <c r="AV68" s="1270"/>
      <c r="AW68" s="1172">
        <v>411.11599999999999</v>
      </c>
      <c r="AX68" s="1256"/>
      <c r="AY68" s="614">
        <v>339.88400000000001</v>
      </c>
      <c r="BA68" s="26"/>
      <c r="BC68" s="595">
        <v>411116</v>
      </c>
      <c r="BD68" s="642">
        <v>339884.13</v>
      </c>
      <c r="BE68" s="1425"/>
      <c r="BF68" s="64">
        <f t="shared" si="21"/>
        <v>0.82673534963368001</v>
      </c>
      <c r="BG68" s="1270"/>
      <c r="BH68" s="1172">
        <v>344781</v>
      </c>
      <c r="BI68" s="1256"/>
      <c r="BJ68" s="614">
        <v>341980</v>
      </c>
      <c r="BK68" s="8811">
        <f t="shared" si="1"/>
        <v>0.99187600244793073</v>
      </c>
      <c r="BL68" s="26"/>
    </row>
    <row r="69" spans="1:64" x14ac:dyDescent="0.35">
      <c r="A69" s="9168"/>
      <c r="B69" s="240"/>
      <c r="C69" s="240" t="s">
        <v>5967</v>
      </c>
      <c r="D69" s="197"/>
      <c r="F69" s="163"/>
      <c r="H69" s="242"/>
      <c r="I69" s="243"/>
      <c r="J69" s="64">
        <f>IF(H69=0,0,I69/H69)</f>
        <v>0</v>
      </c>
      <c r="L69" s="242"/>
      <c r="M69" s="611">
        <f>L69*J69</f>
        <v>0</v>
      </c>
      <c r="O69" s="242"/>
      <c r="P69" s="201"/>
      <c r="Q69" s="106" t="s">
        <v>5993</v>
      </c>
      <c r="R69" s="64"/>
      <c r="T69" s="242"/>
      <c r="U69" s="106" t="s">
        <v>5993</v>
      </c>
      <c r="V69" s="276"/>
      <c r="X69" s="1172"/>
      <c r="Y69" s="643"/>
      <c r="Z69" s="645" t="s">
        <v>5993</v>
      </c>
      <c r="AA69" s="1274"/>
      <c r="AB69" s="1270"/>
      <c r="AC69" s="1172"/>
      <c r="AD69" s="645" t="s">
        <v>5993</v>
      </c>
      <c r="AE69" s="614"/>
      <c r="AG69" s="1172"/>
      <c r="AH69" s="643"/>
      <c r="AI69" s="645" t="s">
        <v>5993</v>
      </c>
      <c r="AJ69" s="1274"/>
      <c r="AK69" s="1270"/>
      <c r="AL69" s="1172"/>
      <c r="AM69" s="645" t="s">
        <v>5993</v>
      </c>
      <c r="AN69" s="614"/>
      <c r="AP69" s="26"/>
      <c r="AR69" s="1172">
        <v>0</v>
      </c>
      <c r="AS69" s="643">
        <v>0</v>
      </c>
      <c r="AT69" s="645"/>
      <c r="AU69" s="64"/>
      <c r="AV69" s="1270"/>
      <c r="AW69" s="1172">
        <v>0</v>
      </c>
      <c r="AX69" s="1256"/>
      <c r="AY69" s="614">
        <v>0</v>
      </c>
      <c r="BA69" s="26"/>
      <c r="BC69" s="1172">
        <v>0</v>
      </c>
      <c r="BD69" s="643">
        <v>0</v>
      </c>
      <c r="BE69" s="645"/>
      <c r="BF69" s="64"/>
      <c r="BG69" s="1270"/>
      <c r="BH69" s="1172">
        <v>0</v>
      </c>
      <c r="BI69" s="1256"/>
      <c r="BJ69" s="614">
        <v>0</v>
      </c>
      <c r="BK69" s="8811"/>
      <c r="BL69" s="26"/>
    </row>
    <row r="70" spans="1:64" x14ac:dyDescent="0.35">
      <c r="A70" s="9168"/>
      <c r="B70" s="240"/>
      <c r="C70" s="240" t="s">
        <v>5970</v>
      </c>
      <c r="D70" s="197"/>
      <c r="F70" s="163"/>
      <c r="H70" s="242"/>
      <c r="I70" s="243"/>
      <c r="J70" s="64">
        <f>IF(H70=0,0,I70/H70)</f>
        <v>0</v>
      </c>
      <c r="L70" s="242"/>
      <c r="M70" s="611">
        <f>L70*J70</f>
        <v>0</v>
      </c>
      <c r="O70" s="242">
        <v>92</v>
      </c>
      <c r="P70" s="233">
        <v>64.198999999999998</v>
      </c>
      <c r="Q70" s="106"/>
      <c r="R70" s="64"/>
      <c r="T70" s="242">
        <v>91</v>
      </c>
      <c r="U70" s="106"/>
      <c r="V70" s="276">
        <v>70.968000000000004</v>
      </c>
      <c r="X70" s="1172"/>
      <c r="Y70" s="642"/>
      <c r="Z70" s="645"/>
      <c r="AA70" s="1274"/>
      <c r="AB70" s="1270"/>
      <c r="AC70" s="1172"/>
      <c r="AD70" s="645"/>
      <c r="AE70" s="614"/>
      <c r="AG70" s="1172"/>
      <c r="AH70" s="642"/>
      <c r="AI70" s="645"/>
      <c r="AJ70" s="1274"/>
      <c r="AK70" s="1270"/>
      <c r="AL70" s="1172"/>
      <c r="AM70" s="645"/>
      <c r="AN70" s="614"/>
      <c r="AP70" s="26"/>
      <c r="AR70" s="1172">
        <v>157.26300000000001</v>
      </c>
      <c r="AS70" s="642">
        <v>133.191</v>
      </c>
      <c r="AT70" s="645"/>
      <c r="AU70" s="64">
        <f t="shared" si="17"/>
        <v>0.8469315732244711</v>
      </c>
      <c r="AV70" s="1270"/>
      <c r="AW70" s="1172">
        <v>154.26599999999999</v>
      </c>
      <c r="AX70" s="1161"/>
      <c r="AY70" s="614">
        <v>102.035</v>
      </c>
      <c r="BA70" s="26"/>
      <c r="BC70" s="1172">
        <v>154266</v>
      </c>
      <c r="BD70" s="642">
        <v>102035.31</v>
      </c>
      <c r="BE70" s="645"/>
      <c r="BF70" s="64">
        <f t="shared" si="21"/>
        <v>0.6614244875734121</v>
      </c>
      <c r="BG70" s="1270"/>
      <c r="BH70" s="1172">
        <v>101580</v>
      </c>
      <c r="BI70" s="1161"/>
      <c r="BJ70" s="614">
        <v>101334</v>
      </c>
      <c r="BK70" s="8811">
        <f t="shared" si="1"/>
        <v>0.99757826343768463</v>
      </c>
      <c r="BL70" s="26"/>
    </row>
    <row r="71" spans="1:64" x14ac:dyDescent="0.35">
      <c r="A71" s="9168"/>
      <c r="B71" s="240"/>
      <c r="C71" s="240" t="s">
        <v>5980</v>
      </c>
      <c r="D71" s="197"/>
      <c r="F71" s="163"/>
      <c r="H71" s="242"/>
      <c r="I71" s="243"/>
      <c r="J71" s="64"/>
      <c r="L71" s="4021"/>
      <c r="M71" s="4033"/>
      <c r="O71" s="4021"/>
      <c r="P71" s="4034"/>
      <c r="Q71" s="106"/>
      <c r="R71" s="64"/>
      <c r="T71" s="242">
        <v>266</v>
      </c>
      <c r="U71" s="106"/>
      <c r="V71" s="276">
        <v>210.827</v>
      </c>
      <c r="X71" s="595">
        <v>266</v>
      </c>
      <c r="Y71" s="642">
        <v>210.827</v>
      </c>
      <c r="Z71" s="645"/>
      <c r="AA71" s="1274"/>
      <c r="AB71" s="1270"/>
      <c r="AC71" s="1172">
        <v>248.16</v>
      </c>
      <c r="AD71" s="645"/>
      <c r="AE71" s="614">
        <v>234.56200000000001</v>
      </c>
      <c r="AG71" s="595">
        <v>248.16</v>
      </c>
      <c r="AH71" s="642">
        <v>234.56200000000001</v>
      </c>
      <c r="AI71" s="645"/>
      <c r="AJ71" s="1274"/>
      <c r="AK71" s="1270"/>
      <c r="AL71" s="1172">
        <v>241.01599999999999</v>
      </c>
      <c r="AM71" s="645"/>
      <c r="AN71" s="614">
        <v>227.87700000000001</v>
      </c>
      <c r="AP71" s="26"/>
      <c r="AR71" s="595">
        <v>241.01599999999999</v>
      </c>
      <c r="AS71" s="642">
        <v>227.87700000000001</v>
      </c>
      <c r="AT71" s="645"/>
      <c r="AU71" s="64">
        <f t="shared" si="17"/>
        <v>0.94548494705745689</v>
      </c>
      <c r="AV71" s="1270"/>
      <c r="AW71" s="1172">
        <v>264.89600000000002</v>
      </c>
      <c r="AX71" s="1256"/>
      <c r="AY71" s="614">
        <v>257.45100000000002</v>
      </c>
      <c r="BA71" s="26"/>
      <c r="BC71" s="595">
        <v>264896</v>
      </c>
      <c r="BD71" s="642">
        <v>257451.8</v>
      </c>
      <c r="BE71" s="645"/>
      <c r="BF71" s="64">
        <f t="shared" si="21"/>
        <v>0.97189765039864695</v>
      </c>
      <c r="BG71" s="1270"/>
      <c r="BH71" s="1172">
        <v>267031</v>
      </c>
      <c r="BI71" s="1256"/>
      <c r="BJ71" s="614">
        <v>266390.68</v>
      </c>
      <c r="BK71" s="8811">
        <f t="shared" si="1"/>
        <v>0.99760207616344165</v>
      </c>
      <c r="BL71" s="26"/>
    </row>
    <row r="72" spans="1:64" x14ac:dyDescent="0.35">
      <c r="A72" s="9168"/>
      <c r="B72" s="241"/>
      <c r="C72" s="241" t="s">
        <v>5984</v>
      </c>
      <c r="D72" s="197"/>
      <c r="F72" s="163"/>
      <c r="H72" s="242"/>
      <c r="I72" s="243"/>
      <c r="J72" s="64"/>
      <c r="L72" s="242"/>
      <c r="M72" s="611"/>
      <c r="O72" s="242"/>
      <c r="P72" s="201"/>
      <c r="Q72" s="106"/>
      <c r="R72" s="64"/>
      <c r="T72" s="242"/>
      <c r="U72" s="106"/>
      <c r="V72" s="276"/>
      <c r="X72" s="242"/>
      <c r="Y72" s="201"/>
      <c r="Z72" s="106"/>
      <c r="AA72" s="64"/>
      <c r="AC72" s="242"/>
      <c r="AD72" s="106"/>
      <c r="AE72" s="276"/>
      <c r="AG72" s="242"/>
      <c r="AH72" s="201"/>
      <c r="AI72" s="106"/>
      <c r="AJ72" s="64"/>
      <c r="AL72" s="242"/>
      <c r="AM72" s="106"/>
      <c r="AN72" s="276"/>
      <c r="AP72" s="26"/>
      <c r="AR72" s="242"/>
      <c r="AS72" s="201"/>
      <c r="AT72" s="106"/>
      <c r="AU72" s="64"/>
      <c r="AW72" s="598"/>
      <c r="AX72" s="1256"/>
      <c r="AY72" s="4032"/>
      <c r="BA72" s="7505"/>
      <c r="BC72" s="242">
        <v>10460</v>
      </c>
      <c r="BD72" s="201">
        <v>5271</v>
      </c>
      <c r="BE72" s="106"/>
      <c r="BF72" s="64">
        <f t="shared" si="21"/>
        <v>0.5039196940726578</v>
      </c>
      <c r="BH72" s="598">
        <v>6460</v>
      </c>
      <c r="BI72" s="1256"/>
      <c r="BJ72" s="4032">
        <v>4459</v>
      </c>
      <c r="BK72" s="8811">
        <f t="shared" si="1"/>
        <v>0.69024767801857589</v>
      </c>
      <c r="BL72" s="7505"/>
    </row>
    <row r="73" spans="1:64" x14ac:dyDescent="0.35">
      <c r="A73" s="9168"/>
      <c r="B73" s="241"/>
      <c r="C73" s="241"/>
      <c r="D73" s="197"/>
      <c r="F73" s="163"/>
      <c r="H73" s="242"/>
      <c r="I73" s="243"/>
      <c r="J73" s="64"/>
      <c r="L73" s="242"/>
      <c r="M73" s="611"/>
      <c r="O73" s="242"/>
      <c r="P73" s="201"/>
      <c r="Q73" s="106"/>
      <c r="R73" s="64"/>
      <c r="T73" s="242"/>
      <c r="U73" s="106"/>
      <c r="V73" s="276"/>
      <c r="X73" s="242"/>
      <c r="Y73" s="201"/>
      <c r="Z73" s="106"/>
      <c r="AA73" s="64"/>
      <c r="AC73" s="242"/>
      <c r="AD73" s="106"/>
      <c r="AE73" s="276"/>
      <c r="AG73" s="242"/>
      <c r="AH73" s="201"/>
      <c r="AI73" s="106"/>
      <c r="AJ73" s="64"/>
      <c r="AL73" s="242"/>
      <c r="AM73" s="106"/>
      <c r="AN73" s="276"/>
      <c r="AP73" s="26"/>
      <c r="AR73" s="242"/>
      <c r="AS73" s="201"/>
      <c r="AT73" s="106"/>
      <c r="AU73" s="64"/>
      <c r="AW73" s="598"/>
      <c r="AX73" s="1256"/>
      <c r="AY73" s="4032"/>
      <c r="BA73" s="7505"/>
      <c r="BC73" s="242"/>
      <c r="BD73" s="201"/>
      <c r="BE73" s="106"/>
      <c r="BF73" s="64"/>
      <c r="BH73" s="598"/>
      <c r="BI73" s="1256"/>
      <c r="BJ73" s="4032"/>
      <c r="BL73" s="7505"/>
    </row>
    <row r="74" spans="1:64" x14ac:dyDescent="0.35">
      <c r="A74" s="9168"/>
      <c r="B74" s="250"/>
      <c r="C74" s="250"/>
      <c r="D74" s="209"/>
      <c r="F74" s="130"/>
      <c r="H74" s="242"/>
      <c r="I74" s="243"/>
      <c r="J74" s="64">
        <f>IF(H74=0,0,I74/H74)</f>
        <v>0</v>
      </c>
      <c r="L74" s="242"/>
      <c r="M74" s="611">
        <f>L74*J74</f>
        <v>0</v>
      </c>
      <c r="O74" s="242"/>
      <c r="P74" s="201"/>
      <c r="Q74" s="216"/>
      <c r="R74" s="64"/>
      <c r="T74" s="242"/>
      <c r="U74" s="216"/>
      <c r="V74" s="658"/>
      <c r="X74" s="242"/>
      <c r="Y74" s="201"/>
      <c r="Z74" s="216"/>
      <c r="AA74" s="64"/>
      <c r="AC74" s="242"/>
      <c r="AD74" s="216"/>
      <c r="AE74" s="658"/>
      <c r="AG74" s="242"/>
      <c r="AH74" s="201"/>
      <c r="AI74" s="216"/>
      <c r="AJ74" s="64"/>
      <c r="AL74" s="242"/>
      <c r="AM74" s="216"/>
      <c r="AN74" s="658"/>
      <c r="AP74" s="24"/>
      <c r="AR74" s="242"/>
      <c r="AS74" s="201"/>
      <c r="AT74" s="216"/>
      <c r="AU74" s="64"/>
      <c r="AW74" s="242"/>
      <c r="AX74" s="216"/>
      <c r="AY74" s="658"/>
      <c r="BA74" s="24"/>
      <c r="BC74" s="242"/>
      <c r="BD74" s="201"/>
      <c r="BE74" s="216"/>
      <c r="BF74" s="64"/>
      <c r="BH74" s="242"/>
      <c r="BI74" s="216"/>
      <c r="BJ74" s="658"/>
      <c r="BL74" s="24"/>
    </row>
    <row r="75" spans="1:64" x14ac:dyDescent="0.35">
      <c r="A75" s="9168"/>
      <c r="B75" s="271" t="s">
        <v>552</v>
      </c>
      <c r="C75" s="271" t="s">
        <v>5994</v>
      </c>
      <c r="D75" s="184"/>
      <c r="E75" s="143"/>
      <c r="F75" s="227"/>
      <c r="G75" s="143"/>
      <c r="H75" s="102"/>
      <c r="I75" s="103"/>
      <c r="J75" s="228"/>
      <c r="K75" s="143"/>
      <c r="L75" s="102"/>
      <c r="M75" s="268"/>
      <c r="N75" s="143"/>
      <c r="O75" s="102"/>
      <c r="P75" s="103"/>
      <c r="Q75" s="106"/>
      <c r="R75" s="228"/>
      <c r="S75" s="143"/>
      <c r="T75" s="102"/>
      <c r="U75" s="106"/>
      <c r="V75" s="105"/>
      <c r="W75" s="143"/>
      <c r="X75" s="102"/>
      <c r="Y75" s="103"/>
      <c r="Z75" s="106"/>
      <c r="AA75" s="228"/>
      <c r="AB75" s="143"/>
      <c r="AC75" s="102"/>
      <c r="AD75" s="106"/>
      <c r="AE75" s="105"/>
      <c r="AF75" s="143"/>
      <c r="AG75" s="102"/>
      <c r="AH75" s="103"/>
      <c r="AI75" s="106"/>
      <c r="AJ75" s="228"/>
      <c r="AK75" s="143"/>
      <c r="AL75" s="102"/>
      <c r="AM75" s="106"/>
      <c r="AN75" s="105"/>
      <c r="AO75" s="143"/>
      <c r="AP75" s="18"/>
      <c r="AR75" s="102"/>
      <c r="AS75" s="103"/>
      <c r="AT75" s="106"/>
      <c r="AU75" s="228"/>
      <c r="AV75" s="143"/>
      <c r="AW75" s="102"/>
      <c r="AX75" s="106"/>
      <c r="AY75" s="105"/>
      <c r="BA75" s="18"/>
      <c r="BC75" s="102"/>
      <c r="BD75" s="103"/>
      <c r="BE75" s="106"/>
      <c r="BF75" s="228"/>
      <c r="BG75" s="143"/>
      <c r="BH75" s="102"/>
      <c r="BI75" s="106"/>
      <c r="BJ75" s="105"/>
      <c r="BL75" s="18"/>
    </row>
    <row r="76" spans="1:64" x14ac:dyDescent="0.35">
      <c r="A76" s="9168"/>
      <c r="B76" s="272"/>
      <c r="C76" s="272" t="s">
        <v>5995</v>
      </c>
      <c r="D76" s="197"/>
      <c r="F76" s="155"/>
      <c r="H76" s="117"/>
      <c r="I76" s="115"/>
      <c r="J76" s="64">
        <f>IF(H76=0,0,I76/H76)</f>
        <v>0</v>
      </c>
      <c r="L76" s="117"/>
      <c r="M76" s="611">
        <f>M31*M88</f>
        <v>0</v>
      </c>
      <c r="O76" s="117"/>
      <c r="P76" s="201"/>
      <c r="Q76" s="106"/>
      <c r="R76" s="64"/>
      <c r="T76" s="117"/>
      <c r="U76" s="106"/>
      <c r="V76" s="273"/>
      <c r="X76" s="117"/>
      <c r="Y76" s="201"/>
      <c r="Z76" s="106"/>
      <c r="AA76" s="64"/>
      <c r="AC76" s="117"/>
      <c r="AD76" s="106"/>
      <c r="AE76" s="273"/>
      <c r="AG76" s="117"/>
      <c r="AH76" s="201"/>
      <c r="AI76" s="106"/>
      <c r="AJ76" s="64"/>
      <c r="AL76" s="117"/>
      <c r="AM76" s="106"/>
      <c r="AN76" s="273"/>
      <c r="AP76" s="26"/>
      <c r="AR76" s="595"/>
      <c r="AS76" s="643"/>
      <c r="AT76" s="645"/>
      <c r="AU76" s="64" t="e">
        <f t="shared" ref="AU76:AU87" si="22">AS76/AR76</f>
        <v>#DIV/0!</v>
      </c>
      <c r="AV76" s="1270"/>
      <c r="AW76" s="595"/>
      <c r="AX76" s="645"/>
      <c r="AY76" s="608"/>
      <c r="BA76" s="26"/>
      <c r="BC76" s="595"/>
      <c r="BD76" s="643"/>
      <c r="BE76" s="645"/>
      <c r="BF76" s="64"/>
      <c r="BG76" s="1270"/>
      <c r="BH76" s="595"/>
      <c r="BI76" s="645"/>
      <c r="BJ76" s="608"/>
      <c r="BL76" s="26"/>
    </row>
    <row r="77" spans="1:64" x14ac:dyDescent="0.35">
      <c r="A77" s="9168"/>
      <c r="B77" s="274"/>
      <c r="C77" s="274" t="s">
        <v>5996</v>
      </c>
      <c r="D77" s="197"/>
      <c r="F77" s="163"/>
      <c r="H77" s="242"/>
      <c r="I77" s="243"/>
      <c r="J77" s="64"/>
      <c r="L77" s="242"/>
      <c r="M77" s="611"/>
      <c r="O77" s="117"/>
      <c r="P77" s="201"/>
      <c r="Q77" s="106"/>
      <c r="R77" s="64"/>
      <c r="T77" s="117"/>
      <c r="U77" s="106"/>
      <c r="V77" s="276"/>
      <c r="X77" s="117"/>
      <c r="Y77" s="201"/>
      <c r="Z77" s="106"/>
      <c r="AA77" s="64"/>
      <c r="AC77" s="117"/>
      <c r="AD77" s="106"/>
      <c r="AE77" s="276"/>
      <c r="AG77" s="117"/>
      <c r="AH77" s="201"/>
      <c r="AI77" s="106"/>
      <c r="AJ77" s="64"/>
      <c r="AL77" s="117"/>
      <c r="AM77" s="106"/>
      <c r="AN77" s="276"/>
      <c r="AP77" s="26"/>
      <c r="AR77" s="595"/>
      <c r="AS77" s="643"/>
      <c r="AT77" s="645"/>
      <c r="AU77" s="64" t="e">
        <f t="shared" si="22"/>
        <v>#DIV/0!</v>
      </c>
      <c r="AV77" s="1270"/>
      <c r="AW77" s="595"/>
      <c r="AX77" s="645"/>
      <c r="AY77" s="614"/>
      <c r="BA77" s="7505"/>
      <c r="BC77" s="595"/>
      <c r="BD77" s="643"/>
      <c r="BE77" s="645"/>
      <c r="BF77" s="64"/>
      <c r="BG77" s="1270"/>
      <c r="BH77" s="595"/>
      <c r="BI77" s="645"/>
      <c r="BJ77" s="614"/>
      <c r="BL77" s="7505"/>
    </row>
    <row r="78" spans="1:64" x14ac:dyDescent="0.35">
      <c r="A78" s="9168"/>
      <c r="B78" s="274"/>
      <c r="C78" s="274" t="s">
        <v>5997</v>
      </c>
      <c r="D78" s="197"/>
      <c r="F78" s="163"/>
      <c r="H78" s="242"/>
      <c r="I78" s="243"/>
      <c r="J78" s="64"/>
      <c r="L78" s="242"/>
      <c r="M78" s="611"/>
      <c r="O78" s="117"/>
      <c r="P78" s="201"/>
      <c r="Q78" s="106"/>
      <c r="R78" s="64"/>
      <c r="T78" s="117"/>
      <c r="U78" s="106"/>
      <c r="V78" s="276"/>
      <c r="X78" s="117"/>
      <c r="Y78" s="201"/>
      <c r="Z78" s="106"/>
      <c r="AA78" s="64"/>
      <c r="AC78" s="117"/>
      <c r="AD78" s="106"/>
      <c r="AE78" s="276"/>
      <c r="AG78" s="117"/>
      <c r="AH78" s="201"/>
      <c r="AI78" s="106"/>
      <c r="AJ78" s="64"/>
      <c r="AL78" s="117"/>
      <c r="AM78" s="106"/>
      <c r="AN78" s="276"/>
      <c r="AP78" s="26"/>
      <c r="AR78" s="595"/>
      <c r="AS78" s="643"/>
      <c r="AT78" s="645"/>
      <c r="AU78" s="64" t="e">
        <f t="shared" si="22"/>
        <v>#DIV/0!</v>
      </c>
      <c r="AV78" s="1270"/>
      <c r="AW78" s="595"/>
      <c r="AX78" s="645"/>
      <c r="AY78" s="614"/>
      <c r="BA78" s="26"/>
      <c r="BC78" s="595"/>
      <c r="BD78" s="643"/>
      <c r="BE78" s="645"/>
      <c r="BF78" s="64"/>
      <c r="BG78" s="1270"/>
      <c r="BH78" s="595"/>
      <c r="BI78" s="645"/>
      <c r="BJ78" s="614"/>
      <c r="BL78" s="26"/>
    </row>
    <row r="79" spans="1:64" x14ac:dyDescent="0.35">
      <c r="A79" s="9168"/>
      <c r="B79" s="274"/>
      <c r="C79" s="274" t="s">
        <v>5998</v>
      </c>
      <c r="D79" s="197"/>
      <c r="F79" s="163"/>
      <c r="H79" s="242"/>
      <c r="I79" s="243"/>
      <c r="J79" s="64"/>
      <c r="L79" s="242"/>
      <c r="M79" s="611"/>
      <c r="O79" s="117"/>
      <c r="P79" s="201"/>
      <c r="Q79" s="106"/>
      <c r="R79" s="64"/>
      <c r="T79" s="117"/>
      <c r="U79" s="106"/>
      <c r="V79" s="276"/>
      <c r="X79" s="117"/>
      <c r="Y79" s="201"/>
      <c r="Z79" s="106"/>
      <c r="AA79" s="64"/>
      <c r="AC79" s="117"/>
      <c r="AD79" s="106"/>
      <c r="AE79" s="276"/>
      <c r="AG79" s="117"/>
      <c r="AH79" s="201"/>
      <c r="AI79" s="106"/>
      <c r="AJ79" s="64"/>
      <c r="AL79" s="117"/>
      <c r="AM79" s="106"/>
      <c r="AN79" s="276"/>
      <c r="AP79" s="26"/>
      <c r="AR79" s="595"/>
      <c r="AS79" s="643"/>
      <c r="AT79" s="645"/>
      <c r="AU79" s="64" t="e">
        <f t="shared" si="22"/>
        <v>#DIV/0!</v>
      </c>
      <c r="AV79" s="1270"/>
      <c r="AW79" s="595"/>
      <c r="AX79" s="645"/>
      <c r="AY79" s="614"/>
      <c r="BA79" s="26"/>
      <c r="BC79" s="595"/>
      <c r="BD79" s="643"/>
      <c r="BE79" s="645"/>
      <c r="BF79" s="64"/>
      <c r="BG79" s="1270"/>
      <c r="BH79" s="595"/>
      <c r="BI79" s="645"/>
      <c r="BJ79" s="614"/>
      <c r="BL79" s="26"/>
    </row>
    <row r="80" spans="1:64" x14ac:dyDescent="0.35">
      <c r="A80" s="9168"/>
      <c r="B80" s="274"/>
      <c r="C80" s="274" t="s">
        <v>5999</v>
      </c>
      <c r="D80" s="197"/>
      <c r="F80" s="163"/>
      <c r="H80" s="242"/>
      <c r="I80" s="243"/>
      <c r="J80" s="64"/>
      <c r="L80" s="242"/>
      <c r="M80" s="611"/>
      <c r="O80" s="117"/>
      <c r="P80" s="201"/>
      <c r="Q80" s="106"/>
      <c r="R80" s="64"/>
      <c r="T80" s="117"/>
      <c r="U80" s="106"/>
      <c r="V80" s="276"/>
      <c r="X80" s="117"/>
      <c r="Y80" s="201"/>
      <c r="Z80" s="106"/>
      <c r="AA80" s="64"/>
      <c r="AC80" s="117"/>
      <c r="AD80" s="106"/>
      <c r="AE80" s="276"/>
      <c r="AG80" s="117"/>
      <c r="AH80" s="201"/>
      <c r="AI80" s="106"/>
      <c r="AJ80" s="64"/>
      <c r="AL80" s="117"/>
      <c r="AM80" s="106"/>
      <c r="AN80" s="276"/>
      <c r="AP80" s="26"/>
      <c r="AR80" s="595"/>
      <c r="AS80" s="643"/>
      <c r="AT80" s="645"/>
      <c r="AU80" s="64" t="e">
        <f t="shared" si="22"/>
        <v>#DIV/0!</v>
      </c>
      <c r="AV80" s="1270"/>
      <c r="AW80" s="595"/>
      <c r="AX80" s="645"/>
      <c r="AY80" s="614"/>
      <c r="BA80" s="26"/>
      <c r="BC80" s="595"/>
      <c r="BD80" s="643"/>
      <c r="BE80" s="645"/>
      <c r="BF80" s="64"/>
      <c r="BG80" s="1270"/>
      <c r="BH80" s="595"/>
      <c r="BI80" s="645"/>
      <c r="BJ80" s="614"/>
      <c r="BL80" s="26"/>
    </row>
    <row r="81" spans="1:64" x14ac:dyDescent="0.35">
      <c r="A81" s="9168"/>
      <c r="B81" s="274"/>
      <c r="C81" s="274" t="s">
        <v>6000</v>
      </c>
      <c r="D81" s="197"/>
      <c r="F81" s="163"/>
      <c r="H81" s="242"/>
      <c r="I81" s="243"/>
      <c r="J81" s="64"/>
      <c r="L81" s="242"/>
      <c r="M81" s="611"/>
      <c r="O81" s="117"/>
      <c r="P81" s="201"/>
      <c r="Q81" s="106"/>
      <c r="R81" s="64"/>
      <c r="T81" s="117"/>
      <c r="U81" s="106"/>
      <c r="V81" s="276"/>
      <c r="X81" s="117"/>
      <c r="Y81" s="201"/>
      <c r="Z81" s="106"/>
      <c r="AA81" s="64"/>
      <c r="AC81" s="117"/>
      <c r="AD81" s="106"/>
      <c r="AE81" s="276"/>
      <c r="AG81" s="117"/>
      <c r="AH81" s="201"/>
      <c r="AI81" s="106"/>
      <c r="AJ81" s="64"/>
      <c r="AL81" s="117"/>
      <c r="AM81" s="106"/>
      <c r="AN81" s="276"/>
      <c r="AP81" s="26"/>
      <c r="AR81" s="595"/>
      <c r="AS81" s="643"/>
      <c r="AT81" s="645"/>
      <c r="AU81" s="64" t="e">
        <f t="shared" si="22"/>
        <v>#DIV/0!</v>
      </c>
      <c r="AV81" s="1270"/>
      <c r="AW81" s="595"/>
      <c r="AX81" s="645"/>
      <c r="AY81" s="614"/>
      <c r="BA81" s="26"/>
      <c r="BC81" s="595"/>
      <c r="BD81" s="643"/>
      <c r="BE81" s="645"/>
      <c r="BF81" s="64"/>
      <c r="BG81" s="1270"/>
      <c r="BH81" s="595"/>
      <c r="BI81" s="645"/>
      <c r="BJ81" s="614"/>
      <c r="BL81" s="26"/>
    </row>
    <row r="82" spans="1:64" x14ac:dyDescent="0.35">
      <c r="A82" s="9168"/>
      <c r="B82" s="274"/>
      <c r="C82" s="274" t="s">
        <v>6001</v>
      </c>
      <c r="D82" s="197"/>
      <c r="F82" s="163"/>
      <c r="H82" s="242"/>
      <c r="I82" s="243"/>
      <c r="J82" s="64"/>
      <c r="L82" s="242"/>
      <c r="M82" s="611"/>
      <c r="O82" s="117"/>
      <c r="P82" s="201"/>
      <c r="Q82" s="106"/>
      <c r="R82" s="64"/>
      <c r="T82" s="117"/>
      <c r="U82" s="106"/>
      <c r="V82" s="276"/>
      <c r="X82" s="117"/>
      <c r="Y82" s="201"/>
      <c r="Z82" s="106"/>
      <c r="AA82" s="64"/>
      <c r="AC82" s="117"/>
      <c r="AD82" s="106"/>
      <c r="AE82" s="276"/>
      <c r="AG82" s="117"/>
      <c r="AH82" s="201"/>
      <c r="AI82" s="106"/>
      <c r="AJ82" s="64"/>
      <c r="AL82" s="117"/>
      <c r="AM82" s="106"/>
      <c r="AN82" s="276"/>
      <c r="AP82" s="26"/>
      <c r="AR82" s="595"/>
      <c r="AS82" s="643"/>
      <c r="AT82" s="645"/>
      <c r="AU82" s="64" t="e">
        <f t="shared" si="22"/>
        <v>#DIV/0!</v>
      </c>
      <c r="AV82" s="1270"/>
      <c r="AW82" s="595"/>
      <c r="AX82" s="645"/>
      <c r="AY82" s="614"/>
      <c r="BA82" s="26"/>
      <c r="BC82" s="595"/>
      <c r="BD82" s="643"/>
      <c r="BE82" s="645"/>
      <c r="BF82" s="64"/>
      <c r="BG82" s="1270"/>
      <c r="BH82" s="595"/>
      <c r="BI82" s="645"/>
      <c r="BJ82" s="614"/>
      <c r="BL82" s="26"/>
    </row>
    <row r="83" spans="1:64" x14ac:dyDescent="0.35">
      <c r="A83" s="9168"/>
      <c r="B83" s="274"/>
      <c r="C83" s="274" t="s">
        <v>6002</v>
      </c>
      <c r="D83" s="197"/>
      <c r="F83" s="163"/>
      <c r="H83" s="242"/>
      <c r="I83" s="243"/>
      <c r="J83" s="64"/>
      <c r="L83" s="242"/>
      <c r="M83" s="611"/>
      <c r="O83" s="117"/>
      <c r="P83" s="201"/>
      <c r="Q83" s="106"/>
      <c r="R83" s="64"/>
      <c r="T83" s="117"/>
      <c r="U83" s="106"/>
      <c r="V83" s="276"/>
      <c r="X83" s="117"/>
      <c r="Y83" s="201"/>
      <c r="Z83" s="106"/>
      <c r="AA83" s="64"/>
      <c r="AC83" s="117"/>
      <c r="AD83" s="106"/>
      <c r="AE83" s="276"/>
      <c r="AG83" s="117"/>
      <c r="AH83" s="201"/>
      <c r="AI83" s="106"/>
      <c r="AJ83" s="64"/>
      <c r="AL83" s="117"/>
      <c r="AM83" s="106"/>
      <c r="AN83" s="276"/>
      <c r="AP83" s="26"/>
      <c r="AR83" s="595"/>
      <c r="AS83" s="643"/>
      <c r="AT83" s="645"/>
      <c r="AU83" s="64" t="e">
        <f t="shared" si="22"/>
        <v>#DIV/0!</v>
      </c>
      <c r="AV83" s="1270"/>
      <c r="AW83" s="595"/>
      <c r="AX83" s="645"/>
      <c r="AY83" s="614"/>
      <c r="BA83" s="26"/>
      <c r="BC83" s="595"/>
      <c r="BD83" s="643"/>
      <c r="BE83" s="645"/>
      <c r="BF83" s="64"/>
      <c r="BG83" s="1270"/>
      <c r="BH83" s="595"/>
      <c r="BI83" s="645"/>
      <c r="BJ83" s="614"/>
      <c r="BL83" s="26"/>
    </row>
    <row r="84" spans="1:64" ht="15.25" customHeight="1" x14ac:dyDescent="0.35">
      <c r="A84" s="9168"/>
      <c r="B84" s="274"/>
      <c r="C84" s="274" t="s">
        <v>6003</v>
      </c>
      <c r="D84" s="197"/>
      <c r="F84" s="163"/>
      <c r="H84" s="242"/>
      <c r="I84" s="243"/>
      <c r="J84" s="64"/>
      <c r="L84" s="242"/>
      <c r="M84" s="611"/>
      <c r="O84" s="117"/>
      <c r="P84" s="201"/>
      <c r="Q84" s="106"/>
      <c r="R84" s="64"/>
      <c r="T84" s="117"/>
      <c r="U84" s="106"/>
      <c r="V84" s="276"/>
      <c r="X84" s="117"/>
      <c r="Y84" s="201"/>
      <c r="Z84" s="106"/>
      <c r="AA84" s="64"/>
      <c r="AC84" s="117"/>
      <c r="AD84" s="106"/>
      <c r="AE84" s="276"/>
      <c r="AG84" s="117"/>
      <c r="AH84" s="201"/>
      <c r="AI84" s="106"/>
      <c r="AJ84" s="64"/>
      <c r="AL84" s="117"/>
      <c r="AM84" s="106"/>
      <c r="AN84" s="276"/>
      <c r="AP84" s="26"/>
      <c r="AR84" s="595"/>
      <c r="AS84" s="643"/>
      <c r="AT84" s="645"/>
      <c r="AU84" s="64" t="e">
        <f t="shared" si="22"/>
        <v>#DIV/0!</v>
      </c>
      <c r="AV84" s="1270"/>
      <c r="AW84" s="595"/>
      <c r="AX84" s="645"/>
      <c r="AY84" s="614"/>
      <c r="BA84" s="26"/>
      <c r="BC84" s="595"/>
      <c r="BD84" s="643"/>
      <c r="BE84" s="645"/>
      <c r="BF84" s="64"/>
      <c r="BG84" s="1270"/>
      <c r="BH84" s="595"/>
      <c r="BI84" s="645"/>
      <c r="BJ84" s="614"/>
      <c r="BL84" s="26"/>
    </row>
    <row r="85" spans="1:64" x14ac:dyDescent="0.35">
      <c r="A85" s="9168"/>
      <c r="B85" s="274"/>
      <c r="C85" s="274" t="s">
        <v>6004</v>
      </c>
      <c r="D85" s="197"/>
      <c r="F85" s="163"/>
      <c r="H85" s="242"/>
      <c r="I85" s="243"/>
      <c r="J85" s="64"/>
      <c r="L85" s="242"/>
      <c r="M85" s="611"/>
      <c r="O85" s="117"/>
      <c r="P85" s="201"/>
      <c r="Q85" s="106"/>
      <c r="R85" s="64"/>
      <c r="T85" s="117"/>
      <c r="U85" s="106"/>
      <c r="V85" s="276"/>
      <c r="X85" s="117"/>
      <c r="Y85" s="201"/>
      <c r="Z85" s="106"/>
      <c r="AA85" s="64"/>
      <c r="AC85" s="117"/>
      <c r="AD85" s="106"/>
      <c r="AE85" s="276"/>
      <c r="AG85" s="117"/>
      <c r="AH85" s="201"/>
      <c r="AI85" s="106"/>
      <c r="AJ85" s="64"/>
      <c r="AL85" s="117"/>
      <c r="AM85" s="106"/>
      <c r="AN85" s="276"/>
      <c r="AP85" s="26"/>
      <c r="AR85" s="595"/>
      <c r="AS85" s="643"/>
      <c r="AT85" s="645"/>
      <c r="AU85" s="64" t="e">
        <f t="shared" si="22"/>
        <v>#DIV/0!</v>
      </c>
      <c r="AV85" s="1270"/>
      <c r="AW85" s="595"/>
      <c r="AX85" s="645"/>
      <c r="AY85" s="614"/>
      <c r="BA85" s="26"/>
      <c r="BC85" s="595"/>
      <c r="BD85" s="643"/>
      <c r="BE85" s="645"/>
      <c r="BF85" s="64"/>
      <c r="BG85" s="1270"/>
      <c r="BH85" s="595"/>
      <c r="BI85" s="645"/>
      <c r="BJ85" s="614"/>
      <c r="BL85" s="26"/>
    </row>
    <row r="86" spans="1:64" x14ac:dyDescent="0.35">
      <c r="A86" s="9168"/>
      <c r="B86" s="274"/>
      <c r="C86" s="274" t="s">
        <v>6005</v>
      </c>
      <c r="D86" s="197"/>
      <c r="F86" s="163"/>
      <c r="H86" s="242"/>
      <c r="I86" s="243"/>
      <c r="J86" s="64"/>
      <c r="L86" s="242"/>
      <c r="M86" s="611"/>
      <c r="O86" s="117"/>
      <c r="P86" s="201"/>
      <c r="Q86" s="106"/>
      <c r="R86" s="64"/>
      <c r="T86" s="117"/>
      <c r="U86" s="106"/>
      <c r="V86" s="276"/>
      <c r="X86" s="117"/>
      <c r="Y86" s="201"/>
      <c r="Z86" s="106"/>
      <c r="AA86" s="64"/>
      <c r="AC86" s="117"/>
      <c r="AD86" s="106"/>
      <c r="AE86" s="276"/>
      <c r="AG86" s="117"/>
      <c r="AH86" s="201"/>
      <c r="AI86" s="106"/>
      <c r="AJ86" s="64"/>
      <c r="AL86" s="117"/>
      <c r="AM86" s="106"/>
      <c r="AN86" s="276"/>
      <c r="AP86" s="26"/>
      <c r="AR86" s="595"/>
      <c r="AS86" s="643"/>
      <c r="AT86" s="645"/>
      <c r="AU86" s="64" t="e">
        <f t="shared" si="22"/>
        <v>#DIV/0!</v>
      </c>
      <c r="AV86" s="1270"/>
      <c r="AW86" s="595"/>
      <c r="AX86" s="645"/>
      <c r="AY86" s="614"/>
      <c r="BA86" s="26"/>
      <c r="BC86" s="595"/>
      <c r="BD86" s="643"/>
      <c r="BE86" s="645"/>
      <c r="BF86" s="64"/>
      <c r="BG86" s="1270"/>
      <c r="BH86" s="595"/>
      <c r="BI86" s="645"/>
      <c r="BJ86" s="614"/>
      <c r="BL86" s="26"/>
    </row>
    <row r="87" spans="1:64" x14ac:dyDescent="0.35">
      <c r="A87" s="9168"/>
      <c r="B87" s="274"/>
      <c r="C87" s="274" t="s">
        <v>6006</v>
      </c>
      <c r="D87" s="197"/>
      <c r="F87" s="163"/>
      <c r="H87" s="242"/>
      <c r="I87" s="243"/>
      <c r="J87" s="64"/>
      <c r="L87" s="242"/>
      <c r="M87" s="611"/>
      <c r="O87" s="117"/>
      <c r="P87" s="201"/>
      <c r="Q87" s="106"/>
      <c r="R87" s="64"/>
      <c r="T87" s="117"/>
      <c r="U87" s="106"/>
      <c r="V87" s="276"/>
      <c r="X87" s="117"/>
      <c r="Y87" s="201"/>
      <c r="Z87" s="106"/>
      <c r="AA87" s="64"/>
      <c r="AC87" s="117"/>
      <c r="AD87" s="106"/>
      <c r="AE87" s="276"/>
      <c r="AG87" s="117"/>
      <c r="AH87" s="201"/>
      <c r="AI87" s="106"/>
      <c r="AJ87" s="64"/>
      <c r="AL87" s="117"/>
      <c r="AM87" s="106"/>
      <c r="AN87" s="276"/>
      <c r="AP87" s="26"/>
      <c r="AR87" s="595"/>
      <c r="AS87" s="643"/>
      <c r="AT87" s="645"/>
      <c r="AU87" s="64" t="e">
        <f t="shared" si="22"/>
        <v>#DIV/0!</v>
      </c>
      <c r="AV87" s="1270"/>
      <c r="AW87" s="595"/>
      <c r="AX87" s="645"/>
      <c r="AY87" s="614"/>
      <c r="BA87" s="26"/>
      <c r="BC87" s="595"/>
      <c r="BD87" s="643"/>
      <c r="BE87" s="645"/>
      <c r="BF87" s="64"/>
      <c r="BG87" s="1270"/>
      <c r="BH87" s="595"/>
      <c r="BI87" s="645"/>
      <c r="BJ87" s="614"/>
      <c r="BL87" s="26"/>
    </row>
    <row r="88" spans="1:64" x14ac:dyDescent="0.35">
      <c r="A88" s="9168"/>
      <c r="B88" s="277"/>
      <c r="C88" s="277"/>
      <c r="D88" s="209"/>
      <c r="F88" s="665"/>
      <c r="G88" s="666"/>
      <c r="H88" s="283"/>
      <c r="I88" s="667"/>
      <c r="J88" s="133"/>
      <c r="L88" s="283"/>
      <c r="M88" s="4041"/>
      <c r="O88" s="283"/>
      <c r="P88" s="201"/>
      <c r="Q88" s="284"/>
      <c r="R88" s="133"/>
      <c r="T88" s="283"/>
      <c r="U88" s="284"/>
      <c r="V88" s="285"/>
      <c r="X88" s="283"/>
      <c r="Y88" s="201"/>
      <c r="Z88" s="284"/>
      <c r="AA88" s="133"/>
      <c r="AC88" s="283"/>
      <c r="AD88" s="284"/>
      <c r="AE88" s="285"/>
      <c r="AG88" s="283"/>
      <c r="AH88" s="201"/>
      <c r="AI88" s="284"/>
      <c r="AJ88" s="133"/>
      <c r="AL88" s="283"/>
      <c r="AM88" s="284"/>
      <c r="AN88" s="285"/>
      <c r="AP88" s="24"/>
      <c r="AR88" s="283"/>
      <c r="AS88" s="201"/>
      <c r="AT88" s="284"/>
      <c r="AU88" s="133"/>
      <c r="AW88" s="7506"/>
      <c r="AX88" s="284"/>
      <c r="AY88" s="285"/>
      <c r="BA88" s="24"/>
      <c r="BC88" s="283"/>
      <c r="BD88" s="201"/>
      <c r="BE88" s="284"/>
      <c r="BF88" s="133"/>
      <c r="BH88" s="7506"/>
      <c r="BI88" s="284"/>
      <c r="BJ88" s="285"/>
      <c r="BL88" s="24"/>
    </row>
    <row r="89" spans="1:64" x14ac:dyDescent="0.35">
      <c r="A89" s="9168"/>
      <c r="B89" s="287" t="s">
        <v>556</v>
      </c>
      <c r="C89" s="288"/>
      <c r="D89" s="184"/>
      <c r="E89" s="143"/>
      <c r="F89" s="289"/>
      <c r="G89" s="290"/>
      <c r="H89" s="291"/>
      <c r="I89" s="292"/>
      <c r="J89" s="293"/>
      <c r="L89" s="1990"/>
      <c r="M89" s="294"/>
      <c r="N89" s="143"/>
      <c r="O89" s="291"/>
      <c r="P89" s="292"/>
      <c r="Q89" s="106"/>
      <c r="R89" s="293"/>
      <c r="T89" s="291"/>
      <c r="U89" s="106"/>
      <c r="V89" s="294"/>
      <c r="W89" s="143"/>
      <c r="X89" s="291"/>
      <c r="Y89" s="292"/>
      <c r="Z89" s="106"/>
      <c r="AA89" s="293"/>
      <c r="AC89" s="291"/>
      <c r="AD89" s="106"/>
      <c r="AE89" s="294"/>
      <c r="AF89" s="143"/>
      <c r="AG89" s="291"/>
      <c r="AH89" s="292"/>
      <c r="AI89" s="106"/>
      <c r="AJ89" s="293"/>
      <c r="AL89" s="291"/>
      <c r="AM89" s="106"/>
      <c r="AN89" s="294"/>
      <c r="AO89" s="143"/>
      <c r="AP89" s="18"/>
      <c r="AR89" s="291"/>
      <c r="AS89" s="292"/>
      <c r="AT89" s="106"/>
      <c r="AU89" s="293"/>
      <c r="AW89" s="291"/>
      <c r="AX89" s="106"/>
      <c r="AY89" s="294"/>
      <c r="BA89" s="18"/>
      <c r="BC89" s="291"/>
      <c r="BD89" s="292"/>
      <c r="BE89" s="106"/>
      <c r="BF89" s="293"/>
      <c r="BH89" s="291"/>
      <c r="BI89" s="106"/>
      <c r="BJ89" s="294"/>
      <c r="BL89" s="18"/>
    </row>
    <row r="90" spans="1:64" ht="14.5" customHeight="1" x14ac:dyDescent="0.35">
      <c r="A90" s="9168"/>
      <c r="B90" s="302"/>
      <c r="C90" s="59" t="s">
        <v>5288</v>
      </c>
      <c r="D90" s="197"/>
      <c r="F90" s="521"/>
      <c r="G90" s="272"/>
      <c r="H90" s="62"/>
      <c r="I90" s="63"/>
      <c r="J90" s="297">
        <f>IF(H90=0,0,I90/H90)</f>
        <v>0</v>
      </c>
      <c r="L90" s="304"/>
      <c r="M90" s="301"/>
      <c r="O90" s="298"/>
      <c r="P90" s="299"/>
      <c r="Q90" s="57"/>
      <c r="R90" s="300"/>
      <c r="T90" s="62"/>
      <c r="U90" s="57"/>
      <c r="V90" s="301"/>
      <c r="X90" s="298"/>
      <c r="Y90" s="299"/>
      <c r="Z90" s="57"/>
      <c r="AA90" s="300"/>
      <c r="AC90" s="62"/>
      <c r="AD90" s="57"/>
      <c r="AE90" s="301"/>
      <c r="AG90" s="298"/>
      <c r="AH90" s="299"/>
      <c r="AI90" s="57"/>
      <c r="AJ90" s="300"/>
      <c r="AL90" s="62"/>
      <c r="AM90" s="57"/>
      <c r="AN90" s="301"/>
      <c r="AP90" s="26"/>
      <c r="AR90" s="298"/>
      <c r="AS90" s="299"/>
      <c r="AT90" s="57"/>
      <c r="AU90" s="300"/>
      <c r="AW90" s="62"/>
      <c r="AX90" s="57"/>
      <c r="AY90" s="301"/>
      <c r="BA90" s="26"/>
      <c r="BC90" s="298"/>
      <c r="BD90" s="299"/>
      <c r="BE90" s="57"/>
      <c r="BF90" s="300"/>
      <c r="BH90" s="62"/>
      <c r="BI90" s="57"/>
      <c r="BJ90" s="301"/>
      <c r="BL90" s="26"/>
    </row>
    <row r="91" spans="1:64" x14ac:dyDescent="0.35">
      <c r="A91" s="9168"/>
      <c r="B91" s="302"/>
      <c r="C91" s="59" t="s">
        <v>533</v>
      </c>
      <c r="D91" s="197"/>
      <c r="F91" s="61"/>
      <c r="G91" s="272"/>
      <c r="H91" s="62"/>
      <c r="I91" s="63"/>
      <c r="J91" s="297">
        <f>IF(H91=0,0,I91/H91)</f>
        <v>0</v>
      </c>
      <c r="L91" s="62"/>
      <c r="M91" s="301"/>
      <c r="O91" s="62"/>
      <c r="P91" s="303"/>
      <c r="Q91" s="57"/>
      <c r="R91" s="297"/>
      <c r="T91" s="304"/>
      <c r="U91" s="57"/>
      <c r="V91" s="301"/>
      <c r="X91" s="62"/>
      <c r="Y91" s="303"/>
      <c r="Z91" s="57"/>
      <c r="AA91" s="297"/>
      <c r="AC91" s="304"/>
      <c r="AD91" s="57"/>
      <c r="AE91" s="301"/>
      <c r="AG91" s="62"/>
      <c r="AH91" s="303"/>
      <c r="AI91" s="57"/>
      <c r="AJ91" s="297"/>
      <c r="AL91" s="304"/>
      <c r="AM91" s="57"/>
      <c r="AN91" s="301"/>
      <c r="AP91" s="26"/>
      <c r="AR91" s="62"/>
      <c r="AS91" s="303"/>
      <c r="AT91" s="57"/>
      <c r="AU91" s="297"/>
      <c r="AW91" s="304"/>
      <c r="AX91" s="57"/>
      <c r="AY91" s="301"/>
      <c r="BA91" s="26"/>
      <c r="BC91" s="62"/>
      <c r="BD91" s="303"/>
      <c r="BE91" s="57"/>
      <c r="BF91" s="297"/>
      <c r="BH91" s="304"/>
      <c r="BI91" s="57"/>
      <c r="BJ91" s="301"/>
      <c r="BL91" s="26"/>
    </row>
    <row r="92" spans="1:64" x14ac:dyDescent="0.35">
      <c r="A92" s="9168"/>
      <c r="B92" s="305"/>
      <c r="C92" s="59" t="s">
        <v>534</v>
      </c>
      <c r="D92" s="197"/>
      <c r="F92" s="61"/>
      <c r="G92" s="272"/>
      <c r="H92" s="62"/>
      <c r="I92" s="63"/>
      <c r="J92" s="297">
        <f>IF(H92=0,0,I92/H92)</f>
        <v>0</v>
      </c>
      <c r="L92" s="62"/>
      <c r="M92" s="301"/>
      <c r="O92" s="62"/>
      <c r="P92" s="72"/>
      <c r="Q92" s="57"/>
      <c r="R92" s="297"/>
      <c r="T92" s="62"/>
      <c r="U92" s="57"/>
      <c r="V92" s="301"/>
      <c r="X92" s="62"/>
      <c r="Y92" s="72"/>
      <c r="Z92" s="57"/>
      <c r="AA92" s="297"/>
      <c r="AC92" s="62"/>
      <c r="AD92" s="57"/>
      <c r="AE92" s="301"/>
      <c r="AG92" s="62"/>
      <c r="AH92" s="72"/>
      <c r="AI92" s="57"/>
      <c r="AJ92" s="297"/>
      <c r="AL92" s="62"/>
      <c r="AM92" s="57"/>
      <c r="AN92" s="301"/>
      <c r="AP92" s="26"/>
      <c r="AR92" s="62"/>
      <c r="AS92" s="72"/>
      <c r="AT92" s="57"/>
      <c r="AU92" s="297"/>
      <c r="AW92" s="62"/>
      <c r="AX92" s="57"/>
      <c r="AY92" s="301"/>
      <c r="BA92" s="26"/>
      <c r="BC92" s="62"/>
      <c r="BD92" s="72"/>
      <c r="BE92" s="57"/>
      <c r="BF92" s="297"/>
      <c r="BH92" s="62"/>
      <c r="BI92" s="57"/>
      <c r="BJ92" s="301"/>
      <c r="BL92" s="26"/>
    </row>
    <row r="93" spans="1:64" x14ac:dyDescent="0.35">
      <c r="A93" s="9169"/>
      <c r="B93" s="306"/>
      <c r="C93" s="86" t="s">
        <v>536</v>
      </c>
      <c r="D93" s="209"/>
      <c r="F93" s="88"/>
      <c r="G93" s="274"/>
      <c r="H93" s="89"/>
      <c r="I93" s="90"/>
      <c r="J93" s="307">
        <f>IF(H93=0,0,I93/H93)</f>
        <v>0</v>
      </c>
      <c r="L93" s="89"/>
      <c r="M93" s="309"/>
      <c r="O93" s="89"/>
      <c r="P93" s="308"/>
      <c r="Q93" s="216"/>
      <c r="R93" s="307"/>
      <c r="T93" s="89"/>
      <c r="U93" s="216"/>
      <c r="V93" s="309"/>
      <c r="X93" s="89"/>
      <c r="Y93" s="308"/>
      <c r="Z93" s="216"/>
      <c r="AA93" s="307"/>
      <c r="AC93" s="89"/>
      <c r="AD93" s="216"/>
      <c r="AE93" s="309"/>
      <c r="AG93" s="89"/>
      <c r="AH93" s="308"/>
      <c r="AI93" s="216"/>
      <c r="AJ93" s="307"/>
      <c r="AL93" s="89"/>
      <c r="AM93" s="216"/>
      <c r="AN93" s="309"/>
      <c r="AP93" s="24"/>
      <c r="AR93" s="89"/>
      <c r="AS93" s="308"/>
      <c r="AT93" s="216"/>
      <c r="AU93" s="307"/>
      <c r="AW93" s="89"/>
      <c r="AX93" s="216"/>
      <c r="AY93" s="309"/>
      <c r="BA93" s="24"/>
      <c r="BC93" s="89"/>
      <c r="BD93" s="308"/>
      <c r="BE93" s="216"/>
      <c r="BF93" s="307"/>
      <c r="BH93" s="89"/>
      <c r="BI93" s="216"/>
      <c r="BJ93" s="309"/>
      <c r="BL93" s="24"/>
    </row>
    <row r="94" spans="1:64" x14ac:dyDescent="0.35">
      <c r="A94" s="310"/>
      <c r="B94" s="310"/>
      <c r="F94" s="106"/>
      <c r="H94" s="106"/>
      <c r="I94" s="106"/>
      <c r="J94" s="311"/>
      <c r="L94" s="106"/>
      <c r="M94" s="312"/>
      <c r="O94" s="106"/>
      <c r="P94" s="106"/>
      <c r="Q94" s="106"/>
      <c r="R94" s="311"/>
      <c r="T94" s="106"/>
      <c r="U94" s="106"/>
      <c r="V94" s="312"/>
      <c r="X94" s="106"/>
      <c r="Y94" s="106"/>
      <c r="Z94" s="106"/>
      <c r="AA94" s="311"/>
      <c r="AC94" s="106"/>
      <c r="AD94" s="106"/>
      <c r="AE94" s="312"/>
      <c r="AG94" s="106"/>
      <c r="AH94" s="106"/>
      <c r="AI94" s="106"/>
      <c r="AJ94" s="311"/>
      <c r="AL94" s="106"/>
      <c r="AM94" s="106"/>
      <c r="AN94" s="312"/>
      <c r="AR94" s="106"/>
      <c r="AS94" s="106"/>
      <c r="AT94" s="106"/>
      <c r="AU94" s="311"/>
      <c r="AW94" s="106"/>
      <c r="AX94" s="106"/>
      <c r="AY94" s="312"/>
      <c r="BC94" s="106"/>
      <c r="BD94" s="106"/>
      <c r="BE94" s="106"/>
      <c r="BF94" s="311"/>
      <c r="BH94" s="106"/>
      <c r="BI94" s="106"/>
      <c r="BJ94" s="312"/>
    </row>
    <row r="95" spans="1:64" x14ac:dyDescent="0.35">
      <c r="A95" s="9226" t="s">
        <v>1114</v>
      </c>
      <c r="B95" s="673"/>
      <c r="C95" s="315" t="s">
        <v>11</v>
      </c>
      <c r="D95" s="184"/>
      <c r="F95" s="316"/>
      <c r="H95" s="317"/>
      <c r="I95" s="318"/>
      <c r="J95" s="319"/>
      <c r="L95" s="317"/>
      <c r="M95" s="318"/>
      <c r="O95" s="320">
        <v>43468.1</v>
      </c>
      <c r="P95" s="321">
        <v>43101.786339999999</v>
      </c>
      <c r="Q95" s="109" t="s">
        <v>5956</v>
      </c>
      <c r="R95" s="293"/>
      <c r="T95" s="317">
        <v>45769.783000000003</v>
      </c>
      <c r="U95" s="109" t="s">
        <v>5956</v>
      </c>
      <c r="V95" s="323">
        <v>45471.662490000002</v>
      </c>
      <c r="X95" s="320">
        <v>45613.783000000003</v>
      </c>
      <c r="Y95" s="321">
        <v>45304.328179999997</v>
      </c>
      <c r="Z95" s="109" t="s">
        <v>5956</v>
      </c>
      <c r="AA95" s="293"/>
      <c r="AC95" s="320">
        <v>46987.345000000001</v>
      </c>
      <c r="AD95" s="4042" t="s">
        <v>5956</v>
      </c>
      <c r="AE95" s="1429">
        <v>46415.790999999997</v>
      </c>
      <c r="AG95" s="320">
        <v>46987.345000000001</v>
      </c>
      <c r="AH95" s="321">
        <v>46415.790999999997</v>
      </c>
      <c r="AI95" s="109" t="s">
        <v>5956</v>
      </c>
      <c r="AJ95" s="293"/>
      <c r="AL95" s="320">
        <v>46981.334999999999</v>
      </c>
      <c r="AM95" s="4042" t="s">
        <v>5956</v>
      </c>
      <c r="AN95" s="1429">
        <v>45705.042000000001</v>
      </c>
      <c r="AR95" s="320"/>
      <c r="AS95" s="321"/>
      <c r="AT95" s="109"/>
      <c r="AU95" s="293"/>
      <c r="AW95" s="320"/>
      <c r="AX95" s="4042"/>
      <c r="AY95" s="1429"/>
      <c r="BC95" s="320"/>
      <c r="BD95" s="321"/>
      <c r="BE95" s="109"/>
      <c r="BF95" s="293"/>
      <c r="BH95" s="320"/>
      <c r="BI95" s="4042"/>
      <c r="BJ95" s="1429"/>
    </row>
    <row r="96" spans="1:64" x14ac:dyDescent="0.35">
      <c r="A96" s="9227"/>
      <c r="B96" s="325"/>
      <c r="C96" s="326" t="s">
        <v>1116</v>
      </c>
      <c r="D96" s="197"/>
      <c r="F96" s="327"/>
      <c r="H96" s="325"/>
      <c r="I96" s="328"/>
      <c r="J96" s="329"/>
      <c r="L96" s="325"/>
      <c r="M96" s="328"/>
      <c r="O96" s="674"/>
      <c r="P96" s="675"/>
      <c r="Q96" s="332"/>
      <c r="R96" s="297"/>
      <c r="T96" s="325"/>
      <c r="U96" s="332"/>
      <c r="V96" s="333"/>
      <c r="X96" s="674"/>
      <c r="Y96" s="675"/>
      <c r="Z96" s="332"/>
      <c r="AA96" s="297"/>
      <c r="AC96" s="325"/>
      <c r="AD96" s="332"/>
      <c r="AE96" s="333"/>
      <c r="AG96" s="674"/>
      <c r="AH96" s="675"/>
      <c r="AI96" s="332"/>
      <c r="AJ96" s="297"/>
      <c r="AL96" s="325"/>
      <c r="AM96" s="332"/>
      <c r="AN96" s="333"/>
      <c r="AR96" s="674"/>
      <c r="AS96" s="675"/>
      <c r="AT96" s="332"/>
      <c r="AU96" s="297"/>
      <c r="AW96" s="325"/>
      <c r="AX96" s="332"/>
      <c r="AY96" s="333"/>
      <c r="BC96" s="674"/>
      <c r="BD96" s="675"/>
      <c r="BE96" s="332"/>
      <c r="BF96" s="297"/>
      <c r="BH96" s="325"/>
      <c r="BI96" s="332"/>
      <c r="BJ96" s="333"/>
    </row>
    <row r="97" spans="1:64" x14ac:dyDescent="0.35">
      <c r="A97" s="9227"/>
      <c r="B97" s="335"/>
      <c r="C97" s="326"/>
      <c r="D97" s="197"/>
      <c r="F97" s="336"/>
      <c r="H97" s="330"/>
      <c r="I97" s="337"/>
      <c r="J97" s="329"/>
      <c r="L97" s="330"/>
      <c r="M97" s="337"/>
      <c r="O97" s="339"/>
      <c r="P97" s="340"/>
      <c r="Q97" s="106"/>
      <c r="R97" s="297"/>
      <c r="T97" s="330"/>
      <c r="U97" s="106"/>
      <c r="V97" s="333"/>
      <c r="X97" s="339"/>
      <c r="Y97" s="340"/>
      <c r="Z97" s="106"/>
      <c r="AA97" s="297"/>
      <c r="AC97" s="330"/>
      <c r="AD97" s="106"/>
      <c r="AE97" s="333"/>
      <c r="AG97" s="339"/>
      <c r="AH97" s="340"/>
      <c r="AI97" s="106"/>
      <c r="AJ97" s="297"/>
      <c r="AL97" s="330"/>
      <c r="AM97" s="106"/>
      <c r="AN97" s="333"/>
      <c r="AR97" s="339"/>
      <c r="AS97" s="340"/>
      <c r="AT97" s="106"/>
      <c r="AU97" s="297"/>
      <c r="AW97" s="330"/>
      <c r="AX97" s="106"/>
      <c r="AY97" s="333"/>
      <c r="BC97" s="339"/>
      <c r="BD97" s="340"/>
      <c r="BE97" s="106"/>
      <c r="BF97" s="297"/>
      <c r="BH97" s="330"/>
      <c r="BI97" s="106"/>
      <c r="BJ97" s="333"/>
    </row>
    <row r="98" spans="1:64" x14ac:dyDescent="0.35">
      <c r="A98" s="9227"/>
      <c r="B98" s="330"/>
      <c r="C98" s="326"/>
      <c r="D98" s="197"/>
      <c r="F98" s="336"/>
      <c r="H98" s="330"/>
      <c r="I98" s="337"/>
      <c r="J98" s="329"/>
      <c r="L98" s="330"/>
      <c r="M98" s="337"/>
      <c r="O98" s="339"/>
      <c r="P98" s="340"/>
      <c r="Q98" s="106"/>
      <c r="R98" s="297"/>
      <c r="T98" s="330"/>
      <c r="U98" s="106"/>
      <c r="V98" s="333"/>
      <c r="X98" s="339"/>
      <c r="Y98" s="340"/>
      <c r="Z98" s="106"/>
      <c r="AA98" s="297"/>
      <c r="AC98" s="330"/>
      <c r="AD98" s="106"/>
      <c r="AE98" s="333"/>
      <c r="AG98" s="339"/>
      <c r="AH98" s="340"/>
      <c r="AI98" s="106"/>
      <c r="AJ98" s="297"/>
      <c r="AL98" s="330"/>
      <c r="AM98" s="106"/>
      <c r="AN98" s="333"/>
      <c r="AR98" s="339"/>
      <c r="AS98" s="340"/>
      <c r="AT98" s="106"/>
      <c r="AU98" s="297"/>
      <c r="AW98" s="330"/>
      <c r="AX98" s="106"/>
      <c r="AY98" s="333"/>
      <c r="BC98" s="339"/>
      <c r="BD98" s="340"/>
      <c r="BE98" s="106"/>
      <c r="BF98" s="297"/>
      <c r="BH98" s="330"/>
      <c r="BI98" s="106"/>
      <c r="BJ98" s="333"/>
    </row>
    <row r="99" spans="1:64" x14ac:dyDescent="0.35">
      <c r="A99" s="9227"/>
      <c r="B99" s="330"/>
      <c r="C99" s="326"/>
      <c r="D99" s="197"/>
      <c r="F99" s="336"/>
      <c r="H99" s="330"/>
      <c r="I99" s="337"/>
      <c r="J99" s="329"/>
      <c r="L99" s="330"/>
      <c r="M99" s="337"/>
      <c r="O99" s="339"/>
      <c r="P99" s="340"/>
      <c r="Q99" s="106"/>
      <c r="R99" s="297"/>
      <c r="T99" s="330"/>
      <c r="U99" s="106"/>
      <c r="V99" s="333"/>
      <c r="X99" s="339"/>
      <c r="Y99" s="340"/>
      <c r="Z99" s="106"/>
      <c r="AA99" s="297"/>
      <c r="AC99" s="330"/>
      <c r="AD99" s="106"/>
      <c r="AE99" s="333"/>
      <c r="AG99" s="339"/>
      <c r="AH99" s="340"/>
      <c r="AI99" s="106"/>
      <c r="AJ99" s="297"/>
      <c r="AL99" s="330"/>
      <c r="AM99" s="106"/>
      <c r="AN99" s="333"/>
      <c r="AR99" s="339"/>
      <c r="AS99" s="340"/>
      <c r="AT99" s="106"/>
      <c r="AU99" s="297"/>
      <c r="AW99" s="330"/>
      <c r="AX99" s="106"/>
      <c r="AY99" s="333"/>
      <c r="BC99" s="339"/>
      <c r="BD99" s="340"/>
      <c r="BE99" s="106"/>
      <c r="BF99" s="297"/>
      <c r="BH99" s="330"/>
      <c r="BI99" s="106"/>
      <c r="BJ99" s="333"/>
    </row>
    <row r="100" spans="1:64" x14ac:dyDescent="0.35">
      <c r="A100" s="9227"/>
      <c r="B100" s="330"/>
      <c r="C100" s="326"/>
      <c r="D100" s="197"/>
      <c r="F100" s="336"/>
      <c r="H100" s="330"/>
      <c r="I100" s="337"/>
      <c r="J100" s="329"/>
      <c r="L100" s="330"/>
      <c r="M100" s="337"/>
      <c r="O100" s="339"/>
      <c r="P100" s="340"/>
      <c r="Q100" s="106"/>
      <c r="R100" s="297"/>
      <c r="T100" s="330"/>
      <c r="U100" s="106"/>
      <c r="V100" s="333"/>
      <c r="X100" s="339"/>
      <c r="Y100" s="340"/>
      <c r="Z100" s="106"/>
      <c r="AA100" s="297"/>
      <c r="AC100" s="330"/>
      <c r="AD100" s="106"/>
      <c r="AE100" s="333"/>
      <c r="AG100" s="339"/>
      <c r="AH100" s="340"/>
      <c r="AI100" s="106"/>
      <c r="AJ100" s="297"/>
      <c r="AL100" s="330"/>
      <c r="AM100" s="106"/>
      <c r="AN100" s="333"/>
      <c r="AR100" s="339"/>
      <c r="AS100" s="340"/>
      <c r="AT100" s="106"/>
      <c r="AU100" s="297"/>
      <c r="AW100" s="330"/>
      <c r="AX100" s="106"/>
      <c r="AY100" s="333"/>
      <c r="BC100" s="339"/>
      <c r="BD100" s="340"/>
      <c r="BE100" s="106"/>
      <c r="BF100" s="297"/>
      <c r="BH100" s="330"/>
      <c r="BI100" s="106"/>
      <c r="BJ100" s="333"/>
    </row>
    <row r="101" spans="1:64" ht="14.5" customHeight="1" x14ac:dyDescent="0.35">
      <c r="A101" s="9227"/>
      <c r="B101" s="330"/>
      <c r="C101" s="326"/>
      <c r="D101" s="197"/>
      <c r="F101" s="336"/>
      <c r="H101" s="330"/>
      <c r="I101" s="337"/>
      <c r="J101" s="329"/>
      <c r="L101" s="330"/>
      <c r="M101" s="337"/>
      <c r="O101" s="339"/>
      <c r="P101" s="340"/>
      <c r="Q101" s="106"/>
      <c r="R101" s="297"/>
      <c r="T101" s="330"/>
      <c r="U101" s="106"/>
      <c r="V101" s="333"/>
      <c r="X101" s="339"/>
      <c r="Y101" s="340"/>
      <c r="Z101" s="106"/>
      <c r="AA101" s="297"/>
      <c r="AC101" s="330"/>
      <c r="AD101" s="106"/>
      <c r="AE101" s="333"/>
      <c r="AG101" s="339"/>
      <c r="AH101" s="340"/>
      <c r="AI101" s="106"/>
      <c r="AJ101" s="297"/>
      <c r="AL101" s="330"/>
      <c r="AM101" s="106"/>
      <c r="AN101" s="333"/>
      <c r="AR101" s="339"/>
      <c r="AS101" s="340"/>
      <c r="AT101" s="106"/>
      <c r="AU101" s="297"/>
      <c r="AW101" s="330"/>
      <c r="AX101" s="106"/>
      <c r="AY101" s="333"/>
      <c r="BC101" s="339"/>
      <c r="BD101" s="340"/>
      <c r="BE101" s="106"/>
      <c r="BF101" s="297"/>
      <c r="BH101" s="330"/>
      <c r="BI101" s="106"/>
      <c r="BJ101" s="333"/>
    </row>
    <row r="102" spans="1:64" x14ac:dyDescent="0.35">
      <c r="A102" s="9227"/>
      <c r="B102" s="330"/>
      <c r="C102" s="326"/>
      <c r="D102" s="197"/>
      <c r="F102" s="336"/>
      <c r="H102" s="330"/>
      <c r="I102" s="337"/>
      <c r="J102" s="329"/>
      <c r="L102" s="330"/>
      <c r="M102" s="337"/>
      <c r="O102" s="339"/>
      <c r="P102" s="340"/>
      <c r="Q102" s="106"/>
      <c r="R102" s="297"/>
      <c r="T102" s="330"/>
      <c r="U102" s="106"/>
      <c r="V102" s="333"/>
      <c r="X102" s="339"/>
      <c r="Y102" s="340"/>
      <c r="Z102" s="106"/>
      <c r="AA102" s="297"/>
      <c r="AC102" s="330"/>
      <c r="AD102" s="106"/>
      <c r="AE102" s="333"/>
      <c r="AG102" s="339"/>
      <c r="AH102" s="340"/>
      <c r="AI102" s="106"/>
      <c r="AJ102" s="297"/>
      <c r="AL102" s="330"/>
      <c r="AM102" s="106"/>
      <c r="AN102" s="333"/>
      <c r="AR102" s="339"/>
      <c r="AS102" s="340"/>
      <c r="AT102" s="106"/>
      <c r="AU102" s="297"/>
      <c r="AW102" s="330"/>
      <c r="AX102" s="106"/>
      <c r="AY102" s="333"/>
      <c r="BC102" s="339"/>
      <c r="BD102" s="340"/>
      <c r="BE102" s="106"/>
      <c r="BF102" s="297"/>
      <c r="BH102" s="330"/>
      <c r="BI102" s="106"/>
      <c r="BJ102" s="333"/>
    </row>
    <row r="103" spans="1:64" x14ac:dyDescent="0.35">
      <c r="A103" s="9227"/>
      <c r="B103" s="330"/>
      <c r="C103" s="337"/>
      <c r="D103" s="197"/>
      <c r="F103" s="336"/>
      <c r="H103" s="330"/>
      <c r="I103" s="337"/>
      <c r="J103" s="329"/>
      <c r="L103" s="330"/>
      <c r="M103" s="337"/>
      <c r="O103" s="339"/>
      <c r="P103" s="340"/>
      <c r="Q103" s="106"/>
      <c r="R103" s="297"/>
      <c r="T103" s="330"/>
      <c r="U103" s="106"/>
      <c r="V103" s="333"/>
      <c r="X103" s="339"/>
      <c r="Y103" s="340"/>
      <c r="Z103" s="106"/>
      <c r="AA103" s="297"/>
      <c r="AC103" s="330"/>
      <c r="AD103" s="106"/>
      <c r="AE103" s="333"/>
      <c r="AG103" s="339"/>
      <c r="AH103" s="340"/>
      <c r="AI103" s="106"/>
      <c r="AJ103" s="297"/>
      <c r="AL103" s="330"/>
      <c r="AM103" s="106"/>
      <c r="AN103" s="333"/>
      <c r="AR103" s="339"/>
      <c r="AS103" s="340"/>
      <c r="AT103" s="106"/>
      <c r="AU103" s="297"/>
      <c r="AW103" s="330"/>
      <c r="AX103" s="106"/>
      <c r="AY103" s="333"/>
      <c r="BC103" s="339"/>
      <c r="BD103" s="340"/>
      <c r="BE103" s="106"/>
      <c r="BF103" s="297"/>
      <c r="BH103" s="330"/>
      <c r="BI103" s="106"/>
      <c r="BJ103" s="333"/>
    </row>
    <row r="104" spans="1:64" x14ac:dyDescent="0.35">
      <c r="A104" s="9228"/>
      <c r="B104" s="341"/>
      <c r="C104" s="342"/>
      <c r="D104" s="209"/>
      <c r="F104" s="343"/>
      <c r="H104" s="341"/>
      <c r="I104" s="342"/>
      <c r="J104" s="344"/>
      <c r="L104" s="341"/>
      <c r="M104" s="342"/>
      <c r="O104" s="345"/>
      <c r="P104" s="346"/>
      <c r="Q104" s="216"/>
      <c r="R104" s="307"/>
      <c r="T104" s="341"/>
      <c r="U104" s="216"/>
      <c r="V104" s="347"/>
      <c r="X104" s="345"/>
      <c r="Y104" s="346"/>
      <c r="Z104" s="216"/>
      <c r="AA104" s="307"/>
      <c r="AC104" s="341"/>
      <c r="AD104" s="216"/>
      <c r="AE104" s="347"/>
      <c r="AG104" s="345"/>
      <c r="AH104" s="346"/>
      <c r="AI104" s="216"/>
      <c r="AJ104" s="307"/>
      <c r="AL104" s="341"/>
      <c r="AM104" s="216"/>
      <c r="AN104" s="347"/>
      <c r="AR104" s="345"/>
      <c r="AS104" s="346"/>
      <c r="AT104" s="216"/>
      <c r="AU104" s="307"/>
      <c r="AW104" s="341"/>
      <c r="AX104" s="216"/>
      <c r="AY104" s="347"/>
      <c r="BC104" s="345"/>
      <c r="BD104" s="346"/>
      <c r="BE104" s="216"/>
      <c r="BF104" s="307"/>
      <c r="BH104" s="341"/>
      <c r="BI104" s="216"/>
      <c r="BJ104" s="347"/>
    </row>
    <row r="105" spans="1:64" x14ac:dyDescent="0.35">
      <c r="A105" s="310"/>
      <c r="B105" s="310"/>
      <c r="F105" s="106"/>
      <c r="H105" s="106"/>
      <c r="I105" s="106"/>
      <c r="J105" s="311"/>
      <c r="L105" s="106"/>
      <c r="M105" s="312"/>
      <c r="O105" s="106"/>
      <c r="P105" s="106"/>
      <c r="Q105" s="106"/>
      <c r="R105" s="311"/>
      <c r="T105" s="106"/>
      <c r="U105" s="106"/>
      <c r="V105" s="312"/>
      <c r="X105" s="106"/>
      <c r="Y105" s="106"/>
      <c r="Z105" s="106"/>
      <c r="AA105" s="311"/>
      <c r="AC105" s="106"/>
      <c r="AD105" s="106"/>
      <c r="AE105" s="312"/>
      <c r="AG105" s="106"/>
      <c r="AH105" s="106"/>
      <c r="AI105" s="106"/>
      <c r="AJ105" s="311"/>
      <c r="AL105" s="106"/>
      <c r="AM105" s="106"/>
      <c r="AN105" s="312"/>
      <c r="AR105" s="106"/>
      <c r="AS105" s="106"/>
      <c r="AT105" s="106"/>
      <c r="AU105" s="311"/>
      <c r="AW105" s="106"/>
      <c r="AX105" s="106"/>
      <c r="AY105" s="312"/>
      <c r="BC105" s="106"/>
      <c r="BD105" s="106"/>
      <c r="BE105" s="106"/>
      <c r="BF105" s="311"/>
      <c r="BH105" s="106"/>
      <c r="BI105" s="106"/>
      <c r="BJ105" s="312"/>
    </row>
    <row r="106" spans="1:64" x14ac:dyDescent="0.35">
      <c r="A106" s="9167" t="s">
        <v>566</v>
      </c>
      <c r="B106" s="139" t="s">
        <v>567</v>
      </c>
      <c r="C106" s="348"/>
      <c r="D106" s="49"/>
      <c r="E106" s="141"/>
      <c r="F106" s="227"/>
      <c r="G106" s="141"/>
      <c r="H106" s="102"/>
      <c r="I106" s="103"/>
      <c r="J106" s="228"/>
      <c r="K106" s="141"/>
      <c r="L106" s="102"/>
      <c r="M106" s="268"/>
      <c r="N106" s="141"/>
      <c r="O106" s="102"/>
      <c r="P106" s="103"/>
      <c r="Q106" s="103"/>
      <c r="R106" s="228"/>
      <c r="S106" s="141"/>
      <c r="T106" s="102"/>
      <c r="U106" s="103"/>
      <c r="V106" s="268"/>
      <c r="W106" s="141"/>
      <c r="X106" s="102"/>
      <c r="Y106" s="103"/>
      <c r="Z106" s="103"/>
      <c r="AA106" s="228"/>
      <c r="AB106" s="141"/>
      <c r="AC106" s="102"/>
      <c r="AD106" s="103"/>
      <c r="AE106" s="268"/>
      <c r="AF106" s="141"/>
      <c r="AG106" s="102"/>
      <c r="AH106" s="103"/>
      <c r="AI106" s="103"/>
      <c r="AJ106" s="228"/>
      <c r="AK106" s="141"/>
      <c r="AL106" s="102"/>
      <c r="AM106" s="103"/>
      <c r="AN106" s="268"/>
      <c r="AO106" s="141"/>
      <c r="AR106" s="102"/>
      <c r="AS106" s="103"/>
      <c r="AT106" s="103"/>
      <c r="AU106" s="228"/>
      <c r="AV106" s="141"/>
      <c r="AW106" s="102"/>
      <c r="AX106" s="103"/>
      <c r="AY106" s="268"/>
      <c r="BC106" s="102"/>
      <c r="BD106" s="103"/>
      <c r="BE106" s="103"/>
      <c r="BF106" s="228"/>
      <c r="BG106" s="141"/>
      <c r="BH106" s="102"/>
      <c r="BI106" s="103"/>
      <c r="BJ106" s="268"/>
    </row>
    <row r="107" spans="1:64" x14ac:dyDescent="0.35">
      <c r="A107" s="9168"/>
      <c r="B107" s="6082"/>
      <c r="C107"/>
      <c r="D107" s="110" t="s">
        <v>568</v>
      </c>
      <c r="F107" s="349">
        <f>SUM(F37:F45)-SUM(F50:F52)</f>
        <v>69330</v>
      </c>
      <c r="G107" s="350"/>
      <c r="H107" s="351">
        <f>SUM(H37:H45)-SUM(H50:H52)</f>
        <v>131274.454</v>
      </c>
      <c r="I107" s="352">
        <f>SUM(I37:I45)-SUM(I50:I52)</f>
        <v>123294.89077</v>
      </c>
      <c r="J107" s="246"/>
      <c r="K107" s="350"/>
      <c r="L107" s="351">
        <f>SUM(L37:L45)-SUM(L50:L52)</f>
        <v>116497.96400000001</v>
      </c>
      <c r="M107" s="353">
        <f>SUM(M37:M45)-SUM(M50:M52)</f>
        <v>113164.20727</v>
      </c>
      <c r="O107" s="354">
        <f>SUM(O37:O45)-SUM(O50:O52)</f>
        <v>116497.96400000001</v>
      </c>
      <c r="P107" s="355">
        <f>SUM(P37:P45)-SUM(P50:P52)</f>
        <v>113164.20727</v>
      </c>
      <c r="Q107" s="352"/>
      <c r="R107" s="246"/>
      <c r="S107" s="350"/>
      <c r="T107" s="351">
        <f>SUM(T37:T45)-SUM(T50:T52)</f>
        <v>115400.084</v>
      </c>
      <c r="U107" s="352"/>
      <c r="V107" s="353">
        <f>SUM(V37:V45)-SUM(V50:V52)</f>
        <v>111069.66799999999</v>
      </c>
      <c r="X107" s="354">
        <f>SUM(X37:X45)-SUM(X50:X52)</f>
        <v>115129.584</v>
      </c>
      <c r="Y107" s="355">
        <f>SUM(Y37:Y45)-SUM(Y50:Y52)</f>
        <v>110989.76017000001</v>
      </c>
      <c r="Z107" s="352"/>
      <c r="AA107" s="246"/>
      <c r="AB107" s="350"/>
      <c r="AC107" s="351">
        <f>SUM(AC37:AC45)-SUM(AC50:AC52)</f>
        <v>99644.434999999998</v>
      </c>
      <c r="AD107" s="352"/>
      <c r="AE107" s="353">
        <f>SUM(AE37:AE45)-SUM(AE50:AE52)</f>
        <v>95631.546000000002</v>
      </c>
      <c r="AG107" s="354">
        <f>SUM(AG37:AG45)-SUM(AG50:AG52)</f>
        <v>99644.434999999998</v>
      </c>
      <c r="AH107" s="355">
        <f>SUM(AH37:AH45)-SUM(AH50:AH52)</f>
        <v>95631.546000000002</v>
      </c>
      <c r="AI107" s="352"/>
      <c r="AJ107" s="246"/>
      <c r="AK107" s="350"/>
      <c r="AL107" s="351">
        <f>SUM(AL37:AL45)-SUM(AL50:AL52)</f>
        <v>93016.187000000005</v>
      </c>
      <c r="AM107" s="352"/>
      <c r="AN107" s="353">
        <f>SUM(AN37:AN45)-SUM(AN50:AN52)</f>
        <v>89178.640999999989</v>
      </c>
      <c r="AR107" s="354">
        <f>SUM(AR37:AR48)-SUM(AR50:AR52)</f>
        <v>92151.455000000002</v>
      </c>
      <c r="AS107" s="355">
        <f>SUM(AS37:AS48)-SUM(AS50:AS52)</f>
        <v>88373.981719999996</v>
      </c>
      <c r="AT107" s="352"/>
      <c r="AU107" s="246"/>
      <c r="AV107" s="350"/>
      <c r="AW107" s="351">
        <f>SUM(AW37:AW48)-SUM(AW50:AW52)</f>
        <v>102516.17499999999</v>
      </c>
      <c r="AX107" s="352"/>
      <c r="AY107" s="353">
        <f>SUM(AY37:AY48)-SUM(AY50:AY52)</f>
        <v>96860.422650000008</v>
      </c>
      <c r="BC107" s="354">
        <f t="shared" ref="BC107:BD107" si="23">SUM(BC37:BC48)-SUM(BC50:BC52)</f>
        <v>109987911</v>
      </c>
      <c r="BD107" s="355">
        <f t="shared" si="23"/>
        <v>103071258.84</v>
      </c>
      <c r="BE107" s="352"/>
      <c r="BF107" s="246"/>
      <c r="BG107" s="350"/>
      <c r="BH107" s="351">
        <f>SUM(BH37:BH48)-SUM(BH50:BH52)</f>
        <v>97921687</v>
      </c>
      <c r="BI107" s="352"/>
      <c r="BJ107" s="353">
        <f>SUM(BJ37:BJ48)-SUM(BJ50:BJ52)</f>
        <v>94574078.580000013</v>
      </c>
    </row>
    <row r="108" spans="1:64" s="4043" customFormat="1" x14ac:dyDescent="0.35">
      <c r="A108" s="9168"/>
      <c r="B108" s="6082"/>
      <c r="C108"/>
      <c r="D108" s="110" t="s">
        <v>569</v>
      </c>
      <c r="E108" s="1"/>
      <c r="F108" s="349">
        <f>SUM(F54:F62)</f>
        <v>14117</v>
      </c>
      <c r="G108" s="350"/>
      <c r="H108" s="351">
        <f>SUM(H54:H62)</f>
        <v>33559.887999999999</v>
      </c>
      <c r="I108" s="352">
        <f>SUM(I54:I62)</f>
        <v>16118.323111399999</v>
      </c>
      <c r="J108" s="246"/>
      <c r="K108" s="350"/>
      <c r="L108" s="351">
        <f>SUM(L54:L62)</f>
        <v>24356.091</v>
      </c>
      <c r="M108" s="353">
        <f>SUM(M54:M62)</f>
        <v>16773.718150000001</v>
      </c>
      <c r="N108" s="1"/>
      <c r="O108" s="354">
        <f>SUM(O54:O62)</f>
        <v>24356.091</v>
      </c>
      <c r="P108" s="355">
        <f>SUM(P54:P62)</f>
        <v>19932.536050000002</v>
      </c>
      <c r="Q108" s="352"/>
      <c r="R108" s="246"/>
      <c r="S108" s="350"/>
      <c r="T108" s="351">
        <f>SUM(T54:T62)</f>
        <v>24321.72</v>
      </c>
      <c r="U108" s="352"/>
      <c r="V108" s="353">
        <f>SUM(V54:V62)</f>
        <v>20725.955140000002</v>
      </c>
      <c r="W108" s="1"/>
      <c r="X108" s="354">
        <f>SUM(X54:X62)</f>
        <v>24321.72</v>
      </c>
      <c r="Y108" s="355">
        <f>SUM(Y54:Y62)</f>
        <v>20725.391140000003</v>
      </c>
      <c r="Z108" s="352"/>
      <c r="AA108" s="246"/>
      <c r="AB108" s="350"/>
      <c r="AC108" s="351">
        <f>SUM(AC54:AC62)</f>
        <v>18184.985000000001</v>
      </c>
      <c r="AD108" s="352"/>
      <c r="AE108" s="353">
        <f>SUM(AE54:AE62)</f>
        <v>16341.848029999999</v>
      </c>
      <c r="AF108" s="1"/>
      <c r="AG108" s="354">
        <f>SUM(AG54:AG62)</f>
        <v>18184.985000000001</v>
      </c>
      <c r="AH108" s="355">
        <f>SUM(AH54:AH62)</f>
        <v>16341.848029999999</v>
      </c>
      <c r="AI108" s="352"/>
      <c r="AJ108" s="246"/>
      <c r="AK108" s="350"/>
      <c r="AL108" s="351">
        <f>SUM(AL54:AL62)</f>
        <v>17342.285999999996</v>
      </c>
      <c r="AM108" s="352"/>
      <c r="AN108" s="353">
        <f>SUM(AN54:AN62)</f>
        <v>15615.642000000002</v>
      </c>
      <c r="AO108" s="1"/>
      <c r="AP108"/>
      <c r="AQ108"/>
      <c r="AR108" s="354">
        <f>SUM(AR54:AR62)</f>
        <v>17606.772999999997</v>
      </c>
      <c r="AS108" s="355">
        <f>SUM(AS54:AS62)</f>
        <v>15825.775000000001</v>
      </c>
      <c r="AT108" s="352"/>
      <c r="AU108" s="246"/>
      <c r="AV108" s="350"/>
      <c r="AW108" s="351">
        <f>SUM(AW54:AW62)</f>
        <v>23023.790999999997</v>
      </c>
      <c r="AX108" s="352"/>
      <c r="AY108" s="353">
        <f>SUM(AY54:AY62)</f>
        <v>19941.977000000003</v>
      </c>
      <c r="AZ108"/>
      <c r="BA108"/>
      <c r="BB108"/>
      <c r="BC108" s="354">
        <f>SUM(BC54:BC62)</f>
        <v>23330701</v>
      </c>
      <c r="BD108" s="355">
        <f>SUM(BD54:BD62)</f>
        <v>20267941.639999997</v>
      </c>
      <c r="BE108" s="352"/>
      <c r="BF108" s="246"/>
      <c r="BG108" s="350"/>
      <c r="BH108" s="351">
        <f>SUM(BH54:BH62)</f>
        <v>12288757</v>
      </c>
      <c r="BI108" s="352"/>
      <c r="BJ108" s="353">
        <f>SUM(BJ54:BJ62)</f>
        <v>10308831.380000003</v>
      </c>
      <c r="BK108"/>
      <c r="BL108"/>
    </row>
    <row r="109" spans="1:64" s="3341" customFormat="1" x14ac:dyDescent="0.35">
      <c r="A109" s="9168"/>
      <c r="B109" s="6082"/>
      <c r="C109"/>
      <c r="D109" s="110" t="s">
        <v>570</v>
      </c>
      <c r="E109" s="1"/>
      <c r="F109" s="349">
        <f>SUM(F64:F74)*F30</f>
        <v>740.9807150157983</v>
      </c>
      <c r="G109" s="350"/>
      <c r="H109" s="351">
        <f>SUM(H64:H74)*H30</f>
        <v>1596.1889779918545</v>
      </c>
      <c r="I109" s="352">
        <f>SUM(I64:I74)*I30</f>
        <v>357.87609005198505</v>
      </c>
      <c r="J109" s="246"/>
      <c r="K109" s="350"/>
      <c r="L109" s="351">
        <f>SUM(L64:L74)*L30</f>
        <v>2342.7517428771448</v>
      </c>
      <c r="M109" s="353">
        <f>SUM(M64:M74)*M30</f>
        <v>1540.4049802039688</v>
      </c>
      <c r="N109" s="1"/>
      <c r="O109" s="354">
        <f>SUM(O64:O74)*O30</f>
        <v>2426.8235871311781</v>
      </c>
      <c r="P109" s="355">
        <f>SUM(P64:P74)*P30</f>
        <v>1553.6737322505919</v>
      </c>
      <c r="Q109" s="352"/>
      <c r="R109" s="246"/>
      <c r="S109" s="350"/>
      <c r="T109" s="351">
        <f>SUM(T64:T74)*T30</f>
        <v>1792.1446648269612</v>
      </c>
      <c r="U109" s="352"/>
      <c r="V109" s="353">
        <f>SUM(V64:V74)*V30</f>
        <v>1770.5654272210375</v>
      </c>
      <c r="W109" s="1"/>
      <c r="X109" s="354">
        <f>SUM(X64:X74)*X30</f>
        <v>1637.9238687392478</v>
      </c>
      <c r="Y109" s="355">
        <f>SUM(Y64:Y74)*Y30</f>
        <v>1628.0347034262772</v>
      </c>
      <c r="Z109" s="352"/>
      <c r="AA109" s="246"/>
      <c r="AB109" s="350"/>
      <c r="AC109" s="351">
        <f>SUM(AC64:AC74)*AC30</f>
        <v>1631.4306126464746</v>
      </c>
      <c r="AD109" s="352"/>
      <c r="AE109" s="353">
        <f>SUM(AE64:AE74)*AE30</f>
        <v>1677.2120806207108</v>
      </c>
      <c r="AF109" s="1"/>
      <c r="AG109" s="354">
        <f>SUM(AG64:AG74)*AG30</f>
        <v>1631.4306126464746</v>
      </c>
      <c r="AH109" s="355">
        <f>SUM(AH64:AH74)*AH30</f>
        <v>1677.2120806207108</v>
      </c>
      <c r="AI109" s="352"/>
      <c r="AJ109" s="246"/>
      <c r="AK109" s="350"/>
      <c r="AL109" s="351">
        <f>SUM(AL64:AL74)*AL30</f>
        <v>1873.8736643618458</v>
      </c>
      <c r="AM109" s="352"/>
      <c r="AN109" s="353">
        <f>SUM(AN64:AN74)*AN30</f>
        <v>1760.2289675782674</v>
      </c>
      <c r="AO109" s="1"/>
      <c r="AP109"/>
      <c r="AQ109"/>
      <c r="AR109" s="354">
        <f>SUM(AR64:AR74)*AR30</f>
        <v>1774.25574219234</v>
      </c>
      <c r="AS109" s="355">
        <f>SUM(AS64:AS74)*AS30</f>
        <v>1794.238353992554</v>
      </c>
      <c r="AT109" s="352"/>
      <c r="AU109" s="246"/>
      <c r="AV109" s="350"/>
      <c r="AW109" s="351">
        <f>SUM(AW64:AW74)*AW30</f>
        <v>1683.2368706176796</v>
      </c>
      <c r="AX109" s="352"/>
      <c r="AY109" s="353">
        <f>SUM(AY64:AY74)*AY30</f>
        <v>1721.5962954970137</v>
      </c>
      <c r="AZ109"/>
      <c r="BA109"/>
      <c r="BB109"/>
      <c r="BC109" s="354">
        <f>SUM(BC64:BC74)*BC30</f>
        <v>1717109.7821456182</v>
      </c>
      <c r="BD109" s="355">
        <f>SUM(BD64:BD74)*BD30</f>
        <v>1752985.762231699</v>
      </c>
      <c r="BE109" s="352"/>
      <c r="BF109" s="246"/>
      <c r="BG109" s="350"/>
      <c r="BH109" s="351">
        <f>SUM(BH64:BH74)*BH30</f>
        <v>1727241.3381801411</v>
      </c>
      <c r="BI109" s="352"/>
      <c r="BJ109" s="353">
        <f>SUM(BJ64:BJ74)*BJ30</f>
        <v>1753514.3122852328</v>
      </c>
      <c r="BK109"/>
      <c r="BL109"/>
    </row>
    <row r="110" spans="1:64" s="3341" customFormat="1" x14ac:dyDescent="0.35">
      <c r="A110" s="9168"/>
      <c r="B110" s="6082"/>
      <c r="C110"/>
      <c r="D110" s="110" t="s">
        <v>552</v>
      </c>
      <c r="E110" s="1"/>
      <c r="F110" s="349">
        <f>SUM(F76:F88)</f>
        <v>0</v>
      </c>
      <c r="G110" s="350"/>
      <c r="H110" s="351">
        <f>SUM(H76:H88)</f>
        <v>0</v>
      </c>
      <c r="I110" s="352">
        <f>SUM(I76:I88)</f>
        <v>0</v>
      </c>
      <c r="J110" s="246"/>
      <c r="K110" s="350"/>
      <c r="L110" s="351">
        <f>SUM(L76:L88)</f>
        <v>0</v>
      </c>
      <c r="M110" s="353">
        <f>SUM(M76:M88)</f>
        <v>0</v>
      </c>
      <c r="N110" s="1"/>
      <c r="O110" s="354">
        <f>SUM(O76:O88)</f>
        <v>0</v>
      </c>
      <c r="P110" s="355">
        <f>SUM(P76:P88)</f>
        <v>0</v>
      </c>
      <c r="Q110" s="352"/>
      <c r="R110" s="246"/>
      <c r="S110" s="350"/>
      <c r="T110" s="351">
        <f>SUM(T76:T88)</f>
        <v>0</v>
      </c>
      <c r="U110" s="352"/>
      <c r="V110" s="353">
        <f>SUM(V76:V88)</f>
        <v>0</v>
      </c>
      <c r="W110" s="1"/>
      <c r="X110" s="354">
        <f>SUM(X76:X88)</f>
        <v>0</v>
      </c>
      <c r="Y110" s="355">
        <f>SUM(Y76:Y88)</f>
        <v>0</v>
      </c>
      <c r="Z110" s="352"/>
      <c r="AA110" s="246"/>
      <c r="AB110" s="350"/>
      <c r="AC110" s="351">
        <f>SUM(AC76:AC88)</f>
        <v>0</v>
      </c>
      <c r="AD110" s="352"/>
      <c r="AE110" s="353">
        <f>SUM(AE76:AE88)</f>
        <v>0</v>
      </c>
      <c r="AF110" s="1"/>
      <c r="AG110" s="354">
        <f>SUM(AG76:AG88)</f>
        <v>0</v>
      </c>
      <c r="AH110" s="355">
        <f>SUM(AH76:AH88)</f>
        <v>0</v>
      </c>
      <c r="AI110" s="352"/>
      <c r="AJ110" s="246"/>
      <c r="AK110" s="350"/>
      <c r="AL110" s="351">
        <f>SUM(AL76:AL88)</f>
        <v>0</v>
      </c>
      <c r="AM110" s="352"/>
      <c r="AN110" s="353">
        <f>SUM(AN76:AN88)</f>
        <v>0</v>
      </c>
      <c r="AO110" s="1"/>
      <c r="AP110"/>
      <c r="AQ110"/>
      <c r="AR110" s="354">
        <f>SUM(AR76:AR88)</f>
        <v>0</v>
      </c>
      <c r="AS110" s="355">
        <f>SUM(AS76:AS88)</f>
        <v>0</v>
      </c>
      <c r="AT110" s="352"/>
      <c r="AU110" s="246"/>
      <c r="AV110" s="350"/>
      <c r="AW110" s="351">
        <f>SUM(AW76:AW88)</f>
        <v>0</v>
      </c>
      <c r="AX110" s="352"/>
      <c r="AY110" s="353">
        <f>SUM(AY76:AY88)</f>
        <v>0</v>
      </c>
      <c r="AZ110"/>
      <c r="BA110"/>
      <c r="BB110"/>
      <c r="BC110" s="354">
        <f>SUM(BC76:BC88)</f>
        <v>0</v>
      </c>
      <c r="BD110" s="355">
        <f>SUM(BD76:BD88)</f>
        <v>0</v>
      </c>
      <c r="BE110" s="352"/>
      <c r="BF110" s="246"/>
      <c r="BG110" s="350"/>
      <c r="BH110" s="351">
        <f>SUM(BH76:BH88)</f>
        <v>0</v>
      </c>
      <c r="BI110" s="352"/>
      <c r="BJ110" s="353">
        <f>SUM(BJ76:BJ88)</f>
        <v>0</v>
      </c>
      <c r="BK110"/>
      <c r="BL110"/>
    </row>
    <row r="111" spans="1:64" s="3341" customFormat="1" x14ac:dyDescent="0.35">
      <c r="A111" s="9168"/>
      <c r="B111" s="6082"/>
      <c r="C111"/>
      <c r="D111" s="356" t="s">
        <v>571</v>
      </c>
      <c r="E111" s="143"/>
      <c r="F111" s="357">
        <f t="shared" ref="F111" si="24">SUM(F107:F110)</f>
        <v>84187.980715015801</v>
      </c>
      <c r="G111" s="358"/>
      <c r="H111" s="359">
        <f t="shared" ref="H111:I111" si="25">SUM(H107:H110)</f>
        <v>166430.53097799185</v>
      </c>
      <c r="I111" s="360">
        <f t="shared" si="25"/>
        <v>139771.08997145199</v>
      </c>
      <c r="J111" s="361"/>
      <c r="K111" s="358"/>
      <c r="L111" s="359">
        <f t="shared" ref="L111:M111" si="26">SUM(L107:L110)</f>
        <v>143196.80674287715</v>
      </c>
      <c r="M111" s="362">
        <f t="shared" si="26"/>
        <v>131478.33040020397</v>
      </c>
      <c r="N111" s="143"/>
      <c r="O111" s="363">
        <f t="shared" ref="O111:P111" si="27">SUM(O107:O110)</f>
        <v>143280.87858713118</v>
      </c>
      <c r="P111" s="364">
        <f t="shared" si="27"/>
        <v>134650.41705225059</v>
      </c>
      <c r="Q111" s="360"/>
      <c r="R111" s="361"/>
      <c r="S111" s="358"/>
      <c r="T111" s="359">
        <f t="shared" ref="T111" si="28">SUM(T107:T110)</f>
        <v>141513.94866482695</v>
      </c>
      <c r="U111" s="360"/>
      <c r="V111" s="362">
        <f t="shared" ref="V111" si="29">SUM(V107:V110)</f>
        <v>133566.18856722102</v>
      </c>
      <c r="W111" s="143"/>
      <c r="X111" s="363">
        <f>SUM(X107:X110)</f>
        <v>141089.22786873925</v>
      </c>
      <c r="Y111" s="364">
        <f t="shared" ref="Y111" si="30">SUM(Y107:Y110)</f>
        <v>133343.18601342628</v>
      </c>
      <c r="Z111" s="360"/>
      <c r="AA111" s="361"/>
      <c r="AB111" s="358"/>
      <c r="AC111" s="359">
        <f t="shared" ref="AC111" si="31">SUM(AC107:AC110)</f>
        <v>119460.85061264648</v>
      </c>
      <c r="AD111" s="360"/>
      <c r="AE111" s="362">
        <f t="shared" ref="AE111" si="32">SUM(AE107:AE110)</f>
        <v>113650.60611062071</v>
      </c>
      <c r="AF111" s="143"/>
      <c r="AG111" s="363">
        <f t="shared" ref="AG111:AH111" si="33">SUM(AG107:AG110)</f>
        <v>119460.85061264648</v>
      </c>
      <c r="AH111" s="364">
        <f t="shared" si="33"/>
        <v>113650.60611062071</v>
      </c>
      <c r="AI111" s="360"/>
      <c r="AJ111" s="361"/>
      <c r="AK111" s="358"/>
      <c r="AL111" s="359">
        <f t="shared" ref="AL111" si="34">SUM(AL107:AL110)</f>
        <v>112232.34666436184</v>
      </c>
      <c r="AM111" s="360"/>
      <c r="AN111" s="362">
        <f t="shared" ref="AN111" si="35">SUM(AN107:AN110)</f>
        <v>106554.51196757826</v>
      </c>
      <c r="AO111" s="143"/>
      <c r="AP111"/>
      <c r="AQ111"/>
      <c r="AR111" s="363">
        <f t="shared" ref="AR111:AS111" si="36">SUM(AR107:AR110)</f>
        <v>111532.48374219234</v>
      </c>
      <c r="AS111" s="364">
        <f t="shared" si="36"/>
        <v>105993.99507399256</v>
      </c>
      <c r="AT111" s="360"/>
      <c r="AU111" s="361"/>
      <c r="AV111" s="358"/>
      <c r="AW111" s="359">
        <f t="shared" ref="AW111" si="37">SUM(AW107:AW110)</f>
        <v>127223.20287061766</v>
      </c>
      <c r="AX111" s="360"/>
      <c r="AY111" s="362">
        <f>SUM(AY107:AY110)</f>
        <v>118523.99594549702</v>
      </c>
      <c r="AZ111"/>
      <c r="BA111"/>
      <c r="BB111"/>
      <c r="BC111" s="363">
        <f>SUM(BC107:BC110)</f>
        <v>135035721.78214562</v>
      </c>
      <c r="BD111" s="364">
        <f t="shared" ref="BD111" si="38">SUM(BD107:BD110)</f>
        <v>125092186.2422317</v>
      </c>
      <c r="BE111" s="360"/>
      <c r="BF111" s="361"/>
      <c r="BG111" s="358"/>
      <c r="BH111" s="359">
        <f t="shared" ref="BH111" si="39">SUM(BH107:BH110)</f>
        <v>111937685.33818014</v>
      </c>
      <c r="BI111" s="360"/>
      <c r="BJ111" s="362">
        <f t="shared" ref="BJ111" si="40">SUM(BJ107:BJ110)</f>
        <v>106636424.27228524</v>
      </c>
      <c r="BK111"/>
      <c r="BL111"/>
    </row>
    <row r="112" spans="1:64" s="3341" customFormat="1" ht="15.5" x14ac:dyDescent="0.35">
      <c r="A112" s="9168"/>
      <c r="B112" s="6082"/>
      <c r="C112"/>
      <c r="D112" s="356" t="s">
        <v>572</v>
      </c>
      <c r="E112" s="1"/>
      <c r="F112" s="366">
        <f>F111/(F18+F19+F21)</f>
        <v>7.703257855792707E-2</v>
      </c>
      <c r="G112" s="367"/>
      <c r="H112" s="368">
        <f>H111/(H18+H19+H21)</f>
        <v>0.1109536685305067</v>
      </c>
      <c r="I112" s="369">
        <f>I111/(I18+I19+I21)</f>
        <v>0.10436521827424582</v>
      </c>
      <c r="J112" s="370"/>
      <c r="K112" s="367"/>
      <c r="L112" s="368">
        <f>L111/(L18+L19+L21)</f>
        <v>9.1208055089378556E-2</v>
      </c>
      <c r="M112" s="370">
        <f>M111/(M18+M19+M21)</f>
        <v>9.8103700467686891E-2</v>
      </c>
      <c r="N112" s="1"/>
      <c r="O112" s="368">
        <f>O111/(O18+O20+O21)</f>
        <v>8.7366295783261869E-2</v>
      </c>
      <c r="P112" s="369">
        <f>P111/(P18+P20+P21)</f>
        <v>9.8715178484624203E-2</v>
      </c>
      <c r="Q112" s="369"/>
      <c r="R112" s="370"/>
      <c r="S112" s="367"/>
      <c r="T112" s="368">
        <f>T111/(T18+T20+T21)</f>
        <v>6.8701671294487635E-2</v>
      </c>
      <c r="U112" s="369"/>
      <c r="V112" s="370">
        <f>V111/(V18+V20+V21)</f>
        <v>8.0401758344980465E-2</v>
      </c>
      <c r="W112" s="1"/>
      <c r="X112" s="368">
        <f>X111/(X18+X20+X21)</f>
        <v>7.2258636778490246E-2</v>
      </c>
      <c r="Y112" s="369">
        <f>Y111/(Y18+Y20+Y21)</f>
        <v>8.1808905934696988E-2</v>
      </c>
      <c r="Z112" s="369"/>
      <c r="AA112" s="370"/>
      <c r="AB112" s="367"/>
      <c r="AC112" s="368">
        <f>AC111/(AC18+AC20+AC21)</f>
        <v>8.6139770554983605E-2</v>
      </c>
      <c r="AD112" s="369"/>
      <c r="AE112" s="370">
        <f>AE111/(AE18+AE20+AE21)</f>
        <v>9.5908569430311286E-2</v>
      </c>
      <c r="AF112" s="1"/>
      <c r="AG112" s="368">
        <f>AG111/(AG18+AG20+AG21)</f>
        <v>8.6139770554983605E-2</v>
      </c>
      <c r="AH112" s="369">
        <f>AH111/(AH18+AH20+AH21)</f>
        <v>9.5908569430311286E-2</v>
      </c>
      <c r="AI112" s="369"/>
      <c r="AJ112" s="370"/>
      <c r="AK112" s="367"/>
      <c r="AL112" s="368">
        <f>AL111/(AL18+AL20+AL21)</f>
        <v>9.1441183156449085E-2</v>
      </c>
      <c r="AM112" s="369"/>
      <c r="AN112" s="370">
        <f>AN111/(AN18+AN20+AN21)</f>
        <v>9.1896131300367528E-2</v>
      </c>
      <c r="AO112" s="1"/>
      <c r="AP112"/>
      <c r="AQ112"/>
      <c r="AR112" s="368">
        <f>AR111/(AR18+AR20+AR21)</f>
        <v>8.7314020408522042E-2</v>
      </c>
      <c r="AS112" s="369">
        <f>AS111/(AS18+AS20+AS21)</f>
        <v>9.1519373510108651E-2</v>
      </c>
      <c r="AT112" s="369"/>
      <c r="AU112" s="370"/>
      <c r="AV112" s="367"/>
      <c r="AW112" s="368">
        <f>AW111/(AW18+AW20+AW21)</f>
        <v>8.6021212082265874E-2</v>
      </c>
      <c r="AX112" s="369"/>
      <c r="AY112" s="370">
        <f>AY111/(AY18+AY20+AY21)</f>
        <v>9.6338951343892462E-2</v>
      </c>
      <c r="AZ112"/>
      <c r="BA112"/>
      <c r="BB112"/>
      <c r="BC112" s="368">
        <f>BC111/(BC18+BC20+BC21)</f>
        <v>9.130360028678787E-2</v>
      </c>
      <c r="BD112" s="369">
        <f>BD111/(BD18+BD20+BD21)</f>
        <v>0.10167772316869141</v>
      </c>
      <c r="BE112" s="369"/>
      <c r="BF112" s="370"/>
      <c r="BG112" s="367"/>
      <c r="BH112" s="368">
        <f>BH111/(BH18+BH20+BH21)</f>
        <v>7.5174265554722772E-2</v>
      </c>
      <c r="BI112" s="369"/>
      <c r="BJ112" s="370">
        <f>BJ111/(BJ18+BJ20+BJ21)</f>
        <v>9.4413600480116627E-2</v>
      </c>
      <c r="BK112"/>
      <c r="BL112"/>
    </row>
    <row r="113" spans="1:64" s="4043" customFormat="1" x14ac:dyDescent="0.35">
      <c r="A113" s="9168"/>
      <c r="B113" s="676"/>
      <c r="C113" s="677"/>
      <c r="D113" s="373" t="s">
        <v>573</v>
      </c>
      <c r="E113" s="678"/>
      <c r="F113" s="679">
        <f>F38+F44+F55+F54+F57+F58+F109</f>
        <v>13961.980715015798</v>
      </c>
      <c r="G113" s="385"/>
      <c r="H113" s="381">
        <f>H38+H44+H55+H54+H57+H58+H109</f>
        <v>30001.636977991853</v>
      </c>
      <c r="I113" s="382">
        <f>I38+I44+I55+I54+I57+I58+I109</f>
        <v>12596.371131451984</v>
      </c>
      <c r="J113" s="384"/>
      <c r="K113" s="385"/>
      <c r="L113" s="386">
        <f>L38+L44+L55+L54+L57+L58+L109</f>
        <v>23962.751742877146</v>
      </c>
      <c r="M113" s="680">
        <f>M38+M44+M55+M54+M57+M58+M109</f>
        <v>16248.413520203967</v>
      </c>
      <c r="N113" s="2965"/>
      <c r="O113" s="381">
        <f>O38+O44+O55+O54+O57+O58+O109</f>
        <v>139097.7875871312</v>
      </c>
      <c r="P113" s="382">
        <f>P38+P44+P55+P54+P57+P58+P109</f>
        <v>132222.62244225058</v>
      </c>
      <c r="Q113" s="383"/>
      <c r="R113" s="384"/>
      <c r="S113" s="385"/>
      <c r="T113" s="386">
        <f>T38+T44+T55+T54+T56+T57+T58+T109</f>
        <v>138984.61666482693</v>
      </c>
      <c r="U113" s="383"/>
      <c r="V113" s="387">
        <f>V38+V44+V55+V54+V57+V58+V109</f>
        <v>131445.03242722101</v>
      </c>
      <c r="W113" s="2965"/>
      <c r="X113" s="381">
        <f>X38+X44+SUM(X54:X59)+X109</f>
        <v>139077.89586873926</v>
      </c>
      <c r="Y113" s="382">
        <f>Y38+Y44+Y55+Y54+Y57+Y58+Y109</f>
        <v>131221.19783342627</v>
      </c>
      <c r="Z113" s="383"/>
      <c r="AA113" s="384"/>
      <c r="AB113" s="385"/>
      <c r="AC113" s="386">
        <f>AC38+AC44+AC55+AC54+AC56+AC57+AC58+AC109</f>
        <v>118433.60961264648</v>
      </c>
      <c r="AD113" s="383"/>
      <c r="AE113" s="387">
        <f>AE38+AE44+AE55+AE54+AE57+AE58+AE109</f>
        <v>112546.99514062071</v>
      </c>
      <c r="AF113" s="2965"/>
      <c r="AG113" s="381">
        <f>AG38+AG44+AG55+AG54+AG56+AG57+AG58+AG109</f>
        <v>118433.60961264648</v>
      </c>
      <c r="AH113" s="382">
        <f>AH38+AH44+AH55+AH54+AH57+AH58+AH109</f>
        <v>112546.99514062071</v>
      </c>
      <c r="AI113" s="383"/>
      <c r="AJ113" s="384"/>
      <c r="AK113" s="385"/>
      <c r="AL113" s="386">
        <f>AL38+AL44+AL55+AL54+AL56+AL57+AL58+AL109</f>
        <v>111202.79966436185</v>
      </c>
      <c r="AM113" s="383"/>
      <c r="AN113" s="387">
        <f>AN38+AN44+AN55+AN54+AN57+AN58+AN109</f>
        <v>105503.15196757826</v>
      </c>
      <c r="AO113" s="2965"/>
      <c r="AR113" s="381">
        <f>AR38+AR41+AR44+AR47-AR51+SUM(AR54:AR60)+AR109+AR110</f>
        <v>111322.95674219234</v>
      </c>
      <c r="AS113" s="382">
        <f>AS38+AS41+AS44+AS47-AS51+SUM(AS54:AS60)+AS109+AS110</f>
        <v>106108.87905399255</v>
      </c>
      <c r="AT113" s="383"/>
      <c r="AU113" s="384"/>
      <c r="AV113" s="385"/>
      <c r="AW113" s="386">
        <f>AW38+AW41+AW44+AW47-AW51+SUM(AW54:AW60)+AW109+AW110</f>
        <v>125900.29887061767</v>
      </c>
      <c r="AX113" s="383"/>
      <c r="AY113" s="387">
        <f>AY38+AY41+AY44+AY47-AY51+SUM(AY54:AY60)+AY109+AY110</f>
        <v>118160.15194549701</v>
      </c>
      <c r="BC113" s="8818">
        <f>BC38+BC41+BC44+BC47-BC51+SUM(BC54:BC60)+BC109+BC110</f>
        <v>130654775.78214562</v>
      </c>
      <c r="BD113" s="8819">
        <f>BD38+BD41+BD44+BD47-BD51+SUM(BD54:BD60)+BD109+BD110</f>
        <v>122796319.02223168</v>
      </c>
      <c r="BE113" s="383"/>
      <c r="BF113" s="384"/>
      <c r="BG113" s="385"/>
      <c r="BH113" s="386">
        <f>BH38+BH41+BH44+BH47-BH51+SUM(BH54:BH60)+BH109+BH110</f>
        <v>109985263.33818014</v>
      </c>
      <c r="BI113" s="383"/>
      <c r="BJ113" s="387">
        <f>BJ38+BJ41+BJ44+BJ47-BJ51+SUM(BJ54:BJ60)+BJ109+BJ110</f>
        <v>105566011.00228526</v>
      </c>
    </row>
    <row r="114" spans="1:64" s="3341" customFormat="1" x14ac:dyDescent="0.35">
      <c r="A114" s="9168"/>
      <c r="B114" s="681"/>
      <c r="C114" s="682"/>
      <c r="D114" s="391" t="s">
        <v>575</v>
      </c>
      <c r="E114" s="409"/>
      <c r="F114" s="683">
        <f>(F111-F113)/((F19+F21))</f>
        <v>0.11867371235152267</v>
      </c>
      <c r="G114" s="401"/>
      <c r="H114" s="397">
        <f>(H111-H113)/((H19+H21))</f>
        <v>0.29894517404048537</v>
      </c>
      <c r="I114" s="398">
        <f>(I111-I113)/((I19+I21))</f>
        <v>0.34245727614053456</v>
      </c>
      <c r="J114" s="408"/>
      <c r="K114" s="409"/>
      <c r="L114" s="402">
        <f>(L111-L113)/((L19+L21))</f>
        <v>0.30131516069384789</v>
      </c>
      <c r="M114" s="684">
        <f>(M111-M113)/((M19+M21))</f>
        <v>0.42243865028442218</v>
      </c>
      <c r="N114" s="2911"/>
      <c r="O114" s="397">
        <f>(O111-O113)/((O20+O21))</f>
        <v>1.0571046475455226E-2</v>
      </c>
      <c r="P114" s="398">
        <f>(P111-P113)/((P20+P21))</f>
        <v>8.9004167145607677E-3</v>
      </c>
      <c r="Q114" s="399"/>
      <c r="R114" s="400"/>
      <c r="S114" s="401"/>
      <c r="T114" s="402">
        <f>(T111-T113)/((T20+T21))</f>
        <v>2.8642550743544371E-3</v>
      </c>
      <c r="U114" s="399"/>
      <c r="V114" s="403">
        <f>(V111-V113)/((V20+V21))</f>
        <v>3.6487424291222099E-3</v>
      </c>
      <c r="W114" s="2911"/>
      <c r="X114" s="397">
        <f>(X111-X113)/((X20+X21))</f>
        <v>2.4143671344956171E-3</v>
      </c>
      <c r="Y114" s="398">
        <f>(Y111-Y113)/((Y20+Y21))</f>
        <v>3.6498872288199167E-3</v>
      </c>
      <c r="Z114" s="399"/>
      <c r="AA114" s="400"/>
      <c r="AB114" s="401"/>
      <c r="AC114" s="402">
        <f>(AC111-AC113)/((AC20+AC21))</f>
        <v>2.9402318402778067E-3</v>
      </c>
      <c r="AD114" s="399"/>
      <c r="AE114" s="403">
        <f>(AE111-AE113)/((AE20+AE21))</f>
        <v>4.594297620803575E-3</v>
      </c>
      <c r="AF114" s="2911"/>
      <c r="AG114" s="397">
        <f>(AG111-AG113)/((AG20+AG21))</f>
        <v>2.9402318402778067E-3</v>
      </c>
      <c r="AH114" s="398">
        <f>(AH111-AH113)/((AH20+AH21))</f>
        <v>4.594297620803575E-3</v>
      </c>
      <c r="AI114" s="399"/>
      <c r="AJ114" s="400"/>
      <c r="AK114" s="401"/>
      <c r="AL114" s="402">
        <f>(AL111-AL113)/((AL20+AL21))</f>
        <v>2.6133722940120435E-3</v>
      </c>
      <c r="AM114" s="399"/>
      <c r="AN114" s="403">
        <f>(AN111-AN113)/((AN20+AN21))</f>
        <v>3.5429340141345344E-3</v>
      </c>
      <c r="AO114" s="2911"/>
      <c r="AR114" s="397">
        <f>(AR111-AR113)/(AR20+AR21)</f>
        <v>5.3185726989391532E-4</v>
      </c>
      <c r="AS114" s="398">
        <f>(AS111-AS113)/(AS20+AS21)</f>
        <v>-3.4181696139473237E-4</v>
      </c>
      <c r="AT114" s="399"/>
      <c r="AU114" s="400"/>
      <c r="AV114" s="401"/>
      <c r="AW114" s="402">
        <f>(AW111-AW113)/(AW20+AW21)</f>
        <v>3.0188996489778032E-3</v>
      </c>
      <c r="AX114" s="399"/>
      <c r="AY114" s="403">
        <f>(AY111-AY113)/(AY20+AY21)</f>
        <v>1.1577081172081175E-3</v>
      </c>
      <c r="BC114" s="397">
        <f>(BC111-BC113)/(BC20+BC21)</f>
        <v>9.9837572226599801E-3</v>
      </c>
      <c r="BD114" s="398">
        <f>(BD111-BD113)/(BD20+BD21)</f>
        <v>7.2912583502171367E-3</v>
      </c>
      <c r="BE114" s="399"/>
      <c r="BF114" s="400"/>
      <c r="BG114" s="401"/>
      <c r="BH114" s="402">
        <f>(BH111-BH113)/(BH20+BH21)</f>
        <v>8.8789574395081571E-3</v>
      </c>
      <c r="BI114" s="399"/>
      <c r="BJ114" s="403">
        <f>(BJ111-BJ113)/(BJ20+BJ21)</f>
        <v>6.6815972213328245E-3</v>
      </c>
    </row>
    <row r="115" spans="1:64" s="3341" customFormat="1" x14ac:dyDescent="0.35">
      <c r="A115" s="9168"/>
      <c r="B115" s="681"/>
      <c r="C115" s="682"/>
      <c r="D115" s="391" t="s">
        <v>576</v>
      </c>
      <c r="E115" s="409"/>
      <c r="F115" s="683">
        <f>F113/(F18)</f>
        <v>2.7860939983788267E-2</v>
      </c>
      <c r="G115" s="401"/>
      <c r="H115" s="397">
        <f>H113/(H18)</f>
        <v>2.8747315535769331E-2</v>
      </c>
      <c r="I115" s="398">
        <f>I113/(I18)</f>
        <v>1.3014254222008702E-2</v>
      </c>
      <c r="J115" s="408"/>
      <c r="K115" s="409"/>
      <c r="L115" s="402">
        <f>L113/(L18)</f>
        <v>2.0406167762812157E-2</v>
      </c>
      <c r="M115" s="684">
        <f>M113/(M18)</f>
        <v>1.522207539622099E-2</v>
      </c>
      <c r="N115" s="2911"/>
      <c r="O115" s="397">
        <f>O113/(O18)</f>
        <v>0.11178891249686823</v>
      </c>
      <c r="P115" s="398">
        <f>P113/(P18)</f>
        <v>0.12116549821302203</v>
      </c>
      <c r="Q115" s="399"/>
      <c r="R115" s="400"/>
      <c r="S115" s="401"/>
      <c r="T115" s="402">
        <f>T113/(T18)</f>
        <v>0.11810739850836051</v>
      </c>
      <c r="U115" s="399"/>
      <c r="V115" s="403">
        <f>V113/(V18)</f>
        <v>0.12172011747131067</v>
      </c>
      <c r="W115" s="2911"/>
      <c r="X115" s="397">
        <f>X113/(X18)</f>
        <v>0.1242331886698733</v>
      </c>
      <c r="Y115" s="398">
        <f>Y113/(Y18)</f>
        <v>0.12514535900927071</v>
      </c>
      <c r="Z115" s="399"/>
      <c r="AA115" s="400"/>
      <c r="AB115" s="401"/>
      <c r="AC115" s="402">
        <f>AC113/(AC18)</f>
        <v>0.11415820393454455</v>
      </c>
      <c r="AD115" s="399"/>
      <c r="AE115" s="403">
        <f>AE113/(AE18)</f>
        <v>0.11912560443582028</v>
      </c>
      <c r="AF115" s="2911"/>
      <c r="AG115" s="397">
        <f>AG113/(AG18)</f>
        <v>0.11415820393454455</v>
      </c>
      <c r="AH115" s="398">
        <f>AH113/(AH18)</f>
        <v>0.11912560443582028</v>
      </c>
      <c r="AI115" s="399"/>
      <c r="AJ115" s="400"/>
      <c r="AK115" s="401"/>
      <c r="AL115" s="402">
        <f>AL113/(AL18)</f>
        <v>0.13342971523467001</v>
      </c>
      <c r="AM115" s="399"/>
      <c r="AN115" s="403">
        <f>AN113/(AN18)</f>
        <v>0.12228536097603356</v>
      </c>
      <c r="AO115" s="2911"/>
      <c r="AR115" s="397">
        <f>AR113/(AR18)</f>
        <v>0.12601383213903103</v>
      </c>
      <c r="AS115" s="398">
        <f>AS113/(AS18)</f>
        <v>0.12907662564049621</v>
      </c>
      <c r="AT115" s="399"/>
      <c r="AU115" s="400"/>
      <c r="AV115" s="401"/>
      <c r="AW115" s="402">
        <f>AW113/(AW18)</f>
        <v>0.12096871512365538</v>
      </c>
      <c r="AX115" s="399"/>
      <c r="AY115" s="403">
        <f>AY113/(AY18)</f>
        <v>0.1289955752964278</v>
      </c>
      <c r="BC115" s="397">
        <f>BC113/(BC18)</f>
        <v>0.12560937007663878</v>
      </c>
      <c r="BD115" s="398">
        <f>BD113/(BD18)</f>
        <v>0.13414473153041317</v>
      </c>
      <c r="BE115" s="399"/>
      <c r="BF115" s="400"/>
      <c r="BG115" s="401"/>
      <c r="BH115" s="402">
        <f>BH113/(BH18)</f>
        <v>8.6660607531219791E-2</v>
      </c>
      <c r="BI115" s="399"/>
      <c r="BJ115" s="403">
        <f>BJ113/(BJ18)</f>
        <v>0.1089143415405659</v>
      </c>
    </row>
    <row r="116" spans="1:64" s="3341" customFormat="1" x14ac:dyDescent="0.35">
      <c r="A116" s="9168"/>
      <c r="B116" s="681"/>
      <c r="C116" s="682"/>
      <c r="D116" s="391"/>
      <c r="E116" s="409"/>
      <c r="F116" s="683"/>
      <c r="G116" s="401"/>
      <c r="H116" s="397"/>
      <c r="I116" s="398"/>
      <c r="J116" s="408"/>
      <c r="K116" s="409"/>
      <c r="L116" s="402"/>
      <c r="M116" s="684"/>
      <c r="N116" s="2911"/>
      <c r="O116" s="405"/>
      <c r="P116" s="406"/>
      <c r="Q116" s="407"/>
      <c r="R116" s="408"/>
      <c r="S116" s="409"/>
      <c r="T116" s="410"/>
      <c r="U116" s="407"/>
      <c r="V116" s="411"/>
      <c r="W116" s="2911"/>
      <c r="X116" s="405"/>
      <c r="Y116" s="406"/>
      <c r="Z116" s="407"/>
      <c r="AA116" s="408"/>
      <c r="AB116" s="409"/>
      <c r="AC116" s="410"/>
      <c r="AD116" s="407"/>
      <c r="AE116" s="411"/>
      <c r="AF116" s="2911"/>
      <c r="AG116" s="405"/>
      <c r="AH116" s="406"/>
      <c r="AI116" s="407"/>
      <c r="AJ116" s="408"/>
      <c r="AK116" s="409"/>
      <c r="AL116" s="410"/>
      <c r="AM116" s="407"/>
      <c r="AN116" s="411"/>
      <c r="AO116" s="2911"/>
      <c r="AR116" s="405"/>
      <c r="AS116" s="406"/>
      <c r="AT116" s="407"/>
      <c r="AU116" s="408"/>
      <c r="AV116" s="409"/>
      <c r="AW116" s="410"/>
      <c r="AX116" s="407"/>
      <c r="AY116" s="411"/>
      <c r="BC116" s="405"/>
      <c r="BD116" s="406"/>
      <c r="BE116" s="407"/>
      <c r="BF116" s="408"/>
      <c r="BG116" s="409"/>
      <c r="BH116" s="410"/>
      <c r="BI116" s="407"/>
      <c r="BJ116" s="411"/>
    </row>
    <row r="117" spans="1:64" s="3341" customFormat="1" x14ac:dyDescent="0.35">
      <c r="A117" s="9168"/>
      <c r="B117" s="681"/>
      <c r="C117" s="682"/>
      <c r="D117" s="391" t="s">
        <v>577</v>
      </c>
      <c r="E117" s="409"/>
      <c r="F117" s="683">
        <f>F111/(F12+F13)</f>
        <v>7.2375129245029771E-2</v>
      </c>
      <c r="G117" s="401"/>
      <c r="H117" s="397">
        <f>H111/(H12+H13)</f>
        <v>0.14264748619469511</v>
      </c>
      <c r="I117" s="398">
        <f>I111/(I12+I13)</f>
        <v>0.15530687710567589</v>
      </c>
      <c r="J117" s="408"/>
      <c r="K117" s="409"/>
      <c r="L117" s="402">
        <f>L111/(L12+L13)</f>
        <v>9.5466578013001291E-2</v>
      </c>
      <c r="M117" s="684">
        <f>M111/(M12+M13)</f>
        <v>8.9298905865012032E-2</v>
      </c>
      <c r="N117" s="2911"/>
      <c r="O117" s="397">
        <f>O111/(O12+O13)</f>
        <v>9.5522627106977162E-2</v>
      </c>
      <c r="P117" s="398">
        <f>P111/(P12+P13)</f>
        <v>9.2958025421139734E-2</v>
      </c>
      <c r="Q117" s="399"/>
      <c r="R117" s="400"/>
      <c r="S117" s="401"/>
      <c r="T117" s="402">
        <f>T111/(T12+T13)</f>
        <v>9.7245983101066497E-2</v>
      </c>
      <c r="U117" s="399"/>
      <c r="V117" s="403">
        <f>V111/(V12+V13)</f>
        <v>9.0268951714167323E-2</v>
      </c>
      <c r="W117" s="2911"/>
      <c r="X117" s="397">
        <f>X111/(X12+X13)</f>
        <v>9.6954122180297198E-2</v>
      </c>
      <c r="Y117" s="398">
        <f>Y111/(Y12+Y13)</f>
        <v>8.994139577891716E-2</v>
      </c>
      <c r="Z117" s="399"/>
      <c r="AA117" s="400"/>
      <c r="AB117" s="401"/>
      <c r="AC117" s="402">
        <f>AC111/(AC12+AC13)</f>
        <v>9.2962641579230454E-2</v>
      </c>
      <c r="AD117" s="399"/>
      <c r="AE117" s="403">
        <f>AE111/(AE12+AE13)</f>
        <v>9.0210130842291111E-2</v>
      </c>
      <c r="AF117" s="2911"/>
      <c r="AG117" s="397">
        <f>AG111/(AG12+AG13)</f>
        <v>9.2962641579230454E-2</v>
      </c>
      <c r="AH117" s="398">
        <f>AH111/(AH12+AH13)</f>
        <v>0.62775460308409803</v>
      </c>
      <c r="AI117" s="399"/>
      <c r="AJ117" s="400"/>
      <c r="AK117" s="401"/>
      <c r="AL117" s="402">
        <f>AL111/(AL12+AL13)</f>
        <v>0.14232169481337967</v>
      </c>
      <c r="AM117" s="399"/>
      <c r="AN117" s="403">
        <f>AN111/(AN12+AN13)</f>
        <v>0.13887538192495433</v>
      </c>
      <c r="AO117" s="2911"/>
      <c r="AR117" s="397">
        <f>AR111/(AR12+AR13)</f>
        <v>9.1738533395354815E-2</v>
      </c>
      <c r="AS117" s="398">
        <f>AS111/(AS12+AS13)</f>
        <v>9.4726247329366173E-2</v>
      </c>
      <c r="AT117" s="399"/>
      <c r="AU117" s="400"/>
      <c r="AV117" s="401"/>
      <c r="AW117" s="402">
        <f>AW111/(AW12+AW13)</f>
        <v>9.1200030043651653E-2</v>
      </c>
      <c r="AX117" s="399"/>
      <c r="AY117" s="403">
        <f>AY111/(AY12+AY13)</f>
        <v>9.9173831621956893E-2</v>
      </c>
      <c r="BC117" s="397">
        <f>BC111/(BC12+BC13)</f>
        <v>9.680353731600469E-2</v>
      </c>
      <c r="BD117" s="398">
        <f>BD111/(BD12+BD13)</f>
        <v>9.0420876893434449E-2</v>
      </c>
      <c r="BE117" s="399"/>
      <c r="BF117" s="400"/>
      <c r="BG117" s="401"/>
      <c r="BH117" s="402">
        <f>BH111/(BH12+BH13)</f>
        <v>6.8620657512706115E-2</v>
      </c>
      <c r="BI117" s="399"/>
      <c r="BJ117" s="403">
        <f>BJ111/(BJ12+BJ13)</f>
        <v>0.11611447468010594</v>
      </c>
    </row>
    <row r="118" spans="1:64" s="462" customFormat="1" x14ac:dyDescent="0.35">
      <c r="A118" s="9168"/>
      <c r="B118" s="685"/>
      <c r="C118" s="686"/>
      <c r="D118" s="414" t="s">
        <v>578</v>
      </c>
      <c r="E118" s="687"/>
      <c r="F118" s="688">
        <f>F111-F90</f>
        <v>84187.980715015801</v>
      </c>
      <c r="G118" s="419"/>
      <c r="H118" s="415">
        <f t="shared" ref="H118:I118" si="41">H111-H90</f>
        <v>166430.53097799185</v>
      </c>
      <c r="I118" s="416">
        <f t="shared" si="41"/>
        <v>139771.08997145199</v>
      </c>
      <c r="J118" s="689"/>
      <c r="K118" s="687"/>
      <c r="L118" s="420">
        <f t="shared" ref="L118:M118" si="42">L111-L90</f>
        <v>143196.80674287715</v>
      </c>
      <c r="M118" s="690">
        <f t="shared" si="42"/>
        <v>131478.33040020397</v>
      </c>
      <c r="N118" s="2965"/>
      <c r="O118" s="415">
        <f t="shared" ref="O118:P118" si="43">O111-O90</f>
        <v>143280.87858713118</v>
      </c>
      <c r="P118" s="416">
        <f t="shared" si="43"/>
        <v>134650.41705225059</v>
      </c>
      <c r="Q118" s="417"/>
      <c r="R118" s="418"/>
      <c r="S118" s="419"/>
      <c r="T118" s="420">
        <f>T111-T90</f>
        <v>141513.94866482695</v>
      </c>
      <c r="U118" s="417"/>
      <c r="V118" s="421">
        <f>V111-V90</f>
        <v>133566.18856722102</v>
      </c>
      <c r="W118" s="2965"/>
      <c r="X118" s="415">
        <f t="shared" ref="X118:Y118" si="44">X111-X90</f>
        <v>141089.22786873925</v>
      </c>
      <c r="Y118" s="416">
        <f t="shared" si="44"/>
        <v>133343.18601342628</v>
      </c>
      <c r="Z118" s="417"/>
      <c r="AA118" s="418"/>
      <c r="AB118" s="419"/>
      <c r="AC118" s="420">
        <f>AC111-AC90</f>
        <v>119460.85061264648</v>
      </c>
      <c r="AD118" s="417"/>
      <c r="AE118" s="421">
        <f>AE111-AE90</f>
        <v>113650.60611062071</v>
      </c>
      <c r="AF118" s="2965"/>
      <c r="AG118" s="415">
        <f>AG111-AG90</f>
        <v>119460.85061264648</v>
      </c>
      <c r="AH118" s="416">
        <f>AH111-AH90</f>
        <v>113650.60611062071</v>
      </c>
      <c r="AI118" s="417"/>
      <c r="AJ118" s="418"/>
      <c r="AK118" s="419"/>
      <c r="AL118" s="420">
        <f>AL111-AL90</f>
        <v>112232.34666436184</v>
      </c>
      <c r="AM118" s="417"/>
      <c r="AN118" s="421">
        <f>AN111-AN90</f>
        <v>106554.51196757826</v>
      </c>
      <c r="AO118" s="2965"/>
      <c r="AP118" s="4043"/>
      <c r="AQ118" s="4043"/>
      <c r="AR118" s="415"/>
      <c r="AS118" s="416"/>
      <c r="AT118" s="417"/>
      <c r="AU118" s="418"/>
      <c r="AV118" s="419"/>
      <c r="AW118" s="420"/>
      <c r="AX118" s="417"/>
      <c r="AY118" s="421"/>
      <c r="AZ118" s="4043"/>
      <c r="BA118" s="4043"/>
      <c r="BB118" s="4043"/>
      <c r="BC118" s="415"/>
      <c r="BD118" s="416"/>
      <c r="BE118" s="417"/>
      <c r="BF118" s="418"/>
      <c r="BG118" s="419"/>
      <c r="BH118" s="420"/>
      <c r="BI118" s="417"/>
      <c r="BJ118" s="421"/>
      <c r="BK118" s="4043"/>
      <c r="BL118" s="4043"/>
    </row>
    <row r="119" spans="1:64" s="462" customFormat="1" x14ac:dyDescent="0.35">
      <c r="A119" s="9168"/>
      <c r="B119" s="681"/>
      <c r="C119" s="682"/>
      <c r="D119" s="391" t="s">
        <v>579</v>
      </c>
      <c r="E119" s="409"/>
      <c r="F119" s="683">
        <f>F118/(F12+F13)</f>
        <v>7.2375129245029771E-2</v>
      </c>
      <c r="G119" s="401"/>
      <c r="H119" s="397">
        <f>H118/(H12+H13)</f>
        <v>0.14264748619469511</v>
      </c>
      <c r="I119" s="398">
        <f>I118/(I12+I13)</f>
        <v>0.15530687710567589</v>
      </c>
      <c r="J119" s="408"/>
      <c r="K119" s="409"/>
      <c r="L119" s="402">
        <f>L118/(L12+L13)</f>
        <v>9.5466578013001291E-2</v>
      </c>
      <c r="M119" s="684">
        <f>M118/(M12+M13)</f>
        <v>8.9298905865012032E-2</v>
      </c>
      <c r="N119" s="2911"/>
      <c r="O119" s="397">
        <f>O118/(O12+O13)</f>
        <v>9.5522627106977162E-2</v>
      </c>
      <c r="P119" s="398">
        <f>P118/(P12+P13)</f>
        <v>9.2958025421139734E-2</v>
      </c>
      <c r="Q119" s="399"/>
      <c r="R119" s="400"/>
      <c r="S119" s="401"/>
      <c r="T119" s="402">
        <f>T118/(T12+T13)</f>
        <v>9.7245983101066497E-2</v>
      </c>
      <c r="U119" s="399"/>
      <c r="V119" s="403">
        <f>V118/(V12+V13)</f>
        <v>9.0268951714167323E-2</v>
      </c>
      <c r="W119" s="2911"/>
      <c r="X119" s="397">
        <f>X118/(X12+X13)</f>
        <v>9.6954122180297198E-2</v>
      </c>
      <c r="Y119" s="398">
        <f>Y118/(Y12+Y13)</f>
        <v>8.994139577891716E-2</v>
      </c>
      <c r="Z119" s="399"/>
      <c r="AA119" s="400"/>
      <c r="AB119" s="401"/>
      <c r="AC119" s="402">
        <f>AC118/(AC12+AC13)</f>
        <v>9.2962641579230454E-2</v>
      </c>
      <c r="AD119" s="399"/>
      <c r="AE119" s="403">
        <f>AE118/(AE12+AE13)</f>
        <v>9.0210130842291111E-2</v>
      </c>
      <c r="AF119" s="2911"/>
      <c r="AG119" s="397">
        <f>AG118/(AG12+AG13)</f>
        <v>9.2962641579230454E-2</v>
      </c>
      <c r="AH119" s="398">
        <f>AH118/(AH12+AH13)</f>
        <v>0.62775460308409803</v>
      </c>
      <c r="AI119" s="399"/>
      <c r="AJ119" s="400"/>
      <c r="AK119" s="401"/>
      <c r="AL119" s="402">
        <f>AL118/(AL12+AL13)</f>
        <v>0.14232169481337967</v>
      </c>
      <c r="AM119" s="399"/>
      <c r="AN119" s="403">
        <f>AN118/(AN12+AN13)</f>
        <v>0.13887538192495433</v>
      </c>
      <c r="AO119" s="2911"/>
      <c r="AP119" s="3341"/>
      <c r="AQ119" s="3341"/>
      <c r="AR119" s="397"/>
      <c r="AS119" s="398"/>
      <c r="AT119" s="399"/>
      <c r="AU119" s="400"/>
      <c r="AV119" s="401"/>
      <c r="AW119" s="402"/>
      <c r="AX119" s="417"/>
      <c r="AY119" s="403"/>
      <c r="AZ119" s="3341"/>
      <c r="BA119" s="3341"/>
      <c r="BB119" s="3341"/>
      <c r="BC119" s="397"/>
      <c r="BD119" s="398"/>
      <c r="BE119" s="399"/>
      <c r="BF119" s="400"/>
      <c r="BG119" s="401"/>
      <c r="BH119" s="402"/>
      <c r="BI119" s="417"/>
      <c r="BJ119" s="403"/>
      <c r="BK119" s="3341"/>
      <c r="BL119" s="3341"/>
    </row>
    <row r="120" spans="1:64" s="462" customFormat="1" ht="12" customHeight="1" x14ac:dyDescent="0.35">
      <c r="A120" s="9168"/>
      <c r="B120" s="681"/>
      <c r="C120" s="682"/>
      <c r="D120" s="391"/>
      <c r="E120" s="409"/>
      <c r="F120" s="413"/>
      <c r="G120" s="409"/>
      <c r="H120" s="405"/>
      <c r="I120" s="406"/>
      <c r="J120" s="408"/>
      <c r="K120" s="409"/>
      <c r="L120" s="410"/>
      <c r="M120" s="691"/>
      <c r="N120" s="2911"/>
      <c r="O120" s="397"/>
      <c r="P120" s="398"/>
      <c r="Q120" s="399"/>
      <c r="R120" s="400"/>
      <c r="S120" s="401"/>
      <c r="T120" s="402"/>
      <c r="U120" s="399"/>
      <c r="V120" s="403"/>
      <c r="W120" s="2911"/>
      <c r="X120" s="397"/>
      <c r="Y120" s="398"/>
      <c r="Z120" s="399"/>
      <c r="AA120" s="400"/>
      <c r="AB120" s="401"/>
      <c r="AC120" s="402"/>
      <c r="AD120" s="399"/>
      <c r="AE120" s="403"/>
      <c r="AF120" s="2911"/>
      <c r="AG120" s="397"/>
      <c r="AH120" s="398"/>
      <c r="AI120" s="399"/>
      <c r="AJ120" s="400"/>
      <c r="AK120" s="401"/>
      <c r="AL120" s="402"/>
      <c r="AM120" s="399"/>
      <c r="AN120" s="403"/>
      <c r="AO120" s="2911"/>
      <c r="AP120" s="3341"/>
      <c r="AQ120" s="3341"/>
      <c r="AR120" s="397"/>
      <c r="AS120" s="398"/>
      <c r="AT120" s="399"/>
      <c r="AU120" s="400"/>
      <c r="AV120" s="401"/>
      <c r="AW120" s="402"/>
      <c r="AX120" s="417"/>
      <c r="AY120" s="403"/>
      <c r="AZ120" s="3341"/>
      <c r="BA120" s="3341"/>
      <c r="BB120" s="3341"/>
      <c r="BC120" s="397"/>
      <c r="BD120" s="398"/>
      <c r="BE120" s="399"/>
      <c r="BF120" s="400"/>
      <c r="BG120" s="401"/>
      <c r="BH120" s="402"/>
      <c r="BI120" s="417"/>
      <c r="BJ120" s="403"/>
      <c r="BK120" s="3341"/>
      <c r="BL120" s="3341"/>
    </row>
    <row r="121" spans="1:64" s="462" customFormat="1" x14ac:dyDescent="0.35">
      <c r="A121" s="9168"/>
      <c r="B121" s="681"/>
      <c r="C121" s="682"/>
      <c r="D121" s="423" t="s">
        <v>580</v>
      </c>
      <c r="E121" s="692"/>
      <c r="F121" s="693">
        <f>F95/F111</f>
        <v>0</v>
      </c>
      <c r="G121" s="694"/>
      <c r="H121" s="695">
        <f t="shared" ref="H121:I121" si="45">H95/H111</f>
        <v>0</v>
      </c>
      <c r="I121" s="696">
        <f t="shared" si="45"/>
        <v>0</v>
      </c>
      <c r="J121" s="267"/>
      <c r="K121" s="694"/>
      <c r="L121" s="697">
        <f t="shared" ref="L121:M121" si="46">L95/L111</f>
        <v>0</v>
      </c>
      <c r="M121" s="698">
        <f t="shared" si="46"/>
        <v>0</v>
      </c>
      <c r="N121" s="2911"/>
      <c r="O121" s="397">
        <f>O95/O111</f>
        <v>0.30337683875637611</v>
      </c>
      <c r="P121" s="398">
        <f>P95/P111</f>
        <v>0.32010139503150975</v>
      </c>
      <c r="Q121" s="399"/>
      <c r="R121" s="400"/>
      <c r="S121" s="401"/>
      <c r="T121" s="402">
        <f>T95/T111</f>
        <v>0.3234294812054524</v>
      </c>
      <c r="U121" s="399"/>
      <c r="V121" s="403">
        <f>V95/V111</f>
        <v>0.34044291431671037</v>
      </c>
      <c r="W121" s="2911"/>
      <c r="X121" s="397">
        <f>X95/X111</f>
        <v>0.32329741745015617</v>
      </c>
      <c r="Y121" s="398">
        <f>Y95/Y111</f>
        <v>0.33975735494604364</v>
      </c>
      <c r="Z121" s="399"/>
      <c r="AA121" s="400"/>
      <c r="AB121" s="401"/>
      <c r="AC121" s="402">
        <f>AC95/AC111</f>
        <v>0.39332839804026792</v>
      </c>
      <c r="AD121" s="399"/>
      <c r="AE121" s="403">
        <f>AE95/AE111</f>
        <v>0.40840777351263435</v>
      </c>
      <c r="AF121" s="2911"/>
      <c r="AG121" s="397">
        <f>AG95/AG111</f>
        <v>0.39332839804026792</v>
      </c>
      <c r="AH121" s="398">
        <f>AH95/AH111</f>
        <v>0.40840777351263435</v>
      </c>
      <c r="AI121" s="399"/>
      <c r="AJ121" s="400"/>
      <c r="AK121" s="401"/>
      <c r="AL121" s="402">
        <f>AL95/AL111</f>
        <v>0.41860779353122451</v>
      </c>
      <c r="AM121" s="399"/>
      <c r="AN121" s="403">
        <f>AN95/AN111</f>
        <v>0.42893577339931738</v>
      </c>
      <c r="AO121" s="2911"/>
      <c r="AP121" s="3341"/>
      <c r="AQ121" s="3341"/>
      <c r="AR121" s="397"/>
      <c r="AS121" s="398"/>
      <c r="AT121" s="399"/>
      <c r="AU121" s="400"/>
      <c r="AV121" s="401"/>
      <c r="AW121" s="402"/>
      <c r="AX121" s="417"/>
      <c r="AY121" s="403"/>
      <c r="AZ121" s="3341"/>
      <c r="BA121" s="3341"/>
      <c r="BB121" s="3341"/>
      <c r="BC121" s="397"/>
      <c r="BD121" s="398"/>
      <c r="BE121" s="399"/>
      <c r="BF121" s="400"/>
      <c r="BG121" s="401"/>
      <c r="BH121" s="402"/>
      <c r="BI121" s="417"/>
      <c r="BJ121" s="403"/>
      <c r="BK121" s="3341"/>
      <c r="BL121" s="3341"/>
    </row>
    <row r="122" spans="1:64" s="462" customFormat="1" x14ac:dyDescent="0.35">
      <c r="A122" s="9169"/>
      <c r="B122" s="699"/>
      <c r="C122" s="700"/>
      <c r="D122" s="433" t="s">
        <v>581</v>
      </c>
      <c r="E122" s="701"/>
      <c r="F122" s="702">
        <f>F95/F113</f>
        <v>0</v>
      </c>
      <c r="G122" s="703"/>
      <c r="H122" s="704">
        <f t="shared" ref="H122:I122" si="47">H95/H113</f>
        <v>0</v>
      </c>
      <c r="I122" s="705">
        <f t="shared" si="47"/>
        <v>0</v>
      </c>
      <c r="J122" s="706"/>
      <c r="K122" s="703"/>
      <c r="L122" s="707">
        <f t="shared" ref="L122:M122" si="48">L95/L113</f>
        <v>0</v>
      </c>
      <c r="M122" s="708">
        <f t="shared" si="48"/>
        <v>0</v>
      </c>
      <c r="N122" s="2911"/>
      <c r="O122" s="441">
        <f>O95/O113</f>
        <v>0.31250029748152158</v>
      </c>
      <c r="P122" s="442">
        <f>P95/P113</f>
        <v>0.32597890999193496</v>
      </c>
      <c r="Q122" s="443"/>
      <c r="R122" s="444"/>
      <c r="S122" s="445"/>
      <c r="T122" s="446">
        <f>T95/T113</f>
        <v>0.32931546021656249</v>
      </c>
      <c r="U122" s="443"/>
      <c r="V122" s="447">
        <f>V95/V113</f>
        <v>0.34593671324305791</v>
      </c>
      <c r="W122" s="2911"/>
      <c r="X122" s="441">
        <f>X95/X113</f>
        <v>0.32797291557423308</v>
      </c>
      <c r="Y122" s="442">
        <f>Y95/Y113</f>
        <v>0.34525159751635437</v>
      </c>
      <c r="Z122" s="443"/>
      <c r="AA122" s="444"/>
      <c r="AB122" s="445"/>
      <c r="AC122" s="446">
        <f>AC95/AC113</f>
        <v>0.39673995543730045</v>
      </c>
      <c r="AD122" s="443"/>
      <c r="AE122" s="447">
        <f>AE95/AE113</f>
        <v>0.41241252991256011</v>
      </c>
      <c r="AF122" s="2911"/>
      <c r="AG122" s="441">
        <f>AG95/AG113</f>
        <v>0.39673995543730045</v>
      </c>
      <c r="AH122" s="442">
        <f>AH95/AH113</f>
        <v>0.41241252991256011</v>
      </c>
      <c r="AI122" s="443"/>
      <c r="AJ122" s="444"/>
      <c r="AK122" s="445"/>
      <c r="AL122" s="446">
        <f>AL95/AL113</f>
        <v>0.42248338298857169</v>
      </c>
      <c r="AM122" s="443"/>
      <c r="AN122" s="447">
        <f>AN95/AN113</f>
        <v>0.43321020412779165</v>
      </c>
      <c r="AO122" s="2911"/>
      <c r="AP122" s="3341"/>
      <c r="AQ122" s="3341"/>
      <c r="AR122" s="441"/>
      <c r="AS122" s="442"/>
      <c r="AT122" s="443"/>
      <c r="AU122" s="444"/>
      <c r="AV122" s="445"/>
      <c r="AW122" s="446"/>
      <c r="AX122" s="8820"/>
      <c r="AY122" s="447"/>
      <c r="AZ122" s="3341"/>
      <c r="BA122" s="3341"/>
      <c r="BB122" s="3341"/>
      <c r="BC122" s="441"/>
      <c r="BD122" s="442"/>
      <c r="BE122" s="443"/>
      <c r="BF122" s="444"/>
      <c r="BG122" s="445"/>
      <c r="BH122" s="446"/>
      <c r="BI122" s="8820"/>
      <c r="BJ122" s="447"/>
      <c r="BK122" s="3341"/>
      <c r="BL122" s="3341"/>
    </row>
    <row r="123" spans="1:64" s="462" customFormat="1" ht="12" x14ac:dyDescent="0.3">
      <c r="C123" s="456"/>
      <c r="D123" s="2"/>
      <c r="E123" s="456"/>
      <c r="F123" s="456"/>
      <c r="G123" s="456"/>
      <c r="H123" s="459"/>
      <c r="I123" s="459"/>
      <c r="J123" s="7"/>
      <c r="K123" s="456"/>
      <c r="N123" s="456"/>
      <c r="O123" s="459"/>
      <c r="P123" s="459"/>
      <c r="Q123" s="459"/>
      <c r="R123" s="7"/>
      <c r="S123" s="456"/>
      <c r="W123" s="456"/>
      <c r="X123" s="459"/>
      <c r="Y123" s="459"/>
      <c r="Z123" s="459"/>
      <c r="AA123" s="7"/>
      <c r="AB123" s="456"/>
      <c r="AF123" s="456"/>
      <c r="AG123" s="459"/>
      <c r="AH123" s="459"/>
      <c r="AI123" s="459"/>
      <c r="AJ123" s="7"/>
      <c r="AK123" s="456"/>
      <c r="AO123" s="456"/>
      <c r="AR123" s="459"/>
      <c r="AS123" s="459"/>
      <c r="AT123" s="459"/>
      <c r="AU123" s="7"/>
      <c r="AV123" s="456"/>
      <c r="BC123" s="459"/>
      <c r="BD123" s="459"/>
      <c r="BE123" s="459"/>
      <c r="BF123" s="7"/>
      <c r="BG123" s="456"/>
    </row>
    <row r="124" spans="1:64" s="462" customFormat="1" ht="12" x14ac:dyDescent="0.3">
      <c r="A124" s="455" t="s">
        <v>582</v>
      </c>
      <c r="B124" s="455" t="str">
        <f>AP10</f>
        <v>Transparency Portal data : only Domestic financing; 
data on Petrol Fund from Budget books; 
Seems DPs include only Loans</v>
      </c>
      <c r="C124" s="456"/>
      <c r="D124" s="2"/>
      <c r="E124" s="456"/>
      <c r="F124" s="456"/>
      <c r="G124" s="456"/>
      <c r="H124" s="459"/>
      <c r="I124" s="459"/>
      <c r="J124" s="7"/>
      <c r="K124" s="456"/>
      <c r="N124" s="456"/>
      <c r="O124" s="459"/>
      <c r="P124" s="459"/>
      <c r="Q124" s="459"/>
      <c r="R124" s="7"/>
      <c r="S124" s="456"/>
      <c r="W124" s="456"/>
      <c r="X124" s="459"/>
      <c r="Y124" s="459"/>
      <c r="Z124" s="459"/>
      <c r="AA124" s="7"/>
      <c r="AB124" s="456"/>
      <c r="AF124" s="456"/>
      <c r="AG124" s="459"/>
      <c r="AH124" s="459"/>
      <c r="AI124" s="459"/>
      <c r="AJ124" s="7"/>
      <c r="AK124" s="456"/>
      <c r="AO124" s="456"/>
      <c r="AR124" s="459"/>
      <c r="AS124" s="459"/>
      <c r="AT124" s="459"/>
      <c r="AU124" s="7"/>
      <c r="AV124" s="456"/>
      <c r="BC124" s="459"/>
      <c r="BD124" s="459"/>
      <c r="BE124" s="459"/>
      <c r="BF124" s="7"/>
      <c r="BG124" s="456"/>
    </row>
    <row r="125" spans="1:64" s="462" customFormat="1" ht="12" x14ac:dyDescent="0.3">
      <c r="A125" s="463">
        <v>1</v>
      </c>
      <c r="B125" s="464" t="str">
        <f>AP27</f>
        <v xml:space="preserve">codigo 600 Salários </v>
      </c>
      <c r="D125" s="709"/>
      <c r="E125" s="466"/>
      <c r="F125" s="466"/>
      <c r="G125" s="466"/>
      <c r="H125" s="466"/>
      <c r="I125" s="466"/>
      <c r="J125" s="467"/>
      <c r="K125" s="466"/>
      <c r="L125" s="466"/>
      <c r="M125" s="466"/>
      <c r="N125" s="456"/>
      <c r="O125" s="466"/>
      <c r="P125" s="466"/>
      <c r="Q125" s="466"/>
      <c r="R125" s="467"/>
      <c r="S125" s="466"/>
      <c r="T125" s="466"/>
      <c r="U125" s="466"/>
      <c r="V125" s="466"/>
      <c r="W125" s="456"/>
      <c r="X125" s="466"/>
      <c r="Y125" s="466"/>
      <c r="Z125" s="466"/>
      <c r="AA125" s="467"/>
      <c r="AB125" s="466"/>
      <c r="AC125" s="466"/>
      <c r="AD125" s="466"/>
      <c r="AE125" s="466"/>
      <c r="AF125" s="456"/>
      <c r="AG125" s="466"/>
      <c r="AH125" s="466"/>
      <c r="AI125" s="466"/>
      <c r="AJ125" s="467"/>
      <c r="AK125" s="466"/>
      <c r="AL125" s="466"/>
      <c r="AM125" s="466"/>
      <c r="AN125" s="466"/>
      <c r="AO125" s="456"/>
      <c r="AP125" s="577"/>
      <c r="AR125" s="466"/>
      <c r="AS125" s="466"/>
      <c r="AT125" s="466"/>
      <c r="AU125" s="467"/>
      <c r="AV125" s="466"/>
      <c r="AW125" s="466"/>
      <c r="AX125" s="466"/>
      <c r="AY125" s="466"/>
      <c r="BA125" s="577"/>
      <c r="BC125" s="466"/>
      <c r="BD125" s="466"/>
      <c r="BE125" s="466"/>
      <c r="BF125" s="467"/>
      <c r="BG125" s="466"/>
      <c r="BH125" s="466"/>
      <c r="BI125" s="466"/>
      <c r="BJ125" s="466"/>
      <c r="BL125" s="577"/>
    </row>
    <row r="126" spans="1:64" s="462" customFormat="1" ht="12" x14ac:dyDescent="0.3">
      <c r="A126" s="463">
        <v>2</v>
      </c>
      <c r="B126" s="469" t="str">
        <f>AP28</f>
        <v>DOTAÇÕES PARA TODO O GOVERNO - DTG-PENSÃO AOS EX-TITULARES</v>
      </c>
      <c r="D126" s="2"/>
      <c r="E126" s="456"/>
      <c r="F126" s="456"/>
      <c r="G126" s="456"/>
      <c r="H126" s="459"/>
      <c r="I126" s="459"/>
      <c r="J126" s="7"/>
      <c r="K126" s="456"/>
      <c r="N126" s="456"/>
      <c r="O126" s="459"/>
      <c r="P126" s="459"/>
      <c r="Q126" s="459"/>
      <c r="R126" s="7"/>
      <c r="S126" s="456"/>
      <c r="W126" s="456"/>
      <c r="X126" s="459"/>
      <c r="Y126" s="459"/>
      <c r="Z126" s="459"/>
      <c r="AA126" s="7"/>
      <c r="AB126" s="456"/>
      <c r="AF126" s="456"/>
      <c r="AG126" s="459"/>
      <c r="AH126" s="459"/>
      <c r="AI126" s="459"/>
      <c r="AJ126" s="7"/>
      <c r="AK126" s="456"/>
      <c r="AO126" s="456"/>
      <c r="AP126" s="577"/>
      <c r="AR126" s="459"/>
      <c r="AS126" s="459"/>
      <c r="AT126" s="459"/>
      <c r="AU126" s="7"/>
      <c r="AV126" s="456"/>
      <c r="BA126" s="577"/>
      <c r="BC126" s="459"/>
      <c r="BD126" s="459"/>
      <c r="BE126" s="459"/>
      <c r="BF126" s="7"/>
      <c r="BG126" s="456"/>
      <c r="BL126" s="577"/>
    </row>
    <row r="127" spans="1:64" s="462" customFormat="1" ht="12" x14ac:dyDescent="0.3">
      <c r="A127" s="463">
        <v>3</v>
      </c>
      <c r="B127" s="469" t="str">
        <f>AP50</f>
        <v xml:space="preserve">SECRETARIA DE ESTADO DA CULTURA </v>
      </c>
      <c r="D127" s="2"/>
      <c r="E127" s="456"/>
      <c r="F127" s="456"/>
      <c r="G127" s="456"/>
      <c r="H127" s="459"/>
      <c r="I127" s="459"/>
      <c r="J127" s="7"/>
      <c r="K127" s="456"/>
      <c r="N127" s="456"/>
      <c r="O127" s="459"/>
      <c r="P127" s="459"/>
      <c r="Q127" s="459"/>
      <c r="R127" s="7"/>
      <c r="S127" s="456"/>
      <c r="W127" s="456"/>
      <c r="X127" s="459"/>
      <c r="Y127" s="459"/>
      <c r="Z127" s="459"/>
      <c r="AA127" s="7"/>
      <c r="AB127" s="456"/>
      <c r="AF127" s="456"/>
      <c r="AG127" s="459"/>
      <c r="AH127" s="459"/>
      <c r="AI127" s="459"/>
      <c r="AJ127" s="7"/>
      <c r="AK127" s="456"/>
      <c r="AO127" s="456"/>
      <c r="AP127" s="577"/>
      <c r="AR127" s="459"/>
      <c r="AS127" s="459"/>
      <c r="AT127" s="459"/>
      <c r="AU127" s="7"/>
      <c r="AV127" s="456"/>
      <c r="BA127" s="577"/>
      <c r="BC127" s="459"/>
      <c r="BD127" s="459"/>
      <c r="BE127" s="459"/>
      <c r="BF127" s="7"/>
      <c r="BG127" s="456"/>
      <c r="BL127" s="577"/>
    </row>
    <row r="128" spans="1:64" s="462" customFormat="1" ht="12" x14ac:dyDescent="0.3">
      <c r="A128" s="463">
        <v>4</v>
      </c>
      <c r="B128" s="469" t="str">
        <f t="shared" ref="B128:B133" si="49">AP54</f>
        <v>CENTRO DA FORMAÇÃO DA POLICIA</v>
      </c>
      <c r="D128" s="2"/>
      <c r="E128" s="456"/>
      <c r="F128" s="456"/>
      <c r="G128" s="456"/>
      <c r="H128" s="459"/>
      <c r="I128" s="459"/>
      <c r="J128" s="7"/>
      <c r="K128" s="456"/>
      <c r="N128" s="456"/>
      <c r="O128" s="459"/>
      <c r="P128" s="459"/>
      <c r="Q128" s="459"/>
      <c r="R128" s="7"/>
      <c r="S128" s="456"/>
      <c r="W128" s="456"/>
      <c r="X128" s="459"/>
      <c r="Y128" s="459"/>
      <c r="Z128" s="459"/>
      <c r="AA128" s="7"/>
      <c r="AB128" s="456"/>
      <c r="AF128" s="456"/>
      <c r="AG128" s="459"/>
      <c r="AH128" s="459"/>
      <c r="AI128" s="459"/>
      <c r="AJ128" s="7"/>
      <c r="AK128" s="456"/>
      <c r="AO128" s="456"/>
      <c r="AP128" s="577"/>
      <c r="AR128" s="459"/>
      <c r="AS128" s="459"/>
      <c r="AT128" s="459"/>
      <c r="AU128" s="7"/>
      <c r="AV128" s="456"/>
      <c r="BA128" s="577"/>
      <c r="BC128" s="459"/>
      <c r="BD128" s="459"/>
      <c r="BE128" s="459"/>
      <c r="BF128" s="7"/>
      <c r="BG128" s="456"/>
      <c r="BL128" s="577"/>
    </row>
    <row r="129" spans="1:64" s="462" customFormat="1" ht="12" x14ac:dyDescent="0.3">
      <c r="A129" s="463">
        <v>5</v>
      </c>
      <c r="B129" s="469" t="str">
        <f t="shared" si="49"/>
        <v>CENTRO DE FORMAÇÃO JURÍDICA</v>
      </c>
      <c r="D129" s="2"/>
      <c r="E129" s="456"/>
      <c r="F129" s="456"/>
      <c r="G129" s="456"/>
      <c r="H129" s="459"/>
      <c r="I129" s="459"/>
      <c r="J129" s="7"/>
      <c r="K129" s="456"/>
      <c r="N129" s="456"/>
      <c r="W129" s="456"/>
      <c r="AF129" s="456"/>
      <c r="AO129" s="456"/>
      <c r="AP129" s="577"/>
      <c r="BA129" s="577"/>
      <c r="BL129" s="577"/>
    </row>
    <row r="130" spans="1:64" s="462" customFormat="1" ht="12" x14ac:dyDescent="0.3">
      <c r="A130" s="463">
        <v>6</v>
      </c>
      <c r="B130" s="469" t="str">
        <f t="shared" si="49"/>
        <v>INSTITUTO NACIONAL ADMINISTRAÇÃO PÚBLICA</v>
      </c>
      <c r="D130" s="2"/>
      <c r="E130" s="456"/>
      <c r="F130" s="456"/>
      <c r="G130" s="456"/>
      <c r="H130" s="459"/>
      <c r="I130" s="459"/>
      <c r="J130" s="7"/>
      <c r="K130" s="456"/>
      <c r="N130" s="456"/>
      <c r="W130" s="456"/>
      <c r="AF130" s="456"/>
      <c r="AO130" s="456"/>
      <c r="AP130" s="577"/>
      <c r="BA130" s="577"/>
      <c r="BL130" s="577"/>
    </row>
    <row r="131" spans="1:64" s="462" customFormat="1" ht="12" x14ac:dyDescent="0.3">
      <c r="A131" s="463">
        <v>7</v>
      </c>
      <c r="B131" s="469" t="str">
        <f t="shared" si="49"/>
        <v>Bolsas de Estudo</v>
      </c>
      <c r="D131" s="2"/>
      <c r="E131" s="456"/>
      <c r="F131" s="456"/>
      <c r="G131" s="456"/>
      <c r="H131" s="459"/>
      <c r="I131" s="459"/>
      <c r="J131" s="7"/>
      <c r="K131" s="456"/>
      <c r="N131" s="456"/>
      <c r="W131" s="456"/>
      <c r="AF131" s="456"/>
      <c r="AO131" s="456"/>
      <c r="AP131" s="577"/>
      <c r="BA131" s="577"/>
      <c r="BL131" s="577"/>
    </row>
    <row r="132" spans="1:64" s="462" customFormat="1" ht="12" x14ac:dyDescent="0.3">
      <c r="A132" s="463">
        <v>8</v>
      </c>
      <c r="B132" s="469" t="str">
        <f t="shared" si="49"/>
        <v>Formação Técnica</v>
      </c>
      <c r="D132" s="2"/>
      <c r="E132" s="456"/>
      <c r="F132" s="456"/>
      <c r="G132" s="456"/>
      <c r="H132" s="459"/>
      <c r="I132" s="459"/>
      <c r="J132" s="7"/>
      <c r="K132" s="456"/>
      <c r="N132" s="456"/>
      <c r="W132" s="456"/>
      <c r="AF132" s="456"/>
      <c r="AO132" s="456"/>
      <c r="AP132" s="577"/>
      <c r="BA132" s="577"/>
      <c r="BL132" s="577"/>
    </row>
    <row r="133" spans="1:64" s="462" customFormat="1" ht="12" x14ac:dyDescent="0.3">
      <c r="A133" s="463">
        <v>9</v>
      </c>
      <c r="B133" s="469" t="str">
        <f t="shared" si="49"/>
        <v>Formação em Saúde e Medicina</v>
      </c>
      <c r="D133" s="2"/>
      <c r="E133" s="456"/>
      <c r="F133" s="456"/>
      <c r="G133" s="456"/>
      <c r="H133" s="459"/>
      <c r="I133" s="459"/>
      <c r="J133" s="7"/>
      <c r="K133" s="456"/>
      <c r="N133" s="456"/>
      <c r="W133" s="456"/>
      <c r="AF133" s="456"/>
      <c r="AO133" s="456"/>
      <c r="AP133" s="577"/>
      <c r="BA133" s="577"/>
      <c r="BL133" s="577"/>
    </row>
    <row r="134" spans="1:64" s="462" customFormat="1" ht="12" x14ac:dyDescent="0.3">
      <c r="A134" s="463">
        <v>10</v>
      </c>
      <c r="B134" s="469" t="str">
        <f t="shared" ref="B134" si="50">AP62</f>
        <v>Educaçao</v>
      </c>
      <c r="D134" s="2"/>
      <c r="E134" s="456"/>
      <c r="F134" s="456"/>
      <c r="G134" s="456"/>
      <c r="H134" s="459"/>
      <c r="I134" s="459"/>
      <c r="J134" s="7"/>
      <c r="K134" s="456"/>
      <c r="N134" s="456"/>
      <c r="W134" s="456"/>
      <c r="AF134" s="456"/>
      <c r="AO134" s="456"/>
      <c r="AP134" s="577"/>
      <c r="BA134" s="577"/>
      <c r="BL134" s="577"/>
    </row>
    <row r="135" spans="1:64" s="462" customFormat="1" ht="93" customHeight="1" x14ac:dyDescent="0.3">
      <c r="A135" s="463">
        <v>11</v>
      </c>
      <c r="B135" s="469" t="str">
        <f>AP64</f>
        <v>600 Salários excluding overtime &amp; allowances</v>
      </c>
      <c r="D135" s="2"/>
      <c r="E135" s="456"/>
      <c r="F135" s="456"/>
      <c r="G135" s="456"/>
      <c r="H135" s="459"/>
      <c r="I135" s="459"/>
      <c r="J135" s="7"/>
      <c r="K135" s="456"/>
      <c r="N135" s="456"/>
      <c r="W135" s="456"/>
      <c r="AF135" s="456"/>
      <c r="AO135" s="456"/>
      <c r="AP135" s="577"/>
      <c r="BA135" s="577"/>
      <c r="BL135" s="577"/>
    </row>
    <row r="136" spans="1:64" x14ac:dyDescent="0.35">
      <c r="A136" s="468"/>
      <c r="B136" s="469"/>
      <c r="C136" s="462"/>
      <c r="E136" s="456"/>
      <c r="F136" s="456"/>
      <c r="G136" s="456"/>
      <c r="H136" s="459"/>
      <c r="I136" s="459"/>
      <c r="K136" s="456"/>
      <c r="L136" s="462"/>
      <c r="M136" s="462"/>
      <c r="N136" s="456"/>
      <c r="O136" s="459"/>
      <c r="P136" s="459"/>
      <c r="Q136" s="459"/>
      <c r="S136" s="456"/>
      <c r="T136" s="462"/>
      <c r="U136" s="462"/>
      <c r="V136" s="462"/>
      <c r="W136" s="456"/>
      <c r="X136" s="459"/>
      <c r="Y136" s="459"/>
      <c r="Z136" s="459"/>
      <c r="AB136" s="456"/>
      <c r="AC136" s="462"/>
      <c r="AD136" s="462"/>
      <c r="AE136" s="462"/>
      <c r="AF136" s="456"/>
      <c r="AG136" s="459"/>
      <c r="AH136" s="459"/>
      <c r="AI136" s="459"/>
      <c r="AK136" s="456"/>
      <c r="AL136" s="462"/>
      <c r="AM136" s="462"/>
      <c r="AN136" s="462"/>
      <c r="AO136" s="456"/>
      <c r="AP136" s="577"/>
      <c r="AQ136" s="462"/>
      <c r="AR136" s="459"/>
      <c r="AS136" s="459"/>
      <c r="AT136" s="459"/>
      <c r="AV136" s="456"/>
      <c r="AW136" s="462"/>
      <c r="AX136" s="462"/>
      <c r="AY136" s="462"/>
      <c r="AZ136" s="462"/>
      <c r="BA136" s="577"/>
      <c r="BB136" s="462"/>
      <c r="BC136" s="459"/>
      <c r="BD136" s="459"/>
      <c r="BE136" s="459"/>
      <c r="BG136" s="456"/>
      <c r="BH136" s="462"/>
      <c r="BI136" s="462"/>
      <c r="BJ136" s="462"/>
      <c r="BK136" s="462"/>
      <c r="BL136" s="577"/>
    </row>
    <row r="137" spans="1:64" x14ac:dyDescent="0.35">
      <c r="A137" s="468"/>
      <c r="B137" s="469"/>
      <c r="C137" s="462"/>
      <c r="E137" s="456"/>
      <c r="F137" s="456"/>
      <c r="G137" s="456"/>
      <c r="H137" s="459"/>
      <c r="I137" s="459"/>
      <c r="K137" s="456"/>
      <c r="L137" s="462"/>
      <c r="M137" s="462"/>
      <c r="N137" s="456"/>
      <c r="O137" s="459"/>
      <c r="P137" s="459"/>
      <c r="Q137" s="459"/>
      <c r="S137" s="456"/>
      <c r="T137" s="462"/>
      <c r="U137" s="462"/>
      <c r="V137" s="462"/>
      <c r="W137" s="456"/>
      <c r="X137" s="459"/>
      <c r="Y137" s="459"/>
      <c r="Z137" s="459"/>
      <c r="AB137" s="456"/>
      <c r="AC137" s="462"/>
      <c r="AD137" s="462"/>
      <c r="AE137" s="462"/>
      <c r="AF137" s="456"/>
      <c r="AG137" s="459"/>
      <c r="AH137" s="459"/>
      <c r="AI137" s="459"/>
      <c r="AK137" s="456"/>
      <c r="AL137" s="462"/>
      <c r="AM137" s="462"/>
      <c r="AN137" s="462"/>
      <c r="AO137" s="456"/>
      <c r="AP137" s="577"/>
      <c r="AQ137" s="462"/>
      <c r="AR137" s="459"/>
      <c r="AS137" s="459"/>
      <c r="AT137" s="459"/>
      <c r="AV137" s="456"/>
      <c r="AW137" s="462"/>
      <c r="AX137" s="462"/>
      <c r="AY137" s="462"/>
      <c r="AZ137" s="462"/>
      <c r="BA137" s="577"/>
      <c r="BB137" s="462"/>
      <c r="BC137" s="459"/>
      <c r="BD137" s="459"/>
      <c r="BE137" s="459"/>
      <c r="BG137" s="456"/>
      <c r="BH137" s="462"/>
      <c r="BI137" s="462"/>
      <c r="BJ137" s="462"/>
      <c r="BK137" s="462"/>
      <c r="BL137" s="577"/>
    </row>
    <row r="138" spans="1:64" x14ac:dyDescent="0.35">
      <c r="A138" s="468"/>
      <c r="B138" s="469"/>
      <c r="C138" s="462"/>
      <c r="E138" s="456"/>
      <c r="F138" s="456"/>
      <c r="G138" s="456"/>
      <c r="H138" s="459"/>
      <c r="I138" s="459"/>
      <c r="K138" s="456"/>
      <c r="L138" s="462"/>
      <c r="M138" s="462"/>
      <c r="N138" s="456"/>
      <c r="O138" s="459"/>
      <c r="P138" s="459"/>
      <c r="Q138" s="459"/>
      <c r="S138" s="456"/>
      <c r="T138" s="462"/>
      <c r="U138" s="462"/>
      <c r="V138" s="462"/>
      <c r="W138" s="456"/>
      <c r="X138" s="459"/>
      <c r="Y138" s="459"/>
      <c r="Z138" s="459"/>
      <c r="AB138" s="456"/>
      <c r="AC138" s="462"/>
      <c r="AD138" s="462"/>
      <c r="AE138" s="462"/>
      <c r="AF138" s="456"/>
      <c r="AG138" s="459"/>
      <c r="AH138" s="459"/>
      <c r="AI138" s="459"/>
      <c r="AK138" s="456"/>
      <c r="AL138" s="462"/>
      <c r="AM138" s="462"/>
      <c r="AN138" s="462"/>
      <c r="AO138" s="456"/>
      <c r="AP138" s="577"/>
      <c r="AQ138" s="462"/>
      <c r="AR138" s="459"/>
      <c r="AS138" s="459"/>
      <c r="AT138" s="459"/>
      <c r="AV138" s="456"/>
      <c r="AW138" s="462"/>
      <c r="AX138" s="462"/>
      <c r="AY138" s="462"/>
      <c r="AZ138" s="462"/>
      <c r="BA138" s="577"/>
      <c r="BB138" s="462"/>
      <c r="BC138" s="459"/>
      <c r="BD138" s="459"/>
      <c r="BE138" s="459"/>
      <c r="BG138" s="456"/>
      <c r="BH138" s="462"/>
      <c r="BI138" s="462"/>
      <c r="BJ138" s="462"/>
      <c r="BK138" s="462"/>
      <c r="BL138" s="577"/>
    </row>
    <row r="139" spans="1:64" x14ac:dyDescent="0.35">
      <c r="A139" s="455" t="s">
        <v>583</v>
      </c>
      <c r="B139" s="455"/>
      <c r="C139" s="456"/>
      <c r="E139" s="456"/>
      <c r="F139" s="456"/>
      <c r="G139" s="456"/>
      <c r="H139" s="459"/>
      <c r="I139" s="459"/>
      <c r="K139" s="456"/>
      <c r="L139" s="462"/>
      <c r="M139" s="462"/>
      <c r="N139" s="456"/>
      <c r="W139" s="456"/>
      <c r="AF139" s="456"/>
      <c r="AO139" s="456"/>
      <c r="AP139" s="577"/>
      <c r="AQ139" s="462"/>
      <c r="AZ139" s="462"/>
      <c r="BA139" s="577"/>
      <c r="BB139" s="462"/>
      <c r="BK139" s="462"/>
      <c r="BL139" s="577"/>
    </row>
    <row r="140" spans="1:64" x14ac:dyDescent="0.35">
      <c r="A140" s="9170"/>
      <c r="B140" s="9171"/>
      <c r="C140" s="9171"/>
      <c r="D140" s="9171"/>
      <c r="E140" s="9171"/>
      <c r="F140" s="9171"/>
      <c r="G140" s="9171"/>
      <c r="H140" s="9171"/>
      <c r="I140" s="9171"/>
      <c r="J140" s="9171"/>
      <c r="K140" s="9171"/>
      <c r="L140" s="9171"/>
      <c r="M140" s="9172"/>
      <c r="N140" s="456"/>
      <c r="W140" s="456"/>
      <c r="AF140" s="456"/>
      <c r="AO140" s="456"/>
      <c r="AP140" s="577"/>
      <c r="AQ140" s="462"/>
      <c r="AZ140" s="462"/>
      <c r="BA140" s="577"/>
      <c r="BB140" s="462"/>
      <c r="BK140" s="462"/>
      <c r="BL140" s="577"/>
    </row>
  </sheetData>
  <mergeCells count="65">
    <mergeCell ref="A106:A122"/>
    <mergeCell ref="A140:M140"/>
    <mergeCell ref="BC7:BD7"/>
    <mergeCell ref="BF7:BF8"/>
    <mergeCell ref="BH7:BJ7"/>
    <mergeCell ref="A35:A93"/>
    <mergeCell ref="A95:A104"/>
    <mergeCell ref="AC7:AE7"/>
    <mergeCell ref="AL7:AN7"/>
    <mergeCell ref="AJ7:AJ8"/>
    <mergeCell ref="H7:I7"/>
    <mergeCell ref="J7:J8"/>
    <mergeCell ref="L7:M7"/>
    <mergeCell ref="O7:P7"/>
    <mergeCell ref="R7:R8"/>
    <mergeCell ref="O10:P10"/>
    <mergeCell ref="BC1:BJ1"/>
    <mergeCell ref="BC4:BF4"/>
    <mergeCell ref="BH4:BJ4"/>
    <mergeCell ref="BL4:BL5"/>
    <mergeCell ref="BC5:BF5"/>
    <mergeCell ref="BH5:BJ5"/>
    <mergeCell ref="AC5:AE5"/>
    <mergeCell ref="AG5:AJ5"/>
    <mergeCell ref="AL5:AN5"/>
    <mergeCell ref="F1:M1"/>
    <mergeCell ref="O1:V1"/>
    <mergeCell ref="X1:AE1"/>
    <mergeCell ref="AG1:AN1"/>
    <mergeCell ref="H4:J4"/>
    <mergeCell ref="L4:M4"/>
    <mergeCell ref="O4:R4"/>
    <mergeCell ref="T4:V4"/>
    <mergeCell ref="X4:AA4"/>
    <mergeCell ref="AC4:AE4"/>
    <mergeCell ref="AG4:AJ4"/>
    <mergeCell ref="AL4:AN4"/>
    <mergeCell ref="BA4:BA5"/>
    <mergeCell ref="AR5:AU5"/>
    <mergeCell ref="AW5:AY5"/>
    <mergeCell ref="AG7:AH7"/>
    <mergeCell ref="AW7:AY7"/>
    <mergeCell ref="AP4:AP5"/>
    <mergeCell ref="H35:I35"/>
    <mergeCell ref="L35:M35"/>
    <mergeCell ref="AG10:AH10"/>
    <mergeCell ref="O35:P35"/>
    <mergeCell ref="X35:Y35"/>
    <mergeCell ref="X10:Y10"/>
    <mergeCell ref="AR1:AY1"/>
    <mergeCell ref="AR4:AU4"/>
    <mergeCell ref="AW4:AY4"/>
    <mergeCell ref="A10:A33"/>
    <mergeCell ref="H10:I10"/>
    <mergeCell ref="L10:M10"/>
    <mergeCell ref="AR7:AS7"/>
    <mergeCell ref="AU7:AU8"/>
    <mergeCell ref="T7:V7"/>
    <mergeCell ref="X7:Y7"/>
    <mergeCell ref="AA7:AA8"/>
    <mergeCell ref="H5:J5"/>
    <mergeCell ref="L5:M5"/>
    <mergeCell ref="O5:R5"/>
    <mergeCell ref="T5:V5"/>
    <mergeCell ref="X5:AA5"/>
  </mergeCells>
  <hyperlinks>
    <hyperlink ref="BE10" r:id="rId1" xr:uid="{A77037FB-7653-42CE-BA6F-547E6A663401}"/>
    <hyperlink ref="BH10" r:id="rId2" xr:uid="{0FE3CA39-C048-4D3D-8262-08748DEC893E}"/>
    <hyperlink ref="H35" r:id="rId3" display="http://www.budgettransparency.gov.tl/publicTransparency" xr:uid="{63FA77C0-0F7D-4D30-A78E-9588C4691566}"/>
    <hyperlink ref="L35" r:id="rId4" display="http://www.budgettransparency.gov.tl/publicTransparency" xr:uid="{65921E0C-EC03-43B8-B8FA-E38F6D717FAA}"/>
    <hyperlink ref="H10" r:id="rId5" display="http://www.budgettransparency.gov.tl/publicTransparency" xr:uid="{ACFE9E52-8FBD-43E5-A757-5D17D57285F1}"/>
    <hyperlink ref="L10" r:id="rId6" display="http://www.budgettransparency.gov.tl/publicTransparency" xr:uid="{57AA0268-FD90-460D-9997-3B1BC83A4329}"/>
    <hyperlink ref="O10" r:id="rId7" display="http://www.budgettransparency.gov.tl/publicTransparency" xr:uid="{18B154EC-6D82-41AB-A23E-FB138334C8AC}"/>
    <hyperlink ref="O35" r:id="rId8" display="http://www.budgettransparency.gov.tl/publicTransparency" xr:uid="{2847D232-4880-46AF-933A-46E2386E3698}"/>
    <hyperlink ref="X10" r:id="rId9" display="http://www.budgettransparency.gov.tl/publicTransparency" xr:uid="{3B78E707-7DBB-4830-AE65-DD230AE36F6B}"/>
    <hyperlink ref="X35" r:id="rId10" display="http://www.budgettransparency.gov.tl/publicTransparency" xr:uid="{C3ABA479-03C9-4AF8-92E7-3883EB4E9F7F}"/>
    <hyperlink ref="AG10" r:id="rId11" display="http://www.budgettransparency.gov.tl/publicTransparency" xr:uid="{BB3A7B90-905E-484D-9CB3-55BFC4C46451}"/>
  </hyperlinks>
  <pageMargins left="0.23622047244094491" right="0.23622047244094491" top="0.35433070866141736" bottom="0.35433070866141736" header="0.31496062992125984" footer="0.31496062992125984"/>
  <pageSetup paperSize="9" scale="56" orientation="portrait" horizontalDpi="4294967293" verticalDpi="4294967293"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68525-BFEF-4998-A13D-802E4B8E0729}">
  <dimension ref="A1:EH159"/>
  <sheetViews>
    <sheetView topLeftCell="A87" workbookViewId="0">
      <selection activeCell="H146" sqref="H146"/>
    </sheetView>
  </sheetViews>
  <sheetFormatPr defaultColWidth="8.81640625" defaultRowHeight="15.5" x14ac:dyDescent="0.35"/>
  <cols>
    <col min="1" max="1" width="25.453125" customWidth="1"/>
    <col min="2" max="2" width="11.6328125" customWidth="1"/>
    <col min="13" max="22" width="11.453125" customWidth="1"/>
    <col min="24" max="26" width="8.6328125" style="6085"/>
    <col min="27" max="27" width="3.453125" style="6085" customWidth="1"/>
    <col min="28" max="28" width="8.6328125" style="6085"/>
    <col min="29" max="29" width="9.6328125" style="6085" customWidth="1"/>
    <col min="30" max="39" width="8.6328125" style="6085"/>
    <col min="40" max="40" width="14.36328125" style="6085" customWidth="1"/>
    <col min="41" max="41" width="8.6328125" style="6085"/>
    <col min="42" max="42" width="12" style="6085" customWidth="1"/>
    <col min="43" max="45" width="8.6328125" style="6085"/>
    <col min="46" max="50" width="14.1796875" style="6085" customWidth="1"/>
    <col min="51" max="53" width="8.6328125" style="6085"/>
    <col min="54" max="54" width="13.81640625" style="7717" customWidth="1"/>
    <col min="55" max="55" width="10.453125" style="7717" customWidth="1"/>
    <col min="56" max="64" width="8.6328125" style="7717"/>
    <col min="65" max="70" width="8.6328125" style="6085"/>
    <col min="71" max="71" width="9.1796875" style="7716" customWidth="1"/>
    <col min="72" max="138" width="8.6328125" style="7716"/>
  </cols>
  <sheetData>
    <row r="1" spans="1:138" s="7677" customFormat="1" ht="58" x14ac:dyDescent="0.35">
      <c r="A1" s="7677" t="s">
        <v>9</v>
      </c>
      <c r="B1" s="7677" t="s">
        <v>117</v>
      </c>
      <c r="C1" s="7677" t="s">
        <v>118</v>
      </c>
      <c r="D1" s="7677" t="s">
        <v>119</v>
      </c>
      <c r="E1" s="7677" t="s">
        <v>120</v>
      </c>
      <c r="F1" s="7677">
        <v>2010</v>
      </c>
      <c r="G1" s="7677">
        <v>2011</v>
      </c>
      <c r="H1" s="7677">
        <v>2012</v>
      </c>
      <c r="I1" s="7677">
        <v>2013</v>
      </c>
      <c r="J1" s="7677">
        <v>2014</v>
      </c>
      <c r="K1" s="7677">
        <v>2015</v>
      </c>
      <c r="L1" s="7677">
        <v>2016</v>
      </c>
      <c r="M1" s="7677">
        <v>2017</v>
      </c>
      <c r="N1" s="7677">
        <v>2018</v>
      </c>
      <c r="O1" s="7677">
        <v>2019</v>
      </c>
      <c r="P1" s="7677">
        <v>2020</v>
      </c>
      <c r="Q1" s="7677">
        <v>2021</v>
      </c>
      <c r="R1" s="7677">
        <v>2022</v>
      </c>
      <c r="S1" s="7677">
        <v>2023</v>
      </c>
      <c r="T1" s="7677">
        <v>2024</v>
      </c>
      <c r="U1" s="7677">
        <v>2025</v>
      </c>
      <c r="V1" s="7677">
        <v>2026</v>
      </c>
      <c r="W1" s="7677" t="s">
        <v>121</v>
      </c>
      <c r="BS1" s="7715"/>
      <c r="BT1" s="7715"/>
      <c r="BU1" s="7715"/>
      <c r="BV1" s="7715"/>
      <c r="BW1" s="7715"/>
      <c r="BX1" s="7715"/>
      <c r="BY1" s="7715"/>
      <c r="BZ1" s="7715"/>
      <c r="CA1" s="7715"/>
      <c r="CB1" s="7715"/>
      <c r="CC1" s="7715"/>
      <c r="CD1" s="7715"/>
      <c r="CE1" s="7715"/>
      <c r="CF1" s="7715"/>
      <c r="CG1" s="7715"/>
      <c r="CH1" s="7715"/>
      <c r="CI1" s="7715"/>
      <c r="CJ1" s="7715"/>
      <c r="CK1" s="7715"/>
      <c r="CL1" s="7715"/>
      <c r="CM1" s="7715"/>
      <c r="CN1" s="7715"/>
      <c r="CO1" s="7715"/>
      <c r="CP1" s="7715"/>
      <c r="CQ1" s="7715"/>
      <c r="CR1" s="7715"/>
      <c r="CS1" s="7715"/>
      <c r="CT1" s="7715"/>
      <c r="CU1" s="7715"/>
      <c r="CV1" s="7715"/>
      <c r="CW1" s="7715"/>
      <c r="CX1" s="7715"/>
      <c r="CY1" s="7715"/>
      <c r="CZ1" s="7715"/>
      <c r="DA1" s="7715"/>
      <c r="DB1" s="7715"/>
      <c r="DC1" s="7715"/>
      <c r="DD1" s="7715"/>
      <c r="DE1" s="7715"/>
      <c r="DF1" s="7715"/>
      <c r="DG1" s="7715"/>
      <c r="DH1" s="7715"/>
      <c r="DI1" s="7715"/>
      <c r="DJ1" s="7715"/>
      <c r="DK1" s="7715"/>
      <c r="DL1" s="7715"/>
      <c r="DM1" s="7715"/>
      <c r="DN1" s="7715"/>
      <c r="DO1" s="7715"/>
      <c r="DP1" s="7715"/>
      <c r="DQ1" s="7715"/>
      <c r="DR1" s="7715"/>
      <c r="DS1" s="7715"/>
      <c r="DT1" s="7715"/>
      <c r="DU1" s="7715"/>
      <c r="DV1" s="7715"/>
      <c r="DW1" s="7715"/>
      <c r="DX1" s="7715"/>
      <c r="DY1" s="7715"/>
      <c r="DZ1" s="7715"/>
      <c r="EA1" s="7715"/>
      <c r="EB1" s="7715"/>
      <c r="EC1" s="7715"/>
      <c r="ED1" s="7715"/>
      <c r="EE1" s="7715"/>
      <c r="EF1" s="7715"/>
      <c r="EG1" s="7715"/>
      <c r="EH1" s="7715"/>
    </row>
    <row r="2" spans="1:138" ht="14.5" x14ac:dyDescent="0.35">
      <c r="A2" t="s">
        <v>22</v>
      </c>
      <c r="B2" t="s">
        <v>122</v>
      </c>
      <c r="C2" t="s">
        <v>123</v>
      </c>
      <c r="D2" t="s">
        <v>124</v>
      </c>
      <c r="E2" t="s">
        <v>125</v>
      </c>
      <c r="F2">
        <v>711.75900000000001</v>
      </c>
      <c r="G2">
        <v>836.22199999999998</v>
      </c>
      <c r="H2" s="1112">
        <v>1033.5909999999999</v>
      </c>
      <c r="I2" s="1112">
        <v>1116.827</v>
      </c>
      <c r="J2" s="1112">
        <v>1183.039</v>
      </c>
      <c r="K2" s="1112">
        <v>1226.57</v>
      </c>
      <c r="L2" s="1112">
        <v>1222.9169999999999</v>
      </c>
      <c r="M2" s="1112">
        <v>1285.46</v>
      </c>
      <c r="N2" s="1112">
        <v>1327.69</v>
      </c>
      <c r="O2" s="1112">
        <v>1469.596</v>
      </c>
      <c r="P2" s="1112">
        <v>1547.289</v>
      </c>
      <c r="Q2" t="s">
        <v>126</v>
      </c>
      <c r="R2" t="s">
        <v>126</v>
      </c>
      <c r="S2" t="s">
        <v>126</v>
      </c>
      <c r="T2" t="s">
        <v>126</v>
      </c>
      <c r="U2" t="s">
        <v>126</v>
      </c>
      <c r="V2" t="s">
        <v>126</v>
      </c>
      <c r="W2">
        <v>2019</v>
      </c>
      <c r="AT2" s="7676"/>
      <c r="AU2" s="7676"/>
      <c r="AV2" s="7676"/>
      <c r="AW2" s="7676"/>
      <c r="AX2" s="7676"/>
      <c r="BB2" s="6085"/>
      <c r="BC2" s="6085"/>
      <c r="BD2" s="6085"/>
      <c r="BE2" s="6085"/>
      <c r="BF2" s="6085"/>
      <c r="BG2" s="6085"/>
      <c r="BH2" s="6085"/>
      <c r="BI2" s="6085"/>
      <c r="BJ2" s="6085"/>
      <c r="BK2" s="6085"/>
      <c r="BL2" s="6085"/>
    </row>
    <row r="3" spans="1:138" ht="14.5" x14ac:dyDescent="0.35">
      <c r="A3" t="s">
        <v>23</v>
      </c>
      <c r="B3" t="s">
        <v>122</v>
      </c>
      <c r="C3" t="s">
        <v>123</v>
      </c>
      <c r="D3" t="s">
        <v>124</v>
      </c>
      <c r="E3" t="s">
        <v>127</v>
      </c>
      <c r="F3" s="1112">
        <v>1239.645</v>
      </c>
      <c r="G3" s="1112">
        <v>1300.624</v>
      </c>
      <c r="H3" s="1112">
        <v>1332.8109999999999</v>
      </c>
      <c r="I3" s="1112">
        <v>1350.0519999999999</v>
      </c>
      <c r="J3" s="1112">
        <v>1395.3040000000001</v>
      </c>
      <c r="K3" s="1112">
        <v>1434.306</v>
      </c>
      <c r="L3" s="1112">
        <v>1472.479</v>
      </c>
      <c r="M3" s="1112">
        <v>1550.646</v>
      </c>
      <c r="N3" s="1112">
        <v>1635.7149999999999</v>
      </c>
      <c r="O3" s="1112">
        <v>1679.2470000000001</v>
      </c>
      <c r="P3" s="1112">
        <v>1607.9780000000001</v>
      </c>
      <c r="Q3" s="1112">
        <v>1719.105</v>
      </c>
      <c r="R3" s="1112">
        <v>1824.6610000000001</v>
      </c>
      <c r="S3" s="1112">
        <v>1931.777</v>
      </c>
      <c r="T3" s="1112">
        <v>2039.325</v>
      </c>
      <c r="U3" s="1112">
        <v>2150.5050000000001</v>
      </c>
      <c r="V3" s="1112">
        <v>2267.5819999999999</v>
      </c>
      <c r="W3">
        <v>2020</v>
      </c>
      <c r="AT3" s="7676"/>
      <c r="AU3" s="7676"/>
      <c r="AV3" s="7676"/>
      <c r="AW3" s="7676"/>
      <c r="AX3" s="7676"/>
      <c r="BB3" s="6085"/>
      <c r="BC3" s="6085"/>
      <c r="BD3" s="6085"/>
      <c r="BE3" s="6085"/>
      <c r="BF3" s="6085"/>
      <c r="BG3" s="6085"/>
      <c r="BH3" s="6085"/>
      <c r="BI3" s="6085"/>
      <c r="BJ3" s="6085"/>
      <c r="BK3" s="6085"/>
      <c r="BL3" s="6085"/>
    </row>
    <row r="4" spans="1:138" ht="14.5" x14ac:dyDescent="0.35">
      <c r="A4" t="s">
        <v>128</v>
      </c>
      <c r="B4" t="s">
        <v>122</v>
      </c>
      <c r="C4" t="s">
        <v>123</v>
      </c>
      <c r="D4" t="s">
        <v>124</v>
      </c>
      <c r="E4" t="s">
        <v>129</v>
      </c>
      <c r="F4" s="1112">
        <v>11991.564</v>
      </c>
      <c r="G4" s="1112">
        <v>14589</v>
      </c>
      <c r="H4" s="1112">
        <v>16209.6</v>
      </c>
      <c r="I4" s="1112">
        <v>16647.900000000001</v>
      </c>
      <c r="J4" s="1112">
        <v>17228.599999999999</v>
      </c>
      <c r="K4" s="1112">
        <v>16712.686000000002</v>
      </c>
      <c r="L4" s="1112">
        <v>17514.599999999999</v>
      </c>
      <c r="M4" s="1112">
        <v>18876.2</v>
      </c>
      <c r="N4" s="1112">
        <v>20452.3</v>
      </c>
      <c r="O4" s="1112">
        <v>20428.3</v>
      </c>
      <c r="P4" s="1112">
        <v>18723.5</v>
      </c>
      <c r="Q4" s="1112">
        <v>22291.116999999998</v>
      </c>
      <c r="R4" s="1112">
        <v>24559.383999999998</v>
      </c>
      <c r="S4" s="1112">
        <v>26387.554</v>
      </c>
      <c r="T4" s="1112">
        <v>27974.853999999999</v>
      </c>
      <c r="U4" s="1112">
        <v>29491.125</v>
      </c>
      <c r="V4" s="1112">
        <v>31123.946</v>
      </c>
      <c r="W4">
        <v>2019</v>
      </c>
      <c r="AT4" s="7676"/>
      <c r="AU4" s="7676"/>
      <c r="AV4" s="7676"/>
      <c r="AW4" s="7676"/>
      <c r="AX4" s="7676"/>
      <c r="BB4" s="6085"/>
      <c r="BC4" s="6085"/>
      <c r="BD4" s="6085"/>
      <c r="BE4" s="6085"/>
      <c r="BF4" s="6085"/>
      <c r="BG4" s="6085"/>
      <c r="BH4" s="6085"/>
      <c r="BI4" s="6085"/>
      <c r="BJ4" s="6085"/>
      <c r="BK4" s="6085"/>
      <c r="BL4" s="6085"/>
    </row>
    <row r="5" spans="1:138" ht="14.5" x14ac:dyDescent="0.35">
      <c r="A5" t="s">
        <v>130</v>
      </c>
      <c r="B5" t="s">
        <v>122</v>
      </c>
      <c r="C5" t="s">
        <v>123</v>
      </c>
      <c r="D5" t="s">
        <v>124</v>
      </c>
      <c r="E5" t="s">
        <v>131</v>
      </c>
      <c r="F5" s="1112">
        <v>7701.6509999999998</v>
      </c>
      <c r="G5" s="1112">
        <v>10500.941999999999</v>
      </c>
      <c r="H5" s="1112">
        <v>12224.95</v>
      </c>
      <c r="I5" s="1112">
        <v>13195.004000000001</v>
      </c>
      <c r="J5" s="1112">
        <v>14323.859</v>
      </c>
      <c r="K5" s="1112">
        <v>13950.290999999999</v>
      </c>
      <c r="L5" s="1112">
        <v>16549.564999999999</v>
      </c>
      <c r="M5" s="1112">
        <v>20245.348999999998</v>
      </c>
      <c r="N5" s="1112">
        <v>25627.710999999999</v>
      </c>
      <c r="O5" s="1112">
        <v>30833.449000000001</v>
      </c>
      <c r="P5" s="1112">
        <v>33756.421999999999</v>
      </c>
      <c r="Q5" s="1112">
        <v>46144.351999999999</v>
      </c>
      <c r="R5" s="1112">
        <v>53039.781999999999</v>
      </c>
      <c r="S5" s="1112">
        <v>58726.345000000001</v>
      </c>
      <c r="T5" s="1112">
        <v>64431.171000000002</v>
      </c>
      <c r="U5" s="1112">
        <v>70495.376999999993</v>
      </c>
      <c r="V5" s="1112">
        <v>77195.737999999998</v>
      </c>
      <c r="W5">
        <v>2020</v>
      </c>
      <c r="AT5" s="7676"/>
      <c r="AU5" s="7676"/>
      <c r="AV5" s="7676"/>
      <c r="AW5" s="7676"/>
      <c r="AX5" s="7676"/>
      <c r="BB5" s="6085"/>
      <c r="BC5" s="6085"/>
      <c r="BD5" s="6085"/>
      <c r="BE5" s="6085"/>
      <c r="BF5" s="6085"/>
      <c r="BG5" s="6085"/>
      <c r="BH5" s="6085"/>
      <c r="BI5" s="6085"/>
      <c r="BJ5" s="6085"/>
      <c r="BK5" s="6085"/>
      <c r="BL5" s="6085"/>
    </row>
    <row r="6" spans="1:138" ht="14.5" x14ac:dyDescent="0.35">
      <c r="A6" t="s">
        <v>132</v>
      </c>
      <c r="B6" t="s">
        <v>122</v>
      </c>
      <c r="C6" t="s">
        <v>123</v>
      </c>
      <c r="D6" t="s">
        <v>124</v>
      </c>
      <c r="E6" t="s">
        <v>133</v>
      </c>
      <c r="F6">
        <v>3.101</v>
      </c>
      <c r="G6">
        <v>3.0720000000000001</v>
      </c>
      <c r="H6">
        <v>3.24</v>
      </c>
      <c r="I6">
        <v>3.19</v>
      </c>
      <c r="J6">
        <v>3.3740000000000001</v>
      </c>
      <c r="K6">
        <v>3.609</v>
      </c>
      <c r="L6">
        <v>3.879</v>
      </c>
      <c r="M6">
        <v>3.964</v>
      </c>
      <c r="N6">
        <v>4.3339999999999996</v>
      </c>
      <c r="O6">
        <v>4.5540000000000003</v>
      </c>
      <c r="P6">
        <v>3.6989999999999998</v>
      </c>
      <c r="Q6">
        <v>3.794</v>
      </c>
      <c r="R6">
        <v>4.1429999999999998</v>
      </c>
      <c r="S6">
        <v>4.4610000000000003</v>
      </c>
      <c r="T6">
        <v>4.75</v>
      </c>
      <c r="U6">
        <v>5.008</v>
      </c>
      <c r="V6">
        <v>5.2460000000000004</v>
      </c>
      <c r="W6">
        <v>2019</v>
      </c>
      <c r="BB6" s="6085"/>
      <c r="BC6" s="6085"/>
      <c r="BD6" s="6085"/>
      <c r="BE6" s="6085"/>
      <c r="BF6" s="6085"/>
      <c r="BG6" s="6085"/>
      <c r="BH6" s="6085"/>
      <c r="BI6" s="6085"/>
      <c r="BJ6" s="6085"/>
      <c r="BK6" s="6085"/>
      <c r="BL6" s="6085"/>
    </row>
    <row r="7" spans="1:138" ht="14.5" x14ac:dyDescent="0.35">
      <c r="A7" t="s">
        <v>134</v>
      </c>
      <c r="B7" t="s">
        <v>122</v>
      </c>
      <c r="C7" t="s">
        <v>123</v>
      </c>
      <c r="D7" t="s">
        <v>124</v>
      </c>
      <c r="E7" t="s">
        <v>135</v>
      </c>
      <c r="F7" s="1112">
        <v>1661.721</v>
      </c>
      <c r="G7" s="1112">
        <v>2179.0239999999999</v>
      </c>
      <c r="H7" s="1112">
        <v>2637.9140000000002</v>
      </c>
      <c r="I7" s="1112">
        <v>3348.308</v>
      </c>
      <c r="J7" s="1112">
        <v>4579.0860000000002</v>
      </c>
      <c r="K7" s="1112">
        <v>5954.5110000000004</v>
      </c>
      <c r="L7" s="1112">
        <v>8228.16</v>
      </c>
      <c r="M7" s="1112">
        <v>10660.227999999999</v>
      </c>
      <c r="N7" s="1112">
        <v>14744.811</v>
      </c>
      <c r="O7" s="1112">
        <v>21802.256000000001</v>
      </c>
      <c r="P7" s="1112">
        <v>27481.439999999999</v>
      </c>
      <c r="Q7" s="1112">
        <v>43556.37</v>
      </c>
      <c r="R7" s="1112">
        <v>62369.324000000001</v>
      </c>
      <c r="S7" s="1112">
        <v>85344.017000000007</v>
      </c>
      <c r="T7" s="1112">
        <v>110356.19500000001</v>
      </c>
      <c r="U7" s="1112">
        <v>137202.18299999999</v>
      </c>
      <c r="V7" s="1112">
        <v>163432.32500000001</v>
      </c>
      <c r="W7">
        <v>2020</v>
      </c>
      <c r="AH7" s="7676"/>
      <c r="AI7" s="7676"/>
      <c r="AJ7" s="7676"/>
      <c r="AT7" s="7676"/>
      <c r="AU7" s="7676"/>
      <c r="AV7" s="7676"/>
      <c r="AW7" s="7676"/>
      <c r="AX7" s="7676"/>
      <c r="BB7" s="6085"/>
      <c r="BC7" s="6085"/>
      <c r="BD7" s="6085"/>
      <c r="BE7" s="6085"/>
      <c r="BF7" s="6085"/>
      <c r="BG7" s="6085"/>
      <c r="BH7" s="6085"/>
      <c r="BI7" s="6085"/>
      <c r="BJ7" s="6085"/>
      <c r="BK7" s="6085"/>
      <c r="BL7" s="6085"/>
    </row>
    <row r="8" spans="1:138" ht="14.5" x14ac:dyDescent="0.35">
      <c r="A8" t="s">
        <v>136</v>
      </c>
      <c r="B8" t="s">
        <v>122</v>
      </c>
      <c r="C8" t="s">
        <v>123</v>
      </c>
      <c r="D8" t="s">
        <v>124</v>
      </c>
      <c r="E8" t="s">
        <v>137</v>
      </c>
      <c r="F8" s="1112">
        <v>3460.203</v>
      </c>
      <c r="G8" s="1112">
        <v>3777.9459999999999</v>
      </c>
      <c r="H8" s="1112">
        <v>4266.4610000000002</v>
      </c>
      <c r="I8" s="1112">
        <v>4555.6379999999999</v>
      </c>
      <c r="J8" s="1112">
        <v>4828.6260000000002</v>
      </c>
      <c r="K8" s="1112">
        <v>5043.6329999999998</v>
      </c>
      <c r="L8" s="1112">
        <v>5067.2939999999999</v>
      </c>
      <c r="M8" s="1112">
        <v>5564.4930000000004</v>
      </c>
      <c r="N8" s="1112">
        <v>6017.0349999999999</v>
      </c>
      <c r="O8" s="1112">
        <v>6543.3220000000001</v>
      </c>
      <c r="P8" s="1112">
        <v>6181.6639999999998</v>
      </c>
      <c r="Q8" s="1112">
        <v>7031.1819999999998</v>
      </c>
      <c r="R8" s="1112">
        <v>7769.4160000000002</v>
      </c>
      <c r="S8" s="1112">
        <v>8476.2780000000002</v>
      </c>
      <c r="T8" s="1112">
        <v>9198.1010000000006</v>
      </c>
      <c r="U8" s="1112">
        <v>9957.8439999999991</v>
      </c>
      <c r="V8" s="1112">
        <v>10772.782999999999</v>
      </c>
      <c r="W8">
        <v>2020</v>
      </c>
      <c r="AT8" s="7676"/>
      <c r="AU8" s="7676"/>
      <c r="AV8" s="7676"/>
      <c r="AW8" s="7676"/>
      <c r="AX8" s="7676"/>
      <c r="BB8" s="6085"/>
      <c r="BC8" s="6085"/>
      <c r="BD8" s="6085"/>
      <c r="BE8" s="6085"/>
      <c r="BF8" s="6085"/>
      <c r="BG8" s="6085"/>
      <c r="BH8" s="6085"/>
      <c r="BI8" s="6085"/>
      <c r="BJ8" s="6085"/>
      <c r="BK8" s="6085"/>
      <c r="BL8" s="6085"/>
    </row>
    <row r="9" spans="1:138" ht="14.5" x14ac:dyDescent="0.35">
      <c r="A9" t="s">
        <v>138</v>
      </c>
      <c r="B9" t="s">
        <v>122</v>
      </c>
      <c r="C9" t="s">
        <v>123</v>
      </c>
      <c r="D9" t="s">
        <v>124</v>
      </c>
      <c r="E9" t="s">
        <v>139</v>
      </c>
      <c r="F9">
        <v>4.3920000000000003</v>
      </c>
      <c r="G9">
        <v>4.7220000000000004</v>
      </c>
      <c r="H9">
        <v>4.681</v>
      </c>
      <c r="I9">
        <v>4.883</v>
      </c>
      <c r="J9">
        <v>4.9960000000000004</v>
      </c>
      <c r="K9">
        <v>5.3040000000000003</v>
      </c>
      <c r="L9">
        <v>5.3410000000000002</v>
      </c>
      <c r="M9">
        <v>5.5350000000000001</v>
      </c>
      <c r="N9">
        <v>5.7320000000000002</v>
      </c>
      <c r="O9">
        <v>5.9249999999999998</v>
      </c>
      <c r="P9">
        <v>4.4690000000000003</v>
      </c>
      <c r="Q9">
        <v>5.1280000000000001</v>
      </c>
      <c r="R9">
        <v>5.5979999999999999</v>
      </c>
      <c r="S9">
        <v>6.0309999999999997</v>
      </c>
      <c r="T9">
        <v>6.2649999999999997</v>
      </c>
      <c r="U9">
        <v>6.4470000000000001</v>
      </c>
      <c r="V9">
        <v>6.6239999999999997</v>
      </c>
      <c r="W9">
        <v>2020</v>
      </c>
      <c r="BB9" s="6085"/>
      <c r="BC9" s="6085"/>
      <c r="BD9" s="6085"/>
      <c r="BE9" s="6085"/>
      <c r="BF9" s="6085"/>
      <c r="BG9" s="6085"/>
      <c r="BH9" s="6085"/>
      <c r="BI9" s="6085"/>
      <c r="BJ9" s="6085"/>
      <c r="BK9" s="6085"/>
      <c r="BL9" s="6085"/>
    </row>
    <row r="10" spans="1:138" ht="14.5" x14ac:dyDescent="0.35">
      <c r="A10" t="s">
        <v>140</v>
      </c>
      <c r="B10" t="s">
        <v>122</v>
      </c>
      <c r="C10" t="s">
        <v>123</v>
      </c>
      <c r="D10" t="s">
        <v>124</v>
      </c>
      <c r="E10" t="s">
        <v>141</v>
      </c>
      <c r="F10">
        <v>42.465000000000003</v>
      </c>
      <c r="G10">
        <v>52.082000000000001</v>
      </c>
      <c r="H10">
        <v>54.744</v>
      </c>
      <c r="I10">
        <v>58.182000000000002</v>
      </c>
      <c r="J10">
        <v>59.014000000000003</v>
      </c>
      <c r="K10">
        <v>54.38</v>
      </c>
      <c r="L10">
        <v>60.424999999999997</v>
      </c>
      <c r="M10">
        <v>70.337999999999994</v>
      </c>
      <c r="N10">
        <v>80.091999999999999</v>
      </c>
      <c r="O10">
        <v>81.896000000000001</v>
      </c>
      <c r="P10">
        <v>72.432000000000002</v>
      </c>
      <c r="Q10">
        <v>89.495999999999995</v>
      </c>
      <c r="R10">
        <v>93.031999999999996</v>
      </c>
      <c r="S10">
        <v>95.158000000000001</v>
      </c>
      <c r="T10">
        <v>97.927000000000007</v>
      </c>
      <c r="U10">
        <v>101.246</v>
      </c>
      <c r="V10">
        <v>105.05500000000001</v>
      </c>
      <c r="W10">
        <v>2020</v>
      </c>
      <c r="BB10" s="6085"/>
      <c r="BC10" s="6085"/>
      <c r="BD10" s="6085"/>
      <c r="BE10" s="6085"/>
      <c r="BF10" s="6085"/>
      <c r="BG10" s="6085"/>
      <c r="BH10" s="6085"/>
      <c r="BI10" s="6085"/>
      <c r="BJ10" s="6085"/>
      <c r="BK10" s="6085"/>
      <c r="BL10" s="6085"/>
    </row>
    <row r="11" spans="1:138" ht="14.5" x14ac:dyDescent="0.35">
      <c r="A11" t="s">
        <v>142</v>
      </c>
      <c r="B11" t="s">
        <v>122</v>
      </c>
      <c r="C11" t="s">
        <v>123</v>
      </c>
      <c r="D11" t="s">
        <v>124</v>
      </c>
      <c r="E11" t="s">
        <v>143</v>
      </c>
      <c r="F11">
        <v>10.096</v>
      </c>
      <c r="G11">
        <v>10.07</v>
      </c>
      <c r="H11">
        <v>10.72</v>
      </c>
      <c r="I11">
        <v>10.494999999999999</v>
      </c>
      <c r="J11">
        <v>11.143000000000001</v>
      </c>
      <c r="K11">
        <v>11.891</v>
      </c>
      <c r="L11">
        <v>11.993</v>
      </c>
      <c r="M11">
        <v>12.36</v>
      </c>
      <c r="N11">
        <v>12.837999999999999</v>
      </c>
      <c r="O11">
        <v>13.164</v>
      </c>
      <c r="P11">
        <v>9.9079999999999995</v>
      </c>
      <c r="Q11">
        <v>10.680999999999999</v>
      </c>
      <c r="R11">
        <v>12.039</v>
      </c>
      <c r="S11">
        <v>12.884</v>
      </c>
      <c r="T11">
        <v>13.688000000000001</v>
      </c>
      <c r="U11">
        <v>14.282</v>
      </c>
      <c r="V11">
        <v>14.843</v>
      </c>
      <c r="W11">
        <v>2019</v>
      </c>
      <c r="BB11" s="6085"/>
      <c r="BC11" s="6085"/>
      <c r="BD11" s="6085"/>
      <c r="BE11" s="6085"/>
      <c r="BF11" s="6085"/>
      <c r="BG11" s="6085"/>
      <c r="BH11" s="6085"/>
      <c r="BI11" s="6085"/>
      <c r="BJ11" s="6085"/>
      <c r="BK11" s="6085"/>
      <c r="BL11" s="6085"/>
    </row>
    <row r="12" spans="1:138" ht="14.5" x14ac:dyDescent="0.35">
      <c r="A12" t="s">
        <v>144</v>
      </c>
      <c r="B12" t="s">
        <v>122</v>
      </c>
      <c r="C12" t="s">
        <v>123</v>
      </c>
      <c r="D12" t="s">
        <v>124</v>
      </c>
      <c r="E12" t="s">
        <v>145</v>
      </c>
      <c r="F12">
        <v>9.6679999999999993</v>
      </c>
      <c r="G12">
        <v>10.82</v>
      </c>
      <c r="H12">
        <v>11.561999999999999</v>
      </c>
      <c r="I12">
        <v>12.234999999999999</v>
      </c>
      <c r="J12">
        <v>12.554</v>
      </c>
      <c r="K12">
        <v>11.675000000000001</v>
      </c>
      <c r="L12">
        <v>12.12</v>
      </c>
      <c r="M12">
        <v>13.337999999999999</v>
      </c>
      <c r="N12">
        <v>14.157</v>
      </c>
      <c r="O12">
        <v>14.464</v>
      </c>
      <c r="P12">
        <v>13.058</v>
      </c>
      <c r="Q12">
        <v>14.702999999999999</v>
      </c>
      <c r="R12">
        <v>15.436999999999999</v>
      </c>
      <c r="S12">
        <v>16.117999999999999</v>
      </c>
      <c r="T12">
        <v>16.884</v>
      </c>
      <c r="U12">
        <v>17.713999999999999</v>
      </c>
      <c r="V12">
        <v>18.59</v>
      </c>
      <c r="W12">
        <v>2020</v>
      </c>
      <c r="BB12" s="6085"/>
      <c r="BC12" s="6085"/>
      <c r="BD12" s="6085"/>
      <c r="BE12" s="6085"/>
      <c r="BF12" s="6085"/>
      <c r="BG12" s="6085"/>
      <c r="BH12" s="6085"/>
      <c r="BI12" s="6085"/>
      <c r="BJ12" s="6085"/>
      <c r="BK12" s="6085"/>
      <c r="BL12" s="6085"/>
    </row>
    <row r="13" spans="1:138" ht="14.5" x14ac:dyDescent="0.35">
      <c r="A13" t="s">
        <v>24</v>
      </c>
      <c r="B13" t="s">
        <v>122</v>
      </c>
      <c r="C13" t="s">
        <v>123</v>
      </c>
      <c r="D13" t="s">
        <v>124</v>
      </c>
      <c r="E13" t="s">
        <v>146</v>
      </c>
      <c r="F13" s="1112">
        <v>7975.3869999999997</v>
      </c>
      <c r="G13" s="1112">
        <v>9158.2880000000005</v>
      </c>
      <c r="H13" s="1112">
        <v>10552.04</v>
      </c>
      <c r="I13" s="1112">
        <v>11989.232</v>
      </c>
      <c r="J13" s="1112">
        <v>13436.744000000001</v>
      </c>
      <c r="K13" s="1112">
        <v>15158.022000000001</v>
      </c>
      <c r="L13" s="1112">
        <v>17328.636999999999</v>
      </c>
      <c r="M13" s="1112">
        <v>19758.153999999999</v>
      </c>
      <c r="N13" s="1112">
        <v>22504.81</v>
      </c>
      <c r="O13" s="1112">
        <v>25424.84</v>
      </c>
      <c r="P13" s="1112">
        <v>27393.324000000001</v>
      </c>
      <c r="Q13" s="1112">
        <v>30164.636999999999</v>
      </c>
      <c r="R13" s="1112">
        <v>33915.368000000002</v>
      </c>
      <c r="S13" s="1112">
        <v>38483.803</v>
      </c>
      <c r="T13" s="1112">
        <v>43584.947</v>
      </c>
      <c r="U13" s="1112">
        <v>49314.919000000002</v>
      </c>
      <c r="V13" s="1112">
        <v>55746.19</v>
      </c>
      <c r="W13">
        <v>2020</v>
      </c>
      <c r="AT13" s="7676"/>
      <c r="AU13" s="7676"/>
      <c r="AV13" s="7676"/>
      <c r="AW13" s="7676"/>
      <c r="AX13" s="7676"/>
      <c r="BB13" s="6085"/>
      <c r="BC13" s="6085"/>
      <c r="BD13" s="6085"/>
      <c r="BE13" s="6085"/>
      <c r="BF13" s="6085"/>
      <c r="BG13" s="6085"/>
      <c r="BH13" s="6085"/>
      <c r="BI13" s="6085"/>
      <c r="BJ13" s="6085"/>
      <c r="BK13" s="6085"/>
      <c r="BL13" s="6085"/>
    </row>
    <row r="14" spans="1:138" ht="14.5" x14ac:dyDescent="0.35">
      <c r="A14" t="s">
        <v>147</v>
      </c>
      <c r="B14" t="s">
        <v>122</v>
      </c>
      <c r="C14" t="s">
        <v>123</v>
      </c>
      <c r="D14" t="s">
        <v>124</v>
      </c>
      <c r="E14" t="s">
        <v>148</v>
      </c>
      <c r="F14">
        <v>9.06</v>
      </c>
      <c r="G14">
        <v>9.3149999999999995</v>
      </c>
      <c r="H14">
        <v>9.2200000000000006</v>
      </c>
      <c r="I14">
        <v>9.3539999999999992</v>
      </c>
      <c r="J14">
        <v>9.3930000000000007</v>
      </c>
      <c r="K14">
        <v>9.43</v>
      </c>
      <c r="L14">
        <v>9.66</v>
      </c>
      <c r="M14">
        <v>9.9559999999999995</v>
      </c>
      <c r="N14">
        <v>10.173</v>
      </c>
      <c r="O14">
        <v>10.596</v>
      </c>
      <c r="P14">
        <v>8.8360000000000003</v>
      </c>
      <c r="Q14">
        <v>9.2970000000000006</v>
      </c>
      <c r="R14">
        <v>10.284000000000001</v>
      </c>
      <c r="S14">
        <v>10.993</v>
      </c>
      <c r="T14">
        <v>11.538</v>
      </c>
      <c r="U14">
        <v>12.022</v>
      </c>
      <c r="V14">
        <v>12.523999999999999</v>
      </c>
      <c r="W14">
        <v>2019</v>
      </c>
      <c r="BB14" s="6085"/>
      <c r="BC14" s="6085"/>
      <c r="BD14" s="6085"/>
      <c r="BE14" s="6085"/>
      <c r="BF14" s="6085"/>
      <c r="BG14" s="6085"/>
      <c r="BH14" s="6085"/>
      <c r="BI14" s="6085"/>
      <c r="BJ14" s="6085"/>
      <c r="BK14" s="6085"/>
      <c r="BL14" s="6085"/>
    </row>
    <row r="15" spans="1:138" ht="14.5" x14ac:dyDescent="0.35">
      <c r="A15" t="s">
        <v>149</v>
      </c>
      <c r="B15" t="s">
        <v>122</v>
      </c>
      <c r="C15" t="s">
        <v>123</v>
      </c>
      <c r="D15" t="s">
        <v>124</v>
      </c>
      <c r="E15" t="s">
        <v>150</v>
      </c>
      <c r="F15">
        <v>17.047000000000001</v>
      </c>
      <c r="G15">
        <v>30.725000000000001</v>
      </c>
      <c r="H15">
        <v>54.762</v>
      </c>
      <c r="I15">
        <v>67.069000000000003</v>
      </c>
      <c r="J15">
        <v>80.578999999999994</v>
      </c>
      <c r="K15">
        <v>89.91</v>
      </c>
      <c r="L15">
        <v>94.948999999999998</v>
      </c>
      <c r="M15">
        <v>105.748</v>
      </c>
      <c r="N15">
        <v>122.32</v>
      </c>
      <c r="O15">
        <v>134.732</v>
      </c>
      <c r="P15">
        <v>147.006</v>
      </c>
      <c r="Q15">
        <v>167.542</v>
      </c>
      <c r="R15">
        <v>188.245</v>
      </c>
      <c r="S15">
        <v>202.047</v>
      </c>
      <c r="T15">
        <v>216.21</v>
      </c>
      <c r="U15">
        <v>230.57900000000001</v>
      </c>
      <c r="V15">
        <v>244.971</v>
      </c>
      <c r="W15">
        <v>2020</v>
      </c>
      <c r="BB15" s="6085"/>
      <c r="BC15" s="6085"/>
      <c r="BD15" s="6085"/>
      <c r="BE15" s="6085"/>
      <c r="BF15" s="6085"/>
      <c r="BG15" s="6085"/>
      <c r="BH15" s="6085"/>
      <c r="BI15" s="6085"/>
      <c r="BJ15" s="6085"/>
      <c r="BK15" s="6085"/>
      <c r="BL15" s="6085"/>
    </row>
    <row r="16" spans="1:138" ht="14.5" x14ac:dyDescent="0.35">
      <c r="A16" t="s">
        <v>151</v>
      </c>
      <c r="B16" t="s">
        <v>122</v>
      </c>
      <c r="C16" t="s">
        <v>123</v>
      </c>
      <c r="D16" t="s">
        <v>124</v>
      </c>
      <c r="E16" t="s">
        <v>152</v>
      </c>
      <c r="F16">
        <v>2.754</v>
      </c>
      <c r="G16">
        <v>2.9220000000000002</v>
      </c>
      <c r="H16">
        <v>3.0459999999999998</v>
      </c>
      <c r="I16">
        <v>3.1589999999999998</v>
      </c>
      <c r="J16">
        <v>3.335</v>
      </c>
      <c r="K16">
        <v>3.4430000000000001</v>
      </c>
      <c r="L16">
        <v>3.5790000000000002</v>
      </c>
      <c r="M16">
        <v>3.7170000000000001</v>
      </c>
      <c r="N16">
        <v>3.8319999999999999</v>
      </c>
      <c r="O16">
        <v>3.9649999999999999</v>
      </c>
      <c r="P16">
        <v>3.4129999999999998</v>
      </c>
      <c r="Q16">
        <v>3.8170000000000002</v>
      </c>
      <c r="R16">
        <v>4.1239999999999997</v>
      </c>
      <c r="S16">
        <v>4.3239999999999998</v>
      </c>
      <c r="T16">
        <v>4.4989999999999997</v>
      </c>
      <c r="U16">
        <v>4.681</v>
      </c>
      <c r="V16">
        <v>4.87</v>
      </c>
      <c r="W16">
        <v>2020</v>
      </c>
      <c r="BB16" s="6085"/>
      <c r="BC16" s="6085"/>
      <c r="BD16" s="6085"/>
      <c r="BE16" s="6085"/>
      <c r="BF16" s="6085"/>
      <c r="BG16" s="6085"/>
      <c r="BH16" s="6085"/>
      <c r="BI16" s="6085"/>
      <c r="BJ16" s="6085"/>
      <c r="BK16" s="6085"/>
      <c r="BL16" s="6085"/>
    </row>
    <row r="17" spans="1:64" ht="14.5" x14ac:dyDescent="0.35">
      <c r="A17" t="s">
        <v>25</v>
      </c>
      <c r="B17" t="s">
        <v>122</v>
      </c>
      <c r="C17" t="s">
        <v>123</v>
      </c>
      <c r="D17" t="s">
        <v>124</v>
      </c>
      <c r="E17" t="s">
        <v>153</v>
      </c>
      <c r="F17" s="1112">
        <v>4718.0339999999997</v>
      </c>
      <c r="G17" s="1112">
        <v>5039.2129999999997</v>
      </c>
      <c r="H17" s="1112">
        <v>5688.2910000000002</v>
      </c>
      <c r="I17" s="1112">
        <v>6182.5590000000002</v>
      </c>
      <c r="J17" s="1112">
        <v>6559.3329999999996</v>
      </c>
      <c r="K17" s="1112">
        <v>6732.8140000000003</v>
      </c>
      <c r="L17" s="1112">
        <v>7005.23</v>
      </c>
      <c r="M17" s="1112">
        <v>7375.3019999999997</v>
      </c>
      <c r="N17" s="1112">
        <v>7915.66</v>
      </c>
      <c r="O17" s="1112">
        <v>8432.2479999999996</v>
      </c>
      <c r="P17" s="1112">
        <v>9008.81</v>
      </c>
      <c r="Q17" s="1112">
        <v>9888.7720000000008</v>
      </c>
      <c r="R17" s="1112">
        <v>10731.23</v>
      </c>
      <c r="S17" s="1112">
        <v>11598.147999999999</v>
      </c>
      <c r="T17" s="1112">
        <v>12568.75</v>
      </c>
      <c r="U17" s="1112">
        <v>13633.262000000001</v>
      </c>
      <c r="V17" s="1112">
        <v>14782.569</v>
      </c>
      <c r="W17">
        <v>2019</v>
      </c>
      <c r="AT17" s="7676"/>
      <c r="AU17" s="7676"/>
      <c r="AV17" s="7676"/>
      <c r="AW17" s="7676"/>
      <c r="AX17" s="7676"/>
      <c r="BB17" s="6085"/>
      <c r="BC17" s="6085"/>
      <c r="BD17" s="6085"/>
      <c r="BE17" s="6085"/>
      <c r="BF17" s="6085"/>
      <c r="BG17" s="6085"/>
      <c r="BH17" s="6085"/>
      <c r="BI17" s="6085"/>
      <c r="BJ17" s="6085"/>
      <c r="BK17" s="6085"/>
      <c r="BL17" s="6085"/>
    </row>
    <row r="18" spans="1:64" ht="14.5" x14ac:dyDescent="0.35">
      <c r="A18" t="s">
        <v>26</v>
      </c>
      <c r="B18" t="s">
        <v>122</v>
      </c>
      <c r="C18" t="s">
        <v>123</v>
      </c>
      <c r="D18" t="s">
        <v>124</v>
      </c>
      <c r="E18" t="s">
        <v>154</v>
      </c>
      <c r="F18">
        <v>65.257999999999996</v>
      </c>
      <c r="G18">
        <v>76.86</v>
      </c>
      <c r="H18">
        <v>89.061999999999998</v>
      </c>
      <c r="I18">
        <v>99.048000000000002</v>
      </c>
      <c r="J18">
        <v>109.649</v>
      </c>
      <c r="K18">
        <v>122.5</v>
      </c>
      <c r="L18">
        <v>136.911</v>
      </c>
      <c r="M18">
        <v>152.38999999999999</v>
      </c>
      <c r="N18">
        <v>163.45599999999999</v>
      </c>
      <c r="O18">
        <v>172.75899999999999</v>
      </c>
      <c r="P18">
        <v>178.37</v>
      </c>
      <c r="Q18">
        <v>183.55099999999999</v>
      </c>
      <c r="R18">
        <v>202.583</v>
      </c>
      <c r="S18">
        <v>225.95400000000001</v>
      </c>
      <c r="T18">
        <v>255.148</v>
      </c>
      <c r="U18">
        <v>282.12099999999998</v>
      </c>
      <c r="V18">
        <v>311.03399999999999</v>
      </c>
      <c r="W18">
        <v>2020</v>
      </c>
      <c r="BB18" s="6085"/>
      <c r="BC18" s="6085"/>
      <c r="BD18" s="6085"/>
      <c r="BE18" s="6085"/>
      <c r="BF18" s="6085"/>
      <c r="BG18" s="6085"/>
      <c r="BH18" s="6085"/>
      <c r="BI18" s="6085"/>
      <c r="BJ18" s="6085"/>
      <c r="BK18" s="6085"/>
      <c r="BL18" s="6085"/>
    </row>
    <row r="19" spans="1:64" ht="14.5" x14ac:dyDescent="0.35">
      <c r="A19" t="s">
        <v>155</v>
      </c>
      <c r="B19" t="s">
        <v>122</v>
      </c>
      <c r="C19" t="s">
        <v>123</v>
      </c>
      <c r="D19" t="s">
        <v>124</v>
      </c>
      <c r="E19" t="s">
        <v>156</v>
      </c>
      <c r="F19">
        <v>137.876</v>
      </c>
      <c r="G19">
        <v>166.232</v>
      </c>
      <c r="H19">
        <v>187.154</v>
      </c>
      <c r="I19">
        <v>211.85599999999999</v>
      </c>
      <c r="J19">
        <v>228.00399999999999</v>
      </c>
      <c r="K19">
        <v>228.03100000000001</v>
      </c>
      <c r="L19">
        <v>234.53299999999999</v>
      </c>
      <c r="M19">
        <v>259.185</v>
      </c>
      <c r="N19">
        <v>278.38799999999998</v>
      </c>
      <c r="O19">
        <v>282.58699999999999</v>
      </c>
      <c r="P19">
        <v>252.71799999999999</v>
      </c>
      <c r="Q19">
        <v>264.43200000000002</v>
      </c>
      <c r="R19">
        <v>280.541</v>
      </c>
      <c r="S19">
        <v>300.93</v>
      </c>
      <c r="T19">
        <v>322.685</v>
      </c>
      <c r="U19">
        <v>345.67899999999997</v>
      </c>
      <c r="V19">
        <v>369.94299999999998</v>
      </c>
      <c r="W19">
        <v>2020</v>
      </c>
      <c r="BB19" s="6085"/>
      <c r="BC19" s="6085"/>
      <c r="BD19" s="6085"/>
      <c r="BE19" s="6085"/>
      <c r="BF19" s="6085"/>
      <c r="BG19" s="6085"/>
      <c r="BH19" s="6085"/>
      <c r="BI19" s="6085"/>
      <c r="BJ19" s="6085"/>
      <c r="BK19" s="6085"/>
      <c r="BL19" s="6085"/>
    </row>
    <row r="20" spans="1:64" ht="14.5" x14ac:dyDescent="0.35">
      <c r="A20" t="s">
        <v>157</v>
      </c>
      <c r="B20" t="s">
        <v>122</v>
      </c>
      <c r="C20" t="s">
        <v>123</v>
      </c>
      <c r="D20" t="s">
        <v>124</v>
      </c>
      <c r="E20" t="s">
        <v>158</v>
      </c>
      <c r="F20">
        <v>25.346</v>
      </c>
      <c r="G20">
        <v>26.21</v>
      </c>
      <c r="H20">
        <v>26.193000000000001</v>
      </c>
      <c r="I20">
        <v>26.742999999999999</v>
      </c>
      <c r="J20">
        <v>27.303999999999998</v>
      </c>
      <c r="K20">
        <v>28.585999999999999</v>
      </c>
      <c r="L20">
        <v>29.899000000000001</v>
      </c>
      <c r="M20">
        <v>31.376000000000001</v>
      </c>
      <c r="N20">
        <v>33.444000000000003</v>
      </c>
      <c r="O20">
        <v>35.295999999999999</v>
      </c>
      <c r="P20">
        <v>33.976999999999997</v>
      </c>
      <c r="Q20">
        <v>35.521999999999998</v>
      </c>
      <c r="R20">
        <v>37.262</v>
      </c>
      <c r="S20">
        <v>39.145000000000003</v>
      </c>
      <c r="T20">
        <v>41.146000000000001</v>
      </c>
      <c r="U20">
        <v>43.338000000000001</v>
      </c>
      <c r="V20">
        <v>45.677999999999997</v>
      </c>
      <c r="W20">
        <v>2020</v>
      </c>
      <c r="BB20" s="6085"/>
      <c r="BC20" s="6085"/>
      <c r="BD20" s="6085"/>
      <c r="BE20" s="6085"/>
      <c r="BF20" s="6085"/>
      <c r="BG20" s="6085"/>
      <c r="BH20" s="6085"/>
      <c r="BI20" s="6085"/>
      <c r="BJ20" s="6085"/>
      <c r="BK20" s="6085"/>
      <c r="BL20" s="6085"/>
    </row>
    <row r="21" spans="1:64" ht="14.5" x14ac:dyDescent="0.35">
      <c r="A21" t="s">
        <v>159</v>
      </c>
      <c r="B21" t="s">
        <v>122</v>
      </c>
      <c r="C21" t="s">
        <v>123</v>
      </c>
      <c r="D21" t="s">
        <v>124</v>
      </c>
      <c r="E21" t="s">
        <v>160</v>
      </c>
      <c r="F21">
        <v>83.680999999999997</v>
      </c>
      <c r="G21">
        <v>101.129</v>
      </c>
      <c r="H21">
        <v>105.84</v>
      </c>
      <c r="I21">
        <v>120.56699999999999</v>
      </c>
      <c r="J21">
        <v>140.518</v>
      </c>
      <c r="K21">
        <v>137.53899999999999</v>
      </c>
      <c r="L21">
        <v>164.41800000000001</v>
      </c>
      <c r="M21">
        <v>166.47300000000001</v>
      </c>
      <c r="N21">
        <v>172.52500000000001</v>
      </c>
      <c r="O21">
        <v>178.48</v>
      </c>
      <c r="P21">
        <v>172.55199999999999</v>
      </c>
      <c r="Q21">
        <v>194.452</v>
      </c>
      <c r="R21">
        <v>216.25700000000001</v>
      </c>
      <c r="S21">
        <v>237.73099999999999</v>
      </c>
      <c r="T21">
        <v>259.29399999999998</v>
      </c>
      <c r="U21">
        <v>280.09300000000002</v>
      </c>
      <c r="V21">
        <v>305.29599999999999</v>
      </c>
      <c r="W21">
        <v>2020</v>
      </c>
      <c r="BB21" s="6085"/>
      <c r="BC21" s="6085"/>
      <c r="BD21" s="6085"/>
      <c r="BE21" s="6085"/>
      <c r="BF21" s="6085"/>
      <c r="BG21" s="6085"/>
      <c r="BH21" s="6085"/>
      <c r="BI21" s="6085"/>
      <c r="BJ21" s="6085"/>
      <c r="BK21" s="6085"/>
      <c r="BL21" s="6085"/>
    </row>
    <row r="22" spans="1:64" ht="14.5" x14ac:dyDescent="0.35">
      <c r="A22" t="s">
        <v>161</v>
      </c>
      <c r="B22" t="s">
        <v>122</v>
      </c>
      <c r="C22" t="s">
        <v>123</v>
      </c>
      <c r="D22" t="s">
        <v>124</v>
      </c>
      <c r="E22" t="s">
        <v>162</v>
      </c>
      <c r="F22" s="1112">
        <v>3885.8470000000002</v>
      </c>
      <c r="G22" s="1112">
        <v>4376.3819999999996</v>
      </c>
      <c r="H22" s="1112">
        <v>4814.7610000000004</v>
      </c>
      <c r="I22" s="1112">
        <v>5331.6189999999997</v>
      </c>
      <c r="J22" s="1112">
        <v>5778.9530000000004</v>
      </c>
      <c r="K22" s="1112">
        <v>5995.7879999999996</v>
      </c>
      <c r="L22" s="1112">
        <v>6269.3289999999997</v>
      </c>
      <c r="M22" s="1112">
        <v>6585.4780000000001</v>
      </c>
      <c r="N22" s="1112">
        <v>7004.1409999999996</v>
      </c>
      <c r="O22" s="1112">
        <v>7407.0230000000001</v>
      </c>
      <c r="P22" s="1112">
        <v>7447.8580000000002</v>
      </c>
      <c r="Q22" s="1112">
        <v>8696.0059999999994</v>
      </c>
      <c r="R22" s="1112">
        <v>9388.5249999999996</v>
      </c>
      <c r="S22" s="1112">
        <v>9967.3510000000006</v>
      </c>
      <c r="T22" s="1112">
        <v>10603.66</v>
      </c>
      <c r="U22" s="1112">
        <v>11265.369000000001</v>
      </c>
      <c r="V22" s="1112">
        <v>11957.852999999999</v>
      </c>
      <c r="W22">
        <v>2020</v>
      </c>
      <c r="AA22" s="7676"/>
      <c r="AG22" s="7676"/>
      <c r="AH22" s="7676"/>
      <c r="AI22" s="7676"/>
      <c r="AJ22" s="7676"/>
      <c r="AK22" s="7676"/>
      <c r="AT22" s="7676"/>
      <c r="AU22" s="7676"/>
      <c r="AV22" s="7676"/>
      <c r="AW22" s="7676"/>
      <c r="AX22" s="7676"/>
      <c r="BB22" s="6085"/>
      <c r="BC22" s="6085"/>
      <c r="BD22" s="6085"/>
      <c r="BE22" s="6085"/>
      <c r="BF22" s="6085"/>
      <c r="BG22" s="6085"/>
      <c r="BH22" s="6085"/>
      <c r="BI22" s="6085"/>
      <c r="BJ22" s="6085"/>
      <c r="BK22" s="6085"/>
      <c r="BL22" s="6085"/>
    </row>
    <row r="23" spans="1:64" ht="14.5" x14ac:dyDescent="0.35">
      <c r="A23" t="s">
        <v>163</v>
      </c>
      <c r="B23" t="s">
        <v>122</v>
      </c>
      <c r="C23" t="s">
        <v>123</v>
      </c>
      <c r="D23" t="s">
        <v>124</v>
      </c>
      <c r="E23" t="s">
        <v>164</v>
      </c>
      <c r="F23">
        <v>18.690000000000001</v>
      </c>
      <c r="G23">
        <v>23.303000000000001</v>
      </c>
      <c r="H23">
        <v>23.802</v>
      </c>
      <c r="I23">
        <v>22.638999999999999</v>
      </c>
      <c r="J23">
        <v>21.664000000000001</v>
      </c>
      <c r="K23">
        <v>17.777999999999999</v>
      </c>
      <c r="L23">
        <v>15.747999999999999</v>
      </c>
      <c r="M23">
        <v>16.747</v>
      </c>
      <c r="N23">
        <v>18.300999999999998</v>
      </c>
      <c r="O23">
        <v>18.375</v>
      </c>
      <c r="P23">
        <v>16.561</v>
      </c>
      <c r="Q23">
        <v>20.963000000000001</v>
      </c>
      <c r="R23">
        <v>21.548999999999999</v>
      </c>
      <c r="S23">
        <v>20.628</v>
      </c>
      <c r="T23">
        <v>20.43</v>
      </c>
      <c r="U23">
        <v>20.38</v>
      </c>
      <c r="V23">
        <v>20.468</v>
      </c>
      <c r="W23">
        <v>2020</v>
      </c>
      <c r="BB23" s="6085"/>
      <c r="BC23" s="6085"/>
      <c r="BD23" s="6085"/>
      <c r="BE23" s="6085"/>
      <c r="BF23" s="6085"/>
      <c r="BG23" s="6085"/>
      <c r="BH23" s="6085"/>
      <c r="BI23" s="6085"/>
      <c r="BJ23" s="6085"/>
      <c r="BK23" s="6085"/>
      <c r="BL23" s="6085"/>
    </row>
    <row r="24" spans="1:64" ht="14.5" x14ac:dyDescent="0.35">
      <c r="A24" t="s">
        <v>165</v>
      </c>
      <c r="B24" t="s">
        <v>122</v>
      </c>
      <c r="C24" t="s">
        <v>123</v>
      </c>
      <c r="D24" t="s">
        <v>124</v>
      </c>
      <c r="E24" t="s">
        <v>166</v>
      </c>
      <c r="F24">
        <v>74.433999999999997</v>
      </c>
      <c r="G24">
        <v>80.713999999999999</v>
      </c>
      <c r="H24">
        <v>82.239000000000004</v>
      </c>
      <c r="I24">
        <v>81.954999999999998</v>
      </c>
      <c r="J24">
        <v>83.885000000000005</v>
      </c>
      <c r="K24">
        <v>89.361999999999995</v>
      </c>
      <c r="L24">
        <v>95.131</v>
      </c>
      <c r="M24">
        <v>102.345</v>
      </c>
      <c r="N24">
        <v>109.74299999999999</v>
      </c>
      <c r="O24">
        <v>119.77200000000001</v>
      </c>
      <c r="P24">
        <v>118.605</v>
      </c>
      <c r="Q24">
        <v>127.57899999999999</v>
      </c>
      <c r="R24">
        <v>136.54900000000001</v>
      </c>
      <c r="S24">
        <v>145.465</v>
      </c>
      <c r="T24">
        <v>154.499</v>
      </c>
      <c r="U24">
        <v>163.334</v>
      </c>
      <c r="V24">
        <v>172.172</v>
      </c>
      <c r="W24">
        <v>2020</v>
      </c>
      <c r="BB24" s="6085"/>
      <c r="BC24" s="6085"/>
      <c r="BD24" s="6085"/>
      <c r="BE24" s="6085"/>
      <c r="BF24" s="6085"/>
      <c r="BG24" s="6085"/>
      <c r="BH24" s="6085"/>
      <c r="BI24" s="6085"/>
      <c r="BJ24" s="6085"/>
      <c r="BK24" s="6085"/>
      <c r="BL24" s="6085"/>
    </row>
    <row r="25" spans="1:64" ht="14.5" x14ac:dyDescent="0.35">
      <c r="A25" t="s">
        <v>27</v>
      </c>
      <c r="B25" t="s">
        <v>122</v>
      </c>
      <c r="C25" t="s">
        <v>123</v>
      </c>
      <c r="D25" t="s">
        <v>124</v>
      </c>
      <c r="E25" t="s">
        <v>167</v>
      </c>
      <c r="F25" s="1112">
        <v>5002.1819999999998</v>
      </c>
      <c r="G25" s="1112">
        <v>5692.8230000000003</v>
      </c>
      <c r="H25" s="1112">
        <v>6413.1059999999998</v>
      </c>
      <c r="I25" s="1112">
        <v>6640.1350000000002</v>
      </c>
      <c r="J25" s="1112">
        <v>6884.4660000000003</v>
      </c>
      <c r="K25" s="1112">
        <v>6995.3109999999997</v>
      </c>
      <c r="L25" s="1112">
        <v>7605.1229999999996</v>
      </c>
      <c r="M25" s="1112">
        <v>8191.299</v>
      </c>
      <c r="N25" s="1112">
        <v>8920.4210000000003</v>
      </c>
      <c r="O25" s="1112">
        <v>9369.1880000000001</v>
      </c>
      <c r="P25" s="1112">
        <v>9988.366</v>
      </c>
      <c r="Q25" s="1112">
        <v>10910.03</v>
      </c>
      <c r="R25" s="1112">
        <v>11793.152</v>
      </c>
      <c r="S25" s="1112">
        <v>12707.861000000001</v>
      </c>
      <c r="T25" s="1112">
        <v>13688.130999999999</v>
      </c>
      <c r="U25" s="1112">
        <v>14741.716</v>
      </c>
      <c r="V25" s="1112">
        <v>15881.519</v>
      </c>
      <c r="W25">
        <v>2020</v>
      </c>
      <c r="AT25" s="7676"/>
      <c r="AU25" s="7676"/>
      <c r="AV25" s="7676"/>
      <c r="AW25" s="7676"/>
      <c r="AX25" s="7676"/>
      <c r="BB25" s="6085"/>
      <c r="BC25" s="6085"/>
      <c r="BD25" s="6085"/>
      <c r="BE25" s="6085"/>
      <c r="BF25" s="6085"/>
      <c r="BG25" s="6085"/>
      <c r="BH25" s="6085"/>
      <c r="BI25" s="6085"/>
      <c r="BJ25" s="6085"/>
      <c r="BK25" s="6085"/>
      <c r="BL25" s="6085"/>
    </row>
    <row r="26" spans="1:64" ht="14.5" x14ac:dyDescent="0.35">
      <c r="A26" t="s">
        <v>28</v>
      </c>
      <c r="B26" t="s">
        <v>122</v>
      </c>
      <c r="C26" t="s">
        <v>123</v>
      </c>
      <c r="D26" t="s">
        <v>124</v>
      </c>
      <c r="E26" t="s">
        <v>168</v>
      </c>
      <c r="F26" s="1112">
        <v>2501.047</v>
      </c>
      <c r="G26" s="1112">
        <v>2819.5340000000001</v>
      </c>
      <c r="H26" s="1112">
        <v>3365.81</v>
      </c>
      <c r="I26" s="1112">
        <v>3812.5</v>
      </c>
      <c r="J26" s="1112">
        <v>4184.9989999999998</v>
      </c>
      <c r="K26" s="1112">
        <v>4879.7929999999997</v>
      </c>
      <c r="L26" s="1112">
        <v>4897.1009999999997</v>
      </c>
      <c r="M26" s="1112">
        <v>5485.0680000000002</v>
      </c>
      <c r="N26" s="1112">
        <v>5414.4849999999997</v>
      </c>
      <c r="O26" s="1112">
        <v>5559.5860000000002</v>
      </c>
      <c r="P26" s="1112">
        <v>5821.3770000000004</v>
      </c>
      <c r="Q26" s="1112">
        <v>6265.81</v>
      </c>
      <c r="R26" s="1112">
        <v>6837.5780000000004</v>
      </c>
      <c r="S26" s="1112">
        <v>7479.7179999999998</v>
      </c>
      <c r="T26" s="1112">
        <v>8192.0820000000003</v>
      </c>
      <c r="U26" s="1112">
        <v>8991.8230000000003</v>
      </c>
      <c r="V26" s="1112">
        <v>9851.7090000000007</v>
      </c>
      <c r="W26">
        <v>2019</v>
      </c>
      <c r="AT26" s="7676"/>
      <c r="AU26" s="7676"/>
      <c r="AV26" s="7676"/>
      <c r="AW26" s="7676"/>
      <c r="AX26" s="7676"/>
      <c r="BB26" s="6085"/>
      <c r="BC26" s="6085"/>
      <c r="BD26" s="6085"/>
      <c r="BE26" s="6085"/>
      <c r="BF26" s="6085"/>
      <c r="BG26" s="6085"/>
      <c r="BH26" s="6085"/>
      <c r="BI26" s="6085"/>
      <c r="BJ26" s="6085"/>
      <c r="BK26" s="6085"/>
      <c r="BL26" s="6085"/>
    </row>
    <row r="27" spans="1:64" ht="14.5" x14ac:dyDescent="0.35">
      <c r="A27" t="s">
        <v>169</v>
      </c>
      <c r="B27" t="s">
        <v>122</v>
      </c>
      <c r="C27" t="s">
        <v>123</v>
      </c>
      <c r="D27" t="s">
        <v>124</v>
      </c>
      <c r="E27" t="s">
        <v>170</v>
      </c>
      <c r="F27">
        <v>138.56899999999999</v>
      </c>
      <c r="G27">
        <v>147.92400000000001</v>
      </c>
      <c r="H27">
        <v>150.351</v>
      </c>
      <c r="I27">
        <v>153.72300000000001</v>
      </c>
      <c r="J27">
        <v>154.43600000000001</v>
      </c>
      <c r="K27">
        <v>158.69900000000001</v>
      </c>
      <c r="L27">
        <v>165.78200000000001</v>
      </c>
      <c r="M27">
        <v>173.09700000000001</v>
      </c>
      <c r="N27">
        <v>183.69800000000001</v>
      </c>
      <c r="O27">
        <v>195.202</v>
      </c>
      <c r="P27">
        <v>164.911</v>
      </c>
      <c r="Q27">
        <v>174.084</v>
      </c>
      <c r="R27">
        <v>188.38</v>
      </c>
      <c r="S27">
        <v>203.46199999999999</v>
      </c>
      <c r="T27">
        <v>219.982</v>
      </c>
      <c r="U27">
        <v>238.279</v>
      </c>
      <c r="V27">
        <v>258.08999999999997</v>
      </c>
      <c r="W27">
        <v>2019</v>
      </c>
      <c r="BB27" s="6085"/>
      <c r="BC27" s="6085"/>
      <c r="BD27" s="6085"/>
      <c r="BE27" s="6085"/>
      <c r="BF27" s="6085"/>
      <c r="BG27" s="6085"/>
      <c r="BH27" s="6085"/>
      <c r="BI27" s="6085"/>
      <c r="BJ27" s="6085"/>
      <c r="BK27" s="6085"/>
      <c r="BL27" s="6085"/>
    </row>
    <row r="28" spans="1:64" ht="14.5" x14ac:dyDescent="0.35">
      <c r="A28" t="s">
        <v>29</v>
      </c>
      <c r="B28" t="s">
        <v>122</v>
      </c>
      <c r="C28" t="s">
        <v>123</v>
      </c>
      <c r="D28" t="s">
        <v>124</v>
      </c>
      <c r="E28" t="s">
        <v>171</v>
      </c>
      <c r="F28" s="1112">
        <v>47047.985000000001</v>
      </c>
      <c r="G28" s="1112">
        <v>52068.692999999999</v>
      </c>
      <c r="H28" s="1112">
        <v>56681.569000000003</v>
      </c>
      <c r="I28" s="1112">
        <v>61326.928</v>
      </c>
      <c r="J28" s="1112">
        <v>67436.790999999997</v>
      </c>
      <c r="K28" s="1112">
        <v>73422.702000000005</v>
      </c>
      <c r="L28" s="1112">
        <v>81241.865999999995</v>
      </c>
      <c r="M28" s="1112">
        <v>89830.524999999994</v>
      </c>
      <c r="N28" s="1112">
        <v>99544.274999999994</v>
      </c>
      <c r="O28" s="1112">
        <v>110014.048</v>
      </c>
      <c r="P28" s="1112">
        <v>103511.609</v>
      </c>
      <c r="Q28" s="1112">
        <v>108341.66099999999</v>
      </c>
      <c r="R28" s="1112">
        <v>117532.947</v>
      </c>
      <c r="S28" s="1112">
        <v>128458.711</v>
      </c>
      <c r="T28" s="1112">
        <v>140551.554</v>
      </c>
      <c r="U28" s="1112">
        <v>153866.99</v>
      </c>
      <c r="V28" s="1112">
        <v>168591.19099999999</v>
      </c>
      <c r="W28">
        <v>2020</v>
      </c>
      <c r="AT28" s="7676"/>
      <c r="AU28" s="7676"/>
      <c r="AV28" s="7676"/>
      <c r="AW28" s="7676"/>
      <c r="AX28" s="7676"/>
      <c r="BB28" s="6085"/>
      <c r="BC28" s="6085"/>
      <c r="BD28" s="6085"/>
      <c r="BE28" s="6085"/>
      <c r="BF28" s="6085"/>
      <c r="BG28" s="6085"/>
      <c r="BH28" s="6085"/>
      <c r="BI28" s="6085"/>
      <c r="BJ28" s="6085"/>
      <c r="BK28" s="6085"/>
      <c r="BL28" s="6085"/>
    </row>
    <row r="29" spans="1:64" ht="14.5" x14ac:dyDescent="0.35">
      <c r="A29" t="s">
        <v>30</v>
      </c>
      <c r="B29" t="s">
        <v>122</v>
      </c>
      <c r="C29" t="s">
        <v>123</v>
      </c>
      <c r="D29" t="s">
        <v>124</v>
      </c>
      <c r="E29" t="s">
        <v>172</v>
      </c>
      <c r="F29" s="1112">
        <v>12948.432000000001</v>
      </c>
      <c r="G29" s="1112">
        <v>13843.138999999999</v>
      </c>
      <c r="H29" s="1112">
        <v>14858.603999999999</v>
      </c>
      <c r="I29" s="1112">
        <v>15981.28</v>
      </c>
      <c r="J29" s="1112">
        <v>17276.469000000001</v>
      </c>
      <c r="K29" s="1112">
        <v>18285.382000000001</v>
      </c>
      <c r="L29" s="1112">
        <v>19344.838</v>
      </c>
      <c r="M29" s="1112">
        <v>20328.363000000001</v>
      </c>
      <c r="N29" s="1112">
        <v>21492.534</v>
      </c>
      <c r="O29" s="1112">
        <v>22854.838</v>
      </c>
      <c r="P29" s="1112">
        <v>22954.712</v>
      </c>
      <c r="Q29" s="1112">
        <v>24608.286</v>
      </c>
      <c r="R29" s="1112">
        <v>26231.098999999998</v>
      </c>
      <c r="S29" s="1112">
        <v>27879.995999999999</v>
      </c>
      <c r="T29" s="1112">
        <v>29771.491999999998</v>
      </c>
      <c r="U29" s="1112">
        <v>31972.553</v>
      </c>
      <c r="V29" s="1112">
        <v>34377.93</v>
      </c>
      <c r="W29">
        <v>2020</v>
      </c>
      <c r="AT29" s="7676"/>
      <c r="AU29" s="7676"/>
      <c r="AV29" s="7676"/>
      <c r="AW29" s="7676"/>
      <c r="AX29" s="7676"/>
      <c r="BB29" s="6085"/>
      <c r="BC29" s="6085"/>
      <c r="BD29" s="6085"/>
      <c r="BE29" s="6085"/>
      <c r="BF29" s="6085"/>
      <c r="BG29" s="6085"/>
      <c r="BH29" s="6085"/>
      <c r="BI29" s="6085"/>
      <c r="BJ29" s="6085"/>
      <c r="BK29" s="6085"/>
      <c r="BL29" s="6085"/>
    </row>
    <row r="30" spans="1:64" ht="14.5" x14ac:dyDescent="0.35">
      <c r="A30" t="s">
        <v>108</v>
      </c>
      <c r="B30" t="s">
        <v>122</v>
      </c>
      <c r="C30" t="s">
        <v>123</v>
      </c>
      <c r="D30" t="s">
        <v>124</v>
      </c>
      <c r="E30" t="s">
        <v>173</v>
      </c>
      <c r="F30" s="1112">
        <v>1060.1420000000001</v>
      </c>
      <c r="G30" s="1112">
        <v>1148.896</v>
      </c>
      <c r="H30" s="1112">
        <v>1281.5609999999999</v>
      </c>
      <c r="I30">
        <v>835.45399999999995</v>
      </c>
      <c r="J30">
        <v>935.57799999999997</v>
      </c>
      <c r="K30" s="1112">
        <v>1002.592</v>
      </c>
      <c r="L30" s="1112">
        <v>1081.5160000000001</v>
      </c>
      <c r="M30" s="1112">
        <v>1203.3240000000001</v>
      </c>
      <c r="N30" s="1112">
        <v>1265.6400000000001</v>
      </c>
      <c r="O30" s="1112">
        <v>1333.9849999999999</v>
      </c>
      <c r="P30" s="1112">
        <v>1371.893</v>
      </c>
      <c r="Q30" s="1112">
        <v>1393</v>
      </c>
      <c r="R30" s="1112">
        <v>1485.9849999999999</v>
      </c>
      <c r="S30" s="1112">
        <v>1598.6990000000001</v>
      </c>
      <c r="T30" s="1112">
        <v>1720.57</v>
      </c>
      <c r="U30" s="1112">
        <v>1851.6389999999999</v>
      </c>
      <c r="V30" s="1112">
        <v>1991.28</v>
      </c>
      <c r="W30">
        <v>2017</v>
      </c>
      <c r="AT30" s="7676"/>
      <c r="AU30" s="7676"/>
      <c r="AV30" s="7676"/>
      <c r="AW30" s="7676"/>
      <c r="AX30" s="7676"/>
      <c r="BB30" s="6085"/>
      <c r="BC30" s="6085"/>
      <c r="BD30" s="6085"/>
      <c r="BE30" s="6085"/>
      <c r="BF30" s="6085"/>
      <c r="BG30" s="6085"/>
      <c r="BH30" s="6085"/>
      <c r="BI30" s="6085"/>
      <c r="BJ30" s="6085"/>
      <c r="BK30" s="6085"/>
      <c r="BL30" s="6085"/>
    </row>
    <row r="31" spans="1:64" ht="14.5" x14ac:dyDescent="0.35">
      <c r="A31" t="s">
        <v>109</v>
      </c>
      <c r="B31" t="s">
        <v>122</v>
      </c>
      <c r="C31" t="s">
        <v>123</v>
      </c>
      <c r="D31" t="s">
        <v>124</v>
      </c>
      <c r="E31" t="s">
        <v>174</v>
      </c>
      <c r="F31" s="1112">
        <v>5290.6080000000002</v>
      </c>
      <c r="G31" s="1112">
        <v>5742.4040000000005</v>
      </c>
      <c r="H31" s="1112">
        <v>6332.4470000000001</v>
      </c>
      <c r="I31" s="1112">
        <v>6417.7380000000003</v>
      </c>
      <c r="J31" s="1112">
        <v>6912.49</v>
      </c>
      <c r="K31" s="1112">
        <v>6474.0730000000003</v>
      </c>
      <c r="L31" s="1112">
        <v>6047.1459999999997</v>
      </c>
      <c r="M31" s="1112">
        <v>5854.5720000000001</v>
      </c>
      <c r="N31" s="1112">
        <v>6127.3180000000002</v>
      </c>
      <c r="O31" s="1112">
        <v>6406.3670000000002</v>
      </c>
      <c r="P31" s="1112">
        <v>6227.9250000000002</v>
      </c>
      <c r="Q31" s="1112">
        <v>6780.2910000000002</v>
      </c>
      <c r="R31" s="1112">
        <v>7036.2209999999995</v>
      </c>
      <c r="S31" s="1112">
        <v>7347.0749999999998</v>
      </c>
      <c r="T31" s="1112">
        <v>7824.6170000000002</v>
      </c>
      <c r="U31" s="1112">
        <v>8354.4619999999995</v>
      </c>
      <c r="V31" s="1112">
        <v>8886.7870000000003</v>
      </c>
      <c r="W31">
        <v>2017</v>
      </c>
      <c r="AT31" s="7676"/>
      <c r="AU31" s="7676"/>
      <c r="AV31" s="7676"/>
      <c r="AW31" s="7676"/>
      <c r="AX31" s="7676"/>
      <c r="BB31" s="6085"/>
      <c r="BC31" s="6085"/>
      <c r="BD31" s="6085"/>
      <c r="BE31" s="6085"/>
      <c r="BF31" s="6085"/>
      <c r="BG31" s="6085"/>
      <c r="BH31" s="6085"/>
      <c r="BI31" s="6085"/>
      <c r="BJ31" s="6085"/>
      <c r="BK31" s="6085"/>
      <c r="BL31" s="6085"/>
    </row>
    <row r="32" spans="1:64" ht="14.5" x14ac:dyDescent="0.35">
      <c r="A32" t="s">
        <v>175</v>
      </c>
      <c r="B32" t="s">
        <v>122</v>
      </c>
      <c r="C32" t="s">
        <v>123</v>
      </c>
      <c r="D32" t="s">
        <v>124</v>
      </c>
      <c r="E32" t="s">
        <v>176</v>
      </c>
      <c r="F32" s="1112">
        <v>111397.966</v>
      </c>
      <c r="G32" s="1112">
        <v>121931.144</v>
      </c>
      <c r="H32" s="1112">
        <v>129903.67999999999</v>
      </c>
      <c r="I32" s="1112">
        <v>137868.46100000001</v>
      </c>
      <c r="J32" s="1112">
        <v>148566.59400000001</v>
      </c>
      <c r="K32" s="1112">
        <v>159522.44500000001</v>
      </c>
      <c r="L32" s="1112">
        <v>169459.79300000001</v>
      </c>
      <c r="M32" s="1112">
        <v>179685.715</v>
      </c>
      <c r="N32" s="1112">
        <v>190763.889</v>
      </c>
      <c r="O32" s="1112">
        <v>196444.43299999999</v>
      </c>
      <c r="P32" s="1112">
        <v>200276.44099999999</v>
      </c>
      <c r="Q32" s="1112">
        <v>240837.28599999999</v>
      </c>
      <c r="R32" s="1112">
        <v>258033.01500000001</v>
      </c>
      <c r="S32" s="1112">
        <v>270890.65899999999</v>
      </c>
      <c r="T32" s="1112">
        <v>283712.89199999999</v>
      </c>
      <c r="U32" s="1112">
        <v>297936.95299999998</v>
      </c>
      <c r="V32" s="1112">
        <v>313645.272</v>
      </c>
      <c r="W32">
        <v>2020</v>
      </c>
      <c r="AT32" s="7676"/>
      <c r="AU32" s="7676"/>
      <c r="AV32" s="7676"/>
      <c r="AW32" s="7676"/>
      <c r="AX32" s="7676"/>
      <c r="BB32" s="6085"/>
      <c r="BC32" s="6085"/>
      <c r="BD32" s="6085"/>
      <c r="BE32" s="6085"/>
      <c r="BF32" s="6085"/>
      <c r="BG32" s="6085"/>
      <c r="BH32" s="6085"/>
      <c r="BI32" s="6085"/>
      <c r="BJ32" s="6085"/>
      <c r="BK32" s="6085"/>
      <c r="BL32" s="6085"/>
    </row>
    <row r="33" spans="1:64" ht="14.5" x14ac:dyDescent="0.35">
      <c r="A33" t="s">
        <v>177</v>
      </c>
      <c r="B33" t="s">
        <v>122</v>
      </c>
      <c r="C33" t="s">
        <v>123</v>
      </c>
      <c r="D33" t="s">
        <v>124</v>
      </c>
      <c r="E33" t="s">
        <v>178</v>
      </c>
      <c r="F33" s="1112">
        <v>40850.54</v>
      </c>
      <c r="G33" s="1112">
        <v>48410.930999999997</v>
      </c>
      <c r="H33" s="1112">
        <v>53903.991000000002</v>
      </c>
      <c r="I33" s="1112">
        <v>59634.447999999997</v>
      </c>
      <c r="J33" s="1112">
        <v>64654.796000000002</v>
      </c>
      <c r="K33" s="1112">
        <v>69209.37</v>
      </c>
      <c r="L33" s="1112">
        <v>74598.051000000007</v>
      </c>
      <c r="M33" s="1112">
        <v>82898.275999999998</v>
      </c>
      <c r="N33" s="1112">
        <v>91577.426000000007</v>
      </c>
      <c r="O33" s="1112">
        <v>99070.84</v>
      </c>
      <c r="P33" s="1112">
        <v>102591.66</v>
      </c>
      <c r="Q33" s="1112">
        <v>112979.958</v>
      </c>
      <c r="R33" s="1112">
        <v>121805.768</v>
      </c>
      <c r="S33" s="1112">
        <v>130762.15</v>
      </c>
      <c r="T33" s="1112">
        <v>140209.44</v>
      </c>
      <c r="U33" s="1112">
        <v>150112.18</v>
      </c>
      <c r="V33" s="1112">
        <v>160504.524</v>
      </c>
      <c r="W33">
        <v>2020</v>
      </c>
      <c r="AA33" s="7676"/>
      <c r="AG33" s="7676"/>
      <c r="AH33" s="7676"/>
      <c r="AI33" s="7676"/>
      <c r="AJ33" s="7676"/>
      <c r="AK33" s="7676"/>
      <c r="AT33" s="7676"/>
      <c r="AU33" s="7676"/>
      <c r="AV33" s="7676"/>
      <c r="AW33" s="7676"/>
      <c r="AX33" s="7676"/>
      <c r="BB33" s="6085"/>
      <c r="BC33" s="6085"/>
      <c r="BD33" s="6085"/>
      <c r="BE33" s="6085"/>
      <c r="BF33" s="6085"/>
      <c r="BG33" s="6085"/>
      <c r="BH33" s="6085"/>
      <c r="BI33" s="6085"/>
      <c r="BJ33" s="6085"/>
      <c r="BK33" s="6085"/>
      <c r="BL33" s="6085"/>
    </row>
    <row r="34" spans="1:64" ht="14.5" x14ac:dyDescent="0.35">
      <c r="A34" t="s">
        <v>179</v>
      </c>
      <c r="B34" t="s">
        <v>122</v>
      </c>
      <c r="C34" t="s">
        <v>123</v>
      </c>
      <c r="D34" t="s">
        <v>124</v>
      </c>
      <c r="E34" t="s">
        <v>180</v>
      </c>
      <c r="F34" s="1112">
        <v>544059</v>
      </c>
      <c r="G34" s="1112">
        <v>619023</v>
      </c>
      <c r="H34" s="1112">
        <v>666507</v>
      </c>
      <c r="I34" s="1112">
        <v>714092</v>
      </c>
      <c r="J34" s="1112">
        <v>762903</v>
      </c>
      <c r="K34" s="1112">
        <v>804693</v>
      </c>
      <c r="L34" s="1112">
        <v>863782</v>
      </c>
      <c r="M34" s="1112">
        <v>920472</v>
      </c>
      <c r="N34" s="1112">
        <v>987791</v>
      </c>
      <c r="O34" s="1112">
        <v>1061119</v>
      </c>
      <c r="P34" s="1112">
        <v>1002923</v>
      </c>
      <c r="Q34" s="1112">
        <v>1114236.0919999999</v>
      </c>
      <c r="R34" s="1112">
        <v>1192226.7949999999</v>
      </c>
      <c r="S34" s="1112">
        <v>1267344.4990000001</v>
      </c>
      <c r="T34" s="1112">
        <v>1350476.308</v>
      </c>
      <c r="U34" s="1112">
        <v>1439548.317</v>
      </c>
      <c r="V34" s="1112">
        <v>1534549.476</v>
      </c>
      <c r="W34">
        <v>2020</v>
      </c>
      <c r="AT34" s="7676"/>
      <c r="AU34" s="7676"/>
      <c r="AV34" s="7676"/>
      <c r="AW34" s="7676"/>
      <c r="AX34" s="7676"/>
      <c r="BB34" s="6085"/>
      <c r="BC34" s="6085"/>
      <c r="BD34" s="6085"/>
      <c r="BE34" s="6085"/>
      <c r="BF34" s="6085"/>
      <c r="BG34" s="6085"/>
      <c r="BH34" s="6085"/>
      <c r="BI34" s="6085"/>
      <c r="BJ34" s="6085"/>
      <c r="BK34" s="6085"/>
      <c r="BL34" s="6085"/>
    </row>
    <row r="35" spans="1:64" ht="14.5" x14ac:dyDescent="0.35">
      <c r="A35" t="s">
        <v>88</v>
      </c>
      <c r="B35" t="s">
        <v>122</v>
      </c>
      <c r="C35" t="s">
        <v>123</v>
      </c>
      <c r="D35" t="s">
        <v>124</v>
      </c>
      <c r="E35" t="s">
        <v>181</v>
      </c>
      <c r="F35">
        <v>336.947</v>
      </c>
      <c r="G35">
        <v>361.596</v>
      </c>
      <c r="H35">
        <v>388.98399999999998</v>
      </c>
      <c r="I35">
        <v>413.47699999999998</v>
      </c>
      <c r="J35">
        <v>425.71300000000002</v>
      </c>
      <c r="K35">
        <v>428.346</v>
      </c>
      <c r="L35">
        <v>450.15899999999999</v>
      </c>
      <c r="M35">
        <v>469.21699999999998</v>
      </c>
      <c r="N35">
        <v>490.95800000000003</v>
      </c>
      <c r="O35">
        <v>522.04499999999996</v>
      </c>
      <c r="P35">
        <v>524.17600000000004</v>
      </c>
      <c r="Q35">
        <v>527.55100000000004</v>
      </c>
      <c r="R35">
        <v>555.26800000000003</v>
      </c>
      <c r="S35">
        <v>583.63900000000001</v>
      </c>
      <c r="T35">
        <v>615.37400000000002</v>
      </c>
      <c r="U35">
        <v>653.01199999999994</v>
      </c>
      <c r="V35">
        <v>695.54899999999998</v>
      </c>
      <c r="W35">
        <v>2019</v>
      </c>
      <c r="BB35" s="6085"/>
      <c r="BC35" s="6085"/>
      <c r="BD35" s="6085"/>
      <c r="BE35" s="6085"/>
      <c r="BF35" s="6085"/>
      <c r="BG35" s="6085"/>
      <c r="BH35" s="6085"/>
      <c r="BI35" s="6085"/>
      <c r="BJ35" s="6085"/>
      <c r="BK35" s="6085"/>
      <c r="BL35" s="6085"/>
    </row>
    <row r="36" spans="1:64" ht="14.5" x14ac:dyDescent="0.35">
      <c r="A36" t="s">
        <v>37</v>
      </c>
      <c r="B36" t="s">
        <v>122</v>
      </c>
      <c r="C36" t="s">
        <v>123</v>
      </c>
      <c r="D36" t="s">
        <v>124</v>
      </c>
      <c r="E36" t="s">
        <v>182</v>
      </c>
      <c r="F36" s="1112">
        <v>19536.677</v>
      </c>
      <c r="G36" s="1112">
        <v>23759.424999999999</v>
      </c>
      <c r="H36" s="1112">
        <v>26954.557000000001</v>
      </c>
      <c r="I36" s="1112">
        <v>30051.179</v>
      </c>
      <c r="J36" s="1112">
        <v>33223.987999999998</v>
      </c>
      <c r="K36" s="1112">
        <v>35111.226000000002</v>
      </c>
      <c r="L36" s="1112">
        <v>37517.392</v>
      </c>
      <c r="M36" s="1112">
        <v>55676.093000000001</v>
      </c>
      <c r="N36" s="1112">
        <v>76495.5</v>
      </c>
      <c r="O36" s="1112">
        <v>83048.34</v>
      </c>
      <c r="P36" s="1112">
        <v>90181.047999999995</v>
      </c>
      <c r="Q36" s="1112">
        <v>109698.883</v>
      </c>
      <c r="R36" s="1112">
        <v>123051.788</v>
      </c>
      <c r="S36" s="1112">
        <v>138799.85800000001</v>
      </c>
      <c r="T36" s="1112">
        <v>156941.50700000001</v>
      </c>
      <c r="U36" s="1112">
        <v>177409.52900000001</v>
      </c>
      <c r="V36" s="1112">
        <v>197738.54699999999</v>
      </c>
      <c r="W36">
        <v>2020</v>
      </c>
      <c r="AT36" s="7676"/>
      <c r="AU36" s="7676"/>
      <c r="AV36" s="7676"/>
      <c r="AW36" s="7676"/>
      <c r="AX36" s="7676"/>
      <c r="BB36" s="6085"/>
      <c r="BC36" s="6085"/>
      <c r="BD36" s="6085"/>
      <c r="BE36" s="6085"/>
      <c r="BF36" s="6085"/>
      <c r="BG36" s="6085"/>
      <c r="BH36" s="6085"/>
      <c r="BI36" s="6085"/>
      <c r="BJ36" s="6085"/>
      <c r="BK36" s="6085"/>
      <c r="BL36" s="6085"/>
    </row>
    <row r="37" spans="1:64" ht="14.5" x14ac:dyDescent="0.35">
      <c r="A37" t="s">
        <v>33</v>
      </c>
      <c r="B37" t="s">
        <v>122</v>
      </c>
      <c r="C37" t="s">
        <v>123</v>
      </c>
      <c r="D37" t="s">
        <v>124</v>
      </c>
      <c r="E37" t="s">
        <v>183</v>
      </c>
      <c r="F37" s="1112">
        <v>6505.7510000000002</v>
      </c>
      <c r="G37" s="1112">
        <v>7377.5780000000004</v>
      </c>
      <c r="H37" s="1112">
        <v>9033.2279999999992</v>
      </c>
      <c r="I37" s="1112">
        <v>8869.8050000000003</v>
      </c>
      <c r="J37" s="1112">
        <v>8844.6290000000008</v>
      </c>
      <c r="K37" s="1112">
        <v>7029.66</v>
      </c>
      <c r="L37" s="1112">
        <v>6021.9639999999999</v>
      </c>
      <c r="M37" s="1112">
        <v>6453.2349999999997</v>
      </c>
      <c r="N37" s="1112">
        <v>7577.8130000000001</v>
      </c>
      <c r="O37" s="1112">
        <v>7493.8090000000002</v>
      </c>
      <c r="P37" s="1112">
        <v>5936.527</v>
      </c>
      <c r="Q37" s="1112">
        <v>6975.6049999999996</v>
      </c>
      <c r="R37" s="1112">
        <v>7167.6139999999996</v>
      </c>
      <c r="S37" s="1112">
        <v>7354.8609999999999</v>
      </c>
      <c r="T37" s="1112">
        <v>7867.2579999999998</v>
      </c>
      <c r="U37" s="1112">
        <v>8075.6570000000002</v>
      </c>
      <c r="V37" s="1112">
        <v>8255.0259999999998</v>
      </c>
      <c r="W37">
        <v>2018</v>
      </c>
      <c r="AT37" s="7676"/>
      <c r="AU37" s="7676"/>
      <c r="AV37" s="7676"/>
      <c r="AW37" s="7676"/>
      <c r="AX37" s="7676"/>
      <c r="BB37" s="6085"/>
      <c r="BC37" s="6085"/>
      <c r="BD37" s="6085"/>
      <c r="BE37" s="6085"/>
      <c r="BF37" s="6085"/>
      <c r="BG37" s="6085"/>
      <c r="BH37" s="6085"/>
      <c r="BI37" s="6085"/>
      <c r="BJ37" s="6085"/>
      <c r="BK37" s="6085"/>
      <c r="BL37" s="6085"/>
    </row>
    <row r="38" spans="1:64" ht="14.5" x14ac:dyDescent="0.35">
      <c r="A38" t="s">
        <v>184</v>
      </c>
      <c r="B38" t="s">
        <v>122</v>
      </c>
      <c r="C38" t="s">
        <v>123</v>
      </c>
      <c r="D38" t="s">
        <v>124</v>
      </c>
      <c r="E38" t="s">
        <v>185</v>
      </c>
      <c r="F38" s="1112">
        <v>19802.010999999999</v>
      </c>
      <c r="G38" s="1112">
        <v>21623.525000000001</v>
      </c>
      <c r="H38" s="1112">
        <v>23752.868999999999</v>
      </c>
      <c r="I38" s="1112">
        <v>25462.955000000002</v>
      </c>
      <c r="J38" s="1112">
        <v>28001.328000000001</v>
      </c>
      <c r="K38" s="1112">
        <v>30171.919000000002</v>
      </c>
      <c r="L38" s="1112">
        <v>32056.288</v>
      </c>
      <c r="M38" s="1112">
        <v>34343.646999999997</v>
      </c>
      <c r="N38" s="1112">
        <v>36014.718999999997</v>
      </c>
      <c r="O38" s="1112">
        <v>37629.641000000003</v>
      </c>
      <c r="P38" s="1112">
        <v>36174.305</v>
      </c>
      <c r="Q38" s="1112">
        <v>37867.658000000003</v>
      </c>
      <c r="R38" s="1112">
        <v>39725.603999999999</v>
      </c>
      <c r="S38" s="1112">
        <v>41678.082000000002</v>
      </c>
      <c r="T38" s="1112">
        <v>43936.932000000001</v>
      </c>
      <c r="U38" s="1112">
        <v>46408.777000000002</v>
      </c>
      <c r="V38" s="1112">
        <v>49258.625</v>
      </c>
      <c r="W38">
        <v>2020</v>
      </c>
      <c r="AT38" s="7676"/>
      <c r="AU38" s="7676"/>
      <c r="AV38" s="7676"/>
      <c r="AW38" s="7676"/>
      <c r="AX38" s="7676"/>
      <c r="BB38" s="6085"/>
      <c r="BC38" s="6085"/>
      <c r="BD38" s="6085"/>
      <c r="BE38" s="6085"/>
      <c r="BF38" s="6085"/>
      <c r="BG38" s="6085"/>
      <c r="BH38" s="6085"/>
      <c r="BI38" s="6085"/>
      <c r="BJ38" s="6085"/>
      <c r="BK38" s="6085"/>
      <c r="BL38" s="6085"/>
    </row>
    <row r="39" spans="1:64" ht="14.5" x14ac:dyDescent="0.35">
      <c r="A39" t="s">
        <v>34</v>
      </c>
      <c r="B39" t="s">
        <v>122</v>
      </c>
      <c r="C39" t="s">
        <v>123</v>
      </c>
      <c r="D39" t="s">
        <v>124</v>
      </c>
      <c r="E39" t="s">
        <v>186</v>
      </c>
      <c r="F39" s="1112">
        <v>17036.121999999999</v>
      </c>
      <c r="G39" s="1112">
        <v>16743.03</v>
      </c>
      <c r="H39" s="1112">
        <v>18905.775000000001</v>
      </c>
      <c r="I39" s="1112">
        <v>21350.242999999999</v>
      </c>
      <c r="J39" s="1112">
        <v>24135.859</v>
      </c>
      <c r="K39" s="1112">
        <v>27086.15</v>
      </c>
      <c r="L39" s="1112">
        <v>28423.874</v>
      </c>
      <c r="M39" s="1112">
        <v>29955.01</v>
      </c>
      <c r="N39" s="1112">
        <v>32222.266</v>
      </c>
      <c r="O39" s="1112">
        <v>34298.892999999996</v>
      </c>
      <c r="P39" s="1112">
        <v>35192.985999999997</v>
      </c>
      <c r="Q39" s="1112">
        <v>37811.199000000001</v>
      </c>
      <c r="R39" s="1112">
        <v>40780.925000000003</v>
      </c>
      <c r="S39" s="1112">
        <v>43965.427000000003</v>
      </c>
      <c r="T39" s="1112">
        <v>47387.938000000002</v>
      </c>
      <c r="U39" s="1112">
        <v>51081.576000000001</v>
      </c>
      <c r="V39" s="1112">
        <v>55012.813999999998</v>
      </c>
      <c r="W39">
        <v>2017</v>
      </c>
      <c r="AT39" s="7676"/>
      <c r="AU39" s="7676"/>
      <c r="AV39" s="7676"/>
      <c r="AW39" s="7676"/>
      <c r="AX39" s="7676"/>
      <c r="BB39" s="6085"/>
      <c r="BC39" s="6085"/>
      <c r="BD39" s="6085"/>
      <c r="BE39" s="6085"/>
      <c r="BF39" s="6085"/>
      <c r="BG39" s="6085"/>
      <c r="BH39" s="6085"/>
      <c r="BI39" s="6085"/>
      <c r="BJ39" s="6085"/>
      <c r="BK39" s="6085"/>
      <c r="BL39" s="6085"/>
    </row>
    <row r="40" spans="1:64" ht="14.5" x14ac:dyDescent="0.35">
      <c r="A40" t="s">
        <v>187</v>
      </c>
      <c r="B40" t="s">
        <v>122</v>
      </c>
      <c r="C40" t="s">
        <v>123</v>
      </c>
      <c r="D40" t="s">
        <v>124</v>
      </c>
      <c r="E40" t="s">
        <v>188</v>
      </c>
      <c r="F40">
        <v>329.43400000000003</v>
      </c>
      <c r="G40">
        <v>334.19299999999998</v>
      </c>
      <c r="H40">
        <v>331.01499999999999</v>
      </c>
      <c r="I40">
        <v>331.98899999999998</v>
      </c>
      <c r="J40">
        <v>331.32499999999999</v>
      </c>
      <c r="K40">
        <v>339.66199999999998</v>
      </c>
      <c r="L40">
        <v>351.19900000000001</v>
      </c>
      <c r="M40">
        <v>367.50099999999998</v>
      </c>
      <c r="N40">
        <v>385.37299999999999</v>
      </c>
      <c r="O40">
        <v>402.334</v>
      </c>
      <c r="P40">
        <v>371.51600000000002</v>
      </c>
      <c r="Q40">
        <v>397.61200000000002</v>
      </c>
      <c r="R40">
        <v>427.45400000000001</v>
      </c>
      <c r="S40">
        <v>454.851</v>
      </c>
      <c r="T40">
        <v>479.18299999999999</v>
      </c>
      <c r="U40">
        <v>501.9</v>
      </c>
      <c r="V40">
        <v>526.202</v>
      </c>
      <c r="W40">
        <v>2020</v>
      </c>
      <c r="BB40" s="6085"/>
      <c r="BC40" s="6085"/>
      <c r="BD40" s="6085"/>
      <c r="BE40" s="6085"/>
      <c r="BF40" s="6085"/>
      <c r="BG40" s="6085"/>
      <c r="BH40" s="6085"/>
      <c r="BI40" s="6085"/>
      <c r="BJ40" s="6085"/>
      <c r="BK40" s="6085"/>
      <c r="BL40" s="6085"/>
    </row>
    <row r="41" spans="1:64" ht="14.5" x14ac:dyDescent="0.35">
      <c r="A41" t="s">
        <v>36</v>
      </c>
      <c r="B41" t="s">
        <v>122</v>
      </c>
      <c r="C41" t="s">
        <v>123</v>
      </c>
      <c r="D41" t="s">
        <v>124</v>
      </c>
      <c r="E41" t="s">
        <v>189</v>
      </c>
      <c r="F41">
        <v>274.11500000000001</v>
      </c>
      <c r="G41">
        <v>309.03500000000003</v>
      </c>
      <c r="H41">
        <v>337.66199999999998</v>
      </c>
      <c r="I41">
        <v>363.05200000000002</v>
      </c>
      <c r="J41">
        <v>393.86500000000001</v>
      </c>
      <c r="K41">
        <v>434.61099999999999</v>
      </c>
      <c r="L41">
        <v>465.375</v>
      </c>
      <c r="M41">
        <v>491.72699999999998</v>
      </c>
      <c r="N41">
        <v>535.43799999999999</v>
      </c>
      <c r="O41">
        <v>594.702</v>
      </c>
      <c r="P41">
        <v>611.32500000000005</v>
      </c>
      <c r="Q41">
        <v>649.30499999999995</v>
      </c>
      <c r="R41">
        <v>698.71699999999998</v>
      </c>
      <c r="S41">
        <v>755.45299999999997</v>
      </c>
      <c r="T41">
        <v>816.79600000000005</v>
      </c>
      <c r="U41">
        <v>883.12</v>
      </c>
      <c r="V41">
        <v>954.82899999999995</v>
      </c>
      <c r="W41">
        <v>2018</v>
      </c>
      <c r="BB41" s="6085"/>
      <c r="BC41" s="6085"/>
      <c r="BD41" s="6085"/>
      <c r="BE41" s="6085"/>
      <c r="BF41" s="6085"/>
      <c r="BG41" s="6085"/>
      <c r="BH41" s="6085"/>
      <c r="BI41" s="6085"/>
      <c r="BJ41" s="6085"/>
      <c r="BK41" s="6085"/>
      <c r="BL41" s="6085"/>
    </row>
    <row r="42" spans="1:64" ht="14.5" x14ac:dyDescent="0.35">
      <c r="A42" t="s">
        <v>190</v>
      </c>
      <c r="B42" t="s">
        <v>122</v>
      </c>
      <c r="C42" t="s">
        <v>123</v>
      </c>
      <c r="D42" t="s">
        <v>124</v>
      </c>
      <c r="E42" t="s">
        <v>191</v>
      </c>
      <c r="F42">
        <v>1.333</v>
      </c>
      <c r="G42">
        <v>1.353</v>
      </c>
      <c r="H42">
        <v>1.3120000000000001</v>
      </c>
      <c r="I42">
        <v>1.345</v>
      </c>
      <c r="J42">
        <v>1.405</v>
      </c>
      <c r="K42">
        <v>1.46</v>
      </c>
      <c r="L42">
        <v>1.556</v>
      </c>
      <c r="M42">
        <v>1.4570000000000001</v>
      </c>
      <c r="N42">
        <v>1.524</v>
      </c>
      <c r="O42">
        <v>1.663</v>
      </c>
      <c r="P42">
        <v>1.4690000000000001</v>
      </c>
      <c r="Q42">
        <v>1.5409999999999999</v>
      </c>
      <c r="R42">
        <v>1.696</v>
      </c>
      <c r="S42">
        <v>1.831</v>
      </c>
      <c r="T42">
        <v>1.9570000000000001</v>
      </c>
      <c r="U42">
        <v>2.08</v>
      </c>
      <c r="V42">
        <v>2.1760000000000002</v>
      </c>
      <c r="W42">
        <v>2018</v>
      </c>
      <c r="BB42" s="6085"/>
      <c r="BC42" s="6085"/>
      <c r="BD42" s="6085"/>
      <c r="BE42" s="6085"/>
      <c r="BF42" s="6085"/>
      <c r="BG42" s="6085"/>
      <c r="BH42" s="6085"/>
      <c r="BI42" s="6085"/>
      <c r="BJ42" s="6085"/>
      <c r="BK42" s="6085"/>
      <c r="BL42" s="6085"/>
    </row>
    <row r="43" spans="1:64" ht="14.5" x14ac:dyDescent="0.35">
      <c r="A43" t="s">
        <v>192</v>
      </c>
      <c r="B43" t="s">
        <v>122</v>
      </c>
      <c r="C43" t="s">
        <v>123</v>
      </c>
      <c r="D43" t="s">
        <v>124</v>
      </c>
      <c r="E43" t="s">
        <v>193</v>
      </c>
      <c r="F43" s="1112">
        <v>1983.202</v>
      </c>
      <c r="G43" s="1112">
        <v>2210.2139999999999</v>
      </c>
      <c r="H43" s="1112">
        <v>2386.0160000000001</v>
      </c>
      <c r="I43" s="1112">
        <v>2619.77</v>
      </c>
      <c r="J43" s="1112">
        <v>2925.665</v>
      </c>
      <c r="K43" s="1112">
        <v>3205.6550000000002</v>
      </c>
      <c r="L43" s="1112">
        <v>3487.2930000000001</v>
      </c>
      <c r="M43" s="1112">
        <v>3802.6559999999999</v>
      </c>
      <c r="N43" s="1112">
        <v>4235.8469999999998</v>
      </c>
      <c r="O43" s="1112">
        <v>4562.2349999999997</v>
      </c>
      <c r="P43" s="1112">
        <v>4456.6570000000002</v>
      </c>
      <c r="Q43" s="1112">
        <v>5132.3249999999998</v>
      </c>
      <c r="R43" s="1112">
        <v>5656.3739999999998</v>
      </c>
      <c r="S43" s="1112">
        <v>6176.2439999999997</v>
      </c>
      <c r="T43" s="1112">
        <v>6740.3450000000003</v>
      </c>
      <c r="U43" s="1112">
        <v>7357.6989999999996</v>
      </c>
      <c r="V43" s="1112">
        <v>8027.45</v>
      </c>
      <c r="W43">
        <v>2020</v>
      </c>
      <c r="AT43" s="7676"/>
      <c r="AU43" s="7676"/>
      <c r="AV43" s="7676"/>
      <c r="AW43" s="7676"/>
      <c r="AX43" s="7676"/>
      <c r="BB43" s="6085"/>
      <c r="BC43" s="6085"/>
      <c r="BD43" s="6085"/>
      <c r="BE43" s="6085"/>
      <c r="BF43" s="6085"/>
      <c r="BG43" s="6085"/>
      <c r="BH43" s="6085"/>
      <c r="BI43" s="6085"/>
      <c r="BJ43" s="6085"/>
      <c r="BK43" s="6085"/>
      <c r="BL43" s="6085"/>
    </row>
    <row r="44" spans="1:64" ht="14.5" x14ac:dyDescent="0.35">
      <c r="A44" t="s">
        <v>194</v>
      </c>
      <c r="B44" t="s">
        <v>122</v>
      </c>
      <c r="C44" t="s">
        <v>123</v>
      </c>
      <c r="D44" t="s">
        <v>124</v>
      </c>
      <c r="E44" t="s">
        <v>195</v>
      </c>
      <c r="F44">
        <v>69.555000000000007</v>
      </c>
      <c r="G44">
        <v>79.277000000000001</v>
      </c>
      <c r="H44">
        <v>87.924999999999997</v>
      </c>
      <c r="I44">
        <v>95.13</v>
      </c>
      <c r="J44">
        <v>101.726</v>
      </c>
      <c r="K44">
        <v>99.29</v>
      </c>
      <c r="L44">
        <v>99.938000000000002</v>
      </c>
      <c r="M44">
        <v>104.29600000000001</v>
      </c>
      <c r="N44">
        <v>107.562</v>
      </c>
      <c r="O44">
        <v>108.108</v>
      </c>
      <c r="P44">
        <v>98.808000000000007</v>
      </c>
      <c r="Q44">
        <v>104.483</v>
      </c>
      <c r="R44">
        <v>109.97499999999999</v>
      </c>
      <c r="S44">
        <v>114.07599999999999</v>
      </c>
      <c r="T44">
        <v>118.502</v>
      </c>
      <c r="U44">
        <v>123.202</v>
      </c>
      <c r="V44">
        <v>128.089</v>
      </c>
      <c r="W44">
        <v>2020</v>
      </c>
      <c r="BB44" s="6085"/>
      <c r="BC44" s="6085"/>
      <c r="BD44" s="6085"/>
      <c r="BE44" s="6085"/>
      <c r="BF44" s="6085"/>
      <c r="BG44" s="6085"/>
      <c r="BH44" s="6085"/>
      <c r="BI44" s="6085"/>
      <c r="BJ44" s="6085"/>
      <c r="BK44" s="6085"/>
      <c r="BL44" s="6085"/>
    </row>
    <row r="45" spans="1:64" ht="14.5" x14ac:dyDescent="0.35">
      <c r="A45" t="s">
        <v>196</v>
      </c>
      <c r="B45" t="s">
        <v>122</v>
      </c>
      <c r="C45" t="s">
        <v>123</v>
      </c>
      <c r="D45" t="s">
        <v>124</v>
      </c>
      <c r="E45" t="s">
        <v>197</v>
      </c>
      <c r="F45" s="1112">
        <v>1268.711</v>
      </c>
      <c r="G45" s="1112">
        <v>1441.6780000000001</v>
      </c>
      <c r="H45" s="1112">
        <v>1674.7</v>
      </c>
      <c r="I45" s="1112">
        <v>1860.4</v>
      </c>
      <c r="J45" s="1112">
        <v>2130</v>
      </c>
      <c r="K45" s="1112">
        <v>2443.9</v>
      </c>
      <c r="L45" s="1112">
        <v>2709.4</v>
      </c>
      <c r="M45" s="1112">
        <v>3470</v>
      </c>
      <c r="N45" s="1112">
        <v>4437.3999999999996</v>
      </c>
      <c r="O45" s="1112">
        <v>5322.1</v>
      </c>
      <c r="P45" s="1112">
        <v>5842.5</v>
      </c>
      <c r="Q45" s="1112">
        <v>6256.7489999999998</v>
      </c>
      <c r="R45" s="1112">
        <v>7017.26</v>
      </c>
      <c r="S45" s="1112">
        <v>7969.1859999999997</v>
      </c>
      <c r="T45" s="1112">
        <v>9049.6309999999994</v>
      </c>
      <c r="U45" s="1112">
        <v>10280.627</v>
      </c>
      <c r="V45" s="1112">
        <v>11669.375</v>
      </c>
      <c r="W45">
        <v>2020</v>
      </c>
      <c r="AG45" s="7676"/>
      <c r="AH45" s="7676"/>
      <c r="AI45" s="7676"/>
      <c r="AJ45" s="7676"/>
      <c r="AK45" s="7676"/>
      <c r="AT45" s="7676"/>
      <c r="AU45" s="7676"/>
      <c r="AV45" s="7676"/>
      <c r="AW45" s="7676"/>
      <c r="AX45" s="7676"/>
      <c r="BB45" s="6085"/>
      <c r="BC45" s="6085"/>
      <c r="BD45" s="6085"/>
      <c r="BE45" s="6085"/>
      <c r="BF45" s="6085"/>
      <c r="BG45" s="6085"/>
      <c r="BH45" s="6085"/>
      <c r="BI45" s="6085"/>
      <c r="BJ45" s="6085"/>
      <c r="BK45" s="6085"/>
      <c r="BL45" s="6085"/>
    </row>
    <row r="46" spans="1:64" ht="14.5" x14ac:dyDescent="0.35">
      <c r="A46" t="s">
        <v>198</v>
      </c>
      <c r="B46" t="s">
        <v>122</v>
      </c>
      <c r="C46" t="s">
        <v>123</v>
      </c>
      <c r="D46" t="s">
        <v>124</v>
      </c>
      <c r="E46" t="s">
        <v>199</v>
      </c>
      <c r="F46">
        <v>18.448</v>
      </c>
      <c r="G46">
        <v>20.283999999999999</v>
      </c>
      <c r="H46">
        <v>21.385999999999999</v>
      </c>
      <c r="I46">
        <v>21.991</v>
      </c>
      <c r="J46">
        <v>22.593</v>
      </c>
      <c r="K46">
        <v>23.437999999999999</v>
      </c>
      <c r="L46">
        <v>24.190999999999999</v>
      </c>
      <c r="M46">
        <v>24.978999999999999</v>
      </c>
      <c r="N46">
        <v>26.021000000000001</v>
      </c>
      <c r="O46">
        <v>26.896999999999998</v>
      </c>
      <c r="P46">
        <v>24.638999999999999</v>
      </c>
      <c r="Q46">
        <v>27.664999999999999</v>
      </c>
      <c r="R46">
        <v>29.315999999999999</v>
      </c>
      <c r="S46">
        <v>30.457999999999998</v>
      </c>
      <c r="T46">
        <v>31.544</v>
      </c>
      <c r="U46">
        <v>32.542000000000002</v>
      </c>
      <c r="V46">
        <v>33.487000000000002</v>
      </c>
      <c r="W46">
        <v>2020</v>
      </c>
      <c r="BB46" s="6085"/>
      <c r="BC46" s="6085"/>
      <c r="BD46" s="6085"/>
      <c r="BE46" s="6085"/>
      <c r="BF46" s="6085"/>
      <c r="BG46" s="6085"/>
      <c r="BH46" s="6085"/>
      <c r="BI46" s="6085"/>
      <c r="BJ46" s="6085"/>
      <c r="BK46" s="6085"/>
      <c r="BL46" s="6085"/>
    </row>
    <row r="47" spans="1:64" ht="14.5" x14ac:dyDescent="0.35">
      <c r="A47" t="s">
        <v>200</v>
      </c>
      <c r="B47" t="s">
        <v>122</v>
      </c>
      <c r="C47" t="s">
        <v>123</v>
      </c>
      <c r="D47" t="s">
        <v>124</v>
      </c>
      <c r="E47" t="s">
        <v>201</v>
      </c>
      <c r="F47" s="1112">
        <v>8072.2929999999997</v>
      </c>
      <c r="G47" s="1112">
        <v>10064.619000000001</v>
      </c>
      <c r="H47" s="1112">
        <v>11430.511</v>
      </c>
      <c r="I47" s="1112">
        <v>10840.521000000001</v>
      </c>
      <c r="J47" s="1112">
        <v>10746.852000000001</v>
      </c>
      <c r="K47" s="1112">
        <v>7795.42</v>
      </c>
      <c r="L47" s="1112">
        <v>6661.366</v>
      </c>
      <c r="M47" s="1112">
        <v>7084.5429999999997</v>
      </c>
      <c r="N47" s="1112">
        <v>7274.6890000000003</v>
      </c>
      <c r="O47" s="1112">
        <v>6689.509</v>
      </c>
      <c r="P47" s="1112">
        <v>5768.44</v>
      </c>
      <c r="Q47" s="1112">
        <v>6744.3469999999998</v>
      </c>
      <c r="R47" s="1112">
        <v>6415.3850000000002</v>
      </c>
      <c r="S47" s="1112">
        <v>6456.1270000000004</v>
      </c>
      <c r="T47" s="1112">
        <v>6605.9409999999998</v>
      </c>
      <c r="U47" s="1112">
        <v>6691.2209999999995</v>
      </c>
      <c r="V47" s="1112">
        <v>6854.4080000000004</v>
      </c>
      <c r="W47">
        <v>2020</v>
      </c>
      <c r="AT47" s="7676"/>
      <c r="AU47" s="7676"/>
      <c r="AV47" s="7676"/>
      <c r="AW47" s="7676"/>
      <c r="AX47" s="7676"/>
      <c r="BB47" s="6085"/>
      <c r="BC47" s="6085"/>
      <c r="BD47" s="6085"/>
      <c r="BE47" s="6085"/>
      <c r="BF47" s="6085"/>
      <c r="BG47" s="6085"/>
      <c r="BH47" s="6085"/>
      <c r="BI47" s="6085"/>
      <c r="BJ47" s="6085"/>
      <c r="BK47" s="6085"/>
      <c r="BL47" s="6085"/>
    </row>
    <row r="48" spans="1:64" ht="14.5" x14ac:dyDescent="0.35">
      <c r="A48" t="s">
        <v>202</v>
      </c>
      <c r="B48" t="s">
        <v>122</v>
      </c>
      <c r="C48" t="s">
        <v>123</v>
      </c>
      <c r="D48" t="s">
        <v>124</v>
      </c>
      <c r="E48" t="s">
        <v>203</v>
      </c>
      <c r="F48">
        <v>24.439</v>
      </c>
      <c r="G48">
        <v>31.748999999999999</v>
      </c>
      <c r="H48">
        <v>34.668999999999997</v>
      </c>
      <c r="I48">
        <v>30.103999999999999</v>
      </c>
      <c r="J48">
        <v>40.04</v>
      </c>
      <c r="K48">
        <v>30.952999999999999</v>
      </c>
      <c r="L48">
        <v>33.366</v>
      </c>
      <c r="M48">
        <v>28.702000000000002</v>
      </c>
      <c r="N48">
        <v>30.234999999999999</v>
      </c>
      <c r="O48">
        <v>29.876000000000001</v>
      </c>
      <c r="P48">
        <v>31.414999999999999</v>
      </c>
      <c r="Q48">
        <v>33.981000000000002</v>
      </c>
      <c r="R48">
        <v>37.442</v>
      </c>
      <c r="S48">
        <v>39.966999999999999</v>
      </c>
      <c r="T48">
        <v>42.386000000000003</v>
      </c>
      <c r="U48">
        <v>44.930999999999997</v>
      </c>
      <c r="V48">
        <v>47.654000000000003</v>
      </c>
      <c r="W48">
        <v>2018</v>
      </c>
      <c r="BB48" s="6085"/>
      <c r="BC48" s="6085"/>
      <c r="BD48" s="6085"/>
      <c r="BE48" s="6085"/>
      <c r="BF48" s="6085"/>
      <c r="BG48" s="6085"/>
      <c r="BH48" s="6085"/>
      <c r="BI48" s="6085"/>
      <c r="BJ48" s="6085"/>
      <c r="BK48" s="6085"/>
      <c r="BL48" s="6085"/>
    </row>
    <row r="49" spans="1:64" ht="14.5" x14ac:dyDescent="0.35">
      <c r="A49" t="s">
        <v>204</v>
      </c>
      <c r="B49" t="s">
        <v>122</v>
      </c>
      <c r="C49" t="s">
        <v>123</v>
      </c>
      <c r="D49" t="s">
        <v>124</v>
      </c>
      <c r="E49" t="s">
        <v>205</v>
      </c>
      <c r="F49">
        <v>32.497</v>
      </c>
      <c r="G49">
        <v>35.002000000000002</v>
      </c>
      <c r="H49">
        <v>40.119</v>
      </c>
      <c r="I49">
        <v>44.390999999999998</v>
      </c>
      <c r="J49">
        <v>47.994</v>
      </c>
      <c r="K49">
        <v>51.783999999999999</v>
      </c>
      <c r="L49">
        <v>56.131999999999998</v>
      </c>
      <c r="M49">
        <v>58.689</v>
      </c>
      <c r="N49">
        <v>61.771000000000001</v>
      </c>
      <c r="O49">
        <v>64.614999999999995</v>
      </c>
      <c r="P49">
        <v>65.540999999999997</v>
      </c>
      <c r="Q49">
        <v>68.650999999999996</v>
      </c>
      <c r="R49">
        <v>73.16</v>
      </c>
      <c r="S49">
        <v>77.48</v>
      </c>
      <c r="T49">
        <v>82.727000000000004</v>
      </c>
      <c r="U49">
        <v>88.427000000000007</v>
      </c>
      <c r="V49">
        <v>94.468000000000004</v>
      </c>
      <c r="W49">
        <v>2019</v>
      </c>
      <c r="BB49" s="6085"/>
      <c r="BC49" s="6085"/>
      <c r="BD49" s="6085"/>
      <c r="BE49" s="6085"/>
      <c r="BF49" s="6085"/>
      <c r="BG49" s="6085"/>
      <c r="BH49" s="6085"/>
      <c r="BI49" s="6085"/>
      <c r="BJ49" s="6085"/>
      <c r="BK49" s="6085"/>
      <c r="BL49" s="6085"/>
    </row>
    <row r="50" spans="1:64" ht="14.5" x14ac:dyDescent="0.35">
      <c r="A50" t="s">
        <v>110</v>
      </c>
      <c r="B50" t="s">
        <v>122</v>
      </c>
      <c r="C50" t="s">
        <v>123</v>
      </c>
      <c r="D50" t="s">
        <v>124</v>
      </c>
      <c r="E50" t="s">
        <v>206</v>
      </c>
      <c r="F50">
        <v>385.94299999999998</v>
      </c>
      <c r="G50">
        <v>515.07899999999995</v>
      </c>
      <c r="H50">
        <v>747.32600000000002</v>
      </c>
      <c r="I50">
        <v>866.92100000000005</v>
      </c>
      <c r="J50" s="1112">
        <v>1060.825</v>
      </c>
      <c r="K50" s="1112">
        <v>1297.961</v>
      </c>
      <c r="L50" s="1112">
        <v>1568.097</v>
      </c>
      <c r="M50" s="1112">
        <v>1832.7860000000001</v>
      </c>
      <c r="N50" s="1112">
        <v>2200.1210000000001</v>
      </c>
      <c r="O50" s="1112">
        <v>2690.7510000000002</v>
      </c>
      <c r="P50" s="1112">
        <v>3374.3490000000002</v>
      </c>
      <c r="Q50" s="1112">
        <v>4078.402</v>
      </c>
      <c r="R50" t="s">
        <v>126</v>
      </c>
      <c r="S50" t="s">
        <v>126</v>
      </c>
      <c r="T50" t="s">
        <v>126</v>
      </c>
      <c r="U50" t="s">
        <v>126</v>
      </c>
      <c r="V50" t="s">
        <v>126</v>
      </c>
      <c r="W50">
        <v>2020</v>
      </c>
      <c r="AT50" s="7676"/>
      <c r="AU50" s="7676"/>
      <c r="AV50" s="7676"/>
      <c r="AW50" s="7676"/>
      <c r="AX50" s="7676"/>
      <c r="BB50" s="6085"/>
      <c r="BC50" s="6085"/>
      <c r="BD50" s="6085"/>
      <c r="BE50" s="6085"/>
      <c r="BF50" s="6085"/>
      <c r="BG50" s="6085"/>
      <c r="BH50" s="6085"/>
      <c r="BI50" s="6085"/>
      <c r="BJ50" s="6085"/>
      <c r="BK50" s="6085"/>
      <c r="BL50" s="6085"/>
    </row>
    <row r="51" spans="1:64" ht="14.5" x14ac:dyDescent="0.35">
      <c r="A51" t="s">
        <v>207</v>
      </c>
      <c r="B51" t="s">
        <v>122</v>
      </c>
      <c r="C51" t="s">
        <v>123</v>
      </c>
      <c r="D51" t="s">
        <v>124</v>
      </c>
      <c r="E51" t="s">
        <v>208</v>
      </c>
      <c r="F51">
        <v>6.5259999999999998</v>
      </c>
      <c r="G51">
        <v>7.3319999999999999</v>
      </c>
      <c r="H51">
        <v>7.7009999999999996</v>
      </c>
      <c r="I51">
        <v>8.3580000000000005</v>
      </c>
      <c r="J51">
        <v>9.1669999999999998</v>
      </c>
      <c r="K51">
        <v>9.8219999999999992</v>
      </c>
      <c r="L51">
        <v>10.327</v>
      </c>
      <c r="M51">
        <v>11.065</v>
      </c>
      <c r="N51">
        <v>11.651</v>
      </c>
      <c r="O51">
        <v>11.874000000000001</v>
      </c>
      <c r="P51">
        <v>9.7469999999999999</v>
      </c>
      <c r="Q51">
        <v>9.4600000000000009</v>
      </c>
      <c r="R51">
        <v>10.217000000000001</v>
      </c>
      <c r="S51">
        <v>11.292999999999999</v>
      </c>
      <c r="T51">
        <v>12.282999999999999</v>
      </c>
      <c r="U51">
        <v>13.117000000000001</v>
      </c>
      <c r="V51">
        <v>13.856</v>
      </c>
      <c r="W51">
        <v>2020</v>
      </c>
      <c r="BB51" s="6085"/>
      <c r="BC51" s="6085"/>
      <c r="BD51" s="6085"/>
      <c r="BE51" s="6085"/>
      <c r="BF51" s="6085"/>
      <c r="BG51" s="6085"/>
      <c r="BH51" s="6085"/>
      <c r="BI51" s="6085"/>
      <c r="BJ51" s="6085"/>
      <c r="BK51" s="6085"/>
      <c r="BL51" s="6085"/>
    </row>
    <row r="52" spans="1:64" ht="14.5" x14ac:dyDescent="0.35">
      <c r="A52" t="s">
        <v>209</v>
      </c>
      <c r="B52" t="s">
        <v>122</v>
      </c>
      <c r="C52" t="s">
        <v>123</v>
      </c>
      <c r="D52" t="s">
        <v>124</v>
      </c>
      <c r="E52" t="s">
        <v>210</v>
      </c>
      <c r="F52" s="1112">
        <v>7111.4769999999999</v>
      </c>
      <c r="G52" s="1112">
        <v>8581.5830000000005</v>
      </c>
      <c r="H52" s="1112">
        <v>8766.4889999999996</v>
      </c>
      <c r="I52" s="1112">
        <v>8690.5169999999998</v>
      </c>
      <c r="J52" s="1112">
        <v>8988.3250000000007</v>
      </c>
      <c r="K52" s="1112">
        <v>8503.4449999999997</v>
      </c>
      <c r="L52" s="1112">
        <v>8310.6180000000004</v>
      </c>
      <c r="M52" s="1112">
        <v>8669.0679999999993</v>
      </c>
      <c r="N52" s="1112">
        <v>9368.9050000000007</v>
      </c>
      <c r="O52" s="1112">
        <v>9886.9259999999995</v>
      </c>
      <c r="P52" s="1112">
        <v>8816.1370000000006</v>
      </c>
      <c r="Q52" s="1112">
        <v>10046.671</v>
      </c>
      <c r="R52" s="1112">
        <v>10663.98</v>
      </c>
      <c r="S52" s="1112">
        <v>10864.529</v>
      </c>
      <c r="T52" s="1112">
        <v>11158.444</v>
      </c>
      <c r="U52" s="1112">
        <v>11596.303</v>
      </c>
      <c r="V52" s="1112">
        <v>12219.796</v>
      </c>
      <c r="W52">
        <v>2019</v>
      </c>
      <c r="AT52" s="7676"/>
      <c r="AU52" s="7676"/>
      <c r="AV52" s="7676"/>
      <c r="AW52" s="7676"/>
      <c r="AX52" s="7676"/>
      <c r="BB52" s="6085"/>
      <c r="BC52" s="6085"/>
      <c r="BD52" s="6085"/>
      <c r="BE52" s="6085"/>
      <c r="BF52" s="6085"/>
      <c r="BG52" s="6085"/>
      <c r="BH52" s="6085"/>
      <c r="BI52" s="6085"/>
      <c r="BJ52" s="6085"/>
      <c r="BK52" s="6085"/>
      <c r="BL52" s="6085"/>
    </row>
    <row r="53" spans="1:64" ht="14.5" x14ac:dyDescent="0.35">
      <c r="A53" t="s">
        <v>38</v>
      </c>
      <c r="B53" t="s">
        <v>122</v>
      </c>
      <c r="C53" t="s">
        <v>123</v>
      </c>
      <c r="D53" t="s">
        <v>124</v>
      </c>
      <c r="E53" t="s">
        <v>211</v>
      </c>
      <c r="F53">
        <v>43.231000000000002</v>
      </c>
      <c r="G53">
        <v>41.531999999999996</v>
      </c>
      <c r="H53">
        <v>45.389000000000003</v>
      </c>
      <c r="I53">
        <v>49.463999999999999</v>
      </c>
      <c r="J53">
        <v>51.308999999999997</v>
      </c>
      <c r="K53">
        <v>58.581000000000003</v>
      </c>
      <c r="L53">
        <v>64.39</v>
      </c>
      <c r="M53">
        <v>70.141999999999996</v>
      </c>
      <c r="N53">
        <v>80.445999999999998</v>
      </c>
      <c r="O53">
        <v>90.793999999999997</v>
      </c>
      <c r="P53">
        <v>96.046999999999997</v>
      </c>
      <c r="Q53">
        <v>105.627</v>
      </c>
      <c r="R53">
        <v>117.664</v>
      </c>
      <c r="S53">
        <v>131.875</v>
      </c>
      <c r="T53">
        <v>146.74</v>
      </c>
      <c r="U53">
        <v>162.98699999999999</v>
      </c>
      <c r="V53">
        <v>180.36699999999999</v>
      </c>
      <c r="W53">
        <v>2020</v>
      </c>
      <c r="BB53" s="6085"/>
      <c r="BC53" s="6085"/>
      <c r="BD53" s="6085"/>
      <c r="BE53" s="6085"/>
      <c r="BF53" s="6085"/>
      <c r="BG53" s="6085"/>
      <c r="BH53" s="6085"/>
      <c r="BI53" s="6085"/>
      <c r="BJ53" s="6085"/>
      <c r="BK53" s="6085"/>
      <c r="BL53" s="6085"/>
    </row>
    <row r="54" spans="1:64" ht="14.5" x14ac:dyDescent="0.35">
      <c r="A54" t="s">
        <v>212</v>
      </c>
      <c r="B54" t="s">
        <v>122</v>
      </c>
      <c r="C54" t="s">
        <v>123</v>
      </c>
      <c r="D54" t="s">
        <v>124</v>
      </c>
      <c r="E54" t="s">
        <v>213</v>
      </c>
      <c r="F54">
        <v>21.821999999999999</v>
      </c>
      <c r="G54">
        <v>25.478999999999999</v>
      </c>
      <c r="H54">
        <v>27.227</v>
      </c>
      <c r="I54">
        <v>28.593</v>
      </c>
      <c r="J54">
        <v>31.123999999999999</v>
      </c>
      <c r="K54">
        <v>33.935000000000002</v>
      </c>
      <c r="L54">
        <v>35.835999999999999</v>
      </c>
      <c r="M54">
        <v>40.762</v>
      </c>
      <c r="N54">
        <v>44.598999999999997</v>
      </c>
      <c r="O54">
        <v>49.253</v>
      </c>
      <c r="P54">
        <v>49.406999999999996</v>
      </c>
      <c r="Q54">
        <v>57.548999999999999</v>
      </c>
      <c r="R54">
        <v>64.52</v>
      </c>
      <c r="S54">
        <v>70.156000000000006</v>
      </c>
      <c r="T54">
        <v>76.031000000000006</v>
      </c>
      <c r="U54">
        <v>82.405000000000001</v>
      </c>
      <c r="V54">
        <v>89.281000000000006</v>
      </c>
      <c r="W54">
        <v>2020</v>
      </c>
      <c r="BB54" s="6085"/>
      <c r="BC54" s="6085"/>
      <c r="BD54" s="6085"/>
      <c r="BE54" s="6085"/>
      <c r="BF54" s="6085"/>
      <c r="BG54" s="6085"/>
      <c r="BH54" s="6085"/>
      <c r="BI54" s="6085"/>
      <c r="BJ54" s="6085"/>
      <c r="BK54" s="6085"/>
      <c r="BL54" s="6085"/>
    </row>
    <row r="55" spans="1:64" ht="14.5" x14ac:dyDescent="0.35">
      <c r="A55" t="s">
        <v>40</v>
      </c>
      <c r="B55" t="s">
        <v>122</v>
      </c>
      <c r="C55" t="s">
        <v>123</v>
      </c>
      <c r="D55" t="s">
        <v>124</v>
      </c>
      <c r="E55" t="s">
        <v>214</v>
      </c>
      <c r="F55">
        <v>62.000999999999998</v>
      </c>
      <c r="G55">
        <v>81.412000000000006</v>
      </c>
      <c r="H55">
        <v>102.098</v>
      </c>
      <c r="I55">
        <v>124.47799999999999</v>
      </c>
      <c r="J55">
        <v>158.684</v>
      </c>
      <c r="K55">
        <v>183.52600000000001</v>
      </c>
      <c r="L55">
        <v>219.595</v>
      </c>
      <c r="M55">
        <v>262.798</v>
      </c>
      <c r="N55">
        <v>308.58699999999999</v>
      </c>
      <c r="O55">
        <v>356.54399999999998</v>
      </c>
      <c r="P55">
        <v>383.48599999999999</v>
      </c>
      <c r="Q55">
        <v>446.66199999999998</v>
      </c>
      <c r="R55">
        <v>510.65199999999999</v>
      </c>
      <c r="S55">
        <v>573.14300000000003</v>
      </c>
      <c r="T55">
        <v>643.42899999999997</v>
      </c>
      <c r="U55">
        <v>722.16300000000001</v>
      </c>
      <c r="V55">
        <v>807.82600000000002</v>
      </c>
      <c r="W55">
        <v>2019</v>
      </c>
      <c r="BB55" s="6085"/>
      <c r="BC55" s="6085"/>
      <c r="BD55" s="6085"/>
      <c r="BE55" s="6085"/>
      <c r="BF55" s="6085"/>
      <c r="BG55" s="6085"/>
      <c r="BH55" s="6085"/>
      <c r="BI55" s="6085"/>
      <c r="BJ55" s="6085"/>
      <c r="BK55" s="6085"/>
      <c r="BL55" s="6085"/>
    </row>
    <row r="56" spans="1:64" ht="14.5" x14ac:dyDescent="0.35">
      <c r="A56" t="s">
        <v>215</v>
      </c>
      <c r="B56" t="s">
        <v>122</v>
      </c>
      <c r="C56" t="s">
        <v>123</v>
      </c>
      <c r="D56" t="s">
        <v>124</v>
      </c>
      <c r="E56" t="s">
        <v>216</v>
      </c>
      <c r="F56">
        <v>2.0819999999999999</v>
      </c>
      <c r="G56">
        <v>2.1019999999999999</v>
      </c>
      <c r="H56">
        <v>2.16</v>
      </c>
      <c r="I56">
        <v>2.2749999999999999</v>
      </c>
      <c r="J56">
        <v>2.4609999999999999</v>
      </c>
      <c r="K56">
        <v>2.6920000000000002</v>
      </c>
      <c r="L56">
        <v>2.8660000000000001</v>
      </c>
      <c r="M56">
        <v>3.0390000000000001</v>
      </c>
      <c r="N56">
        <v>3.15</v>
      </c>
      <c r="O56">
        <v>3.2080000000000002</v>
      </c>
      <c r="P56">
        <v>2.774</v>
      </c>
      <c r="Q56">
        <v>2.9249999999999998</v>
      </c>
      <c r="R56">
        <v>3.1320000000000001</v>
      </c>
      <c r="S56">
        <v>3.36</v>
      </c>
      <c r="T56">
        <v>3.5939999999999999</v>
      </c>
      <c r="U56">
        <v>3.7850000000000001</v>
      </c>
      <c r="V56">
        <v>3.976</v>
      </c>
      <c r="W56">
        <v>2019</v>
      </c>
      <c r="BB56" s="6085"/>
      <c r="BC56" s="6085"/>
      <c r="BD56" s="6085"/>
      <c r="BE56" s="6085"/>
      <c r="BF56" s="6085"/>
      <c r="BG56" s="6085"/>
      <c r="BH56" s="6085"/>
      <c r="BI56" s="6085"/>
      <c r="BJ56" s="6085"/>
      <c r="BK56" s="6085"/>
      <c r="BL56" s="6085"/>
    </row>
    <row r="57" spans="1:64" ht="14.5" x14ac:dyDescent="0.35">
      <c r="A57" t="s">
        <v>217</v>
      </c>
      <c r="B57" t="s">
        <v>122</v>
      </c>
      <c r="C57" t="s">
        <v>123</v>
      </c>
      <c r="D57" t="s">
        <v>124</v>
      </c>
      <c r="E57" t="s">
        <v>218</v>
      </c>
      <c r="F57">
        <v>334.43400000000003</v>
      </c>
      <c r="G57">
        <v>369.35</v>
      </c>
      <c r="H57">
        <v>390.92599999999999</v>
      </c>
      <c r="I57">
        <v>416.38299999999998</v>
      </c>
      <c r="J57">
        <v>447.32600000000002</v>
      </c>
      <c r="K57">
        <v>476.02300000000002</v>
      </c>
      <c r="L57">
        <v>502.00200000000001</v>
      </c>
      <c r="M57">
        <v>526.50699999999995</v>
      </c>
      <c r="N57">
        <v>550.47</v>
      </c>
      <c r="O57">
        <v>592.79999999999995</v>
      </c>
      <c r="P57">
        <v>599.23599999999999</v>
      </c>
      <c r="Q57">
        <v>650.89400000000001</v>
      </c>
      <c r="R57">
        <v>704.73</v>
      </c>
      <c r="S57">
        <v>755.45600000000002</v>
      </c>
      <c r="T57">
        <v>807.67399999999998</v>
      </c>
      <c r="U57">
        <v>864.54700000000003</v>
      </c>
      <c r="V57">
        <v>926.34199999999998</v>
      </c>
      <c r="W57">
        <v>2020</v>
      </c>
      <c r="BB57" s="6085"/>
      <c r="BC57" s="6085"/>
      <c r="BD57" s="6085"/>
      <c r="BE57" s="6085"/>
      <c r="BF57" s="6085"/>
      <c r="BG57" s="6085"/>
      <c r="BH57" s="6085"/>
      <c r="BI57" s="6085"/>
      <c r="BJ57" s="6085"/>
      <c r="BK57" s="6085"/>
      <c r="BL57" s="6085"/>
    </row>
    <row r="58" spans="1:64" ht="14.5" x14ac:dyDescent="0.35">
      <c r="A58" t="s">
        <v>42</v>
      </c>
      <c r="B58" t="s">
        <v>122</v>
      </c>
      <c r="C58" t="s">
        <v>123</v>
      </c>
      <c r="D58" t="s">
        <v>124</v>
      </c>
      <c r="E58" t="s">
        <v>219</v>
      </c>
      <c r="F58" s="1112">
        <v>39243.5</v>
      </c>
      <c r="G58" s="1112">
        <v>45176</v>
      </c>
      <c r="H58" s="1112">
        <v>51605.01</v>
      </c>
      <c r="I58" s="1112">
        <v>57864.627</v>
      </c>
      <c r="J58" s="1112">
        <v>61573.256999999998</v>
      </c>
      <c r="K58" s="1112">
        <v>65829.149000000005</v>
      </c>
      <c r="L58" s="1112">
        <v>77087.903000000006</v>
      </c>
      <c r="M58" s="1112">
        <v>93833.884000000005</v>
      </c>
      <c r="N58" s="1112">
        <v>106845.292</v>
      </c>
      <c r="O58" s="1112">
        <v>124109.147</v>
      </c>
      <c r="P58" s="1112">
        <v>147187.84599999999</v>
      </c>
      <c r="Q58" s="1112">
        <v>172279.587</v>
      </c>
      <c r="R58" s="1112">
        <v>200779.467</v>
      </c>
      <c r="S58" s="1112">
        <v>229921.96900000001</v>
      </c>
      <c r="T58" s="1112">
        <v>261491.84400000001</v>
      </c>
      <c r="U58" s="1112">
        <v>296434.72499999998</v>
      </c>
      <c r="V58" s="1112">
        <v>336826.04</v>
      </c>
      <c r="W58">
        <v>2018</v>
      </c>
      <c r="AT58" s="7676"/>
      <c r="AU58" s="7676"/>
      <c r="AV58" s="7676"/>
      <c r="AW58" s="7676"/>
      <c r="AX58" s="7676"/>
      <c r="BB58" s="6085"/>
      <c r="BC58" s="6085"/>
      <c r="BD58" s="6085"/>
      <c r="BE58" s="6085"/>
      <c r="BF58" s="6085"/>
      <c r="BG58" s="6085"/>
      <c r="BH58" s="6085"/>
      <c r="BI58" s="6085"/>
      <c r="BJ58" s="6085"/>
      <c r="BK58" s="6085"/>
      <c r="BL58" s="6085"/>
    </row>
    <row r="59" spans="1:64" ht="14.5" x14ac:dyDescent="0.35">
      <c r="A59" t="s">
        <v>220</v>
      </c>
      <c r="B59" t="s">
        <v>122</v>
      </c>
      <c r="C59" t="s">
        <v>123</v>
      </c>
      <c r="D59" t="s">
        <v>124</v>
      </c>
      <c r="E59" t="s">
        <v>221</v>
      </c>
      <c r="F59">
        <v>465.16199999999998</v>
      </c>
      <c r="G59">
        <v>545.27</v>
      </c>
      <c r="H59">
        <v>535.78399999999999</v>
      </c>
      <c r="I59">
        <v>548.072</v>
      </c>
      <c r="J59">
        <v>560.53800000000001</v>
      </c>
      <c r="K59">
        <v>681.303</v>
      </c>
      <c r="L59">
        <v>737.83799999999997</v>
      </c>
      <c r="M59">
        <v>853.553</v>
      </c>
      <c r="N59">
        <v>836.01300000000003</v>
      </c>
      <c r="O59">
        <v>843.47500000000002</v>
      </c>
      <c r="P59">
        <v>824.05399999999997</v>
      </c>
      <c r="Q59">
        <v>874.23900000000003</v>
      </c>
      <c r="R59">
        <v>934.66700000000003</v>
      </c>
      <c r="S59" s="1112">
        <v>1008.879</v>
      </c>
      <c r="T59" s="1112">
        <v>1088.9839999999999</v>
      </c>
      <c r="U59" s="1112">
        <v>1175.45</v>
      </c>
      <c r="V59" s="1112">
        <v>1268.78</v>
      </c>
      <c r="W59">
        <v>2017</v>
      </c>
      <c r="BB59" s="6085"/>
      <c r="BC59" s="6085"/>
      <c r="BD59" s="6085"/>
      <c r="BE59" s="6085"/>
      <c r="BF59" s="6085"/>
      <c r="BG59" s="6085"/>
      <c r="BH59" s="6085"/>
      <c r="BI59" s="6085"/>
      <c r="BJ59" s="6085"/>
      <c r="BK59" s="6085"/>
      <c r="BL59" s="6085"/>
    </row>
    <row r="60" spans="1:64" ht="14.5" x14ac:dyDescent="0.35">
      <c r="A60" t="s">
        <v>43</v>
      </c>
      <c r="B60" t="s">
        <v>122</v>
      </c>
      <c r="C60" t="s">
        <v>123</v>
      </c>
      <c r="D60" t="s">
        <v>124</v>
      </c>
      <c r="E60" t="s">
        <v>222</v>
      </c>
      <c r="F60">
        <v>588.404</v>
      </c>
      <c r="G60">
        <v>679.072</v>
      </c>
      <c r="H60">
        <v>830.32600000000002</v>
      </c>
      <c r="I60">
        <v>856.04200000000003</v>
      </c>
      <c r="J60">
        <v>852.15300000000002</v>
      </c>
      <c r="K60">
        <v>883.78700000000003</v>
      </c>
      <c r="L60">
        <v>925.67700000000002</v>
      </c>
      <c r="M60">
        <v>980.49800000000005</v>
      </c>
      <c r="N60">
        <v>994.47199999999998</v>
      </c>
      <c r="O60" s="1112">
        <v>1078.729</v>
      </c>
      <c r="P60" s="1112">
        <v>1140.7570000000001</v>
      </c>
      <c r="Q60" s="1112">
        <v>1532.421</v>
      </c>
      <c r="R60" s="1112">
        <v>2027.674</v>
      </c>
      <c r="S60" s="1112">
        <v>2491.8069999999998</v>
      </c>
      <c r="T60" s="1112">
        <v>2624.241</v>
      </c>
      <c r="U60" s="1112">
        <v>2792.8319999999999</v>
      </c>
      <c r="V60" s="1112">
        <v>2991.0390000000002</v>
      </c>
      <c r="W60">
        <v>2020</v>
      </c>
      <c r="AW60" s="7676"/>
      <c r="AX60" s="7676"/>
      <c r="BB60" s="6085"/>
      <c r="BC60" s="6085"/>
      <c r="BD60" s="6085"/>
      <c r="BE60" s="6085"/>
      <c r="BF60" s="6085"/>
      <c r="BG60" s="6085"/>
      <c r="BH60" s="6085"/>
      <c r="BI60" s="6085"/>
      <c r="BJ60" s="6085"/>
      <c r="BK60" s="6085"/>
      <c r="BL60" s="6085"/>
    </row>
    <row r="61" spans="1:64" ht="14.5" x14ac:dyDescent="0.35">
      <c r="A61" t="s">
        <v>44</v>
      </c>
      <c r="B61" t="s">
        <v>122</v>
      </c>
      <c r="C61" t="s">
        <v>123</v>
      </c>
      <c r="D61" t="s">
        <v>124</v>
      </c>
      <c r="E61" t="s">
        <v>223</v>
      </c>
      <c r="F61">
        <v>478.04399999999998</v>
      </c>
      <c r="G61">
        <v>524.12400000000002</v>
      </c>
      <c r="H61">
        <v>569.99199999999996</v>
      </c>
      <c r="I61">
        <v>642.67399999999998</v>
      </c>
      <c r="J61">
        <v>675.572</v>
      </c>
      <c r="K61">
        <v>720.255</v>
      </c>
      <c r="L61">
        <v>844.47900000000004</v>
      </c>
      <c r="M61">
        <v>986.91899999999998</v>
      </c>
      <c r="N61" s="1112">
        <v>1076.413</v>
      </c>
      <c r="O61" s="1112">
        <v>1244.0139999999999</v>
      </c>
      <c r="P61" s="1112">
        <v>1449.8879999999999</v>
      </c>
      <c r="Q61" s="1112">
        <v>1672.4870000000001</v>
      </c>
      <c r="R61" s="1112">
        <v>1957.549</v>
      </c>
      <c r="S61" s="1112">
        <v>2297.3229999999999</v>
      </c>
      <c r="T61" s="1112">
        <v>2617.2710000000002</v>
      </c>
      <c r="U61" s="1112">
        <v>2985.172</v>
      </c>
      <c r="V61" s="1112">
        <v>3378.154</v>
      </c>
      <c r="W61">
        <v>2020</v>
      </c>
      <c r="BB61" s="6085"/>
      <c r="BC61" s="6085"/>
      <c r="BD61" s="6085"/>
      <c r="BE61" s="6085"/>
      <c r="BF61" s="6085"/>
      <c r="BG61" s="6085"/>
      <c r="BH61" s="6085"/>
      <c r="BI61" s="6085"/>
      <c r="BJ61" s="6085"/>
      <c r="BK61" s="6085"/>
      <c r="BL61" s="6085"/>
    </row>
    <row r="62" spans="1:64" ht="14.5" x14ac:dyDescent="0.35">
      <c r="A62" t="s">
        <v>45</v>
      </c>
      <c r="B62" t="s">
        <v>122</v>
      </c>
      <c r="C62" t="s">
        <v>123</v>
      </c>
      <c r="D62" t="s">
        <v>124</v>
      </c>
      <c r="E62" t="s">
        <v>224</v>
      </c>
      <c r="F62">
        <v>299.286</v>
      </c>
      <c r="G62">
        <v>335.02800000000002</v>
      </c>
      <c r="H62">
        <v>361.34899999999999</v>
      </c>
      <c r="I62">
        <v>376.53899999999999</v>
      </c>
      <c r="J62">
        <v>414.63400000000001</v>
      </c>
      <c r="K62">
        <v>460.40499999999997</v>
      </c>
      <c r="L62">
        <v>495.92200000000003</v>
      </c>
      <c r="M62">
        <v>543.40300000000002</v>
      </c>
      <c r="N62">
        <v>575.28499999999997</v>
      </c>
      <c r="O62">
        <v>614.91800000000001</v>
      </c>
      <c r="P62">
        <v>585.73400000000004</v>
      </c>
      <c r="Q62">
        <v>642.49699999999996</v>
      </c>
      <c r="R62">
        <v>695.07899999999995</v>
      </c>
      <c r="S62">
        <v>748.47199999999998</v>
      </c>
      <c r="T62">
        <v>806.745</v>
      </c>
      <c r="U62">
        <v>870.39400000000001</v>
      </c>
      <c r="V62">
        <v>940.87599999999998</v>
      </c>
      <c r="W62">
        <v>2019</v>
      </c>
      <c r="BB62" s="6085"/>
      <c r="BC62" s="6085"/>
      <c r="BD62" s="6085"/>
      <c r="BE62" s="6085"/>
      <c r="BF62" s="6085"/>
      <c r="BG62" s="6085"/>
      <c r="BH62" s="6085"/>
      <c r="BI62" s="6085"/>
      <c r="BJ62" s="6085"/>
      <c r="BK62" s="6085"/>
      <c r="BL62" s="6085"/>
    </row>
    <row r="63" spans="1:64" ht="14.5" x14ac:dyDescent="0.35">
      <c r="A63" t="s">
        <v>225</v>
      </c>
      <c r="B63" t="s">
        <v>122</v>
      </c>
      <c r="C63" t="s">
        <v>123</v>
      </c>
      <c r="D63" t="s">
        <v>124</v>
      </c>
      <c r="E63" t="s">
        <v>226</v>
      </c>
      <c r="F63" s="1112">
        <v>27431.27</v>
      </c>
      <c r="G63" s="1112">
        <v>28501.501</v>
      </c>
      <c r="H63" s="1112">
        <v>28920.37</v>
      </c>
      <c r="I63" s="1112">
        <v>30290.92</v>
      </c>
      <c r="J63" s="1112">
        <v>32742.178</v>
      </c>
      <c r="K63" s="1112">
        <v>34937.313000000002</v>
      </c>
      <c r="L63" s="1112">
        <v>36167.453000000001</v>
      </c>
      <c r="M63" s="1112">
        <v>39233.43</v>
      </c>
      <c r="N63" s="1112">
        <v>43350.353000000003</v>
      </c>
      <c r="O63" s="1112">
        <v>47523.970999999998</v>
      </c>
      <c r="P63" s="1112">
        <v>47743.464999999997</v>
      </c>
      <c r="Q63" s="1112">
        <v>53478.218999999997</v>
      </c>
      <c r="R63" s="1112">
        <v>58453.832999999999</v>
      </c>
      <c r="S63" s="1112">
        <v>62980.731</v>
      </c>
      <c r="T63" s="1112">
        <v>67270.979000000007</v>
      </c>
      <c r="U63" s="1112">
        <v>71228.664999999994</v>
      </c>
      <c r="V63" s="1112">
        <v>75346.108999999997</v>
      </c>
      <c r="W63">
        <v>2020</v>
      </c>
      <c r="AT63" s="7676"/>
      <c r="AU63" s="7676"/>
      <c r="AV63" s="7676"/>
      <c r="AW63" s="7676"/>
      <c r="AX63" s="7676"/>
      <c r="BB63" s="6085"/>
      <c r="BC63" s="6085"/>
      <c r="BD63" s="6085"/>
      <c r="BE63" s="6085"/>
      <c r="BF63" s="6085"/>
      <c r="BG63" s="6085"/>
      <c r="BH63" s="6085"/>
      <c r="BI63" s="6085"/>
      <c r="BJ63" s="6085"/>
      <c r="BK63" s="6085"/>
      <c r="BL63" s="6085"/>
    </row>
    <row r="64" spans="1:64" ht="14.5" x14ac:dyDescent="0.35">
      <c r="A64" t="s">
        <v>227</v>
      </c>
      <c r="B64" t="s">
        <v>122</v>
      </c>
      <c r="C64" t="s">
        <v>123</v>
      </c>
      <c r="D64" t="s">
        <v>124</v>
      </c>
      <c r="E64" t="s">
        <v>228</v>
      </c>
      <c r="F64" s="1112">
        <v>77841.2</v>
      </c>
      <c r="G64" s="1112">
        <v>87363.3</v>
      </c>
      <c r="H64" s="1112">
        <v>99440.1</v>
      </c>
      <c r="I64" s="1112">
        <v>112335.2</v>
      </c>
      <c r="J64" s="1112">
        <v>124679.6</v>
      </c>
      <c r="K64" s="1112">
        <v>137718.70000000001</v>
      </c>
      <c r="L64" s="1112">
        <v>153916.70000000001</v>
      </c>
      <c r="M64" s="1112">
        <v>170900.4</v>
      </c>
      <c r="N64" s="1112">
        <v>188869.6</v>
      </c>
      <c r="O64" s="1112">
        <v>203510.1</v>
      </c>
      <c r="P64" s="1112">
        <v>197456.7</v>
      </c>
      <c r="Q64" s="1112">
        <v>224610.24400000001</v>
      </c>
      <c r="R64" s="1112">
        <v>256452.459</v>
      </c>
      <c r="S64" s="1112">
        <v>286110.23</v>
      </c>
      <c r="T64" s="1112">
        <v>318281.05599999998</v>
      </c>
      <c r="U64" s="1112">
        <v>353708.96500000003</v>
      </c>
      <c r="V64" s="1112">
        <v>392839.82699999999</v>
      </c>
      <c r="W64">
        <v>2021</v>
      </c>
      <c r="AA64" s="7676"/>
      <c r="AG64" s="7676"/>
      <c r="AH64" s="7676"/>
      <c r="AI64" s="7676"/>
      <c r="AJ64" s="7676"/>
      <c r="AK64" s="7676"/>
      <c r="AT64" s="7676"/>
      <c r="AU64" s="7676"/>
      <c r="AV64" s="7676"/>
      <c r="AW64" s="7676"/>
      <c r="AX64" s="7676"/>
      <c r="BB64" s="6085"/>
      <c r="BC64" s="6085"/>
      <c r="BD64" s="6085"/>
      <c r="BE64" s="6085"/>
      <c r="BF64" s="6085"/>
      <c r="BG64" s="6085"/>
      <c r="BH64" s="6085"/>
      <c r="BI64" s="6085"/>
      <c r="BJ64" s="6085"/>
      <c r="BK64" s="6085"/>
      <c r="BL64" s="6085"/>
    </row>
    <row r="65" spans="1:64" ht="14.5" x14ac:dyDescent="0.35">
      <c r="A65" t="s">
        <v>229</v>
      </c>
      <c r="B65" t="s">
        <v>122</v>
      </c>
      <c r="C65" t="s">
        <v>123</v>
      </c>
      <c r="D65" t="s">
        <v>124</v>
      </c>
      <c r="E65" t="s">
        <v>230</v>
      </c>
      <c r="F65" s="1112">
        <v>6864133.0999999996</v>
      </c>
      <c r="G65" s="1112">
        <v>7831726</v>
      </c>
      <c r="H65" s="1112">
        <v>8615704.5</v>
      </c>
      <c r="I65" s="1112">
        <v>9546134</v>
      </c>
      <c r="J65" s="1112">
        <v>10569705.300000001</v>
      </c>
      <c r="K65" s="1112">
        <v>11526332.800000001</v>
      </c>
      <c r="L65" s="1112">
        <v>12401728.5</v>
      </c>
      <c r="M65" s="1112">
        <v>13589825.699999999</v>
      </c>
      <c r="N65" s="1112">
        <v>14838756</v>
      </c>
      <c r="O65" s="1112">
        <v>15832535.4</v>
      </c>
      <c r="P65" s="1112">
        <v>15434151.800000001</v>
      </c>
      <c r="Q65" s="1112">
        <v>16455692.907</v>
      </c>
      <c r="R65" s="1112">
        <v>17958733.131999999</v>
      </c>
      <c r="S65" s="1112">
        <v>19710358.704</v>
      </c>
      <c r="T65" s="1112">
        <v>21423988.081999999</v>
      </c>
      <c r="U65" s="1112">
        <v>23227193.565000001</v>
      </c>
      <c r="V65" s="1112">
        <v>25163155.945</v>
      </c>
      <c r="W65">
        <v>2020</v>
      </c>
      <c r="AA65" s="7676"/>
      <c r="AG65" s="7676"/>
      <c r="AH65" s="7676"/>
      <c r="AI65" s="7676"/>
      <c r="AJ65" s="7676"/>
      <c r="AK65" s="7676"/>
      <c r="AT65" s="7676"/>
      <c r="AU65" s="7676"/>
      <c r="AV65" s="7676"/>
      <c r="AW65" s="7676"/>
      <c r="AX65" s="7676"/>
      <c r="BB65" s="6085"/>
      <c r="BC65" s="6085"/>
      <c r="BD65" s="6085"/>
      <c r="BE65" s="6085"/>
      <c r="BF65" s="6085"/>
      <c r="BG65" s="6085"/>
      <c r="BH65" s="6085"/>
      <c r="BI65" s="6085"/>
      <c r="BJ65" s="6085"/>
      <c r="BK65" s="6085"/>
      <c r="BL65" s="6085"/>
    </row>
    <row r="66" spans="1:64" ht="14.5" x14ac:dyDescent="0.35">
      <c r="A66" t="s">
        <v>231</v>
      </c>
      <c r="B66" t="s">
        <v>122</v>
      </c>
      <c r="C66" t="s">
        <v>123</v>
      </c>
      <c r="D66" t="s">
        <v>124</v>
      </c>
      <c r="E66" t="s">
        <v>232</v>
      </c>
      <c r="F66" s="1112">
        <v>5035812.3099999996</v>
      </c>
      <c r="G66" s="1112">
        <v>6396330.9189999998</v>
      </c>
      <c r="H66" s="1112">
        <v>7341942.7000000002</v>
      </c>
      <c r="I66" s="1112">
        <v>9933967.8540000003</v>
      </c>
      <c r="J66" s="1112">
        <v>11517487.624</v>
      </c>
      <c r="K66" s="1112">
        <v>11414166.953</v>
      </c>
      <c r="L66" s="1112">
        <v>13151261</v>
      </c>
      <c r="M66" s="1112">
        <v>15316529.6</v>
      </c>
      <c r="N66" s="1112">
        <v>19128841</v>
      </c>
      <c r="O66" s="1112">
        <v>24412571</v>
      </c>
      <c r="P66" s="1112">
        <v>35084725</v>
      </c>
      <c r="Q66" s="1112">
        <v>51048407.751999997</v>
      </c>
      <c r="R66" s="1112">
        <v>65913804.858000003</v>
      </c>
      <c r="S66" s="1112">
        <v>83632775.844999999</v>
      </c>
      <c r="T66" s="1112">
        <v>106229818.602</v>
      </c>
      <c r="U66" s="1112">
        <v>135041250.71000001</v>
      </c>
      <c r="V66" s="1112">
        <v>171803119.514</v>
      </c>
      <c r="W66">
        <v>2021</v>
      </c>
      <c r="AG66" s="7676"/>
      <c r="AH66" s="7676"/>
      <c r="AI66" s="7676"/>
      <c r="AJ66" s="7676"/>
      <c r="AK66" s="7676"/>
      <c r="AT66" s="7676"/>
      <c r="AU66" s="7676"/>
      <c r="AV66" s="7676"/>
      <c r="AW66" s="7676"/>
      <c r="AX66" s="7676"/>
      <c r="BB66" s="6085"/>
      <c r="BC66" s="6085"/>
      <c r="BD66" s="6085"/>
      <c r="BE66" s="6085"/>
      <c r="BF66" s="6085"/>
      <c r="BG66" s="6085"/>
      <c r="BH66" s="6085"/>
      <c r="BI66" s="6085"/>
      <c r="BJ66" s="6085"/>
      <c r="BK66" s="6085"/>
      <c r="BL66" s="6085"/>
    </row>
    <row r="67" spans="1:64" ht="14.5" x14ac:dyDescent="0.35">
      <c r="A67" t="s">
        <v>233</v>
      </c>
      <c r="B67" t="s">
        <v>122</v>
      </c>
      <c r="C67" t="s">
        <v>123</v>
      </c>
      <c r="D67" t="s">
        <v>124</v>
      </c>
      <c r="E67" t="s">
        <v>234</v>
      </c>
      <c r="F67" s="1112">
        <v>162064.56599999999</v>
      </c>
      <c r="G67" s="1112">
        <v>217327.10699999999</v>
      </c>
      <c r="H67" s="1112">
        <v>254225.49100000001</v>
      </c>
      <c r="I67" s="1112">
        <v>273587.52899999998</v>
      </c>
      <c r="J67" s="1112">
        <v>273603.02</v>
      </c>
      <c r="K67" s="1112">
        <v>207121.62700000001</v>
      </c>
      <c r="L67" s="1112">
        <v>197933.25700000001</v>
      </c>
      <c r="M67" s="1112">
        <v>227348.973</v>
      </c>
      <c r="N67" s="1112">
        <v>268160.75199999998</v>
      </c>
      <c r="O67" s="1112">
        <v>276532.74800000002</v>
      </c>
      <c r="P67" s="1112">
        <v>201828.06</v>
      </c>
      <c r="Q67" s="1112">
        <v>292134.33899999998</v>
      </c>
      <c r="R67" s="1112">
        <v>328599.45199999999</v>
      </c>
      <c r="S67" s="1112">
        <v>347990.489</v>
      </c>
      <c r="T67" s="1112">
        <v>364681.08</v>
      </c>
      <c r="U67" s="1112">
        <v>382901.60100000002</v>
      </c>
      <c r="V67" s="1112">
        <v>402882.891</v>
      </c>
      <c r="W67">
        <v>2020</v>
      </c>
      <c r="AT67" s="7676"/>
      <c r="AU67" s="7676"/>
      <c r="AV67" s="7676"/>
      <c r="AW67" s="7676"/>
      <c r="AX67" s="7676"/>
      <c r="BB67" s="6085"/>
      <c r="BC67" s="6085"/>
      <c r="BD67" s="6085"/>
      <c r="BE67" s="6085"/>
      <c r="BF67" s="6085"/>
      <c r="BG67" s="6085"/>
      <c r="BH67" s="6085"/>
      <c r="BI67" s="6085"/>
      <c r="BJ67" s="6085"/>
      <c r="BK67" s="6085"/>
      <c r="BL67" s="6085"/>
    </row>
    <row r="68" spans="1:64" ht="14.5" x14ac:dyDescent="0.35">
      <c r="A68" t="s">
        <v>235</v>
      </c>
      <c r="B68" t="s">
        <v>122</v>
      </c>
      <c r="C68" t="s">
        <v>123</v>
      </c>
      <c r="D68" t="s">
        <v>124</v>
      </c>
      <c r="E68" t="s">
        <v>236</v>
      </c>
      <c r="F68" s="1112">
        <v>1152.78</v>
      </c>
      <c r="G68" s="1112">
        <v>1240.703</v>
      </c>
      <c r="H68" s="1112">
        <v>1314.125</v>
      </c>
      <c r="I68" s="1112">
        <v>1432.096</v>
      </c>
      <c r="J68" s="1112">
        <v>1541.903</v>
      </c>
      <c r="K68" s="1112">
        <v>1659.6769999999999</v>
      </c>
      <c r="L68" s="1112">
        <v>1760.9749999999999</v>
      </c>
      <c r="M68" s="1112">
        <v>1895.0250000000001</v>
      </c>
      <c r="N68" s="1112">
        <v>2027.251</v>
      </c>
      <c r="O68" s="1112">
        <v>2110.433</v>
      </c>
      <c r="P68" s="1112">
        <v>1978.624</v>
      </c>
      <c r="Q68" s="1112">
        <v>2193.3159999999998</v>
      </c>
      <c r="R68" s="1112">
        <v>2398.6210000000001</v>
      </c>
      <c r="S68" s="1112">
        <v>2592.36</v>
      </c>
      <c r="T68" s="1112">
        <v>2781.58</v>
      </c>
      <c r="U68" s="1112">
        <v>2974.5349999999999</v>
      </c>
      <c r="V68" s="1112">
        <v>3175.0050000000001</v>
      </c>
      <c r="W68">
        <v>2020</v>
      </c>
      <c r="AT68" s="7676"/>
      <c r="AU68" s="7676"/>
      <c r="AV68" s="7676"/>
      <c r="AW68" s="7676"/>
      <c r="AX68" s="7676"/>
      <c r="BB68" s="6085"/>
      <c r="BC68" s="6085"/>
      <c r="BD68" s="6085"/>
      <c r="BE68" s="6085"/>
      <c r="BF68" s="6085"/>
      <c r="BG68" s="6085"/>
      <c r="BH68" s="6085"/>
      <c r="BI68" s="6085"/>
      <c r="BJ68" s="6085"/>
      <c r="BK68" s="6085"/>
      <c r="BL68" s="6085"/>
    </row>
    <row r="69" spans="1:64" ht="14.5" x14ac:dyDescent="0.35">
      <c r="A69" t="s">
        <v>237</v>
      </c>
      <c r="B69" t="s">
        <v>122</v>
      </c>
      <c r="C69" t="s">
        <v>123</v>
      </c>
      <c r="D69" t="s">
        <v>124</v>
      </c>
      <c r="E69" t="s">
        <v>238</v>
      </c>
      <c r="F69">
        <v>19.265000000000001</v>
      </c>
      <c r="G69">
        <v>20.962</v>
      </c>
      <c r="H69">
        <v>22.460999999999999</v>
      </c>
      <c r="I69">
        <v>24.463000000000001</v>
      </c>
      <c r="J69">
        <v>26.161999999999999</v>
      </c>
      <c r="K69">
        <v>27.396999999999998</v>
      </c>
      <c r="L69">
        <v>28.324000000000002</v>
      </c>
      <c r="M69">
        <v>29.4</v>
      </c>
      <c r="N69">
        <v>30.481999999999999</v>
      </c>
      <c r="O69">
        <v>31.597000000000001</v>
      </c>
      <c r="P69">
        <v>31.024999999999999</v>
      </c>
      <c r="Q69">
        <v>32.149000000000001</v>
      </c>
      <c r="R69">
        <v>33.677</v>
      </c>
      <c r="S69">
        <v>35.588999999999999</v>
      </c>
      <c r="T69">
        <v>37.683</v>
      </c>
      <c r="U69">
        <v>39.899000000000001</v>
      </c>
      <c r="V69">
        <v>42.246000000000002</v>
      </c>
      <c r="W69">
        <v>2019</v>
      </c>
      <c r="BB69" s="6085"/>
      <c r="BC69" s="6085"/>
      <c r="BD69" s="6085"/>
      <c r="BE69" s="6085"/>
      <c r="BF69" s="6085"/>
      <c r="BG69" s="6085"/>
      <c r="BH69" s="6085"/>
      <c r="BI69" s="6085"/>
      <c r="BJ69" s="6085"/>
      <c r="BK69" s="6085"/>
      <c r="BL69" s="6085"/>
    </row>
    <row r="70" spans="1:64" ht="14.5" x14ac:dyDescent="0.35">
      <c r="A70" t="s">
        <v>239</v>
      </c>
      <c r="B70" t="s">
        <v>122</v>
      </c>
      <c r="C70" t="s">
        <v>123</v>
      </c>
      <c r="D70" t="s">
        <v>124</v>
      </c>
      <c r="E70" t="s">
        <v>240</v>
      </c>
      <c r="F70" s="1112">
        <v>21815.52</v>
      </c>
      <c r="G70" s="1112">
        <v>28243.05</v>
      </c>
      <c r="H70" s="1112">
        <v>31015.19</v>
      </c>
      <c r="I70" s="1112">
        <v>35999.03</v>
      </c>
      <c r="J70" s="1112">
        <v>39675.83</v>
      </c>
      <c r="K70" s="1112">
        <v>40884.129999999997</v>
      </c>
      <c r="L70" s="1112">
        <v>46971.15</v>
      </c>
      <c r="M70" s="1112">
        <v>54378.86</v>
      </c>
      <c r="N70" s="1112">
        <v>61819.54</v>
      </c>
      <c r="O70" s="1112">
        <v>69532.63</v>
      </c>
      <c r="P70" s="1112">
        <v>70714.080000000002</v>
      </c>
      <c r="Q70" s="1112">
        <v>82545.933999999994</v>
      </c>
      <c r="R70" s="1112">
        <v>89808.62</v>
      </c>
      <c r="S70" s="1112">
        <v>98343.256999999998</v>
      </c>
      <c r="T70" s="1112">
        <v>106049.664</v>
      </c>
      <c r="U70" s="1112">
        <v>113226.13400000001</v>
      </c>
      <c r="V70" s="1112">
        <v>121863.065</v>
      </c>
      <c r="W70">
        <v>2020</v>
      </c>
      <c r="AT70" s="7676"/>
      <c r="AU70" s="7676"/>
      <c r="AV70" s="7676"/>
      <c r="AW70" s="7676"/>
      <c r="AX70" s="7676"/>
      <c r="BB70" s="6085"/>
      <c r="BC70" s="6085"/>
      <c r="BD70" s="6085"/>
      <c r="BE70" s="6085"/>
      <c r="BF70" s="6085"/>
      <c r="BG70" s="6085"/>
      <c r="BH70" s="6085"/>
      <c r="BI70" s="6085"/>
      <c r="BJ70" s="6085"/>
      <c r="BK70" s="6085"/>
      <c r="BL70" s="6085"/>
    </row>
    <row r="71" spans="1:64" ht="14.5" x14ac:dyDescent="0.35">
      <c r="A71" t="s">
        <v>111</v>
      </c>
      <c r="B71" t="s">
        <v>122</v>
      </c>
      <c r="C71" t="s">
        <v>123</v>
      </c>
      <c r="D71" t="s">
        <v>124</v>
      </c>
      <c r="E71" t="s">
        <v>241</v>
      </c>
      <c r="F71" s="1112">
        <v>3597.63</v>
      </c>
      <c r="G71" s="1112">
        <v>4162.5140000000001</v>
      </c>
      <c r="H71" s="1112">
        <v>4767.1909999999998</v>
      </c>
      <c r="I71" s="1112">
        <v>5311.3220000000001</v>
      </c>
      <c r="J71" s="1112">
        <v>6003.835</v>
      </c>
      <c r="K71" s="1112">
        <v>6884.317</v>
      </c>
      <c r="L71" s="1112">
        <v>7594.0640000000003</v>
      </c>
      <c r="M71" s="1112">
        <v>8483.3960000000006</v>
      </c>
      <c r="N71" s="1112">
        <v>9340.3070000000007</v>
      </c>
      <c r="O71" s="1112">
        <v>10255.654</v>
      </c>
      <c r="P71" s="1112">
        <v>10752.992</v>
      </c>
      <c r="Q71" s="1112">
        <v>11975.611999999999</v>
      </c>
      <c r="R71" s="1112">
        <v>13328.42</v>
      </c>
      <c r="S71" s="1112">
        <v>14790.598</v>
      </c>
      <c r="T71" s="1112">
        <v>16387.605</v>
      </c>
      <c r="U71" s="1112">
        <v>18163.477999999999</v>
      </c>
      <c r="V71" s="1112">
        <v>20129.308000000001</v>
      </c>
      <c r="W71">
        <v>2020</v>
      </c>
      <c r="AT71" s="7676"/>
      <c r="AU71" s="7676"/>
      <c r="AV71" s="7676"/>
      <c r="AW71" s="7676"/>
      <c r="AX71" s="7676"/>
      <c r="BB71" s="6085"/>
      <c r="BC71" s="6085"/>
      <c r="BD71" s="6085"/>
      <c r="BE71" s="6085"/>
      <c r="BF71" s="6085"/>
      <c r="BG71" s="6085"/>
      <c r="BH71" s="6085"/>
      <c r="BI71" s="6085"/>
      <c r="BJ71" s="6085"/>
      <c r="BK71" s="6085"/>
      <c r="BL71" s="6085"/>
    </row>
    <row r="72" spans="1:64" ht="14.5" x14ac:dyDescent="0.35">
      <c r="A72" t="s">
        <v>242</v>
      </c>
      <c r="B72" t="s">
        <v>122</v>
      </c>
      <c r="C72" t="s">
        <v>123</v>
      </c>
      <c r="D72" t="s">
        <v>124</v>
      </c>
      <c r="E72" t="s">
        <v>243</v>
      </c>
      <c r="F72">
        <v>0.17</v>
      </c>
      <c r="G72">
        <v>0.17599999999999999</v>
      </c>
      <c r="H72">
        <v>0.184</v>
      </c>
      <c r="I72">
        <v>0.192</v>
      </c>
      <c r="J72">
        <v>0.19900000000000001</v>
      </c>
      <c r="K72">
        <v>0.22800000000000001</v>
      </c>
      <c r="L72">
        <v>0.24</v>
      </c>
      <c r="M72">
        <v>0.24399999999999999</v>
      </c>
      <c r="N72">
        <v>0.26800000000000002</v>
      </c>
      <c r="O72">
        <v>0.28399999999999997</v>
      </c>
      <c r="P72">
        <v>0.28699999999999998</v>
      </c>
      <c r="Q72">
        <v>0.30499999999999999</v>
      </c>
      <c r="R72">
        <v>0.32300000000000001</v>
      </c>
      <c r="S72">
        <v>0.33700000000000002</v>
      </c>
      <c r="T72">
        <v>0.35</v>
      </c>
      <c r="U72">
        <v>0.36199999999999999</v>
      </c>
      <c r="V72">
        <v>0.374</v>
      </c>
      <c r="W72">
        <v>2019</v>
      </c>
      <c r="BB72" s="6085"/>
      <c r="BC72" s="6085"/>
      <c r="BD72" s="6085"/>
      <c r="BE72" s="6085"/>
      <c r="BF72" s="6085"/>
      <c r="BG72" s="6085"/>
      <c r="BH72" s="6085"/>
      <c r="BI72" s="6085"/>
      <c r="BJ72" s="6085"/>
      <c r="BK72" s="6085"/>
      <c r="BL72" s="6085"/>
    </row>
    <row r="73" spans="1:64" ht="14.5" x14ac:dyDescent="0.35">
      <c r="A73" t="s">
        <v>244</v>
      </c>
      <c r="B73" t="s">
        <v>122</v>
      </c>
      <c r="C73" t="s">
        <v>123</v>
      </c>
      <c r="D73" t="s">
        <v>124</v>
      </c>
      <c r="E73" t="s">
        <v>245</v>
      </c>
      <c r="F73">
        <v>4.4020000000000001</v>
      </c>
      <c r="G73">
        <v>4.8140000000000001</v>
      </c>
      <c r="H73">
        <v>5.0590000000000002</v>
      </c>
      <c r="I73">
        <v>5.327</v>
      </c>
      <c r="J73">
        <v>5.5679999999999996</v>
      </c>
      <c r="K73">
        <v>5.8079999999999998</v>
      </c>
      <c r="L73">
        <v>6.07</v>
      </c>
      <c r="M73">
        <v>6.4139999999999997</v>
      </c>
      <c r="N73">
        <v>6.726</v>
      </c>
      <c r="O73">
        <v>7.1040000000000001</v>
      </c>
      <c r="P73">
        <v>6.8170000000000002</v>
      </c>
      <c r="Q73">
        <v>7.4749999999999996</v>
      </c>
      <c r="R73">
        <v>8.01</v>
      </c>
      <c r="S73">
        <v>8.5259999999999998</v>
      </c>
      <c r="T73">
        <v>9.0419999999999998</v>
      </c>
      <c r="U73">
        <v>9.5630000000000006</v>
      </c>
      <c r="V73">
        <v>10.097</v>
      </c>
      <c r="W73">
        <v>2020</v>
      </c>
      <c r="BB73" s="6085"/>
      <c r="BC73" s="6085"/>
      <c r="BD73" s="6085"/>
      <c r="BE73" s="6085"/>
      <c r="BF73" s="6085"/>
      <c r="BG73" s="6085"/>
      <c r="BH73" s="6085"/>
      <c r="BI73" s="6085"/>
      <c r="BJ73" s="6085"/>
      <c r="BK73" s="6085"/>
      <c r="BL73" s="6085"/>
    </row>
    <row r="74" spans="1:64" ht="14.5" x14ac:dyDescent="0.35">
      <c r="A74" t="s">
        <v>246</v>
      </c>
      <c r="B74" t="s">
        <v>122</v>
      </c>
      <c r="C74" t="s">
        <v>123</v>
      </c>
      <c r="D74" t="s">
        <v>124</v>
      </c>
      <c r="E74" t="s">
        <v>247</v>
      </c>
      <c r="F74">
        <v>33.079000000000001</v>
      </c>
      <c r="G74">
        <v>42.512</v>
      </c>
      <c r="H74">
        <v>48.722000000000001</v>
      </c>
      <c r="I74">
        <v>49.392000000000003</v>
      </c>
      <c r="J74">
        <v>46.284999999999997</v>
      </c>
      <c r="K74">
        <v>34.472999999999999</v>
      </c>
      <c r="L74">
        <v>33.055999999999997</v>
      </c>
      <c r="M74">
        <v>36.610999999999997</v>
      </c>
      <c r="N74">
        <v>41.731000000000002</v>
      </c>
      <c r="O74">
        <v>41.348999999999997</v>
      </c>
      <c r="P74">
        <v>32.445</v>
      </c>
      <c r="Q74">
        <v>40.155999999999999</v>
      </c>
      <c r="R74">
        <v>42.133000000000003</v>
      </c>
      <c r="S74">
        <v>42.796999999999997</v>
      </c>
      <c r="T74">
        <v>43.81</v>
      </c>
      <c r="U74">
        <v>45.188000000000002</v>
      </c>
      <c r="V74">
        <v>47.093000000000004</v>
      </c>
      <c r="W74">
        <v>2020</v>
      </c>
      <c r="BB74" s="6085"/>
      <c r="BC74" s="6085"/>
      <c r="BD74" s="6085"/>
      <c r="BE74" s="6085"/>
      <c r="BF74" s="6085"/>
      <c r="BG74" s="6085"/>
      <c r="BH74" s="6085"/>
      <c r="BI74" s="6085"/>
      <c r="BJ74" s="6085"/>
      <c r="BK74" s="6085"/>
      <c r="BL74" s="6085"/>
    </row>
    <row r="75" spans="1:64" ht="14.5" x14ac:dyDescent="0.35">
      <c r="A75" t="s">
        <v>248</v>
      </c>
      <c r="B75" t="s">
        <v>122</v>
      </c>
      <c r="C75" t="s">
        <v>123</v>
      </c>
      <c r="D75" t="s">
        <v>124</v>
      </c>
      <c r="E75" t="s">
        <v>249</v>
      </c>
      <c r="F75">
        <v>220.369</v>
      </c>
      <c r="G75">
        <v>285.98899999999998</v>
      </c>
      <c r="H75">
        <v>310.471</v>
      </c>
      <c r="I75">
        <v>355.29500000000002</v>
      </c>
      <c r="J75">
        <v>400.69400000000002</v>
      </c>
      <c r="K75">
        <v>430.48899999999998</v>
      </c>
      <c r="L75">
        <v>476.33100000000002</v>
      </c>
      <c r="M75">
        <v>530.476</v>
      </c>
      <c r="N75">
        <v>569.38599999999997</v>
      </c>
      <c r="O75">
        <v>619.10299999999995</v>
      </c>
      <c r="P75">
        <v>598.34500000000003</v>
      </c>
      <c r="Q75">
        <v>690.3</v>
      </c>
      <c r="R75">
        <v>786.31500000000005</v>
      </c>
      <c r="S75">
        <v>872.19399999999996</v>
      </c>
      <c r="T75">
        <v>952.80700000000002</v>
      </c>
      <c r="U75" s="1112">
        <v>1041.692</v>
      </c>
      <c r="V75" s="1112">
        <v>1134.4059999999999</v>
      </c>
      <c r="W75">
        <v>2020</v>
      </c>
      <c r="BB75" s="6085"/>
      <c r="BC75" s="6085"/>
      <c r="BD75" s="6085"/>
      <c r="BE75" s="6085"/>
      <c r="BF75" s="6085"/>
      <c r="BG75" s="6085"/>
      <c r="BH75" s="6085"/>
      <c r="BI75" s="6085"/>
      <c r="BJ75" s="6085"/>
      <c r="BK75" s="6085"/>
      <c r="BL75" s="6085"/>
    </row>
    <row r="76" spans="1:64" ht="14.5" x14ac:dyDescent="0.35">
      <c r="A76" t="s">
        <v>112</v>
      </c>
      <c r="B76" t="s">
        <v>122</v>
      </c>
      <c r="C76" t="s">
        <v>123</v>
      </c>
      <c r="D76" t="s">
        <v>124</v>
      </c>
      <c r="E76" t="s">
        <v>250</v>
      </c>
      <c r="F76" s="1112">
        <v>61996.764000000003</v>
      </c>
      <c r="G76" s="1112">
        <v>71961.759999999995</v>
      </c>
      <c r="H76" s="1112">
        <v>81609.86</v>
      </c>
      <c r="I76" s="1112">
        <v>93867.573999999993</v>
      </c>
      <c r="J76" s="1112">
        <v>106797.29399999999</v>
      </c>
      <c r="K76" s="1112">
        <v>117251.584</v>
      </c>
      <c r="L76" s="1112">
        <v>129279.11900000001</v>
      </c>
      <c r="M76" s="1112">
        <v>140697.75</v>
      </c>
      <c r="N76" s="1112">
        <v>152414</v>
      </c>
      <c r="O76" s="1112">
        <v>163086.36199999999</v>
      </c>
      <c r="P76" s="1112">
        <v>170472.62899999999</v>
      </c>
      <c r="Q76" s="1112">
        <v>182532.4</v>
      </c>
      <c r="R76" s="1112">
        <v>198886.91399999999</v>
      </c>
      <c r="S76" s="1112">
        <v>213989.42600000001</v>
      </c>
      <c r="T76" s="1112">
        <v>232683.95800000001</v>
      </c>
      <c r="U76" s="1112">
        <v>253762.18900000001</v>
      </c>
      <c r="V76" s="1112">
        <v>276223.23200000002</v>
      </c>
      <c r="W76">
        <v>2020</v>
      </c>
      <c r="AT76" s="7676"/>
      <c r="AU76" s="7676"/>
      <c r="AV76" s="7676"/>
      <c r="AW76" s="7676"/>
      <c r="AX76" s="7676"/>
      <c r="BB76" s="6085"/>
      <c r="BC76" s="6085"/>
      <c r="BD76" s="6085"/>
      <c r="BE76" s="6085"/>
      <c r="BF76" s="6085"/>
      <c r="BG76" s="6085"/>
      <c r="BH76" s="6085"/>
      <c r="BI76" s="6085"/>
      <c r="BJ76" s="6085"/>
      <c r="BK76" s="6085"/>
      <c r="BL76" s="6085"/>
    </row>
    <row r="77" spans="1:64" ht="14.5" x14ac:dyDescent="0.35">
      <c r="A77" t="s">
        <v>251</v>
      </c>
      <c r="B77" t="s">
        <v>122</v>
      </c>
      <c r="C77" t="s">
        <v>123</v>
      </c>
      <c r="D77" t="s">
        <v>124</v>
      </c>
      <c r="E77" t="s">
        <v>252</v>
      </c>
      <c r="F77" s="1112">
        <v>57954</v>
      </c>
      <c r="G77" s="1112">
        <v>60190</v>
      </c>
      <c r="H77" s="1112">
        <v>66384</v>
      </c>
      <c r="I77" s="1112">
        <v>70716</v>
      </c>
      <c r="J77" s="1112">
        <v>72561</v>
      </c>
      <c r="K77" s="1112">
        <v>75474</v>
      </c>
      <c r="L77" s="1112">
        <v>77469</v>
      </c>
      <c r="M77" s="1112">
        <v>80387</v>
      </c>
      <c r="N77" s="1112">
        <v>83329</v>
      </c>
      <c r="O77" s="1112">
        <v>80736</v>
      </c>
      <c r="P77" s="1112">
        <v>95795.592000000004</v>
      </c>
      <c r="Q77" t="s">
        <v>126</v>
      </c>
      <c r="R77" t="s">
        <v>126</v>
      </c>
      <c r="S77" t="s">
        <v>126</v>
      </c>
      <c r="T77" t="s">
        <v>126</v>
      </c>
      <c r="U77" t="s">
        <v>126</v>
      </c>
      <c r="V77" t="s">
        <v>126</v>
      </c>
      <c r="W77">
        <v>2019</v>
      </c>
      <c r="AT77" s="7676"/>
      <c r="AU77" s="7676"/>
      <c r="AV77" s="7676"/>
      <c r="AW77" s="7676"/>
      <c r="AX77" s="7676"/>
      <c r="BB77" s="6085"/>
      <c r="BC77" s="6085"/>
      <c r="BD77" s="6085"/>
      <c r="BE77" s="6085"/>
      <c r="BF77" s="6085"/>
      <c r="BG77" s="6085"/>
      <c r="BH77" s="6085"/>
      <c r="BI77" s="6085"/>
      <c r="BJ77" s="6085"/>
      <c r="BK77" s="6085"/>
      <c r="BL77" s="6085"/>
    </row>
    <row r="78" spans="1:64" ht="14.5" x14ac:dyDescent="0.35">
      <c r="A78" t="s">
        <v>47</v>
      </c>
      <c r="B78" t="s">
        <v>122</v>
      </c>
      <c r="C78" t="s">
        <v>123</v>
      </c>
      <c r="D78" t="s">
        <v>124</v>
      </c>
      <c r="E78" t="s">
        <v>253</v>
      </c>
      <c r="F78">
        <v>16.95</v>
      </c>
      <c r="G78">
        <v>19.131</v>
      </c>
      <c r="H78">
        <v>20.97</v>
      </c>
      <c r="I78">
        <v>23.754000000000001</v>
      </c>
      <c r="J78">
        <v>27.396000000000001</v>
      </c>
      <c r="K78">
        <v>30.419</v>
      </c>
      <c r="L78">
        <v>31.196999999999999</v>
      </c>
      <c r="M78">
        <v>30.626999999999999</v>
      </c>
      <c r="N78">
        <v>31.914000000000001</v>
      </c>
      <c r="O78">
        <v>32.938000000000002</v>
      </c>
      <c r="P78">
        <v>32.718000000000004</v>
      </c>
      <c r="Q78">
        <v>35.433</v>
      </c>
      <c r="R78">
        <v>37.771000000000001</v>
      </c>
      <c r="S78">
        <v>40.192</v>
      </c>
      <c r="T78">
        <v>42.832999999999998</v>
      </c>
      <c r="U78">
        <v>45.122</v>
      </c>
      <c r="V78">
        <v>48.267000000000003</v>
      </c>
      <c r="W78">
        <v>2019</v>
      </c>
      <c r="BB78" s="6085"/>
      <c r="BC78" s="6085"/>
      <c r="BD78" s="6085"/>
      <c r="BE78" s="6085"/>
      <c r="BF78" s="6085"/>
      <c r="BG78" s="6085"/>
      <c r="BH78" s="6085"/>
      <c r="BI78" s="6085"/>
      <c r="BJ78" s="6085"/>
      <c r="BK78" s="6085"/>
      <c r="BL78" s="6085"/>
    </row>
    <row r="79" spans="1:64" ht="14.5" x14ac:dyDescent="0.35">
      <c r="A79" t="s">
        <v>48</v>
      </c>
      <c r="B79" t="s">
        <v>122</v>
      </c>
      <c r="C79" t="s">
        <v>123</v>
      </c>
      <c r="D79" t="s">
        <v>124</v>
      </c>
      <c r="E79" t="s">
        <v>254</v>
      </c>
      <c r="F79">
        <v>1.966</v>
      </c>
      <c r="G79">
        <v>2.34</v>
      </c>
      <c r="H79">
        <v>2.6749999999999998</v>
      </c>
      <c r="I79">
        <v>3.044</v>
      </c>
      <c r="J79">
        <v>3.09</v>
      </c>
      <c r="K79">
        <v>3.0920000000000001</v>
      </c>
      <c r="L79">
        <v>3.2559999999999998</v>
      </c>
      <c r="M79">
        <v>3.3210000000000002</v>
      </c>
      <c r="N79">
        <v>3.2639999999999998</v>
      </c>
      <c r="O79">
        <v>3.08</v>
      </c>
      <c r="P79">
        <v>3.0369999999999999</v>
      </c>
      <c r="Q79">
        <v>3.3839999999999999</v>
      </c>
      <c r="R79">
        <v>3.6640000000000001</v>
      </c>
      <c r="S79">
        <v>3.794</v>
      </c>
      <c r="T79">
        <v>4.0860000000000003</v>
      </c>
      <c r="U79">
        <v>4.4029999999999996</v>
      </c>
      <c r="V79">
        <v>4.7430000000000003</v>
      </c>
      <c r="W79">
        <v>2016</v>
      </c>
      <c r="BB79" s="6085"/>
      <c r="BC79" s="6085"/>
      <c r="BD79" s="6085"/>
      <c r="BE79" s="6085"/>
      <c r="BF79" s="6085"/>
      <c r="BG79" s="6085"/>
      <c r="BH79" s="6085"/>
      <c r="BI79" s="6085"/>
      <c r="BJ79" s="6085"/>
      <c r="BK79" s="6085"/>
      <c r="BL79" s="6085"/>
    </row>
    <row r="80" spans="1:64" ht="14.5" x14ac:dyDescent="0.35">
      <c r="A80" t="s">
        <v>255</v>
      </c>
      <c r="B80" t="s">
        <v>122</v>
      </c>
      <c r="C80" t="s">
        <v>123</v>
      </c>
      <c r="D80" t="s">
        <v>124</v>
      </c>
      <c r="E80" t="s">
        <v>256</v>
      </c>
      <c r="F80">
        <v>87.375</v>
      </c>
      <c r="G80">
        <v>39.170999999999999</v>
      </c>
      <c r="H80">
        <v>100.627</v>
      </c>
      <c r="I80">
        <v>65.994</v>
      </c>
      <c r="J80">
        <v>30.870999999999999</v>
      </c>
      <c r="K80">
        <v>23.777999999999999</v>
      </c>
      <c r="L80">
        <v>25.786000000000001</v>
      </c>
      <c r="M80">
        <v>41.854999999999997</v>
      </c>
      <c r="N80">
        <v>57.401000000000003</v>
      </c>
      <c r="O80">
        <v>54.72</v>
      </c>
      <c r="P80">
        <v>26.614000000000001</v>
      </c>
      <c r="Q80">
        <v>121.175</v>
      </c>
      <c r="R80">
        <v>129.614</v>
      </c>
      <c r="S80">
        <v>133.12799999999999</v>
      </c>
      <c r="T80">
        <v>132.577</v>
      </c>
      <c r="U80">
        <v>137.767</v>
      </c>
      <c r="V80">
        <v>143.71100000000001</v>
      </c>
      <c r="W80">
        <v>2014</v>
      </c>
      <c r="BB80" s="6085"/>
      <c r="BC80" s="6085"/>
      <c r="BD80" s="6085"/>
      <c r="BE80" s="6085"/>
      <c r="BF80" s="6085"/>
      <c r="BG80" s="6085"/>
      <c r="BH80" s="6085"/>
      <c r="BI80" s="6085"/>
      <c r="BJ80" s="6085"/>
      <c r="BK80" s="6085"/>
      <c r="BL80" s="6085"/>
    </row>
    <row r="81" spans="1:64" ht="14.5" x14ac:dyDescent="0.35">
      <c r="A81" t="s">
        <v>49</v>
      </c>
      <c r="B81" t="s">
        <v>122</v>
      </c>
      <c r="C81" t="s">
        <v>123</v>
      </c>
      <c r="D81" t="s">
        <v>124</v>
      </c>
      <c r="E81" t="s">
        <v>257</v>
      </c>
      <c r="F81" s="1112">
        <v>20863.366999999998</v>
      </c>
      <c r="G81" s="1112">
        <v>23393.794999999998</v>
      </c>
      <c r="H81" s="1112">
        <v>25415.471000000001</v>
      </c>
      <c r="I81" s="1112">
        <v>27417.725999999999</v>
      </c>
      <c r="J81" s="1112">
        <v>30240.588</v>
      </c>
      <c r="K81" s="1112">
        <v>33216.184000000001</v>
      </c>
      <c r="L81" s="1112">
        <v>37637.589999999997</v>
      </c>
      <c r="M81" s="1112">
        <v>41058.841</v>
      </c>
      <c r="N81" s="1112">
        <v>45886.302000000003</v>
      </c>
      <c r="O81" s="1112">
        <v>51035.216999999997</v>
      </c>
      <c r="P81" s="1112">
        <v>49919.476999999999</v>
      </c>
      <c r="Q81" s="1112">
        <v>54456.031999999999</v>
      </c>
      <c r="R81" s="1112">
        <v>60696.555</v>
      </c>
      <c r="S81" s="1112">
        <v>67767.114000000001</v>
      </c>
      <c r="T81" s="1112">
        <v>75484.649000000005</v>
      </c>
      <c r="U81" s="1112">
        <v>83884.417000000001</v>
      </c>
      <c r="V81" s="1112">
        <v>92984.65</v>
      </c>
      <c r="W81">
        <v>2018</v>
      </c>
      <c r="AT81" s="7676"/>
      <c r="AU81" s="7676"/>
      <c r="AV81" s="7676"/>
      <c r="AW81" s="7676"/>
      <c r="AX81" s="7676"/>
      <c r="BB81" s="6085"/>
      <c r="BC81" s="6085"/>
      <c r="BD81" s="6085"/>
      <c r="BE81" s="6085"/>
      <c r="BF81" s="6085"/>
      <c r="BG81" s="6085"/>
      <c r="BH81" s="6085"/>
      <c r="BI81" s="6085"/>
      <c r="BJ81" s="6085"/>
      <c r="BK81" s="6085"/>
      <c r="BL81" s="6085"/>
    </row>
    <row r="82" spans="1:64" ht="14.5" x14ac:dyDescent="0.35">
      <c r="A82" t="s">
        <v>50</v>
      </c>
      <c r="B82" t="s">
        <v>122</v>
      </c>
      <c r="C82" t="s">
        <v>123</v>
      </c>
      <c r="D82" t="s">
        <v>124</v>
      </c>
      <c r="E82" t="s">
        <v>258</v>
      </c>
      <c r="F82" s="1112">
        <v>1474.6489999999999</v>
      </c>
      <c r="G82" s="1112">
        <v>1763.8720000000001</v>
      </c>
      <c r="H82" s="1112">
        <v>2114.4389999999999</v>
      </c>
      <c r="I82" s="1112">
        <v>2831.6579999999999</v>
      </c>
      <c r="J82" s="1112">
        <v>3618.1239999999998</v>
      </c>
      <c r="K82" s="1112">
        <v>4503.5739999999996</v>
      </c>
      <c r="L82" s="1112">
        <v>5552.0659999999998</v>
      </c>
      <c r="M82" s="1112">
        <v>6531.2240000000002</v>
      </c>
      <c r="N82" s="1112">
        <v>7235.94</v>
      </c>
      <c r="O82" s="1112">
        <v>8219.8529999999992</v>
      </c>
      <c r="P82" s="1112">
        <v>8815.34</v>
      </c>
      <c r="Q82" s="1112">
        <v>9773.6790000000001</v>
      </c>
      <c r="R82" s="1112">
        <v>10884.746999999999</v>
      </c>
      <c r="S82" s="1112">
        <v>12097.395</v>
      </c>
      <c r="T82" s="1112">
        <v>13354.38</v>
      </c>
      <c r="U82" s="1112">
        <v>14781.325999999999</v>
      </c>
      <c r="V82" s="1112">
        <v>16358.093000000001</v>
      </c>
      <c r="W82">
        <v>2019</v>
      </c>
      <c r="AT82" s="7676"/>
      <c r="AU82" s="7676"/>
      <c r="AV82" s="7676"/>
      <c r="AW82" s="7676"/>
      <c r="AX82" s="7676"/>
      <c r="BB82" s="6085"/>
      <c r="BC82" s="6085"/>
      <c r="BD82" s="6085"/>
      <c r="BE82" s="6085"/>
      <c r="BF82" s="6085"/>
      <c r="BG82" s="6085"/>
      <c r="BH82" s="6085"/>
      <c r="BI82" s="6085"/>
      <c r="BJ82" s="6085"/>
      <c r="BK82" s="6085"/>
      <c r="BL82" s="6085"/>
    </row>
    <row r="83" spans="1:64" ht="14.5" x14ac:dyDescent="0.35">
      <c r="A83" t="s">
        <v>259</v>
      </c>
      <c r="B83" t="s">
        <v>122</v>
      </c>
      <c r="C83" t="s">
        <v>123</v>
      </c>
      <c r="D83" t="s">
        <v>124</v>
      </c>
      <c r="E83" t="s">
        <v>260</v>
      </c>
      <c r="F83">
        <v>833.10400000000004</v>
      </c>
      <c r="G83">
        <v>924.68499999999995</v>
      </c>
      <c r="H83">
        <v>985.04899999999998</v>
      </c>
      <c r="I83" s="1112">
        <v>1033.085</v>
      </c>
      <c r="J83" s="1112">
        <v>1122.1600000000001</v>
      </c>
      <c r="K83" s="1112">
        <v>1176.941</v>
      </c>
      <c r="L83" s="1112">
        <v>1249.6969999999999</v>
      </c>
      <c r="M83" s="1112">
        <v>1372.31</v>
      </c>
      <c r="N83" s="1112">
        <v>1447.76</v>
      </c>
      <c r="O83" s="1112">
        <v>1513.1579999999999</v>
      </c>
      <c r="P83" s="1112">
        <v>1416.605</v>
      </c>
      <c r="Q83" s="1112">
        <v>1508.2149999999999</v>
      </c>
      <c r="R83" s="1112">
        <v>1667.729</v>
      </c>
      <c r="S83" s="1112">
        <v>1815.2360000000001</v>
      </c>
      <c r="T83" s="1112">
        <v>1949.3330000000001</v>
      </c>
      <c r="U83" s="1112">
        <v>2091.9769999999999</v>
      </c>
      <c r="V83" s="1112">
        <v>2247.3939999999998</v>
      </c>
      <c r="W83">
        <v>2020</v>
      </c>
      <c r="AT83" s="7676"/>
      <c r="AU83" s="7676"/>
      <c r="AV83" s="7676"/>
      <c r="AW83" s="7676"/>
      <c r="AX83" s="7676"/>
      <c r="BB83" s="6085"/>
      <c r="BC83" s="6085"/>
      <c r="BD83" s="6085"/>
      <c r="BE83" s="6085"/>
      <c r="BF83" s="6085"/>
      <c r="BG83" s="6085"/>
      <c r="BH83" s="6085"/>
      <c r="BI83" s="6085"/>
      <c r="BJ83" s="6085"/>
      <c r="BK83" s="6085"/>
      <c r="BL83" s="6085"/>
    </row>
    <row r="84" spans="1:64" ht="14.5" x14ac:dyDescent="0.35">
      <c r="A84" t="s">
        <v>261</v>
      </c>
      <c r="B84" t="s">
        <v>122</v>
      </c>
      <c r="C84" t="s">
        <v>123</v>
      </c>
      <c r="D84" t="s">
        <v>124</v>
      </c>
      <c r="E84" t="s">
        <v>262</v>
      </c>
      <c r="F84">
        <v>33.128999999999998</v>
      </c>
      <c r="G84">
        <v>40.511000000000003</v>
      </c>
      <c r="H84">
        <v>44.344999999999999</v>
      </c>
      <c r="I84">
        <v>50.633000000000003</v>
      </c>
      <c r="J84">
        <v>56.866999999999997</v>
      </c>
      <c r="K84">
        <v>63.146999999999998</v>
      </c>
      <c r="L84">
        <v>67.3</v>
      </c>
      <c r="M84">
        <v>73.155000000000001</v>
      </c>
      <c r="N84">
        <v>81.567999999999998</v>
      </c>
      <c r="O84">
        <v>86.787999999999997</v>
      </c>
      <c r="P84">
        <v>57.603000000000002</v>
      </c>
      <c r="Q84">
        <v>70.477999999999994</v>
      </c>
      <c r="R84">
        <v>81.608000000000004</v>
      </c>
      <c r="S84">
        <v>93.218999999999994</v>
      </c>
      <c r="T84">
        <v>100.676</v>
      </c>
      <c r="U84">
        <v>108.28</v>
      </c>
      <c r="V84">
        <v>116.392</v>
      </c>
      <c r="W84">
        <v>2020</v>
      </c>
      <c r="BB84" s="6085"/>
      <c r="BC84" s="6085"/>
      <c r="BD84" s="6085"/>
      <c r="BE84" s="6085"/>
      <c r="BF84" s="6085"/>
      <c r="BG84" s="6085"/>
      <c r="BH84" s="6085"/>
      <c r="BI84" s="6085"/>
      <c r="BJ84" s="6085"/>
      <c r="BK84" s="6085"/>
      <c r="BL84" s="6085"/>
    </row>
    <row r="85" spans="1:64" ht="14.5" x14ac:dyDescent="0.35">
      <c r="A85" t="s">
        <v>51</v>
      </c>
      <c r="B85" t="s">
        <v>122</v>
      </c>
      <c r="C85" t="s">
        <v>123</v>
      </c>
      <c r="D85" t="s">
        <v>124</v>
      </c>
      <c r="E85" t="s">
        <v>263</v>
      </c>
      <c r="F85" s="1112">
        <v>5288.9390000000003</v>
      </c>
      <c r="G85" s="1112">
        <v>6123.9290000000001</v>
      </c>
      <c r="H85" s="1112">
        <v>6352.36</v>
      </c>
      <c r="I85" s="1112">
        <v>6540.56</v>
      </c>
      <c r="J85" s="1112">
        <v>7092.9979999999996</v>
      </c>
      <c r="K85" s="1112">
        <v>7747.73</v>
      </c>
      <c r="L85" s="1112">
        <v>8311.9259999999995</v>
      </c>
      <c r="M85" s="1112">
        <v>8922.0380000000005</v>
      </c>
      <c r="N85" s="1112">
        <v>9481.9590000000007</v>
      </c>
      <c r="O85" s="1112">
        <v>10124.715</v>
      </c>
      <c r="P85" s="1112">
        <v>10053.308999999999</v>
      </c>
      <c r="Q85" s="1112">
        <v>10744.477999999999</v>
      </c>
      <c r="R85" s="1112">
        <v>11549.125</v>
      </c>
      <c r="S85" s="1112">
        <v>12372.751</v>
      </c>
      <c r="T85" s="1112">
        <v>13251.216</v>
      </c>
      <c r="U85" s="1112">
        <v>14192.053</v>
      </c>
      <c r="V85" s="1112">
        <v>15199.688</v>
      </c>
      <c r="W85">
        <v>2018</v>
      </c>
      <c r="AT85" s="7676"/>
      <c r="AU85" s="7676"/>
      <c r="AV85" s="7676"/>
      <c r="AW85" s="7676"/>
      <c r="AX85" s="7676"/>
      <c r="BB85" s="6085"/>
      <c r="BC85" s="6085"/>
      <c r="BD85" s="6085"/>
      <c r="BE85" s="6085"/>
      <c r="BF85" s="6085"/>
      <c r="BG85" s="6085"/>
      <c r="BH85" s="6085"/>
      <c r="BI85" s="6085"/>
      <c r="BJ85" s="6085"/>
      <c r="BK85" s="6085"/>
      <c r="BL85" s="6085"/>
    </row>
    <row r="86" spans="1:64" ht="14.5" x14ac:dyDescent="0.35">
      <c r="A86" t="s">
        <v>264</v>
      </c>
      <c r="B86" t="s">
        <v>122</v>
      </c>
      <c r="C86" t="s">
        <v>123</v>
      </c>
      <c r="D86" t="s">
        <v>124</v>
      </c>
      <c r="E86" t="s">
        <v>265</v>
      </c>
      <c r="F86">
        <v>0.16</v>
      </c>
      <c r="G86">
        <v>0.17199999999999999</v>
      </c>
      <c r="H86">
        <v>0.18099999999999999</v>
      </c>
      <c r="I86">
        <v>0.185</v>
      </c>
      <c r="J86">
        <v>0.182</v>
      </c>
      <c r="K86">
        <v>0.184</v>
      </c>
      <c r="L86">
        <v>0.20100000000000001</v>
      </c>
      <c r="M86">
        <v>0.21199999999999999</v>
      </c>
      <c r="N86">
        <v>0.222</v>
      </c>
      <c r="O86">
        <v>0.23599999999999999</v>
      </c>
      <c r="P86">
        <v>0.24399999999999999</v>
      </c>
      <c r="Q86">
        <v>0.24099999999999999</v>
      </c>
      <c r="R86">
        <v>0.254</v>
      </c>
      <c r="S86">
        <v>0.26500000000000001</v>
      </c>
      <c r="T86">
        <v>0.27600000000000002</v>
      </c>
      <c r="U86">
        <v>0.28699999999999998</v>
      </c>
      <c r="V86">
        <v>0.29699999999999999</v>
      </c>
      <c r="W86">
        <v>2020</v>
      </c>
      <c r="BB86" s="6085"/>
      <c r="BC86" s="6085"/>
      <c r="BD86" s="6085"/>
      <c r="BE86" s="6085"/>
      <c r="BF86" s="6085"/>
      <c r="BG86" s="6085"/>
      <c r="BH86" s="6085"/>
      <c r="BI86" s="6085"/>
      <c r="BJ86" s="6085"/>
      <c r="BK86" s="6085"/>
      <c r="BL86" s="6085"/>
    </row>
    <row r="87" spans="1:64" ht="14.5" x14ac:dyDescent="0.35">
      <c r="A87" t="s">
        <v>52</v>
      </c>
      <c r="B87" t="s">
        <v>122</v>
      </c>
      <c r="C87" t="s">
        <v>123</v>
      </c>
      <c r="D87" t="s">
        <v>124</v>
      </c>
      <c r="E87" t="s">
        <v>266</v>
      </c>
      <c r="F87">
        <v>155.297</v>
      </c>
      <c r="G87">
        <v>190.166</v>
      </c>
      <c r="H87">
        <v>199.572</v>
      </c>
      <c r="I87">
        <v>217.185</v>
      </c>
      <c r="J87">
        <v>199.57300000000001</v>
      </c>
      <c r="K87">
        <v>200.221</v>
      </c>
      <c r="L87">
        <v>225.47300000000001</v>
      </c>
      <c r="M87">
        <v>243.40700000000001</v>
      </c>
      <c r="N87">
        <v>262.32</v>
      </c>
      <c r="O87">
        <v>289.47800000000001</v>
      </c>
      <c r="P87">
        <v>294.38900000000001</v>
      </c>
      <c r="Q87">
        <v>336.04</v>
      </c>
      <c r="R87">
        <v>345.14800000000002</v>
      </c>
      <c r="S87">
        <v>369.089</v>
      </c>
      <c r="T87">
        <v>392.58</v>
      </c>
      <c r="U87">
        <v>413.536</v>
      </c>
      <c r="V87">
        <v>442.755</v>
      </c>
      <c r="W87">
        <v>2018</v>
      </c>
      <c r="BB87" s="6085"/>
      <c r="BC87" s="6085"/>
      <c r="BD87" s="6085"/>
      <c r="BE87" s="6085"/>
      <c r="BF87" s="6085"/>
      <c r="BG87" s="6085"/>
      <c r="BH87" s="6085"/>
      <c r="BI87" s="6085"/>
      <c r="BJ87" s="6085"/>
      <c r="BK87" s="6085"/>
      <c r="BL87" s="6085"/>
    </row>
    <row r="88" spans="1:64" ht="14.5" x14ac:dyDescent="0.35">
      <c r="A88" t="s">
        <v>267</v>
      </c>
      <c r="B88" t="s">
        <v>122</v>
      </c>
      <c r="C88" t="s">
        <v>123</v>
      </c>
      <c r="D88" t="s">
        <v>124</v>
      </c>
      <c r="E88" t="s">
        <v>268</v>
      </c>
      <c r="F88">
        <v>307.95699999999999</v>
      </c>
      <c r="G88">
        <v>330.64699999999999</v>
      </c>
      <c r="H88">
        <v>350.64400000000001</v>
      </c>
      <c r="I88">
        <v>372.39699999999999</v>
      </c>
      <c r="J88">
        <v>392.06200000000001</v>
      </c>
      <c r="K88">
        <v>409.89299999999997</v>
      </c>
      <c r="L88">
        <v>434.76499999999999</v>
      </c>
      <c r="M88">
        <v>457.20100000000002</v>
      </c>
      <c r="N88">
        <v>481.25599999999997</v>
      </c>
      <c r="O88">
        <v>498.27300000000002</v>
      </c>
      <c r="P88">
        <v>429.69200000000001</v>
      </c>
      <c r="Q88">
        <v>456.59100000000001</v>
      </c>
      <c r="R88">
        <v>513.49</v>
      </c>
      <c r="S88">
        <v>545.24400000000003</v>
      </c>
      <c r="T88">
        <v>579.56500000000005</v>
      </c>
      <c r="U88">
        <v>614.85500000000002</v>
      </c>
      <c r="V88">
        <v>651.65899999999999</v>
      </c>
      <c r="W88">
        <v>2020</v>
      </c>
      <c r="BB88" s="6085"/>
      <c r="BC88" s="6085"/>
      <c r="BD88" s="6085"/>
      <c r="BE88" s="6085"/>
      <c r="BF88" s="6085"/>
      <c r="BG88" s="6085"/>
      <c r="BH88" s="6085"/>
      <c r="BI88" s="6085"/>
      <c r="BJ88" s="6085"/>
      <c r="BK88" s="6085"/>
      <c r="BL88" s="6085"/>
    </row>
    <row r="89" spans="1:64" ht="14.5" x14ac:dyDescent="0.35">
      <c r="A89" t="s">
        <v>269</v>
      </c>
      <c r="B89" t="s">
        <v>122</v>
      </c>
      <c r="C89" t="s">
        <v>123</v>
      </c>
      <c r="D89" t="s">
        <v>124</v>
      </c>
      <c r="E89" t="s">
        <v>270</v>
      </c>
      <c r="F89" s="1112">
        <v>13366.377</v>
      </c>
      <c r="G89" s="1112">
        <v>14665.575999999999</v>
      </c>
      <c r="H89" s="1112">
        <v>15817.754999999999</v>
      </c>
      <c r="I89" s="1112">
        <v>16277.187</v>
      </c>
      <c r="J89" s="1112">
        <v>17484.306</v>
      </c>
      <c r="K89" s="1112">
        <v>18572.109</v>
      </c>
      <c r="L89" s="1112">
        <v>20129.057000000001</v>
      </c>
      <c r="M89" s="1112">
        <v>21934.168000000001</v>
      </c>
      <c r="N89" s="1112">
        <v>23524.39</v>
      </c>
      <c r="O89" s="1112">
        <v>24453.867999999999</v>
      </c>
      <c r="P89" s="1112">
        <v>23073.726999999999</v>
      </c>
      <c r="Q89" s="1112">
        <v>25876.670999999998</v>
      </c>
      <c r="R89" s="1112">
        <v>27675.992999999999</v>
      </c>
      <c r="S89" s="1112">
        <v>29287.669000000002</v>
      </c>
      <c r="T89" s="1112">
        <v>30867.208999999999</v>
      </c>
      <c r="U89" s="1112">
        <v>32499.544999999998</v>
      </c>
      <c r="V89" s="1112">
        <v>34234.766000000003</v>
      </c>
      <c r="W89">
        <v>2020</v>
      </c>
      <c r="AA89" s="7676"/>
      <c r="AG89" s="7676"/>
      <c r="AH89" s="7676"/>
      <c r="AI89" s="7676"/>
      <c r="AJ89" s="7676"/>
      <c r="AK89" s="7676"/>
      <c r="AT89" s="7676"/>
      <c r="AU89" s="7676"/>
      <c r="AV89" s="7676"/>
      <c r="AW89" s="7676"/>
      <c r="AX89" s="7676"/>
      <c r="BB89" s="6085"/>
      <c r="BC89" s="6085"/>
      <c r="BD89" s="6085"/>
      <c r="BE89" s="6085"/>
      <c r="BF89" s="6085"/>
      <c r="BG89" s="6085"/>
      <c r="BH89" s="6085"/>
      <c r="BI89" s="6085"/>
      <c r="BJ89" s="6085"/>
      <c r="BK89" s="6085"/>
      <c r="BL89" s="6085"/>
    </row>
    <row r="90" spans="1:64" ht="14.5" x14ac:dyDescent="0.35">
      <c r="A90" t="s">
        <v>271</v>
      </c>
      <c r="B90" t="s">
        <v>122</v>
      </c>
      <c r="C90" t="s">
        <v>123</v>
      </c>
      <c r="D90" t="s">
        <v>124</v>
      </c>
      <c r="E90" t="s">
        <v>272</v>
      </c>
      <c r="F90">
        <v>0.29699999999999999</v>
      </c>
      <c r="G90">
        <v>0.311</v>
      </c>
      <c r="H90">
        <v>0.32700000000000001</v>
      </c>
      <c r="I90">
        <v>0.317</v>
      </c>
      <c r="J90">
        <v>0.31900000000000001</v>
      </c>
      <c r="K90">
        <v>0.316</v>
      </c>
      <c r="L90">
        <v>0.33200000000000002</v>
      </c>
      <c r="M90">
        <v>0.36699999999999999</v>
      </c>
      <c r="N90">
        <v>0.40200000000000002</v>
      </c>
      <c r="O90">
        <v>0.41299999999999998</v>
      </c>
      <c r="P90">
        <v>0.40699999999999997</v>
      </c>
      <c r="Q90">
        <v>0.40400000000000003</v>
      </c>
      <c r="R90">
        <v>0.41699999999999998</v>
      </c>
      <c r="S90">
        <v>0.442</v>
      </c>
      <c r="T90">
        <v>0.46200000000000002</v>
      </c>
      <c r="U90">
        <v>0.47799999999999998</v>
      </c>
      <c r="V90">
        <v>0.49199999999999999</v>
      </c>
      <c r="W90">
        <v>2018</v>
      </c>
      <c r="BB90" s="6085"/>
      <c r="BC90" s="6085"/>
      <c r="BD90" s="6085"/>
      <c r="BE90" s="6085"/>
      <c r="BF90" s="6085"/>
      <c r="BG90" s="6085"/>
      <c r="BH90" s="6085"/>
      <c r="BI90" s="6085"/>
      <c r="BJ90" s="6085"/>
      <c r="BK90" s="6085"/>
      <c r="BL90" s="6085"/>
    </row>
    <row r="91" spans="1:64" ht="14.5" x14ac:dyDescent="0.35">
      <c r="A91" t="s">
        <v>53</v>
      </c>
      <c r="B91" t="s">
        <v>122</v>
      </c>
      <c r="C91" t="s">
        <v>123</v>
      </c>
      <c r="D91" t="s">
        <v>124</v>
      </c>
      <c r="E91" t="s">
        <v>273</v>
      </c>
      <c r="F91">
        <v>86.275000000000006</v>
      </c>
      <c r="G91">
        <v>98.772999999999996</v>
      </c>
      <c r="H91">
        <v>105.48</v>
      </c>
      <c r="I91">
        <v>119.533</v>
      </c>
      <c r="J91">
        <v>133.482</v>
      </c>
      <c r="K91">
        <v>145.75399999999999</v>
      </c>
      <c r="L91">
        <v>160.815</v>
      </c>
      <c r="M91">
        <v>178.881</v>
      </c>
      <c r="N91">
        <v>192.50899999999999</v>
      </c>
      <c r="O91">
        <v>210.37799999999999</v>
      </c>
      <c r="P91">
        <v>206.352</v>
      </c>
      <c r="Q91">
        <v>223.185</v>
      </c>
      <c r="R91">
        <v>248.81200000000001</v>
      </c>
      <c r="S91">
        <v>276.93700000000001</v>
      </c>
      <c r="T91">
        <v>309.06400000000002</v>
      </c>
      <c r="U91">
        <v>343.63600000000002</v>
      </c>
      <c r="V91">
        <v>380.68400000000003</v>
      </c>
      <c r="W91">
        <v>2019</v>
      </c>
      <c r="BB91" s="6085"/>
      <c r="BC91" s="6085"/>
      <c r="BD91" s="6085"/>
      <c r="BE91" s="6085"/>
      <c r="BF91" s="6085"/>
      <c r="BG91" s="6085"/>
      <c r="BH91" s="6085"/>
      <c r="BI91" s="6085"/>
      <c r="BJ91" s="6085"/>
      <c r="BK91" s="6085"/>
      <c r="BL91" s="6085"/>
    </row>
    <row r="92" spans="1:64" ht="14.5" x14ac:dyDescent="0.35">
      <c r="A92" t="s">
        <v>274</v>
      </c>
      <c r="B92" t="s">
        <v>122</v>
      </c>
      <c r="C92" t="s">
        <v>123</v>
      </c>
      <c r="D92" t="s">
        <v>124</v>
      </c>
      <c r="E92" t="s">
        <v>275</v>
      </c>
      <c r="F92" s="1112">
        <v>9756.5879999999997</v>
      </c>
      <c r="G92" s="1112">
        <v>13173.763000000001</v>
      </c>
      <c r="H92" s="1112">
        <v>16688.419999999998</v>
      </c>
      <c r="I92" s="1112">
        <v>19174.242999999999</v>
      </c>
      <c r="J92" s="1112">
        <v>22227.054</v>
      </c>
      <c r="K92" s="1112">
        <v>23150.385999999999</v>
      </c>
      <c r="L92" s="1112">
        <v>23942.866000000002</v>
      </c>
      <c r="M92" s="1112">
        <v>27876.296999999999</v>
      </c>
      <c r="N92" s="1112">
        <v>32411.223999999998</v>
      </c>
      <c r="O92" s="1112">
        <v>37280.841</v>
      </c>
      <c r="P92" s="1112">
        <v>36958.550000000003</v>
      </c>
      <c r="Q92" s="1112">
        <v>41592.17</v>
      </c>
      <c r="R92" s="1112">
        <v>48065.271999999997</v>
      </c>
      <c r="S92" s="1112">
        <v>54806.377999999997</v>
      </c>
      <c r="T92" s="1112">
        <v>61851.756000000001</v>
      </c>
      <c r="U92" s="1112">
        <v>69282.654999999999</v>
      </c>
      <c r="V92" s="1112">
        <v>77102.428</v>
      </c>
      <c r="W92">
        <v>2020</v>
      </c>
      <c r="AT92" s="7676"/>
      <c r="AU92" s="7676"/>
      <c r="AV92" s="7676"/>
      <c r="AW92" s="7676"/>
      <c r="AX92" s="7676"/>
      <c r="BB92" s="6085"/>
      <c r="BC92" s="6085"/>
      <c r="BD92" s="6085"/>
      <c r="BE92" s="6085"/>
      <c r="BF92" s="6085"/>
      <c r="BG92" s="6085"/>
      <c r="BH92" s="6085"/>
      <c r="BI92" s="6085"/>
      <c r="BJ92" s="6085"/>
      <c r="BK92" s="6085"/>
      <c r="BL92" s="6085"/>
    </row>
    <row r="93" spans="1:64" ht="14.5" x14ac:dyDescent="0.35">
      <c r="A93" t="s">
        <v>276</v>
      </c>
      <c r="B93" t="s">
        <v>122</v>
      </c>
      <c r="C93" t="s">
        <v>123</v>
      </c>
      <c r="D93" t="s">
        <v>124</v>
      </c>
      <c r="E93" t="s">
        <v>277</v>
      </c>
      <c r="F93">
        <v>3.125</v>
      </c>
      <c r="G93">
        <v>3.2650000000000001</v>
      </c>
      <c r="H93">
        <v>3.181</v>
      </c>
      <c r="I93">
        <v>3.3620000000000001</v>
      </c>
      <c r="J93">
        <v>3.4580000000000002</v>
      </c>
      <c r="K93">
        <v>3.6549999999999998</v>
      </c>
      <c r="L93">
        <v>3.9540000000000002</v>
      </c>
      <c r="M93">
        <v>4.2990000000000004</v>
      </c>
      <c r="N93">
        <v>4.6630000000000003</v>
      </c>
      <c r="O93">
        <v>4.9509999999999996</v>
      </c>
      <c r="P93">
        <v>4.1929999999999996</v>
      </c>
      <c r="Q93">
        <v>4.5999999999999996</v>
      </c>
      <c r="R93">
        <v>5.0039999999999996</v>
      </c>
      <c r="S93">
        <v>5.3470000000000004</v>
      </c>
      <c r="T93">
        <v>5.6890000000000001</v>
      </c>
      <c r="U93">
        <v>6.0389999999999997</v>
      </c>
      <c r="V93">
        <v>6.41</v>
      </c>
      <c r="W93">
        <v>2020</v>
      </c>
      <c r="BB93" s="6085"/>
      <c r="BC93" s="6085"/>
      <c r="BD93" s="6085"/>
      <c r="BE93" s="6085"/>
      <c r="BF93" s="6085"/>
      <c r="BG93" s="6085"/>
      <c r="BH93" s="6085"/>
      <c r="BI93" s="6085"/>
      <c r="BJ93" s="6085"/>
      <c r="BK93" s="6085"/>
      <c r="BL93" s="6085"/>
    </row>
    <row r="94" spans="1:64" ht="14.5" x14ac:dyDescent="0.35">
      <c r="A94" t="s">
        <v>278</v>
      </c>
      <c r="B94" t="s">
        <v>122</v>
      </c>
      <c r="C94" t="s">
        <v>123</v>
      </c>
      <c r="D94" t="s">
        <v>124</v>
      </c>
      <c r="E94" t="s">
        <v>279</v>
      </c>
      <c r="F94">
        <v>784.62400000000002</v>
      </c>
      <c r="G94">
        <v>820.077</v>
      </c>
      <c r="H94">
        <v>847.88099999999997</v>
      </c>
      <c r="I94">
        <v>897.923</v>
      </c>
      <c r="J94">
        <v>925.37599999999998</v>
      </c>
      <c r="K94">
        <v>987.95</v>
      </c>
      <c r="L94" s="1112">
        <v>1013.229</v>
      </c>
      <c r="M94" s="1112">
        <v>1063.0450000000001</v>
      </c>
      <c r="N94" s="1112">
        <v>1108.463</v>
      </c>
      <c r="O94" s="1112">
        <v>1152.806</v>
      </c>
      <c r="P94" s="1112">
        <v>1089.521</v>
      </c>
      <c r="Q94" s="1112">
        <v>1163.605</v>
      </c>
      <c r="R94" s="1112">
        <v>1213.1279999999999</v>
      </c>
      <c r="S94" s="1112">
        <v>1275.8489999999999</v>
      </c>
      <c r="T94" s="1112">
        <v>1342.4290000000001</v>
      </c>
      <c r="U94" s="1112">
        <v>1414.828</v>
      </c>
      <c r="V94" s="1112">
        <v>1490.1189999999999</v>
      </c>
      <c r="W94">
        <v>2020</v>
      </c>
      <c r="AT94" s="7676"/>
      <c r="AU94" s="7676"/>
      <c r="AV94" s="7676"/>
      <c r="AW94" s="7676"/>
      <c r="AX94" s="7676"/>
      <c r="BB94" s="6085"/>
      <c r="BC94" s="6085"/>
      <c r="BD94" s="6085"/>
      <c r="BE94" s="6085"/>
      <c r="BF94" s="6085"/>
      <c r="BG94" s="6085"/>
      <c r="BH94" s="6085"/>
      <c r="BI94" s="6085"/>
      <c r="BJ94" s="6085"/>
      <c r="BK94" s="6085"/>
      <c r="BL94" s="6085"/>
    </row>
    <row r="95" spans="1:64" ht="14.5" x14ac:dyDescent="0.35">
      <c r="A95" t="s">
        <v>54</v>
      </c>
      <c r="B95" t="s">
        <v>122</v>
      </c>
      <c r="C95" t="s">
        <v>123</v>
      </c>
      <c r="D95" t="s">
        <v>124</v>
      </c>
      <c r="E95" t="s">
        <v>280</v>
      </c>
      <c r="F95">
        <v>377.11500000000001</v>
      </c>
      <c r="G95">
        <v>418.03699999999998</v>
      </c>
      <c r="H95">
        <v>463.92099999999999</v>
      </c>
      <c r="I95">
        <v>510.99700000000001</v>
      </c>
      <c r="J95">
        <v>555.447</v>
      </c>
      <c r="K95">
        <v>637.76</v>
      </c>
      <c r="L95">
        <v>752.702</v>
      </c>
      <c r="M95">
        <v>840.52599999999995</v>
      </c>
      <c r="N95">
        <v>895.56700000000001</v>
      </c>
      <c r="O95">
        <v>962.62099999999998</v>
      </c>
      <c r="P95">
        <v>974.51099999999997</v>
      </c>
      <c r="Q95" s="1112">
        <v>1056.3779999999999</v>
      </c>
      <c r="R95" s="1112">
        <v>1173.5219999999999</v>
      </c>
      <c r="S95" s="1112">
        <v>1394.347</v>
      </c>
      <c r="T95" s="1112">
        <v>1523.123</v>
      </c>
      <c r="U95" s="1112">
        <v>1663.921</v>
      </c>
      <c r="V95" s="1112">
        <v>2000.03</v>
      </c>
      <c r="W95">
        <v>2019</v>
      </c>
      <c r="BB95" s="6085"/>
      <c r="BC95" s="6085"/>
      <c r="BD95" s="6085"/>
      <c r="BE95" s="6085"/>
      <c r="BF95" s="6085"/>
      <c r="BG95" s="6085"/>
      <c r="BH95" s="6085"/>
      <c r="BI95" s="6085"/>
      <c r="BJ95" s="6085"/>
      <c r="BK95" s="6085"/>
      <c r="BL95" s="6085"/>
    </row>
    <row r="96" spans="1:64" ht="14.5" x14ac:dyDescent="0.35">
      <c r="A96" t="s">
        <v>281</v>
      </c>
      <c r="B96" t="s">
        <v>122</v>
      </c>
      <c r="C96" t="s">
        <v>123</v>
      </c>
      <c r="D96" t="s">
        <v>124</v>
      </c>
      <c r="E96" t="s">
        <v>282</v>
      </c>
      <c r="F96" s="1112">
        <v>37116.328000000001</v>
      </c>
      <c r="G96" s="1112">
        <v>42881.379000000001</v>
      </c>
      <c r="H96" s="1112">
        <v>49353.313999999998</v>
      </c>
      <c r="I96" s="1112">
        <v>55248.773999999998</v>
      </c>
      <c r="J96" s="1112">
        <v>61636.858999999997</v>
      </c>
      <c r="K96" s="1112">
        <v>68988.057000000001</v>
      </c>
      <c r="L96" s="1112">
        <v>74215.745999999999</v>
      </c>
      <c r="M96" s="1112">
        <v>82700.024000000005</v>
      </c>
      <c r="N96" s="1112">
        <v>92788.955000000002</v>
      </c>
      <c r="O96" s="1112">
        <v>105258.501</v>
      </c>
      <c r="P96" s="1112">
        <v>115105.761</v>
      </c>
      <c r="Q96" s="1112">
        <v>99113.244000000006</v>
      </c>
      <c r="R96" s="1112">
        <v>106154.705</v>
      </c>
      <c r="S96" s="1112">
        <v>116647.852</v>
      </c>
      <c r="T96" s="1112">
        <v>127986.836</v>
      </c>
      <c r="U96" s="1112">
        <v>140276.96100000001</v>
      </c>
      <c r="V96" s="1112">
        <v>153831.12</v>
      </c>
      <c r="W96">
        <v>2020</v>
      </c>
      <c r="AT96" s="7676"/>
      <c r="AU96" s="7676"/>
      <c r="AV96" s="7676"/>
      <c r="AW96" s="7676"/>
      <c r="AX96" s="7676"/>
      <c r="BB96" s="6085"/>
      <c r="BC96" s="6085"/>
      <c r="BD96" s="6085"/>
      <c r="BE96" s="6085"/>
      <c r="BF96" s="6085"/>
      <c r="BG96" s="6085"/>
      <c r="BH96" s="6085"/>
      <c r="BI96" s="6085"/>
      <c r="BJ96" s="6085"/>
      <c r="BK96" s="6085"/>
      <c r="BL96" s="6085"/>
    </row>
    <row r="97" spans="1:64" ht="14.5" x14ac:dyDescent="0.35">
      <c r="A97" t="s">
        <v>283</v>
      </c>
      <c r="B97" t="s">
        <v>122</v>
      </c>
      <c r="C97" t="s">
        <v>123</v>
      </c>
      <c r="D97" t="s">
        <v>124</v>
      </c>
      <c r="E97" t="s">
        <v>284</v>
      </c>
      <c r="F97">
        <v>82.599000000000004</v>
      </c>
      <c r="G97">
        <v>90.108000000000004</v>
      </c>
      <c r="H97">
        <v>106.864</v>
      </c>
      <c r="I97">
        <v>117.423</v>
      </c>
      <c r="J97">
        <v>134.83600000000001</v>
      </c>
      <c r="K97">
        <v>146.01900000000001</v>
      </c>
      <c r="L97">
        <v>157.708</v>
      </c>
      <c r="M97">
        <v>171.57</v>
      </c>
      <c r="N97">
        <v>181.054</v>
      </c>
      <c r="O97">
        <v>181.55500000000001</v>
      </c>
      <c r="P97">
        <v>176.327</v>
      </c>
      <c r="Q97">
        <v>185.64</v>
      </c>
      <c r="R97">
        <v>201.154</v>
      </c>
      <c r="S97">
        <v>216.29499999999999</v>
      </c>
      <c r="T97">
        <v>231.74700000000001</v>
      </c>
      <c r="U97">
        <v>248.012</v>
      </c>
      <c r="V97">
        <v>264.14800000000002</v>
      </c>
      <c r="W97">
        <v>2020</v>
      </c>
      <c r="BB97" s="6085"/>
      <c r="BC97" s="6085"/>
      <c r="BD97" s="6085"/>
      <c r="BE97" s="6085"/>
      <c r="BF97" s="6085"/>
      <c r="BG97" s="6085"/>
      <c r="BH97" s="6085"/>
      <c r="BI97" s="6085"/>
      <c r="BJ97" s="6085"/>
      <c r="BK97" s="6085"/>
      <c r="BL97" s="6085"/>
    </row>
    <row r="98" spans="1:64" ht="14.5" x14ac:dyDescent="0.35">
      <c r="A98" t="s">
        <v>285</v>
      </c>
      <c r="B98" t="s">
        <v>122</v>
      </c>
      <c r="C98" t="s">
        <v>123</v>
      </c>
      <c r="D98" t="s">
        <v>124</v>
      </c>
      <c r="E98" t="s">
        <v>286</v>
      </c>
      <c r="F98">
        <v>5.3999999999999999E-2</v>
      </c>
      <c r="G98">
        <v>6.7000000000000004E-2</v>
      </c>
      <c r="H98">
        <v>9.4E-2</v>
      </c>
      <c r="I98">
        <v>9.6000000000000002E-2</v>
      </c>
      <c r="J98">
        <v>0.114</v>
      </c>
      <c r="K98">
        <v>0.104</v>
      </c>
      <c r="L98">
        <v>0.13700000000000001</v>
      </c>
      <c r="M98">
        <v>0.14499999999999999</v>
      </c>
      <c r="N98">
        <v>0.16</v>
      </c>
      <c r="O98">
        <v>0.16600000000000001</v>
      </c>
      <c r="P98">
        <v>0.17100000000000001</v>
      </c>
      <c r="Q98">
        <v>0.17899999999999999</v>
      </c>
      <c r="R98">
        <v>0.185</v>
      </c>
      <c r="S98">
        <v>0.19</v>
      </c>
      <c r="T98">
        <v>0.19400000000000001</v>
      </c>
      <c r="U98">
        <v>0.19700000000000001</v>
      </c>
      <c r="V98">
        <v>0.20100000000000001</v>
      </c>
      <c r="W98">
        <v>2019</v>
      </c>
      <c r="BB98" s="6085"/>
      <c r="BC98" s="6085"/>
      <c r="BD98" s="6085"/>
      <c r="BE98" s="6085"/>
      <c r="BF98" s="6085"/>
      <c r="BG98" s="6085"/>
      <c r="BH98" s="6085"/>
      <c r="BI98" s="6085"/>
      <c r="BJ98" s="6085"/>
      <c r="BK98" s="6085"/>
      <c r="BL98" s="6085"/>
    </row>
    <row r="99" spans="1:64" ht="14.5" x14ac:dyDescent="0.35">
      <c r="A99" t="s">
        <v>113</v>
      </c>
      <c r="B99" t="s">
        <v>122</v>
      </c>
      <c r="C99" t="s">
        <v>123</v>
      </c>
      <c r="D99" t="s">
        <v>124</v>
      </c>
      <c r="E99" t="s">
        <v>287</v>
      </c>
      <c r="F99" s="1112">
        <v>1363.5609999999999</v>
      </c>
      <c r="G99" s="1112">
        <v>1562.681</v>
      </c>
      <c r="H99" s="1112">
        <v>1758.3789999999999</v>
      </c>
      <c r="I99" s="1112">
        <v>1949.2950000000001</v>
      </c>
      <c r="J99" s="1112">
        <v>2232.5250000000001</v>
      </c>
      <c r="K99" s="1112">
        <v>2423.6379999999999</v>
      </c>
      <c r="L99" s="1112">
        <v>2608.1840000000002</v>
      </c>
      <c r="M99" s="1112">
        <v>3077.145</v>
      </c>
      <c r="N99" s="1112">
        <v>3455.9490000000001</v>
      </c>
      <c r="O99" s="1112">
        <v>3858.93</v>
      </c>
      <c r="P99" s="1112">
        <v>3914.701</v>
      </c>
      <c r="Q99" s="1112">
        <v>4128.6779999999999</v>
      </c>
      <c r="R99" s="1112">
        <v>4555.9660000000003</v>
      </c>
      <c r="S99" s="1112">
        <v>5118.6790000000001</v>
      </c>
      <c r="T99" s="1112">
        <v>5698.7420000000002</v>
      </c>
      <c r="U99" s="1112">
        <v>6315.7179999999998</v>
      </c>
      <c r="V99" s="1112">
        <v>6993.95</v>
      </c>
      <c r="W99">
        <v>2020</v>
      </c>
      <c r="AT99" s="7676"/>
      <c r="AU99" s="7676"/>
      <c r="AV99" s="7676"/>
      <c r="AW99" s="7676"/>
      <c r="AX99" s="7676"/>
      <c r="BB99" s="6085"/>
      <c r="BC99" s="6085"/>
      <c r="BD99" s="6085"/>
      <c r="BE99" s="6085"/>
      <c r="BF99" s="6085"/>
      <c r="BG99" s="6085"/>
      <c r="BH99" s="6085"/>
      <c r="BI99" s="6085"/>
      <c r="BJ99" s="6085"/>
      <c r="BK99" s="6085"/>
      <c r="BL99" s="6085"/>
    </row>
    <row r="100" spans="1:64" ht="14.5" x14ac:dyDescent="0.35">
      <c r="A100" t="s">
        <v>57</v>
      </c>
      <c r="B100" t="s">
        <v>122</v>
      </c>
      <c r="C100" t="s">
        <v>123</v>
      </c>
      <c r="D100" t="s">
        <v>124</v>
      </c>
      <c r="E100" t="s">
        <v>288</v>
      </c>
      <c r="F100">
        <v>187.053</v>
      </c>
      <c r="G100">
        <v>219.18199999999999</v>
      </c>
      <c r="H100">
        <v>247.994</v>
      </c>
      <c r="I100">
        <v>271.52999999999997</v>
      </c>
      <c r="J100">
        <v>308.40300000000002</v>
      </c>
      <c r="K100">
        <v>347.70699999999999</v>
      </c>
      <c r="L100">
        <v>380.26100000000002</v>
      </c>
      <c r="M100">
        <v>414.279</v>
      </c>
      <c r="N100">
        <v>410.988</v>
      </c>
      <c r="O100">
        <v>417.70499999999998</v>
      </c>
      <c r="P100">
        <v>433.44799999999998</v>
      </c>
      <c r="Q100">
        <v>473.92599999999999</v>
      </c>
      <c r="R100">
        <v>508.214</v>
      </c>
      <c r="S100">
        <v>537.57399999999996</v>
      </c>
      <c r="T100">
        <v>569.74400000000003</v>
      </c>
      <c r="U100">
        <v>605.01700000000005</v>
      </c>
      <c r="V100">
        <v>643.41399999999999</v>
      </c>
      <c r="W100">
        <v>2020</v>
      </c>
      <c r="BB100" s="6085"/>
      <c r="BC100" s="6085"/>
      <c r="BD100" s="6085"/>
      <c r="BE100" s="6085"/>
      <c r="BF100" s="6085"/>
      <c r="BG100" s="6085"/>
      <c r="BH100" s="6085"/>
      <c r="BI100" s="6085"/>
      <c r="BJ100" s="6085"/>
      <c r="BK100" s="6085"/>
      <c r="BL100" s="6085"/>
    </row>
    <row r="101" spans="1:64" ht="14.5" x14ac:dyDescent="0.35">
      <c r="A101" t="s">
        <v>58</v>
      </c>
      <c r="B101" t="s">
        <v>122</v>
      </c>
      <c r="C101" t="s">
        <v>123</v>
      </c>
      <c r="D101" t="s">
        <v>124</v>
      </c>
      <c r="E101" t="s">
        <v>289</v>
      </c>
      <c r="F101" s="1112">
        <v>3875</v>
      </c>
      <c r="G101" s="1112">
        <v>4126.0519999999997</v>
      </c>
      <c r="H101" s="1112">
        <v>4802.4449999999997</v>
      </c>
      <c r="I101" s="1112">
        <v>5040.7479999999996</v>
      </c>
      <c r="J101" s="1112">
        <v>5346.0460000000003</v>
      </c>
      <c r="K101" s="1112">
        <v>5724.8729999999996</v>
      </c>
      <c r="L101" s="1112">
        <v>6135.41</v>
      </c>
      <c r="M101" s="1112">
        <v>6497.0140000000001</v>
      </c>
      <c r="N101" s="1112">
        <v>7134.2539999999999</v>
      </c>
      <c r="O101" s="1112">
        <v>7564.9530000000004</v>
      </c>
      <c r="P101" s="1112">
        <v>7909.3450000000003</v>
      </c>
      <c r="Q101" s="1112">
        <v>8559.0419999999995</v>
      </c>
      <c r="R101" s="1112">
        <v>9300.5550000000003</v>
      </c>
      <c r="S101" s="1112">
        <v>10470.892</v>
      </c>
      <c r="T101" s="1112">
        <v>11894.802</v>
      </c>
      <c r="U101" s="1112">
        <v>13165.93</v>
      </c>
      <c r="V101" s="1112">
        <v>14228.927</v>
      </c>
      <c r="W101">
        <v>2020</v>
      </c>
      <c r="AT101" s="7676"/>
      <c r="AU101" s="7676"/>
      <c r="AV101" s="7676"/>
      <c r="AW101" s="7676"/>
      <c r="AX101" s="7676"/>
      <c r="BB101" s="6085"/>
      <c r="BC101" s="6085"/>
      <c r="BD101" s="6085"/>
      <c r="BE101" s="6085"/>
      <c r="BF101" s="6085"/>
      <c r="BG101" s="6085"/>
      <c r="BH101" s="6085"/>
      <c r="BI101" s="6085"/>
      <c r="BJ101" s="6085"/>
      <c r="BK101" s="6085"/>
      <c r="BL101" s="6085"/>
    </row>
    <row r="102" spans="1:64" ht="14.5" x14ac:dyDescent="0.35">
      <c r="A102" t="s">
        <v>290</v>
      </c>
      <c r="B102" t="s">
        <v>122</v>
      </c>
      <c r="C102" t="s">
        <v>123</v>
      </c>
      <c r="D102" t="s">
        <v>124</v>
      </c>
      <c r="E102" t="s">
        <v>291</v>
      </c>
      <c r="F102" s="1112">
        <v>55469.351000000002</v>
      </c>
      <c r="G102" s="1112">
        <v>63713.360999999997</v>
      </c>
      <c r="H102" s="1112">
        <v>72599.630999999994</v>
      </c>
      <c r="I102" s="1112">
        <v>81009.964999999997</v>
      </c>
      <c r="J102" s="1112">
        <v>90136.985000000001</v>
      </c>
      <c r="K102" s="1112">
        <v>95177.736000000004</v>
      </c>
      <c r="L102" s="1112">
        <v>102575.41899999999</v>
      </c>
      <c r="M102" s="1112">
        <v>114899.251</v>
      </c>
      <c r="N102" s="1112">
        <v>129086.908</v>
      </c>
      <c r="O102" s="1112">
        <v>145639.14000000001</v>
      </c>
      <c r="P102" s="1112">
        <v>154252.32</v>
      </c>
      <c r="Q102" s="1112">
        <v>182583.008</v>
      </c>
      <c r="R102" s="1112">
        <v>211031.424</v>
      </c>
      <c r="S102" s="1112">
        <v>241582.88</v>
      </c>
      <c r="T102" s="1112">
        <v>272615.80499999999</v>
      </c>
      <c r="U102" s="1112">
        <v>308924.93699999998</v>
      </c>
      <c r="V102" s="1112">
        <v>350202.01</v>
      </c>
      <c r="W102">
        <v>2020</v>
      </c>
      <c r="AI102" s="7676"/>
      <c r="AJ102" s="7676"/>
      <c r="AK102" s="7676"/>
      <c r="AT102" s="7676"/>
      <c r="AU102" s="7676"/>
      <c r="AV102" s="7676"/>
      <c r="AW102" s="7676"/>
      <c r="AX102" s="7676"/>
      <c r="BB102" s="6085"/>
      <c r="BC102" s="6085"/>
      <c r="BD102" s="6085"/>
      <c r="BE102" s="6085"/>
      <c r="BF102" s="6085"/>
      <c r="BG102" s="6085"/>
      <c r="BH102" s="6085"/>
      <c r="BI102" s="6085"/>
      <c r="BJ102" s="6085"/>
      <c r="BK102" s="6085"/>
      <c r="BL102" s="6085"/>
    </row>
    <row r="103" spans="1:64" ht="14.5" x14ac:dyDescent="0.35">
      <c r="A103" t="s">
        <v>292</v>
      </c>
      <c r="B103" t="s">
        <v>122</v>
      </c>
      <c r="C103" t="s">
        <v>123</v>
      </c>
      <c r="D103" t="s">
        <v>124</v>
      </c>
      <c r="E103" t="s">
        <v>293</v>
      </c>
      <c r="F103">
        <v>437.29700000000003</v>
      </c>
      <c r="G103">
        <v>464.18599999999998</v>
      </c>
      <c r="H103">
        <v>466.70299999999997</v>
      </c>
      <c r="I103">
        <v>501.89100000000002</v>
      </c>
      <c r="J103">
        <v>527.63099999999997</v>
      </c>
      <c r="K103">
        <v>558.95399999999995</v>
      </c>
      <c r="L103">
        <v>594.79399999999998</v>
      </c>
      <c r="M103">
        <v>618.10599999999999</v>
      </c>
      <c r="N103">
        <v>660.87699999999995</v>
      </c>
      <c r="O103">
        <v>689.42499999999995</v>
      </c>
      <c r="P103">
        <v>664.00900000000001</v>
      </c>
      <c r="Q103">
        <v>717.01599999999996</v>
      </c>
      <c r="R103">
        <v>761.16899999999998</v>
      </c>
      <c r="S103">
        <v>801.072</v>
      </c>
      <c r="T103">
        <v>848.904</v>
      </c>
      <c r="U103">
        <v>901.32100000000003</v>
      </c>
      <c r="V103">
        <v>957.08500000000004</v>
      </c>
      <c r="W103">
        <v>2020</v>
      </c>
      <c r="BB103" s="6085"/>
      <c r="BC103" s="6085"/>
      <c r="BD103" s="6085"/>
      <c r="BE103" s="6085"/>
      <c r="BF103" s="6085"/>
      <c r="BG103" s="6085"/>
      <c r="BH103" s="6085"/>
      <c r="BI103" s="6085"/>
      <c r="BJ103" s="6085"/>
      <c r="BK103" s="6085"/>
      <c r="BL103" s="6085"/>
    </row>
    <row r="104" spans="1:64" ht="14.5" x14ac:dyDescent="0.35">
      <c r="A104" t="s">
        <v>294</v>
      </c>
      <c r="B104" t="s">
        <v>122</v>
      </c>
      <c r="C104" t="s">
        <v>123</v>
      </c>
      <c r="D104" t="s">
        <v>124</v>
      </c>
      <c r="E104" t="s">
        <v>295</v>
      </c>
      <c r="F104">
        <v>21.934999999999999</v>
      </c>
      <c r="G104">
        <v>26.152999999999999</v>
      </c>
      <c r="H104">
        <v>29.459</v>
      </c>
      <c r="I104">
        <v>30.292999999999999</v>
      </c>
      <c r="J104">
        <v>31.173999999999999</v>
      </c>
      <c r="K104">
        <v>26.5</v>
      </c>
      <c r="L104">
        <v>25.177</v>
      </c>
      <c r="M104">
        <v>27.145</v>
      </c>
      <c r="N104">
        <v>30.678999999999998</v>
      </c>
      <c r="O104">
        <v>29.349</v>
      </c>
      <c r="P104">
        <v>24.364999999999998</v>
      </c>
      <c r="Q104">
        <v>30.995000000000001</v>
      </c>
      <c r="R104">
        <v>32.959000000000003</v>
      </c>
      <c r="S104">
        <v>33.383000000000003</v>
      </c>
      <c r="T104">
        <v>34.186</v>
      </c>
      <c r="U104">
        <v>35.262</v>
      </c>
      <c r="V104">
        <v>36.722999999999999</v>
      </c>
      <c r="W104">
        <v>2020</v>
      </c>
      <c r="BB104" s="6085"/>
      <c r="BC104" s="6085"/>
      <c r="BD104" s="6085"/>
      <c r="BE104" s="6085"/>
      <c r="BF104" s="6085"/>
      <c r="BG104" s="6085"/>
      <c r="BH104" s="6085"/>
      <c r="BI104" s="6085"/>
      <c r="BJ104" s="6085"/>
      <c r="BK104" s="6085"/>
      <c r="BL104" s="6085"/>
    </row>
    <row r="105" spans="1:64" ht="14.5" x14ac:dyDescent="0.35">
      <c r="A105" t="s">
        <v>296</v>
      </c>
      <c r="B105" t="s">
        <v>122</v>
      </c>
      <c r="C105" t="s">
        <v>123</v>
      </c>
      <c r="D105" t="s">
        <v>124</v>
      </c>
      <c r="E105" t="s">
        <v>297</v>
      </c>
      <c r="F105" s="1112">
        <v>14866.995999999999</v>
      </c>
      <c r="G105" s="1112">
        <v>18276.439999999999</v>
      </c>
      <c r="H105" s="1112">
        <v>20046.5</v>
      </c>
      <c r="I105" s="1112">
        <v>22385.656999999999</v>
      </c>
      <c r="J105" s="1112">
        <v>25168.805</v>
      </c>
      <c r="K105" s="1112">
        <v>27443.022000000001</v>
      </c>
      <c r="L105" s="1112">
        <v>29075.633000000002</v>
      </c>
      <c r="M105" s="1112">
        <v>31922.303</v>
      </c>
      <c r="N105" s="1112">
        <v>34616.302000000003</v>
      </c>
      <c r="O105" s="1112">
        <v>38086.232000000004</v>
      </c>
      <c r="P105" s="1112">
        <v>41556.326000000001</v>
      </c>
      <c r="Q105" s="1112">
        <v>47709.324999999997</v>
      </c>
      <c r="R105" s="1112">
        <v>53981.22</v>
      </c>
      <c r="S105" s="1112">
        <v>61318.587</v>
      </c>
      <c r="T105" s="1112">
        <v>68480.243000000002</v>
      </c>
      <c r="U105" s="1112">
        <v>77242.527000000002</v>
      </c>
      <c r="V105" s="1112">
        <v>86329.013999999996</v>
      </c>
      <c r="W105">
        <v>2020</v>
      </c>
      <c r="AI105" s="7676"/>
      <c r="AJ105" s="7676"/>
      <c r="AK105" s="7676"/>
      <c r="AT105" s="7676"/>
      <c r="AU105" s="7676"/>
      <c r="AV105" s="7676"/>
      <c r="AW105" s="7676"/>
      <c r="AX105" s="7676"/>
      <c r="BB105" s="6085"/>
      <c r="BC105" s="6085"/>
      <c r="BD105" s="6085"/>
      <c r="BE105" s="6085"/>
      <c r="BF105" s="6085"/>
      <c r="BG105" s="6085"/>
      <c r="BH105" s="6085"/>
      <c r="BI105" s="6085"/>
      <c r="BJ105" s="6085"/>
      <c r="BK105" s="6085"/>
      <c r="BL105" s="6085"/>
    </row>
    <row r="106" spans="1:64" ht="14.5" x14ac:dyDescent="0.35">
      <c r="A106" t="s">
        <v>298</v>
      </c>
      <c r="B106" t="s">
        <v>122</v>
      </c>
      <c r="C106" t="s">
        <v>123</v>
      </c>
      <c r="D106" t="s">
        <v>124</v>
      </c>
      <c r="E106" t="s">
        <v>299</v>
      </c>
      <c r="F106">
        <v>0.183</v>
      </c>
      <c r="G106">
        <v>0.19400000000000001</v>
      </c>
      <c r="H106">
        <v>0.21199999999999999</v>
      </c>
      <c r="I106">
        <v>0.224</v>
      </c>
      <c r="J106">
        <v>0.24299999999999999</v>
      </c>
      <c r="K106">
        <v>0.28999999999999998</v>
      </c>
      <c r="L106">
        <v>0.3</v>
      </c>
      <c r="M106">
        <v>0.28699999999999998</v>
      </c>
      <c r="N106">
        <v>0.28599999999999998</v>
      </c>
      <c r="O106">
        <v>0.27500000000000002</v>
      </c>
      <c r="P106">
        <v>0.25700000000000001</v>
      </c>
      <c r="Q106">
        <v>0.20799999999999999</v>
      </c>
      <c r="R106">
        <v>0.24199999999999999</v>
      </c>
      <c r="S106">
        <v>0.28199999999999997</v>
      </c>
      <c r="T106">
        <v>0.29799999999999999</v>
      </c>
      <c r="U106">
        <v>0.312</v>
      </c>
      <c r="V106">
        <v>0.32500000000000001</v>
      </c>
      <c r="W106">
        <v>2020</v>
      </c>
      <c r="BB106" s="6085"/>
      <c r="BC106" s="6085"/>
      <c r="BD106" s="6085"/>
      <c r="BE106" s="6085"/>
      <c r="BF106" s="6085"/>
      <c r="BG106" s="6085"/>
      <c r="BH106" s="6085"/>
      <c r="BI106" s="6085"/>
      <c r="BJ106" s="6085"/>
      <c r="BK106" s="6085"/>
      <c r="BL106" s="6085"/>
    </row>
    <row r="107" spans="1:64" ht="14.5" x14ac:dyDescent="0.35">
      <c r="A107" t="s">
        <v>300</v>
      </c>
      <c r="B107" t="s">
        <v>122</v>
      </c>
      <c r="C107" t="s">
        <v>123</v>
      </c>
      <c r="D107" t="s">
        <v>124</v>
      </c>
      <c r="E107" t="s">
        <v>301</v>
      </c>
      <c r="F107">
        <v>29.44</v>
      </c>
      <c r="G107">
        <v>34.686</v>
      </c>
      <c r="H107">
        <v>40.43</v>
      </c>
      <c r="I107">
        <v>45.6</v>
      </c>
      <c r="J107">
        <v>49.920999999999999</v>
      </c>
      <c r="K107">
        <v>54.091999999999999</v>
      </c>
      <c r="L107">
        <v>57.908000000000001</v>
      </c>
      <c r="M107">
        <v>62.203000000000003</v>
      </c>
      <c r="N107">
        <v>64.927999999999997</v>
      </c>
      <c r="O107">
        <v>66.787999999999997</v>
      </c>
      <c r="P107">
        <v>52.938000000000002</v>
      </c>
      <c r="Q107">
        <v>60.121000000000002</v>
      </c>
      <c r="R107">
        <v>64.366</v>
      </c>
      <c r="S107">
        <v>68.936000000000007</v>
      </c>
      <c r="T107">
        <v>73.83</v>
      </c>
      <c r="U107">
        <v>79.072000000000003</v>
      </c>
      <c r="V107">
        <v>84.686000000000007</v>
      </c>
      <c r="W107">
        <v>2020</v>
      </c>
      <c r="BB107" s="6085"/>
      <c r="BC107" s="6085"/>
      <c r="BD107" s="6085"/>
      <c r="BE107" s="6085"/>
      <c r="BF107" s="6085"/>
      <c r="BG107" s="6085"/>
      <c r="BH107" s="6085"/>
      <c r="BI107" s="6085"/>
      <c r="BJ107" s="6085"/>
      <c r="BK107" s="6085"/>
      <c r="BL107" s="6085"/>
    </row>
    <row r="108" spans="1:64" ht="14.5" x14ac:dyDescent="0.35">
      <c r="A108" t="s">
        <v>61</v>
      </c>
      <c r="B108" t="s">
        <v>122</v>
      </c>
      <c r="C108" t="s">
        <v>123</v>
      </c>
      <c r="D108" t="s">
        <v>124</v>
      </c>
      <c r="E108" t="s">
        <v>302</v>
      </c>
      <c r="F108">
        <v>38.752000000000002</v>
      </c>
      <c r="G108">
        <v>42.642000000000003</v>
      </c>
      <c r="H108">
        <v>44.372</v>
      </c>
      <c r="I108">
        <v>47.720999999999997</v>
      </c>
      <c r="J108">
        <v>57.131</v>
      </c>
      <c r="K108">
        <v>60.139000000000003</v>
      </c>
      <c r="L108">
        <v>65.037999999999997</v>
      </c>
      <c r="M108">
        <v>72.522000000000006</v>
      </c>
      <c r="N108">
        <v>79.405000000000001</v>
      </c>
      <c r="O108">
        <v>84.108999999999995</v>
      </c>
      <c r="P108">
        <v>81.539000000000001</v>
      </c>
      <c r="Q108">
        <v>92.686999999999998</v>
      </c>
      <c r="R108">
        <v>99.161000000000001</v>
      </c>
      <c r="S108">
        <v>105.10899999999999</v>
      </c>
      <c r="T108">
        <v>110.91500000000001</v>
      </c>
      <c r="U108">
        <v>117.333</v>
      </c>
      <c r="V108">
        <v>123.928</v>
      </c>
      <c r="W108">
        <v>2019</v>
      </c>
      <c r="BB108" s="6085"/>
      <c r="BC108" s="6085"/>
      <c r="BD108" s="6085"/>
      <c r="BE108" s="6085"/>
      <c r="BF108" s="6085"/>
      <c r="BG108" s="6085"/>
      <c r="BH108" s="6085"/>
      <c r="BI108" s="6085"/>
      <c r="BJ108" s="6085"/>
      <c r="BK108" s="6085"/>
      <c r="BL108" s="6085"/>
    </row>
    <row r="109" spans="1:64" ht="14.5" x14ac:dyDescent="0.35">
      <c r="A109" t="s">
        <v>303</v>
      </c>
      <c r="B109" t="s">
        <v>122</v>
      </c>
      <c r="C109" t="s">
        <v>123</v>
      </c>
      <c r="D109" t="s">
        <v>124</v>
      </c>
      <c r="E109" t="s">
        <v>304</v>
      </c>
      <c r="F109" s="1112">
        <v>129092.883</v>
      </c>
      <c r="G109" s="1112">
        <v>141486.44899999999</v>
      </c>
      <c r="H109" s="1112">
        <v>147225.50599999999</v>
      </c>
      <c r="I109" s="1112">
        <v>166350.80499999999</v>
      </c>
      <c r="J109" s="1112">
        <v>180174.06099999999</v>
      </c>
      <c r="K109" s="1112">
        <v>188477.32699999999</v>
      </c>
      <c r="L109" s="1112">
        <v>204647.27299999999</v>
      </c>
      <c r="M109" s="1112">
        <v>219122.277</v>
      </c>
      <c r="N109" s="1112">
        <v>230576.47700000001</v>
      </c>
      <c r="O109" s="1112">
        <v>236566.704</v>
      </c>
      <c r="P109" s="1112">
        <v>241527.08600000001</v>
      </c>
      <c r="Q109" s="1112">
        <v>255143.99</v>
      </c>
      <c r="R109" s="1112">
        <v>270177.55499999999</v>
      </c>
      <c r="S109" s="1112">
        <v>286222.45600000001</v>
      </c>
      <c r="T109" s="1112">
        <v>308356.48300000001</v>
      </c>
      <c r="U109" s="1112">
        <v>331833.04700000002</v>
      </c>
      <c r="V109" s="1112">
        <v>357264.06300000002</v>
      </c>
      <c r="W109">
        <v>2019</v>
      </c>
      <c r="AT109" s="7676"/>
      <c r="AU109" s="7676"/>
      <c r="AV109" s="7676"/>
      <c r="AW109" s="7676"/>
      <c r="AX109" s="7676"/>
      <c r="BB109" s="6085"/>
      <c r="BC109" s="6085"/>
      <c r="BD109" s="6085"/>
      <c r="BE109" s="6085"/>
      <c r="BF109" s="6085"/>
      <c r="BG109" s="6085"/>
      <c r="BH109" s="6085"/>
      <c r="BI109" s="6085"/>
      <c r="BJ109" s="6085"/>
      <c r="BK109" s="6085"/>
      <c r="BL109" s="6085"/>
    </row>
    <row r="110" spans="1:64" ht="14.5" x14ac:dyDescent="0.35">
      <c r="A110" t="s">
        <v>305</v>
      </c>
      <c r="B110" t="s">
        <v>122</v>
      </c>
      <c r="C110" t="s">
        <v>123</v>
      </c>
      <c r="D110" t="s">
        <v>124</v>
      </c>
      <c r="E110" t="s">
        <v>306</v>
      </c>
      <c r="F110">
        <v>420.41899999999998</v>
      </c>
      <c r="G110">
        <v>470.02100000000002</v>
      </c>
      <c r="H110">
        <v>508.63299999999998</v>
      </c>
      <c r="I110">
        <v>546.1</v>
      </c>
      <c r="J110">
        <v>574.21799999999996</v>
      </c>
      <c r="K110">
        <v>609.14599999999996</v>
      </c>
      <c r="L110">
        <v>655.76</v>
      </c>
      <c r="M110">
        <v>698.24400000000003</v>
      </c>
      <c r="N110">
        <v>740.81700000000001</v>
      </c>
      <c r="O110">
        <v>770.38699999999994</v>
      </c>
      <c r="P110">
        <v>718.18799999999999</v>
      </c>
      <c r="Q110">
        <v>852.56799999999998</v>
      </c>
      <c r="R110">
        <v>914.87</v>
      </c>
      <c r="S110">
        <v>975.12</v>
      </c>
      <c r="T110" s="1112">
        <v>1024.712</v>
      </c>
      <c r="U110" s="1112">
        <v>1075.675</v>
      </c>
      <c r="V110" s="1112">
        <v>1130.107</v>
      </c>
      <c r="W110">
        <v>2020</v>
      </c>
      <c r="BB110" s="6085"/>
      <c r="BC110" s="6085"/>
      <c r="BD110" s="6085"/>
      <c r="BE110" s="6085"/>
      <c r="BF110" s="6085"/>
      <c r="BG110" s="6085"/>
      <c r="BH110" s="6085"/>
      <c r="BI110" s="6085"/>
      <c r="BJ110" s="6085"/>
      <c r="BK110" s="6085"/>
      <c r="BL110" s="6085"/>
    </row>
    <row r="111" spans="1:64" ht="14.5" x14ac:dyDescent="0.35">
      <c r="A111" t="s">
        <v>307</v>
      </c>
      <c r="B111" t="s">
        <v>122</v>
      </c>
      <c r="C111" t="s">
        <v>123</v>
      </c>
      <c r="D111" t="s">
        <v>124</v>
      </c>
      <c r="E111" t="s">
        <v>308</v>
      </c>
      <c r="F111" s="1112">
        <v>9399.4509999999991</v>
      </c>
      <c r="G111" s="1112">
        <v>10144.662</v>
      </c>
      <c r="H111" s="1112">
        <v>11060.589</v>
      </c>
      <c r="I111" s="1112">
        <v>12050.593000000001</v>
      </c>
      <c r="J111" s="1112">
        <v>13206.828</v>
      </c>
      <c r="K111" s="1112">
        <v>13944.159</v>
      </c>
      <c r="L111" s="1112">
        <v>15132.382</v>
      </c>
      <c r="M111" s="1112">
        <v>16556.651000000002</v>
      </c>
      <c r="N111" s="1112">
        <v>18265.190999999999</v>
      </c>
      <c r="O111" s="1112">
        <v>19517.864000000001</v>
      </c>
      <c r="P111" s="1112">
        <v>17938.583999999999</v>
      </c>
      <c r="Q111" s="1112">
        <v>19028.387999999999</v>
      </c>
      <c r="R111" s="1112">
        <v>20754.335999999999</v>
      </c>
      <c r="S111" s="1112">
        <v>22751.863000000001</v>
      </c>
      <c r="T111" s="1112">
        <v>24889.663</v>
      </c>
      <c r="U111" s="1112">
        <v>27156.019</v>
      </c>
      <c r="V111" s="1112">
        <v>29633.406999999999</v>
      </c>
      <c r="W111">
        <v>2020</v>
      </c>
      <c r="AJ111" s="7676"/>
      <c r="AT111" s="7676"/>
      <c r="AU111" s="7676"/>
      <c r="AV111" s="7676"/>
      <c r="AW111" s="7676"/>
      <c r="AX111" s="7676"/>
      <c r="BB111" s="6085"/>
      <c r="BC111" s="6085"/>
      <c r="BD111" s="6085"/>
      <c r="BE111" s="6085"/>
      <c r="BF111" s="6085"/>
      <c r="BG111" s="6085"/>
      <c r="BH111" s="6085"/>
      <c r="BI111" s="6085"/>
      <c r="BJ111" s="6085"/>
      <c r="BK111" s="6085"/>
      <c r="BL111" s="6085"/>
    </row>
    <row r="112" spans="1:64" ht="14.5" x14ac:dyDescent="0.35">
      <c r="A112" t="s">
        <v>309</v>
      </c>
      <c r="B112" t="s">
        <v>122</v>
      </c>
      <c r="C112" t="s">
        <v>123</v>
      </c>
      <c r="D112" t="s">
        <v>124</v>
      </c>
      <c r="E112" t="s">
        <v>310</v>
      </c>
      <c r="F112" s="1112">
        <v>1446.8440000000001</v>
      </c>
      <c r="G112" s="1112">
        <v>1565.251</v>
      </c>
      <c r="H112" s="1112">
        <v>1623.442</v>
      </c>
      <c r="I112" s="1112">
        <v>1646.7239999999999</v>
      </c>
      <c r="J112" s="1112">
        <v>1711.2439999999999</v>
      </c>
      <c r="K112" s="1112">
        <v>1801.1120000000001</v>
      </c>
      <c r="L112" s="1112">
        <v>1863.4870000000001</v>
      </c>
      <c r="M112" s="1112">
        <v>1989.835</v>
      </c>
      <c r="N112" s="1112">
        <v>2121.5549999999998</v>
      </c>
      <c r="O112" s="1112">
        <v>2293.1990000000001</v>
      </c>
      <c r="P112" s="1112">
        <v>2323.8589999999999</v>
      </c>
      <c r="Q112" s="1112">
        <v>2531.4479999999999</v>
      </c>
      <c r="R112" s="1112">
        <v>2740.2269999999999</v>
      </c>
      <c r="S112" s="1112">
        <v>2908.0410000000002</v>
      </c>
      <c r="T112" s="1112">
        <v>3070.3620000000001</v>
      </c>
      <c r="U112" s="1112">
        <v>3241.94</v>
      </c>
      <c r="V112" s="1112">
        <v>3416.4740000000002</v>
      </c>
      <c r="W112">
        <v>2020</v>
      </c>
      <c r="AG112" s="7676"/>
      <c r="AH112" s="7676"/>
      <c r="AI112" s="7676"/>
      <c r="AJ112" s="7676"/>
      <c r="AK112" s="7676"/>
      <c r="AT112" s="7676"/>
      <c r="AU112" s="7676"/>
      <c r="AV112" s="7676"/>
      <c r="AW112" s="7676"/>
      <c r="AX112" s="7676"/>
      <c r="BB112" s="6085"/>
      <c r="BC112" s="6085"/>
      <c r="BD112" s="6085"/>
      <c r="BE112" s="6085"/>
      <c r="BF112" s="6085"/>
      <c r="BG112" s="6085"/>
      <c r="BH112" s="6085"/>
      <c r="BI112" s="6085"/>
      <c r="BJ112" s="6085"/>
      <c r="BK112" s="6085"/>
      <c r="BL112" s="6085"/>
    </row>
    <row r="113" spans="1:64" ht="14.5" x14ac:dyDescent="0.35">
      <c r="A113" t="s">
        <v>311</v>
      </c>
      <c r="B113" t="s">
        <v>122</v>
      </c>
      <c r="C113" t="s">
        <v>123</v>
      </c>
      <c r="D113" t="s">
        <v>124</v>
      </c>
      <c r="E113" t="s">
        <v>312</v>
      </c>
      <c r="F113">
        <v>435.73399999999998</v>
      </c>
      <c r="G113">
        <v>610.702</v>
      </c>
      <c r="H113">
        <v>680.07399999999996</v>
      </c>
      <c r="I113">
        <v>723.36900000000003</v>
      </c>
      <c r="J113">
        <v>750.65800000000002</v>
      </c>
      <c r="K113">
        <v>588.73299999999995</v>
      </c>
      <c r="L113">
        <v>552.30499999999995</v>
      </c>
      <c r="M113">
        <v>586.40099999999995</v>
      </c>
      <c r="N113">
        <v>667.34</v>
      </c>
      <c r="O113">
        <v>640.04899999999998</v>
      </c>
      <c r="P113">
        <v>529.43899999999996</v>
      </c>
      <c r="Q113">
        <v>615.82799999999997</v>
      </c>
      <c r="R113">
        <v>658.41200000000003</v>
      </c>
      <c r="S113">
        <v>678.82799999999997</v>
      </c>
      <c r="T113">
        <v>709.77499999999998</v>
      </c>
      <c r="U113">
        <v>741.55700000000002</v>
      </c>
      <c r="V113">
        <v>778.33500000000004</v>
      </c>
      <c r="W113">
        <v>2020</v>
      </c>
      <c r="BB113" s="6085"/>
      <c r="BC113" s="6085"/>
      <c r="BD113" s="6085"/>
      <c r="BE113" s="6085"/>
      <c r="BF113" s="6085"/>
      <c r="BG113" s="6085"/>
      <c r="BH113" s="6085"/>
      <c r="BI113" s="6085"/>
      <c r="BJ113" s="6085"/>
      <c r="BK113" s="6085"/>
      <c r="BL113" s="6085"/>
    </row>
    <row r="114" spans="1:64" ht="14.5" x14ac:dyDescent="0.35">
      <c r="A114" t="s">
        <v>313</v>
      </c>
      <c r="B114" t="s">
        <v>122</v>
      </c>
      <c r="C114" t="s">
        <v>123</v>
      </c>
      <c r="D114" t="s">
        <v>124</v>
      </c>
      <c r="E114" t="s">
        <v>314</v>
      </c>
      <c r="F114">
        <v>528.51499999999999</v>
      </c>
      <c r="G114">
        <v>558.89</v>
      </c>
      <c r="H114">
        <v>591.79899999999998</v>
      </c>
      <c r="I114">
        <v>634.96799999999996</v>
      </c>
      <c r="J114">
        <v>669.70399999999995</v>
      </c>
      <c r="K114">
        <v>711.93</v>
      </c>
      <c r="L114">
        <v>763.65300000000002</v>
      </c>
      <c r="M114">
        <v>857.89599999999996</v>
      </c>
      <c r="N114">
        <v>951.72900000000004</v>
      </c>
      <c r="O114" s="1112">
        <v>1058.19</v>
      </c>
      <c r="P114" s="1112">
        <v>1055.549</v>
      </c>
      <c r="Q114" s="1112">
        <v>1183.3119999999999</v>
      </c>
      <c r="R114" s="1112">
        <v>1279.443</v>
      </c>
      <c r="S114" s="1112">
        <v>1372.652</v>
      </c>
      <c r="T114" s="1112">
        <v>1463.248</v>
      </c>
      <c r="U114" s="1112">
        <v>1559.434</v>
      </c>
      <c r="V114" s="1112">
        <v>1658.2719999999999</v>
      </c>
      <c r="W114">
        <v>2020</v>
      </c>
      <c r="AW114" s="7676"/>
      <c r="AX114" s="7676"/>
      <c r="BB114" s="6085"/>
      <c r="BC114" s="6085"/>
      <c r="BD114" s="6085"/>
      <c r="BE114" s="6085"/>
      <c r="BF114" s="6085"/>
      <c r="BG114" s="6085"/>
      <c r="BH114" s="6085"/>
      <c r="BI114" s="6085"/>
      <c r="BJ114" s="6085"/>
      <c r="BK114" s="6085"/>
      <c r="BL114" s="6085"/>
    </row>
    <row r="115" spans="1:64" ht="14.5" x14ac:dyDescent="0.35">
      <c r="A115" t="s">
        <v>315</v>
      </c>
      <c r="B115" t="s">
        <v>122</v>
      </c>
      <c r="C115" t="s">
        <v>123</v>
      </c>
      <c r="D115" t="s">
        <v>124</v>
      </c>
      <c r="E115" t="s">
        <v>316</v>
      </c>
      <c r="F115" s="1112">
        <v>49617.63</v>
      </c>
      <c r="G115" s="1112">
        <v>60114</v>
      </c>
      <c r="H115" s="1112">
        <v>68103.399999999994</v>
      </c>
      <c r="I115" s="1112">
        <v>72985.7</v>
      </c>
      <c r="J115" s="1112">
        <v>79030</v>
      </c>
      <c r="K115" s="1112">
        <v>83087.399999999994</v>
      </c>
      <c r="L115" s="1112">
        <v>85616.1</v>
      </c>
      <c r="M115" s="1112">
        <v>91843.199999999997</v>
      </c>
      <c r="N115" s="1112">
        <v>103861.65</v>
      </c>
      <c r="O115" s="1112">
        <v>109241.54</v>
      </c>
      <c r="P115" s="1112">
        <v>106967.46</v>
      </c>
      <c r="Q115" s="1112">
        <v>121620.61</v>
      </c>
      <c r="R115" s="1112">
        <v>127706.815</v>
      </c>
      <c r="S115" s="1112">
        <v>134767.671</v>
      </c>
      <c r="T115" s="1112">
        <v>141963.84299999999</v>
      </c>
      <c r="U115" s="1112">
        <v>149650.67800000001</v>
      </c>
      <c r="V115" s="1112">
        <v>157974.96100000001</v>
      </c>
      <c r="W115">
        <v>2020</v>
      </c>
      <c r="AA115" s="7676"/>
      <c r="AG115" s="7676"/>
      <c r="AH115" s="7676"/>
      <c r="AI115" s="7676"/>
      <c r="AJ115" s="7676"/>
      <c r="AK115" s="7676"/>
      <c r="AT115" s="7676"/>
      <c r="AU115" s="7676"/>
      <c r="AV115" s="7676"/>
      <c r="AW115" s="7676"/>
      <c r="AX115" s="7676"/>
      <c r="BB115" s="6085"/>
      <c r="BC115" s="6085"/>
      <c r="BD115" s="6085"/>
      <c r="BE115" s="6085"/>
      <c r="BF115" s="6085"/>
      <c r="BG115" s="6085"/>
      <c r="BH115" s="6085"/>
      <c r="BI115" s="6085"/>
      <c r="BJ115" s="6085"/>
      <c r="BK115" s="6085"/>
      <c r="BL115" s="6085"/>
    </row>
    <row r="116" spans="1:64" ht="14.5" x14ac:dyDescent="0.35">
      <c r="A116" t="s">
        <v>63</v>
      </c>
      <c r="B116" t="s">
        <v>122</v>
      </c>
      <c r="C116" t="s">
        <v>123</v>
      </c>
      <c r="D116" t="s">
        <v>124</v>
      </c>
      <c r="E116" t="s">
        <v>317</v>
      </c>
      <c r="F116" s="1112">
        <v>3569</v>
      </c>
      <c r="G116" s="1112">
        <v>4131</v>
      </c>
      <c r="H116" s="1112">
        <v>4700</v>
      </c>
      <c r="I116" s="1112">
        <v>5054</v>
      </c>
      <c r="J116" s="1112">
        <v>5619</v>
      </c>
      <c r="K116" s="1112">
        <v>6147</v>
      </c>
      <c r="L116" s="1112">
        <v>6842</v>
      </c>
      <c r="M116" s="1112">
        <v>7694</v>
      </c>
      <c r="N116" s="1112">
        <v>8302</v>
      </c>
      <c r="O116" s="1112">
        <v>9315</v>
      </c>
      <c r="P116" s="1112">
        <v>9746</v>
      </c>
      <c r="Q116" s="1112">
        <v>10437.722</v>
      </c>
      <c r="R116" s="1112">
        <v>11771.521000000001</v>
      </c>
      <c r="S116" s="1112">
        <v>13463.296</v>
      </c>
      <c r="T116" s="1112">
        <v>15207.266</v>
      </c>
      <c r="U116" s="1112">
        <v>17163.038</v>
      </c>
      <c r="V116" s="1112">
        <v>19119.304</v>
      </c>
      <c r="W116">
        <v>2019</v>
      </c>
      <c r="AT116" s="7676"/>
      <c r="AU116" s="7676"/>
      <c r="AV116" s="7676"/>
      <c r="AW116" s="7676"/>
      <c r="AX116" s="7676"/>
      <c r="BB116" s="6085"/>
      <c r="BC116" s="6085"/>
      <c r="BD116" s="6085"/>
      <c r="BE116" s="6085"/>
      <c r="BF116" s="6085"/>
      <c r="BG116" s="6085"/>
      <c r="BH116" s="6085"/>
      <c r="BI116" s="6085"/>
      <c r="BJ116" s="6085"/>
      <c r="BK116" s="6085"/>
      <c r="BL116" s="6085"/>
    </row>
    <row r="117" spans="1:64" ht="14.5" x14ac:dyDescent="0.35">
      <c r="A117" t="s">
        <v>318</v>
      </c>
      <c r="B117" t="s">
        <v>122</v>
      </c>
      <c r="C117" t="s">
        <v>123</v>
      </c>
      <c r="D117" t="s">
        <v>124</v>
      </c>
      <c r="E117" t="s">
        <v>319</v>
      </c>
      <c r="F117">
        <v>1.6830000000000001</v>
      </c>
      <c r="G117">
        <v>1.76</v>
      </c>
      <c r="H117">
        <v>1.75</v>
      </c>
      <c r="I117">
        <v>1.7589999999999999</v>
      </c>
      <c r="J117">
        <v>1.758</v>
      </c>
      <c r="K117">
        <v>1.911</v>
      </c>
      <c r="L117">
        <v>2.089</v>
      </c>
      <c r="M117">
        <v>2.11</v>
      </c>
      <c r="N117">
        <v>2.1080000000000001</v>
      </c>
      <c r="O117">
        <v>2.2309999999999999</v>
      </c>
      <c r="P117">
        <v>2.177</v>
      </c>
      <c r="Q117">
        <v>1.9670000000000001</v>
      </c>
      <c r="R117">
        <v>2.04</v>
      </c>
      <c r="S117">
        <v>2.165</v>
      </c>
      <c r="T117">
        <v>2.2959999999999998</v>
      </c>
      <c r="U117">
        <v>2.4390000000000001</v>
      </c>
      <c r="V117">
        <v>2.573</v>
      </c>
      <c r="W117">
        <v>2020</v>
      </c>
      <c r="BB117" s="6085"/>
      <c r="BC117" s="6085"/>
      <c r="BD117" s="6085"/>
      <c r="BE117" s="6085"/>
      <c r="BF117" s="6085"/>
      <c r="BG117" s="6085"/>
      <c r="BH117" s="6085"/>
      <c r="BI117" s="6085"/>
      <c r="BJ117" s="6085"/>
      <c r="BK117" s="6085"/>
      <c r="BL117" s="6085"/>
    </row>
    <row r="118" spans="1:64" ht="14.5" x14ac:dyDescent="0.35">
      <c r="A118" t="s">
        <v>64</v>
      </c>
      <c r="B118" t="s">
        <v>122</v>
      </c>
      <c r="C118" t="s">
        <v>123</v>
      </c>
      <c r="D118" t="s">
        <v>124</v>
      </c>
      <c r="E118" t="s">
        <v>320</v>
      </c>
      <c r="F118">
        <v>3.653</v>
      </c>
      <c r="G118">
        <v>4.1100000000000003</v>
      </c>
      <c r="H118">
        <v>4.8159999999999998</v>
      </c>
      <c r="I118">
        <v>5.5890000000000004</v>
      </c>
      <c r="J118">
        <v>6.444</v>
      </c>
      <c r="K118">
        <v>7.0309999999999997</v>
      </c>
      <c r="L118">
        <v>7.6980000000000004</v>
      </c>
      <c r="M118">
        <v>8.1539999999999999</v>
      </c>
      <c r="N118">
        <v>8.6189999999999998</v>
      </c>
      <c r="O118">
        <v>9.4239999999999995</v>
      </c>
      <c r="P118">
        <v>10.247</v>
      </c>
      <c r="Q118">
        <v>10.75</v>
      </c>
      <c r="R118">
        <v>11.281000000000001</v>
      </c>
      <c r="S118">
        <v>11.972</v>
      </c>
      <c r="T118">
        <v>12.747999999999999</v>
      </c>
      <c r="U118">
        <v>13.602</v>
      </c>
      <c r="V118">
        <v>14.693</v>
      </c>
      <c r="W118">
        <v>2020</v>
      </c>
      <c r="BB118" s="6085"/>
      <c r="BC118" s="6085"/>
      <c r="BD118" s="6085"/>
      <c r="BE118" s="6085"/>
      <c r="BF118" s="6085"/>
      <c r="BG118" s="6085"/>
      <c r="BH118" s="6085"/>
      <c r="BI118" s="6085"/>
      <c r="BJ118" s="6085"/>
      <c r="BK118" s="6085"/>
      <c r="BL118" s="6085"/>
    </row>
    <row r="119" spans="1:64" ht="14.5" x14ac:dyDescent="0.35">
      <c r="A119" t="s">
        <v>321</v>
      </c>
      <c r="B119" t="s">
        <v>122</v>
      </c>
      <c r="C119" t="s">
        <v>123</v>
      </c>
      <c r="D119" t="s">
        <v>124</v>
      </c>
      <c r="E119" t="s">
        <v>322</v>
      </c>
      <c r="F119" s="1112">
        <v>1980.778</v>
      </c>
      <c r="G119" s="1112">
        <v>2517.145</v>
      </c>
      <c r="H119" s="1112">
        <v>2759.9070000000002</v>
      </c>
      <c r="I119" s="1112">
        <v>2799.9259999999999</v>
      </c>
      <c r="J119" s="1112">
        <v>2836.3139999999999</v>
      </c>
      <c r="K119" s="1112">
        <v>2453.5129999999999</v>
      </c>
      <c r="L119" s="1112">
        <v>2418.5059999999999</v>
      </c>
      <c r="M119" s="1112">
        <v>2582.1990000000001</v>
      </c>
      <c r="N119" s="1112">
        <v>2949.4580000000001</v>
      </c>
      <c r="O119" s="1112">
        <v>2973.6239999999998</v>
      </c>
      <c r="P119" s="1112">
        <v>2625.442</v>
      </c>
      <c r="Q119" s="1112">
        <v>3159.7049999999999</v>
      </c>
      <c r="R119" s="1112">
        <v>3285.5540000000001</v>
      </c>
      <c r="S119" s="1112">
        <v>3371.6610000000001</v>
      </c>
      <c r="T119" s="1112">
        <v>3483.05</v>
      </c>
      <c r="U119" s="1112">
        <v>3611.82</v>
      </c>
      <c r="V119" s="1112">
        <v>3772.8159999999998</v>
      </c>
      <c r="W119">
        <v>2020</v>
      </c>
      <c r="AG119" s="7676"/>
      <c r="AH119" s="7676"/>
      <c r="AI119" s="7676"/>
      <c r="AJ119" s="7676"/>
      <c r="AK119" s="7676"/>
      <c r="AT119" s="7676"/>
      <c r="AU119" s="7676"/>
      <c r="AV119" s="7676"/>
      <c r="AW119" s="7676"/>
      <c r="AX119" s="7676"/>
      <c r="BB119" s="6085"/>
      <c r="BC119" s="6085"/>
      <c r="BD119" s="6085"/>
      <c r="BE119" s="6085"/>
      <c r="BF119" s="6085"/>
      <c r="BG119" s="6085"/>
      <c r="BH119" s="6085"/>
      <c r="BI119" s="6085"/>
      <c r="BJ119" s="6085"/>
      <c r="BK119" s="6085"/>
      <c r="BL119" s="6085"/>
    </row>
    <row r="120" spans="1:64" ht="14.5" x14ac:dyDescent="0.35">
      <c r="A120" t="s">
        <v>65</v>
      </c>
      <c r="B120" t="s">
        <v>122</v>
      </c>
      <c r="C120" t="s">
        <v>123</v>
      </c>
      <c r="D120" t="s">
        <v>124</v>
      </c>
      <c r="E120" t="s">
        <v>323</v>
      </c>
      <c r="F120" s="1112">
        <v>7976.7349999999997</v>
      </c>
      <c r="G120" s="1112">
        <v>8394.9570000000003</v>
      </c>
      <c r="H120" s="1112">
        <v>9016.8690000000006</v>
      </c>
      <c r="I120" s="1112">
        <v>9343.9230000000007</v>
      </c>
      <c r="J120" s="1112">
        <v>9775.0390000000007</v>
      </c>
      <c r="K120" s="1112">
        <v>10508.65</v>
      </c>
      <c r="L120" s="1112">
        <v>11283.396000000001</v>
      </c>
      <c r="M120" s="1112">
        <v>12191.796</v>
      </c>
      <c r="N120" s="1112">
        <v>12840.09</v>
      </c>
      <c r="O120" s="1112">
        <v>13655.367</v>
      </c>
      <c r="P120" s="1112">
        <v>14185.437</v>
      </c>
      <c r="Q120" s="1112">
        <v>15145.246999999999</v>
      </c>
      <c r="R120" s="1112">
        <v>16317.261</v>
      </c>
      <c r="S120" s="1112">
        <v>18387.594000000001</v>
      </c>
      <c r="T120" s="1112">
        <v>19865.54</v>
      </c>
      <c r="U120" s="1112">
        <v>21328.491999999998</v>
      </c>
      <c r="V120" s="1112">
        <v>22819.274000000001</v>
      </c>
      <c r="W120">
        <v>2019</v>
      </c>
      <c r="AT120" s="7676"/>
      <c r="AU120" s="7676"/>
      <c r="AV120" s="7676"/>
      <c r="AW120" s="7676"/>
      <c r="AX120" s="7676"/>
      <c r="BB120" s="6085"/>
      <c r="BC120" s="6085"/>
      <c r="BD120" s="6085"/>
      <c r="BE120" s="6085"/>
      <c r="BF120" s="6085"/>
      <c r="BG120" s="6085"/>
      <c r="BH120" s="6085"/>
      <c r="BI120" s="6085"/>
      <c r="BJ120" s="6085"/>
      <c r="BK120" s="6085"/>
      <c r="BL120" s="6085"/>
    </row>
    <row r="121" spans="1:64" ht="14.5" x14ac:dyDescent="0.35">
      <c r="A121" t="s">
        <v>324</v>
      </c>
      <c r="B121" t="s">
        <v>122</v>
      </c>
      <c r="C121" t="s">
        <v>123</v>
      </c>
      <c r="D121" t="s">
        <v>124</v>
      </c>
      <c r="E121" t="s">
        <v>325</v>
      </c>
      <c r="F121" s="1112">
        <v>3252.83</v>
      </c>
      <c r="G121" s="1112">
        <v>3614.7649999999999</v>
      </c>
      <c r="H121" s="1112">
        <v>3812.6930000000002</v>
      </c>
      <c r="I121" s="1112">
        <v>4124.0510000000004</v>
      </c>
      <c r="J121" s="1112">
        <v>4163.4260000000004</v>
      </c>
      <c r="K121" s="1112">
        <v>4315.0209999999997</v>
      </c>
      <c r="L121" s="1112">
        <v>4528.192</v>
      </c>
      <c r="M121" s="1112">
        <v>4760.6869999999999</v>
      </c>
      <c r="N121" s="1112">
        <v>5072.9319999999998</v>
      </c>
      <c r="O121" s="1112">
        <v>5417.7250000000004</v>
      </c>
      <c r="P121" s="1112">
        <v>5463.5420000000004</v>
      </c>
      <c r="Q121" s="1112">
        <v>5986.37</v>
      </c>
      <c r="R121" s="1112">
        <v>6427.5309999999999</v>
      </c>
      <c r="S121" s="1112">
        <v>6905.2820000000002</v>
      </c>
      <c r="T121" s="1112">
        <v>7384.8029999999999</v>
      </c>
      <c r="U121" s="1112">
        <v>7901.8209999999999</v>
      </c>
      <c r="V121" s="1112">
        <v>8457.4680000000008</v>
      </c>
      <c r="W121">
        <v>2020</v>
      </c>
      <c r="AT121" s="7676"/>
      <c r="AU121" s="7676"/>
      <c r="AV121" s="7676"/>
      <c r="AW121" s="7676"/>
      <c r="AX121" s="7676"/>
      <c r="BB121" s="6085"/>
      <c r="BC121" s="6085"/>
      <c r="BD121" s="6085"/>
      <c r="BE121" s="6085"/>
      <c r="BF121" s="6085"/>
      <c r="BG121" s="6085"/>
      <c r="BH121" s="6085"/>
      <c r="BI121" s="6085"/>
      <c r="BJ121" s="6085"/>
      <c r="BK121" s="6085"/>
      <c r="BL121" s="6085"/>
    </row>
    <row r="122" spans="1:64" ht="14.5" x14ac:dyDescent="0.35">
      <c r="A122" t="s">
        <v>326</v>
      </c>
      <c r="B122" t="s">
        <v>122</v>
      </c>
      <c r="C122" t="s">
        <v>123</v>
      </c>
      <c r="D122" t="s">
        <v>124</v>
      </c>
      <c r="E122" t="s">
        <v>327</v>
      </c>
      <c r="F122">
        <v>11.705</v>
      </c>
      <c r="G122">
        <v>12.609</v>
      </c>
      <c r="H122">
        <v>14.519</v>
      </c>
      <c r="I122">
        <v>16.015000000000001</v>
      </c>
      <c r="J122">
        <v>17.119</v>
      </c>
      <c r="K122">
        <v>18.34</v>
      </c>
      <c r="L122">
        <v>18.989000000000001</v>
      </c>
      <c r="M122">
        <v>20.858000000000001</v>
      </c>
      <c r="N122">
        <v>21.54</v>
      </c>
      <c r="O122">
        <v>22.192</v>
      </c>
      <c r="P122">
        <v>20.021000000000001</v>
      </c>
      <c r="Q122">
        <v>23.585000000000001</v>
      </c>
      <c r="R122">
        <v>26.219000000000001</v>
      </c>
      <c r="S122">
        <v>28.878</v>
      </c>
      <c r="T122">
        <v>31.221</v>
      </c>
      <c r="U122">
        <v>33.764000000000003</v>
      </c>
      <c r="V122">
        <v>36.448</v>
      </c>
      <c r="W122">
        <v>2020</v>
      </c>
      <c r="BB122" s="6085"/>
      <c r="BC122" s="6085"/>
      <c r="BD122" s="6085"/>
      <c r="BE122" s="6085"/>
      <c r="BF122" s="6085"/>
      <c r="BG122" s="6085"/>
      <c r="BH122" s="6085"/>
      <c r="BI122" s="6085"/>
      <c r="BJ122" s="6085"/>
      <c r="BK122" s="6085"/>
      <c r="BL122" s="6085"/>
    </row>
    <row r="123" spans="1:64" ht="14.5" x14ac:dyDescent="0.35">
      <c r="A123" t="s">
        <v>66</v>
      </c>
      <c r="B123" t="s">
        <v>122</v>
      </c>
      <c r="C123" t="s">
        <v>123</v>
      </c>
      <c r="D123" t="s">
        <v>124</v>
      </c>
      <c r="E123" t="s">
        <v>328</v>
      </c>
      <c r="F123" s="1112">
        <v>10255.614</v>
      </c>
      <c r="G123" s="1112">
        <v>12797.213</v>
      </c>
      <c r="H123" s="1112">
        <v>16514.295999999998</v>
      </c>
      <c r="I123" s="1112">
        <v>21317.382000000001</v>
      </c>
      <c r="J123" s="1112">
        <v>22689.451000000001</v>
      </c>
      <c r="K123" s="1112">
        <v>21583.300999999999</v>
      </c>
      <c r="L123" s="1112">
        <v>24296.286</v>
      </c>
      <c r="M123" s="1112">
        <v>27465.429</v>
      </c>
      <c r="N123" s="1112">
        <v>32401.626</v>
      </c>
      <c r="O123" s="1112">
        <v>37137.730000000003</v>
      </c>
      <c r="P123" s="1112">
        <v>41344.008000000002</v>
      </c>
      <c r="Q123" s="1112">
        <v>47689.243000000002</v>
      </c>
      <c r="R123" s="1112">
        <v>56977.95</v>
      </c>
      <c r="S123" s="1112">
        <v>65816.206999999995</v>
      </c>
      <c r="T123" s="1112">
        <v>75762.498000000007</v>
      </c>
      <c r="U123" s="1112">
        <v>86115.293000000005</v>
      </c>
      <c r="V123" s="1112">
        <v>96033.718999999997</v>
      </c>
      <c r="W123">
        <v>2018</v>
      </c>
      <c r="AT123" s="7676"/>
      <c r="AU123" s="7676"/>
      <c r="AV123" s="7676"/>
      <c r="AW123" s="7676"/>
      <c r="AX123" s="7676"/>
      <c r="BB123" s="6085"/>
      <c r="BC123" s="6085"/>
      <c r="BD123" s="6085"/>
      <c r="BE123" s="6085"/>
      <c r="BF123" s="6085"/>
      <c r="BG123" s="6085"/>
      <c r="BH123" s="6085"/>
      <c r="BI123" s="6085"/>
      <c r="BJ123" s="6085"/>
      <c r="BK123" s="6085"/>
      <c r="BL123" s="6085"/>
    </row>
    <row r="124" spans="1:64" ht="14.5" x14ac:dyDescent="0.35">
      <c r="A124" t="s">
        <v>329</v>
      </c>
      <c r="B124" t="s">
        <v>122</v>
      </c>
      <c r="C124" t="s">
        <v>123</v>
      </c>
      <c r="D124" t="s">
        <v>124</v>
      </c>
      <c r="E124" t="s">
        <v>330</v>
      </c>
      <c r="F124">
        <v>6.8289999999999997</v>
      </c>
      <c r="G124">
        <v>8.0229999999999997</v>
      </c>
      <c r="H124">
        <v>8.76</v>
      </c>
      <c r="I124">
        <v>9.3810000000000002</v>
      </c>
      <c r="J124">
        <v>9.85</v>
      </c>
      <c r="K124">
        <v>10.345000000000001</v>
      </c>
      <c r="L124">
        <v>10.957000000000001</v>
      </c>
      <c r="M124">
        <v>11.702999999999999</v>
      </c>
      <c r="N124">
        <v>12.522</v>
      </c>
      <c r="O124">
        <v>12.833</v>
      </c>
      <c r="P124">
        <v>12.696999999999999</v>
      </c>
      <c r="Q124">
        <v>13.404</v>
      </c>
      <c r="R124">
        <v>14.62</v>
      </c>
      <c r="S124">
        <v>16.032</v>
      </c>
      <c r="T124">
        <v>17.239999999999998</v>
      </c>
      <c r="U124">
        <v>18.338000000000001</v>
      </c>
      <c r="V124">
        <v>19.483000000000001</v>
      </c>
      <c r="W124">
        <v>2019</v>
      </c>
      <c r="BB124" s="6085"/>
      <c r="BC124" s="6085"/>
      <c r="BD124" s="6085"/>
      <c r="BE124" s="6085"/>
      <c r="BF124" s="6085"/>
      <c r="BG124" s="6085"/>
      <c r="BH124" s="6085"/>
      <c r="BI124" s="6085"/>
      <c r="BJ124" s="6085"/>
      <c r="BK124" s="6085"/>
      <c r="BL124" s="6085"/>
    </row>
    <row r="125" spans="1:64" ht="14.5" x14ac:dyDescent="0.35">
      <c r="A125" t="s">
        <v>331</v>
      </c>
      <c r="B125" t="s">
        <v>122</v>
      </c>
      <c r="C125" t="s">
        <v>123</v>
      </c>
      <c r="D125" t="s">
        <v>124</v>
      </c>
      <c r="E125" t="s">
        <v>332</v>
      </c>
      <c r="F125" t="s">
        <v>126</v>
      </c>
      <c r="G125">
        <v>3.4990000000000001</v>
      </c>
      <c r="H125">
        <v>3.6110000000000002</v>
      </c>
      <c r="I125">
        <v>3.8919999999999999</v>
      </c>
      <c r="J125">
        <v>3.964</v>
      </c>
      <c r="K125">
        <v>4.0490000000000004</v>
      </c>
      <c r="L125">
        <v>4.1980000000000004</v>
      </c>
      <c r="M125">
        <v>4.5090000000000003</v>
      </c>
      <c r="N125">
        <v>4.6509999999999998</v>
      </c>
      <c r="O125">
        <v>5.0609999999999999</v>
      </c>
      <c r="P125">
        <v>4.99</v>
      </c>
      <c r="Q125">
        <v>5.4240000000000004</v>
      </c>
      <c r="R125">
        <v>5.8879999999999999</v>
      </c>
      <c r="S125">
        <v>6.6109999999999998</v>
      </c>
      <c r="T125">
        <v>7.3849999999999998</v>
      </c>
      <c r="U125">
        <v>8.0609999999999999</v>
      </c>
      <c r="V125">
        <v>8.7639999999999993</v>
      </c>
      <c r="W125">
        <v>2019</v>
      </c>
      <c r="BB125" s="6085"/>
      <c r="BC125" s="6085"/>
      <c r="BD125" s="6085"/>
      <c r="BE125" s="6085"/>
      <c r="BF125" s="6085"/>
      <c r="BG125" s="6085"/>
      <c r="BH125" s="6085"/>
      <c r="BI125" s="6085"/>
      <c r="BJ125" s="6085"/>
      <c r="BK125" s="6085"/>
      <c r="BL125" s="6085"/>
    </row>
    <row r="126" spans="1:64" ht="14.5" x14ac:dyDescent="0.35">
      <c r="A126" t="s">
        <v>333</v>
      </c>
      <c r="B126" t="s">
        <v>122</v>
      </c>
      <c r="C126" t="s">
        <v>123</v>
      </c>
      <c r="D126" t="s">
        <v>124</v>
      </c>
      <c r="E126" t="s">
        <v>334</v>
      </c>
      <c r="F126" s="1112">
        <v>3055.6129999999998</v>
      </c>
      <c r="G126" s="1112">
        <v>3327.047</v>
      </c>
      <c r="H126" s="1112">
        <v>3566.3850000000002</v>
      </c>
      <c r="I126" s="1112">
        <v>3868.63</v>
      </c>
      <c r="J126" s="1112">
        <v>4133.8729999999996</v>
      </c>
      <c r="K126" s="1112">
        <v>4420.7929999999997</v>
      </c>
      <c r="L126" s="1112">
        <v>4759.5550000000003</v>
      </c>
      <c r="M126" s="1112">
        <v>5078.1899999999996</v>
      </c>
      <c r="N126" s="1112">
        <v>5357.64</v>
      </c>
      <c r="O126" s="1112">
        <v>5605.0339999999997</v>
      </c>
      <c r="P126" s="1112">
        <v>5521.0749999999998</v>
      </c>
      <c r="Q126" s="1112">
        <v>6146.665</v>
      </c>
      <c r="R126" s="1112">
        <v>6462.8069999999998</v>
      </c>
      <c r="S126" s="1112">
        <v>6860.35</v>
      </c>
      <c r="T126" s="1112">
        <v>7275.5219999999999</v>
      </c>
      <c r="U126" s="1112">
        <v>7703.6719999999996</v>
      </c>
      <c r="V126" s="1112">
        <v>8173.5720000000001</v>
      </c>
      <c r="W126">
        <v>2020</v>
      </c>
      <c r="AT126" s="7676"/>
      <c r="AU126" s="7676"/>
      <c r="AV126" s="7676"/>
      <c r="AW126" s="7676"/>
      <c r="AX126" s="7676"/>
      <c r="BB126" s="6085"/>
      <c r="BC126" s="6085"/>
      <c r="BD126" s="6085"/>
      <c r="BE126" s="6085"/>
      <c r="BF126" s="6085"/>
      <c r="BG126" s="6085"/>
      <c r="BH126" s="6085"/>
      <c r="BI126" s="6085"/>
      <c r="BJ126" s="6085"/>
      <c r="BK126" s="6085"/>
      <c r="BL126" s="6085"/>
    </row>
    <row r="127" spans="1:64" ht="14.5" x14ac:dyDescent="0.35">
      <c r="A127" t="s">
        <v>67</v>
      </c>
      <c r="B127" t="s">
        <v>122</v>
      </c>
      <c r="C127" t="s">
        <v>123</v>
      </c>
      <c r="D127" t="s">
        <v>124</v>
      </c>
      <c r="E127" t="s">
        <v>335</v>
      </c>
      <c r="F127" t="s">
        <v>126</v>
      </c>
      <c r="G127">
        <v>51.63</v>
      </c>
      <c r="H127">
        <v>33.237000000000002</v>
      </c>
      <c r="I127">
        <v>44.093000000000004</v>
      </c>
      <c r="J127">
        <v>45.381</v>
      </c>
      <c r="K127">
        <v>52.875999999999998</v>
      </c>
      <c r="L127">
        <v>164.374</v>
      </c>
      <c r="M127">
        <v>397.13799999999998</v>
      </c>
      <c r="N127">
        <v>660.31500000000005</v>
      </c>
      <c r="O127">
        <v>725.23699999999997</v>
      </c>
      <c r="P127">
        <v>736.55700000000002</v>
      </c>
      <c r="Q127" s="1112">
        <v>1082.6849999999999</v>
      </c>
      <c r="R127" s="1112">
        <v>2170.904</v>
      </c>
      <c r="S127" s="1112">
        <v>3053.346</v>
      </c>
      <c r="T127" s="1112">
        <v>3444.7570000000001</v>
      </c>
      <c r="U127" s="1112">
        <v>3790.357</v>
      </c>
      <c r="V127" s="1112">
        <v>4779.3720000000003</v>
      </c>
      <c r="W127">
        <v>2018</v>
      </c>
      <c r="BB127" s="6085"/>
      <c r="BC127" s="6085"/>
      <c r="BD127" s="6085"/>
      <c r="BE127" s="6085"/>
      <c r="BF127" s="6085"/>
      <c r="BG127" s="6085"/>
      <c r="BH127" s="6085"/>
      <c r="BI127" s="6085"/>
      <c r="BJ127" s="6085"/>
      <c r="BK127" s="6085"/>
      <c r="BL127" s="6085"/>
    </row>
    <row r="128" spans="1:64" ht="14.5" x14ac:dyDescent="0.35">
      <c r="A128" t="s">
        <v>336</v>
      </c>
      <c r="B128" t="s">
        <v>122</v>
      </c>
      <c r="C128" t="s">
        <v>123</v>
      </c>
      <c r="D128" t="s">
        <v>124</v>
      </c>
      <c r="E128" t="s">
        <v>337</v>
      </c>
      <c r="F128" s="1112">
        <v>6413.6679999999997</v>
      </c>
      <c r="G128" s="1112">
        <v>7219.1059999999998</v>
      </c>
      <c r="H128" s="1112">
        <v>8732.4629999999997</v>
      </c>
      <c r="I128" s="1112">
        <v>9592.125</v>
      </c>
      <c r="J128" s="1112">
        <v>10361.151</v>
      </c>
      <c r="K128" s="1112">
        <v>10950.620999999999</v>
      </c>
      <c r="L128" s="1112">
        <v>11996.084000000001</v>
      </c>
      <c r="M128" s="1112">
        <v>13328.102999999999</v>
      </c>
      <c r="N128" s="1112">
        <v>14290.907999999999</v>
      </c>
      <c r="O128" s="1112">
        <v>15012.953</v>
      </c>
      <c r="P128" s="1112">
        <v>14972.994000000001</v>
      </c>
      <c r="Q128" s="1112">
        <v>16264.023999999999</v>
      </c>
      <c r="R128" s="1112">
        <v>17808.062999999998</v>
      </c>
      <c r="S128" s="1112">
        <v>19708.723999999998</v>
      </c>
      <c r="T128" s="1112">
        <v>21807.309000000001</v>
      </c>
      <c r="U128" s="1112">
        <v>24016.815999999999</v>
      </c>
      <c r="V128" s="1112">
        <v>26325.484</v>
      </c>
      <c r="W128">
        <v>2019</v>
      </c>
      <c r="AT128" s="7676"/>
      <c r="AU128" s="7676"/>
      <c r="AV128" s="7676"/>
      <c r="AW128" s="7676"/>
      <c r="AX128" s="7676"/>
      <c r="BB128" s="6085"/>
      <c r="BC128" s="6085"/>
      <c r="BD128" s="6085"/>
      <c r="BE128" s="6085"/>
      <c r="BF128" s="6085"/>
      <c r="BG128" s="6085"/>
      <c r="BH128" s="6085"/>
      <c r="BI128" s="6085"/>
      <c r="BJ128" s="6085"/>
      <c r="BK128" s="6085"/>
      <c r="BL128" s="6085"/>
    </row>
    <row r="129" spans="1:64" ht="14.5" x14ac:dyDescent="0.35">
      <c r="A129" t="s">
        <v>338</v>
      </c>
      <c r="B129" t="s">
        <v>122</v>
      </c>
      <c r="C129" t="s">
        <v>123</v>
      </c>
      <c r="D129" t="s">
        <v>124</v>
      </c>
      <c r="E129" t="s">
        <v>339</v>
      </c>
      <c r="F129">
        <v>2.1030000000000002</v>
      </c>
      <c r="G129">
        <v>2.2570000000000001</v>
      </c>
      <c r="H129">
        <v>2.2309999999999999</v>
      </c>
      <c r="I129">
        <v>2.3639999999999999</v>
      </c>
      <c r="J129">
        <v>2.5760000000000001</v>
      </c>
      <c r="K129">
        <v>2.5880000000000001</v>
      </c>
      <c r="L129">
        <v>2.7240000000000002</v>
      </c>
      <c r="M129">
        <v>2.8639999999999999</v>
      </c>
      <c r="N129">
        <v>2.9119999999999999</v>
      </c>
      <c r="O129">
        <v>3.145</v>
      </c>
      <c r="P129">
        <v>2.6480000000000001</v>
      </c>
      <c r="Q129">
        <v>2.6360000000000001</v>
      </c>
      <c r="R129">
        <v>2.948</v>
      </c>
      <c r="S129">
        <v>3.125</v>
      </c>
      <c r="T129">
        <v>3.266</v>
      </c>
      <c r="U129">
        <v>3.4079999999999999</v>
      </c>
      <c r="V129">
        <v>3.569</v>
      </c>
      <c r="W129">
        <v>2019</v>
      </c>
      <c r="BB129" s="6085"/>
      <c r="BC129" s="6085"/>
      <c r="BD129" s="6085"/>
      <c r="BE129" s="6085"/>
      <c r="BF129" s="6085"/>
      <c r="BG129" s="6085"/>
      <c r="BH129" s="6085"/>
      <c r="BI129" s="6085"/>
      <c r="BJ129" s="6085"/>
      <c r="BK129" s="6085"/>
      <c r="BL129" s="6085"/>
    </row>
    <row r="130" spans="1:64" ht="14.5" x14ac:dyDescent="0.35">
      <c r="A130" t="s">
        <v>340</v>
      </c>
      <c r="B130" t="s">
        <v>122</v>
      </c>
      <c r="C130" t="s">
        <v>123</v>
      </c>
      <c r="D130" t="s">
        <v>124</v>
      </c>
      <c r="E130" t="s">
        <v>341</v>
      </c>
      <c r="F130">
        <v>4.0140000000000002</v>
      </c>
      <c r="G130">
        <v>4.2590000000000003</v>
      </c>
      <c r="H130">
        <v>4.3360000000000003</v>
      </c>
      <c r="I130">
        <v>4.4980000000000002</v>
      </c>
      <c r="J130">
        <v>4.7409999999999997</v>
      </c>
      <c r="K130">
        <v>4.8869999999999996</v>
      </c>
      <c r="L130">
        <v>5.0369999999999999</v>
      </c>
      <c r="M130">
        <v>5.391</v>
      </c>
      <c r="N130">
        <v>5.5759999999999996</v>
      </c>
      <c r="O130">
        <v>5.7210000000000001</v>
      </c>
      <c r="P130">
        <v>4.3650000000000002</v>
      </c>
      <c r="Q130">
        <v>4.6310000000000002</v>
      </c>
      <c r="R130">
        <v>5.3949999999999996</v>
      </c>
      <c r="S130">
        <v>5.9880000000000004</v>
      </c>
      <c r="T130">
        <v>6.351</v>
      </c>
      <c r="U130">
        <v>6.5919999999999996</v>
      </c>
      <c r="V130">
        <v>6.8220000000000001</v>
      </c>
      <c r="W130">
        <v>2020</v>
      </c>
      <c r="BB130" s="6085"/>
      <c r="BC130" s="6085"/>
      <c r="BD130" s="6085"/>
      <c r="BE130" s="6085"/>
      <c r="BF130" s="6085"/>
      <c r="BG130" s="6085"/>
      <c r="BH130" s="6085"/>
      <c r="BI130" s="6085"/>
      <c r="BJ130" s="6085"/>
      <c r="BK130" s="6085"/>
      <c r="BL130" s="6085"/>
    </row>
    <row r="131" spans="1:64" ht="14.5" x14ac:dyDescent="0.35">
      <c r="A131" t="s">
        <v>342</v>
      </c>
      <c r="B131" t="s">
        <v>122</v>
      </c>
      <c r="C131" t="s">
        <v>123</v>
      </c>
      <c r="D131" t="s">
        <v>124</v>
      </c>
      <c r="E131" t="s">
        <v>343</v>
      </c>
      <c r="F131">
        <v>1.839</v>
      </c>
      <c r="G131">
        <v>1.8260000000000001</v>
      </c>
      <c r="H131">
        <v>1.871</v>
      </c>
      <c r="I131">
        <v>1.9470000000000001</v>
      </c>
      <c r="J131">
        <v>1.9650000000000001</v>
      </c>
      <c r="K131">
        <v>2.04</v>
      </c>
      <c r="L131">
        <v>2.0910000000000002</v>
      </c>
      <c r="M131">
        <v>2.1389999999999998</v>
      </c>
      <c r="N131">
        <v>2.1909999999999998</v>
      </c>
      <c r="O131">
        <v>2.2280000000000002</v>
      </c>
      <c r="P131">
        <v>2.1800000000000002</v>
      </c>
      <c r="Q131">
        <v>2.077</v>
      </c>
      <c r="R131">
        <v>2.3090000000000002</v>
      </c>
      <c r="S131">
        <v>2.508</v>
      </c>
      <c r="T131">
        <v>2.6720000000000002</v>
      </c>
      <c r="U131">
        <v>2.8159999999999998</v>
      </c>
      <c r="V131">
        <v>2.9510000000000001</v>
      </c>
      <c r="W131">
        <v>2019</v>
      </c>
      <c r="BB131" s="6085"/>
      <c r="BC131" s="6085"/>
      <c r="BD131" s="6085"/>
      <c r="BE131" s="6085"/>
      <c r="BF131" s="6085"/>
      <c r="BG131" s="6085"/>
      <c r="BH131" s="6085"/>
      <c r="BI131" s="6085"/>
      <c r="BJ131" s="6085"/>
      <c r="BK131" s="6085"/>
      <c r="BL131" s="6085"/>
    </row>
    <row r="132" spans="1:64" ht="14.5" x14ac:dyDescent="0.35">
      <c r="A132" t="s">
        <v>344</v>
      </c>
      <c r="B132" t="s">
        <v>122</v>
      </c>
      <c r="C132" t="s">
        <v>123</v>
      </c>
      <c r="D132" t="s">
        <v>124</v>
      </c>
      <c r="E132" t="s">
        <v>345</v>
      </c>
      <c r="F132">
        <v>170.99299999999999</v>
      </c>
      <c r="G132">
        <v>209.071</v>
      </c>
      <c r="H132">
        <v>225.798</v>
      </c>
      <c r="I132">
        <v>314.07600000000002</v>
      </c>
      <c r="J132">
        <v>440.7</v>
      </c>
      <c r="K132">
        <v>506.36599999999999</v>
      </c>
      <c r="L132">
        <v>743.89599999999996</v>
      </c>
      <c r="M132">
        <v>866.95799999999997</v>
      </c>
      <c r="N132" s="1112">
        <v>1361.9269999999999</v>
      </c>
      <c r="O132" s="1112">
        <v>2029.7529999999999</v>
      </c>
      <c r="P132" s="1112">
        <v>5172.18</v>
      </c>
      <c r="Q132" s="1112">
        <v>15597.125</v>
      </c>
      <c r="R132" s="1112">
        <v>22854.056</v>
      </c>
      <c r="S132" s="1112">
        <v>28133.8</v>
      </c>
      <c r="T132" s="1112">
        <v>32727.621999999999</v>
      </c>
      <c r="U132" s="1112">
        <v>37792.381999999998</v>
      </c>
      <c r="V132" s="1112">
        <v>43445.987999999998</v>
      </c>
      <c r="W132">
        <v>2019</v>
      </c>
      <c r="AV132" s="7676"/>
      <c r="AW132" s="7676"/>
      <c r="AX132" s="7676"/>
      <c r="BB132" s="6085"/>
      <c r="BC132" s="6085"/>
      <c r="BD132" s="6085"/>
      <c r="BE132" s="6085"/>
      <c r="BF132" s="6085"/>
      <c r="BG132" s="6085"/>
      <c r="BH132" s="6085"/>
      <c r="BI132" s="6085"/>
      <c r="BJ132" s="6085"/>
      <c r="BK132" s="6085"/>
      <c r="BL132" s="6085"/>
    </row>
    <row r="133" spans="1:64" ht="14.5" x14ac:dyDescent="0.35">
      <c r="A133" t="s">
        <v>346</v>
      </c>
      <c r="B133" t="s">
        <v>122</v>
      </c>
      <c r="C133" t="s">
        <v>123</v>
      </c>
      <c r="D133" t="s">
        <v>124</v>
      </c>
      <c r="E133" t="s">
        <v>347</v>
      </c>
      <c r="F133">
        <v>12.842000000000001</v>
      </c>
      <c r="G133">
        <v>15.475</v>
      </c>
      <c r="H133">
        <v>17.597000000000001</v>
      </c>
      <c r="I133">
        <v>18.181999999999999</v>
      </c>
      <c r="J133">
        <v>18.518000000000001</v>
      </c>
      <c r="K133">
        <v>17.515000000000001</v>
      </c>
      <c r="L133">
        <v>20.663</v>
      </c>
      <c r="M133">
        <v>26.893000000000001</v>
      </c>
      <c r="N133">
        <v>29.821999999999999</v>
      </c>
      <c r="O133">
        <v>31.483000000000001</v>
      </c>
      <c r="P133">
        <v>38.353000000000002</v>
      </c>
      <c r="Q133">
        <v>58.677</v>
      </c>
      <c r="R133">
        <v>76.978999999999999</v>
      </c>
      <c r="S133">
        <v>94.438999999999993</v>
      </c>
      <c r="T133">
        <v>108.849</v>
      </c>
      <c r="U133">
        <v>123.235</v>
      </c>
      <c r="V133">
        <v>138.834</v>
      </c>
      <c r="W133">
        <v>2020</v>
      </c>
      <c r="BB133" s="6085"/>
      <c r="BC133" s="6085"/>
      <c r="BD133" s="6085"/>
      <c r="BE133" s="6085"/>
      <c r="BF133" s="6085"/>
      <c r="BG133" s="6085"/>
      <c r="BH133" s="6085"/>
      <c r="BI133" s="6085"/>
      <c r="BJ133" s="6085"/>
      <c r="BK133" s="6085"/>
      <c r="BL133" s="6085"/>
    </row>
    <row r="134" spans="1:64" ht="14.5" x14ac:dyDescent="0.35">
      <c r="A134" t="s">
        <v>348</v>
      </c>
      <c r="B134" t="s">
        <v>122</v>
      </c>
      <c r="C134" t="s">
        <v>123</v>
      </c>
      <c r="D134" t="s">
        <v>124</v>
      </c>
      <c r="E134" t="s">
        <v>349</v>
      </c>
      <c r="F134" s="1112">
        <v>2791.7750000000001</v>
      </c>
      <c r="G134" t="s">
        <v>126</v>
      </c>
      <c r="H134" t="s">
        <v>126</v>
      </c>
      <c r="I134" t="s">
        <v>126</v>
      </c>
      <c r="J134" t="s">
        <v>126</v>
      </c>
      <c r="K134" t="s">
        <v>126</v>
      </c>
      <c r="L134" t="s">
        <v>126</v>
      </c>
      <c r="M134" t="s">
        <v>126</v>
      </c>
      <c r="N134" t="s">
        <v>126</v>
      </c>
      <c r="O134" t="s">
        <v>126</v>
      </c>
      <c r="P134" t="s">
        <v>126</v>
      </c>
      <c r="Q134" t="s">
        <v>126</v>
      </c>
      <c r="R134" t="s">
        <v>126</v>
      </c>
      <c r="S134" t="s">
        <v>126</v>
      </c>
      <c r="T134" t="s">
        <v>126</v>
      </c>
      <c r="U134" t="s">
        <v>126</v>
      </c>
      <c r="V134" t="s">
        <v>126</v>
      </c>
      <c r="W134">
        <v>2010</v>
      </c>
      <c r="BB134" s="6085"/>
      <c r="BC134" s="6085"/>
      <c r="BD134" s="6085"/>
      <c r="BE134" s="6085"/>
      <c r="BF134" s="6085"/>
      <c r="BG134" s="6085"/>
      <c r="BH134" s="6085"/>
      <c r="BI134" s="6085"/>
      <c r="BJ134" s="6085"/>
      <c r="BK134" s="6085"/>
      <c r="BL134" s="6085"/>
    </row>
    <row r="135" spans="1:64" ht="14.5" x14ac:dyDescent="0.35">
      <c r="A135" t="s">
        <v>114</v>
      </c>
      <c r="B135" t="s">
        <v>122</v>
      </c>
      <c r="C135" t="s">
        <v>123</v>
      </c>
      <c r="D135" t="s">
        <v>124</v>
      </c>
      <c r="E135" t="s">
        <v>350</v>
      </c>
      <c r="F135">
        <v>24.704999999999998</v>
      </c>
      <c r="G135">
        <v>30.068999999999999</v>
      </c>
      <c r="H135">
        <v>36.161000000000001</v>
      </c>
      <c r="I135">
        <v>40.524999999999999</v>
      </c>
      <c r="J135">
        <v>45.604999999999997</v>
      </c>
      <c r="K135">
        <v>48.402000000000001</v>
      </c>
      <c r="L135">
        <v>54.470999999999997</v>
      </c>
      <c r="M135">
        <v>61.093000000000004</v>
      </c>
      <c r="N135">
        <v>68.843999999999994</v>
      </c>
      <c r="O135">
        <v>77.355000000000004</v>
      </c>
      <c r="P135">
        <v>82.543000000000006</v>
      </c>
      <c r="Q135">
        <v>92.147999999999996</v>
      </c>
      <c r="R135">
        <v>102.021</v>
      </c>
      <c r="S135">
        <v>112.22799999999999</v>
      </c>
      <c r="T135">
        <v>123.592</v>
      </c>
      <c r="U135">
        <v>136.119</v>
      </c>
      <c r="V135">
        <v>149.917</v>
      </c>
      <c r="W135">
        <v>2019</v>
      </c>
      <c r="BB135" s="6085"/>
      <c r="BC135" s="6085"/>
      <c r="BD135" s="6085"/>
      <c r="BE135" s="6085"/>
      <c r="BF135" s="6085"/>
      <c r="BG135" s="6085"/>
      <c r="BH135" s="6085"/>
      <c r="BI135" s="6085"/>
      <c r="BJ135" s="6085"/>
      <c r="BK135" s="6085"/>
      <c r="BL135" s="6085"/>
    </row>
    <row r="136" spans="1:64" ht="14.5" x14ac:dyDescent="0.35">
      <c r="A136" t="s">
        <v>351</v>
      </c>
      <c r="B136" t="s">
        <v>122</v>
      </c>
      <c r="C136" t="s">
        <v>123</v>
      </c>
      <c r="D136" t="s">
        <v>124</v>
      </c>
      <c r="E136" t="s">
        <v>352</v>
      </c>
      <c r="F136" s="1112">
        <v>44467.108</v>
      </c>
      <c r="G136" s="1112">
        <v>53522.182999999997</v>
      </c>
      <c r="H136" s="1112">
        <v>62318.659</v>
      </c>
      <c r="I136" s="1112">
        <v>72977.2</v>
      </c>
      <c r="J136" s="1112">
        <v>82603.387000000002</v>
      </c>
      <c r="K136" s="1112">
        <v>94349.316000000006</v>
      </c>
      <c r="L136" s="1112">
        <v>108362.32399999999</v>
      </c>
      <c r="M136" s="1112">
        <v>118744.49800000001</v>
      </c>
      <c r="N136" s="1112">
        <v>129014.82799999999</v>
      </c>
      <c r="O136" s="1112">
        <v>139893.804</v>
      </c>
      <c r="P136" s="1112">
        <v>148522.111</v>
      </c>
      <c r="Q136" s="1112">
        <v>160268.166</v>
      </c>
      <c r="R136" s="1112">
        <v>175021.274</v>
      </c>
      <c r="S136" s="1112">
        <v>192010.65700000001</v>
      </c>
      <c r="T136" s="1112">
        <v>211330.22500000001</v>
      </c>
      <c r="U136" s="1112">
        <v>233018.14199999999</v>
      </c>
      <c r="V136" s="1112">
        <v>256910.34700000001</v>
      </c>
      <c r="W136">
        <v>2020</v>
      </c>
      <c r="AT136" s="7676"/>
      <c r="AU136" s="7676"/>
      <c r="AV136" s="7676"/>
      <c r="AW136" s="7676"/>
      <c r="AX136" s="7676"/>
      <c r="BB136" s="6085"/>
      <c r="BC136" s="6085"/>
      <c r="BD136" s="6085"/>
      <c r="BE136" s="6085"/>
      <c r="BF136" s="6085"/>
      <c r="BG136" s="6085"/>
      <c r="BH136" s="6085"/>
      <c r="BI136" s="6085"/>
      <c r="BJ136" s="6085"/>
      <c r="BK136" s="6085"/>
      <c r="BL136" s="6085"/>
    </row>
    <row r="137" spans="1:64" ht="14.5" x14ac:dyDescent="0.35">
      <c r="A137" t="s">
        <v>353</v>
      </c>
      <c r="B137" t="s">
        <v>122</v>
      </c>
      <c r="C137" t="s">
        <v>123</v>
      </c>
      <c r="D137" t="s">
        <v>124</v>
      </c>
      <c r="E137" t="s">
        <v>354</v>
      </c>
      <c r="F137" s="1112">
        <v>10808.145</v>
      </c>
      <c r="G137" s="1112">
        <v>11306.906000000001</v>
      </c>
      <c r="H137" s="1112">
        <v>12357.342000000001</v>
      </c>
      <c r="I137" s="1112">
        <v>12915.157999999999</v>
      </c>
      <c r="J137" s="1112">
        <v>13230.304</v>
      </c>
      <c r="K137" s="1112">
        <v>13743.48</v>
      </c>
      <c r="L137" s="1112">
        <v>14590.337</v>
      </c>
      <c r="M137" s="1112">
        <v>15488.664000000001</v>
      </c>
      <c r="N137" s="1112">
        <v>16368.705</v>
      </c>
      <c r="O137" s="1112">
        <v>16898.085999999999</v>
      </c>
      <c r="P137" s="1112">
        <v>15698.286</v>
      </c>
      <c r="Q137" s="1112">
        <v>16112.834000000001</v>
      </c>
      <c r="R137" s="1112">
        <v>16945.371999999999</v>
      </c>
      <c r="S137" s="1112">
        <v>17575.468000000001</v>
      </c>
      <c r="T137" s="1112">
        <v>18450.45</v>
      </c>
      <c r="U137" s="1112">
        <v>19413.909</v>
      </c>
      <c r="V137" s="1112">
        <v>20458.647000000001</v>
      </c>
      <c r="W137">
        <v>2020</v>
      </c>
      <c r="AG137" s="7676"/>
      <c r="AH137" s="7676"/>
      <c r="AI137" s="7676"/>
      <c r="AJ137" s="7676"/>
      <c r="AK137" s="7676"/>
      <c r="AT137" s="7676"/>
      <c r="AU137" s="7676"/>
      <c r="AV137" s="7676"/>
      <c r="AW137" s="7676"/>
      <c r="AX137" s="7676"/>
      <c r="BB137" s="6085"/>
      <c r="BC137" s="6085"/>
      <c r="BD137" s="6085"/>
      <c r="BE137" s="6085"/>
      <c r="BF137" s="6085"/>
      <c r="BG137" s="6085"/>
      <c r="BH137" s="6085"/>
      <c r="BI137" s="6085"/>
      <c r="BJ137" s="6085"/>
      <c r="BK137" s="6085"/>
      <c r="BL137" s="6085"/>
    </row>
    <row r="138" spans="1:64" ht="14.5" x14ac:dyDescent="0.35">
      <c r="A138" t="s">
        <v>70</v>
      </c>
      <c r="B138" t="s">
        <v>122</v>
      </c>
      <c r="C138" t="s">
        <v>123</v>
      </c>
      <c r="D138" t="s">
        <v>124</v>
      </c>
      <c r="E138" t="s">
        <v>355</v>
      </c>
      <c r="F138">
        <v>0.88200000000000001</v>
      </c>
      <c r="G138">
        <v>1.0549999999999999</v>
      </c>
      <c r="H138">
        <v>1.1479999999999999</v>
      </c>
      <c r="I138">
        <v>1.3959999999999999</v>
      </c>
      <c r="J138">
        <v>1.4470000000000001</v>
      </c>
      <c r="K138">
        <v>1.5940000000000001</v>
      </c>
      <c r="L138">
        <v>1.651</v>
      </c>
      <c r="M138">
        <v>1.599</v>
      </c>
      <c r="N138">
        <v>1.56</v>
      </c>
      <c r="O138">
        <v>1.6739999999999999</v>
      </c>
      <c r="P138">
        <v>1.5649999999999999</v>
      </c>
      <c r="Q138">
        <v>1.625</v>
      </c>
      <c r="R138">
        <v>1.738</v>
      </c>
      <c r="S138">
        <v>1.8540000000000001</v>
      </c>
      <c r="T138">
        <v>1.9670000000000001</v>
      </c>
      <c r="U138">
        <v>2.1030000000000002</v>
      </c>
      <c r="V138">
        <v>2.2530000000000001</v>
      </c>
      <c r="W138">
        <v>2019</v>
      </c>
      <c r="BB138" s="6085"/>
      <c r="BC138" s="6085"/>
      <c r="BD138" s="6085"/>
      <c r="BE138" s="6085"/>
      <c r="BF138" s="6085"/>
      <c r="BG138" s="6085"/>
      <c r="BH138" s="6085"/>
      <c r="BI138" s="6085"/>
      <c r="BJ138" s="6085"/>
      <c r="BK138" s="6085"/>
      <c r="BL138" s="6085"/>
    </row>
    <row r="139" spans="1:64" ht="14.5" x14ac:dyDescent="0.35">
      <c r="A139" t="s">
        <v>71</v>
      </c>
      <c r="B139" t="s">
        <v>122</v>
      </c>
      <c r="C139" t="s">
        <v>123</v>
      </c>
      <c r="D139" t="s">
        <v>124</v>
      </c>
      <c r="E139" t="s">
        <v>356</v>
      </c>
      <c r="F139" s="1112">
        <v>2289.1579999999999</v>
      </c>
      <c r="G139" s="1112">
        <v>2461.9960000000001</v>
      </c>
      <c r="H139" s="1112">
        <v>2667.8270000000002</v>
      </c>
      <c r="I139" s="1112">
        <v>2879.66</v>
      </c>
      <c r="J139" s="1112">
        <v>3047.8409999999999</v>
      </c>
      <c r="K139" s="1112">
        <v>3334.9569999999999</v>
      </c>
      <c r="L139" s="1112">
        <v>3574.4</v>
      </c>
      <c r="M139" s="1112">
        <v>3713.5740000000001</v>
      </c>
      <c r="N139" s="1112">
        <v>3950.4470000000001</v>
      </c>
      <c r="O139" s="1112">
        <v>4230.509</v>
      </c>
      <c r="P139" s="1112">
        <v>4359.8540000000003</v>
      </c>
      <c r="Q139" s="1112">
        <v>4648.8999999999996</v>
      </c>
      <c r="R139" s="1112">
        <v>5041.8509999999997</v>
      </c>
      <c r="S139" s="1112">
        <v>5452.1319999999996</v>
      </c>
      <c r="T139" s="1112">
        <v>5895.799</v>
      </c>
      <c r="U139" s="1112">
        <v>6375.5690000000004</v>
      </c>
      <c r="V139" s="1112">
        <v>6891.8310000000001</v>
      </c>
      <c r="W139">
        <v>2016</v>
      </c>
      <c r="AT139" s="7676"/>
      <c r="AU139" s="7676"/>
      <c r="AV139" s="7676"/>
      <c r="AW139" s="7676"/>
      <c r="AX139" s="7676"/>
      <c r="BB139" s="6085"/>
      <c r="BC139" s="6085"/>
      <c r="BD139" s="6085"/>
      <c r="BE139" s="6085"/>
      <c r="BF139" s="6085"/>
      <c r="BG139" s="6085"/>
      <c r="BH139" s="6085"/>
      <c r="BI139" s="6085"/>
      <c r="BJ139" s="6085"/>
      <c r="BK139" s="6085"/>
      <c r="BL139" s="6085"/>
    </row>
    <row r="140" spans="1:64" ht="14.5" x14ac:dyDescent="0.35">
      <c r="A140" t="s">
        <v>357</v>
      </c>
      <c r="B140" t="s">
        <v>122</v>
      </c>
      <c r="C140" t="s">
        <v>123</v>
      </c>
      <c r="D140" t="s">
        <v>124</v>
      </c>
      <c r="E140" t="s">
        <v>358</v>
      </c>
      <c r="F140">
        <v>0.70799999999999996</v>
      </c>
      <c r="G140">
        <v>0.75900000000000001</v>
      </c>
      <c r="H140">
        <v>0.79800000000000004</v>
      </c>
      <c r="I140">
        <v>0.78100000000000003</v>
      </c>
      <c r="J140">
        <v>0.79700000000000004</v>
      </c>
      <c r="K140">
        <v>0.84899999999999998</v>
      </c>
      <c r="L140">
        <v>0.93300000000000005</v>
      </c>
      <c r="M140">
        <v>1.018</v>
      </c>
      <c r="N140">
        <v>1.073</v>
      </c>
      <c r="O140">
        <v>1.1639999999999999</v>
      </c>
      <c r="P140">
        <v>1.129</v>
      </c>
      <c r="Q140">
        <v>1.1220000000000001</v>
      </c>
      <c r="R140">
        <v>1.2090000000000001</v>
      </c>
      <c r="S140">
        <v>1.276</v>
      </c>
      <c r="T140">
        <v>1.341</v>
      </c>
      <c r="U140">
        <v>1.405</v>
      </c>
      <c r="V140">
        <v>1.4710000000000001</v>
      </c>
      <c r="W140">
        <v>2020</v>
      </c>
      <c r="BB140" s="6085"/>
      <c r="BC140" s="6085"/>
      <c r="BD140" s="6085"/>
      <c r="BE140" s="6085"/>
      <c r="BF140" s="6085"/>
      <c r="BG140" s="6085"/>
      <c r="BH140" s="6085"/>
      <c r="BI140" s="6085"/>
      <c r="BJ140" s="6085"/>
      <c r="BK140" s="6085"/>
      <c r="BL140" s="6085"/>
    </row>
    <row r="141" spans="1:64" ht="14.5" x14ac:dyDescent="0.35">
      <c r="A141" t="s">
        <v>359</v>
      </c>
      <c r="B141" t="s">
        <v>122</v>
      </c>
      <c r="C141" t="s">
        <v>123</v>
      </c>
      <c r="D141" t="s">
        <v>124</v>
      </c>
      <c r="E141" t="s">
        <v>360</v>
      </c>
      <c r="F141">
        <v>143.589</v>
      </c>
      <c r="G141">
        <v>165.292</v>
      </c>
      <c r="H141">
        <v>165.64699999999999</v>
      </c>
      <c r="I141">
        <v>175.68</v>
      </c>
      <c r="J141">
        <v>176.99299999999999</v>
      </c>
      <c r="K141">
        <v>159.179</v>
      </c>
      <c r="L141">
        <v>149.29400000000001</v>
      </c>
      <c r="M141">
        <v>151.762</v>
      </c>
      <c r="N141">
        <v>160.33199999999999</v>
      </c>
      <c r="O141">
        <v>156.756</v>
      </c>
      <c r="P141">
        <v>145.73400000000001</v>
      </c>
      <c r="Q141">
        <v>146.01900000000001</v>
      </c>
      <c r="R141">
        <v>156.05000000000001</v>
      </c>
      <c r="S141">
        <v>161.47300000000001</v>
      </c>
      <c r="T141">
        <v>166.267</v>
      </c>
      <c r="U141">
        <v>171.191</v>
      </c>
      <c r="V141">
        <v>176.28100000000001</v>
      </c>
      <c r="W141">
        <v>2019</v>
      </c>
      <c r="BB141" s="6085"/>
      <c r="BC141" s="6085"/>
      <c r="BD141" s="6085"/>
      <c r="BE141" s="6085"/>
      <c r="BF141" s="6085"/>
      <c r="BG141" s="6085"/>
      <c r="BH141" s="6085"/>
      <c r="BI141" s="6085"/>
      <c r="BJ141" s="6085"/>
      <c r="BK141" s="6085"/>
      <c r="BL141" s="6085"/>
    </row>
    <row r="142" spans="1:64" ht="14.5" x14ac:dyDescent="0.35">
      <c r="A142" t="s">
        <v>361</v>
      </c>
      <c r="B142" t="s">
        <v>122</v>
      </c>
      <c r="C142" t="s">
        <v>123</v>
      </c>
      <c r="D142" t="s">
        <v>124</v>
      </c>
      <c r="E142" t="s">
        <v>362</v>
      </c>
      <c r="F142">
        <v>63.055</v>
      </c>
      <c r="G142">
        <v>64.492000000000004</v>
      </c>
      <c r="H142">
        <v>70.353999999999999</v>
      </c>
      <c r="I142">
        <v>75.144000000000005</v>
      </c>
      <c r="J142">
        <v>80.866</v>
      </c>
      <c r="K142">
        <v>84.688999999999993</v>
      </c>
      <c r="L142">
        <v>89.789000000000001</v>
      </c>
      <c r="M142">
        <v>95.864999999999995</v>
      </c>
      <c r="N142">
        <v>106.24299999999999</v>
      </c>
      <c r="O142">
        <v>114.93899999999999</v>
      </c>
      <c r="P142">
        <v>110.295</v>
      </c>
      <c r="Q142">
        <v>120.297</v>
      </c>
      <c r="R142">
        <v>132.375</v>
      </c>
      <c r="S142">
        <v>143.18</v>
      </c>
      <c r="T142">
        <v>153.935</v>
      </c>
      <c r="U142">
        <v>165.18600000000001</v>
      </c>
      <c r="V142">
        <v>177.01499999999999</v>
      </c>
      <c r="W142">
        <v>2020</v>
      </c>
      <c r="BB142" s="6085"/>
      <c r="BC142" s="6085"/>
      <c r="BD142" s="6085"/>
      <c r="BE142" s="6085"/>
      <c r="BF142" s="6085"/>
      <c r="BG142" s="6085"/>
      <c r="BH142" s="6085"/>
      <c r="BI142" s="6085"/>
      <c r="BJ142" s="6085"/>
      <c r="BK142" s="6085"/>
      <c r="BL142" s="6085"/>
    </row>
    <row r="143" spans="1:64" ht="14.5" x14ac:dyDescent="0.35">
      <c r="A143" t="s">
        <v>363</v>
      </c>
      <c r="B143" t="s">
        <v>122</v>
      </c>
      <c r="C143" t="s">
        <v>123</v>
      </c>
      <c r="D143" t="s">
        <v>124</v>
      </c>
      <c r="E143" t="s">
        <v>364</v>
      </c>
      <c r="F143" s="1112">
        <v>1167.664</v>
      </c>
      <c r="G143" s="1112">
        <v>1404.9280000000001</v>
      </c>
      <c r="H143" s="1112">
        <v>1581.479</v>
      </c>
      <c r="I143" s="1112">
        <v>1823.4269999999999</v>
      </c>
      <c r="J143" s="1112">
        <v>2054.8980000000001</v>
      </c>
      <c r="K143" s="1112">
        <v>2350.9409999999998</v>
      </c>
      <c r="L143" s="1112">
        <v>2626.56</v>
      </c>
      <c r="M143" s="1112">
        <v>3133.7040000000002</v>
      </c>
      <c r="N143" s="1112">
        <v>3758.7739999999999</v>
      </c>
      <c r="O143" s="1112">
        <v>4317.7870000000003</v>
      </c>
      <c r="P143" s="1112">
        <v>5046.8829999999998</v>
      </c>
      <c r="Q143" s="1112">
        <v>6631.34</v>
      </c>
      <c r="R143" s="1112">
        <v>7706.8220000000001</v>
      </c>
      <c r="S143" s="1112">
        <v>8894.152</v>
      </c>
      <c r="T143" s="1112">
        <v>10254.941000000001</v>
      </c>
      <c r="U143" s="1112">
        <v>11854.54</v>
      </c>
      <c r="V143" s="1112">
        <v>13714.583000000001</v>
      </c>
      <c r="W143">
        <v>2020</v>
      </c>
      <c r="AG143" s="7676"/>
      <c r="AH143" s="7676"/>
      <c r="AI143" s="7676"/>
      <c r="AJ143" s="7676"/>
      <c r="AK143" s="7676"/>
      <c r="AT143" s="7676"/>
      <c r="AU143" s="7676"/>
      <c r="AV143" s="7676"/>
      <c r="AW143" s="7676"/>
      <c r="AX143" s="7676"/>
      <c r="BB143" s="6085"/>
      <c r="BC143" s="6085"/>
      <c r="BD143" s="6085"/>
      <c r="BE143" s="6085"/>
      <c r="BF143" s="6085"/>
      <c r="BG143" s="6085"/>
      <c r="BH143" s="6085"/>
      <c r="BI143" s="6085"/>
      <c r="BJ143" s="6085"/>
      <c r="BK143" s="6085"/>
      <c r="BL143" s="6085"/>
    </row>
    <row r="144" spans="1:64" ht="14.5" x14ac:dyDescent="0.35">
      <c r="A144" t="s">
        <v>365</v>
      </c>
      <c r="B144" t="s">
        <v>122</v>
      </c>
      <c r="C144" t="s">
        <v>123</v>
      </c>
      <c r="D144" t="s">
        <v>124</v>
      </c>
      <c r="E144" t="s">
        <v>366</v>
      </c>
      <c r="F144">
        <v>99.400999999999996</v>
      </c>
      <c r="G144">
        <v>128.685</v>
      </c>
      <c r="H144">
        <v>147.505</v>
      </c>
      <c r="I144">
        <v>151.40199999999999</v>
      </c>
      <c r="J144">
        <v>165.005</v>
      </c>
      <c r="K144">
        <v>147.56700000000001</v>
      </c>
      <c r="L144">
        <v>134.75800000000001</v>
      </c>
      <c r="M144">
        <v>144.84899999999999</v>
      </c>
      <c r="N144">
        <v>142.667</v>
      </c>
      <c r="O144">
        <v>161.923</v>
      </c>
      <c r="P144">
        <v>159.63</v>
      </c>
      <c r="Q144">
        <v>185.80600000000001</v>
      </c>
      <c r="R144">
        <v>210.92099999999999</v>
      </c>
      <c r="S144">
        <v>233.20599999999999</v>
      </c>
      <c r="T144">
        <v>258.52300000000002</v>
      </c>
      <c r="U144">
        <v>287.25099999999998</v>
      </c>
      <c r="V144">
        <v>319.82</v>
      </c>
      <c r="W144">
        <v>2020</v>
      </c>
      <c r="BB144" s="6085"/>
      <c r="BC144" s="6085"/>
      <c r="BD144" s="6085"/>
      <c r="BE144" s="6085"/>
      <c r="BF144" s="6085"/>
      <c r="BG144" s="6085"/>
      <c r="BH144" s="6085"/>
      <c r="BI144" s="6085"/>
      <c r="BJ144" s="6085"/>
      <c r="BK144" s="6085"/>
      <c r="BL144" s="6085"/>
    </row>
    <row r="145" spans="1:64" ht="14.5" x14ac:dyDescent="0.35">
      <c r="A145" t="s">
        <v>367</v>
      </c>
      <c r="B145" t="s">
        <v>122</v>
      </c>
      <c r="C145" t="s">
        <v>123</v>
      </c>
      <c r="D145" t="s">
        <v>124</v>
      </c>
      <c r="E145" t="s">
        <v>368</v>
      </c>
      <c r="F145">
        <v>3.5000000000000003E-2</v>
      </c>
      <c r="G145">
        <v>3.7999999999999999E-2</v>
      </c>
      <c r="H145">
        <v>3.7999999999999999E-2</v>
      </c>
      <c r="I145">
        <v>0.04</v>
      </c>
      <c r="J145">
        <v>4.2999999999999997E-2</v>
      </c>
      <c r="K145">
        <v>4.9000000000000002E-2</v>
      </c>
      <c r="L145">
        <v>5.6000000000000001E-2</v>
      </c>
      <c r="M145">
        <v>5.8999999999999997E-2</v>
      </c>
      <c r="N145">
        <v>6.4000000000000001E-2</v>
      </c>
      <c r="O145">
        <v>7.8E-2</v>
      </c>
      <c r="P145">
        <v>0.08</v>
      </c>
      <c r="Q145">
        <v>8.4000000000000005E-2</v>
      </c>
      <c r="R145">
        <v>8.8999999999999996E-2</v>
      </c>
      <c r="S145">
        <v>9.5000000000000001E-2</v>
      </c>
      <c r="T145">
        <v>0.10299999999999999</v>
      </c>
      <c r="U145">
        <v>0.11</v>
      </c>
      <c r="V145">
        <v>0.11799999999999999</v>
      </c>
      <c r="W145">
        <v>2019</v>
      </c>
      <c r="BB145" s="6085"/>
      <c r="BC145" s="6085"/>
      <c r="BD145" s="6085"/>
      <c r="BE145" s="6085"/>
      <c r="BF145" s="6085"/>
      <c r="BG145" s="6085"/>
      <c r="BH145" s="6085"/>
      <c r="BI145" s="6085"/>
      <c r="BJ145" s="6085"/>
      <c r="BK145" s="6085"/>
      <c r="BL145" s="6085"/>
    </row>
    <row r="146" spans="1:64" ht="14.5" x14ac:dyDescent="0.35">
      <c r="A146" t="s">
        <v>72</v>
      </c>
      <c r="B146" t="s">
        <v>122</v>
      </c>
      <c r="C146" t="s">
        <v>123</v>
      </c>
      <c r="D146" t="s">
        <v>124</v>
      </c>
      <c r="E146" t="s">
        <v>369</v>
      </c>
      <c r="F146" s="1112">
        <v>53748</v>
      </c>
      <c r="G146" s="1112">
        <v>69379</v>
      </c>
      <c r="H146" s="1112">
        <v>77488</v>
      </c>
      <c r="I146" s="1112">
        <v>83637</v>
      </c>
      <c r="J146" s="1112">
        <v>90352</v>
      </c>
      <c r="K146" s="1112">
        <v>95395</v>
      </c>
      <c r="L146" s="1112">
        <v>104528</v>
      </c>
      <c r="M146" s="1112">
        <v>114080</v>
      </c>
      <c r="N146" s="1112">
        <v>127107</v>
      </c>
      <c r="O146" s="1112">
        <v>139711</v>
      </c>
      <c r="P146" s="1112">
        <v>143904</v>
      </c>
      <c r="Q146" s="1112">
        <v>156995.019</v>
      </c>
      <c r="R146" s="1112">
        <v>172753.40400000001</v>
      </c>
      <c r="S146" s="1112">
        <v>193009.74299999999</v>
      </c>
      <c r="T146" s="1112">
        <v>215655.024</v>
      </c>
      <c r="U146" s="1112">
        <v>242516.91200000001</v>
      </c>
      <c r="V146" s="1112">
        <v>272082.74</v>
      </c>
      <c r="W146">
        <v>2020</v>
      </c>
      <c r="AT146" s="7676"/>
      <c r="AU146" s="7676"/>
      <c r="AV146" s="7676"/>
      <c r="AW146" s="7676"/>
      <c r="AX146" s="7676"/>
      <c r="BB146" s="6085"/>
      <c r="BC146" s="6085"/>
      <c r="BD146" s="6085"/>
      <c r="BE146" s="6085"/>
      <c r="BF146" s="6085"/>
      <c r="BG146" s="6085"/>
      <c r="BH146" s="6085"/>
      <c r="BI146" s="6085"/>
      <c r="BJ146" s="6085"/>
      <c r="BK146" s="6085"/>
      <c r="BL146" s="6085"/>
    </row>
    <row r="147" spans="1:64" ht="14.5" x14ac:dyDescent="0.35">
      <c r="A147" t="s">
        <v>370</v>
      </c>
      <c r="B147" t="s">
        <v>122</v>
      </c>
      <c r="C147" t="s">
        <v>123</v>
      </c>
      <c r="D147" t="s">
        <v>124</v>
      </c>
      <c r="E147" t="s">
        <v>371</v>
      </c>
      <c r="F147" s="1112">
        <v>1079.346</v>
      </c>
      <c r="G147" s="1112">
        <v>1299.991</v>
      </c>
      <c r="H147" s="1112">
        <v>1404.6690000000001</v>
      </c>
      <c r="I147" s="1112">
        <v>1465.1980000000001</v>
      </c>
      <c r="J147" s="1112">
        <v>1586.915</v>
      </c>
      <c r="K147" s="1112">
        <v>1988.5440000000001</v>
      </c>
      <c r="L147" s="1112">
        <v>2385.3670000000002</v>
      </c>
      <c r="M147" s="1112">
        <v>2982.92</v>
      </c>
      <c r="N147" s="1112">
        <v>3560.3020000000001</v>
      </c>
      <c r="O147" s="1112">
        <v>3977.1979999999999</v>
      </c>
      <c r="P147" s="1112">
        <v>4191.8639999999996</v>
      </c>
      <c r="Q147" s="1112">
        <v>4982.7110000000002</v>
      </c>
      <c r="R147" s="1112">
        <v>5589.2359999999999</v>
      </c>
      <c r="S147" s="1112">
        <v>6163.8159999999998</v>
      </c>
      <c r="T147" s="1112">
        <v>6757.6719999999996</v>
      </c>
      <c r="U147" s="1112">
        <v>7403.6589999999997</v>
      </c>
      <c r="V147" s="1112">
        <v>8084.402</v>
      </c>
      <c r="W147">
        <v>2020</v>
      </c>
      <c r="AT147" s="7676"/>
      <c r="AU147" s="7676"/>
      <c r="AV147" s="7676"/>
      <c r="AW147" s="7676"/>
      <c r="AX147" s="7676"/>
      <c r="BB147" s="6085"/>
      <c r="BC147" s="6085"/>
      <c r="BD147" s="6085"/>
      <c r="BE147" s="6085"/>
      <c r="BF147" s="6085"/>
      <c r="BG147" s="6085"/>
      <c r="BH147" s="6085"/>
      <c r="BI147" s="6085"/>
      <c r="BJ147" s="6085"/>
      <c r="BK147" s="6085"/>
      <c r="BL147" s="6085"/>
    </row>
    <row r="148" spans="1:64" ht="14.5" x14ac:dyDescent="0.35">
      <c r="A148" t="s">
        <v>372</v>
      </c>
      <c r="B148" t="s">
        <v>122</v>
      </c>
      <c r="C148" t="s">
        <v>123</v>
      </c>
      <c r="D148" t="s">
        <v>124</v>
      </c>
      <c r="E148" t="s">
        <v>373</v>
      </c>
      <c r="F148" s="1112">
        <v>1064.2439999999999</v>
      </c>
      <c r="G148" s="1112">
        <v>1287.8209999999999</v>
      </c>
      <c r="H148" s="1112">
        <v>1375.684</v>
      </c>
      <c r="I148" s="1112">
        <v>1432.67</v>
      </c>
      <c r="J148" s="1112">
        <v>1480.521</v>
      </c>
      <c r="K148" s="1112">
        <v>1315.251</v>
      </c>
      <c r="L148" s="1112">
        <v>1311.248</v>
      </c>
      <c r="M148" s="1112">
        <v>1416.136</v>
      </c>
      <c r="N148" s="1112">
        <v>1550.585</v>
      </c>
      <c r="O148" s="1112">
        <v>1532.2239999999999</v>
      </c>
      <c r="P148" s="1112">
        <v>1317.9459999999999</v>
      </c>
      <c r="Q148" s="1112">
        <v>1506.3050000000001</v>
      </c>
      <c r="R148" s="1112">
        <v>1571.5719999999999</v>
      </c>
      <c r="S148" s="1112">
        <v>1627.8409999999999</v>
      </c>
      <c r="T148" s="1112">
        <v>1691.2729999999999</v>
      </c>
      <c r="U148" s="1112">
        <v>1762.8979999999999</v>
      </c>
      <c r="V148" s="1112">
        <v>1842.9110000000001</v>
      </c>
      <c r="W148">
        <v>2020</v>
      </c>
      <c r="AT148" s="7676"/>
      <c r="AU148" s="7676"/>
      <c r="AV148" s="7676"/>
      <c r="AW148" s="7676"/>
      <c r="AX148" s="7676"/>
      <c r="BB148" s="6085"/>
      <c r="BC148" s="6085"/>
      <c r="BD148" s="6085"/>
      <c r="BE148" s="6085"/>
      <c r="BF148" s="6085"/>
      <c r="BG148" s="6085"/>
      <c r="BH148" s="6085"/>
      <c r="BI148" s="6085"/>
      <c r="BJ148" s="6085"/>
      <c r="BK148" s="6085"/>
      <c r="BL148" s="6085"/>
    </row>
    <row r="149" spans="1:64" ht="14.5" x14ac:dyDescent="0.35">
      <c r="A149" t="s">
        <v>374</v>
      </c>
      <c r="B149" t="s">
        <v>122</v>
      </c>
      <c r="C149" t="s">
        <v>123</v>
      </c>
      <c r="D149" t="s">
        <v>124</v>
      </c>
      <c r="E149" t="s">
        <v>375</v>
      </c>
      <c r="F149">
        <v>877.84799999999996</v>
      </c>
      <c r="G149" s="1112">
        <v>1006.337</v>
      </c>
      <c r="H149" s="1112">
        <v>1131.1079999999999</v>
      </c>
      <c r="I149" s="1112">
        <v>1280.068</v>
      </c>
      <c r="J149" s="1112">
        <v>1445.384</v>
      </c>
      <c r="K149" s="1112">
        <v>1581.546</v>
      </c>
      <c r="L149" s="1112">
        <v>1726.4059999999999</v>
      </c>
      <c r="M149" s="1112">
        <v>1841.999</v>
      </c>
      <c r="N149" s="1112">
        <v>1982.2470000000001</v>
      </c>
      <c r="O149" s="1112">
        <v>2158.7280000000001</v>
      </c>
      <c r="P149" s="1112">
        <v>2253.1239999999998</v>
      </c>
      <c r="Q149" s="1112">
        <v>2576.1289999999999</v>
      </c>
      <c r="R149" s="1112">
        <v>2807.5030000000002</v>
      </c>
      <c r="S149" s="1112">
        <v>2978.5410000000002</v>
      </c>
      <c r="T149" s="1112">
        <v>3166.5</v>
      </c>
      <c r="U149" s="1112">
        <v>3370.4839999999999</v>
      </c>
      <c r="V149" s="1112">
        <v>3582.386</v>
      </c>
      <c r="W149">
        <v>2020</v>
      </c>
      <c r="AT149" s="7676"/>
      <c r="AU149" s="7676"/>
      <c r="AV149" s="7676"/>
      <c r="AW149" s="7676"/>
      <c r="AX149" s="7676"/>
      <c r="BB149" s="6085"/>
      <c r="BC149" s="6085"/>
      <c r="BD149" s="6085"/>
      <c r="BE149" s="6085"/>
      <c r="BF149" s="6085"/>
      <c r="BG149" s="6085"/>
      <c r="BH149" s="6085"/>
      <c r="BI149" s="6085"/>
      <c r="BJ149" s="6085"/>
      <c r="BK149" s="6085"/>
      <c r="BL149" s="6085"/>
    </row>
    <row r="150" spans="1:64" ht="14.5" x14ac:dyDescent="0.35">
      <c r="A150" t="s">
        <v>115</v>
      </c>
      <c r="B150" t="s">
        <v>122</v>
      </c>
      <c r="C150" t="s">
        <v>123</v>
      </c>
      <c r="D150" t="s">
        <v>124</v>
      </c>
      <c r="E150" t="s">
        <v>376</v>
      </c>
      <c r="F150" s="1112">
        <v>78936.619000000006</v>
      </c>
      <c r="G150" s="1112">
        <v>103232.58</v>
      </c>
      <c r="H150" s="1112">
        <v>127590.236</v>
      </c>
      <c r="I150" s="1112">
        <v>153311.33499999999</v>
      </c>
      <c r="J150" s="1112">
        <v>186829.49600000001</v>
      </c>
      <c r="K150" s="1112">
        <v>221350.90599999999</v>
      </c>
      <c r="L150" s="1112">
        <v>255421.86199999999</v>
      </c>
      <c r="M150" s="1112">
        <v>317476.36900000001</v>
      </c>
      <c r="N150" s="1112">
        <v>424728.74400000001</v>
      </c>
      <c r="O150" s="1112">
        <v>529391.4</v>
      </c>
      <c r="P150" s="1112">
        <v>602551.4</v>
      </c>
      <c r="Q150" s="1112">
        <v>703261.98499999999</v>
      </c>
      <c r="R150" s="1112">
        <v>825888.10400000005</v>
      </c>
      <c r="S150" s="1112">
        <v>948460.14399999997</v>
      </c>
      <c r="T150" s="1112">
        <v>1071244.1029999999</v>
      </c>
      <c r="U150" s="1112">
        <v>1198126.2720000001</v>
      </c>
      <c r="V150" s="1112">
        <v>1335238.9879999999</v>
      </c>
      <c r="W150">
        <v>2020</v>
      </c>
      <c r="AT150" s="7676"/>
      <c r="AU150" s="7676"/>
      <c r="AV150" s="7676"/>
      <c r="AW150" s="7676"/>
      <c r="AX150" s="7676"/>
      <c r="BB150" s="6085"/>
      <c r="BC150" s="6085"/>
      <c r="BD150" s="6085"/>
      <c r="BE150" s="6085"/>
      <c r="BF150" s="6085"/>
      <c r="BG150" s="6085"/>
      <c r="BH150" s="6085"/>
      <c r="BI150" s="6085"/>
      <c r="BJ150" s="6085"/>
      <c r="BK150" s="6085"/>
      <c r="BL150" s="6085"/>
    </row>
    <row r="151" spans="1:64" ht="14.5" x14ac:dyDescent="0.35">
      <c r="A151" t="s">
        <v>377</v>
      </c>
      <c r="B151" t="s">
        <v>122</v>
      </c>
      <c r="C151" t="s">
        <v>123</v>
      </c>
      <c r="D151" t="s">
        <v>124</v>
      </c>
      <c r="E151" t="s">
        <v>378</v>
      </c>
      <c r="F151">
        <v>64.995999999999995</v>
      </c>
      <c r="G151">
        <v>68.905000000000001</v>
      </c>
      <c r="H151">
        <v>69.278000000000006</v>
      </c>
      <c r="I151">
        <v>71.691999999999993</v>
      </c>
      <c r="J151">
        <v>74.97</v>
      </c>
      <c r="K151">
        <v>79.656999999999996</v>
      </c>
      <c r="L151">
        <v>84.706999999999994</v>
      </c>
      <c r="M151">
        <v>94.887</v>
      </c>
      <c r="N151">
        <v>100.771</v>
      </c>
      <c r="O151">
        <v>107.22</v>
      </c>
      <c r="P151">
        <v>101.71299999999999</v>
      </c>
      <c r="Q151">
        <v>106.979</v>
      </c>
      <c r="R151">
        <v>112.63200000000001</v>
      </c>
      <c r="S151">
        <v>119.758</v>
      </c>
      <c r="T151">
        <v>126.824</v>
      </c>
      <c r="U151">
        <v>133.10599999999999</v>
      </c>
      <c r="V151">
        <v>139.661</v>
      </c>
      <c r="W151">
        <v>2018</v>
      </c>
      <c r="BB151" s="6085"/>
      <c r="BC151" s="6085"/>
      <c r="BD151" s="6085"/>
      <c r="BE151" s="6085"/>
      <c r="BF151" s="6085"/>
      <c r="BG151" s="6085"/>
      <c r="BH151" s="6085"/>
      <c r="BI151" s="6085"/>
      <c r="BJ151" s="6085"/>
      <c r="BK151" s="6085"/>
      <c r="BL151" s="6085"/>
    </row>
    <row r="152" spans="1:64" ht="14.5" x14ac:dyDescent="0.35">
      <c r="A152" t="s">
        <v>379</v>
      </c>
      <c r="B152" t="s">
        <v>122</v>
      </c>
      <c r="C152" t="s">
        <v>123</v>
      </c>
      <c r="D152" t="s">
        <v>124</v>
      </c>
      <c r="E152" t="s">
        <v>380</v>
      </c>
      <c r="F152">
        <v>0.01</v>
      </c>
      <c r="G152">
        <v>1.4E-2</v>
      </c>
      <c r="H152">
        <v>1.6E-2</v>
      </c>
      <c r="I152">
        <v>2.1999999999999999E-2</v>
      </c>
      <c r="J152">
        <v>0.03</v>
      </c>
      <c r="K152">
        <v>0.08</v>
      </c>
      <c r="L152">
        <v>0.28100000000000003</v>
      </c>
      <c r="M152">
        <v>2.0089999999999999</v>
      </c>
      <c r="N152" s="1112">
        <v>1057.2360000000001</v>
      </c>
      <c r="O152" s="1112">
        <v>137482.06200000001</v>
      </c>
      <c r="P152" s="1112">
        <v>2362770.9369999999</v>
      </c>
      <c r="Q152" s="1112">
        <v>62849706.913000003</v>
      </c>
      <c r="R152" s="1112">
        <v>1280248529.8169999</v>
      </c>
      <c r="S152" t="s">
        <v>126</v>
      </c>
      <c r="T152" t="s">
        <v>126</v>
      </c>
      <c r="U152" t="s">
        <v>126</v>
      </c>
      <c r="V152" t="s">
        <v>126</v>
      </c>
      <c r="W152">
        <v>2018</v>
      </c>
      <c r="AV152" s="7676"/>
      <c r="AW152" s="7676"/>
      <c r="BB152" s="6085"/>
      <c r="BC152" s="6085"/>
      <c r="BD152" s="6085"/>
      <c r="BE152" s="6085"/>
      <c r="BF152" s="6085"/>
      <c r="BG152" s="6085"/>
      <c r="BH152" s="6085"/>
      <c r="BI152" s="6085"/>
      <c r="BJ152" s="6085"/>
      <c r="BK152" s="6085"/>
      <c r="BL152" s="6085"/>
    </row>
    <row r="153" spans="1:64" ht="14.5" x14ac:dyDescent="0.35">
      <c r="A153" t="s">
        <v>73</v>
      </c>
      <c r="B153" t="s">
        <v>122</v>
      </c>
      <c r="C153" t="s">
        <v>123</v>
      </c>
      <c r="D153" t="s">
        <v>124</v>
      </c>
      <c r="E153" t="s">
        <v>381</v>
      </c>
      <c r="F153" s="1112">
        <v>2739843.1719999998</v>
      </c>
      <c r="G153" s="1112">
        <v>3539881.3119999999</v>
      </c>
      <c r="H153" s="1112">
        <v>4073762.287</v>
      </c>
      <c r="I153" s="1112">
        <v>4473655.5990000004</v>
      </c>
      <c r="J153" s="1112">
        <v>4937031.6780000003</v>
      </c>
      <c r="K153" s="1112">
        <v>5191323.7300000004</v>
      </c>
      <c r="L153" s="1112">
        <v>5639401.0029999996</v>
      </c>
      <c r="M153" s="1112">
        <v>6293904.5539999995</v>
      </c>
      <c r="N153" s="1112">
        <v>6977294.1320000002</v>
      </c>
      <c r="O153" s="1112">
        <v>7615567.5259999996</v>
      </c>
      <c r="P153" s="1112">
        <v>7966321.5480000004</v>
      </c>
      <c r="Q153" s="1112">
        <v>8389837.7359999996</v>
      </c>
      <c r="R153" s="1112">
        <v>9329244.8090000004</v>
      </c>
      <c r="S153" s="1112">
        <v>10401113.602</v>
      </c>
      <c r="T153" s="1112">
        <v>11735973.755000001</v>
      </c>
      <c r="U153" s="1112">
        <v>13229692.237</v>
      </c>
      <c r="V153" s="1112">
        <v>14843802.125</v>
      </c>
      <c r="W153">
        <v>2020</v>
      </c>
      <c r="AJ153" s="7676"/>
      <c r="AK153" s="7676"/>
      <c r="AT153" s="7676"/>
      <c r="AU153" s="7676"/>
      <c r="AV153" s="7676"/>
      <c r="AW153" s="7676"/>
      <c r="AX153" s="7676"/>
      <c r="BB153" s="6085"/>
      <c r="BC153" s="6085"/>
      <c r="BD153" s="6085"/>
      <c r="BE153" s="6085"/>
      <c r="BF153" s="6085"/>
      <c r="BG153" s="6085"/>
      <c r="BH153" s="6085"/>
      <c r="BI153" s="6085"/>
      <c r="BJ153" s="6085"/>
      <c r="BK153" s="6085"/>
      <c r="BL153" s="6085"/>
    </row>
    <row r="154" spans="1:64" ht="14.5" x14ac:dyDescent="0.35">
      <c r="A154" t="s">
        <v>382</v>
      </c>
      <c r="B154" t="s">
        <v>122</v>
      </c>
      <c r="C154" t="s">
        <v>123</v>
      </c>
      <c r="D154" t="s">
        <v>124</v>
      </c>
      <c r="E154" t="s">
        <v>383</v>
      </c>
      <c r="F154">
        <v>36.198999999999998</v>
      </c>
      <c r="G154">
        <v>40.024999999999999</v>
      </c>
      <c r="H154">
        <v>47.075000000000003</v>
      </c>
      <c r="I154">
        <v>48.801000000000002</v>
      </c>
      <c r="J154">
        <v>50.054000000000002</v>
      </c>
      <c r="K154">
        <v>54.308</v>
      </c>
      <c r="L154">
        <v>59.164999999999999</v>
      </c>
      <c r="M154">
        <v>58.054000000000002</v>
      </c>
      <c r="N154">
        <v>58.442</v>
      </c>
      <c r="O154">
        <v>61.073</v>
      </c>
      <c r="P154">
        <v>53.567999999999998</v>
      </c>
      <c r="Q154">
        <v>56.506</v>
      </c>
      <c r="R154">
        <v>60.753999999999998</v>
      </c>
      <c r="S154">
        <v>64.149000000000001</v>
      </c>
      <c r="T154">
        <v>66.629000000000005</v>
      </c>
      <c r="U154">
        <v>68.965000000000003</v>
      </c>
      <c r="V154">
        <v>71.382999999999996</v>
      </c>
      <c r="W154">
        <v>2020</v>
      </c>
      <c r="AT154" s="7676"/>
      <c r="AU154" s="7676"/>
      <c r="AV154" s="7676"/>
      <c r="AW154" s="7676"/>
      <c r="AX154" s="7676"/>
      <c r="BB154" s="6085"/>
      <c r="BC154" s="6085"/>
      <c r="BD154" s="6085"/>
      <c r="BE154" s="6085"/>
      <c r="BF154" s="6085"/>
      <c r="BG154" s="6085"/>
      <c r="BH154" s="6085"/>
      <c r="BI154" s="6085"/>
      <c r="BJ154" s="6085"/>
      <c r="BK154" s="6085"/>
      <c r="BL154" s="6085"/>
    </row>
    <row r="155" spans="1:64" ht="14.5" x14ac:dyDescent="0.35">
      <c r="A155" t="s">
        <v>384</v>
      </c>
      <c r="B155" t="s">
        <v>122</v>
      </c>
      <c r="C155" t="s">
        <v>123</v>
      </c>
      <c r="D155" t="s">
        <v>124</v>
      </c>
      <c r="E155" t="s">
        <v>385</v>
      </c>
      <c r="F155" s="1112">
        <v>6786.8130000000001</v>
      </c>
      <c r="G155" s="1112">
        <v>6996.9080000000004</v>
      </c>
      <c r="H155" s="1112">
        <v>7586.55</v>
      </c>
      <c r="I155" s="1112">
        <v>8684.83</v>
      </c>
      <c r="J155" s="1112">
        <v>9289.3909999999996</v>
      </c>
      <c r="K155" s="1112">
        <v>9797.6029999999992</v>
      </c>
      <c r="L155" s="1112">
        <v>8891</v>
      </c>
      <c r="M155" s="1112">
        <v>10006</v>
      </c>
      <c r="N155" s="1112">
        <v>11578.731</v>
      </c>
      <c r="O155" s="1112">
        <v>12606.261</v>
      </c>
      <c r="P155" s="1112">
        <v>13998.612999999999</v>
      </c>
      <c r="Q155" s="1112">
        <v>19565.642</v>
      </c>
      <c r="R155" s="1112">
        <v>25802.381000000001</v>
      </c>
      <c r="S155" s="1112">
        <v>32288.116999999998</v>
      </c>
      <c r="T155" s="1112">
        <v>37906.055999999997</v>
      </c>
      <c r="U155" s="1112">
        <v>43647.968000000001</v>
      </c>
      <c r="V155" s="1112">
        <v>49195.463000000003</v>
      </c>
      <c r="W155">
        <v>2020</v>
      </c>
      <c r="BB155" s="6085"/>
      <c r="BC155" s="6085"/>
      <c r="BD155" s="6085"/>
      <c r="BE155" s="6085"/>
      <c r="BF155" s="6085"/>
      <c r="BG155" s="6085"/>
      <c r="BH155" s="6085"/>
      <c r="BI155" s="6085"/>
      <c r="BJ155" s="6085"/>
      <c r="BK155" s="6085"/>
      <c r="BL155" s="6085"/>
    </row>
    <row r="156" spans="1:64" ht="14.5" x14ac:dyDescent="0.35">
      <c r="A156" t="s">
        <v>74</v>
      </c>
      <c r="B156" t="s">
        <v>122</v>
      </c>
      <c r="C156" t="s">
        <v>123</v>
      </c>
      <c r="D156" t="s">
        <v>124</v>
      </c>
      <c r="E156" t="s">
        <v>386</v>
      </c>
      <c r="F156">
        <v>97.215999999999994</v>
      </c>
      <c r="G156">
        <v>114.03</v>
      </c>
      <c r="H156">
        <v>131.27199999999999</v>
      </c>
      <c r="I156">
        <v>151.33099999999999</v>
      </c>
      <c r="J156">
        <v>167.053</v>
      </c>
      <c r="K156">
        <v>183.381</v>
      </c>
      <c r="L156">
        <v>216.09800000000001</v>
      </c>
      <c r="M156">
        <v>246.25200000000001</v>
      </c>
      <c r="N156">
        <v>275.17500000000001</v>
      </c>
      <c r="O156">
        <v>300.44900000000001</v>
      </c>
      <c r="P156">
        <v>354.39600000000002</v>
      </c>
      <c r="Q156">
        <v>456.10700000000003</v>
      </c>
      <c r="R156">
        <v>514.97900000000004</v>
      </c>
      <c r="S156">
        <v>578.21400000000006</v>
      </c>
      <c r="T156">
        <v>635.322</v>
      </c>
      <c r="U156">
        <v>700.15599999999995</v>
      </c>
      <c r="V156">
        <v>769.22699999999998</v>
      </c>
      <c r="W156">
        <v>2020</v>
      </c>
      <c r="BB156" s="6085"/>
      <c r="BC156" s="6085"/>
      <c r="BD156" s="6085"/>
      <c r="BE156" s="6085"/>
      <c r="BF156" s="6085"/>
      <c r="BG156" s="6085"/>
      <c r="BH156" s="6085"/>
      <c r="BI156" s="6085"/>
      <c r="BJ156" s="6085"/>
      <c r="BK156" s="6085"/>
      <c r="BL156" s="6085"/>
    </row>
    <row r="157" spans="1:64" ht="14.5" x14ac:dyDescent="0.35">
      <c r="A157" t="s">
        <v>75</v>
      </c>
      <c r="B157" t="s">
        <v>122</v>
      </c>
      <c r="C157" t="s">
        <v>123</v>
      </c>
      <c r="D157" t="s">
        <v>124</v>
      </c>
      <c r="E157" t="s">
        <v>387</v>
      </c>
      <c r="F157">
        <v>12.042</v>
      </c>
      <c r="G157">
        <v>14.102</v>
      </c>
      <c r="H157">
        <v>17.114999999999998</v>
      </c>
      <c r="I157">
        <v>19.091000000000001</v>
      </c>
      <c r="J157">
        <v>19.495999999999999</v>
      </c>
      <c r="K157">
        <v>19.963000000000001</v>
      </c>
      <c r="L157">
        <v>20.548999999999999</v>
      </c>
      <c r="M157">
        <v>22.041</v>
      </c>
      <c r="N157">
        <v>23.515999999999998</v>
      </c>
      <c r="O157">
        <v>159.64099999999999</v>
      </c>
      <c r="P157" s="1112">
        <v>1124.6690000000001</v>
      </c>
      <c r="Q157" s="1112">
        <v>2198.0030000000002</v>
      </c>
      <c r="R157" s="1112">
        <v>2679.145</v>
      </c>
      <c r="S157" s="1112">
        <v>3102.8789999999999</v>
      </c>
      <c r="T157" s="1112">
        <v>3486.4490000000001</v>
      </c>
      <c r="U157" s="1112">
        <v>3884.1619999999998</v>
      </c>
      <c r="V157" s="1112">
        <v>4225.6109999999999</v>
      </c>
      <c r="W157">
        <v>2019</v>
      </c>
      <c r="BB157" s="6085"/>
      <c r="BC157" s="6085"/>
      <c r="BD157" s="6085"/>
      <c r="BE157" s="6085"/>
      <c r="BF157" s="6085"/>
      <c r="BG157" s="6085"/>
      <c r="BH157" s="6085"/>
      <c r="BI157" s="6085"/>
      <c r="BJ157" s="6085"/>
      <c r="BK157" s="6085"/>
      <c r="BL157" s="6085"/>
    </row>
    <row r="158" spans="1:64" ht="14.5" x14ac:dyDescent="0.35">
      <c r="BB158" s="6085"/>
      <c r="BC158" s="6085"/>
      <c r="BD158" s="6085"/>
      <c r="BE158" s="6085"/>
      <c r="BF158" s="6085"/>
      <c r="BG158" s="6085"/>
      <c r="BH158" s="6085"/>
      <c r="BI158" s="6085"/>
      <c r="BJ158" s="6085"/>
      <c r="BK158" s="6085"/>
      <c r="BL158" s="6085"/>
    </row>
    <row r="159" spans="1:64" x14ac:dyDescent="0.35">
      <c r="A159" t="s">
        <v>388</v>
      </c>
      <c r="BB159" s="6085"/>
    </row>
  </sheetData>
  <pageMargins left="0.7" right="0.7" top="0.75" bottom="0.75" header="0.3" footer="0.3"/>
  <pageSetup orientation="portrait" r:id="rId1"/>
  <headerFooter>
    <oddFooter>&amp;R&amp;1#&amp;"Calibri"&amp;12&amp;K000000Official Use</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G121"/>
  <sheetViews>
    <sheetView topLeftCell="A50" zoomScale="79" workbookViewId="0">
      <pane xSplit="4" topLeftCell="Y1" activePane="topRight" state="frozen"/>
      <selection activeCell="A73" sqref="A73"/>
      <selection pane="topRight" activeCell="Y92" sqref="Y92"/>
    </sheetView>
  </sheetViews>
  <sheetFormatPr defaultColWidth="8.81640625" defaultRowHeight="15.5" x14ac:dyDescent="0.35"/>
  <cols>
    <col min="1" max="1" width="6.453125" style="2005" customWidth="1"/>
    <col min="2" max="2" width="18.81640625" style="2005" customWidth="1"/>
    <col min="3" max="3" width="36.453125" style="2001" customWidth="1"/>
    <col min="4" max="4" width="4.453125" style="2007" customWidth="1"/>
    <col min="5" max="5" width="1.453125" style="2001" customWidth="1"/>
    <col min="6" max="6" width="21" style="2001" customWidth="1"/>
    <col min="7" max="7" width="1.453125" style="2001" customWidth="1"/>
    <col min="8" max="9" width="21" style="2008" customWidth="1"/>
    <col min="10" max="10" width="8.453125" style="2009" customWidth="1"/>
    <col min="11" max="11" width="1.453125" style="2001" customWidth="1"/>
    <col min="12" max="13" width="21" style="2005" customWidth="1"/>
    <col min="14" max="14" width="1.453125" style="2001" customWidth="1"/>
    <col min="15" max="17" width="21" style="2008" customWidth="1"/>
    <col min="18" max="18" width="8.453125" style="2009" customWidth="1"/>
    <col min="19" max="19" width="1.453125" style="2001" customWidth="1"/>
    <col min="20" max="22" width="21" style="2005" customWidth="1"/>
    <col min="23" max="23" width="1.453125" style="2001" customWidth="1"/>
    <col min="24" max="24" width="24.453125" style="2008" customWidth="1"/>
    <col min="25" max="25" width="22.81640625" style="2008" bestFit="1" customWidth="1"/>
    <col min="26" max="26" width="15.36328125" style="2008" customWidth="1"/>
    <col min="27" max="27" width="8.81640625" style="2009" customWidth="1"/>
    <col min="28" max="28" width="1.453125" style="2001" customWidth="1"/>
    <col min="29" max="31" width="21" style="2005" customWidth="1"/>
    <col min="32" max="32" width="1.6328125" style="2001" customWidth="1"/>
    <col min="33" max="33" width="24.453125" style="2008" customWidth="1"/>
    <col min="34" max="34" width="22.81640625" style="2008" bestFit="1" customWidth="1"/>
    <col min="35" max="35" width="21" style="2008" customWidth="1"/>
    <col min="36" max="36" width="10.81640625" style="2012" customWidth="1"/>
    <col min="37" max="37" width="1.453125" style="2001" customWidth="1"/>
    <col min="38" max="40" width="21" style="2005" customWidth="1"/>
    <col min="41" max="41" width="5.81640625" style="2005" customWidth="1"/>
    <col min="42" max="42" width="3.453125" style="2005" customWidth="1"/>
    <col min="43" max="43" width="24.453125" style="2008" customWidth="1"/>
    <col min="44" max="44" width="22.81640625" style="2008" bestFit="1" customWidth="1"/>
    <col min="45" max="45" width="21" style="2008" customWidth="1"/>
    <col min="46" max="46" width="10.81640625" style="2012" customWidth="1"/>
    <col min="47" max="47" width="1.453125" style="2001" customWidth="1"/>
    <col min="48" max="50" width="21" style="2005" customWidth="1"/>
    <col min="51" max="51" width="8.81640625" style="2005"/>
    <col min="52" max="52" width="24.453125" style="2008" customWidth="1"/>
    <col min="53" max="53" width="22.81640625" style="2008" bestFit="1" customWidth="1"/>
    <col min="54" max="54" width="21" style="2008" customWidth="1"/>
    <col min="55" max="55" width="10.81640625" style="2012" customWidth="1"/>
    <col min="56" max="56" width="1.453125" style="2001" customWidth="1"/>
    <col min="57" max="59" width="21" style="2005" customWidth="1"/>
    <col min="60" max="16384" width="8.81640625" style="2005"/>
  </cols>
  <sheetData>
    <row r="1" spans="1:59" s="2000" customFormat="1" ht="31" x14ac:dyDescent="0.7">
      <c r="B1" s="2001"/>
      <c r="C1" s="2001"/>
      <c r="F1" s="9239" t="s">
        <v>823</v>
      </c>
      <c r="G1" s="9240"/>
      <c r="H1" s="9240"/>
      <c r="I1" s="9240"/>
      <c r="J1" s="9240"/>
      <c r="K1" s="9240"/>
      <c r="L1" s="9240"/>
      <c r="M1" s="9241"/>
      <c r="N1" s="2002"/>
      <c r="O1" s="9242" t="s">
        <v>824</v>
      </c>
      <c r="P1" s="9243"/>
      <c r="Q1" s="9243"/>
      <c r="R1" s="9243"/>
      <c r="S1" s="9243"/>
      <c r="T1" s="9243"/>
      <c r="U1" s="9243"/>
      <c r="V1" s="9244"/>
      <c r="W1" s="2002"/>
      <c r="X1" s="9245" t="s">
        <v>825</v>
      </c>
      <c r="Y1" s="9246"/>
      <c r="Z1" s="9246"/>
      <c r="AA1" s="9246"/>
      <c r="AB1" s="9246"/>
      <c r="AC1" s="9246"/>
      <c r="AD1" s="9246"/>
      <c r="AE1" s="9247"/>
      <c r="AF1" s="2002"/>
      <c r="AG1" s="9559" t="s">
        <v>826</v>
      </c>
      <c r="AH1" s="9560"/>
      <c r="AI1" s="9560"/>
      <c r="AJ1" s="9560"/>
      <c r="AK1" s="9560"/>
      <c r="AL1" s="9560"/>
      <c r="AM1" s="9560"/>
      <c r="AN1" s="9561"/>
      <c r="AO1" s="2003"/>
      <c r="AQ1" s="9559" t="s">
        <v>827</v>
      </c>
      <c r="AR1" s="9560"/>
      <c r="AS1" s="9560"/>
      <c r="AT1" s="9560"/>
      <c r="AU1" s="9560"/>
      <c r="AV1" s="9560"/>
      <c r="AW1" s="9560"/>
      <c r="AX1" s="9561"/>
      <c r="AZ1" s="9559" t="s">
        <v>828</v>
      </c>
      <c r="BA1" s="9560"/>
      <c r="BB1" s="9560"/>
      <c r="BC1" s="9560"/>
      <c r="BD1" s="9560"/>
      <c r="BE1" s="9560"/>
      <c r="BF1" s="9560"/>
      <c r="BG1" s="9561"/>
    </row>
    <row r="2" spans="1:59" ht="21" x14ac:dyDescent="0.5">
      <c r="B2" s="2001" t="s">
        <v>829</v>
      </c>
      <c r="C2" s="2006" t="s">
        <v>71</v>
      </c>
      <c r="H2" s="2005"/>
      <c r="X2" s="2010"/>
      <c r="Y2" s="2011">
        <v>1000000000</v>
      </c>
      <c r="AG2" s="2010"/>
      <c r="AH2" s="2011">
        <v>1000000000</v>
      </c>
      <c r="AQ2" s="2010"/>
      <c r="AR2" s="7509">
        <v>1000000000</v>
      </c>
      <c r="AZ2" s="2010"/>
      <c r="BA2" s="7509">
        <v>1000000000</v>
      </c>
    </row>
    <row r="4" spans="1:59" s="2014" customFormat="1" ht="15.25" customHeight="1" x14ac:dyDescent="0.35">
      <c r="D4" s="2015"/>
      <c r="F4" s="2016" t="s">
        <v>830</v>
      </c>
      <c r="H4" s="9562" t="s">
        <v>831</v>
      </c>
      <c r="I4" s="9563"/>
      <c r="J4" s="9564"/>
      <c r="L4" s="9562" t="s">
        <v>832</v>
      </c>
      <c r="M4" s="9564"/>
      <c r="O4" s="9562" t="s">
        <v>6007</v>
      </c>
      <c r="P4" s="9563"/>
      <c r="Q4" s="9563"/>
      <c r="R4" s="9564"/>
      <c r="T4" s="9562" t="s">
        <v>832</v>
      </c>
      <c r="U4" s="9563"/>
      <c r="V4" s="9564"/>
      <c r="X4" s="9562" t="s">
        <v>6007</v>
      </c>
      <c r="Y4" s="9563"/>
      <c r="Z4" s="9563"/>
      <c r="AA4" s="9564"/>
      <c r="AC4" s="9562" t="s">
        <v>832</v>
      </c>
      <c r="AD4" s="9563"/>
      <c r="AE4" s="9564"/>
      <c r="AG4" s="9562" t="s">
        <v>6007</v>
      </c>
      <c r="AH4" s="9563"/>
      <c r="AI4" s="9563"/>
      <c r="AJ4" s="9564"/>
      <c r="AL4" s="9562" t="s">
        <v>832</v>
      </c>
      <c r="AM4" s="9563"/>
      <c r="AN4" s="9564"/>
      <c r="AO4" s="9565" t="s">
        <v>404</v>
      </c>
      <c r="AQ4" s="9562" t="s">
        <v>6007</v>
      </c>
      <c r="AR4" s="9563"/>
      <c r="AS4" s="9563"/>
      <c r="AT4" s="9564"/>
      <c r="AV4" s="9562" t="s">
        <v>832</v>
      </c>
      <c r="AW4" s="9563"/>
      <c r="AX4" s="9564"/>
      <c r="AZ4" s="9562" t="s">
        <v>6007</v>
      </c>
      <c r="BA4" s="9563"/>
      <c r="BB4" s="9563"/>
      <c r="BC4" s="9564"/>
      <c r="BE4" s="9562" t="s">
        <v>832</v>
      </c>
      <c r="BF4" s="9563"/>
      <c r="BG4" s="9564"/>
    </row>
    <row r="5" spans="1:59" x14ac:dyDescent="0.35">
      <c r="B5" s="2001" t="s">
        <v>835</v>
      </c>
      <c r="C5" s="2017">
        <v>2010</v>
      </c>
      <c r="F5" s="2018">
        <v>2011</v>
      </c>
      <c r="G5" s="2019"/>
      <c r="H5" s="9260">
        <v>2014</v>
      </c>
      <c r="I5" s="9261"/>
      <c r="J5" s="9262"/>
      <c r="K5" s="2019"/>
      <c r="L5" s="9260">
        <v>2015</v>
      </c>
      <c r="M5" s="9262"/>
      <c r="O5" s="9260">
        <v>2015</v>
      </c>
      <c r="P5" s="9261"/>
      <c r="Q5" s="9261"/>
      <c r="R5" s="9262"/>
      <c r="S5" s="2019"/>
      <c r="T5" s="9260">
        <v>2016</v>
      </c>
      <c r="U5" s="9261"/>
      <c r="V5" s="9262"/>
      <c r="X5" s="9260">
        <v>2016</v>
      </c>
      <c r="Y5" s="9261"/>
      <c r="Z5" s="9261"/>
      <c r="AA5" s="9262"/>
      <c r="AB5" s="2019"/>
      <c r="AC5" s="9260">
        <v>2017</v>
      </c>
      <c r="AD5" s="9261"/>
      <c r="AE5" s="9262"/>
      <c r="AG5" s="9260">
        <v>2017</v>
      </c>
      <c r="AH5" s="9261"/>
      <c r="AI5" s="9261"/>
      <c r="AJ5" s="9262"/>
      <c r="AK5" s="2019"/>
      <c r="AL5" s="9260">
        <v>2018</v>
      </c>
      <c r="AM5" s="9261"/>
      <c r="AN5" s="9262"/>
      <c r="AO5" s="9566"/>
      <c r="AQ5" s="9260">
        <v>2018</v>
      </c>
      <c r="AR5" s="9261"/>
      <c r="AS5" s="9261"/>
      <c r="AT5" s="9262"/>
      <c r="AU5" s="2019"/>
      <c r="AV5" s="9260">
        <v>2019</v>
      </c>
      <c r="AW5" s="9261"/>
      <c r="AX5" s="9262"/>
      <c r="AZ5" s="9260">
        <v>2019</v>
      </c>
      <c r="BA5" s="9261"/>
      <c r="BB5" s="9261"/>
      <c r="BC5" s="9262"/>
      <c r="BD5" s="2019"/>
      <c r="BE5" s="9260">
        <v>2020</v>
      </c>
      <c r="BF5" s="9261"/>
      <c r="BG5" s="9262"/>
    </row>
    <row r="6" spans="1:59" x14ac:dyDescent="0.35">
      <c r="C6" s="2005"/>
      <c r="F6" s="2008"/>
      <c r="L6" s="2020"/>
      <c r="T6" s="2020"/>
      <c r="U6" s="2020"/>
      <c r="AC6" s="2020"/>
      <c r="AD6" s="2020"/>
      <c r="AL6" s="2020"/>
      <c r="AM6" s="2020"/>
      <c r="AO6" s="2008"/>
      <c r="AV6" s="2020"/>
      <c r="AW6" s="2020"/>
      <c r="BE6" s="2020"/>
      <c r="BF6" s="2020"/>
    </row>
    <row r="7" spans="1:59" ht="12.75" customHeight="1" x14ac:dyDescent="0.35">
      <c r="B7" s="2001" t="s">
        <v>836</v>
      </c>
      <c r="C7" s="2021" t="s">
        <v>3663</v>
      </c>
      <c r="D7" s="2007" t="s">
        <v>417</v>
      </c>
      <c r="F7" s="2022" t="s">
        <v>1809</v>
      </c>
      <c r="H7" s="9553" t="s">
        <v>1809</v>
      </c>
      <c r="I7" s="9553"/>
      <c r="J7" s="9573" t="s">
        <v>839</v>
      </c>
      <c r="L7" s="9556" t="s">
        <v>1809</v>
      </c>
      <c r="M7" s="9558"/>
      <c r="O7" s="9553" t="s">
        <v>1809</v>
      </c>
      <c r="P7" s="9553"/>
      <c r="Q7" s="2023"/>
      <c r="R7" s="9573" t="s">
        <v>419</v>
      </c>
      <c r="T7" s="9556" t="s">
        <v>1809</v>
      </c>
      <c r="U7" s="9557"/>
      <c r="V7" s="9558"/>
      <c r="X7" s="9553" t="s">
        <v>1809</v>
      </c>
      <c r="Y7" s="9553"/>
      <c r="Z7" s="2023"/>
      <c r="AA7" s="9573" t="s">
        <v>419</v>
      </c>
      <c r="AC7" s="9556" t="s">
        <v>1809</v>
      </c>
      <c r="AD7" s="9557"/>
      <c r="AE7" s="9558"/>
      <c r="AG7" s="9553" t="s">
        <v>1809</v>
      </c>
      <c r="AH7" s="9553"/>
      <c r="AI7" s="2023"/>
      <c r="AJ7" s="9554" t="s">
        <v>419</v>
      </c>
      <c r="AL7" s="9556" t="s">
        <v>1809</v>
      </c>
      <c r="AM7" s="9557"/>
      <c r="AN7" s="9558"/>
      <c r="AO7" s="2024"/>
      <c r="AQ7" s="9553" t="s">
        <v>1809</v>
      </c>
      <c r="AR7" s="9553"/>
      <c r="AS7" s="2023"/>
      <c r="AT7" s="9554" t="s">
        <v>419</v>
      </c>
      <c r="AV7" s="9556" t="s">
        <v>1809</v>
      </c>
      <c r="AW7" s="9557"/>
      <c r="AX7" s="9558"/>
      <c r="AZ7" s="9553" t="s">
        <v>1809</v>
      </c>
      <c r="BA7" s="9553"/>
      <c r="BB7" s="2023"/>
      <c r="BC7" s="9554" t="s">
        <v>419</v>
      </c>
      <c r="BE7" s="9556" t="s">
        <v>1809</v>
      </c>
      <c r="BF7" s="9557"/>
      <c r="BG7" s="9558"/>
    </row>
    <row r="8" spans="1:59" x14ac:dyDescent="0.35">
      <c r="B8" s="2001" t="s">
        <v>841</v>
      </c>
      <c r="C8" s="2025" t="s">
        <v>1121</v>
      </c>
      <c r="F8" s="2026" t="s">
        <v>843</v>
      </c>
      <c r="H8" s="2027" t="s">
        <v>844</v>
      </c>
      <c r="I8" s="2026" t="s">
        <v>843</v>
      </c>
      <c r="J8" s="9574"/>
      <c r="L8" s="2027" t="s">
        <v>844</v>
      </c>
      <c r="M8" s="2026" t="s">
        <v>6008</v>
      </c>
      <c r="O8" s="2026" t="s">
        <v>424</v>
      </c>
      <c r="P8" s="2026" t="s">
        <v>845</v>
      </c>
      <c r="Q8" s="2028" t="s">
        <v>3664</v>
      </c>
      <c r="R8" s="9574"/>
      <c r="T8" s="2027" t="s">
        <v>424</v>
      </c>
      <c r="U8" s="2028" t="s">
        <v>1666</v>
      </c>
      <c r="V8" s="2026" t="s">
        <v>6008</v>
      </c>
      <c r="X8" s="2026" t="s">
        <v>424</v>
      </c>
      <c r="Y8" s="2026" t="s">
        <v>845</v>
      </c>
      <c r="Z8" s="2028" t="s">
        <v>3664</v>
      </c>
      <c r="AA8" s="9574"/>
      <c r="AC8" s="2027" t="s">
        <v>424</v>
      </c>
      <c r="AD8" s="2028" t="s">
        <v>1666</v>
      </c>
      <c r="AE8" s="2026" t="s">
        <v>6008</v>
      </c>
      <c r="AG8" s="2026" t="s">
        <v>424</v>
      </c>
      <c r="AH8" s="2026" t="s">
        <v>845</v>
      </c>
      <c r="AI8" s="2028" t="s">
        <v>3664</v>
      </c>
      <c r="AJ8" s="9555"/>
      <c r="AL8" s="2027" t="s">
        <v>424</v>
      </c>
      <c r="AM8" s="2028" t="s">
        <v>1666</v>
      </c>
      <c r="AN8" s="2026" t="s">
        <v>6008</v>
      </c>
      <c r="AO8" s="2029"/>
      <c r="AQ8" s="2026" t="s">
        <v>424</v>
      </c>
      <c r="AR8" s="2026" t="s">
        <v>845</v>
      </c>
      <c r="AS8" s="2028" t="s">
        <v>3664</v>
      </c>
      <c r="AT8" s="9555"/>
      <c r="AV8" s="2027" t="s">
        <v>424</v>
      </c>
      <c r="AW8" s="2028" t="s">
        <v>1666</v>
      </c>
      <c r="AX8" s="2026" t="s">
        <v>6008</v>
      </c>
      <c r="AZ8" s="2026" t="s">
        <v>424</v>
      </c>
      <c r="BA8" s="2026" t="s">
        <v>845</v>
      </c>
      <c r="BB8" s="2028" t="s">
        <v>3664</v>
      </c>
      <c r="BC8" s="9555"/>
      <c r="BE8" s="2027" t="s">
        <v>424</v>
      </c>
      <c r="BF8" s="2028" t="s">
        <v>1666</v>
      </c>
      <c r="BG8" s="2026" t="s">
        <v>6008</v>
      </c>
    </row>
    <row r="9" spans="1:59" x14ac:dyDescent="0.35">
      <c r="C9" s="2005"/>
      <c r="E9" s="2005"/>
      <c r="F9" s="2005"/>
      <c r="G9" s="2005"/>
      <c r="H9" s="2005"/>
      <c r="I9" s="2005"/>
      <c r="J9" s="2030"/>
      <c r="K9" s="2005"/>
      <c r="N9" s="2005"/>
      <c r="O9" s="2005"/>
      <c r="P9" s="2005"/>
      <c r="Q9" s="2005"/>
      <c r="R9" s="2030"/>
      <c r="S9" s="2005"/>
      <c r="W9" s="2005"/>
      <c r="X9" s="2005"/>
      <c r="Y9" s="2005"/>
      <c r="Z9" s="2005"/>
      <c r="AA9" s="2030"/>
      <c r="AB9" s="2005"/>
      <c r="AF9" s="2005"/>
      <c r="AG9" s="2005"/>
      <c r="AH9" s="2005"/>
      <c r="AI9" s="2005"/>
      <c r="AJ9" s="2031"/>
      <c r="AK9" s="2005"/>
      <c r="AQ9" s="2005"/>
      <c r="AR9" s="2005"/>
      <c r="AS9" s="2005"/>
      <c r="AT9" s="2031"/>
      <c r="AU9" s="2005"/>
      <c r="AZ9" s="2005"/>
      <c r="BA9" s="2005"/>
      <c r="BB9" s="2005"/>
      <c r="BC9" s="2031"/>
      <c r="BD9" s="2005"/>
    </row>
    <row r="10" spans="1:59" ht="33.25" customHeight="1" x14ac:dyDescent="0.35">
      <c r="A10" s="9567" t="s">
        <v>854</v>
      </c>
      <c r="B10" s="2032"/>
      <c r="C10" s="2033" t="s">
        <v>427</v>
      </c>
      <c r="D10" s="2034" t="s">
        <v>428</v>
      </c>
      <c r="E10" s="2035"/>
      <c r="F10" s="2036" t="s">
        <v>1126</v>
      </c>
      <c r="G10" s="2005"/>
      <c r="H10" s="2036" t="s">
        <v>1126</v>
      </c>
      <c r="I10" s="2036" t="s">
        <v>1126</v>
      </c>
      <c r="J10" s="2037"/>
      <c r="K10" s="2038"/>
      <c r="L10" s="2036" t="s">
        <v>6009</v>
      </c>
      <c r="M10" s="2039" t="s">
        <v>857</v>
      </c>
      <c r="N10" s="2038"/>
      <c r="O10" s="2036" t="str">
        <f>L10</f>
        <v>LOI DE FINANCES RECTIFICATIVE - GESTION 2015 - DEPENSES</v>
      </c>
      <c r="P10" s="2036" t="s">
        <v>6010</v>
      </c>
      <c r="Q10" s="2040" t="s">
        <v>6011</v>
      </c>
      <c r="R10" s="2037"/>
      <c r="S10" s="2038"/>
      <c r="T10" s="2036" t="s">
        <v>6010</v>
      </c>
      <c r="U10" s="2040" t="s">
        <v>6011</v>
      </c>
      <c r="V10" s="2039" t="s">
        <v>857</v>
      </c>
      <c r="W10" s="2038"/>
      <c r="X10" s="727" t="s">
        <v>6012</v>
      </c>
      <c r="Y10" s="2036"/>
      <c r="Z10" s="2040"/>
      <c r="AA10" s="2037"/>
      <c r="AB10" s="2038"/>
      <c r="AC10" s="2036" t="s">
        <v>6010</v>
      </c>
      <c r="AD10" s="2040" t="s">
        <v>6011</v>
      </c>
      <c r="AE10" s="2039" t="s">
        <v>857</v>
      </c>
      <c r="AF10" s="2038"/>
      <c r="AG10" s="727" t="s">
        <v>1816</v>
      </c>
      <c r="AH10" s="2036" t="s">
        <v>6013</v>
      </c>
      <c r="AI10" s="2040" t="s">
        <v>6014</v>
      </c>
      <c r="AJ10" s="2041"/>
      <c r="AK10" s="2038"/>
      <c r="AL10" s="2036" t="s">
        <v>6015</v>
      </c>
      <c r="AM10" s="581" t="s">
        <v>6016</v>
      </c>
      <c r="AN10" s="2039" t="s">
        <v>6017</v>
      </c>
      <c r="AO10" s="727"/>
      <c r="AQ10" s="727" t="s">
        <v>1149</v>
      </c>
      <c r="AR10" s="2036" t="s">
        <v>6018</v>
      </c>
      <c r="AS10" s="2040" t="s">
        <v>6019</v>
      </c>
      <c r="AT10" s="2041"/>
      <c r="AU10" s="2038"/>
      <c r="AV10" s="2036" t="s">
        <v>6015</v>
      </c>
      <c r="AW10" s="473" t="s">
        <v>6016</v>
      </c>
      <c r="AX10" s="3375" t="s">
        <v>6017</v>
      </c>
      <c r="AZ10" s="727" t="s">
        <v>1681</v>
      </c>
      <c r="BA10" s="2036" t="s">
        <v>6020</v>
      </c>
      <c r="BB10" s="2040" t="s">
        <v>6019</v>
      </c>
      <c r="BC10" s="2041"/>
      <c r="BD10" s="2038"/>
      <c r="BE10" s="2036" t="s">
        <v>6015</v>
      </c>
      <c r="BF10" s="581" t="s">
        <v>6016</v>
      </c>
      <c r="BG10" s="35" t="s">
        <v>6017</v>
      </c>
    </row>
    <row r="11" spans="1:59" ht="12.75" customHeight="1" x14ac:dyDescent="0.35">
      <c r="A11" s="9568"/>
      <c r="B11" s="2042" t="s">
        <v>870</v>
      </c>
      <c r="C11" s="2043"/>
      <c r="D11" s="2044"/>
      <c r="E11" s="2045"/>
      <c r="F11" s="2046"/>
      <c r="G11" s="2005"/>
      <c r="H11" s="2047"/>
      <c r="I11" s="2048"/>
      <c r="J11" s="2049"/>
      <c r="K11" s="2050"/>
      <c r="L11" s="2051"/>
      <c r="M11" s="2052"/>
      <c r="N11" s="2053"/>
      <c r="O11" s="2047"/>
      <c r="P11" s="2048"/>
      <c r="Q11" s="2054"/>
      <c r="R11" s="2049"/>
      <c r="S11" s="2050"/>
      <c r="T11" s="2048"/>
      <c r="U11" s="2054"/>
      <c r="V11" s="2052"/>
      <c r="W11" s="2053"/>
      <c r="X11" s="2047"/>
      <c r="Y11" s="2048"/>
      <c r="Z11" s="2054"/>
      <c r="AA11" s="2049"/>
      <c r="AB11" s="2050"/>
      <c r="AC11" s="2047"/>
      <c r="AD11" s="2054"/>
      <c r="AE11" s="2052"/>
      <c r="AF11" s="2053"/>
      <c r="AG11" s="2047"/>
      <c r="AH11" s="2048"/>
      <c r="AI11" s="2054"/>
      <c r="AJ11" s="2055"/>
      <c r="AK11" s="2050"/>
      <c r="AL11" s="2047"/>
      <c r="AM11" s="2054"/>
      <c r="AN11" s="2052"/>
      <c r="AO11" s="2024"/>
      <c r="AQ11" s="2047"/>
      <c r="AR11" s="2048"/>
      <c r="AS11" s="2054"/>
      <c r="AT11" s="2055"/>
      <c r="AU11" s="2050"/>
      <c r="AV11" s="2047"/>
      <c r="AW11" s="2054"/>
      <c r="AX11" s="2052"/>
      <c r="AZ11" s="2047"/>
      <c r="BA11" s="2048"/>
      <c r="BB11" s="2054"/>
      <c r="BC11" s="2055"/>
      <c r="BD11" s="2050"/>
      <c r="BE11" s="2047"/>
      <c r="BF11" s="2054"/>
      <c r="BG11" s="2052"/>
    </row>
    <row r="12" spans="1:59" x14ac:dyDescent="0.35">
      <c r="A12" s="9568"/>
      <c r="B12" s="2056"/>
      <c r="C12" s="2057" t="s">
        <v>6021</v>
      </c>
      <c r="D12" s="2058"/>
      <c r="F12" s="2059"/>
      <c r="G12" s="2005"/>
      <c r="H12" s="2060"/>
      <c r="I12" s="2061"/>
      <c r="J12" s="2062">
        <f>IF(H12=0,0,I12/H12)</f>
        <v>0</v>
      </c>
      <c r="K12" s="2063"/>
      <c r="L12" s="2064">
        <f>480392732000+59224869000</f>
        <v>539617601000</v>
      </c>
      <c r="M12" s="2065">
        <f>L12*J12</f>
        <v>0</v>
      </c>
      <c r="N12" s="2066"/>
      <c r="O12" s="2067">
        <v>819677000000</v>
      </c>
      <c r="P12" s="2068"/>
      <c r="Q12" s="2069" t="s">
        <v>6022</v>
      </c>
      <c r="R12" s="2062">
        <f>IF(O12=0,0,P12/O12)</f>
        <v>0</v>
      </c>
      <c r="S12" s="2063"/>
      <c r="T12" s="2070">
        <v>865538000000</v>
      </c>
      <c r="U12" s="2069" t="s">
        <v>6022</v>
      </c>
      <c r="V12" s="2071">
        <f>T12*R12</f>
        <v>0</v>
      </c>
      <c r="W12" s="2066"/>
      <c r="X12" s="2072">
        <v>630400000000</v>
      </c>
      <c r="Y12" s="2073">
        <v>614060000000</v>
      </c>
      <c r="Z12" s="2069"/>
      <c r="AA12" s="2062">
        <f>IF(X12=0,0,Y12/X12)</f>
        <v>0.97407994923857866</v>
      </c>
      <c r="AB12" s="2063"/>
      <c r="AC12" s="2072"/>
      <c r="AD12" s="2069"/>
      <c r="AE12" s="2071"/>
      <c r="AF12" s="2066"/>
      <c r="AG12" s="2072">
        <f>614040000000+53300000000</f>
        <v>667340000000</v>
      </c>
      <c r="AH12" s="2073">
        <f>563170000000+55510000000</f>
        <v>618680000000</v>
      </c>
      <c r="AI12" s="2069" t="s">
        <v>6023</v>
      </c>
      <c r="AJ12" s="2074">
        <f>AH12/AG12</f>
        <v>0.9270836455180268</v>
      </c>
      <c r="AK12" s="2063"/>
      <c r="AL12" s="2075">
        <f>660320000000+76510000000</f>
        <v>736830000000</v>
      </c>
      <c r="AM12" s="2069" t="s">
        <v>6024</v>
      </c>
      <c r="AN12" s="2071">
        <f>AL12*AJ12</f>
        <v>683103042527.04773</v>
      </c>
      <c r="AO12" s="2076"/>
      <c r="AQ12" s="2075">
        <f>616620000000+84800000000</f>
        <v>701420000000</v>
      </c>
      <c r="AR12" s="2075">
        <f>560530000000+92910000000</f>
        <v>653440000000</v>
      </c>
      <c r="AS12" s="2069" t="s">
        <v>6025</v>
      </c>
      <c r="AT12" s="7510">
        <f>AR12/AQ12</f>
        <v>0.93159590544894644</v>
      </c>
      <c r="AU12" s="2063"/>
      <c r="AV12" s="2075">
        <f>669500000000+80400000000</f>
        <v>749900000000</v>
      </c>
      <c r="AW12" s="2069" t="s">
        <v>6026</v>
      </c>
      <c r="AX12" s="2071">
        <f>AV12*AT12</f>
        <v>698603769496.16492</v>
      </c>
      <c r="AZ12" s="2075">
        <f>669500000000+69440000000</f>
        <v>738940000000</v>
      </c>
      <c r="BA12" s="2075">
        <f>625000000000+70970000000</f>
        <v>695970000000</v>
      </c>
      <c r="BB12" s="2069" t="s">
        <v>6027</v>
      </c>
      <c r="BC12" s="2074">
        <f>BA12/AZ12</f>
        <v>0.94184913524778735</v>
      </c>
      <c r="BD12" s="2063"/>
      <c r="BE12" s="2075">
        <f>678360000000+75000000000</f>
        <v>753360000000</v>
      </c>
      <c r="BF12" s="2069" t="s">
        <v>6028</v>
      </c>
      <c r="BG12" s="2071">
        <f>BE12*BC12</f>
        <v>709551464530.27307</v>
      </c>
    </row>
    <row r="13" spans="1:59" x14ac:dyDescent="0.35">
      <c r="A13" s="9568"/>
      <c r="B13" s="2056"/>
      <c r="C13" s="2077" t="s">
        <v>1324</v>
      </c>
      <c r="D13" s="2058"/>
      <c r="F13" s="2059"/>
      <c r="G13" s="2005"/>
      <c r="H13" s="2060"/>
      <c r="I13" s="2061"/>
      <c r="J13" s="2078">
        <f>IF(H13=0,0,I13/H13)</f>
        <v>0</v>
      </c>
      <c r="K13" s="2063"/>
      <c r="L13" s="2064">
        <f>78155680000+29800000000</f>
        <v>107955680000</v>
      </c>
      <c r="M13" s="2065">
        <f>L13*J13</f>
        <v>0</v>
      </c>
      <c r="N13" s="2066"/>
      <c r="O13" s="2067">
        <f>(104175+7753+9000)*1000000</f>
        <v>120928000000</v>
      </c>
      <c r="P13" s="2068"/>
      <c r="Q13" s="2079"/>
      <c r="R13" s="2078">
        <f>IF(O13=0,0,P13/O13)</f>
        <v>0</v>
      </c>
      <c r="S13" s="2063"/>
      <c r="T13" s="2070">
        <f>(78749+8469)*1000000</f>
        <v>87218000000</v>
      </c>
      <c r="U13" s="2080"/>
      <c r="V13" s="2071">
        <f>T13*R13</f>
        <v>0</v>
      </c>
      <c r="W13" s="2066"/>
      <c r="X13" s="2072">
        <v>119620000000</v>
      </c>
      <c r="Y13" s="2073">
        <v>75600000000</v>
      </c>
      <c r="Z13" s="2081"/>
      <c r="AA13" s="2078">
        <f>IF(X13=0,0,Y13/X13)</f>
        <v>0.63200133756896837</v>
      </c>
      <c r="AB13" s="2063"/>
      <c r="AC13" s="2072"/>
      <c r="AD13" s="2080"/>
      <c r="AE13" s="2071"/>
      <c r="AF13" s="2066"/>
      <c r="AG13" s="2072">
        <v>94780000000</v>
      </c>
      <c r="AH13" s="2073">
        <v>40210000000</v>
      </c>
      <c r="AI13" s="2069" t="s">
        <v>6029</v>
      </c>
      <c r="AJ13" s="2074">
        <f>AH13/AG13</f>
        <v>0.4242456214391222</v>
      </c>
      <c r="AK13" s="2063"/>
      <c r="AL13" s="2075">
        <v>88730000000</v>
      </c>
      <c r="AM13" s="2069" t="s">
        <v>6024</v>
      </c>
      <c r="AN13" s="2071">
        <f>AL13*AJ13</f>
        <v>37643313990.293312</v>
      </c>
      <c r="AO13" s="2082"/>
      <c r="AQ13" s="2075">
        <v>95710000000</v>
      </c>
      <c r="AR13" s="2075">
        <v>72710000000</v>
      </c>
      <c r="AS13" s="2069" t="s">
        <v>6025</v>
      </c>
      <c r="AT13" s="7510">
        <f>AR13/AQ13</f>
        <v>0.75969073242085472</v>
      </c>
      <c r="AU13" s="2063"/>
      <c r="AV13" s="2075">
        <v>110860000000</v>
      </c>
      <c r="AW13" s="2069" t="s">
        <v>6026</v>
      </c>
      <c r="AX13" s="2071">
        <f>AV13*AT13</f>
        <v>84219314596.175949</v>
      </c>
      <c r="AZ13" s="2075">
        <v>99060000000</v>
      </c>
      <c r="BA13" s="2075">
        <v>60360000000</v>
      </c>
      <c r="BB13" s="2069" t="s">
        <v>6027</v>
      </c>
      <c r="BC13" s="2074">
        <f>BA13/AZ13</f>
        <v>0.60932768019382189</v>
      </c>
      <c r="BD13" s="2063"/>
      <c r="BE13" s="2075">
        <v>122120000000</v>
      </c>
      <c r="BF13" s="2069" t="s">
        <v>6030</v>
      </c>
      <c r="BG13" s="2071">
        <f>BE13*BC13</f>
        <v>74411096305.269531</v>
      </c>
    </row>
    <row r="14" spans="1:59" x14ac:dyDescent="0.35">
      <c r="A14" s="9568"/>
      <c r="B14" s="2083"/>
      <c r="C14" s="2077" t="s">
        <v>1325</v>
      </c>
      <c r="D14" s="2058"/>
      <c r="F14" s="2084"/>
      <c r="G14" s="2005"/>
      <c r="H14" s="2085"/>
      <c r="I14" s="2086"/>
      <c r="J14" s="2078"/>
      <c r="K14" s="2087"/>
      <c r="L14" s="2088"/>
      <c r="M14" s="2065"/>
      <c r="N14" s="2066"/>
      <c r="O14" s="2089">
        <f>L14</f>
        <v>0</v>
      </c>
      <c r="P14" s="2090"/>
      <c r="Q14" s="2079"/>
      <c r="R14" s="2078">
        <f>IF(O14=0,0,P14/O14)</f>
        <v>0</v>
      </c>
      <c r="S14" s="2087"/>
      <c r="T14" s="2090"/>
      <c r="U14" s="2080"/>
      <c r="V14" s="2071">
        <f>T14*R14</f>
        <v>0</v>
      </c>
      <c r="W14" s="2066"/>
      <c r="X14" s="2091">
        <v>3500000000</v>
      </c>
      <c r="Y14" s="2073">
        <v>5360000000</v>
      </c>
      <c r="Z14" s="2092"/>
      <c r="AA14" s="2078">
        <f>IF(X14=0,0,Y14/X14)</f>
        <v>1.5314285714285714</v>
      </c>
      <c r="AB14" s="2087"/>
      <c r="AC14" s="2091"/>
      <c r="AD14" s="2080"/>
      <c r="AE14" s="2071"/>
      <c r="AF14" s="2066"/>
      <c r="AG14" s="2091">
        <v>51960000000</v>
      </c>
      <c r="AH14" s="2073">
        <v>48320000000</v>
      </c>
      <c r="AI14" s="2069" t="s">
        <v>6031</v>
      </c>
      <c r="AJ14" s="2074">
        <f>AH14/AG14</f>
        <v>0.92994611239414937</v>
      </c>
      <c r="AK14" s="2087"/>
      <c r="AL14" s="2093">
        <v>27460000000</v>
      </c>
      <c r="AM14" s="2069" t="s">
        <v>6024</v>
      </c>
      <c r="AN14" s="2071">
        <f>AL14*AJ14</f>
        <v>25536320246.343342</v>
      </c>
      <c r="AO14" s="2094"/>
      <c r="AQ14" s="2093">
        <v>34860000000</v>
      </c>
      <c r="AR14" s="2093">
        <v>33180000000</v>
      </c>
      <c r="AS14" s="2069" t="s">
        <v>6025</v>
      </c>
      <c r="AT14" s="7510">
        <f>AR14/AQ14</f>
        <v>0.95180722891566261</v>
      </c>
      <c r="AU14" s="2087"/>
      <c r="AV14" s="2093">
        <v>20380000000</v>
      </c>
      <c r="AW14" s="2069" t="s">
        <v>6026</v>
      </c>
      <c r="AX14" s="2071">
        <f>AV14*AT14</f>
        <v>19397831325.301205</v>
      </c>
      <c r="AZ14" s="2093">
        <v>26150000000</v>
      </c>
      <c r="BA14" s="2093">
        <v>62070000000</v>
      </c>
      <c r="BB14" s="2069" t="s">
        <v>6027</v>
      </c>
      <c r="BC14" s="2074">
        <f>BA14/AZ14</f>
        <v>2.3736137667304016</v>
      </c>
      <c r="BD14" s="2087"/>
      <c r="BE14" s="2093">
        <v>16500000000</v>
      </c>
      <c r="BF14" s="2069" t="s">
        <v>6032</v>
      </c>
      <c r="BG14" s="2071">
        <f>BE14*BC14</f>
        <v>39164627151.051628</v>
      </c>
    </row>
    <row r="15" spans="1:59" x14ac:dyDescent="0.35">
      <c r="A15" s="9568"/>
      <c r="B15" s="2095"/>
      <c r="C15" s="2096" t="s">
        <v>882</v>
      </c>
      <c r="D15" s="2097"/>
      <c r="F15" s="2098"/>
      <c r="G15" s="2005"/>
      <c r="H15" s="2099"/>
      <c r="I15" s="2100"/>
      <c r="J15" s="2101">
        <f>IF(H15=0,0,I15/H15)</f>
        <v>0</v>
      </c>
      <c r="K15" s="2087"/>
      <c r="L15" s="2102">
        <f>SUM(L12:L13)</f>
        <v>647573281000</v>
      </c>
      <c r="M15" s="2103">
        <f>L15*J15</f>
        <v>0</v>
      </c>
      <c r="N15" s="2045"/>
      <c r="O15" s="2104">
        <f>SUM(O12:O14)</f>
        <v>940605000000</v>
      </c>
      <c r="P15" s="2105"/>
      <c r="Q15" s="2106"/>
      <c r="R15" s="2101">
        <f>IF(O15=0,0,P15/O15)</f>
        <v>0</v>
      </c>
      <c r="S15" s="2087"/>
      <c r="T15" s="2105">
        <f>SUM(T12:T14)</f>
        <v>952756000000</v>
      </c>
      <c r="U15" s="2107"/>
      <c r="V15" s="2108">
        <f>T15*R15</f>
        <v>0</v>
      </c>
      <c r="W15" s="2045"/>
      <c r="X15" s="2109">
        <v>753520000000</v>
      </c>
      <c r="Y15" s="2110">
        <v>695020000000</v>
      </c>
      <c r="Z15" s="2106"/>
      <c r="AA15" s="2101">
        <f>IF(X15=0,0,Y15/X15)</f>
        <v>0.92236436989064652</v>
      </c>
      <c r="AB15" s="2087"/>
      <c r="AC15" s="2109"/>
      <c r="AD15" s="2107"/>
      <c r="AE15" s="2108"/>
      <c r="AF15" s="2045"/>
      <c r="AG15" s="2109">
        <v>814080000000</v>
      </c>
      <c r="AH15" s="2110">
        <v>707210000000</v>
      </c>
      <c r="AI15" s="2106"/>
      <c r="AJ15" s="2074">
        <f>AH15/AG15</f>
        <v>0.86872297562893086</v>
      </c>
      <c r="AK15" s="2087"/>
      <c r="AL15" s="2111">
        <f>853030000000</f>
        <v>853030000000</v>
      </c>
      <c r="AM15" s="2107"/>
      <c r="AN15" s="2071">
        <f>AL15*AJ15</f>
        <v>741046759900.74695</v>
      </c>
      <c r="AO15" s="2112"/>
      <c r="AQ15" s="2111">
        <f>SUM(AQ12:AQ14)</f>
        <v>831990000000</v>
      </c>
      <c r="AR15" s="2111">
        <f>SUM(AR12:AR14)</f>
        <v>759330000000</v>
      </c>
      <c r="AS15" s="2106"/>
      <c r="AT15" s="7510">
        <f>AR15/AQ15</f>
        <v>0.9126672195579274</v>
      </c>
      <c r="AU15" s="2087"/>
      <c r="AV15" s="2111">
        <f>SUM(AV12:AV14)</f>
        <v>881140000000</v>
      </c>
      <c r="AW15" s="2069" t="s">
        <v>6026</v>
      </c>
      <c r="AX15" s="2071">
        <f>AV15*AT15</f>
        <v>804187593841.27209</v>
      </c>
      <c r="AZ15" s="2111">
        <f>SUM(AZ12:AZ14)</f>
        <v>864150000000</v>
      </c>
      <c r="BA15" s="2111">
        <f>SUM(BA12:BA14)</f>
        <v>818400000000</v>
      </c>
      <c r="BB15" s="2106"/>
      <c r="BC15" s="2074">
        <f>BA15/AZ15</f>
        <v>0.94705780246484983</v>
      </c>
      <c r="BD15" s="2087"/>
      <c r="BE15" s="2111">
        <f>SUM(BE12:BE14)</f>
        <v>891980000000</v>
      </c>
      <c r="BF15" s="2106" t="s">
        <v>6033</v>
      </c>
      <c r="BG15" s="2071">
        <f>BE15*BC15</f>
        <v>844756618642.5968</v>
      </c>
    </row>
    <row r="16" spans="1:59" x14ac:dyDescent="0.35">
      <c r="A16" s="9568"/>
      <c r="B16" s="2113" t="s">
        <v>883</v>
      </c>
      <c r="C16" s="2052"/>
      <c r="D16" s="2044"/>
      <c r="E16" s="2045"/>
      <c r="F16" s="2114"/>
      <c r="G16" s="2005"/>
      <c r="H16" s="2115"/>
      <c r="I16" s="2116"/>
      <c r="J16" s="2117"/>
      <c r="K16" s="2045"/>
      <c r="L16" s="2115"/>
      <c r="M16" s="2118"/>
      <c r="O16" s="2115">
        <f t="shared" ref="O16:O21" si="0">L16</f>
        <v>0</v>
      </c>
      <c r="P16" s="2119"/>
      <c r="Q16" s="2119"/>
      <c r="R16" s="2117"/>
      <c r="S16" s="2045"/>
      <c r="T16" s="2120"/>
      <c r="U16" s="2119"/>
      <c r="V16" s="2118"/>
      <c r="X16" s="2115">
        <f>U16</f>
        <v>0</v>
      </c>
      <c r="Y16" s="2119"/>
      <c r="Z16" s="2119"/>
      <c r="AA16" s="2117"/>
      <c r="AB16" s="2045"/>
      <c r="AC16" s="2120"/>
      <c r="AD16" s="2121"/>
      <c r="AE16" s="2118"/>
      <c r="AG16" s="2115"/>
      <c r="AH16" s="2119"/>
      <c r="AI16" s="2119"/>
      <c r="AJ16" s="2122"/>
      <c r="AK16" s="2045"/>
      <c r="AL16" s="2120"/>
      <c r="AM16" s="2121"/>
      <c r="AN16" s="2118"/>
      <c r="AO16" s="2024" t="s">
        <v>6034</v>
      </c>
      <c r="AQ16" s="2115"/>
      <c r="AR16" s="2119"/>
      <c r="AS16" s="2119"/>
      <c r="AT16" s="2122"/>
      <c r="AU16" s="2045"/>
      <c r="AV16" s="2120"/>
      <c r="AW16" s="6360"/>
      <c r="AX16" s="2118"/>
      <c r="AZ16" s="2115"/>
      <c r="BA16" s="2119"/>
      <c r="BB16" s="2119"/>
      <c r="BC16" s="2122"/>
      <c r="BD16" s="2045"/>
      <c r="BE16" s="2120"/>
      <c r="BF16" s="2121"/>
      <c r="BG16" s="2118"/>
    </row>
    <row r="17" spans="1:59" x14ac:dyDescent="0.35">
      <c r="A17" s="9568"/>
      <c r="B17" s="2123"/>
      <c r="C17" s="2124" t="s">
        <v>6035</v>
      </c>
      <c r="D17" s="2058"/>
      <c r="F17" s="2125">
        <v>229932349870</v>
      </c>
      <c r="G17" s="2005"/>
      <c r="H17" s="2126">
        <v>374910302000</v>
      </c>
      <c r="I17" s="2127">
        <v>362716996961</v>
      </c>
      <c r="J17" s="2062">
        <f>IF(H17=0,0,I17/H17)</f>
        <v>0.96747674050578636</v>
      </c>
      <c r="L17" s="2126">
        <f>167843660000+133826787000+122467895000</f>
        <v>424138342000</v>
      </c>
      <c r="M17" s="2071">
        <f>L17*J17</f>
        <v>410343980641.68848</v>
      </c>
      <c r="O17" s="2126">
        <f t="shared" si="0"/>
        <v>424138342000</v>
      </c>
      <c r="P17" s="2128">
        <v>413282754246</v>
      </c>
      <c r="Q17" s="2129">
        <f>426.61-2.47</f>
        <v>424.14</v>
      </c>
      <c r="R17" s="2062">
        <f>IF(O17=0,0,P17/O17)</f>
        <v>0.97440554960720815</v>
      </c>
      <c r="T17" s="2130">
        <v>435563858000</v>
      </c>
      <c r="U17" s="2131"/>
      <c r="V17" s="2071">
        <f>T17*R17</f>
        <v>424415840443.52594</v>
      </c>
      <c r="X17" s="2132">
        <v>439060000000</v>
      </c>
      <c r="Y17" s="2133">
        <v>517450000000.00006</v>
      </c>
      <c r="Z17" s="2134"/>
      <c r="AA17" s="2062">
        <f>IF(X17=0,0,Y17/X17)</f>
        <v>1.178540518380176</v>
      </c>
      <c r="AC17" s="2135">
        <f>191630500000+168947187500+112999320000</f>
        <v>473577007500</v>
      </c>
      <c r="AD17" s="2131"/>
      <c r="AE17" s="2071">
        <f>AC17*AA17</f>
        <v>558129691911.98254</v>
      </c>
      <c r="AG17" s="2132">
        <f>192430000000+109800000000+203770000000</f>
        <v>506000000000</v>
      </c>
      <c r="AH17" s="2133">
        <f>192820000000+102360000000+196140000000</f>
        <v>491320000000</v>
      </c>
      <c r="AI17" s="2134" t="s">
        <v>6036</v>
      </c>
      <c r="AJ17" s="2074">
        <f>AH17/AG17</f>
        <v>0.97098814229249009</v>
      </c>
      <c r="AL17" s="2136">
        <f>204030000000+125820000000+111600000000</f>
        <v>441450000000</v>
      </c>
      <c r="AM17" s="2069" t="s">
        <v>6037</v>
      </c>
      <c r="AN17" s="2071">
        <f>AL17*AJ17</f>
        <v>428642715415.01978</v>
      </c>
      <c r="AO17" s="2137"/>
      <c r="AQ17" s="2132">
        <f>AQ21-AQ20-AQ19-AQ18</f>
        <v>539450000000</v>
      </c>
      <c r="AR17" s="2133">
        <f>AR21-AR20-AR19-AR18</f>
        <v>521340000000</v>
      </c>
      <c r="AS17" s="2134" t="s">
        <v>6038</v>
      </c>
      <c r="AT17" s="7510">
        <f>AR17/AQ17</f>
        <v>0.96642877004356287</v>
      </c>
      <c r="AV17" s="2136">
        <f>AV21-AV20-AV19-AV18</f>
        <v>532350000000</v>
      </c>
      <c r="AW17" s="2069" t="s">
        <v>6037</v>
      </c>
      <c r="AX17" s="2071">
        <f>AV17*AT17</f>
        <v>514478355732.69067</v>
      </c>
      <c r="AZ17" s="2132">
        <f>AZ21-AZ20-AZ19-AZ18</f>
        <v>583060000000</v>
      </c>
      <c r="BA17" s="2133">
        <f>BA21-BA20-BA19-BA18</f>
        <v>573600000000</v>
      </c>
      <c r="BB17" s="2134" t="s">
        <v>6039</v>
      </c>
      <c r="BC17" s="2074">
        <f>BA17/AZ17</f>
        <v>0.98377525469076943</v>
      </c>
      <c r="BE17" s="2136">
        <f>BE21-BE20-BE19-BE18</f>
        <v>529800000000</v>
      </c>
      <c r="BF17" s="2069" t="s">
        <v>6040</v>
      </c>
      <c r="BG17" s="2071">
        <f>BE17*BC17</f>
        <v>521204129935.16962</v>
      </c>
    </row>
    <row r="18" spans="1:59" x14ac:dyDescent="0.35">
      <c r="A18" s="9568"/>
      <c r="B18" s="2123"/>
      <c r="C18" s="2138" t="s">
        <v>6041</v>
      </c>
      <c r="D18" s="2058"/>
      <c r="F18" s="2139">
        <v>60108998939</v>
      </c>
      <c r="G18" s="2005"/>
      <c r="H18" s="2140">
        <v>230956573000</v>
      </c>
      <c r="I18" s="2141">
        <v>95064058482</v>
      </c>
      <c r="J18" s="2062">
        <f>IF(H18=0,0,I18/H18)</f>
        <v>0.41161010161854106</v>
      </c>
      <c r="L18" s="2140">
        <v>279741043000</v>
      </c>
      <c r="M18" s="2071">
        <f>L18*J18</f>
        <v>115144239136.10666</v>
      </c>
      <c r="O18" s="2140">
        <f t="shared" si="0"/>
        <v>279741043000</v>
      </c>
      <c r="P18" s="2142">
        <v>139209515806</v>
      </c>
      <c r="Q18" s="2143">
        <v>279.74099999999999</v>
      </c>
      <c r="R18" s="2062">
        <f>IF(O18=0,0,P18/O18)</f>
        <v>0.49763708004048585</v>
      </c>
      <c r="T18" s="2144">
        <v>322225464000</v>
      </c>
      <c r="U18" s="2131"/>
      <c r="V18" s="2071">
        <f>T18*R18</f>
        <v>160351339019.6507</v>
      </c>
      <c r="X18" s="2145">
        <v>311835000000</v>
      </c>
      <c r="Y18" s="2133">
        <v>332380000000</v>
      </c>
      <c r="Z18" s="2146"/>
      <c r="AA18" s="2062">
        <f>IF(X18=0,0,Y18/X18)</f>
        <v>1.0658842015809642</v>
      </c>
      <c r="AC18" s="2135">
        <v>310072396000</v>
      </c>
      <c r="AD18" s="2131"/>
      <c r="AE18" s="2071">
        <f t="shared" ref="AE18:AE23" si="1">AC18*AA18</f>
        <v>330501268242.75653</v>
      </c>
      <c r="AG18" s="2145">
        <f>313530000000</f>
        <v>313530000000</v>
      </c>
      <c r="AH18" s="2133">
        <v>170980000000</v>
      </c>
      <c r="AI18" s="2134" t="s">
        <v>6036</v>
      </c>
      <c r="AJ18" s="2074">
        <f t="shared" ref="AJ18:AJ23" si="2">AH18/AG18</f>
        <v>0.54533856409275028</v>
      </c>
      <c r="AL18" s="2136">
        <v>314780000000</v>
      </c>
      <c r="AM18" s="2069" t="s">
        <v>6042</v>
      </c>
      <c r="AN18" s="2071">
        <f>AL18*AJ18</f>
        <v>171661673205.11594</v>
      </c>
      <c r="AO18" s="2137"/>
      <c r="AQ18" s="2145">
        <v>310130000000</v>
      </c>
      <c r="AR18" s="2133">
        <v>194900000000</v>
      </c>
      <c r="AS18" s="2134" t="s">
        <v>6038</v>
      </c>
      <c r="AT18" s="7510">
        <f>AR18/AQ18</f>
        <v>0.62844613549156803</v>
      </c>
      <c r="AV18" s="2136">
        <v>284470000000</v>
      </c>
      <c r="AW18" s="2069" t="s">
        <v>6042</v>
      </c>
      <c r="AX18" s="2071">
        <f>AV18*AT18</f>
        <v>178774072163.28635</v>
      </c>
      <c r="AZ18" s="2145">
        <v>274590000000</v>
      </c>
      <c r="BA18" s="2133">
        <v>191450000000</v>
      </c>
      <c r="BB18" s="2134" t="s">
        <v>6039</v>
      </c>
      <c r="BC18" s="2074">
        <f>BA18/AZ18</f>
        <v>0.69722131177391744</v>
      </c>
      <c r="BE18" s="2136">
        <f>318330000000+11030000000</f>
        <v>329360000000</v>
      </c>
      <c r="BF18" s="2069" t="s">
        <v>6043</v>
      </c>
      <c r="BG18" s="2071">
        <f>BE18*BC18</f>
        <v>229636811245.85745</v>
      </c>
    </row>
    <row r="19" spans="1:59" x14ac:dyDescent="0.35">
      <c r="A19" s="9568"/>
      <c r="B19" s="2123"/>
      <c r="C19" s="2138" t="s">
        <v>1978</v>
      </c>
      <c r="D19" s="2058"/>
      <c r="F19" s="2139"/>
      <c r="G19" s="2005"/>
      <c r="H19" s="2140"/>
      <c r="I19" s="2141"/>
      <c r="J19" s="2062"/>
      <c r="L19" s="2147"/>
      <c r="M19" s="2071"/>
      <c r="O19" s="2140">
        <f t="shared" si="0"/>
        <v>0</v>
      </c>
      <c r="P19" s="2142"/>
      <c r="Q19" s="2143">
        <v>33.15</v>
      </c>
      <c r="R19" s="2062">
        <f>IF(O19=0,0,P19/O19)</f>
        <v>0</v>
      </c>
      <c r="T19" s="2144"/>
      <c r="U19" s="2131"/>
      <c r="V19" s="2071">
        <f>T19*R19</f>
        <v>0</v>
      </c>
      <c r="X19" s="2145">
        <v>50345970000</v>
      </c>
      <c r="Y19" s="2133">
        <v>62910000000</v>
      </c>
      <c r="Z19" s="2146"/>
      <c r="AA19" s="2062">
        <f>IF(X19=0,0,Y19/X19)</f>
        <v>1.2495538371790236</v>
      </c>
      <c r="AC19" s="2135">
        <v>56353337500</v>
      </c>
      <c r="AD19" s="2148"/>
      <c r="AE19" s="2071">
        <f t="shared" si="1"/>
        <v>70416529110.969559</v>
      </c>
      <c r="AG19" s="2145">
        <v>58690000000</v>
      </c>
      <c r="AH19" s="2133">
        <v>52460000000</v>
      </c>
      <c r="AI19" s="2134" t="s">
        <v>6036</v>
      </c>
      <c r="AJ19" s="2074">
        <f t="shared" si="2"/>
        <v>0.89384903731470433</v>
      </c>
      <c r="AL19" s="2136">
        <v>70990000000</v>
      </c>
      <c r="AM19" s="2069" t="s">
        <v>6044</v>
      </c>
      <c r="AN19" s="2071">
        <f>AL19*AJ19</f>
        <v>63454343158.970863</v>
      </c>
      <c r="AO19" s="2094"/>
      <c r="AQ19" s="2145">
        <v>70990000000</v>
      </c>
      <c r="AR19" s="2133">
        <v>70750000000</v>
      </c>
      <c r="AS19" s="2134" t="s">
        <v>6038</v>
      </c>
      <c r="AT19" s="7510">
        <f>AR19/AQ19</f>
        <v>0.99661924214678121</v>
      </c>
      <c r="AV19" s="2136">
        <v>78150000000</v>
      </c>
      <c r="AW19" s="2069" t="s">
        <v>6044</v>
      </c>
      <c r="AX19" s="2071">
        <f>AV19*AT19</f>
        <v>77885793773.77095</v>
      </c>
      <c r="AZ19" s="2145">
        <v>78150000000</v>
      </c>
      <c r="BA19" s="2133">
        <v>75380000000</v>
      </c>
      <c r="BB19" s="2134" t="s">
        <v>6039</v>
      </c>
      <c r="BC19" s="2074">
        <f>BA19/AZ19</f>
        <v>0.96455534229046702</v>
      </c>
      <c r="BE19" s="2136">
        <v>99930000000</v>
      </c>
      <c r="BF19" s="2069" t="s">
        <v>6045</v>
      </c>
      <c r="BG19" s="2071">
        <f>BE19*BC19</f>
        <v>96388015355.086365</v>
      </c>
    </row>
    <row r="20" spans="1:59" x14ac:dyDescent="0.35">
      <c r="A20" s="9568"/>
      <c r="B20" s="2123"/>
      <c r="C20" s="2124" t="s">
        <v>6046</v>
      </c>
      <c r="D20" s="2058"/>
      <c r="F20" s="2139">
        <v>64709752465</v>
      </c>
      <c r="H20" s="2140">
        <v>115038414000</v>
      </c>
      <c r="I20" s="2141">
        <v>104373137800</v>
      </c>
      <c r="J20" s="2062">
        <f>IF(H20=0,0,I20/H20)</f>
        <v>0.90728943637905157</v>
      </c>
      <c r="L20" s="2126">
        <f>123340996000</f>
        <v>123340996000</v>
      </c>
      <c r="M20" s="2071">
        <f>L20*J20</f>
        <v>111905982743.27086</v>
      </c>
      <c r="O20" s="2140">
        <f t="shared" si="0"/>
        <v>123340996000</v>
      </c>
      <c r="P20" s="2141">
        <v>139742525806</v>
      </c>
      <c r="Q20" s="2143">
        <f>71.91+59.65</f>
        <v>131.56</v>
      </c>
      <c r="R20" s="2062">
        <f>IF(O20=0,0,P20/O20)</f>
        <v>1.132977114973192</v>
      </c>
      <c r="T20" s="2140">
        <v>244372177000</v>
      </c>
      <c r="U20" s="2131"/>
      <c r="V20" s="2071">
        <f>T20*R20</f>
        <v>276868084077.17822</v>
      </c>
      <c r="W20" s="2149"/>
      <c r="X20" s="2145">
        <v>194026307000</v>
      </c>
      <c r="Y20" s="2150">
        <v>242446316425.52524</v>
      </c>
      <c r="Z20" s="2151"/>
      <c r="AA20" s="2062">
        <f>IF(X20=0,0,Y20/X20)</f>
        <v>1.2495538371790236</v>
      </c>
      <c r="AC20" s="2145">
        <v>378920338000</v>
      </c>
      <c r="AD20" s="2131"/>
      <c r="AE20" s="2071">
        <f t="shared" si="1"/>
        <v>473481362333.07257</v>
      </c>
      <c r="AF20" s="2149"/>
      <c r="AG20" s="2145">
        <v>455500000000</v>
      </c>
      <c r="AH20" s="2152">
        <v>455690000000</v>
      </c>
      <c r="AI20" s="2134" t="s">
        <v>6036</v>
      </c>
      <c r="AJ20" s="2074">
        <f t="shared" si="2"/>
        <v>1.000417124039517</v>
      </c>
      <c r="AL20" s="2153">
        <v>393000000000</v>
      </c>
      <c r="AM20" s="2069" t="s">
        <v>6047</v>
      </c>
      <c r="AN20" s="2071">
        <f>AL20*AJ20</f>
        <v>393163929747.53015</v>
      </c>
      <c r="AO20" s="2137"/>
      <c r="AQ20" s="2145">
        <v>386990000000</v>
      </c>
      <c r="AR20" s="2152">
        <v>302290000000</v>
      </c>
      <c r="AS20" s="2134" t="s">
        <v>6038</v>
      </c>
      <c r="AT20" s="7510">
        <f>AR20/AQ20</f>
        <v>0.78113129538230963</v>
      </c>
      <c r="AV20" s="2136">
        <v>562880000000</v>
      </c>
      <c r="AW20" s="2069" t="s">
        <v>6047</v>
      </c>
      <c r="AX20" s="2071">
        <f>AV20*AT20</f>
        <v>439683183544.79443</v>
      </c>
      <c r="AZ20" s="8822">
        <v>491140000000</v>
      </c>
      <c r="BA20" s="2150">
        <v>480570000000</v>
      </c>
      <c r="BB20" s="2134" t="s">
        <v>6039</v>
      </c>
      <c r="BC20" s="2074">
        <f>BA20/AZ20</f>
        <v>0.97847864152787389</v>
      </c>
      <c r="BE20" s="2136">
        <v>504740000000</v>
      </c>
      <c r="BF20" s="2069" t="s">
        <v>6048</v>
      </c>
      <c r="BG20" s="2071">
        <f>BE20*BC20</f>
        <v>493877309524.77905</v>
      </c>
    </row>
    <row r="21" spans="1:59" x14ac:dyDescent="0.35">
      <c r="A21" s="9568"/>
      <c r="B21" s="2154"/>
      <c r="C21" s="2155" t="s">
        <v>903</v>
      </c>
      <c r="D21" s="2097"/>
      <c r="F21" s="2156">
        <v>354751101274</v>
      </c>
      <c r="H21" s="2157">
        <v>720905289000</v>
      </c>
      <c r="I21" s="2158">
        <v>562154193243</v>
      </c>
      <c r="J21" s="2159">
        <f>IF(H21=0,0,I21/H21)</f>
        <v>0.77978924807555405</v>
      </c>
      <c r="L21" s="2157">
        <f>SUM(L17:L20)</f>
        <v>827220381000</v>
      </c>
      <c r="M21" s="2108">
        <f>L21*J21</f>
        <v>645057558892.76331</v>
      </c>
      <c r="N21" s="2149"/>
      <c r="O21" s="2157">
        <f t="shared" si="0"/>
        <v>827220381000</v>
      </c>
      <c r="P21" s="2158">
        <f>+P17+P18+P19+P20</f>
        <v>692234795858</v>
      </c>
      <c r="Q21" s="2143">
        <f>2.47+SUM(Q17:Q19)</f>
        <v>739.50099999999998</v>
      </c>
      <c r="R21" s="2159">
        <f>IF(O21=0,0,P21/O21)</f>
        <v>0.83682028605385628</v>
      </c>
      <c r="T21" s="2158">
        <f>+T17+T18+T19+T20</f>
        <v>1002161499000</v>
      </c>
      <c r="U21" s="2131"/>
      <c r="V21" s="2108">
        <f>T21*R21</f>
        <v>838629072265.34143</v>
      </c>
      <c r="X21" s="2076">
        <v>995267277000</v>
      </c>
      <c r="Y21" s="2160">
        <v>1155186316425.5251</v>
      </c>
      <c r="Z21" s="2151"/>
      <c r="AA21" s="2159">
        <f>IF(X21=0,0,Y21/X21)</f>
        <v>1.160679490947963</v>
      </c>
      <c r="AC21" s="2076">
        <f>+AC17+AC18+AC19+AC20</f>
        <v>1218923079000</v>
      </c>
      <c r="AD21" s="2131"/>
      <c r="AE21" s="2071">
        <f t="shared" si="1"/>
        <v>1414779018838.4436</v>
      </c>
      <c r="AG21" s="2076">
        <f>+AG17+AG18+AG19+AG20</f>
        <v>1333720000000</v>
      </c>
      <c r="AH21" s="2076">
        <f>+AH17+AH18+AH19+AH20</f>
        <v>1170450000000</v>
      </c>
      <c r="AI21" s="2151"/>
      <c r="AJ21" s="2074">
        <f t="shared" si="2"/>
        <v>0.87758300092973041</v>
      </c>
      <c r="AL21" s="2161">
        <f>+AL17+AL18+AL19+AL20+98320000000</f>
        <v>1318540000000</v>
      </c>
      <c r="AM21" s="2069" t="s">
        <v>6049</v>
      </c>
      <c r="AN21" s="2071">
        <f>AL21*AJ21</f>
        <v>1157128290045.8867</v>
      </c>
      <c r="AO21" s="2137" t="s">
        <v>6050</v>
      </c>
      <c r="AQ21" s="2076">
        <v>1307560000000</v>
      </c>
      <c r="AR21" s="2076">
        <v>1089280000000</v>
      </c>
      <c r="AS21" s="2134" t="s">
        <v>6038</v>
      </c>
      <c r="AT21" s="7510">
        <f>AR21/AQ21</f>
        <v>0.83306310991465016</v>
      </c>
      <c r="AV21" s="2161">
        <v>1457850000000</v>
      </c>
      <c r="AW21" s="2069" t="s">
        <v>6049</v>
      </c>
      <c r="AX21" s="2071">
        <f>AV21*AT21</f>
        <v>1214481054789.0728</v>
      </c>
      <c r="AZ21" s="2076">
        <v>1426940000000</v>
      </c>
      <c r="BA21" s="2076">
        <v>1321000000000</v>
      </c>
      <c r="BB21" s="2134" t="s">
        <v>6039</v>
      </c>
      <c r="BC21" s="2074">
        <f>BA21/AZ21</f>
        <v>0.92575721473923223</v>
      </c>
      <c r="BE21" s="2161">
        <v>1463830000000</v>
      </c>
      <c r="BF21" s="2069" t="s">
        <v>6051</v>
      </c>
      <c r="BG21" s="2071">
        <f>BE21*BC21</f>
        <v>1355151183651.7302</v>
      </c>
    </row>
    <row r="22" spans="1:59" x14ac:dyDescent="0.35">
      <c r="A22" s="9568"/>
      <c r="B22" s="2162" t="s">
        <v>904</v>
      </c>
      <c r="C22" s="2052"/>
      <c r="D22" s="2163"/>
      <c r="E22" s="2149"/>
      <c r="F22" s="2164"/>
      <c r="G22" s="2165"/>
      <c r="H22" s="2166"/>
      <c r="I22" s="2167"/>
      <c r="J22" s="2168"/>
      <c r="K22" s="2149"/>
      <c r="L22" s="2169"/>
      <c r="M22" s="2170"/>
      <c r="O22" s="2166"/>
      <c r="P22" s="2167"/>
      <c r="Q22" s="2171"/>
      <c r="R22" s="2168"/>
      <c r="S22" s="2149"/>
      <c r="T22" s="2172"/>
      <c r="U22" s="2167"/>
      <c r="V22" s="2170"/>
      <c r="X22" s="2166"/>
      <c r="Y22" s="2167"/>
      <c r="Z22" s="2167"/>
      <c r="AA22" s="2168"/>
      <c r="AB22" s="2149"/>
      <c r="AC22" s="2172"/>
      <c r="AD22" s="2167"/>
      <c r="AE22" s="2170"/>
      <c r="AG22" s="2166"/>
      <c r="AH22" s="2167"/>
      <c r="AI22" s="2167"/>
      <c r="AJ22" s="2173"/>
      <c r="AK22" s="2149"/>
      <c r="AL22" s="2174"/>
      <c r="AM22" s="2167"/>
      <c r="AN22" s="2170"/>
      <c r="AO22" s="2024"/>
      <c r="AQ22" s="2166"/>
      <c r="AR22" s="2167"/>
      <c r="AS22" s="2167"/>
      <c r="AT22" s="7511"/>
      <c r="AU22" s="2149"/>
      <c r="AV22" s="2174"/>
      <c r="AW22" s="2167"/>
      <c r="AX22" s="2170"/>
      <c r="AZ22" s="2166"/>
      <c r="BA22" s="2167"/>
      <c r="BB22" s="2167"/>
      <c r="BC22" s="2173"/>
      <c r="BD22" s="2149"/>
      <c r="BE22" s="2174"/>
      <c r="BF22" s="2167"/>
      <c r="BG22" s="2170"/>
    </row>
    <row r="23" spans="1:59" x14ac:dyDescent="0.35">
      <c r="A23" s="9568"/>
      <c r="B23" s="2123"/>
      <c r="C23" s="2124" t="s">
        <v>905</v>
      </c>
      <c r="D23" s="2058"/>
      <c r="F23" s="2175">
        <v>104685685994</v>
      </c>
      <c r="H23" s="2144">
        <v>143757192000</v>
      </c>
      <c r="I23" s="2142">
        <v>143443064557</v>
      </c>
      <c r="J23" s="2062">
        <f>IF(H23=0,0,I23/H23)</f>
        <v>0.99781487493857002</v>
      </c>
      <c r="L23" s="2176">
        <v>167843660000</v>
      </c>
      <c r="M23" s="2177">
        <f>L23*J23</f>
        <v>167476900612.13187</v>
      </c>
      <c r="O23" s="2144">
        <f>L23</f>
        <v>167843660000</v>
      </c>
      <c r="P23" s="2142">
        <v>171640235239</v>
      </c>
      <c r="Q23" s="2146"/>
      <c r="R23" s="2062">
        <f>IF(O23=0,0,P23/O23)</f>
        <v>1.0226197119331168</v>
      </c>
      <c r="T23" s="2176">
        <v>183765900000</v>
      </c>
      <c r="U23" s="2131"/>
      <c r="V23" s="2177">
        <f>T23*R23</f>
        <v>187922631721.12994</v>
      </c>
      <c r="X23" s="2135">
        <v>183770000000</v>
      </c>
      <c r="Y23" s="2133">
        <v>182690000000</v>
      </c>
      <c r="Z23" s="2146"/>
      <c r="AA23" s="2062">
        <f>IF(X23=0,0,Y23/X23)</f>
        <v>0.99412308864341292</v>
      </c>
      <c r="AC23" s="2178">
        <v>191630500000</v>
      </c>
      <c r="AD23" s="2131"/>
      <c r="AE23" s="2071">
        <f t="shared" si="1"/>
        <v>190504304538.28156</v>
      </c>
      <c r="AG23" s="2135">
        <v>192430000000</v>
      </c>
      <c r="AH23" s="2133">
        <v>192820000000</v>
      </c>
      <c r="AI23" s="2146"/>
      <c r="AJ23" s="2074">
        <f t="shared" si="2"/>
        <v>1.0020267110117964</v>
      </c>
      <c r="AL23" s="2179">
        <v>204030000000</v>
      </c>
      <c r="AM23" s="2131"/>
      <c r="AN23" s="2071">
        <f>AL23*AJ23</f>
        <v>204443509847.73682</v>
      </c>
      <c r="AO23" s="2094"/>
      <c r="AQ23" s="2135">
        <v>205330000000</v>
      </c>
      <c r="AR23" s="2133">
        <v>200400000000</v>
      </c>
      <c r="AS23" s="2146"/>
      <c r="AT23" s="7510">
        <f>AR23/AQ23</f>
        <v>0.97598986996542147</v>
      </c>
      <c r="AV23" s="2179">
        <v>215260000000</v>
      </c>
      <c r="AW23" s="2131"/>
      <c r="AX23" s="2071">
        <f>AV23*AT23</f>
        <v>210091579408.75662</v>
      </c>
      <c r="AZ23" s="2135">
        <v>211730000000</v>
      </c>
      <c r="BA23" s="2133">
        <v>214610000000</v>
      </c>
      <c r="BB23" s="2134" t="s">
        <v>6039</v>
      </c>
      <c r="BC23" s="2074">
        <f>BA23/AZ23</f>
        <v>1.0136022292542388</v>
      </c>
      <c r="BE23" s="2179">
        <v>239080000000</v>
      </c>
      <c r="BF23" s="2131"/>
      <c r="BG23" s="2071">
        <f>BE23*BC23</f>
        <v>242332020970.10342</v>
      </c>
    </row>
    <row r="24" spans="1:59" x14ac:dyDescent="0.35">
      <c r="A24" s="9568"/>
      <c r="B24" s="2123"/>
      <c r="C24" s="2124" t="s">
        <v>907</v>
      </c>
      <c r="D24" s="2058"/>
      <c r="F24" s="2175">
        <v>95691159755</v>
      </c>
      <c r="H24" s="2144">
        <v>90837720000</v>
      </c>
      <c r="I24" s="2142">
        <v>116017630931</v>
      </c>
      <c r="J24" s="2062">
        <f>IF(H24=0,0,I24/H24)</f>
        <v>1.2771966417805292</v>
      </c>
      <c r="L24" s="2180"/>
      <c r="M24" s="2181">
        <f>L24*J24</f>
        <v>0</v>
      </c>
      <c r="O24" s="2144">
        <v>110263171000</v>
      </c>
      <c r="P24" s="2142">
        <v>150203379428</v>
      </c>
      <c r="Q24" s="2143"/>
      <c r="R24" s="2062">
        <f>IF(O24=0,0,P24/O24)</f>
        <v>1.3622261909010398</v>
      </c>
      <c r="T24" s="2176">
        <v>129556674000</v>
      </c>
      <c r="U24" s="2131"/>
      <c r="V24" s="2177">
        <f>T24*R24</f>
        <v>176485494528.82779</v>
      </c>
      <c r="X24" s="2144"/>
      <c r="Y24" s="2142"/>
      <c r="Z24" s="2146"/>
      <c r="AA24" s="2062">
        <f>IF(X24=0,0,Y24/X24)</f>
        <v>0</v>
      </c>
      <c r="AC24" s="2176"/>
      <c r="AD24" s="2131"/>
      <c r="AE24" s="2177"/>
      <c r="AG24" s="2144"/>
      <c r="AH24" s="2142"/>
      <c r="AI24" s="2146"/>
      <c r="AJ24" s="2074"/>
      <c r="AL24" s="2176"/>
      <c r="AM24" s="2131"/>
      <c r="AN24" s="2177"/>
      <c r="AO24" s="2094"/>
      <c r="AQ24" s="2144"/>
      <c r="AR24" s="2142"/>
      <c r="AS24" s="2146"/>
      <c r="AT24" s="7510"/>
      <c r="AV24" s="2176"/>
      <c r="AW24" s="2131"/>
      <c r="AX24" s="2177"/>
      <c r="AZ24" s="2144"/>
      <c r="BA24" s="2142"/>
      <c r="BB24" s="2146"/>
      <c r="BC24" s="2074"/>
      <c r="BE24" s="2176"/>
      <c r="BF24" s="2131"/>
      <c r="BG24" s="2177"/>
    </row>
    <row r="25" spans="1:59" x14ac:dyDescent="0.35">
      <c r="A25" s="9568"/>
      <c r="B25" s="2123"/>
      <c r="C25" s="2124" t="s">
        <v>908</v>
      </c>
      <c r="D25" s="2058">
        <v>1</v>
      </c>
      <c r="F25" s="2175"/>
      <c r="H25" s="2144"/>
      <c r="I25" s="2142"/>
      <c r="J25" s="2062">
        <f>IF(H25=0,0,I25/H25)</f>
        <v>0</v>
      </c>
      <c r="L25" s="2180"/>
      <c r="M25" s="2181">
        <f>L25*J25</f>
        <v>0</v>
      </c>
      <c r="O25" s="2144">
        <f>L25</f>
        <v>0</v>
      </c>
      <c r="P25" s="2142"/>
      <c r="Q25" s="2143"/>
      <c r="R25" s="2062">
        <f>IF(O25=0,0,P25/O25)</f>
        <v>0</v>
      </c>
      <c r="T25" s="2176"/>
      <c r="U25" s="2131"/>
      <c r="V25" s="2177">
        <f>T25*R25</f>
        <v>0</v>
      </c>
      <c r="W25" s="2182"/>
      <c r="X25" s="2144"/>
      <c r="Y25" s="2142"/>
      <c r="Z25" s="2146"/>
      <c r="AA25" s="2062">
        <f>IF(X25=0,0,Y25/X25)</f>
        <v>0</v>
      </c>
      <c r="AC25" s="2176"/>
      <c r="AD25" s="2131"/>
      <c r="AE25" s="2177"/>
      <c r="AF25" s="2182"/>
      <c r="AG25" s="2144"/>
      <c r="AH25" s="2142"/>
      <c r="AI25" s="2146"/>
      <c r="AJ25" s="2074"/>
      <c r="AL25" s="2176"/>
      <c r="AM25" s="2131"/>
      <c r="AN25" s="2177"/>
      <c r="AO25" s="2094" t="s">
        <v>6052</v>
      </c>
      <c r="AQ25" s="2144"/>
      <c r="AR25" s="2142"/>
      <c r="AS25" s="2146"/>
      <c r="AT25" s="7510"/>
      <c r="AV25" s="2176"/>
      <c r="AW25" s="2131"/>
      <c r="AX25" s="2177"/>
      <c r="AZ25" s="2144"/>
      <c r="BA25" s="2142"/>
      <c r="BB25" s="2146"/>
      <c r="BC25" s="2074"/>
      <c r="BE25" s="2176"/>
      <c r="BF25" s="2131"/>
      <c r="BG25" s="2177"/>
    </row>
    <row r="26" spans="1:59" x14ac:dyDescent="0.35">
      <c r="A26" s="9568"/>
      <c r="B26" s="2123"/>
      <c r="C26" s="2183" t="s">
        <v>910</v>
      </c>
      <c r="D26" s="2184"/>
      <c r="F26" s="2185"/>
      <c r="H26" s="2186"/>
      <c r="I26" s="2187"/>
      <c r="J26" s="2062">
        <f>IF(H26=0,0,I26/H26)</f>
        <v>0</v>
      </c>
      <c r="L26" s="2188"/>
      <c r="M26" s="2181">
        <f>L26*J26</f>
        <v>0</v>
      </c>
      <c r="N26" s="2182"/>
      <c r="O26" s="2189">
        <f>L26</f>
        <v>0</v>
      </c>
      <c r="P26" s="2190"/>
      <c r="Q26" s="2191">
        <f>53.97+66.87</f>
        <v>120.84</v>
      </c>
      <c r="R26" s="2062">
        <f>IF(O26=0,0,P26/O26)</f>
        <v>0</v>
      </c>
      <c r="T26" s="2176"/>
      <c r="U26" s="2192"/>
      <c r="V26" s="2177">
        <f>T26*R26</f>
        <v>0</v>
      </c>
      <c r="X26" s="2189"/>
      <c r="Y26" s="2190"/>
      <c r="Z26" s="2119"/>
      <c r="AA26" s="2062">
        <f>IF(X26=0,0,Y26/X26)</f>
        <v>0</v>
      </c>
      <c r="AC26" s="2176"/>
      <c r="AD26" s="2192"/>
      <c r="AE26" s="2177"/>
      <c r="AG26" s="2189"/>
      <c r="AH26" s="2190"/>
      <c r="AI26" s="2119"/>
      <c r="AJ26" s="2074"/>
      <c r="AL26" s="2176"/>
      <c r="AM26" s="2192"/>
      <c r="AN26" s="2177"/>
      <c r="AO26" s="2094"/>
      <c r="AQ26" s="2189"/>
      <c r="AR26" s="2190"/>
      <c r="AS26" s="2119"/>
      <c r="AT26" s="7510"/>
      <c r="AV26" s="2176"/>
      <c r="AW26" s="2192"/>
      <c r="AX26" s="2177"/>
      <c r="AZ26" s="2189"/>
      <c r="BA26" s="2190"/>
      <c r="BB26" s="2119"/>
      <c r="BC26" s="2074"/>
      <c r="BE26" s="2176"/>
      <c r="BF26" s="2192"/>
      <c r="BG26" s="2177"/>
    </row>
    <row r="27" spans="1:59" x14ac:dyDescent="0.35">
      <c r="A27" s="9568"/>
      <c r="B27" s="2154"/>
      <c r="C27" s="2155" t="s">
        <v>914</v>
      </c>
      <c r="D27" s="2097"/>
      <c r="F27" s="2193">
        <f>IF(F24=0,0,(F25-F26)/F24)</f>
        <v>0</v>
      </c>
      <c r="G27" s="2194"/>
      <c r="H27" s="2195">
        <f>IF(H24=0,0,(H25-H26)/H24)</f>
        <v>0</v>
      </c>
      <c r="I27" s="2196">
        <f>IF(I24=0,0,(I25-I26)/I24)</f>
        <v>0</v>
      </c>
      <c r="J27" s="2197"/>
      <c r="K27" s="2194"/>
      <c r="L27" s="2198">
        <f>IF(L24=0,0,L25/L24)</f>
        <v>0</v>
      </c>
      <c r="M27" s="2199">
        <f>IF(M24=0,0,M25/M24)</f>
        <v>0</v>
      </c>
      <c r="O27" s="2195">
        <f>IF(O24=0,0,(O25-O26)/O24)</f>
        <v>0</v>
      </c>
      <c r="P27" s="2196">
        <f>IF(P24=0,0,(P25-P26)/P24)</f>
        <v>0</v>
      </c>
      <c r="Q27" s="2200"/>
      <c r="R27" s="2159"/>
      <c r="T27" s="2201"/>
      <c r="U27" s="2202"/>
      <c r="V27" s="2203"/>
      <c r="X27" s="2195">
        <f>IF(X24=0,0,(X25-X26)/X24)</f>
        <v>0</v>
      </c>
      <c r="Y27" s="2196">
        <f>IF(Y24=0,0,(Y25-Y26)/Y24)</f>
        <v>0</v>
      </c>
      <c r="Z27" s="2200"/>
      <c r="AA27" s="2159"/>
      <c r="AC27" s="2201"/>
      <c r="AD27" s="2202"/>
      <c r="AE27" s="2203"/>
      <c r="AG27" s="2195"/>
      <c r="AH27" s="2196"/>
      <c r="AI27" s="2200"/>
      <c r="AJ27" s="2204"/>
      <c r="AL27" s="2201"/>
      <c r="AM27" s="2202"/>
      <c r="AN27" s="2203"/>
      <c r="AO27" s="2029"/>
      <c r="AQ27" s="7512"/>
      <c r="AR27" s="7513"/>
      <c r="AS27" s="2200"/>
      <c r="AT27" s="7514"/>
      <c r="AV27" s="2201"/>
      <c r="AW27" s="2202"/>
      <c r="AX27" s="2203"/>
      <c r="AZ27" s="2195"/>
      <c r="BA27" s="2196"/>
      <c r="BB27" s="2200"/>
      <c r="BC27" s="2204"/>
      <c r="BE27" s="2201"/>
      <c r="BF27" s="2202"/>
      <c r="BG27" s="2203"/>
    </row>
    <row r="28" spans="1:59" x14ac:dyDescent="0.35">
      <c r="A28" s="9568"/>
      <c r="B28" s="2162" t="s">
        <v>915</v>
      </c>
      <c r="C28" s="2205"/>
      <c r="D28" s="2206"/>
      <c r="F28" s="2207"/>
      <c r="G28" s="2194"/>
      <c r="H28" s="2208"/>
      <c r="I28" s="2209"/>
      <c r="J28" s="2210"/>
      <c r="K28" s="2194"/>
      <c r="L28" s="2211"/>
      <c r="M28" s="2212"/>
      <c r="N28" s="2194"/>
      <c r="O28" s="2208"/>
      <c r="P28" s="2209"/>
      <c r="Q28" s="2209"/>
      <c r="R28" s="2210"/>
      <c r="S28" s="2194"/>
      <c r="T28" s="2211"/>
      <c r="U28" s="2209"/>
      <c r="V28" s="2212"/>
      <c r="W28" s="2194"/>
      <c r="X28" s="2208"/>
      <c r="Y28" s="2209"/>
      <c r="Z28" s="2209"/>
      <c r="AA28" s="2210"/>
      <c r="AB28" s="2194"/>
      <c r="AC28" s="2211"/>
      <c r="AD28" s="2209"/>
      <c r="AE28" s="2212"/>
      <c r="AF28" s="2194"/>
      <c r="AG28" s="2208"/>
      <c r="AH28" s="2209"/>
      <c r="AI28" s="2209"/>
      <c r="AJ28" s="2213"/>
      <c r="AK28" s="2194"/>
      <c r="AL28" s="2211"/>
      <c r="AM28" s="2209"/>
      <c r="AN28" s="2212"/>
      <c r="AO28" s="2214"/>
      <c r="AQ28" s="7515"/>
      <c r="AR28" s="7516"/>
      <c r="AS28" s="7516"/>
      <c r="AT28" s="7517"/>
      <c r="AU28" s="2194"/>
      <c r="AV28" s="7518"/>
      <c r="AW28" s="7516"/>
      <c r="AX28" s="7519"/>
      <c r="AZ28" s="2208"/>
      <c r="BA28" s="2209"/>
      <c r="BB28" s="2209"/>
      <c r="BC28" s="2213"/>
      <c r="BD28" s="2194"/>
      <c r="BE28" s="2211"/>
      <c r="BF28" s="2209"/>
      <c r="BG28" s="2212"/>
    </row>
    <row r="29" spans="1:59" x14ac:dyDescent="0.35">
      <c r="A29" s="9568"/>
      <c r="B29" s="2123"/>
      <c r="C29" s="2138" t="s">
        <v>885</v>
      </c>
      <c r="D29" s="2206"/>
      <c r="F29" s="2215"/>
      <c r="H29" s="2216"/>
      <c r="I29" s="2217"/>
      <c r="J29" s="2062">
        <f>IF(H29=0,0,I29/H29)</f>
        <v>0</v>
      </c>
      <c r="L29" s="2216"/>
      <c r="M29" s="2181">
        <f>L29*J29</f>
        <v>0</v>
      </c>
      <c r="O29" s="2218"/>
      <c r="P29" s="2219"/>
      <c r="Q29" s="2119"/>
      <c r="R29" s="2062">
        <f>IF(O29=0,0,P29/O29)</f>
        <v>0</v>
      </c>
      <c r="T29" s="2216"/>
      <c r="U29" s="2119"/>
      <c r="V29" s="2181">
        <f>T29*R29</f>
        <v>0</v>
      </c>
      <c r="W29" s="2194"/>
      <c r="X29" s="2218"/>
      <c r="Y29" s="2219"/>
      <c r="Z29" s="2119"/>
      <c r="AA29" s="2062">
        <f>IF(X29=0,0,Y29/X29)</f>
        <v>0</v>
      </c>
      <c r="AC29" s="2216"/>
      <c r="AD29" s="2119"/>
      <c r="AE29" s="2181"/>
      <c r="AF29" s="2194"/>
      <c r="AG29" s="2218"/>
      <c r="AH29" s="2219"/>
      <c r="AI29" s="2119"/>
      <c r="AJ29" s="2074"/>
      <c r="AL29" s="2216"/>
      <c r="AM29" s="2119"/>
      <c r="AN29" s="2181"/>
      <c r="AO29" s="2214"/>
      <c r="AQ29" s="2218"/>
      <c r="AR29" s="2219"/>
      <c r="AS29" s="2119"/>
      <c r="AT29" s="7510"/>
      <c r="AV29" s="2216"/>
      <c r="AW29" s="2119"/>
      <c r="AX29" s="2181"/>
      <c r="AZ29" s="2218"/>
      <c r="BA29" s="2219"/>
      <c r="BB29" s="2119"/>
      <c r="BC29" s="2074"/>
      <c r="BE29" s="2216"/>
      <c r="BF29" s="2119"/>
      <c r="BG29" s="2181"/>
    </row>
    <row r="30" spans="1:59" x14ac:dyDescent="0.35">
      <c r="A30" s="9569"/>
      <c r="B30" s="2220"/>
      <c r="C30" s="2221" t="s">
        <v>891</v>
      </c>
      <c r="D30" s="2222"/>
      <c r="F30" s="2223"/>
      <c r="H30" s="2224"/>
      <c r="I30" s="2225"/>
      <c r="J30" s="2159">
        <f>IF(H30=0,0,I30/H30)</f>
        <v>0</v>
      </c>
      <c r="L30" s="2224"/>
      <c r="M30" s="2226">
        <f>L30*J30</f>
        <v>0</v>
      </c>
      <c r="N30" s="2165"/>
      <c r="O30" s="2227"/>
      <c r="P30" s="2228"/>
      <c r="Q30" s="2200"/>
      <c r="R30" s="2062">
        <f>IF(O30=0,0,P30/O30)</f>
        <v>0</v>
      </c>
      <c r="T30" s="2224"/>
      <c r="U30" s="2200"/>
      <c r="V30" s="2226">
        <f>T30*R30</f>
        <v>0</v>
      </c>
      <c r="X30" s="2227"/>
      <c r="Y30" s="2228"/>
      <c r="Z30" s="2200"/>
      <c r="AA30" s="2159">
        <f>IF(X30=0,0,Y30/X30)</f>
        <v>0</v>
      </c>
      <c r="AC30" s="2224"/>
      <c r="AD30" s="2200"/>
      <c r="AE30" s="2226"/>
      <c r="AG30" s="2227"/>
      <c r="AH30" s="2228"/>
      <c r="AI30" s="2200"/>
      <c r="AJ30" s="2204"/>
      <c r="AL30" s="2224"/>
      <c r="AM30" s="2200"/>
      <c r="AN30" s="2226"/>
      <c r="AO30" s="2229"/>
      <c r="AQ30" s="2227"/>
      <c r="AR30" s="2228"/>
      <c r="AS30" s="2200"/>
      <c r="AT30" s="7514"/>
      <c r="AV30" s="2224"/>
      <c r="AW30" s="2200"/>
      <c r="AX30" s="2226"/>
      <c r="AZ30" s="2227"/>
      <c r="BA30" s="2228"/>
      <c r="BB30" s="2200"/>
      <c r="BC30" s="2204"/>
      <c r="BE30" s="2224"/>
      <c r="BF30" s="2200"/>
      <c r="BG30" s="2226"/>
    </row>
    <row r="31" spans="1:59" ht="27.75" customHeight="1" x14ac:dyDescent="0.35">
      <c r="A31" s="2007"/>
      <c r="B31" s="2007"/>
      <c r="C31" s="2007"/>
      <c r="F31" s="2119"/>
      <c r="H31" s="2119"/>
      <c r="I31" s="2119"/>
      <c r="J31" s="2230"/>
      <c r="L31" s="2119"/>
      <c r="N31" s="2035"/>
      <c r="O31" s="2119"/>
      <c r="P31" s="2119"/>
      <c r="Q31" s="2119"/>
      <c r="R31" s="2230"/>
      <c r="T31" s="2119"/>
      <c r="U31" s="2119"/>
      <c r="W31" s="2005"/>
      <c r="X31" s="2119"/>
      <c r="Y31" s="2119"/>
      <c r="Z31" s="2119"/>
      <c r="AA31" s="2230"/>
      <c r="AC31" s="2119"/>
      <c r="AD31" s="2119"/>
      <c r="AF31" s="2005"/>
      <c r="AG31" s="2119"/>
      <c r="AH31" s="2119"/>
      <c r="AI31" s="2119"/>
      <c r="AJ31" s="2231"/>
      <c r="AL31" s="2119"/>
      <c r="AM31" s="2119"/>
      <c r="AQ31" s="2119"/>
      <c r="AR31" s="2119"/>
      <c r="AS31" s="2119"/>
      <c r="AT31" s="2231"/>
      <c r="AV31" s="2119"/>
      <c r="AW31" s="2119"/>
      <c r="AZ31" s="2119"/>
      <c r="BA31" s="2119"/>
      <c r="BB31" s="2119"/>
      <c r="BC31" s="2231"/>
      <c r="BE31" s="2119"/>
      <c r="BF31" s="2119"/>
    </row>
    <row r="32" spans="1:59" ht="14.5" customHeight="1" x14ac:dyDescent="0.35">
      <c r="A32" s="9567" t="s">
        <v>916</v>
      </c>
      <c r="B32" s="2032"/>
      <c r="C32" s="2033" t="s">
        <v>427</v>
      </c>
      <c r="D32" s="2044" t="s">
        <v>428</v>
      </c>
      <c r="E32" s="2035"/>
      <c r="F32" s="2036" t="s">
        <v>1126</v>
      </c>
      <c r="G32" s="2232"/>
      <c r="H32" s="2036" t="s">
        <v>1126</v>
      </c>
      <c r="I32" s="2036" t="s">
        <v>1126</v>
      </c>
      <c r="J32" s="2233"/>
      <c r="K32" s="2234"/>
      <c r="L32" s="2235"/>
      <c r="M32" s="2236"/>
      <c r="N32" s="2165"/>
      <c r="O32" s="2036"/>
      <c r="P32" s="2036"/>
      <c r="Q32" s="2233"/>
      <c r="R32" s="2233"/>
      <c r="S32" s="2234"/>
      <c r="T32" s="2036"/>
      <c r="U32" s="2233"/>
      <c r="V32" s="2236"/>
      <c r="X32" s="2036"/>
      <c r="Y32" s="2036"/>
      <c r="Z32" s="2233"/>
      <c r="AA32" s="2233"/>
      <c r="AB32" s="2234"/>
      <c r="AC32" s="727" t="s">
        <v>6053</v>
      </c>
      <c r="AD32" s="2233"/>
      <c r="AE32" s="2236"/>
      <c r="AG32" s="2036"/>
      <c r="AH32" s="2036"/>
      <c r="AI32" s="2233"/>
      <c r="AJ32" s="2237"/>
      <c r="AK32" s="2234"/>
      <c r="AL32" s="2238"/>
      <c r="AM32" s="2233"/>
      <c r="AN32" s="2236"/>
      <c r="AO32" s="2239"/>
      <c r="AQ32" s="2036"/>
      <c r="AR32" s="2036"/>
      <c r="AS32" s="2233"/>
      <c r="AT32" s="2237"/>
      <c r="AU32" s="2234"/>
      <c r="AV32" s="2238"/>
      <c r="AW32" s="2233"/>
      <c r="AX32" s="2236"/>
      <c r="AZ32" s="2036"/>
      <c r="BA32" s="2036"/>
      <c r="BB32" s="2233"/>
      <c r="BC32" s="2237"/>
      <c r="BD32" s="2234"/>
      <c r="BE32" s="2238"/>
      <c r="BF32" s="2233"/>
      <c r="BG32" s="2236"/>
    </row>
    <row r="33" spans="1:59" x14ac:dyDescent="0.35">
      <c r="A33" s="9568"/>
      <c r="B33" s="2149" t="s">
        <v>925</v>
      </c>
      <c r="C33" s="2005"/>
      <c r="D33" s="2163"/>
      <c r="E33" s="2165"/>
      <c r="F33" s="2240"/>
      <c r="G33" s="2165"/>
      <c r="H33" s="2115"/>
      <c r="I33" s="2116"/>
      <c r="J33" s="2241"/>
      <c r="K33" s="2165"/>
      <c r="L33" s="2115"/>
      <c r="M33" s="2242"/>
      <c r="O33" s="2115">
        <f>L33</f>
        <v>0</v>
      </c>
      <c r="P33" s="2116"/>
      <c r="Q33" s="2119"/>
      <c r="R33" s="2241"/>
      <c r="S33" s="2165"/>
      <c r="T33" s="2115"/>
      <c r="U33" s="2119"/>
      <c r="V33" s="2242"/>
      <c r="X33" s="2115">
        <f>U33</f>
        <v>0</v>
      </c>
      <c r="Y33" s="2116"/>
      <c r="Z33" s="2119"/>
      <c r="AA33" s="2241"/>
      <c r="AB33" s="2165"/>
      <c r="AC33" s="2115"/>
      <c r="AD33" s="2243"/>
      <c r="AE33" s="2242"/>
      <c r="AG33" s="2115"/>
      <c r="AH33" s="2116"/>
      <c r="AI33" s="2119"/>
      <c r="AJ33" s="2244"/>
      <c r="AK33" s="2165"/>
      <c r="AL33" s="2115"/>
      <c r="AM33" s="2243"/>
      <c r="AN33" s="2242"/>
      <c r="AO33" s="2094"/>
      <c r="AQ33" s="2115"/>
      <c r="AR33" s="2116"/>
      <c r="AS33" s="2119"/>
      <c r="AT33" s="2244"/>
      <c r="AU33" s="2165"/>
      <c r="AV33" s="2115"/>
      <c r="AW33" s="2243"/>
      <c r="AX33" s="2242"/>
      <c r="AZ33" s="2115"/>
      <c r="BA33" s="2116"/>
      <c r="BB33" s="2119"/>
      <c r="BC33" s="2244"/>
      <c r="BD33" s="2165"/>
      <c r="BE33" s="2115"/>
      <c r="BF33" s="2243"/>
      <c r="BG33" s="2242"/>
    </row>
    <row r="34" spans="1:59" x14ac:dyDescent="0.35">
      <c r="A34" s="9568"/>
      <c r="B34" s="2245"/>
      <c r="C34" s="2245" t="s">
        <v>6054</v>
      </c>
      <c r="D34" s="2058"/>
      <c r="F34" s="2125">
        <v>57180292875</v>
      </c>
      <c r="H34" s="2126">
        <v>78019273000</v>
      </c>
      <c r="I34" s="2127">
        <v>78464302383</v>
      </c>
      <c r="J34" s="2062">
        <f>IF(H34=0,0,I34/H34)</f>
        <v>1.0057040954867651</v>
      </c>
      <c r="L34" s="2126">
        <v>88407712000</v>
      </c>
      <c r="M34" s="2177">
        <f>L34*J34</f>
        <v>88911998031.014435</v>
      </c>
      <c r="O34" s="2246">
        <v>80321212000</v>
      </c>
      <c r="P34" s="2142">
        <v>95438447923</v>
      </c>
      <c r="Q34" s="2119"/>
      <c r="R34" s="2062">
        <f t="shared" ref="R34:R39" si="3">IF(O34=0,0,P34/O34)</f>
        <v>1.1882097586251561</v>
      </c>
      <c r="T34" s="2126">
        <v>90101150000</v>
      </c>
      <c r="U34" s="2192"/>
      <c r="V34" s="2247">
        <f>P34</f>
        <v>95438447923</v>
      </c>
      <c r="W34" s="2165"/>
      <c r="X34" s="2135">
        <f t="shared" ref="X34:X39" si="4">T34</f>
        <v>90101150000</v>
      </c>
      <c r="Y34" s="2248">
        <f t="shared" ref="Y34:Y39" si="5">V34</f>
        <v>95438447923</v>
      </c>
      <c r="Z34" s="2119"/>
      <c r="AA34" s="2062">
        <f t="shared" ref="AA34:AA39" si="6">IF(X34=0,0,Y34/X34)</f>
        <v>1.0592367347475586</v>
      </c>
      <c r="AC34" s="2132">
        <f>(104202556*1000)-AC35</f>
        <v>97043585000</v>
      </c>
      <c r="AD34" s="2249" t="s">
        <v>6055</v>
      </c>
      <c r="AE34" s="2071">
        <f t="shared" ref="AE34:AE39" si="7">AC34*AA34</f>
        <v>102792130103.59717</v>
      </c>
      <c r="AF34" s="2165"/>
      <c r="AG34" s="2250">
        <f>84023479000+3971078000+6995000000</f>
        <v>94989557000</v>
      </c>
      <c r="AH34" s="2250"/>
      <c r="AI34" s="2251" t="s">
        <v>6056</v>
      </c>
      <c r="AJ34" s="2074">
        <f t="shared" ref="AJ34:AJ39" si="8">AH34/AG34</f>
        <v>0</v>
      </c>
      <c r="AL34" s="2132">
        <f>95031525000+3501450000+7149690000</f>
        <v>105682665000</v>
      </c>
      <c r="AM34" s="2119" t="s">
        <v>6057</v>
      </c>
      <c r="AN34" s="2071"/>
      <c r="AO34" s="2252" t="s">
        <v>6058</v>
      </c>
      <c r="AQ34" s="2132">
        <f>113313810000-AQ35</f>
        <v>106991340000</v>
      </c>
      <c r="AR34" s="2071"/>
      <c r="AS34" s="2251" t="s">
        <v>6059</v>
      </c>
      <c r="AT34" s="7510">
        <f t="shared" ref="AT34:AT39" si="9">AR34/AQ34</f>
        <v>0</v>
      </c>
      <c r="AV34" s="2132">
        <f>123820154000-AV35</f>
        <v>113709038000</v>
      </c>
      <c r="AW34" s="2251" t="s">
        <v>6060</v>
      </c>
      <c r="AX34" s="2071"/>
      <c r="AZ34" s="2132">
        <f>123820154000-AZ35</f>
        <v>113709038000</v>
      </c>
      <c r="BA34" s="2071"/>
      <c r="BB34" s="2251" t="s">
        <v>6060</v>
      </c>
      <c r="BC34" s="2074">
        <f t="shared" ref="BC34:BC39" si="10">BA34/AZ34</f>
        <v>0</v>
      </c>
      <c r="BE34" s="2132">
        <f>125716987000-BE35</f>
        <v>118634452000</v>
      </c>
      <c r="BF34" s="2251" t="s">
        <v>6061</v>
      </c>
      <c r="BG34" s="2071"/>
    </row>
    <row r="35" spans="1:59" x14ac:dyDescent="0.35">
      <c r="A35" s="9568"/>
      <c r="B35" s="2245"/>
      <c r="C35" s="2245" t="s">
        <v>6062</v>
      </c>
      <c r="D35" s="2058"/>
      <c r="F35" s="2125"/>
      <c r="H35" s="2126"/>
      <c r="I35" s="2127"/>
      <c r="J35" s="2062"/>
      <c r="L35" s="2126"/>
      <c r="M35" s="2177"/>
      <c r="O35" s="2246">
        <v>8086500000</v>
      </c>
      <c r="P35" s="2142">
        <v>1702018944</v>
      </c>
      <c r="Q35" s="2119"/>
      <c r="R35" s="2062">
        <f t="shared" si="3"/>
        <v>0.2104765898720089</v>
      </c>
      <c r="T35" s="2126">
        <v>7120000000</v>
      </c>
      <c r="U35" s="2192"/>
      <c r="V35" s="2177">
        <f>T35*R35</f>
        <v>1498593319.8887033</v>
      </c>
      <c r="W35" s="2165"/>
      <c r="X35" s="2135">
        <f t="shared" si="4"/>
        <v>7120000000</v>
      </c>
      <c r="Y35" s="2248">
        <f t="shared" si="5"/>
        <v>1498593319.8887033</v>
      </c>
      <c r="Z35" s="2119"/>
      <c r="AA35" s="2062">
        <f t="shared" si="6"/>
        <v>0.2104765898720089</v>
      </c>
      <c r="AC35" s="2132">
        <f>7158971*1000</f>
        <v>7158971000</v>
      </c>
      <c r="AD35" s="2192"/>
      <c r="AE35" s="2071">
        <f t="shared" si="7"/>
        <v>1506795803.0726054</v>
      </c>
      <c r="AF35" s="2165"/>
      <c r="AG35" s="2250">
        <v>7009678000</v>
      </c>
      <c r="AH35" s="2250"/>
      <c r="AI35" s="2251" t="s">
        <v>6056</v>
      </c>
      <c r="AJ35" s="2074">
        <f t="shared" si="8"/>
        <v>0</v>
      </c>
      <c r="AL35" s="2132">
        <v>6388013000</v>
      </c>
      <c r="AM35" s="2119" t="s">
        <v>6057</v>
      </c>
      <c r="AN35" s="2071"/>
      <c r="AO35" s="2094" t="s">
        <v>6063</v>
      </c>
      <c r="AQ35" s="2132">
        <v>6322470000</v>
      </c>
      <c r="AR35" s="2071"/>
      <c r="AS35" s="2251"/>
      <c r="AT35" s="7510">
        <f t="shared" si="9"/>
        <v>0</v>
      </c>
      <c r="AV35" s="2132">
        <f>(2954667+20000+75000+50000+844449+45000+10000+55000+3307000+2700000+10000+40000)*1000</f>
        <v>10111116000</v>
      </c>
      <c r="AW35" s="2251" t="s">
        <v>6060</v>
      </c>
      <c r="AX35" s="2071"/>
      <c r="AZ35" s="2132">
        <f>(2954667+20000+75000+50000+844449+45000+10000+55000+3307000+2700000+10000+40000)*1000</f>
        <v>10111116000</v>
      </c>
      <c r="BA35" s="2071"/>
      <c r="BB35" s="2251" t="s">
        <v>6060</v>
      </c>
      <c r="BC35" s="2074">
        <f t="shared" si="10"/>
        <v>0</v>
      </c>
      <c r="BE35" s="2132">
        <v>7082535000</v>
      </c>
      <c r="BF35" s="2251" t="s">
        <v>6064</v>
      </c>
      <c r="BG35" s="2071"/>
    </row>
    <row r="36" spans="1:59" x14ac:dyDescent="0.35">
      <c r="A36" s="9568"/>
      <c r="B36" s="2253"/>
      <c r="C36" s="2253" t="s">
        <v>6065</v>
      </c>
      <c r="D36" s="2058"/>
      <c r="F36" s="2175">
        <v>4601783156</v>
      </c>
      <c r="H36" s="2144">
        <v>6731034000</v>
      </c>
      <c r="I36" s="2142">
        <v>6247473144</v>
      </c>
      <c r="J36" s="2062">
        <f>IF(H36=0,0,I36/H36)</f>
        <v>0.92815949882291493</v>
      </c>
      <c r="L36" s="2144">
        <v>8376581000</v>
      </c>
      <c r="M36" s="2177">
        <f>L36*J36</f>
        <v>7774803222.8095512</v>
      </c>
      <c r="O36" s="2246">
        <v>6485581000</v>
      </c>
      <c r="P36" s="2142">
        <v>7086317781</v>
      </c>
      <c r="Q36" s="2119"/>
      <c r="R36" s="2062">
        <f t="shared" si="3"/>
        <v>1.0926265173467111</v>
      </c>
      <c r="T36" s="2126">
        <v>7345333000</v>
      </c>
      <c r="U36" s="2192"/>
      <c r="V36" s="2177">
        <f>T36*R36</f>
        <v>8025705614.5418701</v>
      </c>
      <c r="X36" s="2135">
        <f t="shared" si="4"/>
        <v>7345333000</v>
      </c>
      <c r="Y36" s="2248">
        <f t="shared" si="5"/>
        <v>8025705614.5418701</v>
      </c>
      <c r="Z36" s="2119"/>
      <c r="AA36" s="2062">
        <f t="shared" si="6"/>
        <v>1.0926265173467111</v>
      </c>
      <c r="AC36" s="2126">
        <f>9962926000-AC37</f>
        <v>7110500000</v>
      </c>
      <c r="AD36" s="2254" t="s">
        <v>6066</v>
      </c>
      <c r="AE36" s="2071">
        <f t="shared" si="7"/>
        <v>7769120851.5937891</v>
      </c>
      <c r="AG36" s="2250">
        <f>5529728000+1055042000+570000000</f>
        <v>7154770000</v>
      </c>
      <c r="AH36" s="2250"/>
      <c r="AI36" s="2251" t="s">
        <v>6067</v>
      </c>
      <c r="AJ36" s="2074">
        <f t="shared" si="8"/>
        <v>0</v>
      </c>
      <c r="AL36" s="2126">
        <f>7524937000+896061000+570000000</f>
        <v>8990998000</v>
      </c>
      <c r="AM36" s="2119" t="s">
        <v>6068</v>
      </c>
      <c r="AN36" s="2071"/>
      <c r="AO36" s="2094"/>
      <c r="AQ36" s="2126">
        <f>9724347000-AQ37</f>
        <v>8973395000</v>
      </c>
      <c r="AR36" s="2071"/>
      <c r="AS36" s="2251" t="s">
        <v>6069</v>
      </c>
      <c r="AT36" s="7510">
        <f t="shared" si="9"/>
        <v>0</v>
      </c>
      <c r="AV36" s="2132">
        <f>13651219000-AV37</f>
        <v>10938770000</v>
      </c>
      <c r="AW36" s="2251" t="s">
        <v>6070</v>
      </c>
      <c r="AX36" s="2071"/>
      <c r="AZ36" s="2132">
        <f>13651219000-AZ37</f>
        <v>10938770000</v>
      </c>
      <c r="BA36" s="2071"/>
      <c r="BB36" s="2251" t="s">
        <v>6070</v>
      </c>
      <c r="BC36" s="2074">
        <f t="shared" si="10"/>
        <v>0</v>
      </c>
      <c r="BE36" s="2132">
        <f>14177503000-BE37</f>
        <v>10914249000</v>
      </c>
      <c r="BF36" s="2251" t="s">
        <v>6071</v>
      </c>
      <c r="BG36" s="2071"/>
    </row>
    <row r="37" spans="1:59" x14ac:dyDescent="0.35">
      <c r="A37" s="9568"/>
      <c r="B37" s="2255"/>
      <c r="C37" s="2253" t="s">
        <v>6072</v>
      </c>
      <c r="D37" s="2058"/>
      <c r="F37" s="2185"/>
      <c r="H37" s="2256"/>
      <c r="I37" s="2257"/>
      <c r="J37" s="2062"/>
      <c r="L37" s="2256"/>
      <c r="M37" s="2177"/>
      <c r="O37" s="2246">
        <v>1891000000</v>
      </c>
      <c r="P37" s="2142">
        <v>160000000</v>
      </c>
      <c r="Q37" s="2119"/>
      <c r="R37" s="2062">
        <f t="shared" si="3"/>
        <v>8.4611316763617134E-2</v>
      </c>
      <c r="T37" s="2126">
        <v>2228000000</v>
      </c>
      <c r="U37" s="2192"/>
      <c r="V37" s="2177">
        <f>T37*R37</f>
        <v>188514013.74933898</v>
      </c>
      <c r="X37" s="2135">
        <f t="shared" si="4"/>
        <v>2228000000</v>
      </c>
      <c r="Y37" s="2248">
        <f t="shared" si="5"/>
        <v>188514013.74933898</v>
      </c>
      <c r="Z37" s="2119"/>
      <c r="AA37" s="2062">
        <f t="shared" si="6"/>
        <v>8.4611316763617134E-2</v>
      </c>
      <c r="AC37" s="2132">
        <v>2852426000</v>
      </c>
      <c r="AD37" s="2192"/>
      <c r="AE37" s="2071">
        <f t="shared" si="7"/>
        <v>241347519.83077738</v>
      </c>
      <c r="AG37" s="2250">
        <v>3052426000</v>
      </c>
      <c r="AH37" s="2250"/>
      <c r="AI37" s="2251" t="s">
        <v>6067</v>
      </c>
      <c r="AJ37" s="2074">
        <f t="shared" si="8"/>
        <v>0</v>
      </c>
      <c r="AL37" s="2132">
        <v>891043000</v>
      </c>
      <c r="AM37" s="2119" t="s">
        <v>6068</v>
      </c>
      <c r="AN37" s="2071"/>
      <c r="AO37" s="2258"/>
      <c r="AQ37" s="2132">
        <v>750952000</v>
      </c>
      <c r="AR37" s="2071"/>
      <c r="AS37" s="2251"/>
      <c r="AT37" s="7510">
        <f t="shared" si="9"/>
        <v>0</v>
      </c>
      <c r="AV37" s="2132">
        <f>(49256+2000000+557000+8636+39697+29860+28000)*1000</f>
        <v>2712449000</v>
      </c>
      <c r="AW37" s="2251" t="s">
        <v>6070</v>
      </c>
      <c r="AX37" s="2071"/>
      <c r="AZ37" s="2132">
        <f>(49256+2000000+557000+8636+39697+29860+28000)*1000</f>
        <v>2712449000</v>
      </c>
      <c r="BA37" s="2071"/>
      <c r="BB37" s="2251" t="s">
        <v>6070</v>
      </c>
      <c r="BC37" s="2074">
        <f t="shared" si="10"/>
        <v>0</v>
      </c>
      <c r="BE37" s="2132">
        <v>3263254000</v>
      </c>
      <c r="BF37" s="2251" t="s">
        <v>6073</v>
      </c>
      <c r="BG37" s="2071"/>
    </row>
    <row r="38" spans="1:59" x14ac:dyDescent="0.35">
      <c r="A38" s="9568"/>
      <c r="B38" s="2255"/>
      <c r="C38" s="2255" t="s">
        <v>6074</v>
      </c>
      <c r="D38" s="2058"/>
      <c r="F38" s="2185">
        <v>13314176689</v>
      </c>
      <c r="H38" s="2256">
        <v>23078624000</v>
      </c>
      <c r="I38" s="2257">
        <v>22421106432</v>
      </c>
      <c r="J38" s="2062">
        <f>IF(H38=0,0,I38/H38)</f>
        <v>0.97150967198044391</v>
      </c>
      <c r="L38" s="2256">
        <v>21706239000</v>
      </c>
      <c r="M38" s="2177">
        <f>L38*J38</f>
        <v>21087821130.819118</v>
      </c>
      <c r="O38" s="2130">
        <v>20526239000</v>
      </c>
      <c r="P38" s="2142">
        <v>20332626436</v>
      </c>
      <c r="Q38" s="2119"/>
      <c r="R38" s="2062">
        <f t="shared" si="3"/>
        <v>0.99056755774888916</v>
      </c>
      <c r="T38" s="2144">
        <v>22042030000</v>
      </c>
      <c r="U38" s="2192"/>
      <c r="V38" s="2177">
        <f>T38*R38</f>
        <v>21834119824.927746</v>
      </c>
      <c r="X38" s="2135">
        <f t="shared" si="4"/>
        <v>22042030000</v>
      </c>
      <c r="Y38" s="2248">
        <f t="shared" si="5"/>
        <v>21834119824.927746</v>
      </c>
      <c r="Z38" s="2119"/>
      <c r="AA38" s="2062">
        <f t="shared" si="6"/>
        <v>0.99056755774888905</v>
      </c>
      <c r="AC38" s="2135">
        <f>(25967187*1000)-AC39</f>
        <v>24510973000</v>
      </c>
      <c r="AD38" s="2192"/>
      <c r="AE38" s="2071">
        <f t="shared" si="7"/>
        <v>24279774662.658958</v>
      </c>
      <c r="AG38" s="2250">
        <f>608979000+695054000+22443000000</f>
        <v>23747033000</v>
      </c>
      <c r="AH38" s="2250"/>
      <c r="AI38" s="2251" t="s">
        <v>6075</v>
      </c>
      <c r="AJ38" s="2074">
        <f t="shared" si="8"/>
        <v>0</v>
      </c>
      <c r="AL38" s="2135">
        <f>618759000+558950000+29576740000</f>
        <v>30754449000</v>
      </c>
      <c r="AM38" s="2119" t="s">
        <v>6076</v>
      </c>
      <c r="AN38" s="2071"/>
      <c r="AO38" s="2094"/>
      <c r="AQ38" s="2135">
        <f>38134584000-AQ39</f>
        <v>31909610000</v>
      </c>
      <c r="AR38" s="2071"/>
      <c r="AS38" s="2251" t="s">
        <v>6077</v>
      </c>
      <c r="AT38" s="7510">
        <f t="shared" si="9"/>
        <v>0</v>
      </c>
      <c r="AV38" s="2132">
        <f>34674100000-AV39</f>
        <v>31974808000</v>
      </c>
      <c r="AW38" s="2251" t="s">
        <v>6078</v>
      </c>
      <c r="AX38" s="2071"/>
      <c r="AZ38" s="2132">
        <f>34674100000-AZ39</f>
        <v>31974808000</v>
      </c>
      <c r="BA38" s="2071"/>
      <c r="BB38" s="2251" t="s">
        <v>6078</v>
      </c>
      <c r="BC38" s="2074">
        <f t="shared" si="10"/>
        <v>0</v>
      </c>
      <c r="BE38" s="2132">
        <f>38541177000-BE39</f>
        <v>35633524000</v>
      </c>
      <c r="BF38" s="2251" t="s">
        <v>6079</v>
      </c>
      <c r="BG38" s="2071"/>
    </row>
    <row r="39" spans="1:59" x14ac:dyDescent="0.35">
      <c r="A39" s="9568"/>
      <c r="B39" s="2255"/>
      <c r="C39" s="2255" t="s">
        <v>6080</v>
      </c>
      <c r="D39" s="2058"/>
      <c r="F39" s="2185"/>
      <c r="H39" s="2256"/>
      <c r="I39" s="2257"/>
      <c r="J39" s="2062">
        <f>IF(H39=0,0,I39/H39)</f>
        <v>0</v>
      </c>
      <c r="L39" s="2259"/>
      <c r="M39" s="2181">
        <f>L39*J39</f>
        <v>0</v>
      </c>
      <c r="N39" s="2165"/>
      <c r="O39" s="2260">
        <v>1180000000</v>
      </c>
      <c r="P39" s="2142">
        <v>337942169</v>
      </c>
      <c r="Q39" s="2119"/>
      <c r="R39" s="2062">
        <f t="shared" si="3"/>
        <v>0.28639166864406779</v>
      </c>
      <c r="T39" s="2256">
        <v>1648649000</v>
      </c>
      <c r="U39" s="2192"/>
      <c r="V39" s="2177">
        <f>T39*R39</f>
        <v>472159338.11837369</v>
      </c>
      <c r="X39" s="2135">
        <f t="shared" si="4"/>
        <v>1648649000</v>
      </c>
      <c r="Y39" s="2248">
        <f t="shared" si="5"/>
        <v>472159338.11837369</v>
      </c>
      <c r="Z39" s="2119"/>
      <c r="AA39" s="2062">
        <f t="shared" si="6"/>
        <v>0.28639166864406779</v>
      </c>
      <c r="AC39" s="2261">
        <f>1456214*1000</f>
        <v>1456214000</v>
      </c>
      <c r="AD39" s="2192"/>
      <c r="AE39" s="2071">
        <f t="shared" si="7"/>
        <v>417047557.36285251</v>
      </c>
      <c r="AG39" s="2250">
        <v>2827560000</v>
      </c>
      <c r="AH39" s="2250"/>
      <c r="AI39" s="2251" t="s">
        <v>6075</v>
      </c>
      <c r="AJ39" s="2074">
        <f t="shared" si="8"/>
        <v>0</v>
      </c>
      <c r="AL39" s="2261">
        <v>6295238000</v>
      </c>
      <c r="AM39" s="2119" t="s">
        <v>6076</v>
      </c>
      <c r="AN39" s="2071"/>
      <c r="AO39" s="2137" t="s">
        <v>6081</v>
      </c>
      <c r="AQ39" s="2261">
        <v>6224974000</v>
      </c>
      <c r="AR39" s="2071"/>
      <c r="AS39" s="2251"/>
      <c r="AT39" s="7510">
        <f t="shared" si="9"/>
        <v>0</v>
      </c>
      <c r="AV39" s="2132">
        <f>(120000+17000+30000+50000+82000+549217+566090+17000+60000+861577+129794+31244+180370+5000)*1000</f>
        <v>2699292000</v>
      </c>
      <c r="AW39" s="2251" t="s">
        <v>6078</v>
      </c>
      <c r="AX39" s="2071"/>
      <c r="AZ39" s="2132">
        <f>(120000+17000+30000+50000+82000+549217+566090+17000+60000+861577+129794+31244+180370+5000)*1000</f>
        <v>2699292000</v>
      </c>
      <c r="BA39" s="2071"/>
      <c r="BB39" s="2251" t="s">
        <v>6078</v>
      </c>
      <c r="BC39" s="2074">
        <f t="shared" si="10"/>
        <v>0</v>
      </c>
      <c r="BE39" s="2132">
        <v>2907653000</v>
      </c>
      <c r="BF39" s="2251" t="s">
        <v>6082</v>
      </c>
      <c r="BG39" s="2071"/>
    </row>
    <row r="40" spans="1:59" x14ac:dyDescent="0.35">
      <c r="A40" s="9568"/>
      <c r="B40" s="2149" t="s">
        <v>940</v>
      </c>
      <c r="C40" s="2005"/>
      <c r="D40" s="2058"/>
      <c r="E40" s="2165"/>
      <c r="F40" s="2262"/>
      <c r="G40" s="2165"/>
      <c r="H40" s="2263"/>
      <c r="I40" s="2192"/>
      <c r="J40" s="2264"/>
      <c r="K40" s="2165"/>
      <c r="L40" s="2265"/>
      <c r="M40" s="2266"/>
      <c r="O40" s="2265"/>
      <c r="P40" s="2119"/>
      <c r="Q40" s="2119"/>
      <c r="R40" s="2264"/>
      <c r="S40" s="2165"/>
      <c r="T40" s="2265"/>
      <c r="U40" s="2119"/>
      <c r="V40" s="2266"/>
      <c r="W40" s="2165"/>
      <c r="X40" s="2265"/>
      <c r="Y40" s="2119"/>
      <c r="Z40" s="2119"/>
      <c r="AA40" s="2264"/>
      <c r="AB40" s="2165"/>
      <c r="AC40" s="2265"/>
      <c r="AD40" s="2119"/>
      <c r="AE40" s="2266"/>
      <c r="AF40" s="2165"/>
      <c r="AG40" s="2265"/>
      <c r="AH40" s="2119"/>
      <c r="AI40" s="2119"/>
      <c r="AJ40" s="2267"/>
      <c r="AK40" s="2165"/>
      <c r="AL40" s="2265"/>
      <c r="AM40" s="2119"/>
      <c r="AN40" s="2266"/>
      <c r="AO40" s="2094"/>
      <c r="AQ40" s="2265"/>
      <c r="AR40" s="2119"/>
      <c r="AS40" s="2119"/>
      <c r="AT40" s="2267"/>
      <c r="AU40" s="2165"/>
      <c r="AV40" s="2265"/>
      <c r="AW40" s="2119"/>
      <c r="AX40" s="2266"/>
      <c r="AZ40" s="2265"/>
      <c r="BA40" s="2119"/>
      <c r="BB40" s="2119"/>
      <c r="BC40" s="2267"/>
      <c r="BD40" s="2165"/>
      <c r="BE40" s="2265"/>
      <c r="BF40" s="2119"/>
      <c r="BG40" s="2266"/>
    </row>
    <row r="41" spans="1:59" x14ac:dyDescent="0.35">
      <c r="A41" s="9568"/>
      <c r="B41" s="2245"/>
      <c r="C41" s="2253" t="s">
        <v>6083</v>
      </c>
      <c r="D41" s="2058"/>
      <c r="F41" s="2125"/>
      <c r="H41" s="2126"/>
      <c r="I41" s="2127"/>
      <c r="J41" s="2062">
        <f>IF(H41=0,0,I41/H41)</f>
        <v>0</v>
      </c>
      <c r="L41" s="2269"/>
      <c r="M41" s="2181">
        <f>L41*J41</f>
        <v>0</v>
      </c>
      <c r="O41" s="2270"/>
      <c r="P41" s="2271"/>
      <c r="Q41" s="2119"/>
      <c r="R41" s="2062">
        <f>R34</f>
        <v>1.1882097586251561</v>
      </c>
      <c r="T41" s="2269"/>
      <c r="U41" s="2119"/>
      <c r="V41" s="2181">
        <f>T41*R41</f>
        <v>0</v>
      </c>
      <c r="X41" s="2270"/>
      <c r="Y41" s="2271"/>
      <c r="Z41" s="2119"/>
      <c r="AA41" s="2062">
        <f>AA34</f>
        <v>1.0592367347475586</v>
      </c>
      <c r="AC41" s="2269"/>
      <c r="AD41" s="2119"/>
      <c r="AE41" s="2181"/>
      <c r="AG41" s="2270"/>
      <c r="AH41" s="2271"/>
      <c r="AI41" s="2119"/>
      <c r="AJ41" s="2074"/>
      <c r="AL41" s="2269"/>
      <c r="AM41" s="2119"/>
      <c r="AN41" s="2181"/>
      <c r="AO41" s="2094"/>
      <c r="AQ41" s="2270"/>
      <c r="AR41" s="2271"/>
      <c r="AS41" s="2119"/>
      <c r="AT41" s="7510"/>
      <c r="AV41" s="2269"/>
      <c r="AW41" s="2119"/>
      <c r="AX41" s="2181"/>
      <c r="AZ41" s="2270"/>
      <c r="BA41" s="2271"/>
      <c r="BB41" s="2119"/>
      <c r="BC41" s="2074"/>
      <c r="BE41" s="2269"/>
      <c r="BF41" s="2119"/>
      <c r="BG41" s="2181"/>
    </row>
    <row r="42" spans="1:59" x14ac:dyDescent="0.35">
      <c r="A42" s="9568"/>
      <c r="B42" s="2253"/>
      <c r="C42" s="2253" t="s">
        <v>4267</v>
      </c>
      <c r="D42" s="2058"/>
      <c r="F42" s="2175"/>
      <c r="H42" s="2144"/>
      <c r="I42" s="2142"/>
      <c r="J42" s="2062">
        <f>IF(H42=0,0,I42/H42)</f>
        <v>0</v>
      </c>
      <c r="L42" s="2216"/>
      <c r="M42" s="2181">
        <f>L42*J42</f>
        <v>0</v>
      </c>
      <c r="O42" s="2218"/>
      <c r="P42" s="2219"/>
      <c r="Q42" s="2119"/>
      <c r="R42" s="2062">
        <f>IF(O42=0,0,P42/O42)</f>
        <v>0</v>
      </c>
      <c r="T42" s="2216"/>
      <c r="U42" s="2119"/>
      <c r="V42" s="2181">
        <f>T42*R42</f>
        <v>0</v>
      </c>
      <c r="X42" s="2218"/>
      <c r="Y42" s="2219"/>
      <c r="Z42" s="2119"/>
      <c r="AA42" s="2062">
        <f>IF(X42=0,0,Y42/X42)</f>
        <v>0</v>
      </c>
      <c r="AC42" s="2216"/>
      <c r="AD42" s="2119">
        <f>AC35+AC37+AC39</f>
        <v>11467611000</v>
      </c>
      <c r="AE42" s="2181"/>
      <c r="AG42" s="2218"/>
      <c r="AH42" s="2219"/>
      <c r="AI42" s="2119"/>
      <c r="AJ42" s="2074"/>
      <c r="AL42" s="2216"/>
      <c r="AM42" s="2119"/>
      <c r="AN42" s="2181"/>
      <c r="AO42" s="2094"/>
      <c r="AQ42" s="2218"/>
      <c r="AR42" s="2219"/>
      <c r="AS42" s="2119"/>
      <c r="AT42" s="7510"/>
      <c r="AV42" s="2216"/>
      <c r="AW42" s="2119"/>
      <c r="AX42" s="2181"/>
      <c r="AZ42" s="2218"/>
      <c r="BA42" s="2219"/>
      <c r="BB42" s="2119"/>
      <c r="BC42" s="2074"/>
      <c r="BE42" s="2216"/>
      <c r="BF42" s="2119"/>
      <c r="BG42" s="2181"/>
    </row>
    <row r="43" spans="1:59" x14ac:dyDescent="0.35">
      <c r="A43" s="9568"/>
      <c r="B43" s="2272"/>
      <c r="C43" s="2272" t="s">
        <v>4268</v>
      </c>
      <c r="D43" s="2097"/>
      <c r="F43" s="2156"/>
      <c r="H43" s="2256"/>
      <c r="I43" s="2257"/>
      <c r="J43" s="2062">
        <f>IF(H43=0,0,I43/H43)</f>
        <v>0</v>
      </c>
      <c r="L43" s="2224"/>
      <c r="M43" s="2226">
        <f>L43*J43</f>
        <v>0</v>
      </c>
      <c r="N43" s="2165"/>
      <c r="O43" s="2186"/>
      <c r="P43" s="2228"/>
      <c r="Q43" s="2200"/>
      <c r="R43" s="2062">
        <f>IF(O43=0,0,P43/O43)</f>
        <v>0</v>
      </c>
      <c r="T43" s="2224"/>
      <c r="U43" s="2200"/>
      <c r="V43" s="2226">
        <f>T43*R43</f>
        <v>0</v>
      </c>
      <c r="X43" s="2186"/>
      <c r="Y43" s="2228"/>
      <c r="Z43" s="2200"/>
      <c r="AA43" s="2062">
        <f>IF(X43=0,0,Y43/X43)</f>
        <v>0</v>
      </c>
      <c r="AC43" s="2224"/>
      <c r="AD43" s="2200"/>
      <c r="AE43" s="2226"/>
      <c r="AG43" s="2186"/>
      <c r="AH43" s="2228"/>
      <c r="AI43" s="2200"/>
      <c r="AJ43" s="2074"/>
      <c r="AL43" s="2224"/>
      <c r="AM43" s="2200"/>
      <c r="AN43" s="2226"/>
      <c r="AO43" s="2029"/>
      <c r="AQ43" s="2186"/>
      <c r="AR43" s="2228"/>
      <c r="AS43" s="2200"/>
      <c r="AT43" s="7510"/>
      <c r="AV43" s="2224"/>
      <c r="AW43" s="2200"/>
      <c r="AX43" s="2226"/>
      <c r="AZ43" s="2186"/>
      <c r="BA43" s="2228"/>
      <c r="BB43" s="2200"/>
      <c r="BC43" s="2074"/>
      <c r="BE43" s="2224"/>
      <c r="BF43" s="2200"/>
      <c r="BG43" s="2226"/>
    </row>
    <row r="44" spans="1:59" ht="24.75" customHeight="1" x14ac:dyDescent="0.35">
      <c r="A44" s="9568"/>
      <c r="B44" s="2149" t="s">
        <v>944</v>
      </c>
      <c r="C44" s="2149"/>
      <c r="D44" s="2058"/>
      <c r="E44" s="2165"/>
      <c r="F44" s="2114"/>
      <c r="G44" s="2165"/>
      <c r="H44" s="2273"/>
      <c r="I44" s="2274"/>
      <c r="J44" s="2275"/>
      <c r="K44" s="2165"/>
      <c r="L44" s="2265"/>
      <c r="M44" s="2266"/>
      <c r="O44" s="2115"/>
      <c r="P44" s="2116"/>
      <c r="Q44" s="2119"/>
      <c r="R44" s="2275"/>
      <c r="S44" s="2165"/>
      <c r="T44" s="2265"/>
      <c r="U44" s="2119"/>
      <c r="V44" s="2266"/>
      <c r="X44" s="2115"/>
      <c r="Y44" s="2276"/>
      <c r="Z44" s="2119"/>
      <c r="AA44" s="2275"/>
      <c r="AB44" s="2165"/>
      <c r="AC44" s="2277" t="s">
        <v>6084</v>
      </c>
      <c r="AD44" s="2119"/>
      <c r="AE44" s="2266"/>
      <c r="AG44" s="2115"/>
      <c r="AH44" s="2276"/>
      <c r="AI44" s="2119"/>
      <c r="AJ44" s="2278"/>
      <c r="AK44" s="2165"/>
      <c r="AL44" s="2166" t="s">
        <v>6085</v>
      </c>
      <c r="AM44" s="2119"/>
      <c r="AN44" s="2266"/>
      <c r="AO44" s="2094"/>
      <c r="AQ44" s="2115" t="s">
        <v>6085</v>
      </c>
      <c r="AR44" s="2276"/>
      <c r="AS44" s="2119"/>
      <c r="AT44" s="7520"/>
      <c r="AU44" s="2165"/>
      <c r="AV44" s="2166" t="s">
        <v>6085</v>
      </c>
      <c r="AW44" s="2119"/>
      <c r="AX44" s="2266"/>
      <c r="AZ44" s="2115" t="s">
        <v>6085</v>
      </c>
      <c r="BA44" s="2276"/>
      <c r="BB44" s="2119"/>
      <c r="BC44" s="2278"/>
      <c r="BD44" s="2165"/>
      <c r="BE44" s="2166" t="s">
        <v>6085</v>
      </c>
      <c r="BF44" s="2119"/>
      <c r="BG44" s="2266"/>
    </row>
    <row r="45" spans="1:59" ht="13.75" customHeight="1" x14ac:dyDescent="0.35">
      <c r="A45" s="9568"/>
      <c r="B45" s="2245"/>
      <c r="C45" s="2245" t="s">
        <v>6086</v>
      </c>
      <c r="D45" s="2058">
        <v>2</v>
      </c>
      <c r="F45" s="2125">
        <v>46873036</v>
      </c>
      <c r="H45" s="2126">
        <v>52326000</v>
      </c>
      <c r="I45" s="2127">
        <v>51621451</v>
      </c>
      <c r="J45" s="2062">
        <f>IF(H45=0,0,I45/H45)</f>
        <v>0.98653539349462982</v>
      </c>
      <c r="L45" s="2126">
        <f>(9600+3760+14380+13760)*1000</f>
        <v>41500000</v>
      </c>
      <c r="M45" s="2177">
        <f>L45*J45</f>
        <v>40941218.830027141</v>
      </c>
      <c r="O45" s="2144">
        <f>L45</f>
        <v>41500000</v>
      </c>
      <c r="P45" s="2279">
        <v>41417311</v>
      </c>
      <c r="Q45" s="2119"/>
      <c r="R45" s="2062">
        <f t="shared" ref="R45:R56" si="11">IF(O45=0,0,P45/O45)</f>
        <v>0.9980074939759036</v>
      </c>
      <c r="T45" s="2246">
        <v>261560000</v>
      </c>
      <c r="U45" s="2192"/>
      <c r="V45" s="2177">
        <f t="shared" ref="V45:V53" si="12">T45*R45</f>
        <v>261038840.12433735</v>
      </c>
      <c r="X45" s="2135">
        <f>T45</f>
        <v>261560000</v>
      </c>
      <c r="Y45" s="2280">
        <f>V45</f>
        <v>261038840.12433735</v>
      </c>
      <c r="Z45" s="2119"/>
      <c r="AA45" s="2062">
        <f t="shared" ref="AA45:AA56" si="13">IF(X45=0,0,Y45/X45)</f>
        <v>0.9980074939759036</v>
      </c>
      <c r="AC45" s="2135">
        <f>(209400+14880+18960+28320)*1000</f>
        <v>271560000</v>
      </c>
      <c r="AD45" s="2281"/>
      <c r="AE45" s="2071">
        <f t="shared" ref="AE45:AE53" si="14">AC45*AA45</f>
        <v>271018915.06409639</v>
      </c>
      <c r="AG45" s="2136">
        <f>(209400+14880+18960+28320)*1000</f>
        <v>271560000</v>
      </c>
      <c r="AH45" s="2280"/>
      <c r="AI45" s="2119"/>
      <c r="AJ45" s="2074"/>
      <c r="AL45" s="2282">
        <f>(208600+14480+18660+23920)*1000</f>
        <v>265660000</v>
      </c>
      <c r="AM45" s="2283" t="s">
        <v>6087</v>
      </c>
      <c r="AN45" s="2177"/>
      <c r="AO45" s="2284" t="s">
        <v>6088</v>
      </c>
      <c r="AQ45" s="2136">
        <v>265660000</v>
      </c>
      <c r="AR45" s="2280"/>
      <c r="AS45" s="2119"/>
      <c r="AT45" s="7510"/>
      <c r="AV45" s="2282">
        <f>(208600+14480+18660+43920)*1000</f>
        <v>285660000</v>
      </c>
      <c r="AW45" s="2283" t="s">
        <v>6089</v>
      </c>
      <c r="AX45" s="2177"/>
      <c r="AZ45" s="2282">
        <f>(208600+14480+18660+43920)*1000</f>
        <v>285660000</v>
      </c>
      <c r="BA45" s="2280"/>
      <c r="BB45" s="2119"/>
      <c r="BC45" s="2074"/>
      <c r="BE45" s="2282">
        <f>(209200000+14880000+18960000+47420000)-BE46</f>
        <v>285860000</v>
      </c>
      <c r="BF45" s="2283"/>
      <c r="BG45" s="2177"/>
    </row>
    <row r="46" spans="1:59" ht="13.75" customHeight="1" x14ac:dyDescent="0.35">
      <c r="A46" s="9568"/>
      <c r="B46" s="2245"/>
      <c r="C46" s="2245" t="s">
        <v>6090</v>
      </c>
      <c r="D46" s="2058"/>
      <c r="F46" s="2125"/>
      <c r="H46" s="2126"/>
      <c r="I46" s="2127"/>
      <c r="J46" s="2062"/>
      <c r="L46" s="2126"/>
      <c r="M46" s="2177"/>
      <c r="O46" s="2144">
        <v>0</v>
      </c>
      <c r="P46" s="2279">
        <v>0</v>
      </c>
      <c r="Q46" s="2119"/>
      <c r="R46" s="2062">
        <f t="shared" si="11"/>
        <v>0</v>
      </c>
      <c r="T46" s="2246">
        <v>0</v>
      </c>
      <c r="U46" s="2192"/>
      <c r="V46" s="2177">
        <f t="shared" si="12"/>
        <v>0</v>
      </c>
      <c r="X46" s="2135"/>
      <c r="Y46" s="2280"/>
      <c r="Z46" s="2119"/>
      <c r="AA46" s="2062">
        <f t="shared" si="13"/>
        <v>0</v>
      </c>
      <c r="AC46" s="2135"/>
      <c r="AD46" s="2192"/>
      <c r="AE46" s="2071"/>
      <c r="AG46" s="2136"/>
      <c r="AH46" s="2280"/>
      <c r="AI46" s="2119"/>
      <c r="AJ46" s="2074"/>
      <c r="AL46" s="2282">
        <f>(800+4000+300+4400)*1000</f>
        <v>9500000</v>
      </c>
      <c r="AM46" s="2283"/>
      <c r="AN46" s="2177"/>
      <c r="AO46" s="2284"/>
      <c r="AQ46" s="2136">
        <f>AL46</f>
        <v>9500000</v>
      </c>
      <c r="AR46" s="2280"/>
      <c r="AS46" s="2119"/>
      <c r="AT46" s="7510"/>
      <c r="AV46" s="2282">
        <f>(800+400+300+4400)*1000</f>
        <v>5900000</v>
      </c>
      <c r="AW46" s="2283" t="s">
        <v>6089</v>
      </c>
      <c r="AX46" s="2177"/>
      <c r="AZ46" s="2282">
        <f>(800+400+300+4400)*1000</f>
        <v>5900000</v>
      </c>
      <c r="BA46" s="2280"/>
      <c r="BB46" s="2119"/>
      <c r="BC46" s="2074"/>
      <c r="BE46" s="2282">
        <f>600000+200000+300000+3500000</f>
        <v>4600000</v>
      </c>
      <c r="BF46" s="2283"/>
      <c r="BG46" s="2177"/>
    </row>
    <row r="47" spans="1:59" x14ac:dyDescent="0.35">
      <c r="A47" s="9568"/>
      <c r="B47" s="2253"/>
      <c r="C47" s="2253" t="s">
        <v>6091</v>
      </c>
      <c r="D47" s="2058">
        <v>3</v>
      </c>
      <c r="F47" s="2175">
        <v>7500000</v>
      </c>
      <c r="H47" s="2144">
        <v>130000000</v>
      </c>
      <c r="I47" s="2142">
        <v>130000000</v>
      </c>
      <c r="J47" s="2062">
        <f>IF(H47=0,0,I47/H47)</f>
        <v>1</v>
      </c>
      <c r="L47" s="2144">
        <v>130000000</v>
      </c>
      <c r="M47" s="2177">
        <f>L47*J47</f>
        <v>130000000</v>
      </c>
      <c r="O47" s="2144">
        <f>L47</f>
        <v>130000000</v>
      </c>
      <c r="P47" s="2285">
        <v>130000000</v>
      </c>
      <c r="Q47" s="2119"/>
      <c r="R47" s="2062">
        <f t="shared" si="11"/>
        <v>1</v>
      </c>
      <c r="T47" s="2246">
        <v>130000000</v>
      </c>
      <c r="U47" s="2192"/>
      <c r="V47" s="2177">
        <f t="shared" si="12"/>
        <v>130000000</v>
      </c>
      <c r="X47" s="2135">
        <f t="shared" ref="X47:X53" si="15">T47</f>
        <v>130000000</v>
      </c>
      <c r="Y47" s="2280">
        <f>V47</f>
        <v>130000000</v>
      </c>
      <c r="Z47" s="2119"/>
      <c r="AA47" s="2062">
        <f t="shared" si="13"/>
        <v>1</v>
      </c>
      <c r="AC47" s="2135">
        <f>130000*1000</f>
        <v>130000000</v>
      </c>
      <c r="AD47" s="2192"/>
      <c r="AE47" s="2071">
        <f t="shared" si="14"/>
        <v>130000000</v>
      </c>
      <c r="AG47" s="2136">
        <f>130000*1000</f>
        <v>130000000</v>
      </c>
      <c r="AH47" s="2280"/>
      <c r="AI47" s="2119"/>
      <c r="AJ47" s="2074"/>
      <c r="AL47" s="2282">
        <v>130000000</v>
      </c>
      <c r="AM47" s="2283" t="s">
        <v>4291</v>
      </c>
      <c r="AN47" s="2177"/>
      <c r="AO47" s="2094" t="s">
        <v>6092</v>
      </c>
      <c r="AQ47" s="2136">
        <v>130000000</v>
      </c>
      <c r="AR47" s="2280"/>
      <c r="AS47" s="2119"/>
      <c r="AT47" s="7510"/>
      <c r="AV47" s="2282">
        <v>130000000</v>
      </c>
      <c r="AW47" s="2283" t="s">
        <v>6093</v>
      </c>
      <c r="AX47" s="2177"/>
      <c r="AZ47" s="2282">
        <v>130000000</v>
      </c>
      <c r="BA47" s="2280"/>
      <c r="BB47" s="2119"/>
      <c r="BC47" s="2074"/>
      <c r="BE47" s="2282">
        <f>158182000-BE48</f>
        <v>158182000</v>
      </c>
      <c r="BF47" s="2283"/>
      <c r="BG47" s="2177"/>
    </row>
    <row r="48" spans="1:59" x14ac:dyDescent="0.35">
      <c r="A48" s="9568"/>
      <c r="B48" s="2253"/>
      <c r="C48" s="2253" t="s">
        <v>6094</v>
      </c>
      <c r="D48" s="2058"/>
      <c r="F48" s="2175"/>
      <c r="H48" s="2144"/>
      <c r="I48" s="2142"/>
      <c r="J48" s="2062"/>
      <c r="L48" s="2144"/>
      <c r="M48" s="2177"/>
      <c r="O48" s="2144"/>
      <c r="P48" s="2286">
        <v>0</v>
      </c>
      <c r="Q48" s="2119"/>
      <c r="R48" s="2062">
        <f t="shared" si="11"/>
        <v>0</v>
      </c>
      <c r="T48" s="2126">
        <v>0</v>
      </c>
      <c r="U48" s="2192"/>
      <c r="V48" s="2177">
        <f t="shared" si="12"/>
        <v>0</v>
      </c>
      <c r="X48" s="2135"/>
      <c r="Y48" s="2280"/>
      <c r="Z48" s="2119"/>
      <c r="AA48" s="2062">
        <f t="shared" si="13"/>
        <v>0</v>
      </c>
      <c r="AC48" s="2135"/>
      <c r="AD48" s="2192"/>
      <c r="AE48" s="2071"/>
      <c r="AG48" s="2136"/>
      <c r="AH48" s="2280"/>
      <c r="AI48" s="2119"/>
      <c r="AJ48" s="2074"/>
      <c r="AL48" s="2282">
        <v>0</v>
      </c>
      <c r="AM48" s="2283"/>
      <c r="AN48" s="2177"/>
      <c r="AO48" s="2094"/>
      <c r="AQ48" s="2136">
        <v>0</v>
      </c>
      <c r="AR48" s="2280"/>
      <c r="AS48" s="2119"/>
      <c r="AT48" s="7510"/>
      <c r="AV48" s="2282">
        <v>0</v>
      </c>
      <c r="AW48" s="2283"/>
      <c r="AX48" s="2177"/>
      <c r="AZ48" s="2282">
        <v>0</v>
      </c>
      <c r="BA48" s="2280"/>
      <c r="BB48" s="2119"/>
      <c r="BC48" s="2074"/>
      <c r="BE48" s="2282">
        <v>0</v>
      </c>
      <c r="BF48" s="2283"/>
      <c r="BG48" s="2177"/>
    </row>
    <row r="49" spans="1:59" x14ac:dyDescent="0.35">
      <c r="A49" s="9568"/>
      <c r="B49" s="2253"/>
      <c r="C49" s="2253" t="s">
        <v>6095</v>
      </c>
      <c r="D49" s="2058">
        <v>4</v>
      </c>
      <c r="F49" s="2175">
        <v>225645750</v>
      </c>
      <c r="H49" s="2144">
        <v>219334000</v>
      </c>
      <c r="I49" s="2142">
        <v>204021297</v>
      </c>
      <c r="J49" s="2062">
        <f>IF(H49=0,0,I49/H49)</f>
        <v>0.93018545688310983</v>
      </c>
      <c r="L49" s="2144">
        <f>(30000+22080+20186+43140+38508+23120+70200+45000)*1000</f>
        <v>292234000</v>
      </c>
      <c r="M49" s="2177">
        <f>L49*J49</f>
        <v>271831816.80677873</v>
      </c>
      <c r="O49" s="2130">
        <v>177034000</v>
      </c>
      <c r="P49" s="2279">
        <v>170477077</v>
      </c>
      <c r="Q49" s="2119"/>
      <c r="R49" s="2062">
        <f t="shared" si="11"/>
        <v>0.96296235186461354</v>
      </c>
      <c r="T49" s="2130">
        <v>177034000</v>
      </c>
      <c r="U49" s="2192"/>
      <c r="V49" s="2177">
        <f t="shared" si="12"/>
        <v>170477077</v>
      </c>
      <c r="X49" s="2135">
        <f t="shared" si="15"/>
        <v>177034000</v>
      </c>
      <c r="Y49" s="2280">
        <f>V49</f>
        <v>170477077</v>
      </c>
      <c r="Z49" s="2119"/>
      <c r="AA49" s="2062">
        <f t="shared" si="13"/>
        <v>0.96296235186461354</v>
      </c>
      <c r="AC49" s="2135">
        <f>(30000+115000+20088+18358+21280)*1000</f>
        <v>204726000</v>
      </c>
      <c r="AD49" s="2192"/>
      <c r="AE49" s="2071">
        <f t="shared" si="14"/>
        <v>197143430.44783488</v>
      </c>
      <c r="AG49" s="2136">
        <f>(30000+115000+20088+18358+21280)*1000</f>
        <v>204726000</v>
      </c>
      <c r="AH49" s="2280"/>
      <c r="AI49" s="2119"/>
      <c r="AJ49" s="2074"/>
      <c r="AL49" s="2282">
        <f>(30000+16150+15473+14502)*1000</f>
        <v>76125000</v>
      </c>
      <c r="AM49" s="2283" t="s">
        <v>6096</v>
      </c>
      <c r="AN49" s="2177"/>
      <c r="AO49" s="2094" t="s">
        <v>6097</v>
      </c>
      <c r="AQ49" s="2136">
        <v>76125000</v>
      </c>
      <c r="AR49" s="2280"/>
      <c r="AS49" s="2119"/>
      <c r="AT49" s="7510"/>
      <c r="AV49" s="2282">
        <f>(30000+14030+13182+14809+10000+10000+10000+10000+10000+10000+10000+10000+26920+30145)*1000</f>
        <v>209086000</v>
      </c>
      <c r="AW49" s="2283" t="s">
        <v>6098</v>
      </c>
      <c r="AX49" s="2177"/>
      <c r="AZ49" s="2282">
        <f>(30000+14030+13182+14809+10000+10000+10000+10000+10000+10000+10000+10000+26920+30145)*1000</f>
        <v>209086000</v>
      </c>
      <c r="BA49" s="2280"/>
      <c r="BB49" s="2119"/>
      <c r="BC49" s="2074"/>
      <c r="BE49" s="2282">
        <f>89839000+14030000+30145000+10000000+10000000+10000000+10000000+13182000+26920000+10000000+10000000+10000000+14809000</f>
        <v>258925000</v>
      </c>
      <c r="BF49" s="2283"/>
      <c r="BG49" s="2177"/>
    </row>
    <row r="50" spans="1:59" x14ac:dyDescent="0.35">
      <c r="A50" s="9568"/>
      <c r="B50" s="2253"/>
      <c r="C50" s="2253" t="s">
        <v>6099</v>
      </c>
      <c r="D50" s="2058"/>
      <c r="F50" s="2175"/>
      <c r="H50" s="2144"/>
      <c r="I50" s="2142"/>
      <c r="J50" s="2062"/>
      <c r="L50" s="2144"/>
      <c r="M50" s="2177"/>
      <c r="O50" s="2144"/>
      <c r="P50" s="2286">
        <v>0</v>
      </c>
      <c r="Q50" s="2119"/>
      <c r="R50" s="2062">
        <f t="shared" si="11"/>
        <v>0</v>
      </c>
      <c r="T50" s="2144">
        <v>0</v>
      </c>
      <c r="U50" s="2192"/>
      <c r="V50" s="2177">
        <f t="shared" si="12"/>
        <v>0</v>
      </c>
      <c r="X50" s="2135"/>
      <c r="Y50" s="2280"/>
      <c r="Z50" s="2119"/>
      <c r="AA50" s="2062">
        <f t="shared" si="13"/>
        <v>0</v>
      </c>
      <c r="AC50" s="2135"/>
      <c r="AD50" s="2192"/>
      <c r="AE50" s="2071"/>
      <c r="AG50" s="2136"/>
      <c r="AH50" s="2280"/>
      <c r="AI50" s="2119"/>
      <c r="AJ50" s="2074"/>
      <c r="AL50" s="2282">
        <f>(4384+3300+5000)*1000</f>
        <v>12684000</v>
      </c>
      <c r="AM50" s="2283"/>
      <c r="AN50" s="2177"/>
      <c r="AO50" s="2094"/>
      <c r="AQ50" s="2136">
        <v>12684000</v>
      </c>
      <c r="AR50" s="2280"/>
      <c r="AS50" s="2119"/>
      <c r="AT50" s="7510"/>
      <c r="AV50" s="2282">
        <f>59389000</f>
        <v>59389000</v>
      </c>
      <c r="AW50" s="2283" t="s">
        <v>6100</v>
      </c>
      <c r="AX50" s="2177"/>
      <c r="AZ50" s="2282">
        <f>59389000</f>
        <v>59389000</v>
      </c>
      <c r="BA50" s="2280"/>
      <c r="BB50" s="2119"/>
      <c r="BC50" s="2074"/>
      <c r="BE50" s="2282"/>
      <c r="BF50" s="2283"/>
      <c r="BG50" s="2177"/>
    </row>
    <row r="51" spans="1:59" x14ac:dyDescent="0.35">
      <c r="A51" s="9568"/>
      <c r="B51" s="2253"/>
      <c r="C51" s="2253" t="s">
        <v>6101</v>
      </c>
      <c r="D51" s="2058">
        <v>5</v>
      </c>
      <c r="F51" s="2175">
        <v>90000000</v>
      </c>
      <c r="H51" s="2144">
        <v>120000000</v>
      </c>
      <c r="I51" s="2142">
        <v>112500000</v>
      </c>
      <c r="J51" s="2062">
        <f>IF(H51=0,0,I51/H51)</f>
        <v>0.9375</v>
      </c>
      <c r="L51" s="2144">
        <f>120000000</f>
        <v>120000000</v>
      </c>
      <c r="M51" s="2177">
        <f>L51*J51</f>
        <v>112500000</v>
      </c>
      <c r="O51" s="2144">
        <f>L51</f>
        <v>120000000</v>
      </c>
      <c r="P51" s="2287">
        <v>60000000</v>
      </c>
      <c r="Q51" s="2119"/>
      <c r="R51" s="2062">
        <f t="shared" si="11"/>
        <v>0.5</v>
      </c>
      <c r="T51" s="2144">
        <v>120000000</v>
      </c>
      <c r="U51" s="2192"/>
      <c r="V51" s="2177">
        <f t="shared" si="12"/>
        <v>60000000</v>
      </c>
      <c r="W51" s="2149"/>
      <c r="X51" s="2135">
        <f t="shared" si="15"/>
        <v>120000000</v>
      </c>
      <c r="Y51" s="2280">
        <f>V51</f>
        <v>60000000</v>
      </c>
      <c r="Z51" s="2119"/>
      <c r="AA51" s="2062">
        <f t="shared" si="13"/>
        <v>0.5</v>
      </c>
      <c r="AC51" s="2135">
        <v>120000000</v>
      </c>
      <c r="AD51" s="2192"/>
      <c r="AE51" s="2071">
        <f t="shared" si="14"/>
        <v>60000000</v>
      </c>
      <c r="AF51" s="2149"/>
      <c r="AG51" s="2136">
        <v>120000000</v>
      </c>
      <c r="AH51" s="2280"/>
      <c r="AI51" s="2119"/>
      <c r="AJ51" s="2074"/>
      <c r="AL51" s="2282">
        <v>120000000</v>
      </c>
      <c r="AM51" s="2283" t="s">
        <v>6102</v>
      </c>
      <c r="AN51" s="2177"/>
      <c r="AO51" s="2094" t="s">
        <v>1492</v>
      </c>
      <c r="AQ51" s="2136">
        <v>120000000</v>
      </c>
      <c r="AR51" s="2280"/>
      <c r="AS51" s="2119"/>
      <c r="AT51" s="7510"/>
      <c r="AV51" s="2282">
        <v>120000000</v>
      </c>
      <c r="AW51" s="2283" t="s">
        <v>3852</v>
      </c>
      <c r="AX51" s="2177"/>
      <c r="AZ51" s="2282">
        <v>120000000</v>
      </c>
      <c r="BA51" s="2280"/>
      <c r="BB51" s="2119"/>
      <c r="BC51" s="2074"/>
      <c r="BE51" s="2282">
        <v>140000000</v>
      </c>
      <c r="BF51" s="2283"/>
      <c r="BG51" s="2177"/>
    </row>
    <row r="52" spans="1:59" x14ac:dyDescent="0.35">
      <c r="A52" s="9568"/>
      <c r="B52" s="2253"/>
      <c r="C52" s="2253" t="s">
        <v>6103</v>
      </c>
      <c r="D52" s="2058"/>
      <c r="F52" s="2175"/>
      <c r="H52" s="2144"/>
      <c r="I52" s="2142"/>
      <c r="J52" s="2062"/>
      <c r="L52" s="2144"/>
      <c r="M52" s="2177"/>
      <c r="O52" s="2144"/>
      <c r="P52" s="2286">
        <v>0</v>
      </c>
      <c r="Q52" s="2119"/>
      <c r="R52" s="2062">
        <f t="shared" si="11"/>
        <v>0</v>
      </c>
      <c r="T52" s="2144">
        <v>0</v>
      </c>
      <c r="U52" s="2192"/>
      <c r="V52" s="2177">
        <f t="shared" si="12"/>
        <v>0</v>
      </c>
      <c r="W52" s="2149"/>
      <c r="X52" s="2135"/>
      <c r="Y52" s="2280"/>
      <c r="Z52" s="2119"/>
      <c r="AA52" s="2062">
        <f t="shared" si="13"/>
        <v>0</v>
      </c>
      <c r="AC52" s="2135"/>
      <c r="AD52" s="2192"/>
      <c r="AE52" s="2071"/>
      <c r="AF52" s="2149"/>
      <c r="AG52" s="2136"/>
      <c r="AH52" s="2280"/>
      <c r="AI52" s="2119"/>
      <c r="AJ52" s="2074"/>
      <c r="AL52" s="2282"/>
      <c r="AM52" s="2283"/>
      <c r="AN52" s="2177"/>
      <c r="AO52" s="2094"/>
      <c r="AQ52" s="2136"/>
      <c r="AR52" s="2280"/>
      <c r="AS52" s="2119"/>
      <c r="AT52" s="7510"/>
      <c r="AV52" s="2282"/>
      <c r="AW52" s="2283"/>
      <c r="AX52" s="2177"/>
      <c r="AZ52" s="2282"/>
      <c r="BA52" s="2280"/>
      <c r="BB52" s="2119"/>
      <c r="BC52" s="2074"/>
      <c r="BE52" s="2282"/>
      <c r="BF52" s="2283"/>
      <c r="BG52" s="2177"/>
    </row>
    <row r="53" spans="1:59" x14ac:dyDescent="0.35">
      <c r="A53" s="9568"/>
      <c r="B53" s="2253"/>
      <c r="C53" s="2253" t="s">
        <v>6104</v>
      </c>
      <c r="D53" s="2058">
        <v>6</v>
      </c>
      <c r="F53" s="2175">
        <v>70382963</v>
      </c>
      <c r="H53" s="2144">
        <v>138866000</v>
      </c>
      <c r="I53" s="2142">
        <v>90207054</v>
      </c>
      <c r="J53" s="2062">
        <f>IF(H53=0,0,I53/H53)</f>
        <v>0.64959784252444808</v>
      </c>
      <c r="L53" s="2144">
        <f>136807000</f>
        <v>136807000</v>
      </c>
      <c r="M53" s="2177">
        <f>L53*J53</f>
        <v>88869532.042242169</v>
      </c>
      <c r="O53" s="2144">
        <v>136807000</v>
      </c>
      <c r="P53" s="2286">
        <v>89916550</v>
      </c>
      <c r="Q53" s="2119"/>
      <c r="R53" s="2062">
        <f t="shared" si="11"/>
        <v>0.65725109095294831</v>
      </c>
      <c r="T53" s="2144">
        <v>141417000</v>
      </c>
      <c r="U53" s="2192"/>
      <c r="V53" s="2177">
        <f t="shared" si="12"/>
        <v>92946477.52929309</v>
      </c>
      <c r="X53" s="2135">
        <f t="shared" si="15"/>
        <v>141417000</v>
      </c>
      <c r="Y53" s="2280">
        <f>V53</f>
        <v>92946477.52929309</v>
      </c>
      <c r="Z53" s="2119"/>
      <c r="AA53" s="2062">
        <f t="shared" si="13"/>
        <v>0.65725109095294831</v>
      </c>
      <c r="AC53" s="2135">
        <v>142831000</v>
      </c>
      <c r="AD53" s="2192"/>
      <c r="AE53" s="2071">
        <f t="shared" si="14"/>
        <v>93875830.571900561</v>
      </c>
      <c r="AG53" s="2136">
        <v>142831000</v>
      </c>
      <c r="AH53" s="2280"/>
      <c r="AI53" s="2119"/>
      <c r="AJ53" s="2074"/>
      <c r="AL53" s="2282">
        <v>132213000</v>
      </c>
      <c r="AM53" s="2283" t="s">
        <v>6105</v>
      </c>
      <c r="AN53" s="2177"/>
      <c r="AO53" s="2094" t="s">
        <v>6106</v>
      </c>
      <c r="AQ53" s="2136">
        <v>132213000</v>
      </c>
      <c r="AR53" s="2280"/>
      <c r="AS53" s="2119"/>
      <c r="AT53" s="7510"/>
      <c r="AV53" s="2282">
        <v>138744000</v>
      </c>
      <c r="AW53" s="2283" t="s">
        <v>1097</v>
      </c>
      <c r="AX53" s="2177"/>
      <c r="AZ53" s="2282">
        <v>138744000</v>
      </c>
      <c r="BA53" s="2280"/>
      <c r="BB53" s="2119"/>
      <c r="BC53" s="2074"/>
      <c r="BE53" s="2282">
        <v>140413000</v>
      </c>
      <c r="BF53" s="2283"/>
      <c r="BG53" s="2177"/>
    </row>
    <row r="54" spans="1:59" x14ac:dyDescent="0.35">
      <c r="A54" s="9568"/>
      <c r="B54" s="2253"/>
      <c r="C54" s="2253" t="s">
        <v>6107</v>
      </c>
      <c r="D54" s="2058"/>
      <c r="F54" s="2175"/>
      <c r="H54" s="2144"/>
      <c r="I54" s="2142"/>
      <c r="J54" s="2062"/>
      <c r="L54" s="2216"/>
      <c r="M54" s="2181"/>
      <c r="O54" s="2144"/>
      <c r="P54" s="2286"/>
      <c r="Q54" s="2119"/>
      <c r="R54" s="2062">
        <f t="shared" si="11"/>
        <v>0</v>
      </c>
      <c r="T54" s="2144"/>
      <c r="U54" s="2192"/>
      <c r="V54" s="2177"/>
      <c r="X54" s="2135"/>
      <c r="Y54" s="2286"/>
      <c r="Z54" s="2119"/>
      <c r="AA54" s="2062">
        <f t="shared" si="13"/>
        <v>0</v>
      </c>
      <c r="AC54" s="2135"/>
      <c r="AD54" s="2192"/>
      <c r="AE54" s="2177"/>
      <c r="AG54" s="2135"/>
      <c r="AH54" s="2286"/>
      <c r="AI54" s="2119"/>
      <c r="AJ54" s="2074"/>
      <c r="AL54" s="2282"/>
      <c r="AM54" s="2283"/>
      <c r="AN54" s="2177"/>
      <c r="AO54" s="2094"/>
      <c r="AQ54" s="2135"/>
      <c r="AR54" s="2286"/>
      <c r="AS54" s="2119"/>
      <c r="AT54" s="7510"/>
      <c r="AV54" s="2282"/>
      <c r="AW54" s="2283"/>
      <c r="AX54" s="2177"/>
      <c r="AZ54" s="2282"/>
      <c r="BA54" s="2286"/>
      <c r="BB54" s="2119"/>
      <c r="BC54" s="2074"/>
      <c r="BE54" s="2282"/>
      <c r="BF54" s="2283"/>
      <c r="BG54" s="2177"/>
    </row>
    <row r="55" spans="1:59" x14ac:dyDescent="0.35">
      <c r="A55" s="9568"/>
      <c r="B55" s="2253"/>
      <c r="C55" s="2253" t="s">
        <v>4295</v>
      </c>
      <c r="D55" s="2058"/>
      <c r="F55" s="2175"/>
      <c r="H55" s="2144"/>
      <c r="I55" s="2142"/>
      <c r="J55" s="2062">
        <f>IF(H55=0,0,I55/H55)</f>
        <v>0</v>
      </c>
      <c r="L55" s="2216"/>
      <c r="M55" s="2181">
        <f>L55*J55</f>
        <v>0</v>
      </c>
      <c r="O55" s="2144"/>
      <c r="P55" s="2287"/>
      <c r="Q55" s="2119"/>
      <c r="R55" s="2062">
        <f t="shared" si="11"/>
        <v>0</v>
      </c>
      <c r="T55" s="2144"/>
      <c r="U55" s="2192"/>
      <c r="V55" s="2177"/>
      <c r="X55" s="2144"/>
      <c r="Y55" s="2287"/>
      <c r="Z55" s="2119"/>
      <c r="AA55" s="2062">
        <f t="shared" si="13"/>
        <v>0</v>
      </c>
      <c r="AC55" s="2144"/>
      <c r="AD55" s="2192"/>
      <c r="AE55" s="2177"/>
      <c r="AG55" s="2144"/>
      <c r="AH55" s="2287"/>
      <c r="AI55" s="2119"/>
      <c r="AJ55" s="2074"/>
      <c r="AL55" s="2282">
        <v>3805000</v>
      </c>
      <c r="AM55" s="2283" t="s">
        <v>6108</v>
      </c>
      <c r="AN55" s="2177"/>
      <c r="AO55" s="2094" t="s">
        <v>6109</v>
      </c>
      <c r="AQ55" s="2144">
        <v>3805000</v>
      </c>
      <c r="AR55" s="2287"/>
      <c r="AS55" s="2119"/>
      <c r="AT55" s="7510"/>
      <c r="AV55" s="2282">
        <v>3610000</v>
      </c>
      <c r="AW55" s="2283" t="s">
        <v>6108</v>
      </c>
      <c r="AX55" s="2177"/>
      <c r="AZ55" s="2282">
        <v>3610000</v>
      </c>
      <c r="BA55" s="2287"/>
      <c r="BB55" s="2119"/>
      <c r="BC55" s="2074"/>
      <c r="BE55" s="2282">
        <v>2168000</v>
      </c>
      <c r="BF55" s="2283"/>
      <c r="BG55" s="2177"/>
    </row>
    <row r="56" spans="1:59" x14ac:dyDescent="0.35">
      <c r="A56" s="9568"/>
      <c r="B56" s="2255"/>
      <c r="C56" s="2255" t="s">
        <v>4296</v>
      </c>
      <c r="D56" s="2097"/>
      <c r="F56" s="2156"/>
      <c r="H56" s="2157"/>
      <c r="I56" s="2158"/>
      <c r="J56" s="2159">
        <f>IF(H56=0,0,I56/H56)</f>
        <v>0</v>
      </c>
      <c r="L56" s="2259"/>
      <c r="M56" s="2181">
        <f>L56*J56</f>
        <v>0</v>
      </c>
      <c r="N56" s="2149"/>
      <c r="O56" s="2157"/>
      <c r="P56" s="2158"/>
      <c r="Q56" s="2200"/>
      <c r="R56" s="2159">
        <f t="shared" si="11"/>
        <v>0</v>
      </c>
      <c r="T56" s="2259"/>
      <c r="U56" s="2200"/>
      <c r="V56" s="2181"/>
      <c r="X56" s="2157"/>
      <c r="Y56" s="2158"/>
      <c r="Z56" s="2200"/>
      <c r="AA56" s="2159">
        <f t="shared" si="13"/>
        <v>0</v>
      </c>
      <c r="AC56" s="2259"/>
      <c r="AD56" s="2200"/>
      <c r="AE56" s="2181"/>
      <c r="AG56" s="2157"/>
      <c r="AH56" s="2158"/>
      <c r="AI56" s="2200"/>
      <c r="AJ56" s="2204"/>
      <c r="AL56" s="2288">
        <v>1132000</v>
      </c>
      <c r="AM56" s="2289"/>
      <c r="AN56" s="2181"/>
      <c r="AO56" s="2094"/>
      <c r="AQ56" s="2157">
        <v>1132000</v>
      </c>
      <c r="AR56" s="2158"/>
      <c r="AS56" s="2200"/>
      <c r="AT56" s="7514"/>
      <c r="AV56" s="2288">
        <v>35319000</v>
      </c>
      <c r="AW56" s="2289"/>
      <c r="AX56" s="2181"/>
      <c r="AZ56" s="2288">
        <v>35319000</v>
      </c>
      <c r="BA56" s="2158"/>
      <c r="BB56" s="2200"/>
      <c r="BC56" s="2204"/>
      <c r="BE56" s="2288"/>
      <c r="BF56" s="2289"/>
      <c r="BG56" s="2181"/>
    </row>
    <row r="57" spans="1:59" x14ac:dyDescent="0.35">
      <c r="A57" s="9568"/>
      <c r="B57" s="2290" t="s">
        <v>965</v>
      </c>
      <c r="C57" s="2290"/>
      <c r="D57" s="2163"/>
      <c r="E57" s="2149"/>
      <c r="F57" s="2114"/>
      <c r="G57" s="2149"/>
      <c r="H57" s="2263"/>
      <c r="I57" s="2192"/>
      <c r="J57" s="2291"/>
      <c r="K57" s="2149"/>
      <c r="L57" s="2115"/>
      <c r="M57" s="2292"/>
      <c r="O57" s="2263"/>
      <c r="P57" s="2192"/>
      <c r="Q57" s="2119"/>
      <c r="R57" s="2291"/>
      <c r="S57" s="2149"/>
      <c r="T57" s="2115"/>
      <c r="U57" s="2119"/>
      <c r="V57" s="2292"/>
      <c r="X57" s="2263"/>
      <c r="Y57" s="2192"/>
      <c r="Z57" s="2119"/>
      <c r="AA57" s="2291"/>
      <c r="AB57" s="2149"/>
      <c r="AC57" s="2115" t="s">
        <v>6084</v>
      </c>
      <c r="AD57" s="2119"/>
      <c r="AE57" s="2292"/>
      <c r="AG57" s="2263"/>
      <c r="AH57" s="2192"/>
      <c r="AI57" s="2119"/>
      <c r="AJ57" s="2293"/>
      <c r="AK57" s="2149"/>
      <c r="AL57" s="2115"/>
      <c r="AM57" s="2119"/>
      <c r="AN57" s="2292"/>
      <c r="AO57" s="2024"/>
      <c r="AQ57" s="2263"/>
      <c r="AR57" s="2192"/>
      <c r="AS57" s="2119"/>
      <c r="AT57" s="7521"/>
      <c r="AU57" s="2149"/>
      <c r="AV57" s="2115"/>
      <c r="AW57" s="2119"/>
      <c r="AX57" s="2292"/>
      <c r="AZ57" s="2263"/>
      <c r="BA57" s="2192"/>
      <c r="BB57" s="2119"/>
      <c r="BC57" s="2293"/>
      <c r="BD57" s="2149"/>
      <c r="BE57" s="2115"/>
      <c r="BF57" s="2119"/>
      <c r="BG57" s="2292"/>
    </row>
    <row r="58" spans="1:59" x14ac:dyDescent="0.35">
      <c r="A58" s="9568"/>
      <c r="B58" s="2245"/>
      <c r="C58" s="2245" t="s">
        <v>6110</v>
      </c>
      <c r="D58" s="2058">
        <v>7</v>
      </c>
      <c r="F58" s="2125">
        <v>44868682624</v>
      </c>
      <c r="H58" s="2126">
        <v>39628990000</v>
      </c>
      <c r="I58" s="2127">
        <v>54554257938</v>
      </c>
      <c r="J58" s="2062">
        <f>IF(H58=0,0,I58/H58)</f>
        <v>1.3766249893827727</v>
      </c>
      <c r="L58" s="2269"/>
      <c r="M58" s="2181">
        <f>L58*J58</f>
        <v>0</v>
      </c>
      <c r="O58" s="2126">
        <f>L58</f>
        <v>0</v>
      </c>
      <c r="P58" s="2286">
        <v>84738871611</v>
      </c>
      <c r="Q58" s="2119"/>
      <c r="R58" s="2062">
        <f t="shared" ref="R58:R65" si="16">IF(O58=0,0,P58/O58)</f>
        <v>0</v>
      </c>
      <c r="T58" s="2126">
        <v>79435394000</v>
      </c>
      <c r="U58" s="2192"/>
      <c r="V58" s="2177">
        <f t="shared" ref="V58:V65" si="17">T58*R58</f>
        <v>0</v>
      </c>
      <c r="X58" s="2132">
        <f>T58</f>
        <v>79435394000</v>
      </c>
      <c r="Y58" s="2294">
        <f>X58*(I58/H58)</f>
        <v>109352748421.86636</v>
      </c>
      <c r="Z58" s="2119"/>
      <c r="AA58" s="2062">
        <f t="shared" ref="AA58:AA65" si="18">IF(X58=0,0,Y58/X58)</f>
        <v>1.3766249893827727</v>
      </c>
      <c r="AC58" s="2132">
        <f>86255496*1000</f>
        <v>86255496000</v>
      </c>
      <c r="AD58" s="2249" t="s">
        <v>6055</v>
      </c>
      <c r="AE58" s="2071">
        <f>AC58*AA58</f>
        <v>118741471265.2058</v>
      </c>
      <c r="AG58" s="2132"/>
      <c r="AH58" s="2294"/>
      <c r="AI58" s="2119"/>
      <c r="AJ58" s="2074"/>
      <c r="AL58" s="2132"/>
      <c r="AM58" s="2249"/>
      <c r="AN58" s="2177"/>
      <c r="AO58" s="2094" t="s">
        <v>6111</v>
      </c>
      <c r="AQ58" s="2132"/>
      <c r="AR58" s="2294"/>
      <c r="AS58" s="2119"/>
      <c r="AT58" s="7510"/>
      <c r="AV58" s="2132"/>
      <c r="AW58" s="2249"/>
      <c r="AX58" s="2177"/>
      <c r="AZ58" s="2132"/>
      <c r="BA58" s="2294"/>
      <c r="BB58" s="2119"/>
      <c r="BC58" s="2074"/>
      <c r="BE58" s="2132">
        <v>107845415000</v>
      </c>
      <c r="BF58" s="2249"/>
      <c r="BG58" s="2177"/>
    </row>
    <row r="59" spans="1:59" x14ac:dyDescent="0.35">
      <c r="A59" s="9568"/>
      <c r="B59" s="2245"/>
      <c r="C59" s="2245" t="s">
        <v>6112</v>
      </c>
      <c r="D59" s="2058"/>
      <c r="F59" s="2175">
        <v>2780577704</v>
      </c>
      <c r="H59" s="2144">
        <v>3203909000</v>
      </c>
      <c r="I59" s="2142">
        <v>3728966081</v>
      </c>
      <c r="J59" s="2062">
        <f>IF(H59=0,0,I59/H59)</f>
        <v>1.1638801479692462</v>
      </c>
      <c r="L59" s="2216"/>
      <c r="M59" s="2181">
        <f>L59*J59</f>
        <v>0</v>
      </c>
      <c r="O59" s="2144">
        <f>L59</f>
        <v>0</v>
      </c>
      <c r="P59" s="2287">
        <v>5583852925</v>
      </c>
      <c r="Q59" s="2119"/>
      <c r="R59" s="2062">
        <f t="shared" si="16"/>
        <v>0</v>
      </c>
      <c r="T59" s="2144">
        <v>5504865000</v>
      </c>
      <c r="U59" s="2192"/>
      <c r="V59" s="2177">
        <f t="shared" si="17"/>
        <v>0</v>
      </c>
      <c r="X59" s="2132">
        <f>T59</f>
        <v>5504865000</v>
      </c>
      <c r="Y59" s="2294">
        <f>X59*(I59/H59)</f>
        <v>6407003090.7507248</v>
      </c>
      <c r="Z59" s="2119"/>
      <c r="AA59" s="2062">
        <f t="shared" si="18"/>
        <v>1.1638801479692462</v>
      </c>
      <c r="AC59" s="2144">
        <v>5529728000</v>
      </c>
      <c r="AD59" s="2192"/>
      <c r="AE59" s="2071">
        <f>AC59*AA59</f>
        <v>6435940642.8696842</v>
      </c>
      <c r="AG59" s="2132"/>
      <c r="AH59" s="2294"/>
      <c r="AI59" s="2119"/>
      <c r="AJ59" s="2074"/>
      <c r="AL59" s="2144"/>
      <c r="AM59" s="2192"/>
      <c r="AN59" s="2177"/>
      <c r="AO59" s="2094"/>
      <c r="AQ59" s="2132"/>
      <c r="AR59" s="2294"/>
      <c r="AS59" s="2119"/>
      <c r="AT59" s="7510"/>
      <c r="AV59" s="2144"/>
      <c r="AW59" s="2192">
        <f>30000</f>
        <v>30000</v>
      </c>
      <c r="AX59" s="2177"/>
      <c r="AZ59" s="2132"/>
      <c r="BA59" s="2294"/>
      <c r="BB59" s="2119"/>
      <c r="BC59" s="2074"/>
      <c r="BE59" s="2144">
        <v>9480441000</v>
      </c>
      <c r="BF59" s="2192">
        <f>30000</f>
        <v>30000</v>
      </c>
      <c r="BG59" s="2177"/>
    </row>
    <row r="60" spans="1:59" x14ac:dyDescent="0.35">
      <c r="A60" s="9568"/>
      <c r="B60" s="2253"/>
      <c r="C60" s="2253" t="s">
        <v>6113</v>
      </c>
      <c r="D60" s="2058"/>
      <c r="F60" s="2185">
        <v>247331176</v>
      </c>
      <c r="H60" s="2256">
        <v>417984000</v>
      </c>
      <c r="I60" s="2257">
        <v>309781187</v>
      </c>
      <c r="J60" s="2062">
        <f>IF(H60=0,0,I60/H60)</f>
        <v>0.74113168685882713</v>
      </c>
      <c r="L60" s="2259"/>
      <c r="M60" s="2181">
        <f>L60*J60</f>
        <v>0</v>
      </c>
      <c r="O60" s="2256">
        <f>L60</f>
        <v>0</v>
      </c>
      <c r="P60" s="2286">
        <v>416193511</v>
      </c>
      <c r="Q60" s="2119"/>
      <c r="R60" s="2062">
        <f t="shared" si="16"/>
        <v>0</v>
      </c>
      <c r="T60" s="2256">
        <v>573216000</v>
      </c>
      <c r="U60" s="2192"/>
      <c r="V60" s="2177">
        <f t="shared" si="17"/>
        <v>0</v>
      </c>
      <c r="X60" s="2132">
        <f>T60</f>
        <v>573216000</v>
      </c>
      <c r="Y60" s="2294">
        <f>X60*(I60/H60)</f>
        <v>424828541.01446944</v>
      </c>
      <c r="Z60" s="2119"/>
      <c r="AA60" s="2062">
        <f t="shared" si="18"/>
        <v>0.74113168685882713</v>
      </c>
      <c r="AC60" s="2261">
        <f xml:space="preserve"> 608979*1000</f>
        <v>608979000</v>
      </c>
      <c r="AD60" s="2192"/>
      <c r="AE60" s="2071">
        <f>AC60*AA60</f>
        <v>451333633.53160167</v>
      </c>
      <c r="AG60" s="2132"/>
      <c r="AH60" s="2294"/>
      <c r="AI60" s="2119"/>
      <c r="AJ60" s="2074"/>
      <c r="AL60" s="2261"/>
      <c r="AM60" s="2192"/>
      <c r="AN60" s="2177"/>
      <c r="AO60" s="2094"/>
      <c r="AQ60" s="2132"/>
      <c r="AR60" s="2294"/>
      <c r="AS60" s="2119"/>
      <c r="AT60" s="7510"/>
      <c r="AV60" s="2261"/>
      <c r="AW60" s="2192"/>
      <c r="AX60" s="2177"/>
      <c r="AZ60" s="2132"/>
      <c r="BA60" s="2294"/>
      <c r="BB60" s="2119"/>
      <c r="BC60" s="2074"/>
      <c r="BE60" s="2261">
        <v>670748000</v>
      </c>
      <c r="BF60" s="2192"/>
      <c r="BG60" s="2177"/>
    </row>
    <row r="61" spans="1:59" x14ac:dyDescent="0.35">
      <c r="A61" s="9568"/>
      <c r="B61" s="2253"/>
      <c r="C61" s="2253" t="s">
        <v>1866</v>
      </c>
      <c r="D61" s="2058"/>
      <c r="F61" s="2185"/>
      <c r="H61" s="2256"/>
      <c r="I61" s="2257"/>
      <c r="J61" s="2062">
        <f>IF(H61=0,0,I61/H61)</f>
        <v>0</v>
      </c>
      <c r="L61" s="2259"/>
      <c r="M61" s="2181">
        <f>L61*J61</f>
        <v>0</v>
      </c>
      <c r="O61" s="2256"/>
      <c r="P61" s="2287"/>
      <c r="Q61" s="2119"/>
      <c r="R61" s="2062">
        <f t="shared" si="16"/>
        <v>0</v>
      </c>
      <c r="T61" s="2256"/>
      <c r="U61" s="2192"/>
      <c r="V61" s="2177">
        <f t="shared" si="17"/>
        <v>0</v>
      </c>
      <c r="X61" s="2256"/>
      <c r="Y61" s="2287"/>
      <c r="Z61" s="2119"/>
      <c r="AA61" s="2062">
        <f t="shared" si="18"/>
        <v>0</v>
      </c>
      <c r="AC61" s="2256"/>
      <c r="AD61" s="2192"/>
      <c r="AE61" s="2177"/>
      <c r="AG61" s="2256"/>
      <c r="AH61" s="2287"/>
      <c r="AI61" s="2119"/>
      <c r="AJ61" s="2074"/>
      <c r="AL61" s="2256"/>
      <c r="AM61" s="2192"/>
      <c r="AN61" s="2177"/>
      <c r="AO61" s="2094"/>
      <c r="AQ61" s="2256"/>
      <c r="AR61" s="2287"/>
      <c r="AS61" s="2119"/>
      <c r="AT61" s="7510"/>
      <c r="AV61" s="2256"/>
      <c r="AW61" s="2192"/>
      <c r="AX61" s="2177"/>
      <c r="AZ61" s="2256"/>
      <c r="BA61" s="2287"/>
      <c r="BB61" s="2119"/>
      <c r="BC61" s="2074"/>
      <c r="BE61" s="2256"/>
      <c r="BF61" s="2192"/>
      <c r="BG61" s="2177"/>
    </row>
    <row r="62" spans="1:59" x14ac:dyDescent="0.35">
      <c r="A62" s="9568"/>
      <c r="B62" s="2253"/>
      <c r="C62" s="2253" t="s">
        <v>1871</v>
      </c>
      <c r="D62" s="2058"/>
      <c r="F62" s="2185"/>
      <c r="H62" s="2256"/>
      <c r="I62" s="2257"/>
      <c r="J62" s="2062">
        <f>IF(H62=0,0,I62/H62)</f>
        <v>0</v>
      </c>
      <c r="L62" s="2259"/>
      <c r="M62" s="2181">
        <f>L62*J62</f>
        <v>0</v>
      </c>
      <c r="O62" s="2256"/>
      <c r="P62" s="2286"/>
      <c r="Q62" s="2119"/>
      <c r="R62" s="2062">
        <f t="shared" si="16"/>
        <v>0</v>
      </c>
      <c r="T62" s="2256"/>
      <c r="U62" s="2192"/>
      <c r="V62" s="2177">
        <f t="shared" si="17"/>
        <v>0</v>
      </c>
      <c r="W62" s="2165"/>
      <c r="X62" s="2256"/>
      <c r="Y62" s="2286"/>
      <c r="Z62" s="2119"/>
      <c r="AA62" s="2062">
        <f t="shared" si="18"/>
        <v>0</v>
      </c>
      <c r="AC62" s="2256"/>
      <c r="AD62" s="2192"/>
      <c r="AE62" s="2177"/>
      <c r="AF62" s="2165"/>
      <c r="AG62" s="2256"/>
      <c r="AH62" s="2286"/>
      <c r="AI62" s="2119"/>
      <c r="AJ62" s="2074"/>
      <c r="AL62" s="2256"/>
      <c r="AM62" s="2192"/>
      <c r="AN62" s="2177"/>
      <c r="AO62" s="2094"/>
      <c r="AQ62" s="2256"/>
      <c r="AR62" s="2286"/>
      <c r="AS62" s="2119"/>
      <c r="AT62" s="7510"/>
      <c r="AV62" s="2256"/>
      <c r="AW62" s="2192"/>
      <c r="AX62" s="2177"/>
      <c r="AZ62" s="2256"/>
      <c r="BA62" s="2286"/>
      <c r="BB62" s="2119"/>
      <c r="BC62" s="2074"/>
      <c r="BE62" s="2256"/>
      <c r="BF62" s="2192"/>
      <c r="BG62" s="2177"/>
    </row>
    <row r="63" spans="1:59" x14ac:dyDescent="0.35">
      <c r="A63" s="9568"/>
      <c r="B63" s="2253"/>
      <c r="C63" s="2253" t="s">
        <v>1876</v>
      </c>
      <c r="D63" s="2058"/>
      <c r="F63" s="2185"/>
      <c r="H63" s="2256"/>
      <c r="I63" s="2257"/>
      <c r="J63" s="2062"/>
      <c r="L63" s="2259"/>
      <c r="M63" s="2181"/>
      <c r="O63" s="2256"/>
      <c r="P63" s="2287"/>
      <c r="Q63" s="2119"/>
      <c r="R63" s="2062">
        <f t="shared" si="16"/>
        <v>0</v>
      </c>
      <c r="T63" s="2256"/>
      <c r="U63" s="2192"/>
      <c r="V63" s="2177">
        <f t="shared" si="17"/>
        <v>0</v>
      </c>
      <c r="X63" s="2256"/>
      <c r="Y63" s="2287"/>
      <c r="Z63" s="2119"/>
      <c r="AA63" s="2062">
        <f t="shared" si="18"/>
        <v>0</v>
      </c>
      <c r="AC63" s="2256"/>
      <c r="AD63" s="2192"/>
      <c r="AE63" s="2177"/>
      <c r="AG63" s="2256"/>
      <c r="AH63" s="2287"/>
      <c r="AI63" s="2119"/>
      <c r="AJ63" s="2074"/>
      <c r="AL63" s="2256"/>
      <c r="AM63" s="2192"/>
      <c r="AN63" s="2177"/>
      <c r="AO63" s="2094"/>
      <c r="AQ63" s="2256"/>
      <c r="AR63" s="2287"/>
      <c r="AS63" s="2119"/>
      <c r="AT63" s="7510"/>
      <c r="AV63" s="2256"/>
      <c r="AW63" s="2192"/>
      <c r="AX63" s="2177"/>
      <c r="AZ63" s="2256"/>
      <c r="BA63" s="2287"/>
      <c r="BB63" s="2119"/>
      <c r="BC63" s="2074"/>
      <c r="BE63" s="2256"/>
      <c r="BF63" s="2192"/>
      <c r="BG63" s="2177"/>
    </row>
    <row r="64" spans="1:59" x14ac:dyDescent="0.35">
      <c r="A64" s="9568"/>
      <c r="B64" s="2253"/>
      <c r="C64" s="2253" t="s">
        <v>6114</v>
      </c>
      <c r="D64" s="2058"/>
      <c r="F64" s="2295"/>
      <c r="H64" s="2256"/>
      <c r="I64" s="2257"/>
      <c r="J64" s="2062">
        <f>IF(H64=0,0,I64/H64)</f>
        <v>0</v>
      </c>
      <c r="L64" s="2259"/>
      <c r="M64" s="2181">
        <f>L64*J64</f>
        <v>0</v>
      </c>
      <c r="O64" s="2256"/>
      <c r="P64" s="2287"/>
      <c r="Q64" s="2119"/>
      <c r="R64" s="2062">
        <f t="shared" si="16"/>
        <v>0</v>
      </c>
      <c r="T64" s="2256"/>
      <c r="U64" s="2192"/>
      <c r="V64" s="2177">
        <f t="shared" si="17"/>
        <v>0</v>
      </c>
      <c r="X64" s="2256"/>
      <c r="Y64" s="2287"/>
      <c r="Z64" s="2119"/>
      <c r="AA64" s="2062">
        <f t="shared" si="18"/>
        <v>0</v>
      </c>
      <c r="AC64" s="2256"/>
      <c r="AD64" s="2192"/>
      <c r="AE64" s="2177"/>
      <c r="AG64" s="2256"/>
      <c r="AH64" s="2287"/>
      <c r="AI64" s="2119"/>
      <c r="AJ64" s="2074"/>
      <c r="AL64" s="2256"/>
      <c r="AM64" s="2192"/>
      <c r="AN64" s="2177"/>
      <c r="AO64" s="2094"/>
      <c r="AQ64" s="2256"/>
      <c r="AR64" s="2287"/>
      <c r="AS64" s="2119"/>
      <c r="AT64" s="7510"/>
      <c r="AV64" s="2256"/>
      <c r="AW64" s="2192"/>
      <c r="AX64" s="2177"/>
      <c r="AZ64" s="2256"/>
      <c r="BA64" s="2287"/>
      <c r="BB64" s="2119"/>
      <c r="BC64" s="2074"/>
      <c r="BE64" s="2256"/>
      <c r="BF64" s="2192"/>
      <c r="BG64" s="2177"/>
    </row>
    <row r="65" spans="1:59" x14ac:dyDescent="0.35">
      <c r="A65" s="9568"/>
      <c r="B65" s="2272"/>
      <c r="C65" s="2272" t="s">
        <v>6115</v>
      </c>
      <c r="D65" s="2097"/>
      <c r="F65" s="2223">
        <v>0</v>
      </c>
      <c r="H65" s="2256">
        <v>34246000</v>
      </c>
      <c r="I65" s="2257">
        <v>0</v>
      </c>
      <c r="J65" s="2062">
        <f>IF(H65=0,0,I65/H65)</f>
        <v>0</v>
      </c>
      <c r="L65" s="2259"/>
      <c r="M65" s="2181">
        <f>L65*J65</f>
        <v>0</v>
      </c>
      <c r="N65" s="2165"/>
      <c r="O65" s="2256"/>
      <c r="P65" s="2287"/>
      <c r="Q65" s="2200"/>
      <c r="R65" s="2062">
        <f t="shared" si="16"/>
        <v>0</v>
      </c>
      <c r="T65" s="2256"/>
      <c r="U65" s="2202"/>
      <c r="V65" s="2177">
        <f t="shared" si="17"/>
        <v>0</v>
      </c>
      <c r="W65" s="2165"/>
      <c r="X65" s="2256"/>
      <c r="Y65" s="2287"/>
      <c r="Z65" s="2200"/>
      <c r="AA65" s="2062">
        <f t="shared" si="18"/>
        <v>0</v>
      </c>
      <c r="AC65" s="2256"/>
      <c r="AD65" s="2202"/>
      <c r="AE65" s="2177"/>
      <c r="AF65" s="2165"/>
      <c r="AG65" s="2256"/>
      <c r="AH65" s="2287"/>
      <c r="AI65" s="2200"/>
      <c r="AJ65" s="2074"/>
      <c r="AL65" s="2256"/>
      <c r="AM65" s="2202"/>
      <c r="AN65" s="2177"/>
      <c r="AO65" s="2029"/>
      <c r="AQ65" s="2256"/>
      <c r="AR65" s="2287"/>
      <c r="AS65" s="2200"/>
      <c r="AT65" s="7510"/>
      <c r="AV65" s="2256"/>
      <c r="AW65" s="2202"/>
      <c r="AX65" s="2177"/>
      <c r="AZ65" s="2256"/>
      <c r="BA65" s="2287"/>
      <c r="BB65" s="2200"/>
      <c r="BC65" s="2074"/>
      <c r="BE65" s="2256"/>
      <c r="BF65" s="2202"/>
      <c r="BG65" s="2177"/>
    </row>
    <row r="66" spans="1:59" x14ac:dyDescent="0.35">
      <c r="A66" s="9568"/>
      <c r="B66" s="2290" t="s">
        <v>979</v>
      </c>
      <c r="C66" s="2290"/>
      <c r="D66" s="2163"/>
      <c r="E66" s="2165"/>
      <c r="F66" s="2240"/>
      <c r="G66" s="2165"/>
      <c r="H66" s="2115"/>
      <c r="I66" s="2116"/>
      <c r="J66" s="2241"/>
      <c r="K66" s="2165"/>
      <c r="L66" s="2115"/>
      <c r="M66" s="2292"/>
      <c r="O66" s="2115"/>
      <c r="P66" s="2116"/>
      <c r="Q66" s="2119"/>
      <c r="R66" s="2241"/>
      <c r="S66" s="2165"/>
      <c r="T66" s="2115"/>
      <c r="U66" s="2119"/>
      <c r="V66" s="2292"/>
      <c r="X66" s="2115"/>
      <c r="Y66" s="2116"/>
      <c r="Z66" s="2119"/>
      <c r="AA66" s="2241"/>
      <c r="AB66" s="2165"/>
      <c r="AC66" s="2115"/>
      <c r="AD66" s="2119"/>
      <c r="AE66" s="2292"/>
      <c r="AG66" s="2115"/>
      <c r="AH66" s="2116"/>
      <c r="AI66" s="2119"/>
      <c r="AJ66" s="2244"/>
      <c r="AK66" s="2165"/>
      <c r="AL66" s="2115"/>
      <c r="AM66" s="2119"/>
      <c r="AN66" s="2292"/>
      <c r="AO66" s="2024"/>
      <c r="AQ66" s="2115"/>
      <c r="AR66" s="2116"/>
      <c r="AS66" s="2119"/>
      <c r="AT66" s="2244"/>
      <c r="AU66" s="2165"/>
      <c r="AV66" s="2115"/>
      <c r="AW66" s="2119"/>
      <c r="AX66" s="2292"/>
      <c r="AZ66" s="2115"/>
      <c r="BA66" s="2116"/>
      <c r="BB66" s="2119"/>
      <c r="BC66" s="2244"/>
      <c r="BD66" s="2165"/>
      <c r="BE66" s="2115"/>
      <c r="BF66" s="2119"/>
      <c r="BG66" s="2292"/>
    </row>
    <row r="67" spans="1:59" x14ac:dyDescent="0.35">
      <c r="A67" s="9568"/>
      <c r="B67" s="2296"/>
      <c r="C67" s="2297" t="s">
        <v>6116</v>
      </c>
      <c r="D67" s="2058"/>
      <c r="F67" s="2215"/>
      <c r="H67" s="2216"/>
      <c r="I67" s="2217"/>
      <c r="J67" s="2062">
        <f>IF(H67=0,0,I67/H67)</f>
        <v>0</v>
      </c>
      <c r="L67" s="2216"/>
      <c r="M67" s="2181">
        <f>M28*M69</f>
        <v>0</v>
      </c>
      <c r="O67" s="2216">
        <f>L71</f>
        <v>0</v>
      </c>
      <c r="P67" s="2219"/>
      <c r="Q67" s="2119"/>
      <c r="R67" s="2062">
        <f>IF(O67=0,0,P67/O67)</f>
        <v>0</v>
      </c>
      <c r="T67" s="2216"/>
      <c r="U67" s="2119"/>
      <c r="V67" s="2181">
        <f>T67*R67</f>
        <v>0</v>
      </c>
      <c r="X67" s="2216">
        <f>U71</f>
        <v>0</v>
      </c>
      <c r="Y67" s="2219"/>
      <c r="Z67" s="2119"/>
      <c r="AA67" s="2062">
        <f>IF(X67=0,0,Y67/X67)</f>
        <v>0</v>
      </c>
      <c r="AC67" s="2216"/>
      <c r="AD67" s="2119"/>
      <c r="AE67" s="2181"/>
      <c r="AG67" s="2216"/>
      <c r="AH67" s="2219"/>
      <c r="AI67" s="2119"/>
      <c r="AJ67" s="2074"/>
      <c r="AL67" s="2216"/>
      <c r="AM67" s="2119"/>
      <c r="AN67" s="2181"/>
      <c r="AO67" s="2094"/>
      <c r="AQ67" s="2216"/>
      <c r="AR67" s="2219"/>
      <c r="AS67" s="2119"/>
      <c r="AT67" s="7510"/>
      <c r="AV67" s="2216"/>
      <c r="AW67" s="2119"/>
      <c r="AX67" s="2181"/>
      <c r="AZ67" s="2216"/>
      <c r="BA67" s="2219"/>
      <c r="BB67" s="2119"/>
      <c r="BC67" s="2074"/>
      <c r="BE67" s="2216"/>
      <c r="BF67" s="2119"/>
      <c r="BG67" s="2181"/>
    </row>
    <row r="68" spans="1:59" ht="15.25" customHeight="1" x14ac:dyDescent="0.35">
      <c r="A68" s="9568"/>
      <c r="B68" s="2298"/>
      <c r="C68" s="2297" t="s">
        <v>6117</v>
      </c>
      <c r="D68" s="2058"/>
      <c r="F68" s="2295"/>
      <c r="H68" s="2259"/>
      <c r="I68" s="2299"/>
      <c r="J68" s="2062"/>
      <c r="L68" s="2259"/>
      <c r="M68" s="2181"/>
      <c r="N68" s="2165"/>
      <c r="O68" s="2259"/>
      <c r="P68" s="2219"/>
      <c r="Q68" s="2119"/>
      <c r="R68" s="2062"/>
      <c r="T68" s="2259"/>
      <c r="U68" s="2119"/>
      <c r="V68" s="2181"/>
      <c r="X68" s="2259"/>
      <c r="Y68" s="2219"/>
      <c r="Z68" s="2119"/>
      <c r="AA68" s="2062"/>
      <c r="AC68" s="2259"/>
      <c r="AD68" s="2119"/>
      <c r="AE68" s="2181"/>
      <c r="AG68" s="2259"/>
      <c r="AH68" s="2219"/>
      <c r="AI68" s="2119"/>
      <c r="AJ68" s="2074"/>
      <c r="AL68" s="2259"/>
      <c r="AM68" s="2119"/>
      <c r="AN68" s="2181"/>
      <c r="AO68" s="2094"/>
      <c r="AQ68" s="2259"/>
      <c r="AR68" s="2219"/>
      <c r="AS68" s="2119"/>
      <c r="AT68" s="7510"/>
      <c r="AV68" s="2259"/>
      <c r="AW68" s="2119"/>
      <c r="AX68" s="2181"/>
      <c r="AZ68" s="2259"/>
      <c r="BA68" s="2219"/>
      <c r="BB68" s="2119"/>
      <c r="BC68" s="2074"/>
      <c r="BE68" s="2259"/>
      <c r="BF68" s="2119"/>
      <c r="BG68" s="2181"/>
    </row>
    <row r="69" spans="1:59" x14ac:dyDescent="0.35">
      <c r="A69" s="9568"/>
      <c r="B69" s="2300"/>
      <c r="C69" s="2300" t="s">
        <v>981</v>
      </c>
      <c r="D69" s="2097"/>
      <c r="F69" s="2301"/>
      <c r="G69" s="2302"/>
      <c r="H69" s="2303"/>
      <c r="I69" s="2304"/>
      <c r="J69" s="2159"/>
      <c r="L69" s="2303"/>
      <c r="M69" s="2305"/>
      <c r="O69" s="2306"/>
      <c r="P69" s="2219"/>
      <c r="Q69" s="2307"/>
      <c r="R69" s="2159"/>
      <c r="T69" s="2306"/>
      <c r="U69" s="2307"/>
      <c r="V69" s="2308"/>
      <c r="X69" s="2306"/>
      <c r="Y69" s="2219"/>
      <c r="Z69" s="2307"/>
      <c r="AA69" s="2159"/>
      <c r="AC69" s="2306"/>
      <c r="AD69" s="2307"/>
      <c r="AE69" s="2308"/>
      <c r="AG69" s="2306"/>
      <c r="AH69" s="2219"/>
      <c r="AI69" s="2307"/>
      <c r="AJ69" s="2204"/>
      <c r="AL69" s="2306"/>
      <c r="AM69" s="2307"/>
      <c r="AN69" s="2308"/>
      <c r="AO69" s="2029"/>
      <c r="AQ69" s="2306"/>
      <c r="AR69" s="2219"/>
      <c r="AS69" s="7522"/>
      <c r="AT69" s="7514"/>
      <c r="AV69" s="2306"/>
      <c r="AW69" s="7522"/>
      <c r="AX69" s="2308"/>
      <c r="AZ69" s="2306"/>
      <c r="BA69" s="2219"/>
      <c r="BB69" s="2307"/>
      <c r="BC69" s="2204"/>
      <c r="BE69" s="2306"/>
      <c r="BF69" s="2307"/>
      <c r="BG69" s="2308"/>
    </row>
    <row r="70" spans="1:59" x14ac:dyDescent="0.35">
      <c r="A70" s="9568"/>
      <c r="B70" s="2309" t="s">
        <v>982</v>
      </c>
      <c r="C70" s="2310"/>
      <c r="D70" s="2163"/>
      <c r="E70" s="2165"/>
      <c r="F70" s="2311"/>
      <c r="G70" s="2312"/>
      <c r="H70" s="2313"/>
      <c r="I70" s="2314"/>
      <c r="J70" s="2315"/>
      <c r="L70" s="2313"/>
      <c r="M70" s="2292"/>
      <c r="O70" s="2313"/>
      <c r="P70" s="2314"/>
      <c r="Q70" s="2119"/>
      <c r="R70" s="2315"/>
      <c r="T70" s="2313"/>
      <c r="U70" s="2119"/>
      <c r="V70" s="2292"/>
      <c r="X70" s="2313"/>
      <c r="Y70" s="2314"/>
      <c r="Z70" s="2119"/>
      <c r="AA70" s="2315"/>
      <c r="AC70" s="2313"/>
      <c r="AD70" s="2119"/>
      <c r="AE70" s="2292"/>
      <c r="AG70" s="2313"/>
      <c r="AH70" s="2314"/>
      <c r="AI70" s="2119"/>
      <c r="AJ70" s="2316"/>
      <c r="AL70" s="2313"/>
      <c r="AM70" s="2119"/>
      <c r="AN70" s="2292"/>
      <c r="AO70" s="2024"/>
      <c r="AQ70" s="2313"/>
      <c r="AR70" s="2314"/>
      <c r="AS70" s="2119"/>
      <c r="AT70" s="2316"/>
      <c r="AV70" s="2313"/>
      <c r="AW70" s="2119"/>
      <c r="AX70" s="2292"/>
      <c r="AZ70" s="2313"/>
      <c r="BA70" s="2314"/>
      <c r="BB70" s="2119"/>
      <c r="BC70" s="2316"/>
      <c r="BE70" s="2313"/>
      <c r="BF70" s="2119"/>
      <c r="BG70" s="2292"/>
    </row>
    <row r="71" spans="1:59" x14ac:dyDescent="0.35">
      <c r="A71" s="9568"/>
      <c r="B71" s="2317"/>
      <c r="C71" s="2318" t="s">
        <v>6118</v>
      </c>
      <c r="D71" s="2058"/>
      <c r="F71" s="2319"/>
      <c r="G71" s="2296"/>
      <c r="H71" s="2320"/>
      <c r="I71" s="2321"/>
      <c r="J71" s="2322">
        <f>IF(H71=0,0,I71/H71)</f>
        <v>0</v>
      </c>
      <c r="L71" s="2320"/>
      <c r="M71" s="2181">
        <f>L71*J71</f>
        <v>0</v>
      </c>
      <c r="O71" s="2320">
        <v>5900000000</v>
      </c>
      <c r="P71" s="2323">
        <v>0</v>
      </c>
      <c r="Q71" s="2324"/>
      <c r="R71" s="2322">
        <f>IF(O71=0,0,P71/O71)</f>
        <v>0</v>
      </c>
      <c r="T71" s="2320">
        <v>5500000000</v>
      </c>
      <c r="U71" s="2324"/>
      <c r="V71" s="2181">
        <f>T71*R71</f>
        <v>0</v>
      </c>
      <c r="W71" s="2149"/>
      <c r="X71" s="2325">
        <f>T71</f>
        <v>5500000000</v>
      </c>
      <c r="Y71" s="2323"/>
      <c r="Z71" s="2324"/>
      <c r="AA71" s="2322">
        <f>IF(X71=0,0,Y71/X71)</f>
        <v>0</v>
      </c>
      <c r="AC71" s="2320"/>
      <c r="AD71" s="2324"/>
      <c r="AE71" s="2181"/>
      <c r="AF71" s="2149"/>
      <c r="AG71" s="2325"/>
      <c r="AH71" s="2323"/>
      <c r="AI71" s="2324"/>
      <c r="AJ71" s="2326"/>
      <c r="AL71" s="2320"/>
      <c r="AM71" s="2324"/>
      <c r="AN71" s="2181"/>
      <c r="AO71" s="2094"/>
      <c r="AQ71" s="2325"/>
      <c r="AR71" s="2323"/>
      <c r="AS71" s="2324"/>
      <c r="AT71" s="7523"/>
      <c r="AV71" s="2320"/>
      <c r="AW71" s="2324"/>
      <c r="AX71" s="2181"/>
      <c r="AZ71" s="2325"/>
      <c r="BA71" s="2323"/>
      <c r="BB71" s="2324"/>
      <c r="BC71" s="2326"/>
      <c r="BE71" s="2320"/>
      <c r="BF71" s="2324"/>
      <c r="BG71" s="2181"/>
    </row>
    <row r="72" spans="1:59" x14ac:dyDescent="0.35">
      <c r="A72" s="9568"/>
      <c r="B72" s="2327"/>
      <c r="C72" s="2057" t="s">
        <v>6119</v>
      </c>
      <c r="D72" s="2058"/>
      <c r="F72" s="2059"/>
      <c r="G72" s="2296"/>
      <c r="H72" s="2060"/>
      <c r="I72" s="2061"/>
      <c r="J72" s="2322">
        <f>IF(H72=0,0,I72/H72)</f>
        <v>0</v>
      </c>
      <c r="L72" s="2060"/>
      <c r="M72" s="2181">
        <f>L72*J72</f>
        <v>0</v>
      </c>
      <c r="O72" s="2060">
        <v>1731000000</v>
      </c>
      <c r="P72" s="2323">
        <v>0</v>
      </c>
      <c r="Q72" s="2119"/>
      <c r="R72" s="2322">
        <f>IF(O72=0,0,P72/O72)</f>
        <v>0</v>
      </c>
      <c r="T72" s="2060">
        <v>1862000000</v>
      </c>
      <c r="U72" s="2119"/>
      <c r="V72" s="2181">
        <f>T72*R72</f>
        <v>0</v>
      </c>
      <c r="X72" s="2325">
        <f>T72</f>
        <v>1862000000</v>
      </c>
      <c r="Y72" s="2323"/>
      <c r="Z72" s="2119"/>
      <c r="AA72" s="2322">
        <f>IF(X72=0,0,Y72/X72)</f>
        <v>0</v>
      </c>
      <c r="AC72" s="2060"/>
      <c r="AD72" s="2119"/>
      <c r="AE72" s="2181"/>
      <c r="AG72" s="2325"/>
      <c r="AH72" s="2323"/>
      <c r="AI72" s="2119"/>
      <c r="AJ72" s="2326"/>
      <c r="AL72" s="2060"/>
      <c r="AM72" s="2119"/>
      <c r="AN72" s="2181"/>
      <c r="AO72" s="2094"/>
      <c r="AQ72" s="2325"/>
      <c r="AR72" s="2323"/>
      <c r="AS72" s="2119"/>
      <c r="AT72" s="7523"/>
      <c r="AV72" s="2060"/>
      <c r="AW72" s="2119"/>
      <c r="AX72" s="2181"/>
      <c r="AZ72" s="2325"/>
      <c r="BA72" s="2323"/>
      <c r="BB72" s="2119"/>
      <c r="BC72" s="2326"/>
      <c r="BE72" s="2060"/>
      <c r="BF72" s="2119"/>
      <c r="BG72" s="2181"/>
    </row>
    <row r="73" spans="1:59" x14ac:dyDescent="0.35">
      <c r="A73" s="9568"/>
      <c r="B73" s="2328"/>
      <c r="C73" s="2329" t="s">
        <v>6120</v>
      </c>
      <c r="D73" s="2058"/>
      <c r="F73" s="2059"/>
      <c r="G73" s="2296"/>
      <c r="H73" s="2060"/>
      <c r="I73" s="2061"/>
      <c r="J73" s="2322">
        <f>IF(H73=0,0,I73/H73)</f>
        <v>0</v>
      </c>
      <c r="L73" s="2060"/>
      <c r="M73" s="2181">
        <f>L73*J73</f>
        <v>0</v>
      </c>
      <c r="O73" s="2060"/>
      <c r="P73" s="2323">
        <v>0</v>
      </c>
      <c r="Q73" s="2119"/>
      <c r="R73" s="2322">
        <f>IF(O73=0,0,P73/O73)</f>
        <v>0</v>
      </c>
      <c r="T73" s="2060">
        <v>948649000</v>
      </c>
      <c r="U73" s="2119"/>
      <c r="V73" s="2181">
        <f>T73*R73</f>
        <v>0</v>
      </c>
      <c r="X73" s="2325">
        <f>T73</f>
        <v>948649000</v>
      </c>
      <c r="Y73" s="2323"/>
      <c r="Z73" s="2119"/>
      <c r="AA73" s="2322">
        <f>IF(X73=0,0,Y73/X73)</f>
        <v>0</v>
      </c>
      <c r="AC73" s="2060"/>
      <c r="AD73" s="2119"/>
      <c r="AE73" s="2181"/>
      <c r="AG73" s="2325"/>
      <c r="AH73" s="2323"/>
      <c r="AI73" s="2119"/>
      <c r="AJ73" s="2326"/>
      <c r="AL73" s="2060"/>
      <c r="AM73" s="2119"/>
      <c r="AN73" s="2181"/>
      <c r="AO73" s="2094"/>
      <c r="AQ73" s="2325"/>
      <c r="AR73" s="2323"/>
      <c r="AS73" s="2119"/>
      <c r="AT73" s="7523"/>
      <c r="AV73" s="2060"/>
      <c r="AW73" s="2119"/>
      <c r="AX73" s="2181"/>
      <c r="AZ73" s="2325"/>
      <c r="BA73" s="2323"/>
      <c r="BB73" s="2119"/>
      <c r="BC73" s="2326"/>
      <c r="BE73" s="2060"/>
      <c r="BF73" s="2119"/>
      <c r="BG73" s="2181"/>
    </row>
    <row r="74" spans="1:59" x14ac:dyDescent="0.35">
      <c r="A74" s="9569"/>
      <c r="B74" s="2330"/>
      <c r="C74" s="2096"/>
      <c r="D74" s="2097"/>
      <c r="F74" s="2098"/>
      <c r="G74" s="2298"/>
      <c r="H74" s="2099"/>
      <c r="I74" s="2100"/>
      <c r="J74" s="2331">
        <f>IF(H74=0,0,I74/H74)</f>
        <v>0</v>
      </c>
      <c r="L74" s="2099"/>
      <c r="M74" s="2226">
        <f>L74*J74</f>
        <v>0</v>
      </c>
      <c r="N74" s="2149"/>
      <c r="O74" s="2099"/>
      <c r="P74" s="2332"/>
      <c r="Q74" s="2200"/>
      <c r="R74" s="2331">
        <f>IF(O74=0,0,P74/O74)</f>
        <v>0</v>
      </c>
      <c r="T74" s="2099"/>
      <c r="U74" s="2200"/>
      <c r="V74" s="2226">
        <f>T74*R74</f>
        <v>0</v>
      </c>
      <c r="X74" s="2333"/>
      <c r="Y74" s="2332"/>
      <c r="Z74" s="2200"/>
      <c r="AA74" s="2331">
        <f>IF(X74=0,0,Y74/X74)</f>
        <v>0</v>
      </c>
      <c r="AC74" s="2099"/>
      <c r="AD74" s="2200"/>
      <c r="AE74" s="2226"/>
      <c r="AG74" s="2333"/>
      <c r="AH74" s="2332"/>
      <c r="AI74" s="2200"/>
      <c r="AJ74" s="2334"/>
      <c r="AL74" s="2099"/>
      <c r="AM74" s="2200"/>
      <c r="AN74" s="2226"/>
      <c r="AO74" s="2029"/>
      <c r="AQ74" s="2333"/>
      <c r="AR74" s="2332"/>
      <c r="AS74" s="2200"/>
      <c r="AT74" s="7524"/>
      <c r="AV74" s="2099"/>
      <c r="AW74" s="2200"/>
      <c r="AX74" s="2226"/>
      <c r="AZ74" s="2333"/>
      <c r="BA74" s="2332"/>
      <c r="BB74" s="2200"/>
      <c r="BC74" s="2334"/>
      <c r="BE74" s="2099"/>
      <c r="BF74" s="2200"/>
      <c r="BG74" s="2226"/>
    </row>
    <row r="75" spans="1:59" x14ac:dyDescent="0.35">
      <c r="A75" s="2335"/>
      <c r="B75" s="2335"/>
      <c r="F75" s="2119"/>
      <c r="H75" s="2119"/>
      <c r="I75" s="2119"/>
      <c r="J75" s="2336"/>
      <c r="L75" s="2119"/>
      <c r="M75" s="2337"/>
      <c r="O75" s="2119"/>
      <c r="P75" s="2119"/>
      <c r="Q75" s="2119"/>
      <c r="R75" s="2336"/>
      <c r="T75" s="2119"/>
      <c r="U75" s="2119"/>
      <c r="V75" s="2337"/>
      <c r="X75" s="2119"/>
      <c r="Y75" s="2119"/>
      <c r="Z75" s="2119"/>
      <c r="AA75" s="2336"/>
      <c r="AC75" s="2119"/>
      <c r="AD75" s="2119"/>
      <c r="AE75" s="2337"/>
      <c r="AG75" s="2119"/>
      <c r="AH75" s="2119"/>
      <c r="AI75" s="2119"/>
      <c r="AJ75" s="2338"/>
      <c r="AL75" s="2119"/>
      <c r="AM75" s="2119"/>
      <c r="AN75" s="2337"/>
      <c r="AQ75" s="2119"/>
      <c r="AR75" s="2119"/>
      <c r="AS75" s="2119"/>
      <c r="AT75" s="7525"/>
      <c r="AV75" s="2119"/>
      <c r="AW75" s="2119"/>
      <c r="AX75" s="2337"/>
      <c r="AZ75" s="2119"/>
      <c r="BA75" s="2119"/>
      <c r="BB75" s="2119"/>
      <c r="BC75" s="2338"/>
      <c r="BE75" s="2119"/>
      <c r="BF75" s="2119"/>
      <c r="BG75" s="2337"/>
    </row>
    <row r="76" spans="1:59" x14ac:dyDescent="0.35">
      <c r="A76" s="9570" t="s">
        <v>1364</v>
      </c>
      <c r="B76" s="2339" t="s">
        <v>1365</v>
      </c>
      <c r="C76" s="2340"/>
      <c r="D76" s="2341"/>
      <c r="F76" s="2342"/>
      <c r="G76" s="2312"/>
      <c r="H76" s="2343"/>
      <c r="I76" s="2344"/>
      <c r="J76" s="2315"/>
      <c r="L76" s="2343"/>
      <c r="M76" s="2292"/>
      <c r="O76" s="2343"/>
      <c r="P76" s="2344"/>
      <c r="Q76" s="2116"/>
      <c r="R76" s="2315"/>
      <c r="T76" s="2343"/>
      <c r="U76" s="2116"/>
      <c r="V76" s="2292"/>
      <c r="X76" s="2343"/>
      <c r="Y76" s="2344"/>
      <c r="Z76" s="2116"/>
      <c r="AA76" s="2315"/>
      <c r="AC76" s="2343"/>
      <c r="AD76" s="2116"/>
      <c r="AE76" s="2292"/>
      <c r="AG76" s="2343"/>
      <c r="AH76" s="2344"/>
      <c r="AI76" s="2116"/>
      <c r="AJ76" s="2316"/>
      <c r="AL76" s="2343"/>
      <c r="AM76" s="2116"/>
      <c r="AN76" s="2292"/>
      <c r="AO76" s="2024"/>
      <c r="AQ76" s="2343"/>
      <c r="AR76" s="2344"/>
      <c r="AS76" s="2116"/>
      <c r="AT76" s="2316"/>
      <c r="AV76" s="2343"/>
      <c r="AW76" s="2116"/>
      <c r="AX76" s="2292"/>
      <c r="AZ76" s="2343"/>
      <c r="BA76" s="2344"/>
      <c r="BB76" s="2116"/>
      <c r="BC76" s="2316"/>
      <c r="BE76" s="2343"/>
      <c r="BF76" s="2116"/>
      <c r="BG76" s="2292"/>
    </row>
    <row r="77" spans="1:59" x14ac:dyDescent="0.35">
      <c r="A77" s="9571"/>
      <c r="B77" s="2345"/>
      <c r="C77" s="2346" t="s">
        <v>1366</v>
      </c>
      <c r="D77" s="2206"/>
      <c r="F77" s="2347"/>
      <c r="G77" s="2296"/>
      <c r="H77" s="2348"/>
      <c r="I77" s="2349"/>
      <c r="J77" s="2322">
        <f t="shared" ref="J77:J85" si="19">IF(H77=0,0,I77/H77)</f>
        <v>0</v>
      </c>
      <c r="L77" s="2348"/>
      <c r="M77" s="2181">
        <f t="shared" ref="M77:M85" si="20">L77*J77</f>
        <v>0</v>
      </c>
      <c r="O77" s="2348">
        <v>48844548000</v>
      </c>
      <c r="P77" s="2350">
        <v>61470159300</v>
      </c>
      <c r="Q77" s="2324"/>
      <c r="R77" s="2322">
        <f t="shared" ref="R77:R85" si="21">IF(O77=0,0,P77/O77)</f>
        <v>1.2584855795983618</v>
      </c>
      <c r="T77" s="2348">
        <v>54632703000</v>
      </c>
      <c r="U77" s="2324"/>
      <c r="V77" s="2181">
        <f t="shared" ref="V77:V85" si="22">T77*R77</f>
        <v>68754468899.980164</v>
      </c>
      <c r="X77" s="2351">
        <f>T77</f>
        <v>54632703000</v>
      </c>
      <c r="Y77" s="2352">
        <f>V77</f>
        <v>68754468899.980164</v>
      </c>
      <c r="Z77" s="2324"/>
      <c r="AA77" s="2322">
        <f t="shared" ref="AA77:AA85" si="23">IF(X77=0,0,Y77/X77)</f>
        <v>1.2584855795983618</v>
      </c>
      <c r="AC77" s="2348"/>
      <c r="AD77" s="2324"/>
      <c r="AE77" s="2181"/>
      <c r="AG77" s="2351"/>
      <c r="AH77" s="2352"/>
      <c r="AI77" s="2324"/>
      <c r="AJ77" s="2326"/>
      <c r="AL77" s="2348"/>
      <c r="AM77" s="2324"/>
      <c r="AN77" s="2181"/>
      <c r="AO77" s="2094"/>
      <c r="AQ77" s="2351"/>
      <c r="AR77" s="2352"/>
      <c r="AS77" s="2324"/>
      <c r="AT77" s="7523"/>
      <c r="AV77" s="2348"/>
      <c r="AW77" s="2324"/>
      <c r="AX77" s="2181"/>
      <c r="AZ77" s="2351"/>
      <c r="BA77" s="2352"/>
      <c r="BB77" s="2324"/>
      <c r="BC77" s="2326"/>
      <c r="BE77" s="2348"/>
      <c r="BF77" s="2324"/>
      <c r="BG77" s="2181"/>
    </row>
    <row r="78" spans="1:59" x14ac:dyDescent="0.35">
      <c r="A78" s="9571"/>
      <c r="B78" s="2353"/>
      <c r="C78" s="2346" t="s">
        <v>1367</v>
      </c>
      <c r="D78" s="2206"/>
      <c r="F78" s="2354"/>
      <c r="G78" s="2296"/>
      <c r="H78" s="2355"/>
      <c r="I78" s="2356"/>
      <c r="J78" s="2322">
        <f t="shared" si="19"/>
        <v>0</v>
      </c>
      <c r="L78" s="2355"/>
      <c r="M78" s="2181">
        <f t="shared" si="20"/>
        <v>0</v>
      </c>
      <c r="O78" s="2355">
        <v>1000000000</v>
      </c>
      <c r="P78" s="2357">
        <v>1000000000</v>
      </c>
      <c r="Q78" s="2119"/>
      <c r="R78" s="2322">
        <f t="shared" si="21"/>
        <v>1</v>
      </c>
      <c r="T78" s="2355">
        <v>1000000000</v>
      </c>
      <c r="U78" s="2119"/>
      <c r="V78" s="2181">
        <f t="shared" si="22"/>
        <v>1000000000</v>
      </c>
      <c r="X78" s="2351">
        <f>T78</f>
        <v>1000000000</v>
      </c>
      <c r="Y78" s="2352">
        <f>V78</f>
        <v>1000000000</v>
      </c>
      <c r="Z78" s="2119"/>
      <c r="AA78" s="2322">
        <f t="shared" si="23"/>
        <v>1</v>
      </c>
      <c r="AC78" s="2355"/>
      <c r="AD78" s="2119"/>
      <c r="AE78" s="2181"/>
      <c r="AG78" s="2351"/>
      <c r="AH78" s="2352"/>
      <c r="AI78" s="2119"/>
      <c r="AJ78" s="2326"/>
      <c r="AL78" s="2355"/>
      <c r="AM78" s="2119"/>
      <c r="AN78" s="2181"/>
      <c r="AO78" s="2094"/>
      <c r="AQ78" s="2351"/>
      <c r="AR78" s="2352"/>
      <c r="AS78" s="2119"/>
      <c r="AT78" s="7523"/>
      <c r="AV78" s="2355"/>
      <c r="AW78" s="2119"/>
      <c r="AX78" s="2181"/>
      <c r="AZ78" s="2351"/>
      <c r="BA78" s="2352"/>
      <c r="BB78" s="2119"/>
      <c r="BC78" s="2326"/>
      <c r="BE78" s="2355"/>
      <c r="BF78" s="2119"/>
      <c r="BG78" s="2181"/>
    </row>
    <row r="79" spans="1:59" x14ac:dyDescent="0.35">
      <c r="A79" s="9571"/>
      <c r="B79" s="2345"/>
      <c r="C79" s="2346"/>
      <c r="D79" s="2206"/>
      <c r="F79" s="2354"/>
      <c r="G79" s="2296"/>
      <c r="H79" s="2355"/>
      <c r="I79" s="2356"/>
      <c r="J79" s="2322">
        <f t="shared" si="19"/>
        <v>0</v>
      </c>
      <c r="L79" s="2355"/>
      <c r="M79" s="2181">
        <f t="shared" si="20"/>
        <v>0</v>
      </c>
      <c r="O79" s="2355"/>
      <c r="P79" s="2357"/>
      <c r="Q79" s="2119"/>
      <c r="R79" s="2322">
        <f t="shared" si="21"/>
        <v>0</v>
      </c>
      <c r="T79" s="2355"/>
      <c r="U79" s="2119"/>
      <c r="V79" s="2181">
        <f t="shared" si="22"/>
        <v>0</v>
      </c>
      <c r="X79" s="2351"/>
      <c r="Y79" s="2352"/>
      <c r="Z79" s="2119"/>
      <c r="AA79" s="2322">
        <f t="shared" si="23"/>
        <v>0</v>
      </c>
      <c r="AC79" s="2355"/>
      <c r="AD79" s="2119"/>
      <c r="AE79" s="2181"/>
      <c r="AG79" s="2351"/>
      <c r="AH79" s="2352"/>
      <c r="AI79" s="2119"/>
      <c r="AJ79" s="2326"/>
      <c r="AL79" s="2355"/>
      <c r="AM79" s="2119"/>
      <c r="AN79" s="2181"/>
      <c r="AO79" s="2094"/>
      <c r="AQ79" s="2351"/>
      <c r="AR79" s="2352"/>
      <c r="AS79" s="2119"/>
      <c r="AT79" s="7523"/>
      <c r="AV79" s="2355"/>
      <c r="AW79" s="2119"/>
      <c r="AX79" s="2181"/>
      <c r="AZ79" s="2351"/>
      <c r="BA79" s="2352"/>
      <c r="BB79" s="2119"/>
      <c r="BC79" s="2326"/>
      <c r="BE79" s="2355"/>
      <c r="BF79" s="2119"/>
      <c r="BG79" s="2181"/>
    </row>
    <row r="80" spans="1:59" x14ac:dyDescent="0.35">
      <c r="A80" s="9571"/>
      <c r="B80" s="2345"/>
      <c r="C80" s="2346"/>
      <c r="D80" s="2206"/>
      <c r="F80" s="2354"/>
      <c r="G80" s="2296"/>
      <c r="H80" s="2355"/>
      <c r="I80" s="2356"/>
      <c r="J80" s="2322">
        <f t="shared" si="19"/>
        <v>0</v>
      </c>
      <c r="L80" s="2355"/>
      <c r="M80" s="2181">
        <f t="shared" si="20"/>
        <v>0</v>
      </c>
      <c r="O80" s="2355"/>
      <c r="P80" s="2357"/>
      <c r="Q80" s="2119"/>
      <c r="R80" s="2322">
        <f t="shared" si="21"/>
        <v>0</v>
      </c>
      <c r="T80" s="2355"/>
      <c r="U80" s="2119"/>
      <c r="V80" s="2181">
        <f t="shared" si="22"/>
        <v>0</v>
      </c>
      <c r="X80" s="2351"/>
      <c r="Y80" s="2352"/>
      <c r="Z80" s="2119"/>
      <c r="AA80" s="2322">
        <f t="shared" si="23"/>
        <v>0</v>
      </c>
      <c r="AC80" s="2355"/>
      <c r="AD80" s="2119"/>
      <c r="AE80" s="2181"/>
      <c r="AG80" s="2351"/>
      <c r="AH80" s="2352"/>
      <c r="AI80" s="2119"/>
      <c r="AJ80" s="2326"/>
      <c r="AL80" s="2355"/>
      <c r="AM80" s="2119"/>
      <c r="AN80" s="2181"/>
      <c r="AO80" s="2094"/>
      <c r="AQ80" s="2351"/>
      <c r="AR80" s="2352"/>
      <c r="AS80" s="2119"/>
      <c r="AT80" s="7523"/>
      <c r="AV80" s="2355"/>
      <c r="AW80" s="2119"/>
      <c r="AX80" s="2181"/>
      <c r="AZ80" s="2351"/>
      <c r="BA80" s="2352"/>
      <c r="BB80" s="2119"/>
      <c r="BC80" s="2326"/>
      <c r="BE80" s="2355"/>
      <c r="BF80" s="2119"/>
      <c r="BG80" s="2181"/>
    </row>
    <row r="81" spans="1:59" x14ac:dyDescent="0.35">
      <c r="A81" s="9571"/>
      <c r="B81" s="2345"/>
      <c r="C81" s="2346"/>
      <c r="D81" s="2206"/>
      <c r="F81" s="2354"/>
      <c r="G81" s="2296"/>
      <c r="H81" s="2355"/>
      <c r="I81" s="2356"/>
      <c r="J81" s="2322">
        <f t="shared" si="19"/>
        <v>0</v>
      </c>
      <c r="L81" s="2355"/>
      <c r="M81" s="2181">
        <f t="shared" si="20"/>
        <v>0</v>
      </c>
      <c r="O81" s="2355"/>
      <c r="P81" s="2357"/>
      <c r="Q81" s="2119"/>
      <c r="R81" s="2322">
        <f t="shared" si="21"/>
        <v>0</v>
      </c>
      <c r="T81" s="2355"/>
      <c r="U81" s="2119"/>
      <c r="V81" s="2181">
        <f t="shared" si="22"/>
        <v>0</v>
      </c>
      <c r="X81" s="2351"/>
      <c r="Y81" s="2352"/>
      <c r="Z81" s="2119"/>
      <c r="AA81" s="2322">
        <f t="shared" si="23"/>
        <v>0</v>
      </c>
      <c r="AC81" s="2355"/>
      <c r="AD81" s="2119"/>
      <c r="AE81" s="2181"/>
      <c r="AG81" s="2351"/>
      <c r="AH81" s="2352"/>
      <c r="AI81" s="2119"/>
      <c r="AJ81" s="2326"/>
      <c r="AL81" s="2355"/>
      <c r="AM81" s="2119"/>
      <c r="AN81" s="2181"/>
      <c r="AO81" s="2094"/>
      <c r="AQ81" s="2351"/>
      <c r="AR81" s="2352"/>
      <c r="AS81" s="2119"/>
      <c r="AT81" s="7523"/>
      <c r="AV81" s="2355"/>
      <c r="AW81" s="2119"/>
      <c r="AX81" s="2181"/>
      <c r="AZ81" s="2351"/>
      <c r="BA81" s="2352"/>
      <c r="BB81" s="2119"/>
      <c r="BC81" s="2326"/>
      <c r="BE81" s="2355"/>
      <c r="BF81" s="2119"/>
      <c r="BG81" s="2181"/>
    </row>
    <row r="82" spans="1:59" x14ac:dyDescent="0.35">
      <c r="A82" s="9571"/>
      <c r="B82" s="2345"/>
      <c r="C82" s="2346" t="s">
        <v>1368</v>
      </c>
      <c r="D82" s="2206"/>
      <c r="F82" s="2354"/>
      <c r="G82" s="2296"/>
      <c r="H82" s="2355"/>
      <c r="I82" s="2356"/>
      <c r="J82" s="2322">
        <f t="shared" si="19"/>
        <v>0</v>
      </c>
      <c r="L82" s="2355"/>
      <c r="M82" s="2181">
        <f t="shared" si="20"/>
        <v>0</v>
      </c>
      <c r="O82" s="2355">
        <v>7466500000</v>
      </c>
      <c r="P82" s="2357">
        <v>1294325612</v>
      </c>
      <c r="Q82" s="2119"/>
      <c r="R82" s="2322">
        <f t="shared" si="21"/>
        <v>0.17335104962164333</v>
      </c>
      <c r="T82" s="2355">
        <v>7120000000</v>
      </c>
      <c r="U82" s="2119"/>
      <c r="V82" s="2181">
        <f t="shared" si="22"/>
        <v>1234259473.3061006</v>
      </c>
      <c r="X82" s="2351">
        <f>T82</f>
        <v>7120000000</v>
      </c>
      <c r="Y82" s="2352">
        <f>V82</f>
        <v>1234259473.3061006</v>
      </c>
      <c r="Z82" s="2119"/>
      <c r="AA82" s="2322">
        <f t="shared" si="23"/>
        <v>0.17335104962164335</v>
      </c>
      <c r="AC82" s="2355"/>
      <c r="AD82" s="2119"/>
      <c r="AE82" s="2181"/>
      <c r="AG82" s="2351"/>
      <c r="AH82" s="2352"/>
      <c r="AI82" s="2119"/>
      <c r="AJ82" s="2326"/>
      <c r="AL82" s="2355"/>
      <c r="AM82" s="2119"/>
      <c r="AN82" s="2181"/>
      <c r="AO82" s="2094"/>
      <c r="AQ82" s="2351"/>
      <c r="AR82" s="2352"/>
      <c r="AS82" s="2119"/>
      <c r="AT82" s="7523"/>
      <c r="AV82" s="2355"/>
      <c r="AW82" s="2119"/>
      <c r="AX82" s="2181"/>
      <c r="AZ82" s="2351"/>
      <c r="BA82" s="2352"/>
      <c r="BB82" s="2119"/>
      <c r="BC82" s="2326"/>
      <c r="BE82" s="2355"/>
      <c r="BF82" s="2119"/>
      <c r="BG82" s="2181"/>
    </row>
    <row r="83" spans="1:59" x14ac:dyDescent="0.35">
      <c r="A83" s="9571"/>
      <c r="B83" s="2345"/>
      <c r="C83" s="2346"/>
      <c r="D83" s="2206"/>
      <c r="F83" s="2354"/>
      <c r="G83" s="2296"/>
      <c r="H83" s="2355"/>
      <c r="I83" s="2356"/>
      <c r="J83" s="2322">
        <f t="shared" si="19"/>
        <v>0</v>
      </c>
      <c r="L83" s="2355"/>
      <c r="M83" s="2181">
        <f t="shared" si="20"/>
        <v>0</v>
      </c>
      <c r="O83" s="2355"/>
      <c r="P83" s="2357"/>
      <c r="Q83" s="2119"/>
      <c r="R83" s="2322">
        <f t="shared" si="21"/>
        <v>0</v>
      </c>
      <c r="T83" s="2355"/>
      <c r="U83" s="2119"/>
      <c r="V83" s="2181">
        <f t="shared" si="22"/>
        <v>0</v>
      </c>
      <c r="X83" s="2348"/>
      <c r="Y83" s="2358"/>
      <c r="Z83" s="2119"/>
      <c r="AA83" s="2322">
        <f t="shared" si="23"/>
        <v>0</v>
      </c>
      <c r="AC83" s="2355"/>
      <c r="AD83" s="2119"/>
      <c r="AE83" s="2181"/>
      <c r="AG83" s="2348"/>
      <c r="AH83" s="2358"/>
      <c r="AI83" s="2119"/>
      <c r="AJ83" s="2326"/>
      <c r="AL83" s="2355"/>
      <c r="AM83" s="2119"/>
      <c r="AN83" s="2181"/>
      <c r="AO83" s="2094"/>
      <c r="AQ83" s="2348"/>
      <c r="AR83" s="2358"/>
      <c r="AS83" s="2119"/>
      <c r="AT83" s="7523"/>
      <c r="AV83" s="2355"/>
      <c r="AW83" s="2119"/>
      <c r="AX83" s="2181"/>
      <c r="AZ83" s="2348"/>
      <c r="BA83" s="2358"/>
      <c r="BB83" s="2119"/>
      <c r="BC83" s="2326"/>
      <c r="BE83" s="2355"/>
      <c r="BF83" s="2119"/>
      <c r="BG83" s="2181"/>
    </row>
    <row r="84" spans="1:59" x14ac:dyDescent="0.35">
      <c r="A84" s="9571"/>
      <c r="B84" s="2345"/>
      <c r="C84" s="2346"/>
      <c r="D84" s="2206"/>
      <c r="F84" s="2354"/>
      <c r="G84" s="2296"/>
      <c r="H84" s="2355"/>
      <c r="I84" s="2356"/>
      <c r="J84" s="2322">
        <f t="shared" si="19"/>
        <v>0</v>
      </c>
      <c r="L84" s="2355"/>
      <c r="M84" s="2181">
        <f t="shared" si="20"/>
        <v>0</v>
      </c>
      <c r="O84" s="2355"/>
      <c r="P84" s="2357"/>
      <c r="Q84" s="2119"/>
      <c r="R84" s="2322">
        <f t="shared" si="21"/>
        <v>0</v>
      </c>
      <c r="T84" s="2355"/>
      <c r="U84" s="2119"/>
      <c r="V84" s="2181">
        <f t="shared" si="22"/>
        <v>0</v>
      </c>
      <c r="X84" s="2355"/>
      <c r="Y84" s="2358"/>
      <c r="Z84" s="2119"/>
      <c r="AA84" s="2322">
        <f t="shared" si="23"/>
        <v>0</v>
      </c>
      <c r="AC84" s="2355"/>
      <c r="AD84" s="2119"/>
      <c r="AE84" s="2181"/>
      <c r="AG84" s="2355"/>
      <c r="AH84" s="2358"/>
      <c r="AI84" s="2119"/>
      <c r="AJ84" s="2326"/>
      <c r="AL84" s="2355"/>
      <c r="AM84" s="2119"/>
      <c r="AN84" s="2181"/>
      <c r="AO84" s="2094"/>
      <c r="AQ84" s="2355"/>
      <c r="AR84" s="2358"/>
      <c r="AS84" s="2119"/>
      <c r="AT84" s="7523"/>
      <c r="AV84" s="2355"/>
      <c r="AW84" s="2119"/>
      <c r="AX84" s="2181"/>
      <c r="AZ84" s="2355"/>
      <c r="BA84" s="2358"/>
      <c r="BB84" s="2119"/>
      <c r="BC84" s="2326"/>
      <c r="BE84" s="2355"/>
      <c r="BF84" s="2119"/>
      <c r="BG84" s="2181"/>
    </row>
    <row r="85" spans="1:59" x14ac:dyDescent="0.35">
      <c r="A85" s="9572"/>
      <c r="B85" s="2359"/>
      <c r="C85" s="2360" t="s">
        <v>10</v>
      </c>
      <c r="D85" s="2222"/>
      <c r="F85" s="2361"/>
      <c r="G85" s="2298"/>
      <c r="H85" s="2362"/>
      <c r="I85" s="2363"/>
      <c r="J85" s="2331">
        <f t="shared" si="19"/>
        <v>0</v>
      </c>
      <c r="L85" s="2362"/>
      <c r="M85" s="2226">
        <f t="shared" si="20"/>
        <v>0</v>
      </c>
      <c r="O85" s="2362"/>
      <c r="P85" s="2364"/>
      <c r="Q85" s="2200"/>
      <c r="R85" s="2331">
        <f t="shared" si="21"/>
        <v>0</v>
      </c>
      <c r="T85" s="2362"/>
      <c r="U85" s="2200"/>
      <c r="V85" s="2226">
        <f t="shared" si="22"/>
        <v>0</v>
      </c>
      <c r="X85" s="2362"/>
      <c r="Y85" s="2364"/>
      <c r="Z85" s="2200"/>
      <c r="AA85" s="2331">
        <f t="shared" si="23"/>
        <v>0</v>
      </c>
      <c r="AC85" s="2362"/>
      <c r="AD85" s="2200"/>
      <c r="AE85" s="2226"/>
      <c r="AG85" s="2362"/>
      <c r="AH85" s="2364"/>
      <c r="AI85" s="2200"/>
      <c r="AJ85" s="2334"/>
      <c r="AL85" s="2362"/>
      <c r="AM85" s="2200"/>
      <c r="AN85" s="2226"/>
      <c r="AO85" s="2029"/>
      <c r="AQ85" s="2362"/>
      <c r="AR85" s="2364"/>
      <c r="AS85" s="2200"/>
      <c r="AT85" s="7524"/>
      <c r="AV85" s="2362"/>
      <c r="AW85" s="2200"/>
      <c r="AX85" s="2226"/>
      <c r="AZ85" s="2362"/>
      <c r="BA85" s="2364"/>
      <c r="BB85" s="2200"/>
      <c r="BC85" s="2334"/>
      <c r="BE85" s="2362"/>
      <c r="BF85" s="2200"/>
      <c r="BG85" s="2226"/>
    </row>
    <row r="86" spans="1:59" x14ac:dyDescent="0.35">
      <c r="A86" s="2335"/>
      <c r="B86" s="2335"/>
      <c r="F86" s="2119"/>
      <c r="H86" s="2119"/>
      <c r="I86" s="2119"/>
      <c r="J86" s="2336"/>
      <c r="L86" s="2119"/>
      <c r="M86" s="2337"/>
      <c r="O86" s="2119"/>
      <c r="P86" s="2119"/>
      <c r="Q86" s="2119"/>
      <c r="R86" s="2336"/>
      <c r="T86" s="2119"/>
      <c r="U86" s="2119"/>
      <c r="V86" s="2337"/>
      <c r="X86" s="2119"/>
      <c r="Y86" s="2119"/>
      <c r="Z86" s="2119"/>
      <c r="AA86" s="2336"/>
      <c r="AC86" s="2119"/>
      <c r="AD86" s="2119"/>
      <c r="AE86" s="2337"/>
      <c r="AG86" s="2119"/>
      <c r="AH86" s="2119"/>
      <c r="AI86" s="2119"/>
      <c r="AJ86" s="2338"/>
      <c r="AL86" s="2119"/>
      <c r="AM86" s="2119"/>
      <c r="AN86" s="2337"/>
      <c r="AQ86" s="2119"/>
      <c r="AR86" s="2119"/>
      <c r="AS86" s="2119"/>
      <c r="AT86" s="7525"/>
      <c r="AV86" s="2119"/>
      <c r="AW86" s="2119"/>
      <c r="AX86" s="2337"/>
      <c r="AZ86" s="2119"/>
      <c r="BA86" s="2119"/>
      <c r="BB86" s="2119"/>
      <c r="BC86" s="2338"/>
      <c r="BE86" s="2119"/>
      <c r="BF86" s="2119"/>
      <c r="BG86" s="2337"/>
    </row>
    <row r="87" spans="1:59" x14ac:dyDescent="0.35">
      <c r="A87" s="9567" t="s">
        <v>988</v>
      </c>
      <c r="B87" s="2162" t="s">
        <v>989</v>
      </c>
      <c r="C87" s="2365"/>
      <c r="D87" s="2052"/>
      <c r="E87" s="2149"/>
      <c r="F87" s="2240"/>
      <c r="G87" s="2149"/>
      <c r="H87" s="2115"/>
      <c r="I87" s="2116"/>
      <c r="J87" s="2241"/>
      <c r="K87" s="2149"/>
      <c r="L87" s="2115"/>
      <c r="M87" s="2292"/>
      <c r="O87" s="2115"/>
      <c r="P87" s="2116"/>
      <c r="Q87" s="2116"/>
      <c r="R87" s="2241"/>
      <c r="S87" s="2149"/>
      <c r="T87" s="2115"/>
      <c r="U87" s="2116"/>
      <c r="V87" s="2292"/>
      <c r="W87" s="2165"/>
      <c r="X87" s="2115"/>
      <c r="Y87" s="2116"/>
      <c r="Z87" s="2116"/>
      <c r="AA87" s="2241"/>
      <c r="AB87" s="2149"/>
      <c r="AC87" s="2115"/>
      <c r="AD87" s="2116"/>
      <c r="AE87" s="2292"/>
      <c r="AF87" s="2165"/>
      <c r="AG87" s="2115"/>
      <c r="AH87" s="2116"/>
      <c r="AI87" s="2116"/>
      <c r="AJ87" s="2241"/>
      <c r="AK87" s="2149"/>
      <c r="AL87" s="2115"/>
      <c r="AM87" s="2116"/>
      <c r="AN87" s="2292"/>
      <c r="AQ87" s="2115"/>
      <c r="AR87" s="2116"/>
      <c r="AS87" s="2116"/>
      <c r="AT87" s="2241"/>
      <c r="AU87" s="2149"/>
      <c r="AV87" s="2115"/>
      <c r="AW87" s="2116"/>
      <c r="AX87" s="2292"/>
      <c r="AZ87" s="2115"/>
      <c r="BA87" s="2116"/>
      <c r="BB87" s="2116"/>
      <c r="BC87" s="2241"/>
      <c r="BD87" s="2149"/>
      <c r="BE87" s="2115"/>
      <c r="BF87" s="2116"/>
      <c r="BG87" s="2292"/>
    </row>
    <row r="88" spans="1:59" x14ac:dyDescent="0.35">
      <c r="A88" s="9568"/>
      <c r="B88" s="2123"/>
      <c r="C88" s="2005"/>
      <c r="D88" s="2124" t="s">
        <v>990</v>
      </c>
      <c r="F88" s="2366">
        <f>SUM(F34:F39)-SUM(F41:F43)</f>
        <v>75096252720</v>
      </c>
      <c r="G88" s="2367"/>
      <c r="H88" s="2368">
        <f>SUM(H34:H39)-SUM(H41:H43)</f>
        <v>107828931000</v>
      </c>
      <c r="I88" s="2369">
        <f>SUM(I34:I39)-SUM(I41:I43)</f>
        <v>107132881959</v>
      </c>
      <c r="J88" s="2264"/>
      <c r="K88" s="2367"/>
      <c r="L88" s="2368">
        <f>SUM(L34:L39)-SUM(L41:L43)</f>
        <v>118490532000</v>
      </c>
      <c r="M88" s="2370">
        <f>SUM(M34:M39)-SUM(M41:M43)</f>
        <v>117774622384.64311</v>
      </c>
      <c r="O88" s="2368">
        <f>SUM(O34:O39)-SUM(O41:O43)</f>
        <v>118490532000</v>
      </c>
      <c r="P88" s="2369">
        <f>SUM(P34:P39)-SUM(P41:P43)</f>
        <v>125057353253</v>
      </c>
      <c r="Q88" s="2371"/>
      <c r="R88" s="2264"/>
      <c r="S88" s="2367"/>
      <c r="T88" s="2368">
        <f>SUM(T34:T39)-SUM(T41:T43)</f>
        <v>130485162000</v>
      </c>
      <c r="U88" s="2369"/>
      <c r="V88" s="2370">
        <f>SUM(V34:V39)-SUM(V41:V43)</f>
        <v>127457540034.22604</v>
      </c>
      <c r="X88" s="2368">
        <f>SUM(X34:X39)-SUM(X41:X43)</f>
        <v>130485162000</v>
      </c>
      <c r="Y88" s="2369">
        <f>SUM(Y34:Y39)-SUM(Y41:Y43)</f>
        <v>127457540034.22604</v>
      </c>
      <c r="Z88" s="2371"/>
      <c r="AA88" s="2264"/>
      <c r="AB88" s="2367"/>
      <c r="AC88" s="2368">
        <f>SUM(AC34:AC39)-SUM(AC41:AC43)</f>
        <v>140132669000</v>
      </c>
      <c r="AD88" s="2369"/>
      <c r="AE88" s="2370">
        <f>SUM(AE34:AE39)-SUM(AE41:AE43)</f>
        <v>137006216498.11615</v>
      </c>
      <c r="AG88" s="2368">
        <f>SUM(AG34:AG39)-SUM(AG41:AG43)</f>
        <v>138781024000</v>
      </c>
      <c r="AH88" s="2369">
        <f>SUM(AH34:AH39)-SUM(AH41:AH43)</f>
        <v>0</v>
      </c>
      <c r="AI88" s="2371"/>
      <c r="AJ88" s="2264"/>
      <c r="AK88" s="2367"/>
      <c r="AL88" s="2368">
        <f>SUM(AL34:AL39)-SUM(AL41:AL43)</f>
        <v>159002406000</v>
      </c>
      <c r="AM88" s="2369"/>
      <c r="AN88" s="2370">
        <f>SUM(AN34:AN39)-SUM(AN41:AN43)</f>
        <v>0</v>
      </c>
      <c r="AQ88" s="2368">
        <f>SUM(AQ34:AQ39)-SUM(AQ41:AQ43)</f>
        <v>161172741000</v>
      </c>
      <c r="AR88" s="2369">
        <f>SUM(AR34:AR39)-SUM(AR41:AR43)</f>
        <v>0</v>
      </c>
      <c r="AS88" s="2371"/>
      <c r="AT88" s="2264"/>
      <c r="AU88" s="2367"/>
      <c r="AV88" s="2368">
        <f>SUM(AV34:AV39)-SUM(AV41:AV43)</f>
        <v>172145473000</v>
      </c>
      <c r="AW88" s="2369"/>
      <c r="AX88" s="2370">
        <f>SUM(AX34:AX39)-SUM(AX41:AX43)</f>
        <v>0</v>
      </c>
      <c r="AZ88" s="2368">
        <f>SUM(AZ34:AZ39)-SUM(AZ41:AZ43)</f>
        <v>172145473000</v>
      </c>
      <c r="BA88" s="2369">
        <f>SUM(BA34:BA39)-SUM(BA41:BA43)</f>
        <v>0</v>
      </c>
      <c r="BB88" s="2371"/>
      <c r="BC88" s="2264"/>
      <c r="BD88" s="2367"/>
      <c r="BE88" s="2368">
        <f>SUM(BE34:BE39)-SUM(BE41:BE43)</f>
        <v>178435667000</v>
      </c>
      <c r="BF88" s="2369"/>
      <c r="BG88" s="2370">
        <f>SUM(BG34:BG39)-SUM(BG41:BG43)</f>
        <v>0</v>
      </c>
    </row>
    <row r="89" spans="1:59" x14ac:dyDescent="0.35">
      <c r="A89" s="9568"/>
      <c r="B89" s="2123"/>
      <c r="C89" s="2005"/>
      <c r="D89" s="2124" t="s">
        <v>944</v>
      </c>
      <c r="F89" s="2366">
        <f>SUM(F45:F56)</f>
        <v>440401749</v>
      </c>
      <c r="G89" s="2367"/>
      <c r="H89" s="2368">
        <f>SUM(H45:H56)</f>
        <v>660526000</v>
      </c>
      <c r="I89" s="2369">
        <f>SUM(I45:I56)</f>
        <v>588349802</v>
      </c>
      <c r="J89" s="2264"/>
      <c r="K89" s="2367"/>
      <c r="L89" s="2368">
        <f>SUM(L45:L56)</f>
        <v>720541000</v>
      </c>
      <c r="M89" s="2370">
        <f>SUM(M45:M56)</f>
        <v>644142567.67904806</v>
      </c>
      <c r="O89" s="2368">
        <f>SUM(O45:O56)</f>
        <v>605341000</v>
      </c>
      <c r="P89" s="2369">
        <f>SUM(P45:P56)</f>
        <v>491810938</v>
      </c>
      <c r="Q89" s="2371"/>
      <c r="R89" s="2264"/>
      <c r="S89" s="2367"/>
      <c r="T89" s="2368">
        <f>SUM(T45:T56)</f>
        <v>830011000</v>
      </c>
      <c r="U89" s="2369"/>
      <c r="V89" s="2370">
        <f>SUM(V45:V56)</f>
        <v>714462394.65363038</v>
      </c>
      <c r="X89" s="2368">
        <f>SUM(X45:X56)</f>
        <v>830011000</v>
      </c>
      <c r="Y89" s="2369">
        <f>SUM(Y45:Y56)</f>
        <v>714462394.65363038</v>
      </c>
      <c r="Z89" s="2371"/>
      <c r="AA89" s="2264"/>
      <c r="AB89" s="2367"/>
      <c r="AC89" s="2368">
        <f>SUM(AC45:AC56)</f>
        <v>869117000</v>
      </c>
      <c r="AD89" s="2369"/>
      <c r="AE89" s="2370">
        <f>SUM(AE45:AE56)</f>
        <v>752038176.08383191</v>
      </c>
      <c r="AG89" s="2368">
        <f>SUM(AG45:AG56)</f>
        <v>869117000</v>
      </c>
      <c r="AH89" s="2369">
        <f>SUM(AH45:AH56)</f>
        <v>0</v>
      </c>
      <c r="AI89" s="2371"/>
      <c r="AJ89" s="2264"/>
      <c r="AK89" s="2367"/>
      <c r="AL89" s="2368">
        <f>SUM(AL45:AL56)</f>
        <v>751119000</v>
      </c>
      <c r="AM89" s="2369"/>
      <c r="AN89" s="2370">
        <f>SUM(AN45:AN56)</f>
        <v>0</v>
      </c>
      <c r="AQ89" s="2368">
        <f>SUM(AQ45:AQ56)</f>
        <v>751119000</v>
      </c>
      <c r="AR89" s="2369">
        <f>SUM(AR45:AR56)</f>
        <v>0</v>
      </c>
      <c r="AS89" s="2371"/>
      <c r="AT89" s="2264"/>
      <c r="AU89" s="2367"/>
      <c r="AV89" s="2368">
        <f>SUM(AV45:AV56)</f>
        <v>987708000</v>
      </c>
      <c r="AW89" s="2369"/>
      <c r="AX89" s="2370">
        <f>SUM(AX45:AX56)</f>
        <v>0</v>
      </c>
      <c r="AZ89" s="2368">
        <f>SUM(AZ45:AZ56)</f>
        <v>987708000</v>
      </c>
      <c r="BA89" s="2369">
        <f>SUM(BA45:BA56)</f>
        <v>0</v>
      </c>
      <c r="BB89" s="2371"/>
      <c r="BC89" s="2264"/>
      <c r="BD89" s="2367"/>
      <c r="BE89" s="2368">
        <f>SUM(BE45:BE56)</f>
        <v>990148000</v>
      </c>
      <c r="BF89" s="2369"/>
      <c r="BG89" s="2370">
        <f>SUM(BG45:BG56)</f>
        <v>0</v>
      </c>
    </row>
    <row r="90" spans="1:59" x14ac:dyDescent="0.35">
      <c r="A90" s="9568"/>
      <c r="B90" s="2123"/>
      <c r="C90" s="2005"/>
      <c r="D90" s="2124" t="s">
        <v>991</v>
      </c>
      <c r="F90" s="2366">
        <f>SUM(F58:F65)*F27</f>
        <v>0</v>
      </c>
      <c r="G90" s="2367"/>
      <c r="H90" s="2368">
        <f>SUM(H58:H65)*H27</f>
        <v>0</v>
      </c>
      <c r="I90" s="2369">
        <f>SUM(I58:I65)*I27</f>
        <v>0</v>
      </c>
      <c r="J90" s="2264"/>
      <c r="K90" s="2367"/>
      <c r="L90" s="2368">
        <f>SUM(L58:L65)*L27</f>
        <v>0</v>
      </c>
      <c r="M90" s="2370">
        <f>SUM(M58:M65)*M27</f>
        <v>0</v>
      </c>
      <c r="N90" s="2165"/>
      <c r="O90" s="2368">
        <f>SUM(O58:O65)*O27</f>
        <v>0</v>
      </c>
      <c r="P90" s="2369">
        <f>SUM(P58:P65)*P27</f>
        <v>0</v>
      </c>
      <c r="Q90" s="2371"/>
      <c r="R90" s="2264"/>
      <c r="S90" s="2367"/>
      <c r="T90" s="2368">
        <f>SUM(T58:T65)*T27</f>
        <v>0</v>
      </c>
      <c r="U90" s="2369"/>
      <c r="V90" s="2370">
        <f>SUM(V58:V65)*V27</f>
        <v>0</v>
      </c>
      <c r="X90" s="2368">
        <f>SUM(X58:X65)*X27</f>
        <v>0</v>
      </c>
      <c r="Y90" s="2369">
        <f>SUM(Y58:Y65)*Y27</f>
        <v>0</v>
      </c>
      <c r="Z90" s="2371"/>
      <c r="AA90" s="2264"/>
      <c r="AB90" s="2367"/>
      <c r="AC90" s="2368">
        <f>SUM(AC58:AC65)*AC27</f>
        <v>0</v>
      </c>
      <c r="AD90" s="2369"/>
      <c r="AE90" s="2370">
        <f>SUM(AE58:AE65)*AE27</f>
        <v>0</v>
      </c>
      <c r="AG90" s="2368">
        <f>SUM(AG58:AG65)*AG27</f>
        <v>0</v>
      </c>
      <c r="AH90" s="2369">
        <f>SUM(AH58:AH65)*AH27</f>
        <v>0</v>
      </c>
      <c r="AI90" s="2371"/>
      <c r="AJ90" s="2264"/>
      <c r="AK90" s="2367"/>
      <c r="AL90" s="2368">
        <f>SUM(AL58:AL65)*AL27</f>
        <v>0</v>
      </c>
      <c r="AM90" s="2369"/>
      <c r="AN90" s="2370">
        <f>SUM(AN58:AN65)*AN27</f>
        <v>0</v>
      </c>
      <c r="AQ90" s="2368">
        <f>SUM(AQ58:AQ65)*AQ27</f>
        <v>0</v>
      </c>
      <c r="AR90" s="2369">
        <f>SUM(AR58:AR65)*AR27</f>
        <v>0</v>
      </c>
      <c r="AS90" s="2371"/>
      <c r="AT90" s="2264"/>
      <c r="AU90" s="2367"/>
      <c r="AV90" s="2368">
        <f>SUM(AV58:AV65)*AV27</f>
        <v>0</v>
      </c>
      <c r="AW90" s="2369"/>
      <c r="AX90" s="2370">
        <f>SUM(AX58:AX65)*AX27</f>
        <v>0</v>
      </c>
      <c r="AZ90" s="2368">
        <f>SUM(AZ58:AZ65)*AZ27</f>
        <v>0</v>
      </c>
      <c r="BA90" s="2369">
        <f>SUM(BA58:BA65)*BA27</f>
        <v>0</v>
      </c>
      <c r="BB90" s="2371"/>
      <c r="BC90" s="2264"/>
      <c r="BD90" s="2367"/>
      <c r="BE90" s="2368">
        <f>SUM(BE58:BE65)*BE27</f>
        <v>0</v>
      </c>
      <c r="BF90" s="2369"/>
      <c r="BG90" s="2370">
        <f>SUM(BG58:BG65)*BG27</f>
        <v>0</v>
      </c>
    </row>
    <row r="91" spans="1:59" x14ac:dyDescent="0.35">
      <c r="A91" s="9568"/>
      <c r="B91" s="2123"/>
      <c r="C91" s="2005"/>
      <c r="D91" s="2124" t="s">
        <v>979</v>
      </c>
      <c r="F91" s="2366">
        <f>F67+F68</f>
        <v>0</v>
      </c>
      <c r="G91" s="2367"/>
      <c r="H91" s="2368">
        <f>H67+H68</f>
        <v>0</v>
      </c>
      <c r="I91" s="2369">
        <f>I67+I68</f>
        <v>0</v>
      </c>
      <c r="J91" s="2264"/>
      <c r="K91" s="2367"/>
      <c r="L91" s="2368">
        <f>L67+L68</f>
        <v>0</v>
      </c>
      <c r="M91" s="2370">
        <f>M67+M68</f>
        <v>0</v>
      </c>
      <c r="O91" s="2368">
        <f>O67+O68</f>
        <v>0</v>
      </c>
      <c r="P91" s="2369">
        <f>P67+P68</f>
        <v>0</v>
      </c>
      <c r="Q91" s="2371"/>
      <c r="R91" s="2264"/>
      <c r="S91" s="2367"/>
      <c r="T91" s="2368">
        <f>T67+T68</f>
        <v>0</v>
      </c>
      <c r="U91" s="2369"/>
      <c r="V91" s="2370">
        <f>V67+V68</f>
        <v>0</v>
      </c>
      <c r="X91" s="2368">
        <f>X67+X68</f>
        <v>0</v>
      </c>
      <c r="Y91" s="2369">
        <f>Y67+Y68</f>
        <v>0</v>
      </c>
      <c r="Z91" s="2371"/>
      <c r="AA91" s="2264"/>
      <c r="AB91" s="2367"/>
      <c r="AC91" s="2368">
        <f>AC67+AC68</f>
        <v>0</v>
      </c>
      <c r="AD91" s="2369"/>
      <c r="AE91" s="2370">
        <f>AE67+AE68</f>
        <v>0</v>
      </c>
      <c r="AG91" s="2368">
        <f>AG67+AG68</f>
        <v>0</v>
      </c>
      <c r="AH91" s="2369">
        <f>AH67+AH68</f>
        <v>0</v>
      </c>
      <c r="AI91" s="2371"/>
      <c r="AJ91" s="2264"/>
      <c r="AK91" s="2367"/>
      <c r="AL91" s="2368">
        <f>AL67+AL68</f>
        <v>0</v>
      </c>
      <c r="AM91" s="2369"/>
      <c r="AN91" s="2370">
        <f>AN67+AN68</f>
        <v>0</v>
      </c>
      <c r="AQ91" s="2368">
        <f>AQ67+AQ68</f>
        <v>0</v>
      </c>
      <c r="AR91" s="2369">
        <f>AR67+AR68</f>
        <v>0</v>
      </c>
      <c r="AS91" s="2371"/>
      <c r="AT91" s="2264"/>
      <c r="AU91" s="2367"/>
      <c r="AV91" s="2368">
        <f>AV67+AV68</f>
        <v>0</v>
      </c>
      <c r="AW91" s="2369"/>
      <c r="AX91" s="2370">
        <f>AX67+AX68</f>
        <v>0</v>
      </c>
      <c r="AZ91" s="2368">
        <f>AZ67+AZ68</f>
        <v>0</v>
      </c>
      <c r="BA91" s="2369">
        <f>BA67+BA68</f>
        <v>0</v>
      </c>
      <c r="BB91" s="2371"/>
      <c r="BC91" s="2264"/>
      <c r="BD91" s="2367"/>
      <c r="BE91" s="2368">
        <f>BE67+BE68</f>
        <v>0</v>
      </c>
      <c r="BF91" s="2369"/>
      <c r="BG91" s="2370">
        <f>BG67+BG68</f>
        <v>0</v>
      </c>
    </row>
    <row r="92" spans="1:59" x14ac:dyDescent="0.35">
      <c r="A92" s="9568"/>
      <c r="B92" s="2123"/>
      <c r="C92" s="2005"/>
      <c r="D92" s="2372" t="s">
        <v>992</v>
      </c>
      <c r="E92" s="2165"/>
      <c r="F92" s="2373">
        <f>SUM(F88:F91)</f>
        <v>75536654469</v>
      </c>
      <c r="G92" s="2374"/>
      <c r="H92" s="2375">
        <f>SUM(H88:H91)</f>
        <v>108489457000</v>
      </c>
      <c r="I92" s="2376">
        <f>SUM(I88:I91)</f>
        <v>107721231761</v>
      </c>
      <c r="J92" s="2377"/>
      <c r="K92" s="2374"/>
      <c r="L92" s="2375">
        <f>SUM(L88:L91)</f>
        <v>119211073000</v>
      </c>
      <c r="M92" s="2378">
        <f>SUM(M88:M91)</f>
        <v>118418764952.32216</v>
      </c>
      <c r="O92" s="2375">
        <f>SUM(O88:O91)</f>
        <v>119095873000</v>
      </c>
      <c r="P92" s="2376">
        <f>SUM(P88:P91)</f>
        <v>125549164191</v>
      </c>
      <c r="Q92" s="2379"/>
      <c r="R92" s="2377"/>
      <c r="S92" s="2374"/>
      <c r="T92" s="2375">
        <f>SUM(T88:T91)</f>
        <v>131315173000</v>
      </c>
      <c r="U92" s="2376"/>
      <c r="V92" s="2378">
        <f>SUM(V88:V91)</f>
        <v>128172002428.87967</v>
      </c>
      <c r="X92" s="2375">
        <f>SUM(X88:X91)</f>
        <v>131315173000</v>
      </c>
      <c r="Y92" s="2376">
        <f>SUM(Y88:Y91)</f>
        <v>128172002428.87967</v>
      </c>
      <c r="Z92" s="2379"/>
      <c r="AA92" s="2377"/>
      <c r="AB92" s="2374"/>
      <c r="AC92" s="2375">
        <f>SUM(AC88:AC91)</f>
        <v>141001786000</v>
      </c>
      <c r="AD92" s="2376"/>
      <c r="AE92" s="2378">
        <f>SUM(AE88:AE91)</f>
        <v>137758254674.19998</v>
      </c>
      <c r="AG92" s="2375">
        <f>SUM(AG88:AG91)</f>
        <v>139650141000</v>
      </c>
      <c r="AH92" s="2376">
        <f>SUM(AH88:AH91)</f>
        <v>0</v>
      </c>
      <c r="AI92" s="2379"/>
      <c r="AJ92" s="2377"/>
      <c r="AK92" s="2374"/>
      <c r="AL92" s="2375">
        <f>SUM(AL88:AL91)</f>
        <v>159753525000</v>
      </c>
      <c r="AM92" s="2376"/>
      <c r="AN92" s="2378">
        <f>SUM(AN88:AN91)</f>
        <v>0</v>
      </c>
      <c r="AQ92" s="2375">
        <f>SUM(AQ88:AQ91)</f>
        <v>161923860000</v>
      </c>
      <c r="AR92" s="2376">
        <f>SUM(AR88:AR91)</f>
        <v>0</v>
      </c>
      <c r="AS92" s="2379"/>
      <c r="AT92" s="2377"/>
      <c r="AU92" s="2374"/>
      <c r="AV92" s="2375">
        <f>SUM(AV88:AV91)</f>
        <v>173133181000</v>
      </c>
      <c r="AW92" s="2376"/>
      <c r="AX92" s="2378">
        <f>SUM(AX88:AX91)</f>
        <v>0</v>
      </c>
      <c r="AZ92" s="2375">
        <f>SUM(AZ88:AZ91)</f>
        <v>173133181000</v>
      </c>
      <c r="BA92" s="2376">
        <f>SUM(BA88:BA91)</f>
        <v>0</v>
      </c>
      <c r="BB92" s="2379"/>
      <c r="BC92" s="2377"/>
      <c r="BD92" s="2374"/>
      <c r="BE92" s="2375">
        <f>SUM(BE88:BE91)</f>
        <v>179425815000</v>
      </c>
      <c r="BF92" s="2376"/>
      <c r="BG92" s="2378">
        <f>SUM(BG88:BG91)</f>
        <v>0</v>
      </c>
    </row>
    <row r="93" spans="1:59" x14ac:dyDescent="0.35">
      <c r="A93" s="9568"/>
      <c r="B93" s="2123"/>
      <c r="C93" s="2005"/>
      <c r="D93" s="2380" t="s">
        <v>993</v>
      </c>
      <c r="F93" s="2381">
        <f>F92/(F17+F18)</f>
        <v>0.26043408906756571</v>
      </c>
      <c r="G93" s="2382"/>
      <c r="H93" s="2383">
        <f>H92/(H17+H18)</f>
        <v>0.17906484324629895</v>
      </c>
      <c r="I93" s="2384">
        <f>I92/(I17+I18)</f>
        <v>0.235311685532196</v>
      </c>
      <c r="J93" s="2385"/>
      <c r="K93" s="2382"/>
      <c r="L93" s="2383">
        <f>L92/(L17+L18)</f>
        <v>0.16936292714411574</v>
      </c>
      <c r="M93" s="2385">
        <f>M92/(M17+M18)</f>
        <v>0.22534998977217038</v>
      </c>
      <c r="O93" s="2383">
        <f>O92/(O17+O18)</f>
        <v>0.16919926274016392</v>
      </c>
      <c r="P93" s="2384">
        <f>P92/(P17+P18)</f>
        <v>0.22724148553098025</v>
      </c>
      <c r="Q93" s="2384"/>
      <c r="R93" s="2385"/>
      <c r="S93" s="2382"/>
      <c r="T93" s="2383">
        <f>T92/(T17+T18)</f>
        <v>0.17328717783120201</v>
      </c>
      <c r="U93" s="2384"/>
      <c r="V93" s="2385">
        <f>V92/(V17+V18)</f>
        <v>0.21918467200321182</v>
      </c>
      <c r="W93" s="2386"/>
      <c r="X93" s="2383">
        <f>X92/(X17+X18)</f>
        <v>0.17487820933685802</v>
      </c>
      <c r="Y93" s="2384">
        <f>Y92/(Y17+Y18)</f>
        <v>0.15082075524384839</v>
      </c>
      <c r="Z93" s="2384"/>
      <c r="AA93" s="2385"/>
      <c r="AB93" s="2382"/>
      <c r="AC93" s="2383">
        <f>AC92/(AC17+AC18)</f>
        <v>0.1799296794845324</v>
      </c>
      <c r="AD93" s="2384"/>
      <c r="AE93" s="2385">
        <f>AE92/(AE17+AE18)</f>
        <v>0.15502301951105987</v>
      </c>
      <c r="AF93" s="2386"/>
      <c r="AG93" s="2383">
        <f>AG92/(AG17+AG18)</f>
        <v>0.17040271985162228</v>
      </c>
      <c r="AH93" s="2384">
        <f>AH92/(AH17+AH18)</f>
        <v>0</v>
      </c>
      <c r="AI93" s="2384"/>
      <c r="AJ93" s="2385"/>
      <c r="AK93" s="2382"/>
      <c r="AL93" s="2383">
        <f>AL92/(AL17+AL18)</f>
        <v>0.21124991735318621</v>
      </c>
      <c r="AM93" s="2384"/>
      <c r="AN93" s="2385">
        <f>AN92/(AN17+AN18)</f>
        <v>0</v>
      </c>
      <c r="AQ93" s="7526">
        <f>AQ92/(AQ17+AQ18)</f>
        <v>0.19059283410626426</v>
      </c>
      <c r="AR93" s="7527">
        <f>AR92/(AR17+AR18)</f>
        <v>0</v>
      </c>
      <c r="AS93" s="7527"/>
      <c r="AT93" s="7528"/>
      <c r="AU93" s="7529"/>
      <c r="AV93" s="7526">
        <f>AV92/(AV17+AV18)</f>
        <v>0.21196001689478711</v>
      </c>
      <c r="AW93" s="7527"/>
      <c r="AX93" s="7528">
        <f>AX92/(AX17+AX18)</f>
        <v>0</v>
      </c>
      <c r="AZ93" s="2383">
        <f>AZ92/(AZ17+AZ18)</f>
        <v>0.20186927184749023</v>
      </c>
      <c r="BA93" s="2384">
        <f>BA92/(BA17+BA18)</f>
        <v>0</v>
      </c>
      <c r="BB93" s="2384"/>
      <c r="BC93" s="2385"/>
      <c r="BD93" s="2382"/>
      <c r="BE93" s="2383">
        <f>BE92/(BE17+BE18)</f>
        <v>0.20883865054239023</v>
      </c>
      <c r="BF93" s="2384"/>
      <c r="BG93" s="2385">
        <f>BG92/(BG17+BG18)</f>
        <v>0</v>
      </c>
    </row>
    <row r="94" spans="1:59" x14ac:dyDescent="0.35">
      <c r="A94" s="9568"/>
      <c r="B94" s="2387"/>
      <c r="C94" s="2388"/>
      <c r="D94" s="2318" t="s">
        <v>573</v>
      </c>
      <c r="E94" s="2389"/>
      <c r="F94" s="2390"/>
      <c r="G94" s="2391"/>
      <c r="H94" s="2392"/>
      <c r="I94" s="2393"/>
      <c r="J94" s="2394"/>
      <c r="K94" s="2391"/>
      <c r="L94" s="2395"/>
      <c r="M94" s="2394">
        <f>M43</f>
        <v>0</v>
      </c>
      <c r="O94" s="2392">
        <f>O34+O36+O38+O45+O47+O49+O51+O53</f>
        <v>107938373000</v>
      </c>
      <c r="P94" s="2393">
        <f>P34+P36+P38+P45+P47+P49+P51+P53</f>
        <v>123349203078</v>
      </c>
      <c r="Q94" s="2396"/>
      <c r="R94" s="2394"/>
      <c r="S94" s="2391"/>
      <c r="T94" s="2395">
        <f>T34+T36+T38+T45+T47+T49+T51+T53</f>
        <v>120318524000</v>
      </c>
      <c r="U94" s="2396"/>
      <c r="V94" s="2397">
        <f>V34+V36+V38+V45+V47+V49+V51+V53</f>
        <v>126012735757.12326</v>
      </c>
      <c r="W94" s="2386"/>
      <c r="X94" s="2392">
        <f>X34+X36+X38+X45+X47+X49+X51+X53</f>
        <v>120318524000</v>
      </c>
      <c r="Y94" s="2393">
        <f>Y34+Y36+Y38+Y45+Y47+Y49+Y51+Y53</f>
        <v>126012735757.12326</v>
      </c>
      <c r="Z94" s="2396"/>
      <c r="AA94" s="2394"/>
      <c r="AB94" s="2391"/>
      <c r="AC94" s="2395">
        <f>AC34+AC36+AC38+AC45+AC47+AC49+AC51+AC53</f>
        <v>129534175000</v>
      </c>
      <c r="AD94" s="2396"/>
      <c r="AE94" s="2397">
        <f>AE34+AE36+AE38+AE45+AE47+AE49+AE51+AE53</f>
        <v>135593063793.93375</v>
      </c>
      <c r="AF94" s="2386"/>
      <c r="AG94" s="2392">
        <f>AG34+AG36+AG38+AG45+AG47+AG49+AG51+AG53</f>
        <v>126760477000</v>
      </c>
      <c r="AH94" s="2393">
        <f>AH34+AH36+AH38+AH45+AH47+AH49+AH51+AH53</f>
        <v>0</v>
      </c>
      <c r="AI94" s="2396"/>
      <c r="AJ94" s="2394"/>
      <c r="AK94" s="2391"/>
      <c r="AL94" s="2395">
        <f>AL34+AL36+AL38+AL45+AL47+AL49+AL51+AL53</f>
        <v>146152110000</v>
      </c>
      <c r="AM94" s="2396"/>
      <c r="AN94" s="2397">
        <f>AN34+AN36+AN38+AN45+AN47+AN49+AN51+AN53</f>
        <v>0</v>
      </c>
      <c r="AQ94" s="2392">
        <f>AQ34+AQ36+AQ38+AQ45+AQ47+AQ49+AQ51+AQ53+AQ55</f>
        <v>148602148000</v>
      </c>
      <c r="AR94" s="2393">
        <f>AR34+AR36+AR38+AR45+AR47+AR49+AR51+AR53</f>
        <v>0</v>
      </c>
      <c r="AS94" s="7530"/>
      <c r="AT94" s="7531"/>
      <c r="AU94" s="7532"/>
      <c r="AV94" s="2395">
        <f>AV34+AV36+AV38+AV45+AV47+AV49+AV51+AV53</f>
        <v>157506106000</v>
      </c>
      <c r="AW94" s="7530"/>
      <c r="AX94" s="2397">
        <f>AX34+AX36+AX38+AX45+AX47+AX49+AX51+AX53</f>
        <v>0</v>
      </c>
      <c r="AZ94" s="2392">
        <f>AZ34+AZ36+AZ38+AZ45+AZ47+AZ49+AZ51+AZ53+AZ55</f>
        <v>157509716000</v>
      </c>
      <c r="BA94" s="2393">
        <f>BA34+BA36+BA38+BA45+BA47+BA49+BA51+BA53</f>
        <v>0</v>
      </c>
      <c r="BB94" s="2396"/>
      <c r="BC94" s="2394"/>
      <c r="BD94" s="2391"/>
      <c r="BE94" s="2395">
        <f>BE34+BE36+BE38+BE45+BE47+BE49+BE51+BE53</f>
        <v>166165605000</v>
      </c>
      <c r="BF94" s="2396"/>
      <c r="BG94" s="2397">
        <f>BG34+BG36+BG38+BG45+BG47+BG49+BG51+BG53</f>
        <v>0</v>
      </c>
    </row>
    <row r="95" spans="1:59" x14ac:dyDescent="0.35">
      <c r="A95" s="9568"/>
      <c r="B95" s="2056"/>
      <c r="C95" s="2398"/>
      <c r="D95" s="2318" t="s">
        <v>575</v>
      </c>
      <c r="E95" s="2399"/>
      <c r="F95" s="2400"/>
      <c r="G95" s="2401"/>
      <c r="H95" s="2402"/>
      <c r="I95" s="2403"/>
      <c r="J95" s="2404"/>
      <c r="K95" s="2401"/>
      <c r="L95" s="2405"/>
      <c r="M95" s="2404" t="e">
        <f>(M92-M94)/((M24+M25))</f>
        <v>#DIV/0!</v>
      </c>
      <c r="N95" s="2406"/>
      <c r="O95" s="2402">
        <f>(O92-O94)/((O18))</f>
        <v>3.9885101879740974E-2</v>
      </c>
      <c r="P95" s="2403">
        <f>(P92-P94)/((P18))</f>
        <v>1.5803238020494433E-2</v>
      </c>
      <c r="Q95" s="2406"/>
      <c r="R95" s="2404"/>
      <c r="S95" s="2401"/>
      <c r="T95" s="2405">
        <f>(T92-T94)/((T18))</f>
        <v>3.4127188036262711E-2</v>
      </c>
      <c r="U95" s="2406"/>
      <c r="V95" s="2407">
        <f>(V92-V94)/((V18))</f>
        <v>1.3465847463187042E-2</v>
      </c>
      <c r="W95" s="2386"/>
      <c r="X95" s="2402">
        <f>(X92-X94)/((X18))</f>
        <v>3.5264319271409557E-2</v>
      </c>
      <c r="Y95" s="2403">
        <f>(Y92-Y94)/((Y18))</f>
        <v>6.4963796610999717E-3</v>
      </c>
      <c r="Z95" s="2406"/>
      <c r="AA95" s="2404"/>
      <c r="AB95" s="2401"/>
      <c r="AC95" s="2405">
        <f>(AC92-AC94)/((AC18))</f>
        <v>3.6983656552258846E-2</v>
      </c>
      <c r="AD95" s="2406"/>
      <c r="AE95" s="2407">
        <f>(AE92-AE94)/((AE18))</f>
        <v>6.5512331973137262E-3</v>
      </c>
      <c r="AF95" s="2386"/>
      <c r="AG95" s="2402">
        <f>(AG92-AG94)/((AG18))</f>
        <v>4.1111421554556181E-2</v>
      </c>
      <c r="AH95" s="2403">
        <f>(AH92-AH94)/((AH18))</f>
        <v>0</v>
      </c>
      <c r="AI95" s="2406"/>
      <c r="AJ95" s="2404"/>
      <c r="AK95" s="2401"/>
      <c r="AL95" s="2405">
        <f>(AL92-AL94)/((AL18))</f>
        <v>4.3209273143147597E-2</v>
      </c>
      <c r="AM95" s="2406"/>
      <c r="AN95" s="2407">
        <f>(AN92-AN94)/((AN18))</f>
        <v>0</v>
      </c>
      <c r="AQ95" s="7533">
        <f>(AQ92-AQ94)/((AQ18))</f>
        <v>4.2955251023764227E-2</v>
      </c>
      <c r="AR95" s="7534">
        <f>(AR92-AR94)/((AR18))</f>
        <v>0</v>
      </c>
      <c r="AS95" s="7535"/>
      <c r="AT95" s="7536"/>
      <c r="AU95" s="7537"/>
      <c r="AV95" s="7538">
        <f>(AV92-AV94)/((AV18))</f>
        <v>5.4934000070306181E-2</v>
      </c>
      <c r="AW95" s="7535"/>
      <c r="AX95" s="7539">
        <f>(AX92-AX94)/((AX18))</f>
        <v>0</v>
      </c>
      <c r="AZ95" s="7533">
        <f>(AZ92-AZ94)/((AZ18))</f>
        <v>5.6897428893987398E-2</v>
      </c>
      <c r="BA95" s="7534">
        <f>(BA92-BA94)/((BA18))</f>
        <v>0</v>
      </c>
      <c r="BB95" s="8823"/>
      <c r="BC95" s="8824"/>
      <c r="BD95" s="8825"/>
      <c r="BE95" s="7538">
        <f>(BE92-BE94)/((BE18))</f>
        <v>4.0260535584163225E-2</v>
      </c>
      <c r="BF95" s="8823"/>
      <c r="BG95" s="7539">
        <f>(BG92-BG94)/((BG18))</f>
        <v>0</v>
      </c>
    </row>
    <row r="96" spans="1:59" x14ac:dyDescent="0.35">
      <c r="A96" s="9568"/>
      <c r="B96" s="2056"/>
      <c r="C96" s="2398"/>
      <c r="D96" s="2318" t="s">
        <v>576</v>
      </c>
      <c r="E96" s="2399"/>
      <c r="F96" s="2400"/>
      <c r="G96" s="2401"/>
      <c r="H96" s="2402"/>
      <c r="I96" s="2403"/>
      <c r="J96" s="2404"/>
      <c r="K96" s="2401"/>
      <c r="L96" s="2405"/>
      <c r="M96" s="2404">
        <f>M94/(M23)</f>
        <v>0</v>
      </c>
      <c r="N96" s="2406"/>
      <c r="O96" s="2402">
        <f>O94/(O17)</f>
        <v>0.2544886003255985</v>
      </c>
      <c r="P96" s="2403">
        <f>P94/(P17)</f>
        <v>0.29846201374417464</v>
      </c>
      <c r="Q96" s="2406"/>
      <c r="R96" s="2404"/>
      <c r="S96" s="2401"/>
      <c r="T96" s="2405">
        <f>T94/(T17)</f>
        <v>0.27623624364168436</v>
      </c>
      <c r="U96" s="2406"/>
      <c r="V96" s="2407">
        <f>V94/(V17)</f>
        <v>0.29690865361065827</v>
      </c>
      <c r="W96" s="2386"/>
      <c r="X96" s="2402">
        <f>X94/(X17)</f>
        <v>0.27403663280645013</v>
      </c>
      <c r="Y96" s="2403">
        <f>Y94/(Y17)</f>
        <v>0.24352640014904484</v>
      </c>
      <c r="Z96" s="2406"/>
      <c r="AA96" s="2404"/>
      <c r="AB96" s="2401"/>
      <c r="AC96" s="2405">
        <f>AC94/(AC17)</f>
        <v>0.2735229391388897</v>
      </c>
      <c r="AD96" s="2406"/>
      <c r="AE96" s="2407">
        <f>AE94/(AE17)</f>
        <v>0.2429418569892477</v>
      </c>
      <c r="AF96" s="2386"/>
      <c r="AG96" s="2402">
        <f>AG94/(AG17)</f>
        <v>0.2505147766798419</v>
      </c>
      <c r="AH96" s="2403">
        <f>AH94/(AH17)</f>
        <v>0</v>
      </c>
      <c r="AI96" s="2406"/>
      <c r="AJ96" s="2404"/>
      <c r="AK96" s="2401"/>
      <c r="AL96" s="2405">
        <f>AL94/(AL17)</f>
        <v>0.33107285083248383</v>
      </c>
      <c r="AM96" s="2406"/>
      <c r="AN96" s="2407">
        <f>AN94/(AN17)</f>
        <v>0</v>
      </c>
      <c r="AQ96" s="7533">
        <f>AQ94/(AQ17)</f>
        <v>0.27546973398832142</v>
      </c>
      <c r="AR96" s="7534">
        <f>AR94/(AR17)</f>
        <v>0</v>
      </c>
      <c r="AS96" s="7535"/>
      <c r="AT96" s="7536"/>
      <c r="AU96" s="7537"/>
      <c r="AV96" s="7538">
        <f>AV94/(AV17)</f>
        <v>0.29586945806330422</v>
      </c>
      <c r="AW96" s="7535"/>
      <c r="AX96" s="7539">
        <f>AX94/(AX17)</f>
        <v>0</v>
      </c>
      <c r="AZ96" s="7533">
        <f>AZ94/(AZ17)</f>
        <v>0.27014323740266866</v>
      </c>
      <c r="BA96" s="7534">
        <f>BA94/(BA17)</f>
        <v>0</v>
      </c>
      <c r="BB96" s="8823"/>
      <c r="BC96" s="8824"/>
      <c r="BD96" s="8825"/>
      <c r="BE96" s="7538">
        <f>BE94/(BE17)</f>
        <v>0.31363836353340885</v>
      </c>
      <c r="BF96" s="8823"/>
      <c r="BG96" s="7539">
        <f>BG94/(BG17)</f>
        <v>0</v>
      </c>
    </row>
    <row r="97" spans="1:59" x14ac:dyDescent="0.35">
      <c r="A97" s="9568"/>
      <c r="B97" s="2056"/>
      <c r="C97" s="2398"/>
      <c r="D97" s="2318"/>
      <c r="E97" s="2399"/>
      <c r="F97" s="2408"/>
      <c r="G97" s="2399"/>
      <c r="H97" s="2409"/>
      <c r="I97" s="2410"/>
      <c r="J97" s="2242"/>
      <c r="K97" s="2399"/>
      <c r="L97" s="2411"/>
      <c r="M97" s="2242"/>
      <c r="O97" s="2409"/>
      <c r="P97" s="2410"/>
      <c r="Q97" s="2005"/>
      <c r="R97" s="2242"/>
      <c r="S97" s="2399"/>
      <c r="T97" s="2411"/>
      <c r="V97" s="2412"/>
      <c r="W97" s="2386"/>
      <c r="X97" s="2409"/>
      <c r="Y97" s="2410"/>
      <c r="Z97" s="2005"/>
      <c r="AA97" s="2242"/>
      <c r="AB97" s="2399"/>
      <c r="AC97" s="2411"/>
      <c r="AE97" s="2412"/>
      <c r="AF97" s="2386"/>
      <c r="AG97" s="2409"/>
      <c r="AH97" s="2410"/>
      <c r="AI97" s="2005"/>
      <c r="AJ97" s="2242"/>
      <c r="AK97" s="2399"/>
      <c r="AL97" s="2411"/>
      <c r="AN97" s="2412"/>
      <c r="AQ97" s="2409"/>
      <c r="AR97" s="2410"/>
      <c r="AS97" s="2005"/>
      <c r="AT97" s="2242"/>
      <c r="AU97" s="2399"/>
      <c r="AV97" s="2411"/>
      <c r="AX97" s="2412"/>
      <c r="AZ97" s="2409"/>
      <c r="BA97" s="2410"/>
      <c r="BB97" s="2005"/>
      <c r="BC97" s="2242"/>
      <c r="BD97" s="2399"/>
      <c r="BE97" s="2411"/>
      <c r="BG97" s="2412"/>
    </row>
    <row r="98" spans="1:59" x14ac:dyDescent="0.35">
      <c r="A98" s="9568"/>
      <c r="B98" s="2056"/>
      <c r="C98" s="2398"/>
      <c r="D98" s="2318" t="s">
        <v>577</v>
      </c>
      <c r="E98" s="2399"/>
      <c r="F98" s="2400"/>
      <c r="G98" s="2401"/>
      <c r="H98" s="2402"/>
      <c r="I98" s="2403"/>
      <c r="J98" s="2404"/>
      <c r="K98" s="2401"/>
      <c r="L98" s="2405"/>
      <c r="M98" s="2404">
        <f>M92/M18</f>
        <v>1.0284384684877272</v>
      </c>
      <c r="N98" s="2406"/>
      <c r="O98" s="2402">
        <f>O92/O12</f>
        <v>0.14529610200115411</v>
      </c>
      <c r="P98" s="2403"/>
      <c r="Q98" s="2406"/>
      <c r="R98" s="2404"/>
      <c r="S98" s="2401"/>
      <c r="T98" s="2405">
        <f>T92/T12</f>
        <v>0.15171508703257397</v>
      </c>
      <c r="U98" s="2406"/>
      <c r="V98" s="2407"/>
      <c r="W98" s="2386"/>
      <c r="X98" s="2402">
        <f>X92/X12</f>
        <v>0.20830452569796953</v>
      </c>
      <c r="Y98" s="2403">
        <f>Y92/Y12</f>
        <v>0.20872879267315844</v>
      </c>
      <c r="Z98" s="2406"/>
      <c r="AA98" s="2404"/>
      <c r="AB98" s="2401"/>
      <c r="AC98" s="2405" t="e">
        <f>AC92/AC12</f>
        <v>#DIV/0!</v>
      </c>
      <c r="AD98" s="2406"/>
      <c r="AE98" s="2407"/>
      <c r="AF98" s="2386"/>
      <c r="AG98" s="2402">
        <f>AG92/AG12</f>
        <v>0.20926385500644348</v>
      </c>
      <c r="AH98" s="2403">
        <f>AH92/AH12</f>
        <v>0</v>
      </c>
      <c r="AI98" s="2406"/>
      <c r="AJ98" s="2404"/>
      <c r="AK98" s="2401"/>
      <c r="AL98" s="2405">
        <f>AL92/AL12</f>
        <v>0.21681191726721225</v>
      </c>
      <c r="AM98" s="2406"/>
      <c r="AN98" s="2407"/>
      <c r="AQ98" s="7533">
        <f>AQ92/AQ12</f>
        <v>0.23085150124034101</v>
      </c>
      <c r="AR98" s="7534">
        <f>AR92/AR12</f>
        <v>0</v>
      </c>
      <c r="AS98" s="7535"/>
      <c r="AT98" s="7536"/>
      <c r="AU98" s="7537"/>
      <c r="AV98" s="7538">
        <f>AV92/AV12</f>
        <v>0.23087502466995599</v>
      </c>
      <c r="AW98" s="7535"/>
      <c r="AX98" s="7539">
        <f>AX92/AX12</f>
        <v>0</v>
      </c>
      <c r="AZ98" s="7533">
        <f>AZ92/AZ12</f>
        <v>0.23429937613338025</v>
      </c>
      <c r="BA98" s="7534">
        <f>BA92/BA12</f>
        <v>0</v>
      </c>
      <c r="BB98" s="8823"/>
      <c r="BC98" s="8824"/>
      <c r="BD98" s="8825"/>
      <c r="BE98" s="7538">
        <f>BE92/BE12</f>
        <v>0.23816742991398535</v>
      </c>
      <c r="BF98" s="8823"/>
      <c r="BG98" s="7539">
        <f>BG92/BG12</f>
        <v>0</v>
      </c>
    </row>
    <row r="99" spans="1:59" x14ac:dyDescent="0.35">
      <c r="A99" s="9568"/>
      <c r="B99" s="2056"/>
      <c r="C99" s="2398"/>
      <c r="D99" s="2057" t="s">
        <v>578</v>
      </c>
      <c r="E99" s="2399"/>
      <c r="F99" s="2413"/>
      <c r="G99" s="2414"/>
      <c r="H99" s="2415"/>
      <c r="I99" s="2416"/>
      <c r="J99" s="2417"/>
      <c r="K99" s="2414"/>
      <c r="L99" s="2418"/>
      <c r="M99" s="2417">
        <f>M92-M71</f>
        <v>118418764952.32216</v>
      </c>
      <c r="N99" s="2419"/>
      <c r="O99" s="2415">
        <f>O92-O71</f>
        <v>113195873000</v>
      </c>
      <c r="P99" s="2416"/>
      <c r="Q99" s="2419"/>
      <c r="R99" s="2417"/>
      <c r="S99" s="2414"/>
      <c r="T99" s="2418">
        <f>T92-T71</f>
        <v>125815173000</v>
      </c>
      <c r="U99" s="2419"/>
      <c r="V99" s="2420"/>
      <c r="W99" s="2386"/>
      <c r="X99" s="2415">
        <f>X92-X71</f>
        <v>125815173000</v>
      </c>
      <c r="Y99" s="2416">
        <f>Y92-Y71</f>
        <v>128172002428.87967</v>
      </c>
      <c r="Z99" s="2419"/>
      <c r="AA99" s="2417"/>
      <c r="AB99" s="2414"/>
      <c r="AC99" s="2418">
        <f>AC92-AC71</f>
        <v>141001786000</v>
      </c>
      <c r="AD99" s="2419"/>
      <c r="AE99" s="2420"/>
      <c r="AF99" s="2386"/>
      <c r="AG99" s="2415">
        <f>AG92-AG71</f>
        <v>139650141000</v>
      </c>
      <c r="AH99" s="2416">
        <f>AH92-AH71</f>
        <v>0</v>
      </c>
      <c r="AI99" s="2419"/>
      <c r="AJ99" s="2417"/>
      <c r="AK99" s="2414"/>
      <c r="AL99" s="2418">
        <f>AL92-AL71</f>
        <v>159753525000</v>
      </c>
      <c r="AM99" s="2419"/>
      <c r="AN99" s="2420"/>
      <c r="AQ99" s="7540"/>
      <c r="AR99" s="7541"/>
      <c r="AS99" s="7542"/>
      <c r="AT99" s="7543"/>
      <c r="AU99" s="7544"/>
      <c r="AV99" s="7545"/>
      <c r="AW99" s="7542"/>
      <c r="AX99" s="7546"/>
      <c r="AZ99" s="7540"/>
      <c r="BA99" s="7541"/>
      <c r="BB99" s="8826"/>
      <c r="BC99" s="8827"/>
      <c r="BD99" s="8828"/>
      <c r="BE99" s="7545"/>
      <c r="BF99" s="8826"/>
      <c r="BG99" s="7546"/>
    </row>
    <row r="100" spans="1:59" x14ac:dyDescent="0.35">
      <c r="A100" s="9568"/>
      <c r="B100" s="2056"/>
      <c r="C100" s="2398"/>
      <c r="D100" s="2318" t="s">
        <v>579</v>
      </c>
      <c r="E100" s="2399"/>
      <c r="F100" s="2400"/>
      <c r="G100" s="2401"/>
      <c r="H100" s="2402"/>
      <c r="I100" s="2403"/>
      <c r="J100" s="2404"/>
      <c r="K100" s="2401"/>
      <c r="L100" s="2405"/>
      <c r="M100" s="2404">
        <f>M99/M18</f>
        <v>1.0284384684877272</v>
      </c>
      <c r="N100" s="2406"/>
      <c r="O100" s="2402">
        <f>O99/O12</f>
        <v>0.13809814475702015</v>
      </c>
      <c r="P100" s="2403"/>
      <c r="Q100" s="2406"/>
      <c r="R100" s="2404"/>
      <c r="S100" s="2401"/>
      <c r="T100" s="2405">
        <f>T99/T12</f>
        <v>0.14536065776430382</v>
      </c>
      <c r="U100" s="2406"/>
      <c r="V100" s="2407"/>
      <c r="W100" s="2386"/>
      <c r="X100" s="2402">
        <f>X99/X12</f>
        <v>0.19957990640862944</v>
      </c>
      <c r="Y100" s="2403">
        <f>Y99/Y12</f>
        <v>0.20872879267315844</v>
      </c>
      <c r="Z100" s="2406"/>
      <c r="AA100" s="2404"/>
      <c r="AB100" s="2401"/>
      <c r="AC100" s="2405" t="e">
        <f>AC99/AC12</f>
        <v>#DIV/0!</v>
      </c>
      <c r="AD100" s="2406"/>
      <c r="AE100" s="2407"/>
      <c r="AF100" s="2386"/>
      <c r="AG100" s="2402">
        <f>AG99/AG12</f>
        <v>0.20926385500644348</v>
      </c>
      <c r="AH100" s="2403">
        <f>AH99/AH12</f>
        <v>0</v>
      </c>
      <c r="AI100" s="2406"/>
      <c r="AJ100" s="2404"/>
      <c r="AK100" s="2401"/>
      <c r="AL100" s="2405">
        <f>AL99/AL12</f>
        <v>0.21681191726721225</v>
      </c>
      <c r="AM100" s="2406"/>
      <c r="AN100" s="2407"/>
      <c r="AQ100" s="7533"/>
      <c r="AR100" s="7534"/>
      <c r="AS100" s="7535"/>
      <c r="AT100" s="7536"/>
      <c r="AU100" s="7537"/>
      <c r="AV100" s="7538"/>
      <c r="AW100" s="7535"/>
      <c r="AX100" s="7539"/>
      <c r="AZ100" s="7533"/>
      <c r="BA100" s="7534"/>
      <c r="BB100" s="8823"/>
      <c r="BC100" s="8824"/>
      <c r="BD100" s="8825"/>
      <c r="BE100" s="7538"/>
      <c r="BF100" s="8823"/>
      <c r="BG100" s="7539"/>
    </row>
    <row r="101" spans="1:59" x14ac:dyDescent="0.35">
      <c r="A101" s="9568"/>
      <c r="B101" s="2056"/>
      <c r="C101" s="2398"/>
      <c r="D101" s="2318"/>
      <c r="E101" s="2399"/>
      <c r="F101" s="2400"/>
      <c r="G101" s="2401"/>
      <c r="H101" s="2402"/>
      <c r="I101" s="2403"/>
      <c r="J101" s="2404"/>
      <c r="K101" s="2401"/>
      <c r="L101" s="2405"/>
      <c r="M101" s="2404"/>
      <c r="N101" s="2406"/>
      <c r="O101" s="2402"/>
      <c r="P101" s="2403"/>
      <c r="Q101" s="2406"/>
      <c r="R101" s="2404"/>
      <c r="S101" s="2401"/>
      <c r="T101" s="2405"/>
      <c r="U101" s="2406"/>
      <c r="V101" s="2407"/>
      <c r="W101" s="2386"/>
      <c r="X101" s="2402"/>
      <c r="Y101" s="2403"/>
      <c r="Z101" s="2406"/>
      <c r="AA101" s="2404"/>
      <c r="AB101" s="2401"/>
      <c r="AC101" s="2405"/>
      <c r="AD101" s="2406"/>
      <c r="AE101" s="2407"/>
      <c r="AF101" s="2386"/>
      <c r="AG101" s="2402"/>
      <c r="AH101" s="2403"/>
      <c r="AI101" s="2406"/>
      <c r="AJ101" s="2404"/>
      <c r="AK101" s="2401"/>
      <c r="AL101" s="2405"/>
      <c r="AM101" s="2406"/>
      <c r="AN101" s="2407"/>
      <c r="AQ101" s="7533"/>
      <c r="AR101" s="7534"/>
      <c r="AS101" s="7535"/>
      <c r="AT101" s="7536"/>
      <c r="AU101" s="7537"/>
      <c r="AV101" s="7538"/>
      <c r="AW101" s="7535"/>
      <c r="AX101" s="7539"/>
      <c r="AZ101" s="7533"/>
      <c r="BA101" s="7534"/>
      <c r="BB101" s="8823"/>
      <c r="BC101" s="8824"/>
      <c r="BD101" s="8825"/>
      <c r="BE101" s="7538"/>
      <c r="BF101" s="8823"/>
      <c r="BG101" s="7539"/>
    </row>
    <row r="102" spans="1:59" s="2429" customFormat="1" x14ac:dyDescent="0.35">
      <c r="A102" s="9568"/>
      <c r="B102" s="2056"/>
      <c r="C102" s="2398"/>
      <c r="D102" s="2421" t="s">
        <v>580</v>
      </c>
      <c r="E102" s="2422"/>
      <c r="F102" s="2423"/>
      <c r="G102" s="2424"/>
      <c r="H102" s="2425"/>
      <c r="I102" s="2426"/>
      <c r="J102" s="2427"/>
      <c r="K102" s="2424"/>
      <c r="L102" s="2428"/>
      <c r="M102" s="2427"/>
      <c r="N102" s="2406"/>
      <c r="O102" s="2402">
        <f>SUM(O76:O85)/O92</f>
        <v>0.4812177496696296</v>
      </c>
      <c r="P102" s="2403">
        <f>SUM(P76:P85)/P92</f>
        <v>0.50788458308646356</v>
      </c>
      <c r="Q102" s="2406"/>
      <c r="R102" s="2404"/>
      <c r="S102" s="2401"/>
      <c r="T102" s="2405">
        <f>SUM(T76:T85)/T92</f>
        <v>0.47787853883419856</v>
      </c>
      <c r="U102" s="2406"/>
      <c r="V102" s="2407">
        <f>SUM(V76:V85)/V92</f>
        <v>0.55385518699902214</v>
      </c>
      <c r="W102" s="2386"/>
      <c r="X102" s="2402">
        <f>SUM(X76:X85)/X92</f>
        <v>0.47787853883419856</v>
      </c>
      <c r="Y102" s="2403">
        <f>SUM(Y76:Y85)/Y92</f>
        <v>0.55385518699902214</v>
      </c>
      <c r="Z102" s="2406"/>
      <c r="AA102" s="2404"/>
      <c r="AB102" s="2401"/>
      <c r="AC102" s="2405">
        <f>SUM(AC76:AC85)/AC92</f>
        <v>0</v>
      </c>
      <c r="AD102" s="2406"/>
      <c r="AE102" s="2407">
        <f>SUM(AE76:AE85)/AE92</f>
        <v>0</v>
      </c>
      <c r="AF102" s="2386"/>
      <c r="AG102" s="2402">
        <f>SUM(AG76:AG85)/AG92</f>
        <v>0</v>
      </c>
      <c r="AH102" s="2403" t="e">
        <f>SUM(AH76:AH85)/AH92</f>
        <v>#DIV/0!</v>
      </c>
      <c r="AI102" s="2406"/>
      <c r="AJ102" s="2404"/>
      <c r="AK102" s="2401"/>
      <c r="AL102" s="2405">
        <f>SUM(AL76:AL85)/AL92</f>
        <v>0</v>
      </c>
      <c r="AM102" s="2406"/>
      <c r="AN102" s="2407" t="e">
        <f>SUM(AN76:AN85)/AN92</f>
        <v>#DIV/0!</v>
      </c>
      <c r="AO102" s="2005"/>
      <c r="AQ102" s="7533"/>
      <c r="AR102" s="7534"/>
      <c r="AS102" s="7535"/>
      <c r="AT102" s="7536"/>
      <c r="AU102" s="7537"/>
      <c r="AV102" s="7538"/>
      <c r="AW102" s="7535"/>
      <c r="AX102" s="7539"/>
      <c r="AZ102" s="7533"/>
      <c r="BA102" s="7534"/>
      <c r="BB102" s="8823"/>
      <c r="BC102" s="8824"/>
      <c r="BD102" s="8825"/>
      <c r="BE102" s="7538"/>
      <c r="BF102" s="8823"/>
      <c r="BG102" s="7539"/>
    </row>
    <row r="103" spans="1:59" s="2429" customFormat="1" x14ac:dyDescent="0.35">
      <c r="A103" s="9569"/>
      <c r="B103" s="2095"/>
      <c r="C103" s="2430"/>
      <c r="D103" s="2096" t="s">
        <v>581</v>
      </c>
      <c r="E103" s="2298"/>
      <c r="F103" s="2431"/>
      <c r="G103" s="2432"/>
      <c r="H103" s="2433"/>
      <c r="I103" s="2434"/>
      <c r="J103" s="2435"/>
      <c r="K103" s="2432"/>
      <c r="L103" s="2436"/>
      <c r="M103" s="2437"/>
      <c r="N103" s="2406"/>
      <c r="O103" s="2438">
        <f>SUM(O76:O79)/O94</f>
        <v>0.46178709771732429</v>
      </c>
      <c r="P103" s="2439">
        <f>SUM(P76:P79)/P94</f>
        <v>0.50644963843420154</v>
      </c>
      <c r="Q103" s="2440"/>
      <c r="R103" s="2435"/>
      <c r="S103" s="2424"/>
      <c r="T103" s="2441">
        <f>SUM(T76:T79)/T94</f>
        <v>0.46237853615956925</v>
      </c>
      <c r="U103" s="2440"/>
      <c r="V103" s="2442">
        <f>SUM(V76:V79)/V94</f>
        <v>0.55355094452059839</v>
      </c>
      <c r="W103" s="2386"/>
      <c r="X103" s="2438">
        <f>SUM(X76:X79)/X94</f>
        <v>0.46237853615956925</v>
      </c>
      <c r="Y103" s="2439">
        <f>SUM(Y76:Y79)/Y94</f>
        <v>0.55355094452059839</v>
      </c>
      <c r="Z103" s="2440"/>
      <c r="AA103" s="2435"/>
      <c r="AB103" s="2424"/>
      <c r="AC103" s="2441">
        <f>SUM(AC76:AC79)/AC94</f>
        <v>0</v>
      </c>
      <c r="AD103" s="2440"/>
      <c r="AE103" s="2442">
        <f>SUM(AE76:AE79)/AE94</f>
        <v>0</v>
      </c>
      <c r="AF103" s="2386"/>
      <c r="AG103" s="2438">
        <f>SUM(AG76:AG79)/AG94</f>
        <v>0</v>
      </c>
      <c r="AH103" s="2439" t="e">
        <f>SUM(AH76:AH79)/AH94</f>
        <v>#DIV/0!</v>
      </c>
      <c r="AI103" s="2440"/>
      <c r="AJ103" s="2435"/>
      <c r="AK103" s="2424"/>
      <c r="AL103" s="2441">
        <f>SUM(AL76:AL79)/AL94</f>
        <v>0</v>
      </c>
      <c r="AM103" s="2440"/>
      <c r="AN103" s="2442" t="e">
        <f>SUM(AN76:AN79)/AN94</f>
        <v>#DIV/0!</v>
      </c>
      <c r="AO103" s="2005"/>
      <c r="AQ103" s="2438"/>
      <c r="AR103" s="2439"/>
      <c r="AS103" s="7547"/>
      <c r="AT103" s="7548"/>
      <c r="AU103" s="7549"/>
      <c r="AV103" s="2441"/>
      <c r="AW103" s="7547"/>
      <c r="AX103" s="2442"/>
      <c r="AZ103" s="2438"/>
      <c r="BA103" s="2439"/>
      <c r="BB103" s="2440"/>
      <c r="BC103" s="2435"/>
      <c r="BD103" s="2424"/>
      <c r="BE103" s="2441"/>
      <c r="BF103" s="2440"/>
      <c r="BG103" s="2442"/>
    </row>
    <row r="104" spans="1:59" s="2429" customFormat="1" ht="12" customHeight="1" x14ac:dyDescent="0.3">
      <c r="C104" s="2386"/>
      <c r="D104" s="2007"/>
      <c r="E104" s="2386"/>
      <c r="F104" s="2386"/>
      <c r="G104" s="2386"/>
      <c r="H104" s="2443"/>
      <c r="I104" s="2443"/>
      <c r="J104" s="2009"/>
      <c r="K104" s="2386"/>
      <c r="N104" s="2386"/>
      <c r="O104" s="2443"/>
      <c r="P104" s="2443"/>
      <c r="Q104" s="2443"/>
      <c r="R104" s="2009"/>
      <c r="S104" s="2386"/>
      <c r="W104" s="2386"/>
      <c r="X104" s="2443"/>
      <c r="Y104" s="2443"/>
      <c r="Z104" s="2443"/>
      <c r="AA104" s="2009"/>
      <c r="AB104" s="2386"/>
      <c r="AF104" s="2386"/>
      <c r="AG104" s="2443"/>
      <c r="AH104" s="2443"/>
      <c r="AI104" s="2443"/>
      <c r="AJ104" s="2012"/>
      <c r="AK104" s="2386"/>
      <c r="AQ104" s="2443"/>
      <c r="AR104" s="2443"/>
      <c r="AS104" s="2443"/>
      <c r="AT104" s="2012"/>
      <c r="AU104" s="2386"/>
      <c r="AZ104" s="2443"/>
      <c r="BA104" s="2443"/>
      <c r="BB104" s="2443"/>
      <c r="BC104" s="2012"/>
      <c r="BD104" s="2386"/>
    </row>
    <row r="105" spans="1:59" s="2429" customFormat="1" ht="12" x14ac:dyDescent="0.3">
      <c r="A105" s="2444" t="s">
        <v>582</v>
      </c>
      <c r="B105" s="2444"/>
      <c r="C105" s="2386"/>
      <c r="D105" s="2007"/>
      <c r="E105" s="2386"/>
      <c r="F105" s="2386"/>
      <c r="G105" s="2386"/>
      <c r="H105" s="2443"/>
      <c r="I105" s="2443"/>
      <c r="J105" s="2009"/>
      <c r="K105" s="2386"/>
      <c r="N105" s="2386"/>
      <c r="O105" s="2443"/>
      <c r="P105" s="2443"/>
      <c r="Q105" s="2443"/>
      <c r="R105" s="2009"/>
      <c r="S105" s="2386"/>
      <c r="W105" s="2386"/>
      <c r="X105" s="2443"/>
      <c r="Y105" s="2443"/>
      <c r="Z105" s="2443"/>
      <c r="AA105" s="2009"/>
      <c r="AB105" s="2386"/>
      <c r="AF105" s="2386"/>
      <c r="AG105" s="2443"/>
      <c r="AH105" s="2443"/>
      <c r="AI105" s="2443"/>
      <c r="AJ105" s="2012"/>
      <c r="AK105" s="2386"/>
      <c r="AQ105" s="2443"/>
      <c r="AR105" s="2443"/>
      <c r="AS105" s="2443"/>
      <c r="AT105" s="2012"/>
      <c r="AU105" s="2386"/>
      <c r="AZ105" s="2443"/>
      <c r="BA105" s="2443"/>
      <c r="BB105" s="2443"/>
      <c r="BC105" s="2012"/>
      <c r="BD105" s="2386"/>
    </row>
    <row r="106" spans="1:59" s="2429" customFormat="1" ht="12" x14ac:dyDescent="0.3">
      <c r="A106" s="2445">
        <v>1</v>
      </c>
      <c r="B106" s="2446" t="str">
        <f>AO25</f>
        <v>Contributions sociales des employeurs incluses dans les budgets des ministères</v>
      </c>
      <c r="D106" s="2447"/>
      <c r="E106" s="2448"/>
      <c r="F106" s="2448"/>
      <c r="G106" s="2448"/>
      <c r="H106" s="2448"/>
      <c r="I106" s="2448"/>
      <c r="J106" s="2449"/>
      <c r="K106" s="2448"/>
      <c r="L106" s="2448"/>
      <c r="M106" s="2448"/>
      <c r="N106" s="2386"/>
      <c r="O106" s="2448"/>
      <c r="P106" s="2448"/>
      <c r="Q106" s="2448"/>
      <c r="R106" s="2449"/>
      <c r="S106" s="2448"/>
      <c r="T106" s="2448"/>
      <c r="U106" s="2448"/>
      <c r="V106" s="2448"/>
      <c r="W106" s="2386"/>
      <c r="X106" s="2448"/>
      <c r="Y106" s="2448"/>
      <c r="Z106" s="2448"/>
      <c r="AA106" s="2449"/>
      <c r="AB106" s="2448"/>
      <c r="AC106" s="2448"/>
      <c r="AD106" s="2448"/>
      <c r="AE106" s="2448"/>
      <c r="AF106" s="2386"/>
      <c r="AG106" s="2448"/>
      <c r="AH106" s="2448"/>
      <c r="AI106" s="2448"/>
      <c r="AJ106" s="2450"/>
      <c r="AK106" s="2448"/>
      <c r="AL106" s="2448"/>
      <c r="AM106" s="2448"/>
      <c r="AN106" s="2448"/>
      <c r="AQ106" s="2448"/>
      <c r="AR106" s="2448"/>
      <c r="AS106" s="2448"/>
      <c r="AT106" s="2450"/>
      <c r="AU106" s="2448"/>
      <c r="AV106" s="2448"/>
      <c r="AW106" s="2448"/>
      <c r="AX106" s="2448"/>
      <c r="AZ106" s="2448"/>
      <c r="BA106" s="2448"/>
      <c r="BB106" s="2448"/>
      <c r="BC106" s="2450"/>
      <c r="BD106" s="2448"/>
      <c r="BE106" s="2448"/>
      <c r="BF106" s="2448"/>
      <c r="BG106" s="2448"/>
    </row>
    <row r="107" spans="1:59" s="2429" customFormat="1" ht="12" x14ac:dyDescent="0.3">
      <c r="A107" s="2451">
        <v>2</v>
      </c>
      <c r="B107" s="2452" t="str">
        <f>AO45</f>
        <v xml:space="preserve"> Ecole de Service de Santé de Lomé; Ecole de Formation des Sous- Officiers des FAT;Ecole de Formation des Officiers des FAT; Collège Militaire Eyadéma</v>
      </c>
      <c r="D107" s="2007"/>
      <c r="E107" s="2386"/>
      <c r="F107" s="2386"/>
      <c r="G107" s="2386"/>
      <c r="H107" s="2443"/>
      <c r="I107" s="2443"/>
      <c r="J107" s="2009"/>
      <c r="K107" s="2386"/>
      <c r="N107" s="2386"/>
      <c r="O107" s="2443"/>
      <c r="P107" s="2443"/>
      <c r="Q107" s="2443"/>
      <c r="R107" s="2009"/>
      <c r="S107" s="2386"/>
      <c r="W107" s="2386"/>
      <c r="X107" s="2443"/>
      <c r="Y107" s="2443"/>
      <c r="Z107" s="2443"/>
      <c r="AA107" s="2009"/>
      <c r="AB107" s="2386"/>
      <c r="AF107" s="2386"/>
      <c r="AG107" s="2443"/>
      <c r="AH107" s="2443"/>
      <c r="AI107" s="2443"/>
      <c r="AJ107" s="2012"/>
      <c r="AK107" s="2386"/>
      <c r="AQ107" s="2443"/>
      <c r="AR107" s="2443"/>
      <c r="AS107" s="2443"/>
      <c r="AT107" s="2012"/>
      <c r="AU107" s="2386"/>
      <c r="AZ107" s="2443"/>
      <c r="BA107" s="2443"/>
      <c r="BB107" s="2443"/>
      <c r="BC107" s="2012"/>
      <c r="BD107" s="2386"/>
    </row>
    <row r="108" spans="1:59" s="2429" customFormat="1" ht="12" x14ac:dyDescent="0.3">
      <c r="A108" s="2451">
        <v>3</v>
      </c>
      <c r="B108" s="2452" t="str">
        <f>AO47</f>
        <v>Centre de formation des professions de justice</v>
      </c>
      <c r="D108" s="2007"/>
      <c r="E108" s="2386"/>
      <c r="F108" s="2386"/>
      <c r="G108" s="2386"/>
      <c r="H108" s="2443"/>
      <c r="I108" s="2443"/>
      <c r="J108" s="2009"/>
      <c r="K108" s="2386"/>
      <c r="N108" s="2386"/>
      <c r="O108" s="2443"/>
      <c r="P108" s="2443"/>
      <c r="Q108" s="2443"/>
      <c r="R108" s="2009"/>
      <c r="S108" s="2386"/>
      <c r="W108" s="2386"/>
      <c r="X108" s="2443"/>
      <c r="Y108" s="2443"/>
      <c r="Z108" s="2443"/>
      <c r="AA108" s="2009"/>
      <c r="AB108" s="2386"/>
      <c r="AF108" s="2386"/>
      <c r="AG108" s="2443"/>
      <c r="AH108" s="2443"/>
      <c r="AI108" s="2443"/>
      <c r="AJ108" s="2012"/>
      <c r="AK108" s="2386"/>
      <c r="AQ108" s="2443"/>
      <c r="AR108" s="2443"/>
      <c r="AS108" s="2443"/>
      <c r="AT108" s="2012"/>
      <c r="AU108" s="2386"/>
      <c r="AZ108" s="2443"/>
      <c r="BA108" s="2443"/>
      <c r="BB108" s="2443"/>
      <c r="BC108" s="2012"/>
      <c r="BD108" s="2386"/>
    </row>
    <row r="109" spans="1:59" s="2429" customFormat="1" ht="12" x14ac:dyDescent="0.3">
      <c r="A109" s="2451">
        <v>4</v>
      </c>
      <c r="B109" s="2452" t="str">
        <f>AO49</f>
        <v xml:space="preserve">Centre formation santé publique; ENAM, ENSF; ENAS; </v>
      </c>
      <c r="D109" s="2007"/>
      <c r="E109" s="2386"/>
      <c r="F109" s="2386"/>
      <c r="G109" s="2386"/>
      <c r="H109" s="2443"/>
      <c r="I109" s="2443"/>
      <c r="J109" s="2009"/>
      <c r="K109" s="2386"/>
      <c r="N109" s="2386"/>
      <c r="O109" s="2443"/>
      <c r="P109" s="2443"/>
      <c r="Q109" s="2443"/>
      <c r="R109" s="2009"/>
      <c r="S109" s="2386"/>
      <c r="W109" s="2386"/>
      <c r="X109" s="2443"/>
      <c r="Y109" s="2443"/>
      <c r="Z109" s="2443"/>
      <c r="AA109" s="2009"/>
      <c r="AB109" s="2386"/>
      <c r="AF109" s="2386"/>
      <c r="AG109" s="2443"/>
      <c r="AH109" s="2443"/>
      <c r="AI109" s="2443"/>
      <c r="AJ109" s="2012"/>
      <c r="AK109" s="2386"/>
      <c r="AQ109" s="2443"/>
      <c r="AR109" s="2443"/>
      <c r="AS109" s="2443"/>
      <c r="AT109" s="2012"/>
      <c r="AU109" s="2386"/>
      <c r="AZ109" s="2443"/>
      <c r="BA109" s="2443"/>
      <c r="BB109" s="2443"/>
      <c r="BC109" s="2012"/>
      <c r="BD109" s="2386"/>
    </row>
    <row r="110" spans="1:59" s="2429" customFormat="1" ht="12" x14ac:dyDescent="0.3">
      <c r="A110" s="2451">
        <v>5</v>
      </c>
      <c r="B110" s="2452" t="str">
        <f>AO51</f>
        <v>ENA</v>
      </c>
      <c r="D110" s="2007"/>
      <c r="E110" s="2386"/>
      <c r="F110" s="2386"/>
      <c r="G110" s="2386"/>
      <c r="H110" s="2443"/>
      <c r="I110" s="2443"/>
      <c r="J110" s="2009"/>
      <c r="K110" s="2386"/>
      <c r="N110" s="2386"/>
      <c r="O110" s="2443"/>
      <c r="P110" s="2443"/>
      <c r="Q110" s="2443"/>
      <c r="R110" s="2009"/>
      <c r="S110" s="2386"/>
      <c r="W110" s="2386"/>
      <c r="X110" s="2443"/>
      <c r="Y110" s="2443"/>
      <c r="Z110" s="2443"/>
      <c r="AA110" s="2009"/>
      <c r="AB110" s="2386"/>
      <c r="AF110" s="2386"/>
      <c r="AG110" s="2443"/>
      <c r="AH110" s="2443"/>
      <c r="AI110" s="2443"/>
      <c r="AJ110" s="2012"/>
      <c r="AK110" s="2386"/>
      <c r="AQ110" s="2443"/>
      <c r="AR110" s="2443"/>
      <c r="AS110" s="2443"/>
      <c r="AT110" s="2012"/>
      <c r="AU110" s="2386"/>
      <c r="AZ110" s="2443"/>
      <c r="BA110" s="2443"/>
      <c r="BB110" s="2443"/>
      <c r="BC110" s="2012"/>
      <c r="BD110" s="2386"/>
    </row>
    <row r="111" spans="1:59" s="2429" customFormat="1" ht="12" x14ac:dyDescent="0.3">
      <c r="A111" s="2451">
        <v>6</v>
      </c>
      <c r="B111" s="2452" t="str">
        <f>AO53</f>
        <v>Ecole Nationale de Formation Sociale</v>
      </c>
      <c r="D111" s="2007"/>
      <c r="E111" s="2386"/>
      <c r="F111" s="2386"/>
      <c r="G111" s="2386"/>
      <c r="H111" s="2443"/>
      <c r="I111" s="2443"/>
      <c r="J111" s="2009"/>
      <c r="K111" s="2386"/>
      <c r="N111" s="2386"/>
      <c r="O111" s="2443"/>
      <c r="P111" s="2443"/>
      <c r="Q111" s="2443"/>
      <c r="R111" s="2009"/>
      <c r="S111" s="2386"/>
      <c r="W111" s="2386"/>
      <c r="X111" s="2443"/>
      <c r="Y111" s="2443"/>
      <c r="Z111" s="2443"/>
      <c r="AA111" s="2009"/>
      <c r="AB111" s="2386"/>
      <c r="AF111" s="2386"/>
      <c r="AG111" s="2443"/>
      <c r="AH111" s="2443"/>
      <c r="AI111" s="2443"/>
      <c r="AJ111" s="2012"/>
      <c r="AK111" s="2386"/>
      <c r="AQ111" s="2443"/>
      <c r="AR111" s="2443"/>
      <c r="AS111" s="2443"/>
      <c r="AT111" s="2012"/>
      <c r="AU111" s="2386"/>
      <c r="AZ111" s="2443"/>
      <c r="BA111" s="2443"/>
      <c r="BB111" s="2443"/>
      <c r="BC111" s="2012"/>
      <c r="BD111" s="2386"/>
    </row>
    <row r="112" spans="1:59" s="2429" customFormat="1" ht="12" x14ac:dyDescent="0.3">
      <c r="A112" s="2451">
        <v>7</v>
      </c>
      <c r="B112" s="2452" t="str">
        <f>AO58</f>
        <v>Données inutiles car les contributions sociales employeurs sont incluses dans les budgets</v>
      </c>
      <c r="D112" s="2007"/>
      <c r="E112" s="2386"/>
      <c r="F112" s="2386"/>
      <c r="G112" s="2386"/>
      <c r="H112" s="2443"/>
      <c r="I112" s="2443"/>
      <c r="J112" s="2009"/>
      <c r="K112" s="2386"/>
      <c r="N112" s="2386"/>
      <c r="O112" s="2443"/>
      <c r="P112" s="2443"/>
      <c r="Q112" s="2443"/>
      <c r="R112" s="2009"/>
      <c r="S112" s="2386"/>
      <c r="W112" s="2386"/>
      <c r="X112" s="2443"/>
      <c r="Y112" s="2443"/>
      <c r="Z112" s="2443"/>
      <c r="AA112" s="2009"/>
      <c r="AB112" s="2386"/>
      <c r="AF112" s="2386"/>
      <c r="AG112" s="2443"/>
      <c r="AH112" s="2443"/>
      <c r="AI112" s="2443"/>
      <c r="AJ112" s="2012"/>
      <c r="AK112" s="2386"/>
      <c r="AQ112" s="2443"/>
      <c r="AR112" s="2443"/>
      <c r="AS112" s="2443"/>
      <c r="AT112" s="2012"/>
      <c r="AU112" s="2386"/>
      <c r="AZ112" s="2443"/>
      <c r="BA112" s="2443"/>
      <c r="BB112" s="2443"/>
      <c r="BC112" s="2012"/>
      <c r="BD112" s="2386"/>
    </row>
    <row r="113" spans="1:59" s="2429" customFormat="1" ht="12" x14ac:dyDescent="0.3">
      <c r="A113" s="2451"/>
      <c r="B113" s="2386"/>
      <c r="D113" s="2007"/>
      <c r="E113" s="2386"/>
      <c r="F113" s="2386"/>
      <c r="G113" s="2386"/>
      <c r="H113" s="2443"/>
      <c r="I113" s="2443"/>
      <c r="J113" s="2009"/>
      <c r="K113" s="2386"/>
      <c r="N113" s="2386"/>
      <c r="O113" s="2443"/>
      <c r="P113" s="2443"/>
      <c r="Q113" s="2443"/>
      <c r="R113" s="2009"/>
      <c r="S113" s="2386"/>
      <c r="W113" s="2386"/>
      <c r="X113" s="2443"/>
      <c r="Y113" s="2443"/>
      <c r="Z113" s="2443"/>
      <c r="AA113" s="2009"/>
      <c r="AB113" s="2386"/>
      <c r="AF113" s="2386"/>
      <c r="AG113" s="2443"/>
      <c r="AH113" s="2443"/>
      <c r="AI113" s="2443"/>
      <c r="AJ113" s="2012"/>
      <c r="AK113" s="2386"/>
      <c r="AQ113" s="2443"/>
      <c r="AR113" s="2443"/>
      <c r="AS113" s="2443"/>
      <c r="AT113" s="2012"/>
      <c r="AU113" s="2386"/>
      <c r="AZ113" s="2443"/>
      <c r="BA113" s="2443"/>
      <c r="BB113" s="2443"/>
      <c r="BC113" s="2012"/>
      <c r="BD113" s="2386"/>
    </row>
    <row r="114" spans="1:59" s="2429" customFormat="1" ht="12" x14ac:dyDescent="0.3">
      <c r="A114" s="2451"/>
      <c r="B114" s="2386"/>
      <c r="D114" s="2007"/>
      <c r="E114" s="2386"/>
      <c r="F114" s="2386"/>
      <c r="G114" s="2386"/>
      <c r="H114" s="2443"/>
      <c r="I114" s="2443"/>
      <c r="J114" s="2009"/>
      <c r="K114" s="2386"/>
      <c r="N114" s="2386"/>
      <c r="O114" s="2443"/>
      <c r="P114" s="2443"/>
      <c r="Q114" s="2443"/>
      <c r="R114" s="2009"/>
      <c r="S114" s="2386"/>
      <c r="W114" s="2386"/>
      <c r="X114" s="2443"/>
      <c r="Y114" s="2443"/>
      <c r="Z114" s="2443"/>
      <c r="AA114" s="2009"/>
      <c r="AB114" s="2386"/>
      <c r="AF114" s="2386"/>
      <c r="AG114" s="2443"/>
      <c r="AH114" s="2443"/>
      <c r="AI114" s="2443"/>
      <c r="AJ114" s="2012"/>
      <c r="AK114" s="2386"/>
      <c r="AQ114" s="2443"/>
      <c r="AR114" s="2443"/>
      <c r="AS114" s="2443"/>
      <c r="AT114" s="2012"/>
      <c r="AU114" s="2386"/>
      <c r="AZ114" s="2443"/>
      <c r="BA114" s="2443"/>
      <c r="BB114" s="2443"/>
      <c r="BC114" s="2012"/>
      <c r="BD114" s="2386"/>
    </row>
    <row r="115" spans="1:59" s="2429" customFormat="1" ht="12" x14ac:dyDescent="0.3">
      <c r="A115" s="2451"/>
      <c r="B115" s="2386"/>
      <c r="D115" s="2007"/>
      <c r="E115" s="2386"/>
      <c r="F115" s="2386"/>
      <c r="G115" s="2386"/>
      <c r="H115" s="2443"/>
      <c r="I115" s="2443"/>
      <c r="J115" s="2009"/>
      <c r="K115" s="2386"/>
      <c r="N115" s="2386"/>
      <c r="O115" s="2443"/>
      <c r="P115" s="2443"/>
      <c r="Q115" s="2443"/>
      <c r="R115" s="2009"/>
      <c r="S115" s="2386"/>
      <c r="W115" s="2386"/>
      <c r="X115" s="2443"/>
      <c r="Y115" s="2443"/>
      <c r="Z115" s="2443"/>
      <c r="AA115" s="2009"/>
      <c r="AB115" s="2386"/>
      <c r="AF115" s="2386"/>
      <c r="AG115" s="2443"/>
      <c r="AH115" s="2443"/>
      <c r="AI115" s="2443"/>
      <c r="AJ115" s="2012"/>
      <c r="AK115" s="2386"/>
      <c r="AQ115" s="2443"/>
      <c r="AR115" s="2443"/>
      <c r="AS115" s="2443"/>
      <c r="AT115" s="2012"/>
      <c r="AU115" s="2386"/>
      <c r="AZ115" s="2443"/>
      <c r="BA115" s="2443"/>
      <c r="BB115" s="2443"/>
      <c r="BC115" s="2012"/>
      <c r="BD115" s="2386"/>
    </row>
    <row r="116" spans="1:59" s="2429" customFormat="1" ht="12" x14ac:dyDescent="0.3">
      <c r="A116" s="2451"/>
      <c r="B116" s="2386"/>
      <c r="D116" s="2007"/>
      <c r="E116" s="2386"/>
      <c r="F116" s="2386"/>
      <c r="G116" s="2386"/>
      <c r="H116" s="2443"/>
      <c r="I116" s="2443"/>
      <c r="J116" s="2009"/>
      <c r="K116" s="2386"/>
      <c r="N116" s="2386"/>
      <c r="O116" s="2443"/>
      <c r="P116" s="2443"/>
      <c r="Q116" s="2443"/>
      <c r="R116" s="2009"/>
      <c r="S116" s="2386"/>
      <c r="W116" s="2386"/>
      <c r="X116" s="2443"/>
      <c r="Y116" s="2443"/>
      <c r="Z116" s="2443"/>
      <c r="AA116" s="2009"/>
      <c r="AB116" s="2386"/>
      <c r="AF116" s="2386"/>
      <c r="AG116" s="2443"/>
      <c r="AH116" s="2443"/>
      <c r="AI116" s="2443"/>
      <c r="AJ116" s="2012"/>
      <c r="AK116" s="2386"/>
      <c r="AQ116" s="2443"/>
      <c r="AR116" s="2443"/>
      <c r="AS116" s="2443"/>
      <c r="AT116" s="2012"/>
      <c r="AU116" s="2386"/>
      <c r="AZ116" s="2443"/>
      <c r="BA116" s="2443"/>
      <c r="BB116" s="2443"/>
      <c r="BC116" s="2012"/>
      <c r="BD116" s="2386"/>
    </row>
    <row r="117" spans="1:59" s="2429" customFormat="1" x14ac:dyDescent="0.35">
      <c r="A117" s="2451"/>
      <c r="B117" s="2386"/>
      <c r="D117" s="2007"/>
      <c r="E117" s="2386"/>
      <c r="F117" s="2386"/>
      <c r="G117" s="2386"/>
      <c r="H117" s="2443"/>
      <c r="I117" s="2443"/>
      <c r="J117" s="2009"/>
      <c r="K117" s="2386"/>
      <c r="N117" s="2386"/>
      <c r="O117" s="2443"/>
      <c r="P117" s="2443"/>
      <c r="Q117" s="2443"/>
      <c r="R117" s="2009"/>
      <c r="S117" s="2386"/>
      <c r="W117" s="2001"/>
      <c r="X117" s="2443"/>
      <c r="Y117" s="2443"/>
      <c r="Z117" s="2443"/>
      <c r="AA117" s="2009"/>
      <c r="AB117" s="2386"/>
      <c r="AF117" s="2001"/>
      <c r="AG117" s="2443"/>
      <c r="AH117" s="2443"/>
      <c r="AI117" s="2443"/>
      <c r="AJ117" s="2012"/>
      <c r="AK117" s="2386"/>
      <c r="AQ117" s="2443"/>
      <c r="AR117" s="2443"/>
      <c r="AS117" s="2443"/>
      <c r="AT117" s="2012"/>
      <c r="AU117" s="2386"/>
      <c r="AZ117" s="2443"/>
      <c r="BA117" s="2443"/>
      <c r="BB117" s="2443"/>
      <c r="BC117" s="2012"/>
      <c r="BD117" s="2386"/>
    </row>
    <row r="118" spans="1:59" s="2429" customFormat="1" x14ac:dyDescent="0.35">
      <c r="A118" s="2451"/>
      <c r="B118" s="2386"/>
      <c r="D118" s="2007"/>
      <c r="E118" s="2386"/>
      <c r="F118" s="2386"/>
      <c r="G118" s="2386"/>
      <c r="H118" s="2443"/>
      <c r="I118" s="2443"/>
      <c r="J118" s="2009"/>
      <c r="K118" s="2386"/>
      <c r="N118" s="2386"/>
      <c r="O118" s="2443"/>
      <c r="P118" s="2443"/>
      <c r="Q118" s="2443"/>
      <c r="R118" s="2009"/>
      <c r="S118" s="2386"/>
      <c r="W118" s="2001"/>
      <c r="X118" s="2443"/>
      <c r="Y118" s="2443"/>
      <c r="Z118" s="2443"/>
      <c r="AA118" s="2009"/>
      <c r="AB118" s="2386"/>
      <c r="AF118" s="2001"/>
      <c r="AG118" s="2443"/>
      <c r="AH118" s="2443"/>
      <c r="AI118" s="2443"/>
      <c r="AJ118" s="2012"/>
      <c r="AK118" s="2386"/>
      <c r="AQ118" s="2443"/>
      <c r="AR118" s="2443"/>
      <c r="AS118" s="2443"/>
      <c r="AT118" s="2012"/>
      <c r="AU118" s="2386"/>
      <c r="AZ118" s="2443"/>
      <c r="BA118" s="2443"/>
      <c r="BB118" s="2443"/>
      <c r="BC118" s="2012"/>
      <c r="BD118" s="2386"/>
    </row>
    <row r="119" spans="1:59" s="2429" customFormat="1" ht="93" customHeight="1" x14ac:dyDescent="0.35">
      <c r="A119" s="2451"/>
      <c r="B119" s="2386"/>
      <c r="D119" s="2007"/>
      <c r="E119" s="2386"/>
      <c r="F119" s="2386"/>
      <c r="G119" s="2386"/>
      <c r="H119" s="2443"/>
      <c r="I119" s="2443"/>
      <c r="J119" s="2009"/>
      <c r="K119" s="2386"/>
      <c r="N119" s="2386"/>
      <c r="O119" s="2443"/>
      <c r="P119" s="2443"/>
      <c r="Q119" s="2443"/>
      <c r="R119" s="2009"/>
      <c r="S119" s="2386"/>
      <c r="W119" s="2001"/>
      <c r="X119" s="2443"/>
      <c r="Y119" s="2443"/>
      <c r="Z119" s="2443"/>
      <c r="AA119" s="2009"/>
      <c r="AB119" s="2386"/>
      <c r="AF119" s="2001"/>
      <c r="AG119" s="2443"/>
      <c r="AH119" s="2443"/>
      <c r="AI119" s="2443"/>
      <c r="AJ119" s="2012"/>
      <c r="AK119" s="2386"/>
      <c r="AQ119" s="2443"/>
      <c r="AR119" s="2443"/>
      <c r="AS119" s="2443"/>
      <c r="AT119" s="2012"/>
      <c r="AU119" s="2386"/>
      <c r="AZ119" s="2443"/>
      <c r="BA119" s="2443"/>
      <c r="BB119" s="2443"/>
      <c r="BC119" s="2012"/>
      <c r="BD119" s="2386"/>
    </row>
    <row r="120" spans="1:59" x14ac:dyDescent="0.35">
      <c r="A120" s="2004" t="s">
        <v>1002</v>
      </c>
      <c r="B120" s="2004"/>
      <c r="C120" s="2386"/>
      <c r="E120" s="2386"/>
      <c r="F120" s="2386"/>
      <c r="G120" s="2386"/>
      <c r="H120" s="2443"/>
      <c r="I120" s="2443"/>
      <c r="K120" s="2386"/>
      <c r="L120" s="2429"/>
      <c r="M120" s="2429"/>
      <c r="O120" s="2443"/>
      <c r="P120" s="2443"/>
      <c r="Q120" s="2443"/>
      <c r="S120" s="2386"/>
      <c r="T120" s="2429"/>
      <c r="U120" s="2429"/>
      <c r="V120" s="2429"/>
      <c r="X120" s="2443"/>
      <c r="Y120" s="2443"/>
      <c r="Z120" s="2443"/>
      <c r="AB120" s="2386"/>
      <c r="AC120" s="2429"/>
      <c r="AD120" s="2429"/>
      <c r="AE120" s="2429"/>
      <c r="AG120" s="2443"/>
      <c r="AH120" s="2443"/>
      <c r="AI120" s="2443"/>
      <c r="AK120" s="2386"/>
      <c r="AL120" s="2429"/>
      <c r="AM120" s="2429"/>
      <c r="AN120" s="2429"/>
      <c r="AO120" s="2429"/>
      <c r="AQ120" s="2443"/>
      <c r="AR120" s="2443"/>
      <c r="AS120" s="2443"/>
      <c r="AU120" s="2386"/>
      <c r="AV120" s="2429"/>
      <c r="AW120" s="2429"/>
      <c r="AX120" s="2429"/>
      <c r="AZ120" s="2443"/>
      <c r="BA120" s="2443"/>
      <c r="BB120" s="2443"/>
      <c r="BD120" s="2386"/>
      <c r="BE120" s="2429"/>
      <c r="BF120" s="2429"/>
      <c r="BG120" s="2429"/>
    </row>
    <row r="121" spans="1:59" ht="216" x14ac:dyDescent="0.35">
      <c r="A121" s="2453" t="s">
        <v>6121</v>
      </c>
      <c r="B121" s="2454"/>
      <c r="C121" s="2454"/>
      <c r="D121" s="2454"/>
      <c r="E121" s="2454"/>
      <c r="F121" s="2454"/>
      <c r="G121" s="2454"/>
      <c r="H121" s="2454"/>
      <c r="I121" s="2454"/>
      <c r="J121" s="2454"/>
      <c r="K121" s="2454"/>
      <c r="L121" s="2454"/>
      <c r="M121" s="2455"/>
      <c r="O121" s="2456"/>
      <c r="P121" s="2456"/>
      <c r="Q121" s="2456"/>
      <c r="R121" s="2456"/>
      <c r="S121" s="2457"/>
      <c r="T121" s="2457"/>
      <c r="U121" s="2457"/>
      <c r="V121" s="2457"/>
      <c r="X121" s="2456"/>
      <c r="Y121" s="2456"/>
      <c r="Z121" s="2456"/>
      <c r="AA121" s="2456"/>
      <c r="AB121" s="2457"/>
      <c r="AC121" s="2457"/>
      <c r="AD121" s="2457"/>
      <c r="AE121" s="2457"/>
      <c r="AG121" s="2456"/>
      <c r="AH121" s="2456"/>
      <c r="AI121" s="2456"/>
      <c r="AJ121" s="2458"/>
      <c r="AK121" s="2457"/>
      <c r="AL121" s="2457"/>
      <c r="AM121" s="2457"/>
      <c r="AN121" s="2457"/>
      <c r="AO121" s="2429"/>
      <c r="AQ121" s="2456"/>
      <c r="AR121" s="2456"/>
      <c r="AS121" s="2456"/>
      <c r="AT121" s="2458"/>
      <c r="AU121" s="2457"/>
      <c r="AV121" s="2457"/>
      <c r="AW121" s="2457"/>
      <c r="AX121" s="2457"/>
      <c r="AZ121" s="2456"/>
      <c r="BA121" s="2456"/>
      <c r="BB121" s="2456"/>
      <c r="BC121" s="2458"/>
      <c r="BD121" s="2457"/>
      <c r="BE121" s="2457"/>
      <c r="BF121" s="2457"/>
      <c r="BG121" s="2457"/>
    </row>
  </sheetData>
  <mergeCells count="53">
    <mergeCell ref="AZ7:BA7"/>
    <mergeCell ref="BC7:BC8"/>
    <mergeCell ref="BE7:BG7"/>
    <mergeCell ref="AZ1:BG1"/>
    <mergeCell ref="AZ4:BC4"/>
    <mergeCell ref="BE4:BG4"/>
    <mergeCell ref="AZ5:BC5"/>
    <mergeCell ref="BE5:BG5"/>
    <mergeCell ref="AG7:AH7"/>
    <mergeCell ref="AJ7:AJ8"/>
    <mergeCell ref="AL7:AN7"/>
    <mergeCell ref="A10:A30"/>
    <mergeCell ref="A32:A74"/>
    <mergeCell ref="T7:V7"/>
    <mergeCell ref="X7:Y7"/>
    <mergeCell ref="AA7:AA8"/>
    <mergeCell ref="AC7:AE7"/>
    <mergeCell ref="O7:P7"/>
    <mergeCell ref="R7:R8"/>
    <mergeCell ref="A87:A103"/>
    <mergeCell ref="A76:A85"/>
    <mergeCell ref="H7:I7"/>
    <mergeCell ref="J7:J8"/>
    <mergeCell ref="L7:M7"/>
    <mergeCell ref="AO4:AO5"/>
    <mergeCell ref="H5:J5"/>
    <mergeCell ref="L5:M5"/>
    <mergeCell ref="O5:R5"/>
    <mergeCell ref="T5:V5"/>
    <mergeCell ref="X5:AA5"/>
    <mergeCell ref="AC5:AE5"/>
    <mergeCell ref="AG5:AJ5"/>
    <mergeCell ref="AL5:AN5"/>
    <mergeCell ref="F1:M1"/>
    <mergeCell ref="O1:V1"/>
    <mergeCell ref="X1:AE1"/>
    <mergeCell ref="AG1:AN1"/>
    <mergeCell ref="H4:J4"/>
    <mergeCell ref="L4:M4"/>
    <mergeCell ref="O4:R4"/>
    <mergeCell ref="T4:V4"/>
    <mergeCell ref="X4:AA4"/>
    <mergeCell ref="AC4:AE4"/>
    <mergeCell ref="AG4:AJ4"/>
    <mergeCell ref="AL4:AN4"/>
    <mergeCell ref="AQ7:AR7"/>
    <mergeCell ref="AT7:AT8"/>
    <mergeCell ref="AV7:AX7"/>
    <mergeCell ref="AQ1:AX1"/>
    <mergeCell ref="AQ4:AT4"/>
    <mergeCell ref="AV4:AX4"/>
    <mergeCell ref="AQ5:AT5"/>
    <mergeCell ref="AV5:AX5"/>
  </mergeCells>
  <hyperlinks>
    <hyperlink ref="X10" r:id="rId1" xr:uid="{00000000-0004-0000-2C00-000000000000}"/>
    <hyperlink ref="AC32" r:id="rId2" xr:uid="{00000000-0004-0000-2C00-000001000000}"/>
    <hyperlink ref="AM10" r:id="rId3" xr:uid="{00000000-0004-0000-2C00-000002000000}"/>
    <hyperlink ref="AC44" r:id="rId4" xr:uid="{00000000-0004-0000-2C00-000003000000}"/>
    <hyperlink ref="AW10" r:id="rId5" xr:uid="{86EAF9AB-1825-4FD5-B5FF-9E994D4C46E1}"/>
    <hyperlink ref="AX10" r:id="rId6" xr:uid="{DEBEA988-81E0-437B-9A19-F6B1174AB6B3}"/>
    <hyperlink ref="BF10" r:id="rId7" xr:uid="{0256CF41-720F-46F4-A964-B7413B95075B}"/>
    <hyperlink ref="BG10" r:id="rId8" xr:uid="{9488C69D-EFC4-4442-956C-617BDF3F6CD5}"/>
  </hyperlinks>
  <pageMargins left="0.7" right="0.7" top="0.75" bottom="0.75" header="0.3" footer="0.3"/>
  <pageSetup orientation="portrait" r:id="rId9"/>
  <legacyDrawing r:id="rId1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199"/>
  <sheetViews>
    <sheetView topLeftCell="B16" zoomScale="83" zoomScaleNormal="66" workbookViewId="0">
      <pane xSplit="3" topLeftCell="Y1" activePane="topRight" state="frozen"/>
      <selection activeCell="B144" sqref="B144"/>
      <selection pane="topRight" activeCell="Y17" sqref="Y17"/>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customWidth="1"/>
    <col min="10" max="10" width="8.6328125" style="7" customWidth="1"/>
    <col min="11" max="11" width="1.6328125" style="1" customWidth="1"/>
    <col min="12" max="13" width="21.6328125" customWidth="1"/>
    <col min="14" max="14" width="1.6328125" style="1" customWidth="1"/>
    <col min="15" max="16" width="21.6328125" customWidth="1"/>
    <col min="17" max="17" width="19.453125" style="1" customWidth="1"/>
    <col min="18" max="18" width="5.6328125" style="1" customWidth="1"/>
    <col min="19" max="19" width="2.1796875" style="1" customWidth="1"/>
    <col min="20" max="22" width="21.6328125" customWidth="1"/>
    <col min="23" max="23" width="2.36328125" customWidth="1"/>
    <col min="24" max="24" width="25.81640625" customWidth="1"/>
    <col min="25" max="25" width="26.453125" customWidth="1"/>
    <col min="26" max="26" width="19.453125" style="1" customWidth="1"/>
    <col min="27" max="27" width="5.6328125" style="1" customWidth="1"/>
    <col min="28" max="28" width="2.1796875" style="1" customWidth="1"/>
    <col min="29" max="30" width="21.6328125" customWidth="1"/>
    <col min="31" max="31" width="25.453125" customWidth="1"/>
    <col min="32" max="32" width="1.6328125" customWidth="1"/>
    <col min="33" max="33" width="55" hidden="1" customWidth="1"/>
    <col min="34" max="34" width="21.6328125" customWidth="1"/>
    <col min="35" max="35" width="4.81640625" customWidth="1"/>
    <col min="36" max="36" width="25.453125" customWidth="1"/>
    <col min="37" max="37" width="1.6328125" customWidth="1"/>
    <col min="38" max="38" width="8.453125" customWidth="1"/>
    <col min="39" max="39" width="3.453125" customWidth="1"/>
    <col min="40" max="40" width="21.6328125" customWidth="1"/>
    <col min="41" max="41" width="15.453125" customWidth="1"/>
    <col min="42" max="42" width="25.453125" customWidth="1"/>
    <col min="43" max="43" width="1.6328125" customWidth="1"/>
    <col min="44" max="44" width="5.36328125" customWidth="1"/>
    <col min="45" max="45" width="3.1796875" customWidth="1"/>
    <col min="46" max="46" width="21.6328125" customWidth="1"/>
    <col min="47" max="47" width="14.6328125" customWidth="1"/>
    <col min="48" max="48" width="25.453125" customWidth="1"/>
    <col min="49" max="49" width="9.453125" bestFit="1" customWidth="1"/>
    <col min="50" max="50" width="8.453125" customWidth="1"/>
  </cols>
  <sheetData>
    <row r="1" spans="1:50" ht="31" x14ac:dyDescent="0.7">
      <c r="F1" s="9118" t="s">
        <v>585</v>
      </c>
      <c r="G1" s="9119"/>
      <c r="H1" s="9119"/>
      <c r="I1" s="9119"/>
      <c r="J1" s="9119"/>
      <c r="K1" s="9119"/>
      <c r="L1" s="9119"/>
      <c r="M1" s="9120"/>
      <c r="O1" s="9121" t="s">
        <v>395</v>
      </c>
      <c r="P1" s="9122"/>
      <c r="Q1" s="9122"/>
      <c r="R1" s="9122"/>
      <c r="S1" s="9122"/>
      <c r="T1" s="9122"/>
      <c r="U1" s="9122"/>
      <c r="V1" s="9122"/>
      <c r="W1" s="625"/>
      <c r="X1" s="9312" t="s">
        <v>396</v>
      </c>
      <c r="Y1" s="9313"/>
      <c r="Z1" s="9313"/>
      <c r="AA1" s="9313"/>
      <c r="AB1" s="9313"/>
      <c r="AC1" s="9313"/>
      <c r="AD1" s="9313"/>
      <c r="AE1" s="9317"/>
      <c r="AH1" s="9579" t="s">
        <v>397</v>
      </c>
      <c r="AI1" s="9580"/>
      <c r="AJ1" s="9581"/>
      <c r="AN1" s="9575" t="s">
        <v>398</v>
      </c>
      <c r="AO1" s="9576"/>
      <c r="AP1" s="9577"/>
      <c r="AT1" s="9582" t="s">
        <v>399</v>
      </c>
      <c r="AU1" s="9583"/>
      <c r="AV1" s="9584"/>
    </row>
    <row r="2" spans="1:50" ht="21" x14ac:dyDescent="0.5">
      <c r="B2" s="1" t="s">
        <v>9</v>
      </c>
      <c r="C2" s="4" t="s">
        <v>72</v>
      </c>
      <c r="W2" s="5459"/>
      <c r="Y2" s="5460">
        <v>1000000000</v>
      </c>
    </row>
    <row r="4" spans="1:50" s="8" customFormat="1" ht="15.25" customHeight="1" x14ac:dyDescent="0.35">
      <c r="D4" s="579"/>
      <c r="F4" s="8326" t="s">
        <v>400</v>
      </c>
      <c r="H4" s="9130" t="s">
        <v>402</v>
      </c>
      <c r="I4" s="9131"/>
      <c r="J4" s="9132"/>
      <c r="L4" s="9130" t="s">
        <v>402</v>
      </c>
      <c r="M4" s="9132"/>
      <c r="O4" s="9130" t="s">
        <v>3548</v>
      </c>
      <c r="P4" s="9131"/>
      <c r="Q4" s="9131"/>
      <c r="R4" s="9132"/>
      <c r="T4" s="9130"/>
      <c r="U4" s="9131"/>
      <c r="V4" s="9132"/>
      <c r="X4" s="9130" t="s">
        <v>3548</v>
      </c>
      <c r="Y4" s="9131"/>
      <c r="Z4" s="9131"/>
      <c r="AA4" s="9132"/>
      <c r="AC4" s="9130"/>
      <c r="AD4" s="9131"/>
      <c r="AE4" s="9132"/>
      <c r="AF4" s="4915"/>
      <c r="AG4" s="9180" t="s">
        <v>404</v>
      </c>
      <c r="AH4" s="9130"/>
      <c r="AI4" s="9131"/>
      <c r="AJ4" s="9132"/>
      <c r="AK4" s="4915"/>
      <c r="AL4" s="9180" t="s">
        <v>404</v>
      </c>
      <c r="AN4" s="9130"/>
      <c r="AO4" s="9131"/>
      <c r="AP4" s="9132"/>
      <c r="AQ4" s="4915"/>
      <c r="AR4" s="9180" t="s">
        <v>404</v>
      </c>
      <c r="AT4" s="9130"/>
      <c r="AU4" s="9131"/>
      <c r="AV4" s="9132"/>
      <c r="AW4" s="4915"/>
      <c r="AX4" s="9180" t="s">
        <v>404</v>
      </c>
    </row>
    <row r="5" spans="1:50" x14ac:dyDescent="0.35">
      <c r="B5" s="1" t="s">
        <v>406</v>
      </c>
      <c r="C5" s="11">
        <v>2008</v>
      </c>
      <c r="F5" s="8324" t="s">
        <v>2770</v>
      </c>
      <c r="G5" s="12"/>
      <c r="H5" s="9138" t="s">
        <v>2771</v>
      </c>
      <c r="I5" s="9139"/>
      <c r="J5" s="9140"/>
      <c r="L5" s="9138" t="s">
        <v>738</v>
      </c>
      <c r="M5" s="9140"/>
      <c r="O5" s="9138" t="s">
        <v>737</v>
      </c>
      <c r="P5" s="9139"/>
      <c r="Q5" s="9139"/>
      <c r="R5" s="9140"/>
      <c r="T5" s="9138" t="s">
        <v>3242</v>
      </c>
      <c r="U5" s="9139"/>
      <c r="V5" s="9140"/>
      <c r="W5" s="3218"/>
      <c r="X5" s="9138" t="s">
        <v>3242</v>
      </c>
      <c r="Y5" s="9139"/>
      <c r="Z5" s="9139"/>
      <c r="AA5" s="9140"/>
      <c r="AC5" s="9138" t="s">
        <v>3243</v>
      </c>
      <c r="AD5" s="9139"/>
      <c r="AE5" s="9140"/>
      <c r="AF5" s="4916"/>
      <c r="AG5" s="9181"/>
      <c r="AH5" s="9138" t="s">
        <v>2111</v>
      </c>
      <c r="AI5" s="9139"/>
      <c r="AJ5" s="9140"/>
      <c r="AK5" s="4916"/>
      <c r="AL5" s="9181"/>
      <c r="AN5" s="9138" t="s">
        <v>743</v>
      </c>
      <c r="AO5" s="9139"/>
      <c r="AP5" s="9140"/>
      <c r="AQ5" s="4916"/>
      <c r="AR5" s="9181"/>
      <c r="AT5" s="9138" t="s">
        <v>3078</v>
      </c>
      <c r="AU5" s="9139"/>
      <c r="AV5" s="9140"/>
      <c r="AW5" s="4916"/>
      <c r="AX5" s="9181"/>
    </row>
    <row r="6" spans="1:50" x14ac:dyDescent="0.35">
      <c r="C6"/>
      <c r="F6" s="6"/>
      <c r="H6" s="14"/>
      <c r="L6" s="14"/>
      <c r="O6" s="14"/>
      <c r="Q6"/>
      <c r="R6" s="456"/>
      <c r="T6" s="14"/>
      <c r="U6" s="14"/>
      <c r="X6" s="14"/>
      <c r="Z6"/>
      <c r="AA6" s="456"/>
      <c r="AC6" s="14"/>
      <c r="AD6" s="14"/>
      <c r="AG6" s="6"/>
      <c r="AH6" s="14"/>
      <c r="AI6" s="14"/>
      <c r="AL6" s="6"/>
      <c r="AN6" s="14"/>
      <c r="AO6" s="14"/>
      <c r="AR6" s="6"/>
      <c r="AT6" s="14"/>
      <c r="AU6" s="14"/>
      <c r="AX6" s="6"/>
    </row>
    <row r="7" spans="1:50" ht="12.75" customHeight="1" x14ac:dyDescent="0.35">
      <c r="B7" s="1" t="s">
        <v>101</v>
      </c>
      <c r="C7" s="15" t="s">
        <v>6122</v>
      </c>
      <c r="D7" s="2" t="s">
        <v>417</v>
      </c>
      <c r="F7" s="8322" t="s">
        <v>5809</v>
      </c>
      <c r="H7" s="9173" t="s">
        <v>5809</v>
      </c>
      <c r="I7" s="9173"/>
      <c r="J7" s="9147" t="s">
        <v>419</v>
      </c>
      <c r="L7" s="9173" t="s">
        <v>5809</v>
      </c>
      <c r="M7" s="9173"/>
      <c r="O7" s="9149" t="str">
        <f>L7</f>
        <v>Shilling</v>
      </c>
      <c r="P7" s="9150"/>
      <c r="Q7" s="9150"/>
      <c r="R7" s="9151"/>
      <c r="T7" s="9149" t="s">
        <v>5809</v>
      </c>
      <c r="U7" s="9150"/>
      <c r="V7" s="9151"/>
      <c r="W7" s="5461"/>
      <c r="X7" s="9149">
        <f>U7</f>
        <v>0</v>
      </c>
      <c r="Y7" s="9150"/>
      <c r="Z7" s="9150"/>
      <c r="AA7" s="9151"/>
      <c r="AC7" s="9149" t="s">
        <v>5809</v>
      </c>
      <c r="AD7" s="9150"/>
      <c r="AE7" s="9151"/>
      <c r="AF7" s="5462"/>
      <c r="AG7" s="18"/>
      <c r="AH7" s="9149" t="s">
        <v>124</v>
      </c>
      <c r="AI7" s="9150"/>
      <c r="AJ7" s="9151"/>
      <c r="AK7" s="5462"/>
      <c r="AL7" s="18"/>
      <c r="AN7" s="9149" t="s">
        <v>124</v>
      </c>
      <c r="AO7" s="9150"/>
      <c r="AP7" s="9151"/>
      <c r="AQ7" s="5462"/>
      <c r="AR7" s="18"/>
      <c r="AT7" s="9149" t="s">
        <v>124</v>
      </c>
      <c r="AU7" s="9150"/>
      <c r="AV7" s="9151"/>
      <c r="AW7" s="5462"/>
      <c r="AX7" s="18"/>
    </row>
    <row r="8" spans="1:50" x14ac:dyDescent="0.35">
      <c r="B8" s="1" t="s">
        <v>420</v>
      </c>
      <c r="C8" s="19" t="s">
        <v>747</v>
      </c>
      <c r="F8" s="20" t="s">
        <v>96</v>
      </c>
      <c r="H8" s="21" t="s">
        <v>1298</v>
      </c>
      <c r="I8" s="20" t="s">
        <v>96</v>
      </c>
      <c r="J8" s="9148"/>
      <c r="L8" s="21" t="s">
        <v>1298</v>
      </c>
      <c r="M8" s="20" t="s">
        <v>96</v>
      </c>
      <c r="O8" s="4151" t="s">
        <v>3553</v>
      </c>
      <c r="P8" s="22" t="s">
        <v>96</v>
      </c>
      <c r="Q8" s="23"/>
      <c r="R8" s="5041"/>
      <c r="T8" s="21" t="s">
        <v>2114</v>
      </c>
      <c r="U8" s="21"/>
      <c r="V8" s="20" t="s">
        <v>96</v>
      </c>
      <c r="W8" s="5463"/>
      <c r="X8" s="4151" t="s">
        <v>3553</v>
      </c>
      <c r="Y8" s="22" t="s">
        <v>96</v>
      </c>
      <c r="Z8" s="23"/>
      <c r="AA8" s="5041"/>
      <c r="AC8" s="21" t="s">
        <v>2114</v>
      </c>
      <c r="AD8" s="21"/>
      <c r="AE8" s="20" t="s">
        <v>96</v>
      </c>
      <c r="AF8" s="3021"/>
      <c r="AG8" s="24"/>
      <c r="AH8" s="21" t="s">
        <v>2114</v>
      </c>
      <c r="AI8" s="21"/>
      <c r="AJ8" s="20" t="s">
        <v>96</v>
      </c>
      <c r="AK8" s="3021"/>
      <c r="AL8" s="24"/>
      <c r="AN8" s="21" t="s">
        <v>2114</v>
      </c>
      <c r="AO8" s="21"/>
      <c r="AP8" s="20" t="s">
        <v>96</v>
      </c>
      <c r="AQ8" s="3021"/>
      <c r="AR8" s="24"/>
      <c r="AT8" s="21" t="s">
        <v>2114</v>
      </c>
      <c r="AU8" s="21"/>
      <c r="AV8" s="20" t="s">
        <v>96</v>
      </c>
      <c r="AW8" s="3021"/>
      <c r="AX8" s="24"/>
    </row>
    <row r="9" spans="1:50" x14ac:dyDescent="0.35">
      <c r="C9"/>
      <c r="E9"/>
      <c r="F9"/>
      <c r="G9"/>
      <c r="J9" s="25"/>
      <c r="K9"/>
      <c r="N9"/>
      <c r="Q9"/>
      <c r="R9"/>
      <c r="S9"/>
      <c r="Z9"/>
      <c r="AA9"/>
      <c r="AB9"/>
    </row>
    <row r="10" spans="1:50" ht="33.25" customHeight="1" x14ac:dyDescent="0.35">
      <c r="A10" s="9167" t="s">
        <v>426</v>
      </c>
      <c r="B10" s="27"/>
      <c r="C10" s="28" t="s">
        <v>427</v>
      </c>
      <c r="D10" s="580" t="s">
        <v>428</v>
      </c>
      <c r="E10" s="30"/>
      <c r="F10" s="36" t="s">
        <v>6123</v>
      </c>
      <c r="G10"/>
      <c r="H10" s="9155" t="s">
        <v>6124</v>
      </c>
      <c r="I10" s="9156"/>
      <c r="J10" s="32"/>
      <c r="K10" s="33"/>
      <c r="L10" s="9155" t="s">
        <v>6125</v>
      </c>
      <c r="M10" s="9156"/>
      <c r="N10" s="33"/>
      <c r="O10" s="8314" t="s">
        <v>6125</v>
      </c>
      <c r="P10" s="8314" t="s">
        <v>6126</v>
      </c>
      <c r="Q10" s="8853" t="s">
        <v>6127</v>
      </c>
      <c r="R10" s="28"/>
      <c r="S10" s="30"/>
      <c r="T10" s="8314" t="s">
        <v>6126</v>
      </c>
      <c r="U10" s="8358" t="s">
        <v>6127</v>
      </c>
      <c r="V10" s="8314" t="s">
        <v>6126</v>
      </c>
      <c r="W10" s="1540"/>
      <c r="X10" s="8314" t="s">
        <v>6126</v>
      </c>
      <c r="Y10" s="8314" t="s">
        <v>6126</v>
      </c>
      <c r="Z10" s="8854" t="s">
        <v>6128</v>
      </c>
      <c r="AA10" s="28"/>
      <c r="AB10" s="30"/>
      <c r="AC10" s="36" t="s">
        <v>6129</v>
      </c>
      <c r="AD10" s="8855" t="s">
        <v>6130</v>
      </c>
      <c r="AE10" s="36" t="s">
        <v>6129</v>
      </c>
      <c r="AF10" s="1541"/>
      <c r="AG10" s="39"/>
      <c r="AH10" s="36" t="s">
        <v>6131</v>
      </c>
      <c r="AI10" s="652" t="s">
        <v>6132</v>
      </c>
      <c r="AJ10" s="36" t="s">
        <v>6131</v>
      </c>
      <c r="AK10" s="1541"/>
      <c r="AL10" s="39"/>
      <c r="AN10" s="36" t="s">
        <v>6133</v>
      </c>
      <c r="AO10" s="652"/>
      <c r="AP10" s="36" t="s">
        <v>6133</v>
      </c>
      <c r="AQ10" s="1541"/>
      <c r="AR10" s="39"/>
      <c r="AT10" s="36" t="s">
        <v>6134</v>
      </c>
      <c r="AU10" s="652" t="s">
        <v>6135</v>
      </c>
      <c r="AV10" s="36" t="s">
        <v>6134</v>
      </c>
      <c r="AW10" s="1541"/>
      <c r="AX10" s="39"/>
    </row>
    <row r="11" spans="1:50" ht="12.75" customHeight="1" x14ac:dyDescent="0.35">
      <c r="A11" s="9168"/>
      <c r="B11" s="40" t="s">
        <v>451</v>
      </c>
      <c r="C11" s="41"/>
      <c r="D11" s="585"/>
      <c r="E11" s="43"/>
      <c r="F11" s="44"/>
      <c r="G11"/>
      <c r="H11" s="45"/>
      <c r="I11" s="5464"/>
      <c r="J11" s="47"/>
      <c r="K11" s="50"/>
      <c r="L11" s="45"/>
      <c r="M11" s="5464"/>
      <c r="N11" s="50"/>
      <c r="O11" s="45"/>
      <c r="P11" s="5465"/>
      <c r="Q11" s="5466" t="s">
        <v>6136</v>
      </c>
      <c r="R11" s="3625"/>
      <c r="S11" s="43"/>
      <c r="T11" s="62"/>
      <c r="U11" s="5467" t="s">
        <v>6136</v>
      </c>
      <c r="V11" s="62"/>
      <c r="W11" s="5013"/>
      <c r="X11" s="45"/>
      <c r="Y11" s="5465"/>
      <c r="Z11" s="5468"/>
      <c r="AA11" s="1927"/>
      <c r="AB11" s="43"/>
      <c r="AC11" s="289"/>
      <c r="AD11" s="5469"/>
      <c r="AE11" s="289"/>
      <c r="AF11" s="106"/>
      <c r="AG11" s="18"/>
      <c r="AH11" s="289"/>
      <c r="AI11" s="5469"/>
      <c r="AJ11" s="289"/>
      <c r="AK11" s="106"/>
      <c r="AL11" s="18"/>
      <c r="AN11" s="289"/>
      <c r="AO11" s="5469"/>
      <c r="AP11" s="289"/>
      <c r="AQ11" s="106"/>
      <c r="AR11" s="18"/>
      <c r="AT11" s="289"/>
      <c r="AU11" s="5469"/>
      <c r="AV11" s="289"/>
      <c r="AW11" s="106"/>
      <c r="AX11" s="18"/>
    </row>
    <row r="12" spans="1:50" x14ac:dyDescent="0.35">
      <c r="A12" s="9168"/>
      <c r="B12" s="58"/>
      <c r="C12" s="59" t="s">
        <v>456</v>
      </c>
      <c r="D12" s="197"/>
      <c r="F12" s="61">
        <v>6399000000000</v>
      </c>
      <c r="G12"/>
      <c r="H12" s="62">
        <f>8578500000000+182100000000</f>
        <v>8760600000000</v>
      </c>
      <c r="I12" s="1553">
        <f>8029800000000+136900000000</f>
        <v>8166700000000</v>
      </c>
      <c r="J12" s="476">
        <f>IF(H12=0,0,I12/H12)</f>
        <v>0.93220783964568632</v>
      </c>
      <c r="K12" s="67"/>
      <c r="L12" s="62">
        <v>9782100000000</v>
      </c>
      <c r="M12" s="1553">
        <f>9713800000000+221500000000</f>
        <v>9935300000000</v>
      </c>
      <c r="N12" s="67"/>
      <c r="O12" s="62">
        <v>9782100000000</v>
      </c>
      <c r="P12" s="477">
        <v>10114000000000</v>
      </c>
      <c r="Q12" s="5467" t="s">
        <v>6137</v>
      </c>
      <c r="R12" s="110"/>
      <c r="T12" s="62">
        <f>11401.2*1000000000</f>
        <v>11401200000000</v>
      </c>
      <c r="U12" s="5467" t="s">
        <v>6137</v>
      </c>
      <c r="V12" s="62">
        <f>11498.5*1000000000</f>
        <v>11498500000000</v>
      </c>
      <c r="W12" s="5013"/>
      <c r="X12" s="3626">
        <f>T12</f>
        <v>11401200000000</v>
      </c>
      <c r="Y12" s="5470">
        <f>(11377+121)*Y2</f>
        <v>11498000000000</v>
      </c>
      <c r="Z12" s="5469"/>
      <c r="AA12" s="110"/>
      <c r="AC12" s="5471">
        <f>(12782+132)*Y2</f>
        <v>12914000000000</v>
      </c>
      <c r="AD12" s="5472" t="s">
        <v>6138</v>
      </c>
      <c r="AE12" s="5471">
        <f>(12817+130)*Y2</f>
        <v>12947000000000</v>
      </c>
      <c r="AF12" s="106"/>
      <c r="AG12" s="5473"/>
      <c r="AH12" s="5471">
        <v>15062</v>
      </c>
      <c r="AI12" s="5472" t="s">
        <v>6139</v>
      </c>
      <c r="AJ12" s="5471">
        <v>14506.9</v>
      </c>
      <c r="AK12" s="106"/>
      <c r="AL12" s="5473"/>
      <c r="AN12" s="8856">
        <v>16358.81</v>
      </c>
      <c r="AO12" s="7550" t="s">
        <v>6140</v>
      </c>
      <c r="AP12" s="61">
        <v>16637.79</v>
      </c>
      <c r="AQ12" s="106"/>
      <c r="AR12" s="5473"/>
      <c r="AT12" s="2706">
        <v>20646.47</v>
      </c>
      <c r="AU12" s="7550" t="s">
        <v>6140</v>
      </c>
      <c r="AV12" s="2706">
        <v>17285.86</v>
      </c>
      <c r="AW12" s="8829">
        <f>AV12/AT12</f>
        <v>0.83723077116814637</v>
      </c>
      <c r="AX12" s="5473" t="s">
        <v>6141</v>
      </c>
    </row>
    <row r="13" spans="1:50" x14ac:dyDescent="0.35">
      <c r="A13" s="9168"/>
      <c r="B13" s="58"/>
      <c r="C13" s="4192" t="s">
        <v>1041</v>
      </c>
      <c r="D13" s="197"/>
      <c r="F13" s="61">
        <v>891000000000</v>
      </c>
      <c r="G13"/>
      <c r="H13" s="62">
        <v>909700000000</v>
      </c>
      <c r="I13" s="1553">
        <v>708700000000</v>
      </c>
      <c r="J13" s="73">
        <f>IF(H13=0,0,I13/H13)</f>
        <v>0.77904803781466414</v>
      </c>
      <c r="K13" s="67"/>
      <c r="L13" s="62">
        <v>1290600000000</v>
      </c>
      <c r="M13" s="1553">
        <v>930800000000</v>
      </c>
      <c r="N13" s="67"/>
      <c r="O13" s="62">
        <v>1290600000000</v>
      </c>
      <c r="P13" s="477">
        <v>930900000000</v>
      </c>
      <c r="Q13" s="67"/>
      <c r="R13" s="110"/>
      <c r="T13" s="62">
        <f>1295.1*1000000000</f>
        <v>1295100000000</v>
      </c>
      <c r="U13" s="106"/>
      <c r="V13" s="1553">
        <f>1146.4*1000000000</f>
        <v>1146400000000</v>
      </c>
      <c r="W13" s="5013"/>
      <c r="X13" s="3626">
        <f>T13</f>
        <v>1295100000000</v>
      </c>
      <c r="Y13" s="5470">
        <f>965*Y2</f>
        <v>965000000000</v>
      </c>
      <c r="Z13" s="5469"/>
      <c r="AA13" s="110"/>
      <c r="AC13" s="5471">
        <f>1545*Y2</f>
        <v>1545000000000</v>
      </c>
      <c r="AD13" s="106"/>
      <c r="AE13" s="5474">
        <f>721*Y2</f>
        <v>721000000000</v>
      </c>
      <c r="AF13" s="66"/>
      <c r="AG13" s="26"/>
      <c r="AH13" s="5471">
        <v>1636</v>
      </c>
      <c r="AI13" s="106"/>
      <c r="AJ13" s="5471">
        <v>643</v>
      </c>
      <c r="AK13" s="66"/>
      <c r="AL13" s="26"/>
      <c r="AN13" s="3930">
        <v>1687.35</v>
      </c>
      <c r="AO13" s="7550" t="s">
        <v>6140</v>
      </c>
      <c r="AP13" s="3930">
        <v>695.17</v>
      </c>
      <c r="AQ13" s="66"/>
      <c r="AR13" s="26"/>
      <c r="AT13" s="2706">
        <v>1899.95</v>
      </c>
      <c r="AU13" s="7550"/>
      <c r="AV13" s="3930">
        <v>788.18</v>
      </c>
      <c r="AW13" s="8829">
        <f t="shared" ref="AW13:AW25" si="0">AV13/AT13</f>
        <v>0.41484249585515404</v>
      </c>
      <c r="AX13" s="26"/>
    </row>
    <row r="14" spans="1:50" x14ac:dyDescent="0.35">
      <c r="A14" s="9168"/>
      <c r="B14" s="75"/>
      <c r="C14" s="4197" t="s">
        <v>6142</v>
      </c>
      <c r="D14" s="197"/>
      <c r="F14" s="77"/>
      <c r="G14"/>
      <c r="H14" s="78"/>
      <c r="I14" s="1553"/>
      <c r="J14" s="73"/>
      <c r="K14" s="67"/>
      <c r="L14" s="78"/>
      <c r="M14" s="1553"/>
      <c r="N14" s="67"/>
      <c r="O14" s="78"/>
      <c r="P14" s="477"/>
      <c r="Q14" s="67"/>
      <c r="R14" s="110"/>
      <c r="T14" s="78"/>
      <c r="U14" s="106"/>
      <c r="V14" s="477"/>
      <c r="W14" s="5013"/>
      <c r="X14" s="78"/>
      <c r="Y14" s="477"/>
      <c r="Z14" s="5469"/>
      <c r="AA14" s="110"/>
      <c r="AC14" s="77"/>
      <c r="AD14" s="106"/>
      <c r="AE14" s="4612"/>
      <c r="AF14" s="106"/>
      <c r="AG14" s="26"/>
      <c r="AH14" s="77">
        <v>0</v>
      </c>
      <c r="AI14" s="106"/>
      <c r="AJ14" s="77">
        <v>0</v>
      </c>
      <c r="AK14" s="106"/>
      <c r="AL14" s="26"/>
      <c r="AN14" s="77"/>
      <c r="AO14" s="7550"/>
      <c r="AP14" s="77"/>
      <c r="AQ14" s="106"/>
      <c r="AR14" s="26"/>
      <c r="AT14" s="77"/>
      <c r="AU14" s="7550"/>
      <c r="AV14" s="77"/>
      <c r="AW14" s="8829"/>
      <c r="AX14" s="26"/>
    </row>
    <row r="15" spans="1:50" x14ac:dyDescent="0.35">
      <c r="A15" s="9168"/>
      <c r="B15" s="85"/>
      <c r="C15" s="6538" t="s">
        <v>466</v>
      </c>
      <c r="D15" s="209"/>
      <c r="F15" s="88">
        <f>SUM(F12:F13)</f>
        <v>7290000000000</v>
      </c>
      <c r="G15"/>
      <c r="H15" s="89">
        <f>SUM(H12:H13)</f>
        <v>9670300000000</v>
      </c>
      <c r="I15" s="1559">
        <f>SUM(I12:I13)</f>
        <v>8875400000000</v>
      </c>
      <c r="J15" s="91">
        <f>IF(H15=0,0,I15/H15)</f>
        <v>0.91779986143139303</v>
      </c>
      <c r="K15" s="67"/>
      <c r="L15" s="89">
        <f>SUM(L12:L13)</f>
        <v>11072700000000</v>
      </c>
      <c r="M15" s="1559">
        <f>SUM(M12:M13)</f>
        <v>10866100000000</v>
      </c>
      <c r="N15" s="67"/>
      <c r="O15" s="89">
        <f>SUM(O12:O13)</f>
        <v>11072700000000</v>
      </c>
      <c r="P15" s="479">
        <f>SUM(P12:P13)</f>
        <v>11044900000000</v>
      </c>
      <c r="Q15" s="5475"/>
      <c r="R15" s="129"/>
      <c r="T15" s="89">
        <f>SUM(T12:T13)</f>
        <v>12696300000000</v>
      </c>
      <c r="U15" s="5476"/>
      <c r="V15" s="89">
        <f>SUM(V12:V13)</f>
        <v>12644900000000</v>
      </c>
      <c r="W15" s="5013"/>
      <c r="X15" s="1776">
        <f>SUM(X12:X13)</f>
        <v>12696300000000</v>
      </c>
      <c r="Y15" s="5477">
        <f>SUM(Y12:Y13)</f>
        <v>12463000000000</v>
      </c>
      <c r="Z15" s="5478"/>
      <c r="AA15" s="129"/>
      <c r="AC15" s="4875">
        <f>SUM(AC12:AC13)</f>
        <v>14459000000000</v>
      </c>
      <c r="AD15" s="106"/>
      <c r="AE15" s="4875">
        <f>SUM(AE12:AE13)</f>
        <v>13668000000000</v>
      </c>
      <c r="AF15" s="106"/>
      <c r="AG15" s="24"/>
      <c r="AH15" s="4875">
        <f>SUM(AH12:AH13)</f>
        <v>16698</v>
      </c>
      <c r="AI15" s="106"/>
      <c r="AJ15" s="4875">
        <f>SUM(AJ12:AJ13)</f>
        <v>15149.9</v>
      </c>
      <c r="AK15" s="106"/>
      <c r="AL15" s="24"/>
      <c r="AN15" s="88">
        <f>SUM(AN12:AN13)</f>
        <v>18046.16</v>
      </c>
      <c r="AO15" s="7550" t="s">
        <v>6140</v>
      </c>
      <c r="AP15" s="88">
        <f>SUM(AP12:AP13)</f>
        <v>17332.96</v>
      </c>
      <c r="AQ15" s="106"/>
      <c r="AR15" s="24"/>
      <c r="AT15" s="2722">
        <f>SUM(AT12:AT13)</f>
        <v>22546.420000000002</v>
      </c>
      <c r="AU15" s="7550"/>
      <c r="AV15" s="2722">
        <f>SUM(AV12:AV13)</f>
        <v>18074.04</v>
      </c>
      <c r="AW15" s="8829">
        <f t="shared" si="0"/>
        <v>0.80163680087570444</v>
      </c>
      <c r="AX15" s="24"/>
    </row>
    <row r="16" spans="1:50" x14ac:dyDescent="0.35">
      <c r="A16" s="9168"/>
      <c r="B16" s="100" t="s">
        <v>468</v>
      </c>
      <c r="C16" s="6556"/>
      <c r="D16" s="585"/>
      <c r="E16" s="43"/>
      <c r="F16" s="101"/>
      <c r="G16"/>
      <c r="H16" s="102"/>
      <c r="I16" s="105"/>
      <c r="J16" s="104"/>
      <c r="K16" s="43"/>
      <c r="L16" s="102"/>
      <c r="M16" s="105"/>
      <c r="N16" s="43"/>
      <c r="O16" s="102" t="s">
        <v>6143</v>
      </c>
      <c r="P16" s="105" t="s">
        <v>6137</v>
      </c>
      <c r="Q16" s="5466" t="s">
        <v>6136</v>
      </c>
      <c r="R16" s="43"/>
      <c r="S16" s="43"/>
      <c r="T16" s="102"/>
      <c r="U16" s="5466" t="s">
        <v>6136</v>
      </c>
      <c r="V16" s="105"/>
      <c r="W16" s="5013"/>
      <c r="X16" s="102"/>
      <c r="Y16" s="105"/>
      <c r="Z16" s="5468"/>
      <c r="AA16" s="1927"/>
      <c r="AB16" s="43"/>
      <c r="AC16" s="227"/>
      <c r="AD16" s="106"/>
      <c r="AE16" s="227"/>
      <c r="AF16" s="66"/>
      <c r="AG16" s="18"/>
      <c r="AH16" s="227"/>
      <c r="AI16" s="106"/>
      <c r="AJ16" s="227"/>
      <c r="AK16" s="66"/>
      <c r="AL16" s="18"/>
      <c r="AN16" s="227" t="s">
        <v>6140</v>
      </c>
      <c r="AO16" s="106"/>
      <c r="AP16" s="227" t="s">
        <v>6140</v>
      </c>
      <c r="AQ16" s="66"/>
      <c r="AR16" s="18"/>
      <c r="AT16" s="227"/>
      <c r="AU16" s="106"/>
      <c r="AV16" s="227"/>
      <c r="AW16" s="8829"/>
      <c r="AX16" s="18"/>
    </row>
    <row r="17" spans="1:50" x14ac:dyDescent="0.35">
      <c r="A17" s="9168"/>
      <c r="B17" s="6082"/>
      <c r="C17" s="1893" t="s">
        <v>470</v>
      </c>
      <c r="D17" s="197"/>
      <c r="F17" s="111">
        <f>F23-F18-F21</f>
        <v>6959000000000</v>
      </c>
      <c r="G17"/>
      <c r="H17" s="112">
        <f>H23-H18-H21</f>
        <v>7503600000000</v>
      </c>
      <c r="I17" s="482">
        <f>I23-I18-I21</f>
        <v>7520200000000</v>
      </c>
      <c r="J17" s="476">
        <f>IF(H17=0,0,I17/H17)</f>
        <v>1.0022122714430406</v>
      </c>
      <c r="L17" s="112">
        <f>L23-L18-L21</f>
        <v>8585700000000</v>
      </c>
      <c r="M17" s="482">
        <f>M23-M18-M21</f>
        <v>8467700000000</v>
      </c>
      <c r="O17" s="112">
        <f>9667600000000-O21</f>
        <v>8584700000000</v>
      </c>
      <c r="P17" s="482">
        <f>7689200000000-P21</f>
        <v>6476300000000</v>
      </c>
      <c r="Q17" s="5467"/>
      <c r="T17" s="114">
        <f>8681*1000000000-T21</f>
        <v>6993400000000</v>
      </c>
      <c r="U17" s="5467" t="s">
        <v>6137</v>
      </c>
      <c r="V17" s="114">
        <f>9185*1000000000-V21</f>
        <v>7496800000000</v>
      </c>
      <c r="W17" s="5013"/>
      <c r="X17" s="3164">
        <v>6993400000000</v>
      </c>
      <c r="Y17" s="5362">
        <v>7487000000000</v>
      </c>
      <c r="Z17" s="5469"/>
      <c r="AA17" s="110"/>
      <c r="AC17" s="3522">
        <f>(9600*1000000000)-AC21</f>
        <v>7577000000000</v>
      </c>
      <c r="AD17" s="5472" t="s">
        <v>6138</v>
      </c>
      <c r="AE17" s="3522">
        <f>(9958*1000000000)-AE21</f>
        <v>7634000000000</v>
      </c>
      <c r="AF17" s="106"/>
      <c r="AG17" s="26"/>
      <c r="AH17" s="5479">
        <f>10652-AH21</f>
        <v>7998.7</v>
      </c>
      <c r="AI17" s="5472" t="s">
        <v>6139</v>
      </c>
      <c r="AJ17" s="5479">
        <f>10899.7-AJ21</f>
        <v>8655.5</v>
      </c>
      <c r="AK17" s="106"/>
      <c r="AL17" s="26"/>
      <c r="AN17" s="7010">
        <f>12249.63-AN21</f>
        <v>9553.4499999999989</v>
      </c>
      <c r="AO17" s="7551"/>
      <c r="AP17" s="7010">
        <f>12311.76-AP21</f>
        <v>9848.2999999999993</v>
      </c>
      <c r="AQ17" s="106"/>
      <c r="AR17" s="26"/>
      <c r="AT17" s="7010">
        <f>15127.43-3145.11</f>
        <v>11982.32</v>
      </c>
      <c r="AU17" s="7550" t="s">
        <v>6144</v>
      </c>
      <c r="AV17" s="7010">
        <f>15047.73-2886.94</f>
        <v>12160.789999999999</v>
      </c>
      <c r="AW17" s="8829">
        <f t="shared" si="0"/>
        <v>1.014894444481536</v>
      </c>
      <c r="AX17" s="26"/>
    </row>
    <row r="18" spans="1:50" x14ac:dyDescent="0.35">
      <c r="A18" s="9168"/>
      <c r="B18" s="6082"/>
      <c r="C18" s="1893" t="s">
        <v>502</v>
      </c>
      <c r="D18" s="197"/>
      <c r="F18" s="122">
        <v>1323000000000</v>
      </c>
      <c r="G18"/>
      <c r="H18" s="114">
        <v>4586000000000</v>
      </c>
      <c r="I18" s="482">
        <v>2924600000000</v>
      </c>
      <c r="J18" s="476">
        <f>IF(H18=0,0,I18/H18)</f>
        <v>0.63772350632359354</v>
      </c>
      <c r="L18" s="114">
        <v>3823500000000</v>
      </c>
      <c r="M18" s="482">
        <v>3220300000000</v>
      </c>
      <c r="O18" s="114"/>
      <c r="P18" s="482"/>
      <c r="T18" s="114"/>
      <c r="U18" s="106"/>
      <c r="V18" s="482"/>
      <c r="W18" s="5013"/>
      <c r="X18" s="114"/>
      <c r="Y18" s="482"/>
      <c r="Z18" s="5469"/>
      <c r="AA18" s="110"/>
      <c r="AC18" s="122"/>
      <c r="AD18" s="106"/>
      <c r="AE18" s="122"/>
      <c r="AF18" s="66"/>
      <c r="AG18" s="26"/>
      <c r="AH18" s="122"/>
      <c r="AI18" s="5472" t="s">
        <v>6139</v>
      </c>
      <c r="AJ18" s="122"/>
      <c r="AK18" s="66"/>
      <c r="AL18" s="26"/>
      <c r="AN18" s="7552"/>
      <c r="AO18" s="7553"/>
      <c r="AP18" s="7552"/>
      <c r="AQ18" s="66"/>
      <c r="AR18" s="26"/>
      <c r="AT18" s="7552"/>
      <c r="AU18" s="7553"/>
      <c r="AV18" s="7552"/>
      <c r="AW18" s="8829"/>
      <c r="AX18" s="26"/>
    </row>
    <row r="19" spans="1:50" x14ac:dyDescent="0.35">
      <c r="A19" s="9168"/>
      <c r="B19" s="6082"/>
      <c r="C19" s="1893" t="s">
        <v>3586</v>
      </c>
      <c r="D19" s="197"/>
      <c r="F19" s="122"/>
      <c r="G19"/>
      <c r="H19" s="114"/>
      <c r="I19" s="482"/>
      <c r="J19" s="476"/>
      <c r="L19" s="114"/>
      <c r="M19" s="482"/>
      <c r="O19" s="114">
        <v>2066500000000</v>
      </c>
      <c r="P19" s="482">
        <v>3296500000000</v>
      </c>
      <c r="T19" s="114">
        <v>3750500000000</v>
      </c>
      <c r="U19" s="106"/>
      <c r="V19" s="482">
        <v>3474200000000</v>
      </c>
      <c r="W19" s="5013"/>
      <c r="X19" s="5361">
        <v>3750500000000</v>
      </c>
      <c r="Y19" s="5362">
        <v>3523000000000</v>
      </c>
      <c r="Z19" s="5469"/>
      <c r="AA19" s="110"/>
      <c r="AC19" s="3522">
        <v>4190000000000</v>
      </c>
      <c r="AD19" s="106"/>
      <c r="AE19" s="3522">
        <v>4241000000000</v>
      </c>
      <c r="AF19" s="66"/>
      <c r="AG19" s="26"/>
      <c r="AH19" s="3522">
        <v>5801</v>
      </c>
      <c r="AI19" s="106"/>
      <c r="AJ19" s="3522">
        <v>4297.8999999999996</v>
      </c>
      <c r="AK19" s="66"/>
      <c r="AL19" s="26"/>
      <c r="AN19" s="7552">
        <v>5181.92</v>
      </c>
      <c r="AO19" s="2721"/>
      <c r="AP19" s="7552">
        <v>5898.6</v>
      </c>
      <c r="AQ19" s="66"/>
      <c r="AR19" s="26"/>
      <c r="AT19" s="8830">
        <v>7870.27</v>
      </c>
      <c r="AU19" s="2869"/>
      <c r="AV19" s="8830">
        <v>8096.82</v>
      </c>
      <c r="AW19" s="8829">
        <f t="shared" si="0"/>
        <v>1.0287855435709321</v>
      </c>
      <c r="AX19" s="26"/>
    </row>
    <row r="20" spans="1:50" x14ac:dyDescent="0.35">
      <c r="A20" s="9168"/>
      <c r="B20" s="6082"/>
      <c r="C20" s="1893" t="s">
        <v>3587</v>
      </c>
      <c r="D20" s="197"/>
      <c r="F20" s="122"/>
      <c r="G20"/>
      <c r="H20" s="114"/>
      <c r="I20" s="482"/>
      <c r="J20" s="476"/>
      <c r="L20" s="114"/>
      <c r="M20" s="482"/>
      <c r="O20" s="114">
        <v>1758000000000</v>
      </c>
      <c r="P20" s="482">
        <v>1933000000000</v>
      </c>
      <c r="T20" s="114">
        <v>3368300000000</v>
      </c>
      <c r="U20" s="106"/>
      <c r="V20" s="482">
        <v>2349000000000</v>
      </c>
      <c r="W20" s="5013"/>
      <c r="X20" s="5361">
        <v>3368300000000</v>
      </c>
      <c r="Y20" s="5362">
        <v>2384000000000</v>
      </c>
      <c r="Z20" s="5469"/>
      <c r="AA20" s="110"/>
      <c r="AC20" s="3522">
        <v>5036000000000</v>
      </c>
      <c r="AD20" s="106"/>
      <c r="AE20" s="3522">
        <v>2477000000000</v>
      </c>
      <c r="AF20" s="66"/>
      <c r="AG20" s="26"/>
      <c r="AH20" s="3522">
        <v>4275</v>
      </c>
      <c r="AI20" s="106"/>
      <c r="AJ20" s="3522">
        <v>3268.2</v>
      </c>
      <c r="AK20" s="66"/>
      <c r="AL20" s="26"/>
      <c r="AN20" s="7554">
        <v>6730.82</v>
      </c>
      <c r="AO20" s="2721"/>
      <c r="AP20" s="7554">
        <v>4148.51</v>
      </c>
      <c r="AQ20" s="66"/>
      <c r="AR20" s="26"/>
      <c r="AT20" s="8831">
        <v>8870.5499999999993</v>
      </c>
      <c r="AU20" s="2869"/>
      <c r="AV20" s="8831">
        <v>3966.93</v>
      </c>
      <c r="AW20" s="8829">
        <f t="shared" si="0"/>
        <v>0.44720225916093143</v>
      </c>
      <c r="AX20" s="26"/>
    </row>
    <row r="21" spans="1:50" x14ac:dyDescent="0.35">
      <c r="A21" s="9168"/>
      <c r="B21" s="6082"/>
      <c r="C21" s="1893" t="s">
        <v>3588</v>
      </c>
      <c r="D21" s="197"/>
      <c r="F21" s="122">
        <v>424000000000</v>
      </c>
      <c r="H21" s="114">
        <v>975300000000</v>
      </c>
      <c r="I21" s="482">
        <v>970100000000</v>
      </c>
      <c r="J21" s="476">
        <f>IF(H21=0,0,I21/H21)</f>
        <v>0.99466830718753207</v>
      </c>
      <c r="L21" s="114">
        <v>1082900000000</v>
      </c>
      <c r="M21" s="482">
        <v>1213000000000</v>
      </c>
      <c r="O21" s="114">
        <v>1082900000000</v>
      </c>
      <c r="P21" s="482">
        <v>1212900000000</v>
      </c>
      <c r="T21" s="114">
        <f>1687.6*1000000000</f>
        <v>1687600000000</v>
      </c>
      <c r="U21" s="106"/>
      <c r="V21" s="482">
        <f>1688.2*1000000000</f>
        <v>1688200000000</v>
      </c>
      <c r="W21" s="5013"/>
      <c r="X21" s="5361">
        <v>1687600000000</v>
      </c>
      <c r="Y21" s="5362">
        <v>1682000000000</v>
      </c>
      <c r="Z21" s="5469"/>
      <c r="AA21" s="110"/>
      <c r="AC21" s="3522">
        <v>2023000000000</v>
      </c>
      <c r="AD21" s="106"/>
      <c r="AE21" s="3522">
        <v>2324000000000</v>
      </c>
      <c r="AF21" s="66"/>
      <c r="AG21" s="26"/>
      <c r="AH21" s="5479">
        <v>2653.3</v>
      </c>
      <c r="AI21" s="106"/>
      <c r="AJ21" s="5479">
        <v>2244.1999999999998</v>
      </c>
      <c r="AK21" s="66"/>
      <c r="AL21" s="26"/>
      <c r="AN21" s="7554">
        <v>2696.18</v>
      </c>
      <c r="AO21" s="2721"/>
      <c r="AP21" s="7554">
        <v>2463.46</v>
      </c>
      <c r="AQ21" s="66"/>
      <c r="AR21" s="26"/>
      <c r="AT21" s="8831">
        <v>3145.11</v>
      </c>
      <c r="AU21" s="2869"/>
      <c r="AV21" s="8831">
        <v>2886.94</v>
      </c>
      <c r="AW21" s="8829">
        <f t="shared" si="0"/>
        <v>0.9179138408513533</v>
      </c>
      <c r="AX21" s="26"/>
    </row>
    <row r="22" spans="1:50" x14ac:dyDescent="0.35">
      <c r="A22" s="9168"/>
      <c r="B22" s="6082"/>
      <c r="C22" s="1893" t="s">
        <v>3589</v>
      </c>
      <c r="D22" s="197"/>
      <c r="F22" s="122"/>
      <c r="H22" s="114"/>
      <c r="I22" s="482"/>
      <c r="J22" s="476"/>
      <c r="L22" s="114"/>
      <c r="M22" s="482"/>
      <c r="O22" s="114"/>
      <c r="P22" s="482">
        <f>1235200000000+224700000000</f>
        <v>1459900000000</v>
      </c>
      <c r="T22" s="114">
        <f>2471900000000+238400000000</f>
        <v>2710300000000</v>
      </c>
      <c r="U22" s="106"/>
      <c r="V22" s="199">
        <f>1532500000000+123400000000</f>
        <v>1655900000000</v>
      </c>
      <c r="W22" s="5013"/>
      <c r="X22" s="5361">
        <v>2710300000000</v>
      </c>
      <c r="Y22" s="5362">
        <v>1651000000000</v>
      </c>
      <c r="Z22" s="5469"/>
      <c r="AA22" s="110"/>
      <c r="AC22" s="3522">
        <v>1967000000000</v>
      </c>
      <c r="AD22" s="106"/>
      <c r="AE22" s="3522">
        <v>725000000000</v>
      </c>
      <c r="AF22" s="106"/>
      <c r="AG22" s="26"/>
      <c r="AH22" s="5479">
        <f>1276+301</f>
        <v>1577</v>
      </c>
      <c r="AI22" s="106"/>
      <c r="AJ22" s="5479">
        <f>1396.5+304.9</f>
        <v>1701.4</v>
      </c>
      <c r="AK22" s="106"/>
      <c r="AL22" s="26" t="s">
        <v>6145</v>
      </c>
      <c r="AN22" s="7554">
        <f>1050.8+260.56</f>
        <v>1311.36</v>
      </c>
      <c r="AO22" s="2721"/>
      <c r="AP22" s="7554">
        <f>1428.06+418.82</f>
        <v>1846.8799999999999</v>
      </c>
      <c r="AQ22" s="106"/>
      <c r="AR22" s="26"/>
      <c r="AT22" s="8831">
        <f>793.04+449.53</f>
        <v>1242.57</v>
      </c>
      <c r="AU22" s="8832" t="s">
        <v>6146</v>
      </c>
      <c r="AV22" s="8831">
        <f>831.01+404.66</f>
        <v>1235.67</v>
      </c>
      <c r="AW22" s="8829">
        <f t="shared" si="0"/>
        <v>0.99444699292595196</v>
      </c>
      <c r="AX22" s="26"/>
    </row>
    <row r="23" spans="1:50" x14ac:dyDescent="0.35">
      <c r="A23" s="9168"/>
      <c r="B23" s="128"/>
      <c r="C23" s="129" t="s">
        <v>479</v>
      </c>
      <c r="D23" s="209"/>
      <c r="F23" s="130">
        <f>8706000000000</f>
        <v>8706000000000</v>
      </c>
      <c r="H23" s="131">
        <v>13064900000000</v>
      </c>
      <c r="I23" s="485">
        <v>11414900000000</v>
      </c>
      <c r="J23" s="484">
        <f>IF(H23=0,0,I23/H23)</f>
        <v>0.87370741452288192</v>
      </c>
      <c r="L23" s="131">
        <v>13492100000000</v>
      </c>
      <c r="M23" s="485">
        <v>12901000000000</v>
      </c>
      <c r="O23" s="131">
        <f>SUM(O17:O22)</f>
        <v>13492100000000</v>
      </c>
      <c r="P23" s="485">
        <f>SUM(P17:P22)</f>
        <v>14378600000000</v>
      </c>
      <c r="T23" s="131">
        <f>SUM(T17:T22)</f>
        <v>18510100000000</v>
      </c>
      <c r="U23" s="5476"/>
      <c r="V23" s="131">
        <f>SUM(V17:V22)</f>
        <v>16664100000000</v>
      </c>
      <c r="W23" s="5013"/>
      <c r="X23" s="1781">
        <f>SUM(X17:X22)</f>
        <v>18510100000000</v>
      </c>
      <c r="Y23" s="5480">
        <f>SUM(Y17:Y22)</f>
        <v>16727000000000</v>
      </c>
      <c r="Z23" s="3492"/>
      <c r="AA23" s="129"/>
      <c r="AC23" s="5481">
        <f>SUM(AC17:AC22)</f>
        <v>20793000000000</v>
      </c>
      <c r="AD23" s="106"/>
      <c r="AE23" s="5481">
        <f>SUM(AE17:AE22)</f>
        <v>17401000000000</v>
      </c>
      <c r="AF23" s="106"/>
      <c r="AG23" s="24"/>
      <c r="AH23" s="5481">
        <f>SUM(AH17:AH22)</f>
        <v>22305</v>
      </c>
      <c r="AI23" s="106"/>
      <c r="AJ23" s="5481">
        <f>SUM(AJ17:AJ22)</f>
        <v>20167.2</v>
      </c>
      <c r="AK23" s="106"/>
      <c r="AL23" s="24"/>
      <c r="AN23" s="1312">
        <f>SUM(AN17:AN22)</f>
        <v>25473.73</v>
      </c>
      <c r="AO23" s="645"/>
      <c r="AP23" s="1312">
        <f>SUM(AP17:AP22)</f>
        <v>24205.75</v>
      </c>
      <c r="AQ23" s="106"/>
      <c r="AR23" s="24"/>
      <c r="AT23" s="3733">
        <f>SUM(AT17:AT22)</f>
        <v>33110.82</v>
      </c>
      <c r="AU23" s="3758"/>
      <c r="AV23" s="3733">
        <f>SUM(AV17:AV22)</f>
        <v>28347.15</v>
      </c>
      <c r="AW23" s="8829">
        <f t="shared" si="0"/>
        <v>0.85612950691042988</v>
      </c>
      <c r="AX23" s="24"/>
    </row>
    <row r="24" spans="1:50" x14ac:dyDescent="0.35">
      <c r="A24" s="9168"/>
      <c r="B24" s="139" t="s">
        <v>480</v>
      </c>
      <c r="C24" s="49"/>
      <c r="D24" s="184"/>
      <c r="E24" s="141"/>
      <c r="F24" s="142"/>
      <c r="G24" s="143"/>
      <c r="H24" s="147"/>
      <c r="I24" s="148"/>
      <c r="J24" s="486"/>
      <c r="K24" s="141"/>
      <c r="L24" s="147"/>
      <c r="M24" s="148"/>
      <c r="N24" s="141"/>
      <c r="O24" s="3635" t="s">
        <v>6143</v>
      </c>
      <c r="P24" s="148" t="s">
        <v>6137</v>
      </c>
      <c r="Q24" s="141"/>
      <c r="R24" s="141"/>
      <c r="S24" s="141"/>
      <c r="T24" s="147"/>
      <c r="U24" s="1006"/>
      <c r="V24" s="148"/>
      <c r="W24" s="5013"/>
      <c r="X24" s="3635"/>
      <c r="Y24" s="148"/>
      <c r="Z24" s="271"/>
      <c r="AA24" s="908"/>
      <c r="AB24" s="141"/>
      <c r="AC24" s="10"/>
      <c r="AD24" s="1006"/>
      <c r="AE24" s="3460"/>
      <c r="AF24" s="157"/>
      <c r="AG24" s="18"/>
      <c r="AH24" s="10"/>
      <c r="AI24" s="1006"/>
      <c r="AJ24" s="3460"/>
      <c r="AK24" s="157"/>
      <c r="AL24" s="18"/>
      <c r="AN24" s="10"/>
      <c r="AO24" s="1006"/>
      <c r="AP24" s="3460"/>
      <c r="AQ24" s="157"/>
      <c r="AR24" s="18"/>
      <c r="AT24" s="8833"/>
      <c r="AU24" s="8834" t="s">
        <v>5083</v>
      </c>
      <c r="AV24" s="8835"/>
      <c r="AW24" s="8829"/>
      <c r="AX24" s="18"/>
    </row>
    <row r="25" spans="1:50" x14ac:dyDescent="0.35">
      <c r="A25" s="9168"/>
      <c r="B25" s="6082"/>
      <c r="C25" s="110" t="s">
        <v>483</v>
      </c>
      <c r="D25" s="197"/>
      <c r="F25" s="155">
        <v>990000000000</v>
      </c>
      <c r="H25" s="156">
        <v>1497700000000</v>
      </c>
      <c r="I25" s="482">
        <v>1499700000000</v>
      </c>
      <c r="J25" s="476">
        <f>IF(H25=0,0,I25/H25)</f>
        <v>1.0013353809174066</v>
      </c>
      <c r="L25" s="156">
        <f>1916.5*1000000000</f>
        <v>1916500000000</v>
      </c>
      <c r="M25" s="611">
        <v>1762900000000</v>
      </c>
      <c r="O25" s="156">
        <f>1916.5*1000000000</f>
        <v>1916500000000</v>
      </c>
      <c r="P25" s="611">
        <v>2759500000000</v>
      </c>
      <c r="Q25" s="70" t="s">
        <v>6137</v>
      </c>
      <c r="T25" s="156">
        <f>2894.1*1000000000</f>
        <v>2894100000000</v>
      </c>
      <c r="U25" s="5467" t="s">
        <v>6137</v>
      </c>
      <c r="V25" s="611">
        <f>3070.5*1000000000</f>
        <v>3070500000000</v>
      </c>
      <c r="W25" s="5013"/>
      <c r="X25" s="3169">
        <v>2894100000000</v>
      </c>
      <c r="Y25" s="5482">
        <v>2966000000000</v>
      </c>
      <c r="Z25" s="5483"/>
      <c r="AA25" s="110"/>
      <c r="AC25" s="5484">
        <v>3359000000000</v>
      </c>
      <c r="AD25" s="5472" t="s">
        <v>6138</v>
      </c>
      <c r="AE25" s="5485">
        <v>3382000000000</v>
      </c>
      <c r="AF25" s="157"/>
      <c r="AG25" s="26"/>
      <c r="AH25" s="5484">
        <v>3578</v>
      </c>
      <c r="AJ25" s="5485">
        <v>3463.2</v>
      </c>
      <c r="AK25" s="157"/>
      <c r="AL25" s="26"/>
      <c r="AN25" s="1008">
        <v>4244.4260000000004</v>
      </c>
      <c r="AP25" s="1008">
        <v>4290.8770000000004</v>
      </c>
      <c r="AQ25" s="157"/>
      <c r="AR25" s="26"/>
      <c r="AT25" s="8836">
        <v>4672.951</v>
      </c>
      <c r="AU25" s="1112"/>
      <c r="AV25" s="8836">
        <v>4766.47</v>
      </c>
      <c r="AW25" s="8829">
        <f t="shared" si="0"/>
        <v>1.0200128355722113</v>
      </c>
      <c r="AX25" s="26"/>
    </row>
    <row r="26" spans="1:50" x14ac:dyDescent="0.35">
      <c r="A26" s="9168"/>
      <c r="B26" s="6082"/>
      <c r="C26" s="110" t="s">
        <v>6147</v>
      </c>
      <c r="D26" s="197"/>
      <c r="F26" s="155">
        <v>892000000000</v>
      </c>
      <c r="H26" s="156">
        <v>1266500000000</v>
      </c>
      <c r="I26" s="482">
        <v>1231500000000</v>
      </c>
      <c r="J26" s="476">
        <f>IF(H26=0,0,I26/H26)</f>
        <v>0.97236478484011057</v>
      </c>
      <c r="L26" s="156">
        <v>1545400000000</v>
      </c>
      <c r="M26" s="611">
        <v>1405100000000</v>
      </c>
      <c r="O26" s="156">
        <v>1545400000000</v>
      </c>
      <c r="P26" s="611">
        <v>1405100000000</v>
      </c>
      <c r="Q26" s="70" t="s">
        <v>6148</v>
      </c>
      <c r="T26" s="156">
        <f>1439.62*1000000000</f>
        <v>1439620000000</v>
      </c>
      <c r="U26" s="4901" t="s">
        <v>6149</v>
      </c>
      <c r="V26" s="611">
        <f>1458.31*1000000000</f>
        <v>1458310000000</v>
      </c>
      <c r="W26" s="5013"/>
      <c r="X26" s="3169">
        <v>1439620000000</v>
      </c>
      <c r="Y26" s="5482">
        <v>1458310000000</v>
      </c>
      <c r="AA26" s="110"/>
      <c r="AC26" s="5484">
        <v>1633789000000</v>
      </c>
      <c r="AD26" s="5483"/>
      <c r="AE26" s="5485">
        <v>1636813000000</v>
      </c>
      <c r="AF26" s="157"/>
      <c r="AG26" s="26"/>
      <c r="AH26" s="5484"/>
      <c r="AJ26" s="5485"/>
      <c r="AK26" s="157"/>
      <c r="AL26" s="26"/>
      <c r="AN26" s="1008"/>
      <c r="AP26" s="1008"/>
      <c r="AQ26" s="157"/>
      <c r="AR26" s="26"/>
      <c r="AT26" s="1008"/>
      <c r="AV26" s="1008"/>
      <c r="AW26" s="8829"/>
      <c r="AX26" s="26"/>
    </row>
    <row r="27" spans="1:50" ht="14.5" customHeight="1" x14ac:dyDescent="0.35">
      <c r="A27" s="9168"/>
      <c r="B27" s="6082"/>
      <c r="C27" s="110" t="s">
        <v>489</v>
      </c>
      <c r="D27" s="197"/>
      <c r="F27" s="155">
        <v>676000000000</v>
      </c>
      <c r="H27" s="156">
        <v>975200000000</v>
      </c>
      <c r="I27" s="3265">
        <v>966100000000</v>
      </c>
      <c r="J27" s="476">
        <f>IF(H27=0,0,I27/H27)</f>
        <v>0.9906685808039376</v>
      </c>
      <c r="L27" s="156">
        <v>1294400000000</v>
      </c>
      <c r="M27" s="611">
        <v>1176800000000</v>
      </c>
      <c r="O27" s="156">
        <v>1294400000000</v>
      </c>
      <c r="P27" s="611"/>
      <c r="T27" s="156"/>
      <c r="U27" s="4901"/>
      <c r="V27" s="611"/>
      <c r="W27" s="5013"/>
      <c r="X27" s="156"/>
      <c r="Y27" s="611"/>
      <c r="Z27" s="9578" t="s">
        <v>6150</v>
      </c>
      <c r="AA27" s="110"/>
      <c r="AC27" s="1008"/>
      <c r="AD27" s="4901"/>
      <c r="AE27" s="3462"/>
      <c r="AF27" s="157"/>
      <c r="AG27" s="26"/>
      <c r="AH27" s="5484">
        <v>1704</v>
      </c>
      <c r="AI27" s="5472" t="s">
        <v>6151</v>
      </c>
      <c r="AJ27" s="5485">
        <v>1680.72</v>
      </c>
      <c r="AK27" s="157"/>
      <c r="AL27" s="26"/>
      <c r="AN27" s="1008"/>
      <c r="AO27" s="5472"/>
      <c r="AP27" s="1008"/>
      <c r="AQ27" s="157"/>
      <c r="AR27" s="26"/>
      <c r="AT27" s="1008"/>
      <c r="AU27" s="5472"/>
      <c r="AV27" s="1008"/>
      <c r="AW27" s="8829"/>
      <c r="AX27" s="26"/>
    </row>
    <row r="28" spans="1:50" ht="15.25" customHeight="1" x14ac:dyDescent="0.35">
      <c r="A28" s="9168"/>
      <c r="B28" s="6082"/>
      <c r="C28" s="110" t="s">
        <v>490</v>
      </c>
      <c r="D28" s="197"/>
      <c r="F28" s="155">
        <v>203000000000</v>
      </c>
      <c r="H28" s="156">
        <v>260400000000</v>
      </c>
      <c r="I28" s="3265">
        <v>228700000000</v>
      </c>
      <c r="J28" s="476">
        <f>IF(H28=0,0,I28/H28)</f>
        <v>0.87826420890937018</v>
      </c>
      <c r="L28" s="156">
        <v>302000000000</v>
      </c>
      <c r="M28" s="611">
        <v>244200000000</v>
      </c>
      <c r="N28" s="7099">
        <f>M28/L28</f>
        <v>0.80860927152317885</v>
      </c>
      <c r="O28" s="156">
        <v>302000000000</v>
      </c>
      <c r="P28" s="611">
        <v>244200000000</v>
      </c>
      <c r="Q28" s="7099"/>
      <c r="R28" s="7099"/>
      <c r="S28" s="7099"/>
      <c r="T28" s="5486">
        <f>(T25+T26)*T31</f>
        <v>378053508189.14465</v>
      </c>
      <c r="U28" s="312"/>
      <c r="V28" s="1589">
        <f>(V25+V26)*V31</f>
        <v>265556212361.33121</v>
      </c>
      <c r="W28" s="5013"/>
      <c r="X28" s="5487">
        <v>9840000</v>
      </c>
      <c r="Y28" s="5488">
        <v>10450000</v>
      </c>
      <c r="Z28" s="9578"/>
      <c r="AA28" s="8857"/>
      <c r="AB28" s="8858"/>
      <c r="AC28" s="5489">
        <v>2570000</v>
      </c>
      <c r="AD28" s="5490"/>
      <c r="AE28" s="5491">
        <v>3330000</v>
      </c>
      <c r="AF28" s="157"/>
      <c r="AG28" s="26"/>
      <c r="AH28" s="5489"/>
      <c r="AI28" s="5490"/>
      <c r="AJ28" s="5491"/>
      <c r="AK28" s="157"/>
      <c r="AL28" s="26"/>
      <c r="AN28" s="5489"/>
      <c r="AO28" s="5490"/>
      <c r="AP28" s="5489"/>
      <c r="AQ28" s="157"/>
      <c r="AR28" s="26"/>
      <c r="AT28" s="8837">
        <v>153.05000000000001</v>
      </c>
      <c r="AU28" s="8838" t="s">
        <v>6152</v>
      </c>
      <c r="AV28" s="8837">
        <v>152.16999999999999</v>
      </c>
      <c r="AW28" s="8829"/>
      <c r="AX28" s="26"/>
    </row>
    <row r="29" spans="1:50" x14ac:dyDescent="0.35">
      <c r="A29" s="9168"/>
      <c r="B29" s="6082"/>
      <c r="C29" s="110"/>
      <c r="D29" s="197"/>
      <c r="F29" s="163"/>
      <c r="H29" s="166"/>
      <c r="I29" s="276"/>
      <c r="J29" s="476">
        <f>IF(H29=0,0,I29/H29)</f>
        <v>0</v>
      </c>
      <c r="L29" s="166"/>
      <c r="M29" s="611"/>
      <c r="O29" s="166"/>
      <c r="P29" s="611"/>
      <c r="T29" s="166"/>
      <c r="U29" s="312"/>
      <c r="V29" s="611"/>
      <c r="W29" s="5013"/>
      <c r="X29" s="166"/>
      <c r="Y29" s="611"/>
      <c r="Z29" s="9578"/>
      <c r="AA29" s="110"/>
      <c r="AC29" s="5492"/>
      <c r="AD29" s="312"/>
      <c r="AE29" s="3462"/>
      <c r="AF29" s="157"/>
      <c r="AG29" s="26"/>
      <c r="AH29" s="5492"/>
      <c r="AI29" s="312"/>
      <c r="AJ29" s="3462"/>
      <c r="AK29" s="157"/>
      <c r="AL29" s="26"/>
      <c r="AN29" s="5492"/>
      <c r="AO29" s="312"/>
      <c r="AP29" s="5492"/>
      <c r="AQ29" s="157"/>
      <c r="AR29" s="26"/>
      <c r="AT29" s="5492"/>
      <c r="AU29" s="312"/>
      <c r="AV29" s="5492"/>
      <c r="AW29" s="8829"/>
      <c r="AX29" s="26"/>
    </row>
    <row r="30" spans="1:50" x14ac:dyDescent="0.35">
      <c r="A30" s="9168"/>
      <c r="B30" s="6082"/>
      <c r="C30" s="161" t="s">
        <v>497</v>
      </c>
      <c r="D30" s="610"/>
      <c r="F30" s="163"/>
      <c r="H30" s="166"/>
      <c r="I30" s="276"/>
      <c r="J30" s="476"/>
      <c r="L30" s="166"/>
      <c r="M30" s="611"/>
      <c r="O30" s="166"/>
      <c r="P30" s="611"/>
      <c r="T30" s="166"/>
      <c r="U30" s="312"/>
      <c r="V30" s="611"/>
      <c r="W30" s="5013"/>
      <c r="X30" s="166"/>
      <c r="Y30" s="611"/>
      <c r="Z30" s="9578"/>
      <c r="AA30" s="110"/>
      <c r="AC30" s="5492"/>
      <c r="AD30" s="312"/>
      <c r="AE30" s="3462"/>
      <c r="AF30" s="157"/>
      <c r="AG30" s="26"/>
      <c r="AH30" s="5492"/>
      <c r="AI30" s="312"/>
      <c r="AJ30" s="3462"/>
      <c r="AK30" s="157"/>
      <c r="AL30" s="26"/>
      <c r="AN30" s="5492"/>
      <c r="AO30" s="312"/>
      <c r="AP30" s="5492"/>
      <c r="AQ30" s="157"/>
      <c r="AR30" s="26"/>
      <c r="AT30" s="5492"/>
      <c r="AU30" s="312"/>
      <c r="AV30" s="5492"/>
      <c r="AW30" s="157"/>
      <c r="AX30" s="26"/>
    </row>
    <row r="31" spans="1:50" x14ac:dyDescent="0.35">
      <c r="A31" s="9168"/>
      <c r="B31" s="128"/>
      <c r="C31" s="129" t="s">
        <v>499</v>
      </c>
      <c r="D31" s="209">
        <v>1</v>
      </c>
      <c r="F31" s="491">
        <f>IF(F25=0,0,(F28+F29-F30)/(F25+F26))</f>
        <v>0.10786397449521785</v>
      </c>
      <c r="G31" s="170"/>
      <c r="H31" s="6646">
        <f>IF(H25=0,0,(H28+H29-H30)/(H25+H26))</f>
        <v>9.4204471456479269E-2</v>
      </c>
      <c r="I31" s="6128">
        <f>IF(I25=0,0,(I28+I29-I30)/(I25+I26))</f>
        <v>8.3736086701816051E-2</v>
      </c>
      <c r="J31"/>
      <c r="K31" s="176"/>
      <c r="L31" s="6646">
        <f>IF(L25=0,0,(L28+L29-L30)/(L25+L26))</f>
        <v>8.7235333198532591E-2</v>
      </c>
      <c r="M31" s="6128">
        <f>IF(M25=0,0,(M28+M29-M30)/(M25+M26))</f>
        <v>7.7083333333333337E-2</v>
      </c>
      <c r="N31" s="176"/>
      <c r="O31" s="6646">
        <f>IF(O25=0,0,(O28+O29-O30)/(O25+O26))</f>
        <v>8.7235333198532591E-2</v>
      </c>
      <c r="P31" s="6128">
        <f>IF(P25=0,0,(P28+P29-P30)/(P25+P26))</f>
        <v>5.8637083993660855E-2</v>
      </c>
      <c r="Q31" s="176"/>
      <c r="R31" s="176"/>
      <c r="S31" s="176"/>
      <c r="T31" s="6007">
        <f>O31</f>
        <v>8.7235333198532591E-2</v>
      </c>
      <c r="U31" s="6009" t="s">
        <v>6153</v>
      </c>
      <c r="V31" s="6008">
        <f>P31</f>
        <v>5.8637083993660855E-2</v>
      </c>
      <c r="W31" s="5013"/>
      <c r="X31" s="8859">
        <f>IF(X25=0,0,(X28+X29-X30)/(X25+X26))</f>
        <v>2.2705666263625705E-6</v>
      </c>
      <c r="Y31" s="8860">
        <f>IF(Y25=0,0,(Y28+Y29-Y30)/(Y25+Y26))</f>
        <v>2.3619502250068374E-6</v>
      </c>
      <c r="Z31" s="5494"/>
      <c r="AA31" s="5495"/>
      <c r="AB31" s="176"/>
      <c r="AC31" s="8861"/>
      <c r="AD31" s="8862"/>
      <c r="AE31" s="8863"/>
      <c r="AF31" s="7557"/>
      <c r="AG31" s="24"/>
      <c r="AH31" s="7555">
        <f>IF(AH25=0,0,(AH28+AH29-AH30)/(AH25+AH32))</f>
        <v>0</v>
      </c>
      <c r="AI31" s="6009"/>
      <c r="AJ31" s="7556">
        <f>IF(AJ25=0,0,(AJ28+AJ29-AJ30)/(AJ25+AJ32))</f>
        <v>0</v>
      </c>
      <c r="AK31" s="7557"/>
      <c r="AL31" s="24"/>
      <c r="AN31" s="7555">
        <f>IF(AN25=0,0,(AN28+AN29-AN30)/(AN25+AN32))</f>
        <v>0</v>
      </c>
      <c r="AO31" s="6009"/>
      <c r="AP31" s="7556">
        <f>IF(AP25=0,0,(AP28+AP29-AP30)/(AP25+AP32))</f>
        <v>0</v>
      </c>
      <c r="AQ31" s="7557"/>
      <c r="AR31" s="24"/>
      <c r="AT31" s="7555">
        <f>IF(AT25=0,0,(AT28+AT29-AT30)/(AT25))</f>
        <v>3.275232288975425E-2</v>
      </c>
      <c r="AU31" s="6009"/>
      <c r="AV31" s="7556">
        <f>IF(AV25=0,0,(AV28+AV29-AV30)/(AV25))</f>
        <v>3.1925093412945006E-2</v>
      </c>
      <c r="AW31" s="7557"/>
      <c r="AX31" s="24"/>
    </row>
    <row r="32" spans="1:50" x14ac:dyDescent="0.35">
      <c r="A32" s="9169"/>
      <c r="B32" s="5496" t="s">
        <v>552</v>
      </c>
      <c r="C32" s="500"/>
      <c r="D32" s="5497">
        <v>2</v>
      </c>
      <c r="F32" s="502">
        <v>1484000000000</v>
      </c>
      <c r="H32" s="503">
        <v>2009129644761.9873</v>
      </c>
      <c r="I32" s="3051">
        <v>1963500000000</v>
      </c>
      <c r="J32" s="505">
        <f>IF(H32=0,0,I32/H32)</f>
        <v>0.9772888499848934</v>
      </c>
      <c r="L32" s="503">
        <v>2009100000000</v>
      </c>
      <c r="M32" s="3051">
        <v>1963500000000</v>
      </c>
      <c r="O32" s="503">
        <v>2283620000000</v>
      </c>
      <c r="P32" s="3051">
        <v>2199350000000</v>
      </c>
      <c r="Q32" s="70" t="s">
        <v>6148</v>
      </c>
      <c r="T32" s="503">
        <f>2361410730*1000</f>
        <v>2361410730000</v>
      </c>
      <c r="U32" s="508"/>
      <c r="V32" s="3051">
        <f>2334208944*1000</f>
        <v>2334208944000</v>
      </c>
      <c r="W32" s="5013"/>
      <c r="X32" s="5498">
        <v>2361410730000</v>
      </c>
      <c r="Y32" s="5499">
        <v>2334208944000</v>
      </c>
      <c r="Z32" s="5500"/>
      <c r="AA32" s="5501"/>
      <c r="AC32" s="5502">
        <v>2596054000000</v>
      </c>
      <c r="AD32" s="5503" t="s">
        <v>6154</v>
      </c>
      <c r="AE32" s="5504">
        <v>2638437000000</v>
      </c>
      <c r="AF32" s="157"/>
      <c r="AG32" s="39"/>
      <c r="AH32" s="5484">
        <v>2728.76</v>
      </c>
      <c r="AI32" s="5472" t="s">
        <v>6151</v>
      </c>
      <c r="AJ32" s="5485">
        <v>2642.41</v>
      </c>
      <c r="AK32" s="157"/>
      <c r="AL32" s="39" t="s">
        <v>6155</v>
      </c>
      <c r="AN32" s="5484">
        <v>3303.76</v>
      </c>
      <c r="AO32" s="7550" t="s">
        <v>6156</v>
      </c>
      <c r="AP32" s="5485">
        <v>3337.2</v>
      </c>
      <c r="AQ32" s="157"/>
      <c r="AR32" s="39"/>
      <c r="AT32" s="8836">
        <v>3886.93</v>
      </c>
      <c r="AU32" s="8839" t="s">
        <v>5080</v>
      </c>
      <c r="AV32" s="8840">
        <v>3716.33</v>
      </c>
      <c r="AW32" s="157"/>
      <c r="AX32" s="39"/>
    </row>
    <row r="33" spans="1:50" x14ac:dyDescent="0.35">
      <c r="A33" s="5238"/>
      <c r="B33" s="141"/>
      <c r="C33"/>
      <c r="F33" s="199"/>
      <c r="H33" s="199"/>
      <c r="I33" s="656"/>
      <c r="J33" s="558"/>
      <c r="L33" s="199"/>
      <c r="M33" s="656"/>
      <c r="O33" s="199"/>
      <c r="P33" s="656"/>
      <c r="T33" s="199"/>
      <c r="U33" s="106"/>
      <c r="V33" s="656"/>
      <c r="W33" s="5013"/>
      <c r="X33" s="199"/>
      <c r="Y33" s="656"/>
      <c r="AC33" s="199"/>
      <c r="AD33" s="106"/>
      <c r="AE33" s="656"/>
      <c r="AF33" s="312"/>
      <c r="AH33" s="199"/>
      <c r="AI33" s="106"/>
      <c r="AJ33" s="656"/>
      <c r="AK33" s="312"/>
      <c r="AN33" s="199"/>
      <c r="AO33" s="106"/>
      <c r="AP33" s="656"/>
      <c r="AQ33" s="312"/>
      <c r="AT33" s="199"/>
      <c r="AU33" s="106"/>
      <c r="AV33" s="656"/>
      <c r="AW33" s="312"/>
    </row>
    <row r="34" spans="1:50" x14ac:dyDescent="0.35">
      <c r="A34" s="5238"/>
      <c r="B34" s="141"/>
      <c r="C34"/>
      <c r="F34" s="199"/>
      <c r="H34" s="199"/>
      <c r="I34" s="656"/>
      <c r="J34" s="558"/>
      <c r="L34" s="199"/>
      <c r="M34" s="656"/>
      <c r="O34" s="199"/>
      <c r="P34" s="656"/>
      <c r="T34" s="199"/>
      <c r="U34" s="106"/>
      <c r="V34" s="656"/>
      <c r="W34" s="5013"/>
      <c r="X34" s="199"/>
      <c r="Y34" s="656"/>
      <c r="AC34" s="199"/>
      <c r="AD34" s="106"/>
      <c r="AE34" s="656"/>
      <c r="AF34" s="312"/>
      <c r="AH34" s="199"/>
      <c r="AI34" s="106"/>
      <c r="AJ34" s="656"/>
      <c r="AK34" s="312"/>
      <c r="AN34" s="199"/>
      <c r="AO34" s="106"/>
      <c r="AP34" s="656"/>
      <c r="AQ34" s="312"/>
      <c r="AT34" s="199"/>
      <c r="AU34" s="106"/>
      <c r="AV34" s="656"/>
      <c r="AW34" s="312"/>
    </row>
    <row r="35" spans="1:50" x14ac:dyDescent="0.35">
      <c r="A35" s="220"/>
      <c r="B35" s="220"/>
      <c r="F35" s="106"/>
      <c r="H35" s="106"/>
      <c r="J35" s="221"/>
      <c r="L35" s="106"/>
      <c r="O35" s="106"/>
      <c r="T35" s="106"/>
      <c r="U35" s="106"/>
      <c r="W35" s="5013"/>
      <c r="X35" s="106"/>
      <c r="AC35" s="106"/>
      <c r="AD35" s="106"/>
      <c r="AH35" s="106"/>
      <c r="AI35" s="106"/>
      <c r="AN35" s="106"/>
      <c r="AO35" s="106"/>
      <c r="AT35" s="106"/>
      <c r="AU35" s="106"/>
    </row>
    <row r="36" spans="1:50" ht="27.75" customHeight="1" x14ac:dyDescent="0.35">
      <c r="A36" s="9167" t="s">
        <v>503</v>
      </c>
      <c r="B36" s="27"/>
      <c r="C36" s="28" t="s">
        <v>427</v>
      </c>
      <c r="D36" s="585"/>
      <c r="E36" s="30"/>
      <c r="F36" s="36" t="s">
        <v>6123</v>
      </c>
      <c r="G36" s="223"/>
      <c r="H36" s="9155" t="s">
        <v>6124</v>
      </c>
      <c r="I36" s="9156"/>
      <c r="J36" s="224"/>
      <c r="K36" s="30"/>
      <c r="L36" s="9155" t="s">
        <v>6124</v>
      </c>
      <c r="M36" s="9156"/>
      <c r="N36" s="30"/>
      <c r="O36" s="9155" t="s">
        <v>6124</v>
      </c>
      <c r="P36" s="9156"/>
      <c r="Q36" s="30"/>
      <c r="R36" s="30"/>
      <c r="S36" s="30"/>
      <c r="T36" s="36" t="s">
        <v>6126</v>
      </c>
      <c r="U36" s="8358" t="s">
        <v>6127</v>
      </c>
      <c r="V36" s="8314" t="s">
        <v>6126</v>
      </c>
      <c r="W36" s="5013"/>
      <c r="X36" s="9155" t="s">
        <v>6126</v>
      </c>
      <c r="Y36" s="9156"/>
      <c r="Z36" s="8864" t="s">
        <v>6128</v>
      </c>
      <c r="AA36" s="30"/>
      <c r="AB36" s="30"/>
      <c r="AC36" s="36" t="s">
        <v>6129</v>
      </c>
      <c r="AD36" s="8855" t="s">
        <v>6130</v>
      </c>
      <c r="AE36" s="36" t="s">
        <v>6129</v>
      </c>
      <c r="AF36" s="1541"/>
      <c r="AG36" s="39"/>
      <c r="AH36" s="36" t="s">
        <v>6131</v>
      </c>
      <c r="AI36" s="652" t="s">
        <v>6132</v>
      </c>
      <c r="AJ36" s="36" t="s">
        <v>6131</v>
      </c>
      <c r="AK36" s="1541"/>
      <c r="AL36" s="39"/>
      <c r="AN36" s="36"/>
      <c r="AO36" s="652"/>
      <c r="AP36" s="36"/>
      <c r="AQ36" s="1541"/>
      <c r="AR36" s="39"/>
      <c r="AT36" s="36"/>
      <c r="AU36" s="652"/>
      <c r="AV36" s="36"/>
      <c r="AW36" s="1541"/>
      <c r="AX36" s="39"/>
    </row>
    <row r="37" spans="1:50" x14ac:dyDescent="0.35">
      <c r="A37" s="9168"/>
      <c r="B37" s="141" t="s">
        <v>514</v>
      </c>
      <c r="C37"/>
      <c r="D37" s="184"/>
      <c r="E37" s="143"/>
      <c r="F37" s="227"/>
      <c r="G37" s="143"/>
      <c r="H37" s="102"/>
      <c r="I37" s="49"/>
      <c r="J37" s="5505"/>
      <c r="K37" s="143"/>
      <c r="L37" s="102"/>
      <c r="M37" s="229"/>
      <c r="N37" s="143"/>
      <c r="O37" s="102"/>
      <c r="P37" s="229"/>
      <c r="Q37" s="143"/>
      <c r="R37" s="143"/>
      <c r="S37" s="143"/>
      <c r="T37" s="102"/>
      <c r="U37" s="106"/>
      <c r="V37" s="229"/>
      <c r="W37" s="5013"/>
      <c r="X37" s="102"/>
      <c r="Y37" s="229"/>
      <c r="Z37" s="143"/>
      <c r="AA37" s="143"/>
      <c r="AB37" s="143"/>
      <c r="AC37" s="102"/>
      <c r="AD37" s="106"/>
      <c r="AE37" s="229"/>
      <c r="AF37" s="229"/>
      <c r="AG37" s="18"/>
      <c r="AH37" s="102"/>
      <c r="AI37" s="106"/>
      <c r="AJ37" s="229"/>
      <c r="AK37" s="229"/>
      <c r="AL37" s="18"/>
      <c r="AN37" s="102"/>
      <c r="AO37" s="106"/>
      <c r="AP37" s="229"/>
      <c r="AQ37" s="229"/>
      <c r="AR37" s="18"/>
      <c r="AT37" s="102"/>
      <c r="AU37" s="253" t="s">
        <v>6157</v>
      </c>
      <c r="AV37" s="229"/>
      <c r="AW37" s="229"/>
      <c r="AX37" s="18"/>
    </row>
    <row r="38" spans="1:50" x14ac:dyDescent="0.35">
      <c r="A38" s="9168"/>
      <c r="B38" s="8865" t="s">
        <v>6158</v>
      </c>
      <c r="C38" s="1654" t="s">
        <v>11</v>
      </c>
      <c r="D38" s="197"/>
      <c r="F38" s="122"/>
      <c r="H38" s="198"/>
      <c r="I38" s="482"/>
      <c r="J38" s="8866"/>
      <c r="L38" s="198"/>
      <c r="M38" s="482"/>
      <c r="O38" s="198"/>
      <c r="P38" s="482"/>
      <c r="Q38" s="70"/>
      <c r="T38" s="198"/>
      <c r="U38" s="57"/>
      <c r="V38" s="482"/>
      <c r="W38" s="5013"/>
      <c r="X38" s="198"/>
      <c r="Y38" s="482"/>
      <c r="Z38" s="70"/>
      <c r="AC38" s="198"/>
      <c r="AD38" s="57"/>
      <c r="AE38" s="482"/>
      <c r="AF38" s="66"/>
      <c r="AG38" s="26"/>
      <c r="AH38" s="198"/>
      <c r="AI38" s="57"/>
      <c r="AJ38" s="482"/>
      <c r="AK38" s="66"/>
      <c r="AL38" s="26"/>
      <c r="AN38" s="198"/>
      <c r="AO38" s="57"/>
      <c r="AP38" s="482"/>
      <c r="AQ38" s="66"/>
      <c r="AR38" s="26"/>
      <c r="AT38" s="4992">
        <f>1810.767+963.657</f>
        <v>2774.424</v>
      </c>
      <c r="AU38" s="4971"/>
      <c r="AV38" s="2745">
        <f>1842.255+968.308</f>
        <v>2810.5630000000001</v>
      </c>
      <c r="AW38" s="66"/>
      <c r="AX38" s="26" t="s">
        <v>6159</v>
      </c>
    </row>
    <row r="39" spans="1:50" x14ac:dyDescent="0.35">
      <c r="A39" s="9168"/>
      <c r="B39" s="1654"/>
      <c r="C39" s="1654" t="s">
        <v>6160</v>
      </c>
      <c r="D39" s="197"/>
      <c r="F39" s="122"/>
      <c r="H39" s="198"/>
      <c r="I39" s="482"/>
      <c r="J39" s="8866"/>
      <c r="L39" s="198"/>
      <c r="M39" s="482"/>
      <c r="O39" s="198"/>
      <c r="P39" s="482"/>
      <c r="Q39" s="70"/>
      <c r="T39" s="198"/>
      <c r="U39" s="57"/>
      <c r="V39" s="482"/>
      <c r="W39" s="5013"/>
      <c r="X39" s="198"/>
      <c r="Y39" s="482"/>
      <c r="Z39" s="70"/>
      <c r="AC39" s="198"/>
      <c r="AD39" s="57"/>
      <c r="AE39" s="482"/>
      <c r="AF39" s="66"/>
      <c r="AG39" s="26"/>
      <c r="AH39" s="198"/>
      <c r="AI39" s="57"/>
      <c r="AJ39" s="482"/>
      <c r="AK39" s="66"/>
      <c r="AL39" s="26"/>
      <c r="AN39" s="198"/>
      <c r="AO39" s="57"/>
      <c r="AP39" s="482"/>
      <c r="AQ39" s="66"/>
      <c r="AR39" s="26"/>
      <c r="AT39" s="4992">
        <v>306.92599999999999</v>
      </c>
      <c r="AU39" s="4971"/>
      <c r="AV39" s="2745">
        <v>241.85900000000001</v>
      </c>
      <c r="AW39" s="66"/>
      <c r="AX39" s="26"/>
    </row>
    <row r="40" spans="1:50" x14ac:dyDescent="0.35">
      <c r="A40" s="9168"/>
      <c r="B40" s="1654"/>
      <c r="C40" s="1654" t="s">
        <v>6161</v>
      </c>
      <c r="D40" s="197"/>
      <c r="F40" s="122"/>
      <c r="H40" s="198"/>
      <c r="I40" s="482"/>
      <c r="J40" s="8866"/>
      <c r="L40" s="198"/>
      <c r="M40" s="482"/>
      <c r="O40" s="198"/>
      <c r="P40" s="482"/>
      <c r="Q40" s="70"/>
      <c r="T40" s="198"/>
      <c r="U40" s="57"/>
      <c r="V40" s="482"/>
      <c r="W40" s="5013"/>
      <c r="X40" s="198"/>
      <c r="Y40" s="482"/>
      <c r="Z40" s="70"/>
      <c r="AC40" s="198"/>
      <c r="AD40" s="57"/>
      <c r="AE40" s="482"/>
      <c r="AF40" s="66"/>
      <c r="AG40" s="26"/>
      <c r="AH40" s="198"/>
      <c r="AI40" s="57"/>
      <c r="AJ40" s="482"/>
      <c r="AK40" s="66"/>
      <c r="AL40" s="26"/>
      <c r="AN40" s="198"/>
      <c r="AO40" s="57"/>
      <c r="AP40" s="482"/>
      <c r="AQ40" s="66"/>
      <c r="AR40" s="26"/>
      <c r="AT40" s="4992">
        <v>316.29300000000001</v>
      </c>
      <c r="AU40" s="4971"/>
      <c r="AV40" s="2745">
        <v>270.68200000000002</v>
      </c>
      <c r="AW40" s="66"/>
      <c r="AX40" s="26"/>
    </row>
    <row r="41" spans="1:50" x14ac:dyDescent="0.35">
      <c r="A41" s="9168"/>
      <c r="B41" s="1654"/>
      <c r="C41" s="1654"/>
      <c r="D41" s="197"/>
      <c r="F41" s="122"/>
      <c r="H41" s="198"/>
      <c r="I41" s="482"/>
      <c r="J41" s="8866"/>
      <c r="L41" s="198"/>
      <c r="M41" s="482"/>
      <c r="O41" s="198"/>
      <c r="P41" s="482"/>
      <c r="Q41" s="70"/>
      <c r="T41" s="198"/>
      <c r="U41" s="57"/>
      <c r="V41" s="482"/>
      <c r="W41" s="5013"/>
      <c r="X41" s="198"/>
      <c r="Y41" s="482"/>
      <c r="Z41" s="70"/>
      <c r="AC41" s="198"/>
      <c r="AD41" s="57"/>
      <c r="AE41" s="482"/>
      <c r="AF41" s="66"/>
      <c r="AG41" s="26"/>
      <c r="AH41" s="198"/>
      <c r="AI41" s="57"/>
      <c r="AJ41" s="482"/>
      <c r="AK41" s="66"/>
      <c r="AL41" s="26"/>
      <c r="AN41" s="198"/>
      <c r="AO41" s="57"/>
      <c r="AP41" s="482"/>
      <c r="AQ41" s="66"/>
      <c r="AR41" s="26"/>
      <c r="AT41" s="198"/>
      <c r="AU41" s="57"/>
      <c r="AV41" s="482"/>
      <c r="AW41" s="66"/>
      <c r="AX41" s="26"/>
    </row>
    <row r="42" spans="1:50" x14ac:dyDescent="0.35">
      <c r="A42" s="9168"/>
      <c r="B42" s="1654"/>
      <c r="C42" s="1654"/>
      <c r="D42" s="197"/>
      <c r="F42" s="122"/>
      <c r="H42" s="198"/>
      <c r="I42" s="482"/>
      <c r="J42" s="8866"/>
      <c r="L42" s="198"/>
      <c r="M42" s="482"/>
      <c r="O42" s="198"/>
      <c r="P42" s="482"/>
      <c r="Q42" s="70"/>
      <c r="T42" s="198"/>
      <c r="U42" s="57"/>
      <c r="V42" s="482"/>
      <c r="W42" s="5013"/>
      <c r="X42" s="198"/>
      <c r="Y42" s="482"/>
      <c r="Z42" s="70"/>
      <c r="AC42" s="198"/>
      <c r="AD42" s="57"/>
      <c r="AE42" s="482"/>
      <c r="AF42" s="66"/>
      <c r="AG42" s="26"/>
      <c r="AH42" s="198"/>
      <c r="AI42" s="57"/>
      <c r="AJ42" s="482"/>
      <c r="AK42" s="66"/>
      <c r="AL42" s="26"/>
      <c r="AN42" s="198"/>
      <c r="AO42" s="57"/>
      <c r="AP42" s="482"/>
      <c r="AQ42" s="66"/>
      <c r="AR42" s="26"/>
      <c r="AT42" s="198"/>
      <c r="AU42" s="57"/>
      <c r="AV42" s="482"/>
      <c r="AW42" s="66"/>
      <c r="AX42" s="26"/>
    </row>
    <row r="43" spans="1:50" x14ac:dyDescent="0.35">
      <c r="A43" s="9168"/>
      <c r="B43" s="1654"/>
      <c r="C43" s="1654"/>
      <c r="D43" s="197"/>
      <c r="F43" s="122"/>
      <c r="H43" s="198"/>
      <c r="I43" s="482"/>
      <c r="J43" s="8866"/>
      <c r="L43" s="198"/>
      <c r="M43" s="482"/>
      <c r="O43" s="198"/>
      <c r="P43" s="482"/>
      <c r="Q43" s="70"/>
      <c r="T43" s="198"/>
      <c r="U43" s="57"/>
      <c r="V43" s="482"/>
      <c r="W43" s="5013"/>
      <c r="X43" s="198"/>
      <c r="Y43" s="482"/>
      <c r="Z43" s="70"/>
      <c r="AC43" s="198"/>
      <c r="AD43" s="57"/>
      <c r="AE43" s="482"/>
      <c r="AF43" s="66"/>
      <c r="AG43" s="26"/>
      <c r="AH43" s="198"/>
      <c r="AI43" s="57"/>
      <c r="AJ43" s="482"/>
      <c r="AK43" s="66"/>
      <c r="AL43" s="26"/>
      <c r="AN43" s="198"/>
      <c r="AO43" s="57"/>
      <c r="AP43" s="482"/>
      <c r="AQ43" s="66"/>
      <c r="AR43" s="26"/>
      <c r="AT43" s="198"/>
      <c r="AU43" s="57"/>
      <c r="AV43" s="482"/>
      <c r="AW43" s="66"/>
      <c r="AX43" s="26"/>
    </row>
    <row r="44" spans="1:50" x14ac:dyDescent="0.35">
      <c r="A44" s="9168"/>
      <c r="B44" s="241"/>
      <c r="C44" s="240" t="s">
        <v>6162</v>
      </c>
      <c r="D44" s="197"/>
      <c r="F44" s="163">
        <v>232026000000</v>
      </c>
      <c r="H44" s="242">
        <v>480716000000</v>
      </c>
      <c r="I44" s="3272">
        <v>328866000000</v>
      </c>
      <c r="J44" s="8866">
        <f>IF(H44=0,0,I44/H44)</f>
        <v>0.68411702543705644</v>
      </c>
      <c r="L44" s="242">
        <v>415058000000</v>
      </c>
      <c r="M44" s="482">
        <v>308137000000</v>
      </c>
      <c r="O44" s="242"/>
      <c r="P44" s="482"/>
      <c r="Q44" s="70" t="s">
        <v>6163</v>
      </c>
      <c r="T44" s="242"/>
      <c r="U44" s="57" t="s">
        <v>6164</v>
      </c>
      <c r="V44" s="482"/>
      <c r="W44" s="5013"/>
      <c r="X44" s="242"/>
      <c r="Y44" s="482"/>
      <c r="Z44" s="70"/>
      <c r="AC44" s="242"/>
      <c r="AD44" s="57"/>
      <c r="AE44" s="482"/>
      <c r="AF44" s="66"/>
      <c r="AG44" s="26"/>
      <c r="AH44" s="242"/>
      <c r="AI44" s="57"/>
      <c r="AJ44" s="482"/>
      <c r="AK44" s="66"/>
      <c r="AL44" s="26"/>
      <c r="AN44" s="242"/>
      <c r="AO44" s="57"/>
      <c r="AP44" s="482"/>
      <c r="AQ44" s="66"/>
      <c r="AR44" s="26"/>
      <c r="AT44" s="242"/>
      <c r="AU44" s="57"/>
      <c r="AV44" s="482"/>
      <c r="AW44" s="66"/>
      <c r="AX44" s="26"/>
    </row>
    <row r="45" spans="1:50" x14ac:dyDescent="0.35">
      <c r="A45" s="9168"/>
      <c r="B45" s="241"/>
      <c r="C45" s="249" t="s">
        <v>3603</v>
      </c>
      <c r="D45" s="197"/>
      <c r="F45" s="163"/>
      <c r="H45" s="242"/>
      <c r="I45" s="3272"/>
      <c r="J45" s="8866"/>
      <c r="L45" s="242"/>
      <c r="M45" s="482"/>
      <c r="O45" s="242">
        <f>(10007+127393)*10^6</f>
        <v>137400000000</v>
      </c>
      <c r="P45" s="482">
        <f>(11101+136376)*10^6</f>
        <v>147477000000</v>
      </c>
      <c r="T45" s="242">
        <f>(11218+131229)*10^6</f>
        <v>142447000000</v>
      </c>
      <c r="U45" s="106"/>
      <c r="V45" s="482">
        <f>(11816+143192)*10^6</f>
        <v>155008000000</v>
      </c>
      <c r="W45" s="5013"/>
      <c r="X45" s="3166">
        <v>142447000000</v>
      </c>
      <c r="Y45" s="5362">
        <v>155008000000</v>
      </c>
      <c r="AC45" s="3166">
        <v>158191000000</v>
      </c>
      <c r="AD45" s="3016"/>
      <c r="AE45" s="5362">
        <v>143498000000</v>
      </c>
      <c r="AF45" s="66"/>
      <c r="AG45" s="26"/>
      <c r="AH45" s="4656">
        <f>12.993+140.136</f>
        <v>153.12899999999999</v>
      </c>
      <c r="AI45" s="5506"/>
      <c r="AJ45" s="4614">
        <f>12.9+149.256</f>
        <v>162.15600000000001</v>
      </c>
      <c r="AK45" s="66"/>
      <c r="AL45" s="26"/>
      <c r="AN45" s="4656">
        <f>14.194+187.938</f>
        <v>202.13199999999998</v>
      </c>
      <c r="AO45" s="5506"/>
      <c r="AP45" s="4614">
        <f>15.429+182.428</f>
        <v>197.857</v>
      </c>
      <c r="AQ45" s="66"/>
      <c r="AR45" s="26"/>
      <c r="AT45" s="4656"/>
      <c r="AU45" s="5506"/>
      <c r="AV45" s="4614"/>
      <c r="AW45" s="66"/>
      <c r="AX45" s="26"/>
    </row>
    <row r="46" spans="1:50" x14ac:dyDescent="0.35">
      <c r="A46" s="9168"/>
      <c r="B46" s="241"/>
      <c r="C46" s="249" t="s">
        <v>6160</v>
      </c>
      <c r="D46" s="197"/>
      <c r="F46" s="163"/>
      <c r="H46" s="242"/>
      <c r="I46" s="3272"/>
      <c r="J46" s="8866"/>
      <c r="L46" s="242"/>
      <c r="M46" s="482"/>
      <c r="O46" s="242">
        <v>53115000000</v>
      </c>
      <c r="P46" s="482">
        <v>48441000000</v>
      </c>
      <c r="T46" s="242">
        <v>62227000000</v>
      </c>
      <c r="U46" s="106"/>
      <c r="V46" s="482">
        <v>56798000000</v>
      </c>
      <c r="W46" s="5013"/>
      <c r="X46" s="3166">
        <v>62227000000</v>
      </c>
      <c r="Y46" s="5362">
        <v>56798000000</v>
      </c>
      <c r="AC46" s="3166">
        <v>105797000000</v>
      </c>
      <c r="AD46" s="3016"/>
      <c r="AE46" s="5362">
        <v>64854000000</v>
      </c>
      <c r="AF46" s="66"/>
      <c r="AG46" s="26"/>
      <c r="AH46" s="4656">
        <v>75.930999999999997</v>
      </c>
      <c r="AI46" s="5506"/>
      <c r="AJ46" s="4614">
        <v>71.977999999999994</v>
      </c>
      <c r="AK46" s="66"/>
      <c r="AL46" s="26"/>
      <c r="AN46" s="4656">
        <v>66.899000000000001</v>
      </c>
      <c r="AO46" s="5506"/>
      <c r="AP46" s="4614">
        <v>70.603999999999999</v>
      </c>
      <c r="AQ46" s="66"/>
      <c r="AR46" s="26"/>
      <c r="AT46" s="4656"/>
      <c r="AU46" s="5506"/>
      <c r="AV46" s="4614"/>
      <c r="AW46" s="66"/>
      <c r="AX46" s="26"/>
    </row>
    <row r="47" spans="1:50" x14ac:dyDescent="0.35">
      <c r="A47" s="9168"/>
      <c r="B47" s="241"/>
      <c r="C47" s="249" t="s">
        <v>6161</v>
      </c>
      <c r="D47" s="197"/>
      <c r="F47" s="163"/>
      <c r="H47" s="242"/>
      <c r="I47" s="3272"/>
      <c r="J47" s="8866"/>
      <c r="L47" s="242"/>
      <c r="M47" s="482"/>
      <c r="O47" s="242">
        <v>222373000000</v>
      </c>
      <c r="P47" s="482">
        <v>99172000000</v>
      </c>
      <c r="T47" s="242">
        <v>200477000000</v>
      </c>
      <c r="U47" s="106"/>
      <c r="V47" s="482">
        <v>143815000000</v>
      </c>
      <c r="W47" s="5013"/>
      <c r="X47" s="3166">
        <v>200477000000</v>
      </c>
      <c r="Y47" s="5362">
        <v>143815000000</v>
      </c>
      <c r="AC47" s="3166">
        <v>396921000000</v>
      </c>
      <c r="AD47" s="106"/>
      <c r="AE47" s="5362">
        <v>232681000000</v>
      </c>
      <c r="AF47" s="66"/>
      <c r="AG47" s="26"/>
      <c r="AH47" s="5507">
        <v>388.95800000000003</v>
      </c>
      <c r="AI47" s="645" t="s">
        <v>2660</v>
      </c>
      <c r="AJ47" s="5508">
        <v>197.03399999999999</v>
      </c>
      <c r="AK47" s="66"/>
      <c r="AL47" s="26"/>
      <c r="AN47" s="4656">
        <v>336.892</v>
      </c>
      <c r="AO47" s="645"/>
      <c r="AP47" s="4614">
        <v>251.053</v>
      </c>
      <c r="AQ47" s="66"/>
      <c r="AR47" s="26"/>
      <c r="AT47" s="4656"/>
      <c r="AU47" s="645"/>
      <c r="AV47" s="4614"/>
      <c r="AW47" s="66"/>
      <c r="AX47" s="26"/>
    </row>
    <row r="48" spans="1:50" x14ac:dyDescent="0.35">
      <c r="A48" s="9168"/>
      <c r="B48" s="241"/>
      <c r="C48" s="4067" t="s">
        <v>6165</v>
      </c>
      <c r="D48" s="197"/>
      <c r="F48" s="163">
        <v>8978000000</v>
      </c>
      <c r="H48" s="242">
        <v>1767300000</v>
      </c>
      <c r="I48" s="3272">
        <v>1738600000</v>
      </c>
      <c r="J48" s="8866">
        <f>IF(H48=0,0,I48/H48)</f>
        <v>0.98376053867481472</v>
      </c>
      <c r="L48" s="242">
        <v>17130000000</v>
      </c>
      <c r="M48" s="482">
        <v>17073000000</v>
      </c>
      <c r="O48" s="242"/>
      <c r="P48" s="482"/>
      <c r="Q48" s="70" t="s">
        <v>6166</v>
      </c>
      <c r="T48" s="242"/>
      <c r="U48" s="57" t="s">
        <v>6167</v>
      </c>
      <c r="V48" s="482"/>
      <c r="W48" s="5013"/>
      <c r="X48" s="242"/>
      <c r="Y48" s="482"/>
      <c r="Z48" s="70"/>
      <c r="AC48" s="242"/>
      <c r="AD48" s="57"/>
      <c r="AE48" s="482"/>
      <c r="AF48" s="66"/>
      <c r="AG48" s="26"/>
      <c r="AH48" s="1172"/>
      <c r="AI48" s="1161"/>
      <c r="AJ48" s="1304"/>
      <c r="AK48" s="66"/>
      <c r="AL48" s="26"/>
      <c r="AN48" s="4656"/>
      <c r="AO48" s="1161"/>
      <c r="AP48" s="4614"/>
      <c r="AQ48" s="66"/>
      <c r="AR48" s="26"/>
      <c r="AT48" s="4656"/>
      <c r="AU48" s="1161"/>
      <c r="AV48" s="4614"/>
      <c r="AW48" s="66"/>
      <c r="AX48" s="26"/>
    </row>
    <row r="49" spans="1:50" x14ac:dyDescent="0.35">
      <c r="A49" s="9168"/>
      <c r="B49" s="241"/>
      <c r="C49" s="249" t="s">
        <v>3603</v>
      </c>
      <c r="D49" s="197"/>
      <c r="F49" s="163"/>
      <c r="H49" s="242"/>
      <c r="I49" s="3272"/>
      <c r="J49" s="8866"/>
      <c r="L49" s="242"/>
      <c r="M49" s="482"/>
      <c r="O49" s="242">
        <f>(8899+6987)*10^6</f>
        <v>15886000000</v>
      </c>
      <c r="P49" s="482">
        <f>(8842+6964)*10^6</f>
        <v>15806000000</v>
      </c>
      <c r="T49" s="242">
        <f>12151000000+7235000000</f>
        <v>19386000000</v>
      </c>
      <c r="U49" s="57"/>
      <c r="V49" s="482">
        <f>(11167+6524)*10^6</f>
        <v>17691000000</v>
      </c>
      <c r="W49" s="5013"/>
      <c r="X49" s="3166">
        <v>19386000000</v>
      </c>
      <c r="Y49" s="5362">
        <v>17691000000</v>
      </c>
      <c r="AC49" s="3166">
        <v>24880000000.000004</v>
      </c>
      <c r="AD49" s="5509"/>
      <c r="AE49" s="5362">
        <v>23377000000</v>
      </c>
      <c r="AF49" s="66"/>
      <c r="AG49" s="26"/>
      <c r="AH49" s="4656">
        <f>18.381+7.274</f>
        <v>25.655000000000001</v>
      </c>
      <c r="AI49" s="5510"/>
      <c r="AJ49" s="4614">
        <f>21.603+7.271</f>
        <v>28.874000000000002</v>
      </c>
      <c r="AK49" s="66"/>
      <c r="AL49" s="26"/>
      <c r="AN49" s="4656">
        <f>21.77+7.092</f>
        <v>28.861999999999998</v>
      </c>
      <c r="AO49" s="5510"/>
      <c r="AP49" s="4614">
        <f>23.109+7.252</f>
        <v>30.361000000000001</v>
      </c>
      <c r="AQ49" s="66"/>
      <c r="AR49" s="26"/>
      <c r="AT49" s="4656"/>
      <c r="AU49" s="5510"/>
      <c r="AV49" s="4614"/>
      <c r="AW49" s="66"/>
      <c r="AX49" s="26"/>
    </row>
    <row r="50" spans="1:50" x14ac:dyDescent="0.35">
      <c r="A50" s="9168"/>
      <c r="B50" s="241"/>
      <c r="C50" s="249" t="s">
        <v>6160</v>
      </c>
      <c r="D50" s="197"/>
      <c r="F50" s="163"/>
      <c r="H50" s="242"/>
      <c r="I50" s="3272"/>
      <c r="J50" s="8866"/>
      <c r="L50" s="242"/>
      <c r="M50" s="482"/>
      <c r="O50" s="242">
        <v>1078000000</v>
      </c>
      <c r="P50" s="482">
        <v>857000000</v>
      </c>
      <c r="T50" s="242">
        <v>1078000000</v>
      </c>
      <c r="U50" s="106"/>
      <c r="V50" s="482">
        <v>876000000</v>
      </c>
      <c r="W50" s="5013"/>
      <c r="X50" s="3166">
        <v>1078000000</v>
      </c>
      <c r="Y50" s="5362">
        <v>876000000</v>
      </c>
      <c r="AC50" s="3166">
        <v>1078000000</v>
      </c>
      <c r="AD50" s="106"/>
      <c r="AE50" s="5362">
        <v>475000000</v>
      </c>
      <c r="AF50" s="66"/>
      <c r="AG50" s="26"/>
      <c r="AH50" s="4656">
        <v>1.0780000000000001</v>
      </c>
      <c r="AI50" s="645"/>
      <c r="AJ50" s="4614">
        <v>1.0009999999999999</v>
      </c>
      <c r="AK50" s="66"/>
      <c r="AL50" s="26"/>
      <c r="AN50" s="4656">
        <v>1.0780000000000001</v>
      </c>
      <c r="AO50" s="645"/>
      <c r="AP50" s="4614">
        <v>1.056</v>
      </c>
      <c r="AQ50" s="66"/>
      <c r="AR50" s="26"/>
      <c r="AT50" s="4656"/>
      <c r="AU50" s="645"/>
      <c r="AV50" s="4614"/>
      <c r="AW50" s="66"/>
      <c r="AX50" s="26"/>
    </row>
    <row r="51" spans="1:50" x14ac:dyDescent="0.35">
      <c r="A51" s="9168"/>
      <c r="B51" s="241"/>
      <c r="C51" s="249" t="s">
        <v>6161</v>
      </c>
      <c r="D51" s="197"/>
      <c r="F51" s="163"/>
      <c r="H51" s="242"/>
      <c r="I51" s="3272"/>
      <c r="J51" s="8866"/>
      <c r="L51" s="242"/>
      <c r="M51" s="482"/>
      <c r="O51" s="242">
        <v>0</v>
      </c>
      <c r="P51" s="482">
        <v>0</v>
      </c>
      <c r="T51" s="242">
        <v>0</v>
      </c>
      <c r="U51" s="106"/>
      <c r="V51" s="482">
        <v>0</v>
      </c>
      <c r="W51" s="5013"/>
      <c r="X51" s="3166">
        <v>0</v>
      </c>
      <c r="Y51" s="5362">
        <v>0</v>
      </c>
      <c r="AC51" s="3166">
        <v>0</v>
      </c>
      <c r="AD51" s="106"/>
      <c r="AE51" s="5362">
        <v>0</v>
      </c>
      <c r="AF51" s="66"/>
      <c r="AG51" s="26"/>
      <c r="AH51" s="4656">
        <v>0</v>
      </c>
      <c r="AI51" s="645"/>
      <c r="AJ51" s="4614">
        <v>0</v>
      </c>
      <c r="AK51" s="66"/>
      <c r="AL51" s="26"/>
      <c r="AN51" s="4656">
        <v>0</v>
      </c>
      <c r="AO51" s="645"/>
      <c r="AP51" s="4614">
        <v>0</v>
      </c>
      <c r="AQ51" s="66"/>
      <c r="AR51" s="26"/>
      <c r="AT51" s="4656"/>
      <c r="AU51" s="645"/>
      <c r="AV51" s="4614"/>
      <c r="AW51" s="66"/>
      <c r="AX51" s="26"/>
    </row>
    <row r="52" spans="1:50" x14ac:dyDescent="0.35">
      <c r="A52" s="9168"/>
      <c r="B52" s="241"/>
      <c r="C52" s="4067" t="s">
        <v>6168</v>
      </c>
      <c r="D52" s="197"/>
      <c r="F52" s="163"/>
      <c r="H52" s="242">
        <v>27758000000</v>
      </c>
      <c r="I52" s="3272">
        <v>27523000000</v>
      </c>
      <c r="J52" s="8866">
        <f>IF(H52=0,0,I52/H52)</f>
        <v>0.99153397218819794</v>
      </c>
      <c r="L52" s="242">
        <v>34372000000</v>
      </c>
      <c r="M52" s="482">
        <v>33657000000</v>
      </c>
      <c r="O52" s="242"/>
      <c r="P52" s="482"/>
      <c r="Q52" s="70" t="s">
        <v>6169</v>
      </c>
      <c r="T52" s="242"/>
      <c r="U52" s="57" t="s">
        <v>6170</v>
      </c>
      <c r="V52" s="482"/>
      <c r="W52" s="5013"/>
      <c r="X52" s="242"/>
      <c r="Y52" s="482"/>
      <c r="Z52" s="70"/>
      <c r="AC52" s="242"/>
      <c r="AD52" s="57"/>
      <c r="AE52" s="482"/>
      <c r="AF52" s="66"/>
      <c r="AG52" s="26"/>
      <c r="AH52" s="1172"/>
      <c r="AI52" s="1161"/>
      <c r="AJ52" s="1304"/>
      <c r="AK52" s="66"/>
      <c r="AL52" s="26"/>
      <c r="AN52" s="1172"/>
      <c r="AO52" s="1161"/>
      <c r="AP52" s="1304"/>
      <c r="AQ52" s="66"/>
      <c r="AR52" s="26"/>
      <c r="AT52" s="1172"/>
      <c r="AU52" s="1161"/>
      <c r="AV52" s="1304"/>
      <c r="AW52" s="66"/>
      <c r="AX52" s="26"/>
    </row>
    <row r="53" spans="1:50" x14ac:dyDescent="0.35">
      <c r="A53" s="9168"/>
      <c r="B53" s="241"/>
      <c r="C53" s="249" t="s">
        <v>3603</v>
      </c>
      <c r="D53" s="197"/>
      <c r="F53" s="163"/>
      <c r="H53" s="242"/>
      <c r="I53" s="3272"/>
      <c r="J53" s="8866"/>
      <c r="L53" s="242"/>
      <c r="M53" s="482"/>
      <c r="O53" s="242">
        <f>(24820+7407)*10^6</f>
        <v>32227000000</v>
      </c>
      <c r="P53" s="482">
        <f>(24766+7335)*10^6</f>
        <v>32101000000</v>
      </c>
      <c r="T53" s="242">
        <f>(24820+6072)*10^6</f>
        <v>30892000000</v>
      </c>
      <c r="U53" s="106"/>
      <c r="V53" s="482">
        <f>(25960+6064)*10^6</f>
        <v>32024000000</v>
      </c>
      <c r="W53" s="5013"/>
      <c r="X53" s="3166">
        <v>30892000000</v>
      </c>
      <c r="Y53" s="5362">
        <v>32024000000</v>
      </c>
      <c r="AC53" s="3166">
        <v>30892000000</v>
      </c>
      <c r="AD53" s="3016"/>
      <c r="AE53" s="5362">
        <v>32347000000</v>
      </c>
      <c r="AF53" s="66"/>
      <c r="AG53" s="26"/>
      <c r="AH53" s="4656">
        <f>26.093+6.072</f>
        <v>32.164999999999999</v>
      </c>
      <c r="AI53" s="5506"/>
      <c r="AJ53" s="4614">
        <f>26.079+6.076</f>
        <v>32.155000000000001</v>
      </c>
      <c r="AK53" s="66"/>
      <c r="AL53" s="26"/>
      <c r="AN53" s="4656">
        <f>31.911+6.337</f>
        <v>38.248000000000005</v>
      </c>
      <c r="AO53" s="5506"/>
      <c r="AP53" s="4614">
        <f>31.908+6.333</f>
        <v>38.241</v>
      </c>
      <c r="AQ53" s="66"/>
      <c r="AR53" s="26"/>
      <c r="AT53" s="4656"/>
      <c r="AU53" s="5506"/>
      <c r="AV53" s="4614"/>
      <c r="AW53" s="66"/>
      <c r="AX53" s="26"/>
    </row>
    <row r="54" spans="1:50" x14ac:dyDescent="0.35">
      <c r="A54" s="9168"/>
      <c r="B54" s="241"/>
      <c r="C54" s="249" t="s">
        <v>6160</v>
      </c>
      <c r="D54" s="197"/>
      <c r="F54" s="163"/>
      <c r="H54" s="242"/>
      <c r="I54" s="3272"/>
      <c r="J54" s="8866"/>
      <c r="L54" s="242"/>
      <c r="M54" s="482"/>
      <c r="O54" s="242">
        <v>2145000000</v>
      </c>
      <c r="P54" s="482">
        <v>1490000000</v>
      </c>
      <c r="T54" s="242">
        <v>2145000000</v>
      </c>
      <c r="U54" s="106"/>
      <c r="V54" s="482">
        <f>1704000000</f>
        <v>1704000000</v>
      </c>
      <c r="W54" s="5013"/>
      <c r="X54" s="3166">
        <v>2145000000</v>
      </c>
      <c r="Y54" s="5362">
        <v>1704000000</v>
      </c>
      <c r="AC54" s="3166">
        <v>2672000000</v>
      </c>
      <c r="AD54" s="3016"/>
      <c r="AE54" s="5362">
        <v>2672000000</v>
      </c>
      <c r="AF54" s="66"/>
      <c r="AG54" s="26"/>
      <c r="AH54" s="4656">
        <v>2.6720000000000002</v>
      </c>
      <c r="AI54" s="5506"/>
      <c r="AJ54" s="4614">
        <v>2.72</v>
      </c>
      <c r="AK54" s="66"/>
      <c r="AL54" s="26"/>
      <c r="AN54" s="4656">
        <v>2.6720000000000002</v>
      </c>
      <c r="AO54" s="5506"/>
      <c r="AP54" s="4614">
        <v>2.694</v>
      </c>
      <c r="AQ54" s="66"/>
      <c r="AR54" s="26"/>
      <c r="AT54" s="4656"/>
      <c r="AU54" s="5506"/>
      <c r="AV54" s="4614"/>
      <c r="AW54" s="66"/>
      <c r="AX54" s="26"/>
    </row>
    <row r="55" spans="1:50" x14ac:dyDescent="0.35">
      <c r="A55" s="9168"/>
      <c r="B55" s="241"/>
      <c r="C55" s="249" t="s">
        <v>6161</v>
      </c>
      <c r="D55" s="197"/>
      <c r="F55" s="163"/>
      <c r="H55" s="242"/>
      <c r="I55" s="3272"/>
      <c r="J55" s="8866"/>
      <c r="L55" s="242"/>
      <c r="M55" s="482"/>
      <c r="O55" s="242">
        <v>0</v>
      </c>
      <c r="P55" s="482">
        <v>0</v>
      </c>
      <c r="T55" s="242">
        <v>0</v>
      </c>
      <c r="U55" s="106"/>
      <c r="V55" s="482">
        <v>0</v>
      </c>
      <c r="W55" s="5013"/>
      <c r="X55" s="3166">
        <v>0</v>
      </c>
      <c r="Y55" s="5362">
        <v>0</v>
      </c>
      <c r="Z55" s="143"/>
      <c r="AA55" s="143"/>
      <c r="AB55" s="143"/>
      <c r="AC55" s="3166">
        <v>0</v>
      </c>
      <c r="AD55" s="5249"/>
      <c r="AE55" s="5362">
        <v>0</v>
      </c>
      <c r="AF55" s="66"/>
      <c r="AG55" s="26"/>
      <c r="AH55" s="4656">
        <v>0</v>
      </c>
      <c r="AI55" s="5511"/>
      <c r="AJ55" s="4614">
        <v>0</v>
      </c>
      <c r="AK55" s="66"/>
      <c r="AL55" s="26"/>
      <c r="AN55" s="4656">
        <v>0</v>
      </c>
      <c r="AO55" s="5511"/>
      <c r="AP55" s="4614">
        <v>0</v>
      </c>
      <c r="AQ55" s="66"/>
      <c r="AR55" s="26"/>
      <c r="AT55" s="4656"/>
      <c r="AU55" s="5511"/>
      <c r="AV55" s="4614"/>
      <c r="AW55" s="66"/>
      <c r="AX55" s="26"/>
    </row>
    <row r="56" spans="1:50" x14ac:dyDescent="0.35">
      <c r="A56" s="9168"/>
      <c r="B56" s="241"/>
      <c r="C56" s="4067" t="s">
        <v>6171</v>
      </c>
      <c r="D56" s="197"/>
      <c r="F56" s="163"/>
      <c r="H56" s="242"/>
      <c r="I56" s="3272"/>
      <c r="J56" s="8866">
        <f>IF(H56=0,0,I56/H56)</f>
        <v>0</v>
      </c>
      <c r="L56" s="242">
        <v>6591000000</v>
      </c>
      <c r="M56" s="482">
        <v>6591000000</v>
      </c>
      <c r="O56" s="242"/>
      <c r="P56" s="482"/>
      <c r="Q56" s="70" t="s">
        <v>6172</v>
      </c>
      <c r="T56" s="242"/>
      <c r="U56" s="57" t="s">
        <v>6173</v>
      </c>
      <c r="V56" s="482"/>
      <c r="W56" s="5013"/>
      <c r="X56" s="242"/>
      <c r="Y56" s="482"/>
      <c r="Z56" s="70"/>
      <c r="AC56" s="242"/>
      <c r="AD56" s="57"/>
      <c r="AE56" s="482"/>
      <c r="AF56" s="66"/>
      <c r="AG56" s="26"/>
      <c r="AH56" s="1172"/>
      <c r="AI56" s="1161"/>
      <c r="AJ56" s="1304"/>
      <c r="AK56" s="66"/>
      <c r="AL56" s="26"/>
      <c r="AN56" s="1172"/>
      <c r="AO56" s="1161"/>
      <c r="AP56" s="1304"/>
      <c r="AQ56" s="66"/>
      <c r="AR56" s="26"/>
      <c r="AT56" s="1172"/>
      <c r="AU56" s="1161"/>
      <c r="AV56" s="1304"/>
      <c r="AW56" s="66"/>
      <c r="AX56" s="26"/>
    </row>
    <row r="57" spans="1:50" x14ac:dyDescent="0.35">
      <c r="A57" s="9168"/>
      <c r="B57" s="241"/>
      <c r="C57" s="249" t="s">
        <v>3603</v>
      </c>
      <c r="D57" s="197"/>
      <c r="F57" s="163"/>
      <c r="H57" s="242"/>
      <c r="I57" s="3272"/>
      <c r="J57" s="8866"/>
      <c r="L57" s="242"/>
      <c r="M57" s="482"/>
      <c r="O57" s="242">
        <f>(1650+2550)*10^6</f>
        <v>4200000000</v>
      </c>
      <c r="P57" s="482">
        <f>(1650+2550)*10^6</f>
        <v>4200000000</v>
      </c>
      <c r="T57" s="242">
        <f>(2643+3325)*10^6</f>
        <v>5968000000</v>
      </c>
      <c r="U57" s="106"/>
      <c r="V57" s="482">
        <f>(2643+3325)*10^6</f>
        <v>5968000000</v>
      </c>
      <c r="W57" s="5013"/>
      <c r="X57" s="3166">
        <v>5968000000</v>
      </c>
      <c r="Y57" s="5362">
        <v>5968000000</v>
      </c>
      <c r="AC57" s="3166">
        <v>6999000000</v>
      </c>
      <c r="AD57" s="3016"/>
      <c r="AE57" s="5362">
        <v>7279000000</v>
      </c>
      <c r="AF57" s="66"/>
      <c r="AG57" s="26"/>
      <c r="AH57" s="4656">
        <f>4.984+3.29</f>
        <v>8.2740000000000009</v>
      </c>
      <c r="AI57" s="5506"/>
      <c r="AJ57" s="4614">
        <f>5.469+3.253</f>
        <v>8.7220000000000013</v>
      </c>
      <c r="AK57" s="66"/>
      <c r="AL57" s="26"/>
      <c r="AN57" s="4656">
        <f>6.774+3.372</f>
        <v>10.146000000000001</v>
      </c>
      <c r="AO57" s="5506"/>
      <c r="AP57" s="4614">
        <f>6.828+4.401</f>
        <v>11.228999999999999</v>
      </c>
      <c r="AQ57" s="66"/>
      <c r="AR57" s="26"/>
      <c r="AT57" s="4656"/>
      <c r="AU57" s="5506"/>
      <c r="AV57" s="4614"/>
      <c r="AW57" s="66"/>
      <c r="AX57" s="26"/>
    </row>
    <row r="58" spans="1:50" x14ac:dyDescent="0.35">
      <c r="A58" s="9168"/>
      <c r="B58" s="241"/>
      <c r="C58" s="249" t="s">
        <v>6160</v>
      </c>
      <c r="D58" s="197"/>
      <c r="F58" s="163"/>
      <c r="H58" s="242"/>
      <c r="I58" s="3272"/>
      <c r="J58" s="8866"/>
      <c r="L58" s="242"/>
      <c r="M58" s="482"/>
      <c r="O58" s="242">
        <v>2300000000</v>
      </c>
      <c r="P58" s="482">
        <v>2300000000</v>
      </c>
      <c r="T58" s="242">
        <v>4550000000</v>
      </c>
      <c r="U58" s="106"/>
      <c r="V58" s="482">
        <f>4550000000</f>
        <v>4550000000</v>
      </c>
      <c r="W58" s="5013"/>
      <c r="X58" s="3166">
        <v>4550000000</v>
      </c>
      <c r="Y58" s="5362">
        <v>4550000000</v>
      </c>
      <c r="AC58" s="3166">
        <v>4550000000</v>
      </c>
      <c r="AD58" s="106"/>
      <c r="AE58" s="5362">
        <v>2535000000</v>
      </c>
      <c r="AF58" s="66"/>
      <c r="AG58" s="26"/>
      <c r="AH58" s="4656">
        <v>4.55</v>
      </c>
      <c r="AI58" s="645"/>
      <c r="AJ58" s="4614">
        <v>3.4390000000000001</v>
      </c>
      <c r="AK58" s="66"/>
      <c r="AL58" s="26"/>
      <c r="AN58" s="4656">
        <v>4.55</v>
      </c>
      <c r="AO58" s="645"/>
      <c r="AP58" s="4614">
        <v>4.508</v>
      </c>
      <c r="AQ58" s="66"/>
      <c r="AR58" s="26"/>
      <c r="AT58" s="4656"/>
      <c r="AU58" s="645"/>
      <c r="AV58" s="4614"/>
      <c r="AW58" s="66"/>
      <c r="AX58" s="26"/>
    </row>
    <row r="59" spans="1:50" x14ac:dyDescent="0.35">
      <c r="A59" s="9168"/>
      <c r="B59" s="241"/>
      <c r="C59" s="249" t="s">
        <v>6161</v>
      </c>
      <c r="D59" s="197"/>
      <c r="F59" s="163"/>
      <c r="H59" s="242"/>
      <c r="I59" s="3272"/>
      <c r="J59" s="8866"/>
      <c r="L59" s="242"/>
      <c r="M59" s="482"/>
      <c r="O59" s="242">
        <v>0</v>
      </c>
      <c r="P59" s="482">
        <v>0</v>
      </c>
      <c r="T59" s="242">
        <v>0</v>
      </c>
      <c r="U59" s="106"/>
      <c r="V59" s="482">
        <v>0</v>
      </c>
      <c r="W59" s="5013"/>
      <c r="X59" s="3166">
        <v>0</v>
      </c>
      <c r="Y59" s="5362">
        <v>0</v>
      </c>
      <c r="AC59" s="3166">
        <v>0</v>
      </c>
      <c r="AD59" s="106"/>
      <c r="AE59" s="5362">
        <v>0</v>
      </c>
      <c r="AF59" s="66"/>
      <c r="AG59" s="26"/>
      <c r="AH59" s="4656">
        <v>0</v>
      </c>
      <c r="AI59" s="645"/>
      <c r="AJ59" s="4614">
        <v>0</v>
      </c>
      <c r="AK59" s="66"/>
      <c r="AL59" s="26"/>
      <c r="AN59" s="4656">
        <v>0</v>
      </c>
      <c r="AO59" s="645"/>
      <c r="AP59" s="4614">
        <v>0</v>
      </c>
      <c r="AQ59" s="66"/>
      <c r="AR59" s="26"/>
      <c r="AT59" s="4656"/>
      <c r="AU59" s="645"/>
      <c r="AV59" s="4614"/>
      <c r="AW59" s="66"/>
      <c r="AX59" s="26"/>
    </row>
    <row r="60" spans="1:50" x14ac:dyDescent="0.35">
      <c r="A60" s="9168"/>
      <c r="B60" s="241"/>
      <c r="C60" s="4067" t="s">
        <v>6174</v>
      </c>
      <c r="D60" s="197"/>
      <c r="F60" s="163"/>
      <c r="H60" s="242"/>
      <c r="I60" s="3272"/>
      <c r="J60" s="8866"/>
      <c r="L60" s="242"/>
      <c r="M60" s="482"/>
      <c r="O60" s="242"/>
      <c r="P60" s="482"/>
      <c r="Q60" s="70"/>
      <c r="T60" s="242"/>
      <c r="U60" s="57" t="s">
        <v>6175</v>
      </c>
      <c r="V60" s="482"/>
      <c r="W60" s="5013"/>
      <c r="X60" s="242"/>
      <c r="Y60" s="482"/>
      <c r="Z60" s="70"/>
      <c r="AC60" s="242"/>
      <c r="AD60" s="57"/>
      <c r="AE60" s="482"/>
      <c r="AF60" s="66"/>
      <c r="AG60" s="26"/>
      <c r="AH60" s="1172"/>
      <c r="AI60" s="1161"/>
      <c r="AJ60" s="1304"/>
      <c r="AK60" s="66"/>
      <c r="AL60" s="26"/>
      <c r="AN60" s="1172"/>
      <c r="AO60" s="1161"/>
      <c r="AP60" s="1304"/>
      <c r="AQ60" s="66"/>
      <c r="AR60" s="26"/>
      <c r="AT60" s="1172"/>
      <c r="AU60" s="1161"/>
      <c r="AV60" s="1304"/>
      <c r="AW60" s="66"/>
      <c r="AX60" s="26"/>
    </row>
    <row r="61" spans="1:50" x14ac:dyDescent="0.35">
      <c r="A61" s="9168"/>
      <c r="B61" s="241"/>
      <c r="C61" s="249" t="s">
        <v>3603</v>
      </c>
      <c r="D61" s="197"/>
      <c r="F61" s="163"/>
      <c r="H61" s="242"/>
      <c r="I61" s="3272"/>
      <c r="J61" s="8866"/>
      <c r="L61" s="242"/>
      <c r="M61" s="482"/>
      <c r="O61" s="242"/>
      <c r="P61" s="482"/>
      <c r="T61" s="242">
        <f>(3450+27504)*10^6</f>
        <v>30954000000</v>
      </c>
      <c r="U61" s="106"/>
      <c r="V61" s="482">
        <f>(3450+27497)*10^6</f>
        <v>30947000000</v>
      </c>
      <c r="W61" s="5013"/>
      <c r="X61" s="3166">
        <v>30954000000</v>
      </c>
      <c r="Y61" s="5362">
        <v>30947000000</v>
      </c>
      <c r="AC61" s="3166">
        <v>31454000000</v>
      </c>
      <c r="AD61" s="3016"/>
      <c r="AE61" s="5362">
        <v>38692000000</v>
      </c>
      <c r="AF61" s="66"/>
      <c r="AG61" s="26"/>
      <c r="AH61" s="4656">
        <f>3.95+27.825</f>
        <v>31.774999999999999</v>
      </c>
      <c r="AI61" s="5506"/>
      <c r="AJ61" s="4614">
        <f>3.95+27.825</f>
        <v>31.774999999999999</v>
      </c>
      <c r="AK61" s="66"/>
      <c r="AL61" s="26"/>
      <c r="AN61" s="4656">
        <f>3.95+46.28</f>
        <v>50.230000000000004</v>
      </c>
      <c r="AO61" s="5506"/>
      <c r="AP61" s="4614">
        <f>3.95+46.28</f>
        <v>50.230000000000004</v>
      </c>
      <c r="AQ61" s="66"/>
      <c r="AR61" s="26"/>
      <c r="AT61" s="4656"/>
      <c r="AU61" s="5506"/>
      <c r="AV61" s="4614"/>
      <c r="AW61" s="66"/>
      <c r="AX61" s="26"/>
    </row>
    <row r="62" spans="1:50" x14ac:dyDescent="0.35">
      <c r="A62" s="9168"/>
      <c r="B62" s="241"/>
      <c r="C62" s="249" t="s">
        <v>6160</v>
      </c>
      <c r="D62" s="197"/>
      <c r="F62" s="163"/>
      <c r="H62" s="242"/>
      <c r="I62" s="3272"/>
      <c r="J62" s="8866"/>
      <c r="L62" s="242"/>
      <c r="M62" s="482"/>
      <c r="O62" s="242"/>
      <c r="P62" s="482"/>
      <c r="T62" s="242">
        <v>0</v>
      </c>
      <c r="U62" s="106"/>
      <c r="V62" s="482">
        <v>0</v>
      </c>
      <c r="W62" s="5013"/>
      <c r="X62" s="3166">
        <v>0</v>
      </c>
      <c r="Y62" s="5362">
        <v>0</v>
      </c>
      <c r="AC62" s="3166">
        <v>0</v>
      </c>
      <c r="AD62" s="106"/>
      <c r="AE62" s="5362">
        <v>0</v>
      </c>
      <c r="AF62" s="66"/>
      <c r="AG62" s="26"/>
      <c r="AH62" s="4656">
        <v>0</v>
      </c>
      <c r="AI62" s="645"/>
      <c r="AJ62" s="4614">
        <v>0</v>
      </c>
      <c r="AK62" s="66"/>
      <c r="AL62" s="26"/>
      <c r="AN62" s="4656">
        <v>4.5</v>
      </c>
      <c r="AO62" s="645"/>
      <c r="AP62" s="4614">
        <v>4.5</v>
      </c>
      <c r="AQ62" s="66"/>
      <c r="AR62" s="26"/>
      <c r="AT62" s="4656"/>
      <c r="AU62" s="645"/>
      <c r="AV62" s="4614"/>
      <c r="AW62" s="66"/>
      <c r="AX62" s="26"/>
    </row>
    <row r="63" spans="1:50" x14ac:dyDescent="0.35">
      <c r="A63" s="9168"/>
      <c r="B63" s="241"/>
      <c r="C63" s="249" t="s">
        <v>6161</v>
      </c>
      <c r="D63" s="197"/>
      <c r="F63" s="163"/>
      <c r="H63" s="242"/>
      <c r="I63" s="3272"/>
      <c r="J63" s="8866"/>
      <c r="L63" s="242"/>
      <c r="M63" s="482"/>
      <c r="O63" s="242"/>
      <c r="P63" s="482"/>
      <c r="T63" s="242">
        <v>0</v>
      </c>
      <c r="U63" s="106"/>
      <c r="V63" s="482">
        <v>0</v>
      </c>
      <c r="W63" s="5013"/>
      <c r="X63" s="3166">
        <v>0</v>
      </c>
      <c r="Y63" s="5362">
        <v>0</v>
      </c>
      <c r="AC63" s="3166">
        <v>0</v>
      </c>
      <c r="AD63" s="106"/>
      <c r="AE63" s="5362">
        <v>0</v>
      </c>
      <c r="AF63" s="66"/>
      <c r="AG63" s="26"/>
      <c r="AH63" s="4656">
        <v>0</v>
      </c>
      <c r="AI63" s="645"/>
      <c r="AJ63" s="4614">
        <v>0</v>
      </c>
      <c r="AK63" s="66"/>
      <c r="AL63" s="26"/>
      <c r="AN63" s="4656">
        <v>0</v>
      </c>
      <c r="AO63" s="645"/>
      <c r="AP63" s="4614">
        <v>0</v>
      </c>
      <c r="AQ63" s="66"/>
      <c r="AR63" s="26"/>
      <c r="AT63" s="4656"/>
      <c r="AU63" s="645"/>
      <c r="AV63" s="4614"/>
      <c r="AW63" s="66"/>
      <c r="AX63" s="26"/>
    </row>
    <row r="64" spans="1:50" x14ac:dyDescent="0.35">
      <c r="A64" s="9168"/>
      <c r="B64" s="241"/>
      <c r="C64" s="4067" t="s">
        <v>6176</v>
      </c>
      <c r="D64" s="197"/>
      <c r="F64" s="163">
        <v>5071000000</v>
      </c>
      <c r="H64" s="242">
        <v>6034000000</v>
      </c>
      <c r="I64" s="3272">
        <v>5589000000</v>
      </c>
      <c r="J64" s="8867">
        <f>IF(H64=0,0,I64/H64)</f>
        <v>0.92625124295657935</v>
      </c>
      <c r="L64" s="242">
        <v>5759000000</v>
      </c>
      <c r="M64" s="482">
        <v>6015000000</v>
      </c>
      <c r="O64" s="242"/>
      <c r="P64" s="482"/>
      <c r="Q64" s="70" t="s">
        <v>6177</v>
      </c>
      <c r="T64" s="242"/>
      <c r="U64" s="57" t="s">
        <v>6178</v>
      </c>
      <c r="V64" s="482"/>
      <c r="W64" s="5013"/>
      <c r="X64" s="242"/>
      <c r="Y64" s="482"/>
      <c r="Z64" s="70"/>
      <c r="AC64" s="242"/>
      <c r="AD64" s="57"/>
      <c r="AE64" s="482"/>
      <c r="AF64" s="66"/>
      <c r="AG64" s="26"/>
      <c r="AH64" s="1172"/>
      <c r="AI64" s="1161"/>
      <c r="AJ64" s="1304"/>
      <c r="AK64" s="66"/>
      <c r="AL64" s="26"/>
      <c r="AN64" s="1172"/>
      <c r="AO64" s="1161"/>
      <c r="AP64" s="1304"/>
      <c r="AQ64" s="66"/>
      <c r="AR64" s="26"/>
      <c r="AT64" s="1172"/>
      <c r="AU64" s="1161"/>
      <c r="AV64" s="1304"/>
      <c r="AW64" s="66"/>
      <c r="AX64" s="26"/>
    </row>
    <row r="65" spans="1:50" x14ac:dyDescent="0.35">
      <c r="A65" s="9168"/>
      <c r="B65" s="241"/>
      <c r="C65" s="249" t="s">
        <v>3603</v>
      </c>
      <c r="D65" s="197"/>
      <c r="F65" s="163"/>
      <c r="H65" s="242"/>
      <c r="I65" s="3272"/>
      <c r="J65" s="8867"/>
      <c r="L65" s="242"/>
      <c r="M65" s="482"/>
      <c r="O65" s="242">
        <f>(1068+4038)*10^6</f>
        <v>5106000000</v>
      </c>
      <c r="P65" s="482">
        <f>(1066+4294)*10^6</f>
        <v>5360000000</v>
      </c>
      <c r="T65" s="242">
        <f>6.49*1000000000</f>
        <v>6490000000</v>
      </c>
      <c r="U65" s="57"/>
      <c r="V65" s="482">
        <f>5.331*1000000000</f>
        <v>5331000000</v>
      </c>
      <c r="W65" s="5013"/>
      <c r="X65" s="3166">
        <v>5837000000</v>
      </c>
      <c r="Y65" s="5362">
        <v>5296000000</v>
      </c>
      <c r="Z65" s="5469"/>
      <c r="AC65" s="3166">
        <v>5911000000</v>
      </c>
      <c r="AD65" s="5509"/>
      <c r="AE65" s="5362">
        <v>5753000000</v>
      </c>
      <c r="AF65" s="66"/>
      <c r="AG65" s="26"/>
      <c r="AH65" s="4656">
        <f>1.425+5.135</f>
        <v>6.56</v>
      </c>
      <c r="AI65" s="5510"/>
      <c r="AJ65" s="4614">
        <f>4.814+1.249</f>
        <v>6.0630000000000006</v>
      </c>
      <c r="AK65" s="66"/>
      <c r="AL65" s="26"/>
      <c r="AN65" s="1172">
        <f>2.816+5.142</f>
        <v>7.9580000000000002</v>
      </c>
      <c r="AO65" s="5510"/>
      <c r="AP65" s="1304">
        <f>1.877+6.148</f>
        <v>8.0250000000000004</v>
      </c>
      <c r="AQ65" s="66"/>
      <c r="AR65" s="26"/>
      <c r="AT65" s="1172"/>
      <c r="AU65" s="5510"/>
      <c r="AV65" s="1304"/>
      <c r="AW65" s="66"/>
      <c r="AX65" s="26"/>
    </row>
    <row r="66" spans="1:50" x14ac:dyDescent="0.35">
      <c r="A66" s="9168"/>
      <c r="B66" s="241"/>
      <c r="C66" s="249" t="s">
        <v>6160</v>
      </c>
      <c r="D66" s="197"/>
      <c r="F66" s="163"/>
      <c r="H66" s="242"/>
      <c r="I66" s="3272"/>
      <c r="J66" s="8867"/>
      <c r="L66" s="242"/>
      <c r="M66" s="482"/>
      <c r="O66" s="242">
        <v>653000000</v>
      </c>
      <c r="P66" s="482">
        <v>217000000</v>
      </c>
      <c r="T66" s="242"/>
      <c r="U66" s="57"/>
      <c r="V66" s="482"/>
      <c r="W66" s="5013"/>
      <c r="X66" s="3166">
        <v>653000000</v>
      </c>
      <c r="Y66" s="5362">
        <v>35000000</v>
      </c>
      <c r="AC66" s="3166">
        <v>653000000</v>
      </c>
      <c r="AD66" s="57"/>
      <c r="AE66" s="5362">
        <v>653000000</v>
      </c>
      <c r="AF66" s="66"/>
      <c r="AG66" s="26"/>
      <c r="AH66" s="4656">
        <v>0.35199999999999998</v>
      </c>
      <c r="AI66" s="1161"/>
      <c r="AJ66" s="4614">
        <v>0.35199999999999998</v>
      </c>
      <c r="AK66" s="66"/>
      <c r="AL66" s="26"/>
      <c r="AN66" s="4656">
        <v>0.35199999999999998</v>
      </c>
      <c r="AO66" s="1161"/>
      <c r="AP66" s="4614">
        <v>0.35199999999999998</v>
      </c>
      <c r="AQ66" s="66"/>
      <c r="AR66" s="26"/>
      <c r="AT66" s="4656"/>
      <c r="AU66" s="1161"/>
      <c r="AV66" s="4614"/>
      <c r="AW66" s="66"/>
      <c r="AX66" s="26"/>
    </row>
    <row r="67" spans="1:50" x14ac:dyDescent="0.35">
      <c r="A67" s="9168"/>
      <c r="B67" s="241"/>
      <c r="C67" s="249" t="s">
        <v>6161</v>
      </c>
      <c r="D67" s="197"/>
      <c r="F67" s="163"/>
      <c r="H67" s="242"/>
      <c r="I67" s="3272"/>
      <c r="J67" s="8867"/>
      <c r="L67" s="242"/>
      <c r="M67" s="482"/>
      <c r="O67" s="242">
        <v>0</v>
      </c>
      <c r="P67" s="482">
        <v>0</v>
      </c>
      <c r="T67" s="242"/>
      <c r="U67" s="57"/>
      <c r="V67" s="482"/>
      <c r="W67" s="5013"/>
      <c r="X67" s="242">
        <v>0</v>
      </c>
      <c r="Y67" s="482">
        <v>0</v>
      </c>
      <c r="AC67" s="242"/>
      <c r="AD67" s="57"/>
      <c r="AE67" s="482"/>
      <c r="AF67" s="66"/>
      <c r="AG67" s="26"/>
      <c r="AH67" s="1172">
        <v>0</v>
      </c>
      <c r="AI67" s="1161"/>
      <c r="AJ67" s="1304">
        <v>0</v>
      </c>
      <c r="AK67" s="66"/>
      <c r="AL67" s="26"/>
      <c r="AN67" s="1172">
        <v>0</v>
      </c>
      <c r="AO67" s="1161"/>
      <c r="AP67" s="1304">
        <v>0</v>
      </c>
      <c r="AQ67" s="66"/>
      <c r="AR67" s="26"/>
      <c r="AT67" s="1172"/>
      <c r="AU67" s="1161"/>
      <c r="AV67" s="1304"/>
      <c r="AW67" s="66"/>
      <c r="AX67" s="26"/>
    </row>
    <row r="68" spans="1:50" x14ac:dyDescent="0.35">
      <c r="A68" s="9168"/>
      <c r="B68" s="241"/>
      <c r="C68" s="4067" t="s">
        <v>6179</v>
      </c>
      <c r="D68" s="197"/>
      <c r="F68" s="163">
        <v>64228000000</v>
      </c>
      <c r="H68" s="242">
        <v>83005000000</v>
      </c>
      <c r="I68" s="3272">
        <v>81505000000</v>
      </c>
      <c r="J68" s="8866">
        <f>IF(H68=0,0,I68/H68)</f>
        <v>0.98192879946991141</v>
      </c>
      <c r="L68" s="242">
        <v>95841000000</v>
      </c>
      <c r="M68" s="482">
        <v>95310000000</v>
      </c>
      <c r="O68" s="242"/>
      <c r="P68" s="482"/>
      <c r="Q68" s="70" t="s">
        <v>6180</v>
      </c>
      <c r="T68" s="242"/>
      <c r="U68" s="57" t="s">
        <v>6181</v>
      </c>
      <c r="V68" s="482"/>
      <c r="W68" s="5013"/>
      <c r="X68" s="242"/>
      <c r="Y68" s="482"/>
      <c r="Z68" s="70"/>
      <c r="AC68" s="242"/>
      <c r="AD68" s="57"/>
      <c r="AE68" s="482"/>
      <c r="AF68" s="66"/>
      <c r="AG68" s="26"/>
      <c r="AH68" s="1172"/>
      <c r="AI68" s="1161"/>
      <c r="AJ68" s="1304"/>
      <c r="AK68" s="66"/>
      <c r="AL68" s="26"/>
      <c r="AN68" s="1172"/>
      <c r="AO68" s="1161"/>
      <c r="AP68" s="1304"/>
      <c r="AQ68" s="66"/>
      <c r="AR68" s="26"/>
      <c r="AT68" s="1172"/>
      <c r="AU68" s="1161"/>
      <c r="AV68" s="1304"/>
      <c r="AW68" s="66"/>
      <c r="AX68" s="26"/>
    </row>
    <row r="69" spans="1:50" x14ac:dyDescent="0.35">
      <c r="A69" s="9168"/>
      <c r="B69" s="241"/>
      <c r="C69" s="249" t="s">
        <v>3603</v>
      </c>
      <c r="D69" s="197"/>
      <c r="F69" s="163"/>
      <c r="H69" s="242"/>
      <c r="I69" s="3272"/>
      <c r="J69" s="8866"/>
      <c r="L69" s="242"/>
      <c r="M69" s="482"/>
      <c r="O69" s="242">
        <f>(49336+16494)*10^6</f>
        <v>65830000000</v>
      </c>
      <c r="P69" s="482">
        <f>(49336+16494)*10^6</f>
        <v>65830000000</v>
      </c>
      <c r="T69" s="242">
        <f>(72483+21466)*10^6</f>
        <v>93949000000</v>
      </c>
      <c r="U69" s="106"/>
      <c r="V69" s="482">
        <f>(72483+21466)*10^6</f>
        <v>93949000000</v>
      </c>
      <c r="W69" s="5013"/>
      <c r="X69" s="3166">
        <v>93949000000</v>
      </c>
      <c r="Y69" s="5362">
        <v>93949000000</v>
      </c>
      <c r="AC69" s="3166">
        <v>124083000000</v>
      </c>
      <c r="AD69" s="3016"/>
      <c r="AE69" s="5362">
        <v>124661000000</v>
      </c>
      <c r="AF69" s="66"/>
      <c r="AG69" s="26"/>
      <c r="AH69" s="4656">
        <f>116.89+25.874</f>
        <v>142.76400000000001</v>
      </c>
      <c r="AI69" s="5506"/>
      <c r="AJ69" s="4614">
        <f>35.874+121.348</f>
        <v>157.22200000000001</v>
      </c>
      <c r="AK69" s="66"/>
      <c r="AL69" s="26"/>
      <c r="AN69" s="4656">
        <f>134.675+32.7</f>
        <v>167.375</v>
      </c>
      <c r="AO69" s="5506"/>
      <c r="AP69" s="4614">
        <f>146.464+34.108</f>
        <v>180.572</v>
      </c>
      <c r="AQ69" s="66"/>
      <c r="AR69" s="26"/>
      <c r="AT69" s="4656"/>
      <c r="AU69" s="5506"/>
      <c r="AV69" s="4614"/>
      <c r="AW69" s="66"/>
      <c r="AX69" s="26"/>
    </row>
    <row r="70" spans="1:50" x14ac:dyDescent="0.35">
      <c r="A70" s="9168"/>
      <c r="B70" s="241"/>
      <c r="C70" s="249" t="s">
        <v>6160</v>
      </c>
      <c r="D70" s="197"/>
      <c r="F70" s="163"/>
      <c r="H70" s="242"/>
      <c r="I70" s="3272"/>
      <c r="J70" s="8866"/>
      <c r="L70" s="242"/>
      <c r="M70" s="482"/>
      <c r="O70" s="242">
        <v>20159000000</v>
      </c>
      <c r="P70" s="482">
        <v>20159000000</v>
      </c>
      <c r="T70" s="242">
        <v>20159000000</v>
      </c>
      <c r="U70" s="106"/>
      <c r="V70" s="482">
        <v>20139000000</v>
      </c>
      <c r="W70" s="5013"/>
      <c r="X70" s="3166">
        <v>20159000000</v>
      </c>
      <c r="Y70" s="5362">
        <v>20139000000</v>
      </c>
      <c r="AC70" s="3166">
        <v>10159000000</v>
      </c>
      <c r="AD70" s="106"/>
      <c r="AE70" s="5362">
        <v>3527000000</v>
      </c>
      <c r="AF70" s="66"/>
      <c r="AG70" s="26"/>
      <c r="AH70" s="4656">
        <v>10.159000000000001</v>
      </c>
      <c r="AI70" s="645"/>
      <c r="AJ70" s="4614">
        <v>7.048</v>
      </c>
      <c r="AK70" s="66"/>
      <c r="AL70" s="26"/>
      <c r="AN70" s="4656">
        <v>10.409000000000001</v>
      </c>
      <c r="AO70" s="645"/>
      <c r="AP70" s="4614">
        <v>15.989000000000001</v>
      </c>
      <c r="AQ70" s="66"/>
      <c r="AR70" s="26"/>
      <c r="AT70" s="4656"/>
      <c r="AU70" s="645"/>
      <c r="AV70" s="4614"/>
      <c r="AW70" s="66"/>
      <c r="AX70" s="26"/>
    </row>
    <row r="71" spans="1:50" x14ac:dyDescent="0.35">
      <c r="A71" s="9168"/>
      <c r="B71" s="241"/>
      <c r="C71" s="249" t="s">
        <v>6161</v>
      </c>
      <c r="D71" s="197"/>
      <c r="F71" s="163"/>
      <c r="H71" s="242"/>
      <c r="I71" s="3272"/>
      <c r="J71" s="8866"/>
      <c r="L71" s="242"/>
      <c r="M71" s="482"/>
      <c r="O71" s="242">
        <v>9310000000</v>
      </c>
      <c r="P71" s="482">
        <v>9310000000</v>
      </c>
      <c r="T71" s="242">
        <v>0</v>
      </c>
      <c r="U71" s="106"/>
      <c r="V71" s="482">
        <v>0</v>
      </c>
      <c r="W71" s="5013"/>
      <c r="X71" s="3166">
        <v>0</v>
      </c>
      <c r="Y71" s="5362">
        <v>0</v>
      </c>
      <c r="AC71" s="3166">
        <v>0</v>
      </c>
      <c r="AD71" s="5249"/>
      <c r="AE71" s="5362">
        <v>0</v>
      </c>
      <c r="AF71" s="66"/>
      <c r="AG71" s="26"/>
      <c r="AH71" s="4656">
        <v>0</v>
      </c>
      <c r="AI71" s="5511"/>
      <c r="AJ71" s="4614">
        <v>0</v>
      </c>
      <c r="AK71" s="66"/>
      <c r="AL71" s="26"/>
      <c r="AN71" s="4656">
        <v>0</v>
      </c>
      <c r="AO71" s="5511"/>
      <c r="AP71" s="4614">
        <v>0</v>
      </c>
      <c r="AQ71" s="66"/>
      <c r="AR71" s="26"/>
      <c r="AT71" s="4656"/>
      <c r="AU71" s="5511"/>
      <c r="AV71" s="4614"/>
      <c r="AW71" s="66"/>
      <c r="AX71" s="26"/>
    </row>
    <row r="72" spans="1:50" x14ac:dyDescent="0.35">
      <c r="A72" s="9168"/>
      <c r="B72" s="241"/>
      <c r="C72" s="4067" t="s">
        <v>6182</v>
      </c>
      <c r="D72" s="197"/>
      <c r="F72" s="163">
        <v>11854000000</v>
      </c>
      <c r="H72" s="242">
        <v>13984000000</v>
      </c>
      <c r="I72" s="3272">
        <v>14795000000</v>
      </c>
      <c r="J72" s="8866">
        <f>IF(H72=0,0,I72/H72)</f>
        <v>1.0579948512585813</v>
      </c>
      <c r="L72" s="242">
        <v>20361000000</v>
      </c>
      <c r="M72" s="482">
        <v>20372000000</v>
      </c>
      <c r="O72" s="242"/>
      <c r="P72" s="482"/>
      <c r="Q72" s="70" t="s">
        <v>6183</v>
      </c>
      <c r="T72" s="242"/>
      <c r="U72" s="57" t="s">
        <v>6184</v>
      </c>
      <c r="V72" s="482"/>
      <c r="W72" s="5013"/>
      <c r="X72" s="242"/>
      <c r="Y72" s="482"/>
      <c r="Z72" s="70"/>
      <c r="AC72" s="242"/>
      <c r="AD72" s="57"/>
      <c r="AE72" s="482"/>
      <c r="AF72" s="66"/>
      <c r="AG72" s="26"/>
      <c r="AH72" s="1172"/>
      <c r="AI72" s="1161"/>
      <c r="AJ72" s="1304"/>
      <c r="AK72" s="66"/>
      <c r="AL72" s="26"/>
      <c r="AN72" s="1172"/>
      <c r="AO72" s="1161"/>
      <c r="AP72" s="1304"/>
      <c r="AQ72" s="66"/>
      <c r="AR72" s="26"/>
      <c r="AT72" s="1172"/>
      <c r="AU72" s="1161"/>
      <c r="AV72" s="1304"/>
      <c r="AW72" s="66"/>
      <c r="AX72" s="26"/>
    </row>
    <row r="73" spans="1:50" x14ac:dyDescent="0.35">
      <c r="A73" s="9168"/>
      <c r="B73" s="241"/>
      <c r="C73" s="249" t="s">
        <v>3603</v>
      </c>
      <c r="D73" s="197"/>
      <c r="F73" s="163"/>
      <c r="H73" s="242"/>
      <c r="I73" s="3272"/>
      <c r="J73" s="8866"/>
      <c r="L73" s="242"/>
      <c r="M73" s="482"/>
      <c r="O73" s="242">
        <f>(13560+2886)*10^6</f>
        <v>16446000000</v>
      </c>
      <c r="P73" s="482">
        <f>(13560+2886)*10^6</f>
        <v>16446000000</v>
      </c>
      <c r="T73" s="242">
        <f>(17345+3307)*10^6</f>
        <v>20652000000</v>
      </c>
      <c r="U73" s="106"/>
      <c r="V73" s="482">
        <f>(17345+3285)*10^6</f>
        <v>20630000000</v>
      </c>
      <c r="W73" s="5013"/>
      <c r="X73" s="3166">
        <v>20652000000</v>
      </c>
      <c r="Y73" s="5362">
        <v>20630000000</v>
      </c>
      <c r="AC73" s="3166">
        <v>27872000000</v>
      </c>
      <c r="AD73" s="106"/>
      <c r="AE73" s="5362">
        <v>26036000000</v>
      </c>
      <c r="AF73" s="66"/>
      <c r="AG73" s="26"/>
      <c r="AH73" s="4656">
        <f>25.237+3.969</f>
        <v>29.206</v>
      </c>
      <c r="AI73" s="645"/>
      <c r="AJ73" s="4614">
        <f>31.712-AJ74</f>
        <v>29.065999999999999</v>
      </c>
      <c r="AK73" s="66"/>
      <c r="AL73" s="26"/>
      <c r="AN73" s="4656">
        <f>27.396+4.1</f>
        <v>31.496000000000002</v>
      </c>
      <c r="AO73" s="645"/>
      <c r="AP73" s="4614">
        <f>29.444+4.063</f>
        <v>33.506999999999998</v>
      </c>
      <c r="AQ73" s="66"/>
      <c r="AR73" s="26"/>
      <c r="AT73" s="4656"/>
      <c r="AU73" s="645"/>
      <c r="AV73" s="4614"/>
      <c r="AW73" s="66"/>
      <c r="AX73" s="26"/>
    </row>
    <row r="74" spans="1:50" x14ac:dyDescent="0.35">
      <c r="A74" s="9168"/>
      <c r="B74" s="241"/>
      <c r="C74" s="249" t="s">
        <v>6160</v>
      </c>
      <c r="D74" s="197"/>
      <c r="F74" s="163"/>
      <c r="H74" s="242"/>
      <c r="I74" s="3272"/>
      <c r="J74" s="8866"/>
      <c r="L74" s="242"/>
      <c r="M74" s="482"/>
      <c r="O74" s="242">
        <v>3799000000</v>
      </c>
      <c r="P74" s="482">
        <v>3426000000</v>
      </c>
      <c r="T74" s="242">
        <v>3799000000</v>
      </c>
      <c r="U74" s="106"/>
      <c r="V74" s="482">
        <v>3598000000</v>
      </c>
      <c r="W74" s="5013"/>
      <c r="X74" s="3166">
        <v>3799000000</v>
      </c>
      <c r="Y74" s="5362">
        <v>3598000000</v>
      </c>
      <c r="AC74" s="3166">
        <v>3799000000</v>
      </c>
      <c r="AD74" s="106"/>
      <c r="AE74" s="5362">
        <v>1398000000</v>
      </c>
      <c r="AF74" s="66"/>
      <c r="AG74" s="26"/>
      <c r="AH74" s="4656">
        <v>3.5990000000000002</v>
      </c>
      <c r="AI74" s="645"/>
      <c r="AJ74" s="4614">
        <v>2.6459999999999999</v>
      </c>
      <c r="AK74" s="66"/>
      <c r="AL74" s="26"/>
      <c r="AN74" s="4656">
        <v>3.5990000000000002</v>
      </c>
      <c r="AO74" s="645"/>
      <c r="AP74" s="4614">
        <v>3.5110000000000001</v>
      </c>
      <c r="AQ74" s="66"/>
      <c r="AR74" s="26"/>
      <c r="AT74" s="4656"/>
      <c r="AU74" s="645"/>
      <c r="AV74" s="4614"/>
      <c r="AW74" s="66"/>
      <c r="AX74" s="26"/>
    </row>
    <row r="75" spans="1:50" x14ac:dyDescent="0.35">
      <c r="A75" s="9168"/>
      <c r="B75" s="241"/>
      <c r="C75" s="249" t="s">
        <v>6161</v>
      </c>
      <c r="D75" s="197"/>
      <c r="F75" s="163"/>
      <c r="H75" s="242"/>
      <c r="I75" s="3272"/>
      <c r="J75" s="8866"/>
      <c r="L75" s="242"/>
      <c r="M75" s="482"/>
      <c r="O75" s="242">
        <v>0</v>
      </c>
      <c r="P75" s="482">
        <v>0</v>
      </c>
      <c r="T75" s="242">
        <v>0</v>
      </c>
      <c r="U75" s="106"/>
      <c r="V75" s="482">
        <v>0</v>
      </c>
      <c r="W75" s="5013"/>
      <c r="X75" s="3166">
        <v>0</v>
      </c>
      <c r="Y75" s="5362">
        <v>0</v>
      </c>
      <c r="AC75" s="3166">
        <v>0</v>
      </c>
      <c r="AD75" s="5249"/>
      <c r="AE75" s="5362">
        <v>0</v>
      </c>
      <c r="AF75" s="66"/>
      <c r="AG75" s="26"/>
      <c r="AH75" s="4656">
        <v>0</v>
      </c>
      <c r="AI75" s="5511"/>
      <c r="AJ75" s="4614">
        <v>0</v>
      </c>
      <c r="AK75" s="66"/>
      <c r="AL75" s="26"/>
      <c r="AN75" s="4656">
        <v>0</v>
      </c>
      <c r="AO75" s="5511"/>
      <c r="AP75" s="4614">
        <v>0</v>
      </c>
      <c r="AQ75" s="66"/>
      <c r="AR75" s="26"/>
      <c r="AT75" s="4656"/>
      <c r="AU75" s="5511"/>
      <c r="AV75" s="4614"/>
      <c r="AW75" s="66"/>
      <c r="AX75" s="26"/>
    </row>
    <row r="76" spans="1:50" x14ac:dyDescent="0.35">
      <c r="A76" s="9168"/>
      <c r="B76" s="241"/>
      <c r="C76" s="4067" t="s">
        <v>6185</v>
      </c>
      <c r="D76" s="197"/>
      <c r="F76" s="163">
        <v>7856000000</v>
      </c>
      <c r="H76" s="242">
        <v>8576000000</v>
      </c>
      <c r="I76" s="3272">
        <v>8576000000</v>
      </c>
      <c r="J76" s="8866">
        <f>IF(H76=0,0,I76/H76)</f>
        <v>1</v>
      </c>
      <c r="L76" s="242">
        <v>8918000000</v>
      </c>
      <c r="M76" s="482">
        <v>8918000000</v>
      </c>
      <c r="O76" s="242"/>
      <c r="P76" s="482"/>
      <c r="Q76" s="70" t="s">
        <v>6186</v>
      </c>
      <c r="T76" s="242"/>
      <c r="U76" s="57" t="s">
        <v>6187</v>
      </c>
      <c r="V76" s="482"/>
      <c r="W76" s="5013"/>
      <c r="X76" s="242"/>
      <c r="Y76" s="482"/>
      <c r="Z76" s="70"/>
      <c r="AC76" s="242"/>
      <c r="AD76" s="57"/>
      <c r="AE76" s="482"/>
      <c r="AF76" s="66"/>
      <c r="AG76" s="26"/>
      <c r="AH76" s="1172"/>
      <c r="AI76" s="1161"/>
      <c r="AJ76" s="1304"/>
      <c r="AK76" s="66"/>
      <c r="AL76" s="26"/>
      <c r="AN76" s="1172"/>
      <c r="AO76" s="1161"/>
      <c r="AP76" s="1304"/>
      <c r="AQ76" s="66"/>
      <c r="AR76" s="26"/>
      <c r="AT76" s="1172"/>
      <c r="AU76" s="1161"/>
      <c r="AV76" s="1304"/>
      <c r="AW76" s="66"/>
      <c r="AX76" s="26"/>
    </row>
    <row r="77" spans="1:50" x14ac:dyDescent="0.35">
      <c r="A77" s="9168"/>
      <c r="B77" s="241"/>
      <c r="C77" s="249" t="s">
        <v>3603</v>
      </c>
      <c r="D77" s="197"/>
      <c r="F77" s="163"/>
      <c r="H77" s="242"/>
      <c r="I77" s="3272"/>
      <c r="J77" s="8866"/>
      <c r="L77" s="242"/>
      <c r="M77" s="482"/>
      <c r="O77" s="242">
        <f>(3761+2357)*10^6</f>
        <v>6118000000</v>
      </c>
      <c r="P77" s="482">
        <f>(3761+2357)*10^6</f>
        <v>6118000000</v>
      </c>
      <c r="T77" s="242">
        <f>(11425+2958)*10^6</f>
        <v>14383000000</v>
      </c>
      <c r="U77" s="106"/>
      <c r="V77" s="482">
        <f>(11425+2958)*10^6</f>
        <v>14383000000</v>
      </c>
      <c r="W77" s="5013"/>
      <c r="X77" s="3166">
        <v>14383000000</v>
      </c>
      <c r="Y77" s="5362">
        <v>14383000000</v>
      </c>
      <c r="AC77" s="3166">
        <v>19704000000</v>
      </c>
      <c r="AD77" s="106"/>
      <c r="AE77" s="5362">
        <v>21712000000</v>
      </c>
      <c r="AF77" s="66"/>
      <c r="AG77" s="26"/>
      <c r="AH77" s="4656">
        <f>22.481+3.58</f>
        <v>26.061</v>
      </c>
      <c r="AI77" s="645"/>
      <c r="AJ77" s="4614">
        <f>22.479+3.577</f>
        <v>26.055999999999997</v>
      </c>
      <c r="AK77" s="66"/>
      <c r="AL77" s="26"/>
      <c r="AN77" s="4656">
        <f>25.44+0.909</f>
        <v>26.349</v>
      </c>
      <c r="AO77" s="645"/>
      <c r="AP77" s="4614">
        <f>27.833+4.206</f>
        <v>32.039000000000001</v>
      </c>
      <c r="AQ77" s="66"/>
      <c r="AR77" s="26"/>
      <c r="AT77" s="4656"/>
      <c r="AU77" s="645"/>
      <c r="AV77" s="4614"/>
      <c r="AW77" s="66"/>
      <c r="AX77" s="26"/>
    </row>
    <row r="78" spans="1:50" x14ac:dyDescent="0.35">
      <c r="A78" s="9168"/>
      <c r="B78" s="241"/>
      <c r="C78" s="249" t="s">
        <v>6160</v>
      </c>
      <c r="D78" s="197"/>
      <c r="F78" s="163"/>
      <c r="H78" s="242"/>
      <c r="I78" s="3272"/>
      <c r="J78" s="8866"/>
      <c r="L78" s="242"/>
      <c r="M78" s="482"/>
      <c r="O78" s="242">
        <v>2800000000</v>
      </c>
      <c r="P78" s="482">
        <v>2800000000</v>
      </c>
      <c r="T78" s="242">
        <v>2800000000</v>
      </c>
      <c r="U78" s="106"/>
      <c r="V78" s="482">
        <v>2800000000</v>
      </c>
      <c r="W78" s="5013"/>
      <c r="X78" s="3166">
        <v>2800000000</v>
      </c>
      <c r="Y78" s="5362">
        <v>2800000000</v>
      </c>
      <c r="AC78" s="3166">
        <v>2800000000</v>
      </c>
      <c r="AD78" s="106"/>
      <c r="AE78" s="5362">
        <v>903000000</v>
      </c>
      <c r="AF78" s="66"/>
      <c r="AG78" s="26"/>
      <c r="AH78" s="4656">
        <v>2.8</v>
      </c>
      <c r="AI78" s="645"/>
      <c r="AJ78" s="4614">
        <v>2.234</v>
      </c>
      <c r="AK78" s="66"/>
      <c r="AL78" s="26"/>
      <c r="AN78" s="4656">
        <v>2.8</v>
      </c>
      <c r="AO78" s="645"/>
      <c r="AP78" s="4614">
        <v>2.8</v>
      </c>
      <c r="AQ78" s="66"/>
      <c r="AR78" s="26"/>
      <c r="AT78" s="4656"/>
      <c r="AU78" s="645"/>
      <c r="AV78" s="4614"/>
      <c r="AW78" s="66"/>
      <c r="AX78" s="26"/>
    </row>
    <row r="79" spans="1:50" x14ac:dyDescent="0.35">
      <c r="A79" s="9168"/>
      <c r="B79" s="241"/>
      <c r="C79" s="249" t="s">
        <v>6161</v>
      </c>
      <c r="D79" s="197"/>
      <c r="F79" s="163"/>
      <c r="H79" s="242"/>
      <c r="I79" s="3272"/>
      <c r="J79" s="8866"/>
      <c r="L79" s="242"/>
      <c r="M79" s="482"/>
      <c r="O79" s="242">
        <v>0</v>
      </c>
      <c r="P79" s="482">
        <v>0</v>
      </c>
      <c r="T79" s="242">
        <v>0</v>
      </c>
      <c r="U79" s="106"/>
      <c r="V79" s="482">
        <v>0</v>
      </c>
      <c r="W79" s="5013"/>
      <c r="X79" s="3166">
        <v>0</v>
      </c>
      <c r="Y79" s="5362">
        <v>0</v>
      </c>
      <c r="AC79" s="3166">
        <v>0</v>
      </c>
      <c r="AD79" s="106"/>
      <c r="AE79" s="5362">
        <v>0</v>
      </c>
      <c r="AF79" s="66"/>
      <c r="AG79" s="26"/>
      <c r="AH79" s="4656">
        <v>0</v>
      </c>
      <c r="AI79" s="645"/>
      <c r="AJ79" s="4614">
        <v>0</v>
      </c>
      <c r="AK79" s="66"/>
      <c r="AL79" s="26"/>
      <c r="AN79" s="4656">
        <v>0</v>
      </c>
      <c r="AO79" s="645"/>
      <c r="AP79" s="4614">
        <v>0</v>
      </c>
      <c r="AQ79" s="66"/>
      <c r="AR79" s="26"/>
      <c r="AT79" s="4656"/>
      <c r="AU79" s="645"/>
      <c r="AV79" s="4614"/>
      <c r="AW79" s="66"/>
      <c r="AX79" s="26"/>
    </row>
    <row r="80" spans="1:50" x14ac:dyDescent="0.35">
      <c r="A80" s="9168"/>
      <c r="B80" s="241"/>
      <c r="C80" s="4067" t="s">
        <v>6188</v>
      </c>
      <c r="D80" s="197"/>
      <c r="F80" s="163">
        <v>23220000000</v>
      </c>
      <c r="H80" s="242">
        <v>21919000000</v>
      </c>
      <c r="I80" s="3272">
        <v>21919000000</v>
      </c>
      <c r="J80" s="8868">
        <f>IF(H80=0,0,I80/H80)</f>
        <v>1</v>
      </c>
      <c r="L80" s="242">
        <v>23434000000</v>
      </c>
      <c r="M80" s="482">
        <v>23434000000</v>
      </c>
      <c r="O80" s="242"/>
      <c r="P80" s="482"/>
      <c r="Q80" s="70" t="s">
        <v>6189</v>
      </c>
      <c r="T80" s="242"/>
      <c r="U80" s="57" t="s">
        <v>6190</v>
      </c>
      <c r="V80" s="482"/>
      <c r="W80" s="5013"/>
      <c r="X80" s="242"/>
      <c r="Y80" s="482"/>
      <c r="Z80" s="70"/>
      <c r="AC80" s="242"/>
      <c r="AD80" s="57"/>
      <c r="AE80" s="482"/>
      <c r="AF80" s="66"/>
      <c r="AG80" s="26"/>
      <c r="AH80" s="1172"/>
      <c r="AI80" s="1161"/>
      <c r="AJ80" s="1304"/>
      <c r="AK80" s="66"/>
      <c r="AL80" s="26"/>
      <c r="AN80" s="1172"/>
      <c r="AO80" s="1161"/>
      <c r="AP80" s="1304"/>
      <c r="AQ80" s="66"/>
      <c r="AR80" s="26"/>
      <c r="AT80" s="1172"/>
      <c r="AU80" s="1161"/>
      <c r="AV80" s="1304"/>
      <c r="AW80" s="66"/>
      <c r="AX80" s="26"/>
    </row>
    <row r="81" spans="1:50" x14ac:dyDescent="0.35">
      <c r="A81" s="9168"/>
      <c r="B81" s="241"/>
      <c r="C81" s="249" t="s">
        <v>3603</v>
      </c>
      <c r="D81" s="197"/>
      <c r="F81" s="163"/>
      <c r="H81" s="242"/>
      <c r="I81" s="3272"/>
      <c r="J81" s="8868"/>
      <c r="L81" s="242"/>
      <c r="M81" s="482"/>
      <c r="O81" s="242">
        <f>(16540+6660)*10^6</f>
        <v>23200000000</v>
      </c>
      <c r="P81" s="482">
        <f>(16540+6660)*10^6</f>
        <v>23200000000</v>
      </c>
      <c r="T81" s="242">
        <f>(23234+7293)*10^6</f>
        <v>30527000000</v>
      </c>
      <c r="U81" s="106"/>
      <c r="V81" s="482">
        <f>(23234+7236)*10^6</f>
        <v>30470000000</v>
      </c>
      <c r="W81" s="5013"/>
      <c r="X81" s="3166">
        <v>30527000000</v>
      </c>
      <c r="Y81" s="5362">
        <v>30470000000</v>
      </c>
      <c r="AC81" s="3166">
        <v>40422000000</v>
      </c>
      <c r="AD81" s="106"/>
      <c r="AE81" s="5362">
        <v>40143000000</v>
      </c>
      <c r="AF81" s="66"/>
      <c r="AG81" s="26"/>
      <c r="AH81" s="4656">
        <f>47.397-AH82</f>
        <v>46.673999999999999</v>
      </c>
      <c r="AI81" s="645"/>
      <c r="AJ81" s="4614">
        <f>46.766-AJ82</f>
        <v>46.103999999999999</v>
      </c>
      <c r="AK81" s="66"/>
      <c r="AL81" s="26"/>
      <c r="AN81" s="4656">
        <f>42.124+8.739</f>
        <v>50.863</v>
      </c>
      <c r="AO81" s="645"/>
      <c r="AP81" s="4614">
        <f>45.468+9.648</f>
        <v>55.116</v>
      </c>
      <c r="AQ81" s="66"/>
      <c r="AR81" s="26"/>
      <c r="AT81" s="4656"/>
      <c r="AU81" s="645"/>
      <c r="AV81" s="4614"/>
      <c r="AW81" s="66"/>
      <c r="AX81" s="26"/>
    </row>
    <row r="82" spans="1:50" x14ac:dyDescent="0.35">
      <c r="A82" s="9168"/>
      <c r="B82" s="241"/>
      <c r="C82" s="249" t="s">
        <v>6160</v>
      </c>
      <c r="D82" s="197"/>
      <c r="F82" s="163"/>
      <c r="H82" s="242"/>
      <c r="I82" s="3272"/>
      <c r="J82" s="8868"/>
      <c r="L82" s="242"/>
      <c r="M82" s="482"/>
      <c r="O82" s="242">
        <v>223000000</v>
      </c>
      <c r="P82" s="482">
        <v>163000000</v>
      </c>
      <c r="T82" s="242">
        <v>223000000</v>
      </c>
      <c r="U82" s="106"/>
      <c r="V82" s="482">
        <v>223000000</v>
      </c>
      <c r="W82" s="5013"/>
      <c r="X82" s="3166">
        <v>223000000</v>
      </c>
      <c r="Y82" s="5362">
        <v>223000000</v>
      </c>
      <c r="AC82" s="3166">
        <v>723000000</v>
      </c>
      <c r="AD82" s="106"/>
      <c r="AE82" s="5362">
        <v>212000000</v>
      </c>
      <c r="AF82" s="66"/>
      <c r="AG82" s="26"/>
      <c r="AH82" s="4656">
        <v>0.72299999999999998</v>
      </c>
      <c r="AI82" s="645"/>
      <c r="AJ82" s="4614">
        <v>0.66200000000000003</v>
      </c>
      <c r="AK82" s="66"/>
      <c r="AL82" s="26"/>
      <c r="AN82" s="4656">
        <v>0.72299999999999998</v>
      </c>
      <c r="AO82" s="645"/>
      <c r="AP82" s="4614">
        <v>0.72299999999999998</v>
      </c>
      <c r="AQ82" s="66"/>
      <c r="AR82" s="26"/>
      <c r="AT82" s="4656"/>
      <c r="AU82" s="645"/>
      <c r="AV82" s="4614"/>
      <c r="AW82" s="66"/>
      <c r="AX82" s="26"/>
    </row>
    <row r="83" spans="1:50" x14ac:dyDescent="0.35">
      <c r="A83" s="9168"/>
      <c r="B83" s="241"/>
      <c r="C83" s="249" t="s">
        <v>6161</v>
      </c>
      <c r="D83" s="197"/>
      <c r="F83" s="163"/>
      <c r="H83" s="242"/>
      <c r="I83" s="3272"/>
      <c r="J83" s="8868"/>
      <c r="L83" s="242"/>
      <c r="M83" s="482"/>
      <c r="O83" s="242">
        <v>0</v>
      </c>
      <c r="P83" s="482">
        <v>0</v>
      </c>
      <c r="T83" s="242">
        <v>0</v>
      </c>
      <c r="U83" s="106"/>
      <c r="V83" s="482">
        <v>0</v>
      </c>
      <c r="W83" s="5013"/>
      <c r="X83" s="3166">
        <v>0</v>
      </c>
      <c r="Y83" s="5362">
        <v>0</v>
      </c>
      <c r="AC83" s="3166">
        <v>0</v>
      </c>
      <c r="AD83" s="106"/>
      <c r="AE83" s="5362">
        <v>0</v>
      </c>
      <c r="AF83" s="66"/>
      <c r="AG83" s="26"/>
      <c r="AH83" s="4656">
        <v>0</v>
      </c>
      <c r="AI83" s="645"/>
      <c r="AJ83" s="4614">
        <v>0</v>
      </c>
      <c r="AK83" s="66"/>
      <c r="AL83" s="26"/>
      <c r="AN83" s="4656">
        <v>0</v>
      </c>
      <c r="AO83" s="645"/>
      <c r="AP83" s="4614">
        <v>0</v>
      </c>
      <c r="AQ83" s="66"/>
      <c r="AR83" s="26"/>
      <c r="AT83" s="4656"/>
      <c r="AU83" s="645"/>
      <c r="AV83" s="4614"/>
      <c r="AW83" s="66"/>
      <c r="AX83" s="26"/>
    </row>
    <row r="84" spans="1:50" x14ac:dyDescent="0.35">
      <c r="A84" s="9168"/>
      <c r="B84" s="241"/>
      <c r="C84" s="4067" t="s">
        <v>6191</v>
      </c>
      <c r="D84" s="197"/>
      <c r="F84" s="163">
        <v>1920000000</v>
      </c>
      <c r="H84" s="242">
        <v>1924000000</v>
      </c>
      <c r="I84" s="3272">
        <v>1442000000</v>
      </c>
      <c r="J84" s="8868">
        <f>IF(H84=0,0,I84/H84)</f>
        <v>0.74948024948024949</v>
      </c>
      <c r="L84" s="242">
        <v>2051000000</v>
      </c>
      <c r="M84" s="482">
        <v>2051000000</v>
      </c>
      <c r="O84" s="242"/>
      <c r="P84" s="482"/>
      <c r="Q84" s="70" t="s">
        <v>6192</v>
      </c>
      <c r="T84" s="242"/>
      <c r="U84" s="57" t="s">
        <v>6193</v>
      </c>
      <c r="V84" s="482"/>
      <c r="W84" s="5013"/>
      <c r="X84" s="242"/>
      <c r="Y84" s="482"/>
      <c r="Z84" s="70"/>
      <c r="AC84" s="242"/>
      <c r="AD84" s="57"/>
      <c r="AE84" s="482"/>
      <c r="AF84" s="66"/>
      <c r="AG84" s="26"/>
      <c r="AH84" s="1172"/>
      <c r="AI84" s="1161"/>
      <c r="AJ84" s="1304"/>
      <c r="AK84" s="66"/>
      <c r="AL84" s="26"/>
      <c r="AN84" s="1172"/>
      <c r="AO84" s="1161"/>
      <c r="AP84" s="1304"/>
      <c r="AQ84" s="66"/>
      <c r="AR84" s="26"/>
      <c r="AT84" s="1172"/>
      <c r="AU84" s="1161"/>
      <c r="AV84" s="1304"/>
      <c r="AW84" s="66"/>
      <c r="AX84" s="26"/>
    </row>
    <row r="85" spans="1:50" x14ac:dyDescent="0.35">
      <c r="A85" s="9168"/>
      <c r="B85" s="241"/>
      <c r="C85" s="249" t="s">
        <v>3603</v>
      </c>
      <c r="D85" s="197"/>
      <c r="F85" s="163"/>
      <c r="H85" s="242"/>
      <c r="I85" s="3272"/>
      <c r="J85" s="8868"/>
      <c r="L85" s="242"/>
      <c r="M85" s="482"/>
      <c r="O85" s="242">
        <f>(352+199)*10^6</f>
        <v>551000000</v>
      </c>
      <c r="P85" s="482">
        <f>(352+199)*10^6</f>
        <v>551000000</v>
      </c>
      <c r="T85" s="242">
        <f>(1225+296)*10^6</f>
        <v>1521000000</v>
      </c>
      <c r="U85" s="106"/>
      <c r="V85" s="482">
        <f>(1225+296)*10^6</f>
        <v>1521000000</v>
      </c>
      <c r="W85" s="5013"/>
      <c r="X85" s="3166">
        <v>1521000000</v>
      </c>
      <c r="Y85" s="5362">
        <v>1521000000</v>
      </c>
      <c r="AC85" s="3166">
        <v>2028000000</v>
      </c>
      <c r="AD85" s="106"/>
      <c r="AE85" s="5362">
        <v>4304000000</v>
      </c>
      <c r="AF85" s="66"/>
      <c r="AG85" s="26"/>
      <c r="AH85" s="4656">
        <f>6.381-AH86</f>
        <v>4.8810000000000002</v>
      </c>
      <c r="AI85" s="645"/>
      <c r="AJ85" s="4614">
        <f>6.381-AJ86</f>
        <v>4.8810000000000002</v>
      </c>
      <c r="AK85" s="66"/>
      <c r="AL85" s="26"/>
      <c r="AN85" s="4656">
        <f>5.317+0.46</f>
        <v>5.7770000000000001</v>
      </c>
      <c r="AO85" s="645"/>
      <c r="AP85" s="4614">
        <f>5.317+0.46</f>
        <v>5.7770000000000001</v>
      </c>
      <c r="AQ85" s="66"/>
      <c r="AR85" s="26"/>
      <c r="AT85" s="4656"/>
      <c r="AU85" s="645"/>
      <c r="AV85" s="4614"/>
      <c r="AW85" s="66"/>
      <c r="AX85" s="26"/>
    </row>
    <row r="86" spans="1:50" x14ac:dyDescent="0.35">
      <c r="A86" s="9168"/>
      <c r="B86" s="241"/>
      <c r="C86" s="249" t="s">
        <v>6160</v>
      </c>
      <c r="D86" s="197"/>
      <c r="F86" s="163"/>
      <c r="H86" s="242"/>
      <c r="I86" s="3272"/>
      <c r="J86" s="8868"/>
      <c r="L86" s="242"/>
      <c r="M86" s="482"/>
      <c r="O86" s="242">
        <v>1500000000</v>
      </c>
      <c r="P86" s="482">
        <v>1500000000</v>
      </c>
      <c r="T86" s="242">
        <v>1500000000</v>
      </c>
      <c r="U86" s="106"/>
      <c r="V86" s="482">
        <v>1500000000</v>
      </c>
      <c r="W86" s="5013"/>
      <c r="X86" s="3166">
        <v>1500000000</v>
      </c>
      <c r="Y86" s="5362">
        <v>1500000000</v>
      </c>
      <c r="AC86" s="3166">
        <v>1500000000</v>
      </c>
      <c r="AD86" s="106"/>
      <c r="AE86" s="5362">
        <v>528000000</v>
      </c>
      <c r="AF86" s="66"/>
      <c r="AG86" s="26"/>
      <c r="AH86" s="4656">
        <v>1.5</v>
      </c>
      <c r="AI86" s="645"/>
      <c r="AJ86" s="4614">
        <v>1.5</v>
      </c>
      <c r="AK86" s="66"/>
      <c r="AL86" s="26"/>
      <c r="AN86" s="4656">
        <v>1.5</v>
      </c>
      <c r="AO86" s="645"/>
      <c r="AP86" s="4614">
        <v>1.5</v>
      </c>
      <c r="AQ86" s="66"/>
      <c r="AR86" s="26"/>
      <c r="AT86" s="4656"/>
      <c r="AU86" s="645"/>
      <c r="AV86" s="4614"/>
      <c r="AW86" s="66"/>
      <c r="AX86" s="26"/>
    </row>
    <row r="87" spans="1:50" x14ac:dyDescent="0.35">
      <c r="A87" s="9168"/>
      <c r="B87" s="241"/>
      <c r="C87" s="249" t="s">
        <v>6161</v>
      </c>
      <c r="D87" s="197"/>
      <c r="F87" s="163"/>
      <c r="H87" s="242"/>
      <c r="I87" s="3272"/>
      <c r="J87" s="8868"/>
      <c r="L87" s="242"/>
      <c r="M87" s="482"/>
      <c r="O87" s="242">
        <v>0</v>
      </c>
      <c r="P87" s="482">
        <v>0</v>
      </c>
      <c r="T87" s="242">
        <v>0</v>
      </c>
      <c r="U87" s="106"/>
      <c r="V87" s="482">
        <v>0</v>
      </c>
      <c r="W87" s="5013"/>
      <c r="X87" s="3166">
        <v>0</v>
      </c>
      <c r="Y87" s="5362">
        <v>0</v>
      </c>
      <c r="AC87" s="3166">
        <v>0</v>
      </c>
      <c r="AD87" s="106"/>
      <c r="AE87" s="5362">
        <v>0</v>
      </c>
      <c r="AF87" s="66"/>
      <c r="AG87" s="26"/>
      <c r="AH87" s="4656">
        <v>0</v>
      </c>
      <c r="AI87" s="645"/>
      <c r="AJ87" s="4614">
        <v>0</v>
      </c>
      <c r="AK87" s="66"/>
      <c r="AL87" s="26"/>
      <c r="AN87" s="4656">
        <v>0</v>
      </c>
      <c r="AO87" s="645"/>
      <c r="AP87" s="4614">
        <v>0</v>
      </c>
      <c r="AQ87" s="66"/>
      <c r="AR87" s="26"/>
      <c r="AT87" s="4656"/>
      <c r="AU87" s="645"/>
      <c r="AV87" s="4614"/>
      <c r="AW87" s="66"/>
      <c r="AX87" s="26"/>
    </row>
    <row r="88" spans="1:50" x14ac:dyDescent="0.35">
      <c r="A88" s="9168"/>
      <c r="B88" s="241"/>
      <c r="C88" s="4067" t="s">
        <v>6194</v>
      </c>
      <c r="D88" s="197"/>
      <c r="F88" s="163">
        <v>11485000000</v>
      </c>
      <c r="H88" s="242">
        <v>14381000000</v>
      </c>
      <c r="I88" s="3272">
        <v>14301000000</v>
      </c>
      <c r="J88" s="8868">
        <f>IF(H88=0,0,I88/H88)</f>
        <v>0.99443710451289902</v>
      </c>
      <c r="L88" s="242">
        <v>15407000000</v>
      </c>
      <c r="M88" s="482">
        <v>15286000000</v>
      </c>
      <c r="O88" s="242"/>
      <c r="P88" s="482"/>
      <c r="Q88" s="70" t="s">
        <v>6195</v>
      </c>
      <c r="T88" s="242"/>
      <c r="U88" s="57" t="s">
        <v>6196</v>
      </c>
      <c r="V88" s="482"/>
      <c r="W88" s="5013"/>
      <c r="X88" s="242"/>
      <c r="Y88" s="482"/>
      <c r="Z88" s="70"/>
      <c r="AC88" s="242"/>
      <c r="AD88" s="57"/>
      <c r="AE88" s="482"/>
      <c r="AF88" s="66"/>
      <c r="AG88" s="26"/>
      <c r="AH88" s="1172"/>
      <c r="AI88" s="1161"/>
      <c r="AJ88" s="1304"/>
      <c r="AK88" s="66"/>
      <c r="AL88" s="26"/>
      <c r="AN88" s="1172"/>
      <c r="AO88" s="1161"/>
      <c r="AP88" s="1304"/>
      <c r="AQ88" s="66"/>
      <c r="AR88" s="26"/>
      <c r="AT88" s="1172"/>
      <c r="AU88" s="1161"/>
      <c r="AV88" s="1304"/>
      <c r="AW88" s="66"/>
      <c r="AX88" s="26"/>
    </row>
    <row r="89" spans="1:50" x14ac:dyDescent="0.35">
      <c r="A89" s="9168"/>
      <c r="B89" s="1654"/>
      <c r="C89" s="249" t="s">
        <v>3603</v>
      </c>
      <c r="D89" s="197"/>
      <c r="F89" s="122"/>
      <c r="H89" s="198"/>
      <c r="I89" s="482"/>
      <c r="J89" s="8868"/>
      <c r="L89" s="198"/>
      <c r="M89" s="482"/>
      <c r="O89" s="198">
        <f>(9549+4683)*10^6</f>
        <v>14232000000</v>
      </c>
      <c r="P89" s="482">
        <f>(9388+4683)*10^6</f>
        <v>14071000000</v>
      </c>
      <c r="T89" s="198">
        <f>(13189+5087)*10^6</f>
        <v>18276000000</v>
      </c>
      <c r="U89" s="106"/>
      <c r="V89" s="482">
        <f>(13588+5087)*10^6</f>
        <v>18675000000</v>
      </c>
      <c r="W89" s="5013"/>
      <c r="X89" s="3013">
        <v>18276000000</v>
      </c>
      <c r="Y89" s="5362">
        <v>18675000000</v>
      </c>
      <c r="AC89" s="3013">
        <v>22609000000</v>
      </c>
      <c r="AD89" s="106"/>
      <c r="AE89" s="5362">
        <v>24045000000</v>
      </c>
      <c r="AF89" s="66"/>
      <c r="AG89" s="26"/>
      <c r="AH89" s="4640">
        <f>31.198-AH90</f>
        <v>28.698</v>
      </c>
      <c r="AI89" s="645"/>
      <c r="AJ89" s="4614">
        <f>28.415-AJ90</f>
        <v>26.957999999999998</v>
      </c>
      <c r="AK89" s="66"/>
      <c r="AL89" s="26"/>
      <c r="AN89" s="4640">
        <f>27.922+4.957</f>
        <v>32.878999999999998</v>
      </c>
      <c r="AO89" s="645"/>
      <c r="AP89" s="4614">
        <f>29.686+4.759</f>
        <v>34.445</v>
      </c>
      <c r="AQ89" s="66"/>
      <c r="AR89" s="26"/>
      <c r="AT89" s="4640"/>
      <c r="AU89" s="645"/>
      <c r="AV89" s="4614"/>
      <c r="AW89" s="66"/>
      <c r="AX89" s="26"/>
    </row>
    <row r="90" spans="1:50" x14ac:dyDescent="0.35">
      <c r="A90" s="9168"/>
      <c r="B90" s="1654"/>
      <c r="C90" s="249" t="s">
        <v>6160</v>
      </c>
      <c r="D90" s="197"/>
      <c r="F90" s="122"/>
      <c r="H90" s="198"/>
      <c r="I90" s="482"/>
      <c r="J90" s="8868"/>
      <c r="L90" s="198"/>
      <c r="M90" s="482"/>
      <c r="O90" s="198">
        <v>1000000000</v>
      </c>
      <c r="P90" s="482">
        <v>1000000000</v>
      </c>
      <c r="T90" s="198">
        <v>2500000000</v>
      </c>
      <c r="U90" s="106"/>
      <c r="V90" s="482">
        <v>2515000000</v>
      </c>
      <c r="W90" s="5013"/>
      <c r="X90" s="3013">
        <v>2500000000</v>
      </c>
      <c r="Y90" s="5362">
        <v>2515000000</v>
      </c>
      <c r="AC90" s="3013">
        <v>2500000000</v>
      </c>
      <c r="AD90" s="106"/>
      <c r="AE90" s="5362">
        <v>1467000000</v>
      </c>
      <c r="AF90" s="66"/>
      <c r="AG90" s="26"/>
      <c r="AH90" s="4640">
        <v>2.5</v>
      </c>
      <c r="AI90" s="645"/>
      <c r="AJ90" s="4614">
        <v>1.4570000000000001</v>
      </c>
      <c r="AK90" s="66"/>
      <c r="AL90" s="26"/>
      <c r="AN90" s="4640">
        <v>2.5</v>
      </c>
      <c r="AO90" s="645"/>
      <c r="AP90" s="4614">
        <v>2.4990000000000001</v>
      </c>
      <c r="AQ90" s="66"/>
      <c r="AR90" s="26"/>
      <c r="AT90" s="4640"/>
      <c r="AU90" s="645"/>
      <c r="AV90" s="4614"/>
      <c r="AW90" s="66"/>
      <c r="AX90" s="26"/>
    </row>
    <row r="91" spans="1:50" x14ac:dyDescent="0.35">
      <c r="A91" s="9168"/>
      <c r="B91" s="1654"/>
      <c r="C91" s="249" t="s">
        <v>6161</v>
      </c>
      <c r="D91" s="197"/>
      <c r="F91" s="122"/>
      <c r="H91" s="198"/>
      <c r="I91" s="482"/>
      <c r="J91" s="8868"/>
      <c r="L91" s="198"/>
      <c r="M91" s="482"/>
      <c r="O91" s="198">
        <v>0</v>
      </c>
      <c r="P91" s="482">
        <v>0</v>
      </c>
      <c r="T91" s="198">
        <v>0</v>
      </c>
      <c r="U91" s="106"/>
      <c r="V91" s="482">
        <v>0</v>
      </c>
      <c r="W91" s="5013"/>
      <c r="X91" s="3013">
        <v>0</v>
      </c>
      <c r="Y91" s="5362">
        <v>0</v>
      </c>
      <c r="AC91" s="3013">
        <v>0</v>
      </c>
      <c r="AD91" s="106"/>
      <c r="AE91" s="5362">
        <v>0</v>
      </c>
      <c r="AF91" s="66"/>
      <c r="AG91" s="26"/>
      <c r="AH91" s="4640">
        <v>0</v>
      </c>
      <c r="AI91" s="645"/>
      <c r="AJ91" s="4614">
        <v>0</v>
      </c>
      <c r="AK91" s="66"/>
      <c r="AL91" s="26"/>
      <c r="AN91" s="4640">
        <v>0</v>
      </c>
      <c r="AO91" s="645"/>
      <c r="AP91" s="4614">
        <v>0</v>
      </c>
      <c r="AQ91" s="66"/>
      <c r="AR91" s="26"/>
      <c r="AT91" s="4640"/>
      <c r="AU91" s="645"/>
      <c r="AV91" s="4614"/>
      <c r="AW91" s="66"/>
      <c r="AX91" s="26"/>
    </row>
    <row r="92" spans="1:50" x14ac:dyDescent="0.35">
      <c r="A92" s="9168"/>
      <c r="B92" s="241"/>
      <c r="C92" s="4067" t="s">
        <v>6197</v>
      </c>
      <c r="D92" s="197"/>
      <c r="F92" s="163">
        <v>11485000000</v>
      </c>
      <c r="H92" s="242">
        <v>14381000000</v>
      </c>
      <c r="I92" s="3272">
        <v>14301000000</v>
      </c>
      <c r="J92" s="8868">
        <f>IF(H92=0,0,I92/H92)</f>
        <v>0.99443710451289902</v>
      </c>
      <c r="L92" s="242">
        <v>15407000000</v>
      </c>
      <c r="M92" s="482">
        <v>15286000000</v>
      </c>
      <c r="O92" s="242"/>
      <c r="P92" s="482"/>
      <c r="Q92" s="70" t="s">
        <v>6195</v>
      </c>
      <c r="T92" s="242"/>
      <c r="U92" s="57" t="s">
        <v>6196</v>
      </c>
      <c r="V92" s="482"/>
      <c r="W92" s="5013"/>
      <c r="X92" s="242"/>
      <c r="Y92" s="482"/>
      <c r="Z92" s="70"/>
      <c r="AC92" s="242"/>
      <c r="AD92" s="57"/>
      <c r="AE92" s="482"/>
      <c r="AF92" s="66"/>
      <c r="AG92" s="26"/>
      <c r="AH92" s="1172"/>
      <c r="AI92" s="1161"/>
      <c r="AJ92" s="1304"/>
      <c r="AK92" s="66"/>
      <c r="AL92" s="26"/>
      <c r="AN92" s="1172"/>
      <c r="AO92" s="1161"/>
      <c r="AP92" s="1304"/>
      <c r="AQ92" s="66"/>
      <c r="AR92" s="26"/>
      <c r="AT92" s="1172"/>
      <c r="AU92" s="1161"/>
      <c r="AV92" s="1304"/>
      <c r="AW92" s="66"/>
      <c r="AX92" s="26"/>
    </row>
    <row r="93" spans="1:50" x14ac:dyDescent="0.35">
      <c r="A93" s="9168"/>
      <c r="B93" s="1654"/>
      <c r="C93" s="249" t="s">
        <v>3603</v>
      </c>
      <c r="D93" s="197"/>
      <c r="F93" s="122"/>
      <c r="H93" s="198"/>
      <c r="I93" s="482"/>
      <c r="J93" s="8868"/>
      <c r="L93" s="198"/>
      <c r="M93" s="482"/>
      <c r="O93" s="198">
        <f>(9549+4683)*10^6</f>
        <v>14232000000</v>
      </c>
      <c r="P93" s="482">
        <f>(9388+4683)*10^6</f>
        <v>14071000000</v>
      </c>
      <c r="T93" s="198">
        <f>(13189+5087)*10^6</f>
        <v>18276000000</v>
      </c>
      <c r="U93" s="106"/>
      <c r="V93" s="482">
        <f>(13588+5087)*10^6</f>
        <v>18675000000</v>
      </c>
      <c r="W93" s="5013"/>
      <c r="X93" s="3013">
        <v>18276000000</v>
      </c>
      <c r="Y93" s="5362">
        <v>18675000000</v>
      </c>
      <c r="AC93" s="3013">
        <v>22609000000</v>
      </c>
      <c r="AD93" s="106"/>
      <c r="AE93" s="5362">
        <v>24045000000</v>
      </c>
      <c r="AF93" s="66"/>
      <c r="AG93" s="26"/>
      <c r="AH93" s="4640">
        <f>8.845-AH94</f>
        <v>7.3450000000000006</v>
      </c>
      <c r="AI93" s="645"/>
      <c r="AJ93" s="4614">
        <f>9.579-AJ94</f>
        <v>8.173</v>
      </c>
      <c r="AK93" s="66"/>
      <c r="AL93" s="26"/>
      <c r="AN93" s="4640">
        <f>8.357+3.776</f>
        <v>12.132999999999999</v>
      </c>
      <c r="AO93" s="645"/>
      <c r="AP93" s="4614">
        <f>8.805+3.854</f>
        <v>12.658999999999999</v>
      </c>
      <c r="AQ93" s="66"/>
      <c r="AR93" s="26"/>
      <c r="AT93" s="4640"/>
      <c r="AU93" s="645"/>
      <c r="AV93" s="4614"/>
      <c r="AW93" s="66"/>
      <c r="AX93" s="26"/>
    </row>
    <row r="94" spans="1:50" x14ac:dyDescent="0.35">
      <c r="A94" s="9168"/>
      <c r="B94" s="1654"/>
      <c r="C94" s="249" t="s">
        <v>6160</v>
      </c>
      <c r="D94" s="197"/>
      <c r="F94" s="122"/>
      <c r="H94" s="198"/>
      <c r="I94" s="482"/>
      <c r="J94" s="8868"/>
      <c r="L94" s="198"/>
      <c r="M94" s="482"/>
      <c r="O94" s="198">
        <v>1000000000</v>
      </c>
      <c r="P94" s="482">
        <v>1000000000</v>
      </c>
      <c r="T94" s="198">
        <v>2500000000</v>
      </c>
      <c r="U94" s="106"/>
      <c r="V94" s="482">
        <v>2515000000</v>
      </c>
      <c r="W94" s="5013"/>
      <c r="X94" s="3013">
        <v>2500000000</v>
      </c>
      <c r="Y94" s="5362">
        <v>2515000000</v>
      </c>
      <c r="AC94" s="3013">
        <v>2500000000</v>
      </c>
      <c r="AD94" s="106"/>
      <c r="AE94" s="5362">
        <v>1467000000</v>
      </c>
      <c r="AF94" s="66"/>
      <c r="AG94" s="26"/>
      <c r="AH94" s="4640">
        <v>1.5</v>
      </c>
      <c r="AI94" s="645"/>
      <c r="AJ94" s="4614">
        <v>1.4059999999999999</v>
      </c>
      <c r="AK94" s="66"/>
      <c r="AL94" s="26"/>
      <c r="AN94" s="4640">
        <v>1.5</v>
      </c>
      <c r="AO94" s="645"/>
      <c r="AP94" s="4614">
        <v>1.448</v>
      </c>
      <c r="AQ94" s="66"/>
      <c r="AR94" s="26"/>
      <c r="AT94" s="4640"/>
      <c r="AU94" s="645"/>
      <c r="AV94" s="4614"/>
      <c r="AW94" s="66"/>
      <c r="AX94" s="26"/>
    </row>
    <row r="95" spans="1:50" x14ac:dyDescent="0.35">
      <c r="A95" s="9168"/>
      <c r="B95" s="1654"/>
      <c r="C95" s="249" t="s">
        <v>6161</v>
      </c>
      <c r="D95" s="197"/>
      <c r="F95" s="122"/>
      <c r="H95" s="198"/>
      <c r="I95" s="482"/>
      <c r="J95" s="8868"/>
      <c r="L95" s="198"/>
      <c r="M95" s="482"/>
      <c r="O95" s="198">
        <v>0</v>
      </c>
      <c r="P95" s="482">
        <v>0</v>
      </c>
      <c r="T95" s="198">
        <v>0</v>
      </c>
      <c r="U95" s="106"/>
      <c r="V95" s="482">
        <v>0</v>
      </c>
      <c r="W95" s="5013"/>
      <c r="X95" s="3013">
        <v>0</v>
      </c>
      <c r="Y95" s="5362">
        <v>0</v>
      </c>
      <c r="AC95" s="3013">
        <v>0</v>
      </c>
      <c r="AD95" s="106"/>
      <c r="AE95" s="5362">
        <v>0</v>
      </c>
      <c r="AF95" s="66"/>
      <c r="AG95" s="26"/>
      <c r="AH95" s="4640">
        <v>0</v>
      </c>
      <c r="AI95" s="645"/>
      <c r="AJ95" s="4614">
        <v>0</v>
      </c>
      <c r="AK95" s="66"/>
      <c r="AL95" s="26"/>
      <c r="AN95" s="4640">
        <v>0</v>
      </c>
      <c r="AO95" s="645"/>
      <c r="AP95" s="4614">
        <v>0</v>
      </c>
      <c r="AQ95" s="66"/>
      <c r="AR95" s="26"/>
      <c r="AT95" s="4640"/>
      <c r="AU95" s="645"/>
      <c r="AV95" s="4614"/>
      <c r="AW95" s="66"/>
      <c r="AX95" s="26"/>
    </row>
    <row r="96" spans="1:50" x14ac:dyDescent="0.35">
      <c r="A96" s="9168"/>
      <c r="B96" s="241"/>
      <c r="C96" s="4067" t="s">
        <v>6198</v>
      </c>
      <c r="D96" s="197"/>
      <c r="F96" s="163">
        <v>11485000000</v>
      </c>
      <c r="H96" s="242">
        <v>14381000000</v>
      </c>
      <c r="I96" s="3272">
        <v>14301000000</v>
      </c>
      <c r="J96" s="8868">
        <f>IF(H96=0,0,I96/H96)</f>
        <v>0.99443710451289902</v>
      </c>
      <c r="L96" s="242">
        <v>15407000000</v>
      </c>
      <c r="M96" s="482">
        <v>15286000000</v>
      </c>
      <c r="O96" s="242"/>
      <c r="P96" s="482"/>
      <c r="Q96" s="70" t="s">
        <v>6195</v>
      </c>
      <c r="T96" s="242"/>
      <c r="U96" s="57" t="s">
        <v>6196</v>
      </c>
      <c r="V96" s="482"/>
      <c r="W96" s="5013"/>
      <c r="X96" s="242"/>
      <c r="Y96" s="482"/>
      <c r="Z96" s="70"/>
      <c r="AC96" s="242"/>
      <c r="AD96" s="57"/>
      <c r="AE96" s="482"/>
      <c r="AF96" s="66"/>
      <c r="AG96" s="26"/>
      <c r="AH96" s="1172"/>
      <c r="AI96" s="1161"/>
      <c r="AJ96" s="1304"/>
      <c r="AK96" s="66"/>
      <c r="AL96" s="26"/>
      <c r="AN96" s="1172"/>
      <c r="AO96" s="1161"/>
      <c r="AP96" s="1304"/>
      <c r="AQ96" s="66"/>
      <c r="AR96" s="26"/>
      <c r="AT96" s="1172"/>
      <c r="AU96" s="1161"/>
      <c r="AV96" s="1304"/>
      <c r="AW96" s="66"/>
      <c r="AX96" s="26"/>
    </row>
    <row r="97" spans="1:50" x14ac:dyDescent="0.35">
      <c r="A97" s="9168"/>
      <c r="B97" s="1654"/>
      <c r="C97" s="249" t="s">
        <v>3603</v>
      </c>
      <c r="D97" s="197"/>
      <c r="F97" s="122"/>
      <c r="H97" s="198"/>
      <c r="I97" s="482"/>
      <c r="J97" s="8868"/>
      <c r="L97" s="198"/>
      <c r="M97" s="482"/>
      <c r="O97" s="198">
        <f>(9549+4683)*10^6</f>
        <v>14232000000</v>
      </c>
      <c r="P97" s="482">
        <f>(9388+4683)*10^6</f>
        <v>14071000000</v>
      </c>
      <c r="T97" s="198">
        <f>(13189+5087)*10^6</f>
        <v>18276000000</v>
      </c>
      <c r="U97" s="106"/>
      <c r="V97" s="482">
        <f>(13588+5087)*10^6</f>
        <v>18675000000</v>
      </c>
      <c r="W97" s="5013"/>
      <c r="X97" s="3013">
        <v>18276000000</v>
      </c>
      <c r="Y97" s="5362">
        <v>18675000000</v>
      </c>
      <c r="AC97" s="3013">
        <v>22609000000</v>
      </c>
      <c r="AD97" s="106"/>
      <c r="AE97" s="5362">
        <v>24045000000</v>
      </c>
      <c r="AF97" s="66"/>
      <c r="AG97" s="26"/>
      <c r="AH97" s="4640">
        <v>6.6779999999999999</v>
      </c>
      <c r="AI97" s="645"/>
      <c r="AJ97" s="4614">
        <v>7.3330000000000002</v>
      </c>
      <c r="AK97" s="66"/>
      <c r="AL97" s="26"/>
      <c r="AN97" s="4640">
        <f>3.605+3.524</f>
        <v>7.1289999999999996</v>
      </c>
      <c r="AO97" s="645"/>
      <c r="AP97" s="4614">
        <f>3.6+3.058</f>
        <v>6.6579999999999995</v>
      </c>
      <c r="AQ97" s="66"/>
      <c r="AR97" s="26"/>
      <c r="AT97" s="4640"/>
      <c r="AU97" s="645"/>
      <c r="AV97" s="4614"/>
      <c r="AW97" s="66"/>
      <c r="AX97" s="26"/>
    </row>
    <row r="98" spans="1:50" x14ac:dyDescent="0.35">
      <c r="A98" s="9168"/>
      <c r="B98" s="1654"/>
      <c r="C98" s="249" t="s">
        <v>6160</v>
      </c>
      <c r="D98" s="197"/>
      <c r="F98" s="122"/>
      <c r="H98" s="198"/>
      <c r="I98" s="482"/>
      <c r="J98" s="8868"/>
      <c r="L98" s="198"/>
      <c r="M98" s="482"/>
      <c r="O98" s="198">
        <v>1000000000</v>
      </c>
      <c r="P98" s="482">
        <v>1000000000</v>
      </c>
      <c r="T98" s="198">
        <v>2500000000</v>
      </c>
      <c r="U98" s="106"/>
      <c r="V98" s="482">
        <v>2515000000</v>
      </c>
      <c r="W98" s="5013"/>
      <c r="X98" s="3013">
        <v>2500000000</v>
      </c>
      <c r="Y98" s="5362">
        <v>2515000000</v>
      </c>
      <c r="AC98" s="3013">
        <v>2500000000</v>
      </c>
      <c r="AD98" s="106"/>
      <c r="AE98" s="5362">
        <v>1467000000</v>
      </c>
      <c r="AF98" s="66"/>
      <c r="AG98" s="26"/>
      <c r="AH98" s="4640">
        <v>0</v>
      </c>
      <c r="AI98" s="645"/>
      <c r="AJ98" s="4614">
        <v>0</v>
      </c>
      <c r="AK98" s="66"/>
      <c r="AL98" s="26"/>
      <c r="AN98" s="4640">
        <v>0</v>
      </c>
      <c r="AO98" s="645"/>
      <c r="AP98" s="4614">
        <v>0</v>
      </c>
      <c r="AQ98" s="66"/>
      <c r="AR98" s="26"/>
      <c r="AT98" s="4640"/>
      <c r="AU98" s="645"/>
      <c r="AV98" s="4614"/>
      <c r="AW98" s="66"/>
      <c r="AX98" s="26"/>
    </row>
    <row r="99" spans="1:50" x14ac:dyDescent="0.35">
      <c r="A99" s="9168"/>
      <c r="B99" s="1654"/>
      <c r="C99" s="249" t="s">
        <v>6161</v>
      </c>
      <c r="D99" s="197"/>
      <c r="F99" s="122"/>
      <c r="H99" s="198"/>
      <c r="I99" s="482"/>
      <c r="J99" s="8868"/>
      <c r="L99" s="198"/>
      <c r="M99" s="482"/>
      <c r="O99" s="198">
        <v>0</v>
      </c>
      <c r="P99" s="482">
        <v>0</v>
      </c>
      <c r="T99" s="198">
        <v>0</v>
      </c>
      <c r="U99" s="106"/>
      <c r="V99" s="482">
        <v>0</v>
      </c>
      <c r="W99" s="5013"/>
      <c r="X99" s="3013">
        <v>0</v>
      </c>
      <c r="Y99" s="5362">
        <v>0</v>
      </c>
      <c r="AC99" s="3013">
        <v>0</v>
      </c>
      <c r="AD99" s="106"/>
      <c r="AE99" s="5362">
        <v>0</v>
      </c>
      <c r="AF99" s="66"/>
      <c r="AG99" s="26"/>
      <c r="AH99" s="4640">
        <v>0</v>
      </c>
      <c r="AI99" s="645"/>
      <c r="AJ99" s="4614">
        <v>0</v>
      </c>
      <c r="AK99" s="66"/>
      <c r="AL99" s="26"/>
      <c r="AN99" s="4640">
        <v>0</v>
      </c>
      <c r="AO99" s="645"/>
      <c r="AP99" s="4614">
        <v>0</v>
      </c>
      <c r="AQ99" s="66"/>
      <c r="AR99" s="26"/>
      <c r="AT99" s="4640"/>
      <c r="AU99" s="645"/>
      <c r="AV99" s="4614"/>
      <c r="AW99" s="66"/>
      <c r="AX99" s="26"/>
    </row>
    <row r="100" spans="1:50" x14ac:dyDescent="0.35">
      <c r="A100" s="9168"/>
      <c r="B100" s="241"/>
      <c r="C100" s="4067" t="s">
        <v>6199</v>
      </c>
      <c r="D100" s="197"/>
      <c r="F100" s="163">
        <v>11485000000</v>
      </c>
      <c r="H100" s="242">
        <v>14381000000</v>
      </c>
      <c r="I100" s="3272">
        <v>14301000000</v>
      </c>
      <c r="J100" s="8868">
        <f>IF(H100=0,0,I100/H100)</f>
        <v>0.99443710451289902</v>
      </c>
      <c r="L100" s="242">
        <v>15407000000</v>
      </c>
      <c r="M100" s="482">
        <v>15286000000</v>
      </c>
      <c r="O100" s="242"/>
      <c r="P100" s="482"/>
      <c r="Q100" s="70" t="s">
        <v>6195</v>
      </c>
      <c r="T100" s="242"/>
      <c r="U100" s="57" t="s">
        <v>6196</v>
      </c>
      <c r="V100" s="482"/>
      <c r="W100" s="5013"/>
      <c r="X100" s="242"/>
      <c r="Y100" s="482"/>
      <c r="Z100" s="70"/>
      <c r="AC100" s="242"/>
      <c r="AD100" s="57"/>
      <c r="AE100" s="482"/>
      <c r="AF100" s="66"/>
      <c r="AG100" s="26"/>
      <c r="AH100" s="1172"/>
      <c r="AI100" s="1161"/>
      <c r="AJ100" s="1304"/>
      <c r="AK100" s="66"/>
      <c r="AL100" s="26"/>
      <c r="AN100" s="1172"/>
      <c r="AO100" s="1161"/>
      <c r="AP100" s="1304"/>
      <c r="AQ100" s="66"/>
      <c r="AR100" s="26"/>
      <c r="AT100" s="1172"/>
      <c r="AU100" s="1161"/>
      <c r="AV100" s="1304"/>
      <c r="AW100" s="66"/>
      <c r="AX100" s="26"/>
    </row>
    <row r="101" spans="1:50" x14ac:dyDescent="0.35">
      <c r="A101" s="9168"/>
      <c r="B101" s="1654"/>
      <c r="C101" s="249" t="s">
        <v>3603</v>
      </c>
      <c r="D101" s="197"/>
      <c r="F101" s="122"/>
      <c r="H101" s="198"/>
      <c r="I101" s="482"/>
      <c r="J101" s="8868"/>
      <c r="L101" s="198"/>
      <c r="M101" s="482"/>
      <c r="O101" s="198">
        <f>(9549+4683)*10^6</f>
        <v>14232000000</v>
      </c>
      <c r="P101" s="482">
        <f>(9388+4683)*10^6</f>
        <v>14071000000</v>
      </c>
      <c r="T101" s="198">
        <f>(13189+5087)*10^6</f>
        <v>18276000000</v>
      </c>
      <c r="U101" s="106"/>
      <c r="V101" s="482">
        <f>(13588+5087)*10^6</f>
        <v>18675000000</v>
      </c>
      <c r="W101" s="5013"/>
      <c r="X101" s="3013">
        <v>18276000000</v>
      </c>
      <c r="Y101" s="5362">
        <v>18675000000</v>
      </c>
      <c r="AC101" s="3013">
        <v>22609000000</v>
      </c>
      <c r="AD101" s="106"/>
      <c r="AE101" s="5362">
        <v>24045000000</v>
      </c>
      <c r="AF101" s="66"/>
      <c r="AG101" s="26"/>
      <c r="AH101" s="4640">
        <f>9.503-AH102</f>
        <v>8.9030000000000005</v>
      </c>
      <c r="AI101" s="645"/>
      <c r="AJ101" s="4614">
        <f>14.416-AJ102</f>
        <v>13.829000000000001</v>
      </c>
      <c r="AK101" s="66"/>
      <c r="AL101" s="26"/>
      <c r="AN101" s="4640">
        <f>13.768+2.778</f>
        <v>16.545999999999999</v>
      </c>
      <c r="AO101" s="645"/>
      <c r="AP101" s="4614">
        <f>15.156+3.336</f>
        <v>18.492000000000001</v>
      </c>
      <c r="AQ101" s="66"/>
      <c r="AR101" s="26"/>
      <c r="AT101" s="4640"/>
      <c r="AU101" s="645"/>
      <c r="AV101" s="4614"/>
      <c r="AW101" s="66"/>
      <c r="AX101" s="26"/>
    </row>
    <row r="102" spans="1:50" x14ac:dyDescent="0.35">
      <c r="A102" s="9168"/>
      <c r="B102" s="1654"/>
      <c r="C102" s="249" t="s">
        <v>6160</v>
      </c>
      <c r="D102" s="197"/>
      <c r="F102" s="122"/>
      <c r="H102" s="198"/>
      <c r="I102" s="482"/>
      <c r="J102" s="8868"/>
      <c r="L102" s="198"/>
      <c r="M102" s="482"/>
      <c r="O102" s="198">
        <v>1000000000</v>
      </c>
      <c r="P102" s="482">
        <v>1000000000</v>
      </c>
      <c r="T102" s="198">
        <v>2500000000</v>
      </c>
      <c r="U102" s="106"/>
      <c r="V102" s="482">
        <v>2515000000</v>
      </c>
      <c r="W102" s="5013"/>
      <c r="X102" s="3013">
        <v>2500000000</v>
      </c>
      <c r="Y102" s="5362">
        <v>2515000000</v>
      </c>
      <c r="AC102" s="3013">
        <v>2500000000</v>
      </c>
      <c r="AD102" s="106"/>
      <c r="AE102" s="5362">
        <v>1467000000</v>
      </c>
      <c r="AF102" s="66"/>
      <c r="AG102" s="26"/>
      <c r="AH102" s="4640">
        <v>0.6</v>
      </c>
      <c r="AI102" s="645"/>
      <c r="AJ102" s="4614">
        <v>0.58699999999999997</v>
      </c>
      <c r="AK102" s="66"/>
      <c r="AL102" s="26"/>
      <c r="AN102" s="4640">
        <v>0.6</v>
      </c>
      <c r="AO102" s="645"/>
      <c r="AP102" s="4614">
        <v>1.401</v>
      </c>
      <c r="AQ102" s="66"/>
      <c r="AR102" s="26"/>
      <c r="AT102" s="4640"/>
      <c r="AU102" s="645"/>
      <c r="AV102" s="4614"/>
      <c r="AW102" s="66"/>
      <c r="AX102" s="26"/>
    </row>
    <row r="103" spans="1:50" x14ac:dyDescent="0.35">
      <c r="A103" s="9168"/>
      <c r="B103" s="1654"/>
      <c r="C103" s="249" t="s">
        <v>6161</v>
      </c>
      <c r="D103" s="197"/>
      <c r="F103" s="122"/>
      <c r="H103" s="198"/>
      <c r="I103" s="482"/>
      <c r="J103" s="8868"/>
      <c r="L103" s="198"/>
      <c r="M103" s="482"/>
      <c r="O103" s="198">
        <v>0</v>
      </c>
      <c r="P103" s="482">
        <v>0</v>
      </c>
      <c r="T103" s="198">
        <v>0</v>
      </c>
      <c r="U103" s="106"/>
      <c r="V103" s="482">
        <v>0</v>
      </c>
      <c r="W103" s="5013"/>
      <c r="X103" s="3013">
        <v>0</v>
      </c>
      <c r="Y103" s="5362">
        <v>0</v>
      </c>
      <c r="AC103" s="3013">
        <v>0</v>
      </c>
      <c r="AD103" s="106"/>
      <c r="AE103" s="5362">
        <v>0</v>
      </c>
      <c r="AF103" s="66"/>
      <c r="AG103" s="26"/>
      <c r="AH103" s="4640">
        <v>0</v>
      </c>
      <c r="AI103" s="645"/>
      <c r="AJ103" s="4614">
        <v>0</v>
      </c>
      <c r="AK103" s="66"/>
      <c r="AL103" s="26"/>
      <c r="AN103" s="4640">
        <v>0</v>
      </c>
      <c r="AO103" s="645"/>
      <c r="AP103" s="4614">
        <v>0</v>
      </c>
      <c r="AQ103" s="66"/>
      <c r="AR103" s="26"/>
      <c r="AT103" s="4640"/>
      <c r="AU103" s="645"/>
      <c r="AV103" s="4614"/>
      <c r="AW103" s="66"/>
      <c r="AX103" s="26"/>
    </row>
    <row r="104" spans="1:50" x14ac:dyDescent="0.35">
      <c r="A104" s="9168"/>
      <c r="B104" s="241"/>
      <c r="C104" s="5512" t="s">
        <v>6200</v>
      </c>
      <c r="D104" s="197"/>
      <c r="F104" s="122"/>
      <c r="H104" s="198"/>
      <c r="I104" s="482"/>
      <c r="J104" s="8868"/>
      <c r="L104" s="198"/>
      <c r="M104" s="482"/>
      <c r="O104" s="198"/>
      <c r="P104" s="482"/>
      <c r="T104" s="198"/>
      <c r="U104" s="106"/>
      <c r="V104" s="482"/>
      <c r="W104" s="5013"/>
      <c r="X104" s="3013"/>
      <c r="Y104" s="5362"/>
      <c r="AC104" s="3013"/>
      <c r="AD104" s="106"/>
      <c r="AE104" s="5362"/>
      <c r="AF104" s="66"/>
      <c r="AG104" s="26"/>
      <c r="AH104" s="4640"/>
      <c r="AI104" s="645"/>
      <c r="AJ104" s="4614"/>
      <c r="AK104" s="66"/>
      <c r="AL104" s="26"/>
      <c r="AN104" s="4640"/>
      <c r="AO104" s="645"/>
      <c r="AP104" s="4614"/>
      <c r="AQ104" s="66"/>
      <c r="AR104" s="26"/>
      <c r="AT104" s="4640"/>
      <c r="AU104" s="645"/>
      <c r="AV104" s="4614"/>
      <c r="AW104" s="66"/>
      <c r="AX104" s="26"/>
    </row>
    <row r="105" spans="1:50" x14ac:dyDescent="0.35">
      <c r="A105" s="9168"/>
      <c r="B105" s="1654"/>
      <c r="C105" s="5513" t="s">
        <v>3603</v>
      </c>
      <c r="D105" s="197"/>
      <c r="F105" s="122"/>
      <c r="H105" s="198"/>
      <c r="I105" s="482"/>
      <c r="J105" s="8868"/>
      <c r="L105" s="198"/>
      <c r="M105" s="482"/>
      <c r="O105" s="198"/>
      <c r="P105" s="482"/>
      <c r="T105" s="198"/>
      <c r="U105" s="106"/>
      <c r="V105" s="482"/>
      <c r="W105" s="5013"/>
      <c r="X105" s="3013"/>
      <c r="Y105" s="5362"/>
      <c r="AC105" s="3013"/>
      <c r="AD105" s="106"/>
      <c r="AE105" s="5362"/>
      <c r="AF105" s="66"/>
      <c r="AG105" s="26"/>
      <c r="AH105" s="5514">
        <v>5.9</v>
      </c>
      <c r="AI105" s="645" t="s">
        <v>6201</v>
      </c>
      <c r="AJ105" s="5508">
        <v>4.3719999999999999</v>
      </c>
      <c r="AK105" s="66"/>
      <c r="AL105" s="26"/>
      <c r="AN105" s="5514">
        <f>4.679+1.506</f>
        <v>6.1850000000000005</v>
      </c>
      <c r="AO105" s="645"/>
      <c r="AP105" s="5508">
        <f>5.975+2.617</f>
        <v>8.5919999999999987</v>
      </c>
      <c r="AQ105" s="66"/>
      <c r="AR105" s="26"/>
      <c r="AT105" s="5514"/>
      <c r="AU105" s="645"/>
      <c r="AV105" s="5508"/>
      <c r="AW105" s="66"/>
      <c r="AX105" s="26"/>
    </row>
    <row r="106" spans="1:50" x14ac:dyDescent="0.35">
      <c r="A106" s="9168"/>
      <c r="B106" s="1654"/>
      <c r="C106" s="5513" t="s">
        <v>6160</v>
      </c>
      <c r="D106" s="197"/>
      <c r="F106" s="122"/>
      <c r="H106" s="198"/>
      <c r="I106" s="482"/>
      <c r="J106" s="8868"/>
      <c r="L106" s="198"/>
      <c r="M106" s="482"/>
      <c r="O106" s="198"/>
      <c r="P106" s="482"/>
      <c r="T106" s="198"/>
      <c r="U106" s="106"/>
      <c r="V106" s="482"/>
      <c r="W106" s="5013"/>
      <c r="X106" s="3013"/>
      <c r="Y106" s="5362"/>
      <c r="AC106" s="3013"/>
      <c r="AD106" s="106"/>
      <c r="AE106" s="5362"/>
      <c r="AF106" s="66"/>
      <c r="AG106" s="26"/>
      <c r="AH106" s="5514">
        <v>6</v>
      </c>
      <c r="AI106" s="645"/>
      <c r="AJ106" s="5508">
        <v>6</v>
      </c>
      <c r="AK106" s="66"/>
      <c r="AL106" s="26"/>
      <c r="AN106" s="5514">
        <v>6</v>
      </c>
      <c r="AO106" s="645"/>
      <c r="AP106" s="5508">
        <v>7.6559999999999997</v>
      </c>
      <c r="AQ106" s="66"/>
      <c r="AR106" s="26"/>
      <c r="AT106" s="5514"/>
      <c r="AU106" s="645"/>
      <c r="AV106" s="5508"/>
      <c r="AW106" s="66"/>
      <c r="AX106" s="26"/>
    </row>
    <row r="107" spans="1:50" ht="24.75" customHeight="1" x14ac:dyDescent="0.35">
      <c r="A107" s="9168"/>
      <c r="B107" s="1654"/>
      <c r="C107" s="5513" t="s">
        <v>6161</v>
      </c>
      <c r="D107" s="197"/>
      <c r="F107" s="122"/>
      <c r="H107" s="198"/>
      <c r="I107" s="482"/>
      <c r="J107" s="8868"/>
      <c r="L107" s="198"/>
      <c r="M107" s="482"/>
      <c r="O107" s="198"/>
      <c r="P107" s="482"/>
      <c r="T107" s="198"/>
      <c r="U107" s="106"/>
      <c r="V107" s="482"/>
      <c r="W107" s="5013"/>
      <c r="X107" s="3013"/>
      <c r="Y107" s="5362"/>
      <c r="AC107" s="3013"/>
      <c r="AD107" s="106"/>
      <c r="AE107" s="5362"/>
      <c r="AF107" s="66"/>
      <c r="AG107" s="26"/>
      <c r="AH107" s="5514">
        <v>0</v>
      </c>
      <c r="AI107" s="645"/>
      <c r="AJ107" s="5508">
        <v>0</v>
      </c>
      <c r="AK107" s="66"/>
      <c r="AL107" s="26"/>
      <c r="AN107" s="5514">
        <v>0</v>
      </c>
      <c r="AO107" s="645"/>
      <c r="AP107" s="5508">
        <v>0</v>
      </c>
      <c r="AQ107" s="66"/>
      <c r="AR107" s="26"/>
      <c r="AT107" s="5514"/>
      <c r="AU107" s="645"/>
      <c r="AV107" s="5508"/>
      <c r="AW107" s="66"/>
      <c r="AX107" s="26"/>
    </row>
    <row r="108" spans="1:50" x14ac:dyDescent="0.35">
      <c r="A108" s="9168"/>
      <c r="B108" s="141" t="s">
        <v>531</v>
      </c>
      <c r="C108"/>
      <c r="D108" s="197"/>
      <c r="E108" s="143"/>
      <c r="F108" s="168"/>
      <c r="G108" s="143"/>
      <c r="H108" s="245"/>
      <c r="I108" s="66"/>
      <c r="J108" s="26"/>
      <c r="K108" s="143"/>
      <c r="L108" s="245"/>
      <c r="M108" s="247"/>
      <c r="N108" s="143"/>
      <c r="O108" s="245"/>
      <c r="P108" s="247"/>
      <c r="Q108" s="143"/>
      <c r="R108" s="143"/>
      <c r="S108" s="143"/>
      <c r="T108" s="245"/>
      <c r="U108" s="106"/>
      <c r="V108" s="247"/>
      <c r="W108" s="5013"/>
      <c r="X108" s="245"/>
      <c r="Y108" s="247"/>
      <c r="Z108" s="143"/>
      <c r="AA108" s="143"/>
      <c r="AB108" s="143"/>
      <c r="AC108" s="245"/>
      <c r="AD108" s="106"/>
      <c r="AE108" s="247"/>
      <c r="AF108" s="247"/>
      <c r="AG108" s="26"/>
      <c r="AH108" s="245"/>
      <c r="AI108" s="106"/>
      <c r="AJ108" s="247"/>
      <c r="AK108" s="247"/>
      <c r="AL108" s="26"/>
      <c r="AN108" s="245"/>
      <c r="AO108" s="106"/>
      <c r="AP108" s="247"/>
      <c r="AQ108" s="247"/>
      <c r="AR108" s="26"/>
      <c r="AT108" s="245"/>
      <c r="AU108" s="106"/>
      <c r="AV108" s="247"/>
      <c r="AW108" s="247"/>
      <c r="AX108" s="26"/>
    </row>
    <row r="109" spans="1:50" x14ac:dyDescent="0.35">
      <c r="A109" s="9168"/>
      <c r="B109" s="240"/>
      <c r="C109" s="240" t="s">
        <v>532</v>
      </c>
      <c r="D109" s="197"/>
      <c r="F109" s="111"/>
      <c r="H109" s="112"/>
      <c r="I109" s="3254"/>
      <c r="J109" s="26"/>
      <c r="L109" s="112"/>
      <c r="M109" s="611"/>
      <c r="O109" s="112"/>
      <c r="P109" s="611"/>
      <c r="T109" s="112"/>
      <c r="U109" s="106"/>
      <c r="V109" s="611"/>
      <c r="W109" s="5013"/>
      <c r="X109" s="112"/>
      <c r="Y109" s="611"/>
      <c r="AC109" s="112"/>
      <c r="AD109" s="106"/>
      <c r="AE109" s="611"/>
      <c r="AF109" s="157"/>
      <c r="AG109" s="26"/>
      <c r="AH109" s="112"/>
      <c r="AI109" s="106"/>
      <c r="AJ109" s="611"/>
      <c r="AK109" s="157"/>
      <c r="AL109" s="26"/>
      <c r="AN109" s="112"/>
      <c r="AO109" s="106"/>
      <c r="AP109" s="611"/>
      <c r="AQ109" s="157"/>
      <c r="AR109" s="26"/>
      <c r="AT109" s="112"/>
      <c r="AU109" s="106"/>
      <c r="AV109" s="611"/>
      <c r="AW109" s="157"/>
      <c r="AX109" s="26"/>
    </row>
    <row r="110" spans="1:50" x14ac:dyDescent="0.35">
      <c r="A110" s="9168"/>
      <c r="B110" s="240"/>
      <c r="C110" s="240" t="s">
        <v>533</v>
      </c>
      <c r="D110" s="197"/>
      <c r="F110" s="155"/>
      <c r="H110" s="117"/>
      <c r="I110" s="3265"/>
      <c r="J110" s="26"/>
      <c r="L110" s="117"/>
      <c r="M110" s="611"/>
      <c r="O110" s="117"/>
      <c r="P110" s="611"/>
      <c r="T110" s="117"/>
      <c r="U110" s="106"/>
      <c r="V110" s="611"/>
      <c r="W110" s="5013"/>
      <c r="X110" s="117"/>
      <c r="Y110" s="611"/>
      <c r="AC110" s="117"/>
      <c r="AD110" s="106"/>
      <c r="AE110" s="611"/>
      <c r="AF110" s="157"/>
      <c r="AG110" s="26"/>
      <c r="AH110" s="117"/>
      <c r="AI110" s="106"/>
      <c r="AJ110" s="611"/>
      <c r="AK110" s="157"/>
      <c r="AL110" s="26"/>
      <c r="AN110" s="117"/>
      <c r="AO110" s="106"/>
      <c r="AP110" s="611"/>
      <c r="AQ110" s="157"/>
      <c r="AR110" s="26"/>
      <c r="AT110" s="117"/>
      <c r="AU110" s="106"/>
      <c r="AV110" s="611"/>
      <c r="AW110" s="157"/>
      <c r="AX110" s="26"/>
    </row>
    <row r="111" spans="1:50" x14ac:dyDescent="0.35">
      <c r="A111" s="9168"/>
      <c r="B111" s="250"/>
      <c r="C111" s="250" t="s">
        <v>534</v>
      </c>
      <c r="D111" s="209"/>
      <c r="F111" s="130"/>
      <c r="H111" s="131"/>
      <c r="I111" s="3272"/>
      <c r="J111" s="24"/>
      <c r="L111" s="131"/>
      <c r="M111" s="1345"/>
      <c r="O111" s="131"/>
      <c r="P111" s="1345"/>
      <c r="T111" s="131"/>
      <c r="U111" s="216"/>
      <c r="V111" s="1345"/>
      <c r="W111" s="5013"/>
      <c r="X111" s="131"/>
      <c r="Y111" s="1345"/>
      <c r="AC111" s="131"/>
      <c r="AD111" s="216"/>
      <c r="AE111" s="1345"/>
      <c r="AF111" s="157"/>
      <c r="AG111" s="24"/>
      <c r="AH111" s="131"/>
      <c r="AI111" s="216"/>
      <c r="AJ111" s="1345"/>
      <c r="AK111" s="157"/>
      <c r="AL111" s="24"/>
      <c r="AN111" s="131"/>
      <c r="AO111" s="216"/>
      <c r="AP111" s="1345"/>
      <c r="AQ111" s="157"/>
      <c r="AR111" s="24"/>
      <c r="AT111" s="131"/>
      <c r="AU111" s="216"/>
      <c r="AV111" s="1345"/>
      <c r="AW111" s="157"/>
      <c r="AX111" s="24"/>
    </row>
    <row r="112" spans="1:50" x14ac:dyDescent="0.35">
      <c r="A112" s="9168"/>
      <c r="B112" s="141" t="s">
        <v>535</v>
      </c>
      <c r="C112" s="141"/>
      <c r="D112" s="197"/>
      <c r="E112" s="143"/>
      <c r="F112" s="227"/>
      <c r="G112" s="143"/>
      <c r="H112" s="102"/>
      <c r="I112" s="105"/>
      <c r="J112" s="516"/>
      <c r="K112" s="143"/>
      <c r="L112" s="245"/>
      <c r="M112" s="247"/>
      <c r="N112" s="143"/>
      <c r="O112" s="245"/>
      <c r="P112" s="247"/>
      <c r="Q112" s="143"/>
      <c r="R112" s="143"/>
      <c r="S112" s="143"/>
      <c r="T112" s="245"/>
      <c r="U112" s="106"/>
      <c r="V112" s="247"/>
      <c r="W112" s="5013"/>
      <c r="X112" s="245"/>
      <c r="Y112" s="247"/>
      <c r="Z112" s="143"/>
      <c r="AA112" s="143"/>
      <c r="AB112" s="143"/>
      <c r="AC112" s="245"/>
      <c r="AD112" s="106"/>
      <c r="AE112" s="247"/>
      <c r="AF112" s="247"/>
      <c r="AG112" s="26"/>
      <c r="AH112" s="245"/>
      <c r="AI112" s="106"/>
      <c r="AJ112" s="247"/>
      <c r="AK112" s="247"/>
      <c r="AL112" s="26"/>
      <c r="AN112" s="245"/>
      <c r="AO112" s="106"/>
      <c r="AP112" s="247"/>
      <c r="AQ112" s="247"/>
      <c r="AR112" s="26"/>
      <c r="AT112" s="245"/>
      <c r="AU112" s="106"/>
      <c r="AV112" s="247"/>
      <c r="AW112" s="247"/>
      <c r="AX112" s="26"/>
    </row>
    <row r="113" spans="1:50" x14ac:dyDescent="0.35">
      <c r="A113" s="9168"/>
      <c r="B113" s="240"/>
      <c r="C113" s="240" t="s">
        <v>6202</v>
      </c>
      <c r="D113" s="197">
        <v>3</v>
      </c>
      <c r="F113" s="3966">
        <v>1334233349.8499999</v>
      </c>
      <c r="G113" s="4852"/>
      <c r="H113" s="262">
        <f>I113</f>
        <v>809529559.04999995</v>
      </c>
      <c r="I113" s="5206">
        <v>809529559.04999995</v>
      </c>
      <c r="J113" s="835">
        <f t="shared" ref="J113:J123" si="1">IF(H113=0,0,I113/H113)</f>
        <v>1</v>
      </c>
      <c r="K113" s="4852"/>
      <c r="L113" s="262">
        <f>$H113*L$44/$H$44</f>
        <v>698960965.97611666</v>
      </c>
      <c r="M113" s="5515">
        <f>$H113*M$44/$H$44</f>
        <v>518905153.43152678</v>
      </c>
      <c r="O113" s="262">
        <f>$H113*SUM(O$44:O$47)/$H$44</f>
        <v>695306668.75460017</v>
      </c>
      <c r="P113" s="5515">
        <f>$H113*SUM(P$44:P$47)/$H$44</f>
        <v>496933901.88815117</v>
      </c>
      <c r="T113" s="262">
        <f>$H113*SUM(T$44:T$47)/$H$44</f>
        <v>682277499.35235476</v>
      </c>
      <c r="U113" s="259"/>
      <c r="V113" s="5515">
        <f>$H113*SUM(V$44:V$47)/$H$44</f>
        <v>598868586.2732259</v>
      </c>
      <c r="W113" s="5013"/>
      <c r="X113" s="262">
        <f>$H113*SUM(X$44:X$47)/$H$44</f>
        <v>682277499.35235476</v>
      </c>
      <c r="Y113" s="5515">
        <f>$H113*SUM(Y$44:Y$47)/$H$44</f>
        <v>598868586.2732259</v>
      </c>
      <c r="AC113" s="262">
        <f>$H113*SUM(AC$44:AC$47)/$H$44</f>
        <v>1112976001.094568</v>
      </c>
      <c r="AD113" s="259"/>
      <c r="AE113" s="5515">
        <f>$H113*SUM(AE$44:AE$47)/$H$44</f>
        <v>742703072.11846209</v>
      </c>
      <c r="AF113" s="5516"/>
      <c r="AG113" s="26" t="s">
        <v>6203</v>
      </c>
      <c r="AH113" s="262">
        <f>$H113*SUM(AH$44:AH$47)/$H$44</f>
        <v>1.0407472167037564</v>
      </c>
      <c r="AI113" s="259"/>
      <c r="AJ113" s="5515">
        <f>$H113*SUM(AJ$44:AJ$47)/$H$44</f>
        <v>0.72609033382801991</v>
      </c>
      <c r="AK113" s="5516"/>
      <c r="AL113" s="26" t="s">
        <v>6203</v>
      </c>
      <c r="AN113" s="262"/>
      <c r="AO113" s="259"/>
      <c r="AP113" s="5515"/>
      <c r="AQ113" s="5516"/>
      <c r="AR113" s="26"/>
      <c r="AT113" s="262"/>
      <c r="AU113" s="259"/>
      <c r="AV113" s="5515"/>
      <c r="AW113" s="5516"/>
      <c r="AX113" s="26"/>
    </row>
    <row r="114" spans="1:50" x14ac:dyDescent="0.35">
      <c r="A114" s="9168"/>
      <c r="B114" s="240"/>
      <c r="C114" s="240" t="s">
        <v>6204</v>
      </c>
      <c r="D114" s="197">
        <v>4</v>
      </c>
      <c r="F114" s="155"/>
      <c r="G114" s="4852"/>
      <c r="H114" s="262">
        <f>I114</f>
        <v>68458822</v>
      </c>
      <c r="I114" s="5206">
        <v>68458822</v>
      </c>
      <c r="J114" s="835">
        <f t="shared" si="1"/>
        <v>1</v>
      </c>
      <c r="K114" s="4852"/>
      <c r="L114" s="262">
        <f>$H114*L$44/$H$44</f>
        <v>59108458.511212438</v>
      </c>
      <c r="M114" s="5515">
        <f>$H114*M$44/$H$44</f>
        <v>43881826.34781035</v>
      </c>
      <c r="O114" s="262">
        <f>$H114*SUM(O$44:O$47)/$H$44</f>
        <v>58799428.556436643</v>
      </c>
      <c r="P114" s="5515">
        <f>$H114*SUM(P$44:P$47)/$H$44</f>
        <v>42023801.545985572</v>
      </c>
      <c r="T114" s="262">
        <f>$H114*SUM(T$44:T$47)/$H$44</f>
        <v>57697601.478049405</v>
      </c>
      <c r="U114" s="259"/>
      <c r="V114" s="5515">
        <f>$H114*SUM(V$44:V$47)/$H$44</f>
        <v>50644028.362821288</v>
      </c>
      <c r="W114" s="5013"/>
      <c r="X114" s="262">
        <f>$H114*SUM(X$44:X$47)/$H$44</f>
        <v>57697601.478049405</v>
      </c>
      <c r="Y114" s="5515">
        <f>$H114*SUM(Y$44:Y$47)/$H$44</f>
        <v>50644028.362821288</v>
      </c>
      <c r="AC114" s="262">
        <f>$H114*SUM(AC$44:AC$47)/$H$44</f>
        <v>94120128.286135674</v>
      </c>
      <c r="AD114" s="259"/>
      <c r="AE114" s="5515">
        <f>$H114*SUM(AE$44:AE$47)/$H$44</f>
        <v>62807561.310890429</v>
      </c>
      <c r="AF114" s="5516"/>
      <c r="AG114" s="26" t="s">
        <v>6205</v>
      </c>
      <c r="AH114" s="262">
        <f>$H114*SUM(AH$44:AH$47)/$H$44</f>
        <v>8.8012015940380606E-2</v>
      </c>
      <c r="AI114" s="259"/>
      <c r="AJ114" s="5515">
        <f>$H114*SUM(AJ$44:AJ$47)/$H$44</f>
        <v>6.1402685502658538E-2</v>
      </c>
      <c r="AK114" s="5516"/>
      <c r="AL114" s="26" t="s">
        <v>6205</v>
      </c>
      <c r="AN114" s="262"/>
      <c r="AO114" s="259"/>
      <c r="AP114" s="5515"/>
      <c r="AQ114" s="5516"/>
      <c r="AR114" s="26"/>
      <c r="AT114" s="262"/>
      <c r="AU114" s="259"/>
      <c r="AV114" s="5515"/>
      <c r="AW114" s="5516"/>
      <c r="AX114" s="26"/>
    </row>
    <row r="115" spans="1:50" x14ac:dyDescent="0.35">
      <c r="A115" s="9168"/>
      <c r="B115" s="240"/>
      <c r="C115" s="240" t="s">
        <v>533</v>
      </c>
      <c r="D115" s="197"/>
      <c r="F115" s="155"/>
      <c r="H115" s="117"/>
      <c r="I115" s="3265"/>
      <c r="J115" s="476">
        <f t="shared" si="1"/>
        <v>0</v>
      </c>
      <c r="L115" s="117"/>
      <c r="M115" s="611"/>
      <c r="O115" s="117"/>
      <c r="P115" s="611"/>
      <c r="T115" s="117"/>
      <c r="U115" s="106"/>
      <c r="V115" s="611"/>
      <c r="W115" s="5013"/>
      <c r="X115" s="117"/>
      <c r="Y115" s="611"/>
      <c r="AC115" s="117"/>
      <c r="AD115" s="106"/>
      <c r="AE115" s="611"/>
      <c r="AF115" s="157"/>
      <c r="AG115" s="26"/>
      <c r="AH115" s="117"/>
      <c r="AI115" s="106"/>
      <c r="AJ115" s="611"/>
      <c r="AK115" s="157"/>
      <c r="AL115" s="26"/>
      <c r="AN115" s="117"/>
      <c r="AO115" s="106"/>
      <c r="AP115" s="611"/>
      <c r="AQ115" s="157"/>
      <c r="AR115" s="26"/>
      <c r="AT115" s="117"/>
      <c r="AU115" s="106"/>
      <c r="AV115" s="611"/>
      <c r="AW115" s="157"/>
      <c r="AX115" s="26"/>
    </row>
    <row r="116" spans="1:50" x14ac:dyDescent="0.35">
      <c r="A116" s="9168"/>
      <c r="B116" s="240"/>
      <c r="C116" s="240" t="s">
        <v>534</v>
      </c>
      <c r="D116" s="197"/>
      <c r="F116" s="155"/>
      <c r="H116" s="117"/>
      <c r="I116" s="3265"/>
      <c r="J116" s="476">
        <f t="shared" si="1"/>
        <v>0</v>
      </c>
      <c r="L116" s="117"/>
      <c r="M116" s="611"/>
      <c r="O116" s="117"/>
      <c r="P116" s="611"/>
      <c r="T116" s="117"/>
      <c r="U116" s="106"/>
      <c r="V116" s="611"/>
      <c r="W116" s="5013"/>
      <c r="X116" s="117"/>
      <c r="Y116" s="611"/>
      <c r="AC116" s="117"/>
      <c r="AD116" s="106"/>
      <c r="AE116" s="611"/>
      <c r="AF116" s="157"/>
      <c r="AG116" s="26"/>
      <c r="AH116" s="117"/>
      <c r="AI116" s="106"/>
      <c r="AJ116" s="611"/>
      <c r="AK116" s="157"/>
      <c r="AL116" s="26"/>
      <c r="AN116" s="117"/>
      <c r="AO116" s="106"/>
      <c r="AP116" s="611"/>
      <c r="AQ116" s="157"/>
      <c r="AR116" s="26"/>
      <c r="AT116" s="117"/>
      <c r="AU116" s="106"/>
      <c r="AV116" s="611"/>
      <c r="AW116" s="157"/>
      <c r="AX116" s="26"/>
    </row>
    <row r="117" spans="1:50" x14ac:dyDescent="0.35">
      <c r="A117" s="9168"/>
      <c r="B117" s="240"/>
      <c r="C117" s="240" t="s">
        <v>536</v>
      </c>
      <c r="D117" s="197"/>
      <c r="F117" s="155"/>
      <c r="H117" s="117"/>
      <c r="I117" s="3265"/>
      <c r="J117" s="476">
        <f t="shared" si="1"/>
        <v>0</v>
      </c>
      <c r="L117" s="117"/>
      <c r="M117" s="611"/>
      <c r="O117" s="117"/>
      <c r="P117" s="611"/>
      <c r="T117" s="117"/>
      <c r="U117" s="106"/>
      <c r="V117" s="611"/>
      <c r="W117" s="5013"/>
      <c r="X117" s="117"/>
      <c r="Y117" s="611"/>
      <c r="AC117" s="117"/>
      <c r="AD117" s="106"/>
      <c r="AE117" s="611"/>
      <c r="AF117" s="157"/>
      <c r="AG117" s="26"/>
      <c r="AH117" s="117"/>
      <c r="AI117" s="106"/>
      <c r="AJ117" s="611"/>
      <c r="AK117" s="157"/>
      <c r="AL117" s="26"/>
      <c r="AN117" s="117"/>
      <c r="AO117" s="106"/>
      <c r="AP117" s="611"/>
      <c r="AQ117" s="157"/>
      <c r="AR117" s="26"/>
      <c r="AT117" s="117"/>
      <c r="AU117" s="106"/>
      <c r="AV117" s="611"/>
      <c r="AW117" s="157"/>
      <c r="AX117" s="26"/>
    </row>
    <row r="118" spans="1:50" x14ac:dyDescent="0.35">
      <c r="A118" s="9168"/>
      <c r="B118" s="240"/>
      <c r="C118" s="240" t="s">
        <v>537</v>
      </c>
      <c r="D118" s="197"/>
      <c r="F118" s="3966"/>
      <c r="H118" s="117"/>
      <c r="I118" s="5206"/>
      <c r="J118" s="476">
        <f t="shared" si="1"/>
        <v>0</v>
      </c>
      <c r="L118" s="117"/>
      <c r="M118" s="611"/>
      <c r="O118" s="117"/>
      <c r="P118" s="611"/>
      <c r="T118" s="117"/>
      <c r="U118" s="106"/>
      <c r="V118" s="611"/>
      <c r="W118" s="5013"/>
      <c r="X118" s="117"/>
      <c r="Y118" s="611"/>
      <c r="AC118" s="117"/>
      <c r="AD118" s="106"/>
      <c r="AE118" s="611"/>
      <c r="AF118" s="157"/>
      <c r="AG118" s="26"/>
      <c r="AH118" s="117"/>
      <c r="AI118" s="106"/>
      <c r="AJ118" s="611"/>
      <c r="AK118" s="157"/>
      <c r="AL118" s="26"/>
      <c r="AN118" s="117"/>
      <c r="AO118" s="106"/>
      <c r="AP118" s="611"/>
      <c r="AQ118" s="157"/>
      <c r="AR118" s="26"/>
      <c r="AT118" s="117"/>
      <c r="AU118" s="106"/>
      <c r="AV118" s="611"/>
      <c r="AW118" s="157"/>
      <c r="AX118" s="26"/>
    </row>
    <row r="119" spans="1:50" x14ac:dyDescent="0.35">
      <c r="A119" s="9168"/>
      <c r="B119" s="240"/>
      <c r="C119" s="240" t="s">
        <v>538</v>
      </c>
      <c r="D119" s="197"/>
      <c r="F119" s="3966"/>
      <c r="H119" s="117"/>
      <c r="I119" s="5206"/>
      <c r="J119" s="476">
        <f t="shared" si="1"/>
        <v>0</v>
      </c>
      <c r="L119" s="117"/>
      <c r="M119" s="611"/>
      <c r="O119" s="117"/>
      <c r="P119" s="611"/>
      <c r="T119" s="117"/>
      <c r="U119" s="106"/>
      <c r="V119" s="611"/>
      <c r="W119" s="5013"/>
      <c r="X119" s="117"/>
      <c r="Y119" s="611"/>
      <c r="AC119" s="117"/>
      <c r="AD119" s="106"/>
      <c r="AE119" s="611"/>
      <c r="AF119" s="157"/>
      <c r="AG119" s="26"/>
      <c r="AH119" s="117"/>
      <c r="AI119" s="106"/>
      <c r="AJ119" s="611"/>
      <c r="AK119" s="157"/>
      <c r="AL119" s="26"/>
      <c r="AN119" s="117"/>
      <c r="AO119" s="106"/>
      <c r="AP119" s="611"/>
      <c r="AQ119" s="157"/>
      <c r="AR119" s="26"/>
      <c r="AT119" s="117"/>
      <c r="AU119" s="106"/>
      <c r="AV119" s="611"/>
      <c r="AW119" s="157"/>
      <c r="AX119" s="26"/>
    </row>
    <row r="120" spans="1:50" x14ac:dyDescent="0.35">
      <c r="A120" s="9168"/>
      <c r="B120" s="240"/>
      <c r="C120" s="240" t="s">
        <v>539</v>
      </c>
      <c r="D120" s="197"/>
      <c r="F120" s="3966"/>
      <c r="H120" s="117"/>
      <c r="I120" s="5206"/>
      <c r="J120" s="476">
        <f t="shared" si="1"/>
        <v>0</v>
      </c>
      <c r="L120" s="117"/>
      <c r="M120" s="611"/>
      <c r="O120" s="117"/>
      <c r="P120" s="611"/>
      <c r="T120" s="117"/>
      <c r="U120" s="106"/>
      <c r="V120" s="611"/>
      <c r="W120" s="5013"/>
      <c r="X120" s="117"/>
      <c r="Y120" s="611"/>
      <c r="AC120" s="117"/>
      <c r="AD120" s="106"/>
      <c r="AE120" s="611"/>
      <c r="AF120" s="157"/>
      <c r="AG120" s="26"/>
      <c r="AH120" s="117"/>
      <c r="AI120" s="106"/>
      <c r="AJ120" s="611"/>
      <c r="AK120" s="157"/>
      <c r="AL120" s="26"/>
      <c r="AN120" s="117"/>
      <c r="AO120" s="106"/>
      <c r="AP120" s="611"/>
      <c r="AQ120" s="157"/>
      <c r="AR120" s="26"/>
      <c r="AT120" s="117"/>
      <c r="AU120" s="106"/>
      <c r="AV120" s="611"/>
      <c r="AW120" s="157"/>
      <c r="AX120" s="26"/>
    </row>
    <row r="121" spans="1:50" x14ac:dyDescent="0.35">
      <c r="A121" s="9168"/>
      <c r="B121" s="240"/>
      <c r="C121" s="240" t="s">
        <v>704</v>
      </c>
      <c r="D121" s="197"/>
      <c r="F121" s="3966"/>
      <c r="H121" s="117"/>
      <c r="I121" s="5206"/>
      <c r="J121" s="476">
        <f t="shared" si="1"/>
        <v>0</v>
      </c>
      <c r="L121" s="117"/>
      <c r="M121" s="611"/>
      <c r="O121" s="117"/>
      <c r="P121" s="611"/>
      <c r="T121" s="117"/>
      <c r="U121" s="106"/>
      <c r="V121" s="611"/>
      <c r="W121" s="5013"/>
      <c r="X121" s="117"/>
      <c r="Y121" s="611"/>
      <c r="AC121" s="117"/>
      <c r="AD121" s="106"/>
      <c r="AE121" s="611"/>
      <c r="AF121" s="157"/>
      <c r="AG121" s="26"/>
      <c r="AH121" s="117"/>
      <c r="AI121" s="106"/>
      <c r="AJ121" s="611"/>
      <c r="AK121" s="157"/>
      <c r="AL121" s="26"/>
      <c r="AN121" s="117"/>
      <c r="AO121" s="106"/>
      <c r="AP121" s="611"/>
      <c r="AQ121" s="157"/>
      <c r="AR121" s="26"/>
      <c r="AT121" s="117"/>
      <c r="AU121" s="106"/>
      <c r="AV121" s="611"/>
      <c r="AW121" s="157"/>
      <c r="AX121" s="26"/>
    </row>
    <row r="122" spans="1:50" x14ac:dyDescent="0.35">
      <c r="A122" s="9168"/>
      <c r="B122" s="240"/>
      <c r="C122" s="240" t="s">
        <v>6206</v>
      </c>
      <c r="D122" s="197"/>
      <c r="F122" s="3966"/>
      <c r="H122" s="5517"/>
      <c r="I122" s="5518"/>
      <c r="J122" s="476">
        <f t="shared" si="1"/>
        <v>0</v>
      </c>
      <c r="L122" s="117"/>
      <c r="M122" s="611"/>
      <c r="O122" s="117"/>
      <c r="P122" s="611"/>
      <c r="T122" s="117"/>
      <c r="U122" s="106"/>
      <c r="V122" s="611"/>
      <c r="W122" s="5013"/>
      <c r="X122" s="5517"/>
      <c r="Y122" s="5519"/>
      <c r="AC122" s="5517"/>
      <c r="AD122" s="106"/>
      <c r="AE122" s="5519"/>
      <c r="AF122" s="157"/>
      <c r="AG122" s="26"/>
      <c r="AH122" s="5517"/>
      <c r="AI122" s="106"/>
      <c r="AJ122" s="5519"/>
      <c r="AK122" s="157"/>
      <c r="AL122" s="26"/>
      <c r="AN122" s="5517"/>
      <c r="AO122" s="106"/>
      <c r="AP122" s="5519"/>
      <c r="AQ122" s="157"/>
      <c r="AR122" s="26"/>
      <c r="AT122" s="5517"/>
      <c r="AU122" s="106"/>
      <c r="AV122" s="5519"/>
      <c r="AW122" s="157"/>
      <c r="AX122" s="26"/>
    </row>
    <row r="123" spans="1:50" x14ac:dyDescent="0.35">
      <c r="A123" s="9168"/>
      <c r="B123" s="241"/>
      <c r="C123" s="240" t="s">
        <v>6207</v>
      </c>
      <c r="D123" s="209"/>
      <c r="F123" s="3966"/>
      <c r="H123" s="131"/>
      <c r="I123" s="5520"/>
      <c r="J123" s="484">
        <f t="shared" si="1"/>
        <v>0</v>
      </c>
      <c r="L123" s="242"/>
      <c r="M123" s="611"/>
      <c r="O123" s="242"/>
      <c r="P123" s="611"/>
      <c r="T123" s="242"/>
      <c r="U123" s="106"/>
      <c r="V123" s="611"/>
      <c r="W123" s="5013"/>
      <c r="X123" s="242"/>
      <c r="Y123" s="611"/>
      <c r="AC123" s="242"/>
      <c r="AD123" s="106"/>
      <c r="AE123" s="611"/>
      <c r="AF123" s="157"/>
      <c r="AG123" s="26"/>
      <c r="AH123" s="242"/>
      <c r="AI123" s="106"/>
      <c r="AJ123" s="611"/>
      <c r="AK123" s="157"/>
      <c r="AL123" s="26"/>
      <c r="AN123" s="242"/>
      <c r="AO123" s="106"/>
      <c r="AP123" s="611"/>
      <c r="AQ123" s="157"/>
      <c r="AR123" s="26"/>
      <c r="AT123" s="242"/>
      <c r="AU123" s="106"/>
      <c r="AV123" s="611"/>
      <c r="AW123" s="157"/>
      <c r="AX123" s="26"/>
    </row>
    <row r="124" spans="1:50" x14ac:dyDescent="0.35">
      <c r="A124" s="9168"/>
      <c r="B124" s="271" t="s">
        <v>540</v>
      </c>
      <c r="C124" s="271"/>
      <c r="D124" s="184"/>
      <c r="E124" s="141"/>
      <c r="F124" s="4078"/>
      <c r="G124" s="141"/>
      <c r="H124" s="4078"/>
      <c r="I124" s="4078"/>
      <c r="J124" s="869"/>
      <c r="K124" s="141"/>
      <c r="L124" s="4079"/>
      <c r="M124" s="268"/>
      <c r="N124" s="141"/>
      <c r="O124" s="4079"/>
      <c r="P124" s="268"/>
      <c r="Q124" s="141"/>
      <c r="R124" s="141"/>
      <c r="S124" s="141"/>
      <c r="T124" s="4079"/>
      <c r="U124" s="7559"/>
      <c r="V124" s="268"/>
      <c r="W124" s="5013"/>
      <c r="X124" s="4079"/>
      <c r="Y124" s="268"/>
      <c r="Z124" s="141"/>
      <c r="AA124" s="141"/>
      <c r="AB124" s="141"/>
      <c r="AC124" s="4079"/>
      <c r="AD124" s="7559"/>
      <c r="AE124" s="268"/>
      <c r="AF124" s="247"/>
      <c r="AG124" s="18"/>
      <c r="AH124" s="4079"/>
      <c r="AI124" s="7559" t="s">
        <v>6208</v>
      </c>
      <c r="AJ124" s="268"/>
      <c r="AK124" s="247"/>
      <c r="AL124" s="18"/>
      <c r="AN124" s="7558" t="s">
        <v>6209</v>
      </c>
      <c r="AO124" s="7559"/>
      <c r="AP124" s="268"/>
      <c r="AQ124" s="247"/>
      <c r="AR124" s="18"/>
      <c r="AT124" s="7558"/>
      <c r="AU124" s="8841" t="s">
        <v>6157</v>
      </c>
      <c r="AV124" s="268"/>
      <c r="AW124" s="247"/>
      <c r="AX124" s="18"/>
    </row>
    <row r="125" spans="1:50" x14ac:dyDescent="0.35">
      <c r="A125" s="9168"/>
      <c r="B125" s="8869" t="s">
        <v>6158</v>
      </c>
      <c r="C125" s="240" t="s">
        <v>6159</v>
      </c>
      <c r="D125" s="197"/>
      <c r="E125" s="141"/>
      <c r="F125" s="8870"/>
      <c r="G125" s="141"/>
      <c r="H125" s="8871"/>
      <c r="I125" s="8872"/>
      <c r="J125" s="476"/>
      <c r="K125" s="141"/>
      <c r="L125" s="8871"/>
      <c r="M125" s="247"/>
      <c r="N125" s="141"/>
      <c r="O125" s="8871"/>
      <c r="P125" s="247"/>
      <c r="Q125" s="141"/>
      <c r="R125" s="141"/>
      <c r="S125" s="141"/>
      <c r="T125" s="8871"/>
      <c r="U125" s="8844"/>
      <c r="V125" s="247"/>
      <c r="W125" s="5013"/>
      <c r="X125" s="8871"/>
      <c r="Y125" s="247"/>
      <c r="Z125" s="141"/>
      <c r="AA125" s="141"/>
      <c r="AB125" s="141"/>
      <c r="AC125" s="8871"/>
      <c r="AD125" s="8844"/>
      <c r="AE125" s="247"/>
      <c r="AF125" s="247"/>
      <c r="AG125" s="26"/>
      <c r="AH125" s="8871"/>
      <c r="AI125" s="8844"/>
      <c r="AJ125" s="247"/>
      <c r="AK125" s="247"/>
      <c r="AL125" s="26"/>
      <c r="AN125" s="8873"/>
      <c r="AO125" s="8844"/>
      <c r="AP125" s="247"/>
      <c r="AQ125" s="247"/>
      <c r="AR125" s="26"/>
      <c r="AT125" s="2755">
        <v>1810.7670000000001</v>
      </c>
      <c r="AU125" s="8842"/>
      <c r="AV125" s="8843">
        <v>1842.2550000000001</v>
      </c>
      <c r="AW125" s="3698">
        <f>AV125/AT125</f>
        <v>1.0173893162400243</v>
      </c>
      <c r="AX125" s="26"/>
    </row>
    <row r="126" spans="1:50" x14ac:dyDescent="0.35">
      <c r="A126" s="9168"/>
      <c r="B126" s="240"/>
      <c r="C126" s="240"/>
      <c r="D126" s="197"/>
      <c r="E126" s="141"/>
      <c r="F126" s="8870"/>
      <c r="G126" s="141"/>
      <c r="H126" s="8871"/>
      <c r="I126" s="8872"/>
      <c r="J126" s="476"/>
      <c r="K126" s="141"/>
      <c r="L126" s="8871"/>
      <c r="M126" s="247"/>
      <c r="N126" s="141"/>
      <c r="O126" s="8871"/>
      <c r="P126" s="247"/>
      <c r="Q126" s="141"/>
      <c r="R126" s="141"/>
      <c r="S126" s="141"/>
      <c r="T126" s="8871"/>
      <c r="U126" s="8844"/>
      <c r="V126" s="247"/>
      <c r="W126" s="5013"/>
      <c r="X126" s="8871"/>
      <c r="Y126" s="247"/>
      <c r="Z126" s="141"/>
      <c r="AA126" s="141"/>
      <c r="AB126" s="141"/>
      <c r="AC126" s="8871"/>
      <c r="AD126" s="8844"/>
      <c r="AE126" s="247"/>
      <c r="AF126" s="247"/>
      <c r="AG126" s="26"/>
      <c r="AH126" s="8871"/>
      <c r="AI126" s="8844"/>
      <c r="AJ126" s="247"/>
      <c r="AK126" s="247"/>
      <c r="AL126" s="26"/>
      <c r="AN126" s="8873"/>
      <c r="AO126" s="8844"/>
      <c r="AP126" s="247"/>
      <c r="AQ126" s="247"/>
      <c r="AR126" s="26"/>
      <c r="AT126" s="5365"/>
      <c r="AU126" s="8844"/>
      <c r="AV126" s="7855"/>
      <c r="AW126" s="247"/>
      <c r="AX126" s="26"/>
    </row>
    <row r="127" spans="1:50" x14ac:dyDescent="0.35">
      <c r="A127" s="9168"/>
      <c r="B127" s="240"/>
      <c r="C127" s="240" t="s">
        <v>6162</v>
      </c>
      <c r="D127" s="197"/>
      <c r="F127" s="111">
        <v>13270000000</v>
      </c>
      <c r="H127" s="112">
        <v>10007000000</v>
      </c>
      <c r="I127" s="611">
        <v>10650000000</v>
      </c>
      <c r="J127" s="476">
        <f>IF(H127=0,0,I127/H127)</f>
        <v>1.0642550214849604</v>
      </c>
      <c r="L127" s="112">
        <v>10007000000</v>
      </c>
      <c r="M127" s="611">
        <v>11628000000</v>
      </c>
      <c r="O127" s="112">
        <v>10007000000</v>
      </c>
      <c r="P127" s="611">
        <v>11628000000</v>
      </c>
      <c r="Q127" s="1" t="s">
        <v>6163</v>
      </c>
      <c r="T127" s="112">
        <f>11.218*1000000000</f>
        <v>11218000000</v>
      </c>
      <c r="U127" s="57" t="s">
        <v>6210</v>
      </c>
      <c r="V127" s="611">
        <f>11.816*1000000000</f>
        <v>11816000000</v>
      </c>
      <c r="W127" s="5013"/>
      <c r="X127" s="3164">
        <v>11218000000</v>
      </c>
      <c r="Y127" s="5482">
        <v>11816000000</v>
      </c>
      <c r="AC127" s="3164">
        <v>12824000000</v>
      </c>
      <c r="AD127" s="5509"/>
      <c r="AE127" s="5482">
        <v>12358000000</v>
      </c>
      <c r="AF127" s="157"/>
      <c r="AG127" s="26"/>
      <c r="AH127" s="3164">
        <v>12.993</v>
      </c>
      <c r="AI127" s="5509"/>
      <c r="AJ127" s="5482">
        <v>12.9</v>
      </c>
      <c r="AK127" s="157"/>
      <c r="AL127" s="26"/>
      <c r="AN127" s="3164">
        <v>14.194000000000001</v>
      </c>
      <c r="AO127" s="5509"/>
      <c r="AP127" s="5482">
        <v>15.429</v>
      </c>
      <c r="AQ127" s="157"/>
      <c r="AR127" s="26"/>
      <c r="AT127" s="3166"/>
      <c r="AU127" s="5509"/>
      <c r="AV127" s="5482"/>
      <c r="AW127" s="157"/>
      <c r="AX127" s="26"/>
    </row>
    <row r="128" spans="1:50" x14ac:dyDescent="0.35">
      <c r="A128" s="9168"/>
      <c r="B128" s="240"/>
      <c r="C128" s="4067" t="s">
        <v>6165</v>
      </c>
      <c r="D128" s="197"/>
      <c r="F128" s="155">
        <v>426300000</v>
      </c>
      <c r="H128" s="117">
        <v>6908000000</v>
      </c>
      <c r="I128" s="611">
        <v>7167000000</v>
      </c>
      <c r="J128" s="476">
        <f>IF(H128=0,0,I128/H128)</f>
        <v>1.0374927620150549</v>
      </c>
      <c r="L128" s="117">
        <v>8899000000</v>
      </c>
      <c r="M128" s="611">
        <v>8842000000</v>
      </c>
      <c r="O128" s="117">
        <v>8899000000</v>
      </c>
      <c r="P128" s="611">
        <v>8842000000</v>
      </c>
      <c r="Q128" s="70" t="s">
        <v>6166</v>
      </c>
      <c r="T128" s="117">
        <f>12.151*1000000000</f>
        <v>12151000000</v>
      </c>
      <c r="U128" s="57" t="s">
        <v>6211</v>
      </c>
      <c r="V128" s="611">
        <f>11.167*1000000000</f>
        <v>11167000000</v>
      </c>
      <c r="W128" s="5013"/>
      <c r="X128" s="5365">
        <v>12151000000</v>
      </c>
      <c r="Y128" s="5482">
        <v>11167000000</v>
      </c>
      <c r="Z128" s="70"/>
      <c r="AC128" s="5365">
        <v>17332000000</v>
      </c>
      <c r="AD128" s="57"/>
      <c r="AE128" s="5482">
        <v>15824000000</v>
      </c>
      <c r="AF128" s="157"/>
      <c r="AG128" s="26"/>
      <c r="AH128" s="5365">
        <v>18.381</v>
      </c>
      <c r="AI128" s="57"/>
      <c r="AJ128" s="5482">
        <v>21.603000000000002</v>
      </c>
      <c r="AK128" s="157"/>
      <c r="AL128" s="26"/>
      <c r="AN128" s="5365">
        <v>21.77</v>
      </c>
      <c r="AO128" s="57"/>
      <c r="AP128" s="5482">
        <v>23.109000000000002</v>
      </c>
      <c r="AQ128" s="157"/>
      <c r="AR128" s="26"/>
      <c r="AT128" s="5365"/>
      <c r="AU128" s="57"/>
      <c r="AV128" s="5482"/>
      <c r="AW128" s="157"/>
      <c r="AX128" s="26"/>
    </row>
    <row r="129" spans="1:50" x14ac:dyDescent="0.35">
      <c r="A129" s="9168"/>
      <c r="B129" s="240"/>
      <c r="C129" s="4067" t="s">
        <v>6168</v>
      </c>
      <c r="D129" s="197"/>
      <c r="F129" s="163"/>
      <c r="H129" s="242">
        <v>18711000000</v>
      </c>
      <c r="I129" s="611">
        <v>187000000</v>
      </c>
      <c r="J129" s="476">
        <f>IF(H129=0,0,I129/H129)</f>
        <v>9.9941211052322169E-3</v>
      </c>
      <c r="L129" s="242">
        <v>24820000000</v>
      </c>
      <c r="M129" s="611">
        <v>24820000000</v>
      </c>
      <c r="O129" s="242">
        <v>24820000000</v>
      </c>
      <c r="P129" s="611">
        <v>24766000000</v>
      </c>
      <c r="Q129" s="70" t="s">
        <v>6169</v>
      </c>
      <c r="T129" s="242">
        <f>24.82*1000000000</f>
        <v>24820000000</v>
      </c>
      <c r="U129" s="57" t="s">
        <v>6170</v>
      </c>
      <c r="V129" s="611">
        <f>25.96*1000000000</f>
        <v>25960000000</v>
      </c>
      <c r="W129" s="5013"/>
      <c r="X129" s="3166">
        <v>24820000000</v>
      </c>
      <c r="Y129" s="5482">
        <v>25960000000</v>
      </c>
      <c r="Z129" s="70"/>
      <c r="AC129" s="3166">
        <v>24820000000</v>
      </c>
      <c r="AD129" s="57"/>
      <c r="AE129" s="5482">
        <v>24798000000</v>
      </c>
      <c r="AF129" s="157"/>
      <c r="AG129" s="26"/>
      <c r="AH129" s="3166">
        <v>26.093</v>
      </c>
      <c r="AI129" s="57"/>
      <c r="AJ129" s="5482">
        <v>26.079000000000001</v>
      </c>
      <c r="AK129" s="157"/>
      <c r="AL129" s="26"/>
      <c r="AN129" s="3166">
        <v>31.911000000000001</v>
      </c>
      <c r="AO129" s="57"/>
      <c r="AP129" s="5482">
        <v>31.908000000000001</v>
      </c>
      <c r="AQ129" s="157"/>
      <c r="AR129" s="26"/>
      <c r="AT129" s="3166"/>
      <c r="AU129" s="57"/>
      <c r="AV129" s="5482"/>
      <c r="AW129" s="157"/>
      <c r="AX129" s="26"/>
    </row>
    <row r="130" spans="1:50" x14ac:dyDescent="0.35">
      <c r="A130" s="9168"/>
      <c r="B130" s="240"/>
      <c r="C130" s="4067" t="s">
        <v>6171</v>
      </c>
      <c r="D130" s="197"/>
      <c r="F130" s="163"/>
      <c r="H130" s="242"/>
      <c r="I130" s="611"/>
      <c r="J130" s="476">
        <f>IF(H130=0,0,I130/H130)</f>
        <v>0</v>
      </c>
      <c r="L130" s="242">
        <v>1650000000</v>
      </c>
      <c r="M130" s="611">
        <v>1650000000</v>
      </c>
      <c r="O130" s="242">
        <v>1650000000</v>
      </c>
      <c r="P130" s="611">
        <v>1650000000</v>
      </c>
      <c r="Q130" s="70" t="s">
        <v>6172</v>
      </c>
      <c r="T130" s="242">
        <f>2.643*1000000000</f>
        <v>2643000000</v>
      </c>
      <c r="U130" s="57" t="s">
        <v>6173</v>
      </c>
      <c r="V130" s="611">
        <f>2.643*1000000000</f>
        <v>2643000000</v>
      </c>
      <c r="W130" s="5013"/>
      <c r="X130" s="3166">
        <v>2643000000</v>
      </c>
      <c r="Y130" s="5482">
        <v>2643000000</v>
      </c>
      <c r="Z130" s="70"/>
      <c r="AC130" s="3166">
        <v>3530000000</v>
      </c>
      <c r="AD130" s="57"/>
      <c r="AE130" s="5482">
        <v>3810000000</v>
      </c>
      <c r="AF130" s="157"/>
      <c r="AG130" s="26"/>
      <c r="AH130" s="3166">
        <v>4.984</v>
      </c>
      <c r="AI130" s="57"/>
      <c r="AJ130" s="5482">
        <v>5.4690000000000003</v>
      </c>
      <c r="AK130" s="157"/>
      <c r="AL130" s="26"/>
      <c r="AN130" s="3166">
        <v>6.774</v>
      </c>
      <c r="AO130" s="57"/>
      <c r="AP130" s="5482">
        <v>6.8280000000000003</v>
      </c>
      <c r="AQ130" s="157"/>
      <c r="AR130" s="26"/>
      <c r="AT130" s="3166"/>
      <c r="AU130" s="57"/>
      <c r="AV130" s="5482"/>
      <c r="AW130" s="157"/>
      <c r="AX130" s="26"/>
    </row>
    <row r="131" spans="1:50" x14ac:dyDescent="0.35">
      <c r="A131" s="9168"/>
      <c r="B131" s="240"/>
      <c r="C131" s="4067" t="s">
        <v>6174</v>
      </c>
      <c r="D131" s="197"/>
      <c r="F131" s="163"/>
      <c r="H131" s="242"/>
      <c r="I131" s="611"/>
      <c r="J131" s="476"/>
      <c r="L131" s="242"/>
      <c r="M131" s="611"/>
      <c r="O131" s="242"/>
      <c r="P131" s="611"/>
      <c r="T131" s="242">
        <v>3450000000</v>
      </c>
      <c r="U131" s="57" t="s">
        <v>6175</v>
      </c>
      <c r="V131" s="611">
        <v>3450000000</v>
      </c>
      <c r="W131" s="5013"/>
      <c r="X131" s="3166">
        <v>3450000000</v>
      </c>
      <c r="Y131" s="5482">
        <v>3450000000</v>
      </c>
      <c r="AC131" s="3166">
        <v>3950000000</v>
      </c>
      <c r="AD131" s="57"/>
      <c r="AE131" s="5482">
        <v>3950000000</v>
      </c>
      <c r="AF131" s="157"/>
      <c r="AG131" s="26"/>
      <c r="AH131" s="3166">
        <v>3.95</v>
      </c>
      <c r="AI131" s="57"/>
      <c r="AJ131" s="5482">
        <v>3.95</v>
      </c>
      <c r="AK131" s="157"/>
      <c r="AL131" s="26"/>
      <c r="AN131" s="3166">
        <v>3.95</v>
      </c>
      <c r="AO131" s="57"/>
      <c r="AP131" s="5482">
        <v>3.95</v>
      </c>
      <c r="AQ131" s="157"/>
      <c r="AR131" s="26"/>
      <c r="AT131" s="3166"/>
      <c r="AU131" s="57"/>
      <c r="AV131" s="5482"/>
      <c r="AW131" s="157"/>
      <c r="AX131" s="26"/>
    </row>
    <row r="132" spans="1:50" x14ac:dyDescent="0.35">
      <c r="A132" s="9168"/>
      <c r="B132" s="240"/>
      <c r="C132" s="4067" t="s">
        <v>6176</v>
      </c>
      <c r="D132" s="197"/>
      <c r="F132" s="163">
        <v>742000000</v>
      </c>
      <c r="H132" s="242">
        <v>1068000000</v>
      </c>
      <c r="I132" s="611">
        <v>923000000</v>
      </c>
      <c r="J132" s="476">
        <f t="shared" ref="J132:J138" si="2">IF(H132=0,0,I132/H132)</f>
        <v>0.86423220973782766</v>
      </c>
      <c r="L132" s="242">
        <v>1068000000</v>
      </c>
      <c r="M132" s="611">
        <v>1068000000</v>
      </c>
      <c r="O132" s="242">
        <v>1068000000</v>
      </c>
      <c r="P132" s="611">
        <v>1066000000</v>
      </c>
      <c r="Q132" s="70" t="s">
        <v>6177</v>
      </c>
      <c r="T132" s="242">
        <f>1.268*1000000000</f>
        <v>1268000000</v>
      </c>
      <c r="U132" s="57" t="s">
        <v>6178</v>
      </c>
      <c r="V132" s="611">
        <f>0.973*1000000000</f>
        <v>973000000</v>
      </c>
      <c r="W132" s="5013"/>
      <c r="X132" s="3166">
        <v>1268000000</v>
      </c>
      <c r="Y132" s="5482">
        <v>973000000</v>
      </c>
      <c r="Z132" s="70"/>
      <c r="AC132" s="3166">
        <v>1256000000</v>
      </c>
      <c r="AD132" s="57"/>
      <c r="AE132" s="5482">
        <v>1100000000</v>
      </c>
      <c r="AF132" s="157"/>
      <c r="AG132" s="26"/>
      <c r="AH132" s="3166">
        <v>1.425</v>
      </c>
      <c r="AI132" s="57"/>
      <c r="AJ132" s="5482">
        <v>1.2490000000000001</v>
      </c>
      <c r="AK132" s="157"/>
      <c r="AL132" s="26"/>
      <c r="AN132" s="3166">
        <v>2.8159999999999998</v>
      </c>
      <c r="AO132" s="57"/>
      <c r="AP132" s="5482">
        <v>1.877</v>
      </c>
      <c r="AQ132" s="157"/>
      <c r="AR132" s="26"/>
      <c r="AT132" s="3166"/>
      <c r="AU132" s="57"/>
      <c r="AV132" s="5482"/>
      <c r="AW132" s="157"/>
      <c r="AX132" s="26"/>
    </row>
    <row r="133" spans="1:50" x14ac:dyDescent="0.35">
      <c r="A133" s="9168"/>
      <c r="B133" s="240"/>
      <c r="C133" s="4067" t="s">
        <v>6179</v>
      </c>
      <c r="D133" s="197"/>
      <c r="F133" s="163">
        <v>31442000000</v>
      </c>
      <c r="H133" s="242">
        <v>44851000000</v>
      </c>
      <c r="I133" s="611">
        <v>44851000000</v>
      </c>
      <c r="J133" s="476">
        <f t="shared" si="2"/>
        <v>1</v>
      </c>
      <c r="L133" s="242">
        <v>49336000000</v>
      </c>
      <c r="M133" s="611">
        <v>49336000000</v>
      </c>
      <c r="O133" s="242">
        <v>49336000000</v>
      </c>
      <c r="P133" s="611">
        <v>49336000000</v>
      </c>
      <c r="Q133" s="70" t="s">
        <v>6180</v>
      </c>
      <c r="T133" s="242">
        <f>72.483*1000000000</f>
        <v>72483000000</v>
      </c>
      <c r="U133" s="57" t="s">
        <v>6181</v>
      </c>
      <c r="V133" s="611">
        <f>72.483*1000000000</f>
        <v>72483000000</v>
      </c>
      <c r="W133" s="5013"/>
      <c r="X133" s="3166">
        <v>72483000000</v>
      </c>
      <c r="Y133" s="5482">
        <v>72483000000</v>
      </c>
      <c r="Z133" s="70"/>
      <c r="AC133" s="3166">
        <v>100077000000</v>
      </c>
      <c r="AD133" s="57"/>
      <c r="AE133" s="5482">
        <v>100655000000</v>
      </c>
      <c r="AF133" s="157"/>
      <c r="AG133" s="26"/>
      <c r="AH133" s="3166">
        <v>116.893</v>
      </c>
      <c r="AI133" s="57"/>
      <c r="AJ133" s="5482">
        <v>121.348</v>
      </c>
      <c r="AK133" s="157"/>
      <c r="AL133" s="26"/>
      <c r="AN133" s="3166">
        <v>134.67500000000001</v>
      </c>
      <c r="AO133" s="57"/>
      <c r="AP133" s="5482">
        <v>146.464</v>
      </c>
      <c r="AQ133" s="157"/>
      <c r="AR133" s="26"/>
      <c r="AT133" s="3166"/>
      <c r="AU133" s="57"/>
      <c r="AV133" s="5482"/>
      <c r="AW133" s="157"/>
      <c r="AX133" s="26"/>
    </row>
    <row r="134" spans="1:50" x14ac:dyDescent="0.35">
      <c r="A134" s="9168"/>
      <c r="B134" s="240"/>
      <c r="C134" s="4067" t="s">
        <v>6182</v>
      </c>
      <c r="D134" s="197"/>
      <c r="F134" s="163">
        <v>5482000000</v>
      </c>
      <c r="H134" s="242">
        <v>8109000000</v>
      </c>
      <c r="I134" s="611">
        <v>8109000000</v>
      </c>
      <c r="J134" s="476">
        <f t="shared" si="2"/>
        <v>1</v>
      </c>
      <c r="L134" s="242">
        <v>13560000000</v>
      </c>
      <c r="M134" s="611">
        <v>13560000000</v>
      </c>
      <c r="O134" s="242">
        <v>13560000000</v>
      </c>
      <c r="P134" s="611">
        <v>13560000000</v>
      </c>
      <c r="Q134" s="70" t="s">
        <v>6183</v>
      </c>
      <c r="T134" s="242">
        <f>17.345*1000000000</f>
        <v>17345000000</v>
      </c>
      <c r="U134" s="57" t="s">
        <v>6184</v>
      </c>
      <c r="V134" s="611">
        <f>17.345*1000000000</f>
        <v>17345000000</v>
      </c>
      <c r="W134" s="5013"/>
      <c r="X134" s="3166">
        <v>17345000000</v>
      </c>
      <c r="Y134" s="5482">
        <v>17345000000</v>
      </c>
      <c r="Z134" s="70"/>
      <c r="AC134" s="3166">
        <v>23929000000</v>
      </c>
      <c r="AD134" s="57"/>
      <c r="AE134" s="5482">
        <v>22105000000</v>
      </c>
      <c r="AF134" s="157"/>
      <c r="AG134" s="26"/>
      <c r="AH134" s="3166">
        <v>25.236999999999998</v>
      </c>
      <c r="AI134" s="57"/>
      <c r="AJ134" s="5482">
        <v>25.234999999999999</v>
      </c>
      <c r="AK134" s="157"/>
      <c r="AL134" s="26"/>
      <c r="AN134" s="3166">
        <v>27.396000000000001</v>
      </c>
      <c r="AO134" s="57"/>
      <c r="AP134" s="5482">
        <v>29.443999999999999</v>
      </c>
      <c r="AQ134" s="157"/>
      <c r="AR134" s="26"/>
      <c r="AT134" s="3166"/>
      <c r="AU134" s="57"/>
      <c r="AV134" s="5482"/>
      <c r="AW134" s="157"/>
      <c r="AX134" s="26"/>
    </row>
    <row r="135" spans="1:50" x14ac:dyDescent="0.35">
      <c r="A135" s="9168"/>
      <c r="B135" s="240"/>
      <c r="C135" s="4067" t="s">
        <v>6185</v>
      </c>
      <c r="D135" s="197"/>
      <c r="F135" s="163">
        <v>2961000000</v>
      </c>
      <c r="H135" s="242">
        <v>3419000000</v>
      </c>
      <c r="I135" s="611">
        <v>3419000000</v>
      </c>
      <c r="J135" s="476">
        <f t="shared" si="2"/>
        <v>1</v>
      </c>
      <c r="L135" s="242">
        <v>3761000000</v>
      </c>
      <c r="M135" s="611">
        <v>3761000000</v>
      </c>
      <c r="O135" s="242">
        <v>3761000000</v>
      </c>
      <c r="P135" s="611">
        <v>3761000000</v>
      </c>
      <c r="Q135" s="70" t="s">
        <v>6186</v>
      </c>
      <c r="T135" s="242">
        <f>11.425*1000000000</f>
        <v>11425000000</v>
      </c>
      <c r="U135" s="57" t="s">
        <v>6187</v>
      </c>
      <c r="V135" s="611">
        <f>11.425*1000000000</f>
        <v>11425000000</v>
      </c>
      <c r="W135" s="5013"/>
      <c r="X135" s="3166">
        <v>11425000000</v>
      </c>
      <c r="Y135" s="5482">
        <v>11425000000</v>
      </c>
      <c r="Z135" s="70"/>
      <c r="AC135" s="3166">
        <v>16264000000</v>
      </c>
      <c r="AD135" s="57"/>
      <c r="AE135" s="5482">
        <v>18212000000</v>
      </c>
      <c r="AF135" s="157"/>
      <c r="AG135" s="26"/>
      <c r="AH135" s="3166">
        <v>22.481000000000002</v>
      </c>
      <c r="AI135" s="57"/>
      <c r="AJ135" s="5482">
        <v>22.478999999999999</v>
      </c>
      <c r="AK135" s="157"/>
      <c r="AL135" s="26"/>
      <c r="AN135" s="3166">
        <v>25.44</v>
      </c>
      <c r="AO135" s="57"/>
      <c r="AP135" s="5482">
        <v>27.832999999999998</v>
      </c>
      <c r="AQ135" s="157"/>
      <c r="AR135" s="26"/>
      <c r="AT135" s="3166"/>
      <c r="AU135" s="57"/>
      <c r="AV135" s="5482"/>
      <c r="AW135" s="157"/>
      <c r="AX135" s="26"/>
    </row>
    <row r="136" spans="1:50" x14ac:dyDescent="0.35">
      <c r="A136" s="9168"/>
      <c r="B136" s="241"/>
      <c r="C136" s="4067" t="s">
        <v>6188</v>
      </c>
      <c r="D136" s="197"/>
      <c r="F136" s="163">
        <v>11653000000</v>
      </c>
      <c r="H136" s="242">
        <v>15037000000</v>
      </c>
      <c r="I136" s="611">
        <v>15037000000</v>
      </c>
      <c r="J136" s="476">
        <f t="shared" si="2"/>
        <v>1</v>
      </c>
      <c r="L136" s="242">
        <v>16540000000</v>
      </c>
      <c r="M136" s="611">
        <v>16540000000</v>
      </c>
      <c r="O136" s="242">
        <v>16540000000</v>
      </c>
      <c r="P136" s="611">
        <v>16540000000</v>
      </c>
      <c r="Q136" s="70" t="s">
        <v>6189</v>
      </c>
      <c r="T136" s="242">
        <f>23.234*1000000000</f>
        <v>23234000000</v>
      </c>
      <c r="U136" s="57" t="s">
        <v>6190</v>
      </c>
      <c r="V136" s="611">
        <f>23.234*1000000000</f>
        <v>23234000000</v>
      </c>
      <c r="W136" s="5013"/>
      <c r="X136" s="3166">
        <v>23234000000</v>
      </c>
      <c r="Y136" s="5482">
        <v>23234000000</v>
      </c>
      <c r="Z136" s="70"/>
      <c r="AC136" s="3166">
        <v>32183999999.999996</v>
      </c>
      <c r="AD136" s="57"/>
      <c r="AE136" s="5482">
        <v>31974000000</v>
      </c>
      <c r="AF136" s="157"/>
      <c r="AG136" s="26"/>
      <c r="AH136" s="3166">
        <v>38.354999999999997</v>
      </c>
      <c r="AI136" s="57"/>
      <c r="AJ136" s="5482">
        <v>38.354999999999997</v>
      </c>
      <c r="AK136" s="157"/>
      <c r="AL136" s="26"/>
      <c r="AN136" s="3166">
        <v>42.124000000000002</v>
      </c>
      <c r="AO136" s="57"/>
      <c r="AP136" s="5482">
        <v>45.468000000000004</v>
      </c>
      <c r="AQ136" s="157"/>
      <c r="AR136" s="26"/>
      <c r="AT136" s="3166"/>
      <c r="AU136" s="57"/>
      <c r="AV136" s="5482"/>
      <c r="AW136" s="157"/>
      <c r="AX136" s="26"/>
    </row>
    <row r="137" spans="1:50" x14ac:dyDescent="0.35">
      <c r="A137" s="9168"/>
      <c r="B137" s="241"/>
      <c r="C137" s="4067" t="s">
        <v>6191</v>
      </c>
      <c r="D137" s="197"/>
      <c r="F137" s="163">
        <v>0</v>
      </c>
      <c r="H137" s="242">
        <v>225000000</v>
      </c>
      <c r="I137" s="611">
        <v>225000000</v>
      </c>
      <c r="J137" s="476">
        <f t="shared" si="2"/>
        <v>1</v>
      </c>
      <c r="L137" s="242">
        <v>352000000</v>
      </c>
      <c r="M137" s="611">
        <v>352000000</v>
      </c>
      <c r="O137" s="242">
        <v>352000000</v>
      </c>
      <c r="P137" s="611">
        <v>352000000</v>
      </c>
      <c r="Q137" s="70" t="s">
        <v>6192</v>
      </c>
      <c r="T137" s="242">
        <f>1.225*1000000000</f>
        <v>1225000000</v>
      </c>
      <c r="U137" s="57" t="s">
        <v>6193</v>
      </c>
      <c r="V137" s="611">
        <f>1.225*1000000000</f>
        <v>1225000000</v>
      </c>
      <c r="W137" s="5013"/>
      <c r="X137" s="3166">
        <v>1225000000</v>
      </c>
      <c r="Y137" s="5482">
        <v>1225000000</v>
      </c>
      <c r="Z137" s="70"/>
      <c r="AC137" s="3166">
        <v>1682000000</v>
      </c>
      <c r="AD137" s="57"/>
      <c r="AE137" s="5482">
        <v>3956000000</v>
      </c>
      <c r="AF137" s="157"/>
      <c r="AG137" s="26"/>
      <c r="AH137" s="3166">
        <v>4.49</v>
      </c>
      <c r="AI137" s="57"/>
      <c r="AJ137" s="5482">
        <v>4.49</v>
      </c>
      <c r="AK137" s="157"/>
      <c r="AL137" s="26"/>
      <c r="AN137" s="3166">
        <v>5.3170000000000002</v>
      </c>
      <c r="AO137" s="57"/>
      <c r="AP137" s="5482">
        <v>5.3170000000000002</v>
      </c>
      <c r="AQ137" s="157"/>
      <c r="AR137" s="26"/>
      <c r="AT137" s="3166"/>
      <c r="AU137" s="57"/>
      <c r="AV137" s="5482"/>
      <c r="AW137" s="157"/>
      <c r="AX137" s="26"/>
    </row>
    <row r="138" spans="1:50" x14ac:dyDescent="0.35">
      <c r="A138" s="9168"/>
      <c r="B138" s="241"/>
      <c r="C138" s="4067" t="s">
        <v>6194</v>
      </c>
      <c r="D138" s="197"/>
      <c r="F138" s="163">
        <v>6361000000</v>
      </c>
      <c r="H138" s="242">
        <v>8548000000</v>
      </c>
      <c r="I138" s="611">
        <v>8548000000</v>
      </c>
      <c r="J138" s="518">
        <f t="shared" si="2"/>
        <v>1</v>
      </c>
      <c r="L138" s="242">
        <v>9549000000</v>
      </c>
      <c r="M138" s="611">
        <v>9388000000</v>
      </c>
      <c r="O138" s="242">
        <v>9549000000</v>
      </c>
      <c r="P138" s="611">
        <v>9388000000</v>
      </c>
      <c r="Q138" s="70" t="s">
        <v>6195</v>
      </c>
      <c r="T138" s="242">
        <f>13.189*1000000000</f>
        <v>13189000000</v>
      </c>
      <c r="U138" s="57" t="s">
        <v>6196</v>
      </c>
      <c r="V138" s="611">
        <f>13.588*1000000000</f>
        <v>13588000000</v>
      </c>
      <c r="W138" s="5013"/>
      <c r="X138" s="3166">
        <v>13189000000</v>
      </c>
      <c r="Y138" s="5482">
        <v>13588000000</v>
      </c>
      <c r="Z138" s="70"/>
      <c r="AC138" s="3166">
        <v>18463000000</v>
      </c>
      <c r="AD138" s="57"/>
      <c r="AE138" s="5482">
        <v>19893000000</v>
      </c>
      <c r="AF138" s="157"/>
      <c r="AG138" s="26"/>
      <c r="AH138" s="3166">
        <v>24.606999999999999</v>
      </c>
      <c r="AI138" s="57"/>
      <c r="AJ138" s="5482">
        <v>22.875</v>
      </c>
      <c r="AK138" s="157"/>
      <c r="AL138" s="26"/>
      <c r="AN138" s="3166">
        <v>27.922000000000001</v>
      </c>
      <c r="AO138" s="57"/>
      <c r="AP138" s="5482">
        <v>29.686</v>
      </c>
      <c r="AQ138" s="157"/>
      <c r="AR138" s="26"/>
      <c r="AT138" s="3166"/>
      <c r="AU138" s="57"/>
      <c r="AV138" s="5482"/>
      <c r="AW138" s="157"/>
      <c r="AX138" s="26"/>
    </row>
    <row r="139" spans="1:50" x14ac:dyDescent="0.35">
      <c r="A139" s="9168"/>
      <c r="B139" s="241"/>
      <c r="C139" s="4067" t="s">
        <v>6212</v>
      </c>
      <c r="D139" s="197"/>
      <c r="F139" s="163"/>
      <c r="H139" s="242"/>
      <c r="I139" s="611"/>
      <c r="J139" s="518"/>
      <c r="L139" s="242"/>
      <c r="M139" s="611"/>
      <c r="O139" s="242"/>
      <c r="P139" s="611"/>
      <c r="Q139" s="70"/>
      <c r="T139" s="242"/>
      <c r="U139" s="57"/>
      <c r="V139" s="611"/>
      <c r="W139" s="5013"/>
      <c r="X139" s="3166"/>
      <c r="Y139" s="5482"/>
      <c r="Z139" s="70"/>
      <c r="AC139" s="3166"/>
      <c r="AD139" s="57"/>
      <c r="AE139" s="5482"/>
      <c r="AF139" s="157"/>
      <c r="AG139" s="26"/>
      <c r="AH139" s="3166">
        <v>4.7329999999999997</v>
      </c>
      <c r="AI139" s="57"/>
      <c r="AJ139" s="5482">
        <v>5.4770000000000003</v>
      </c>
      <c r="AK139" s="157"/>
      <c r="AL139" s="26"/>
      <c r="AN139" s="3166">
        <v>8.3569999999999993</v>
      </c>
      <c r="AO139" s="57"/>
      <c r="AP139" s="5482">
        <v>8.8049999999999997</v>
      </c>
      <c r="AQ139" s="157"/>
      <c r="AR139" s="26"/>
      <c r="AT139" s="3166"/>
      <c r="AU139" s="57"/>
      <c r="AV139" s="5482"/>
      <c r="AW139" s="157"/>
      <c r="AX139" s="26"/>
    </row>
    <row r="140" spans="1:50" x14ac:dyDescent="0.35">
      <c r="A140" s="9168"/>
      <c r="B140" s="241"/>
      <c r="C140" s="4067" t="s">
        <v>6213</v>
      </c>
      <c r="D140" s="197"/>
      <c r="F140" s="163"/>
      <c r="H140" s="242"/>
      <c r="I140" s="611"/>
      <c r="J140" s="518"/>
      <c r="L140" s="242"/>
      <c r="M140" s="611"/>
      <c r="O140" s="242"/>
      <c r="P140" s="611"/>
      <c r="Q140" s="70"/>
      <c r="T140" s="242"/>
      <c r="U140" s="57"/>
      <c r="V140" s="611"/>
      <c r="W140" s="5013"/>
      <c r="X140" s="3166"/>
      <c r="Y140" s="5482"/>
      <c r="Z140" s="70"/>
      <c r="AC140" s="3166"/>
      <c r="AD140" s="57"/>
      <c r="AE140" s="5482"/>
      <c r="AF140" s="157"/>
      <c r="AG140" s="26"/>
      <c r="AH140" s="3166">
        <v>3.605</v>
      </c>
      <c r="AI140" s="57"/>
      <c r="AJ140" s="5482">
        <v>3.7090000000000001</v>
      </c>
      <c r="AK140" s="157"/>
      <c r="AL140" s="26"/>
      <c r="AN140" s="3166">
        <v>3.605</v>
      </c>
      <c r="AO140" s="57"/>
      <c r="AP140" s="5482">
        <v>3.6</v>
      </c>
      <c r="AQ140" s="157"/>
      <c r="AR140" s="26"/>
      <c r="AT140" s="3166"/>
      <c r="AU140" s="57"/>
      <c r="AV140" s="5482"/>
      <c r="AW140" s="157"/>
      <c r="AX140" s="26"/>
    </row>
    <row r="141" spans="1:50" ht="15.25" customHeight="1" x14ac:dyDescent="0.35">
      <c r="A141" s="9168"/>
      <c r="B141" s="241"/>
      <c r="C141" s="4067" t="s">
        <v>6214</v>
      </c>
      <c r="D141" s="197"/>
      <c r="F141" s="163"/>
      <c r="H141" s="242"/>
      <c r="I141" s="611"/>
      <c r="J141" s="518"/>
      <c r="L141" s="242"/>
      <c r="M141" s="611"/>
      <c r="O141" s="242"/>
      <c r="P141" s="611"/>
      <c r="Q141" s="70"/>
      <c r="T141" s="242"/>
      <c r="U141" s="57"/>
      <c r="V141" s="611"/>
      <c r="W141" s="5013"/>
      <c r="X141" s="3166"/>
      <c r="Y141" s="5482"/>
      <c r="Z141" s="70"/>
      <c r="AC141" s="3166"/>
      <c r="AD141" s="57"/>
      <c r="AE141" s="5482"/>
      <c r="AF141" s="157"/>
      <c r="AG141" s="26"/>
      <c r="AH141" s="3166">
        <v>6.0810000000000004</v>
      </c>
      <c r="AI141" s="57"/>
      <c r="AJ141" s="5482">
        <v>10.763</v>
      </c>
      <c r="AK141" s="157"/>
      <c r="AL141" s="26"/>
      <c r="AN141" s="3166">
        <v>13.768000000000001</v>
      </c>
      <c r="AO141" s="57"/>
      <c r="AP141" s="5482">
        <v>15.156000000000001</v>
      </c>
      <c r="AQ141" s="157"/>
      <c r="AR141" s="26"/>
      <c r="AT141" s="3166"/>
      <c r="AU141" s="57"/>
      <c r="AV141" s="5482"/>
      <c r="AW141" s="157"/>
      <c r="AX141" s="26"/>
    </row>
    <row r="142" spans="1:50" x14ac:dyDescent="0.35">
      <c r="A142" s="9168"/>
      <c r="B142" s="241"/>
      <c r="C142" s="5512" t="s">
        <v>6215</v>
      </c>
      <c r="D142" s="197"/>
      <c r="F142" s="163"/>
      <c r="H142" s="242"/>
      <c r="I142" s="611"/>
      <c r="J142" s="518"/>
      <c r="L142" s="242"/>
      <c r="M142" s="611"/>
      <c r="O142" s="242"/>
      <c r="P142" s="611"/>
      <c r="Q142" s="70"/>
      <c r="T142" s="242"/>
      <c r="U142" s="57"/>
      <c r="V142" s="611"/>
      <c r="W142" s="5013"/>
      <c r="X142" s="3166"/>
      <c r="Y142" s="5482"/>
      <c r="Z142" s="70"/>
      <c r="AC142" s="3166"/>
      <c r="AD142" s="57"/>
      <c r="AE142" s="5482"/>
      <c r="AF142" s="157"/>
      <c r="AG142" s="26"/>
      <c r="AH142" s="5521">
        <v>4.359</v>
      </c>
      <c r="AI142" s="57"/>
      <c r="AJ142" s="5522">
        <v>2.835</v>
      </c>
      <c r="AK142" s="157"/>
      <c r="AL142" s="26"/>
      <c r="AN142" s="5521">
        <v>4.6790000000000003</v>
      </c>
      <c r="AO142" s="57"/>
      <c r="AP142" s="5522">
        <v>5.35</v>
      </c>
      <c r="AQ142" s="157"/>
      <c r="AR142" s="26"/>
      <c r="AT142" s="5521"/>
      <c r="AU142" s="57"/>
      <c r="AV142" s="5522"/>
      <c r="AW142" s="157"/>
      <c r="AX142" s="26"/>
    </row>
    <row r="143" spans="1:50" x14ac:dyDescent="0.35">
      <c r="A143" s="9168"/>
      <c r="B143" s="250"/>
      <c r="C143" s="240"/>
      <c r="D143" s="209">
        <v>5</v>
      </c>
      <c r="F143" s="130">
        <v>646367000000</v>
      </c>
      <c r="H143" s="131">
        <f>35340000000+619680000000+190740000000</f>
        <v>845760000000</v>
      </c>
      <c r="I143" s="1345">
        <f>23890000000+623670000000+180310000000</f>
        <v>827870000000</v>
      </c>
      <c r="J143" s="484">
        <f>IF(H143=0,0,I143/H143)</f>
        <v>0.97884742716609918</v>
      </c>
      <c r="L143" s="242">
        <v>1071910000000</v>
      </c>
      <c r="M143" s="611">
        <v>1071240000000</v>
      </c>
      <c r="O143" s="242">
        <v>1071910000000</v>
      </c>
      <c r="P143" s="611">
        <v>1071240000000</v>
      </c>
      <c r="T143" s="242">
        <f>997.53*1000000000</f>
        <v>997530000000</v>
      </c>
      <c r="U143" s="57" t="s">
        <v>6216</v>
      </c>
      <c r="V143" s="611">
        <f>999.44*1000000000</f>
        <v>999440000000</v>
      </c>
      <c r="W143" s="5013"/>
      <c r="X143" s="3166">
        <v>997530000000</v>
      </c>
      <c r="Y143" s="5482">
        <v>999440000000</v>
      </c>
      <c r="Z143" s="5469"/>
      <c r="AC143" s="3166">
        <v>1106603000000</v>
      </c>
      <c r="AD143" s="5509" t="s">
        <v>6154</v>
      </c>
      <c r="AE143" s="5482">
        <v>1106603000000</v>
      </c>
      <c r="AF143" s="157"/>
      <c r="AG143" s="24"/>
      <c r="AH143" s="3166"/>
      <c r="AI143" s="5509"/>
      <c r="AJ143" s="5482"/>
      <c r="AK143" s="157"/>
      <c r="AL143" s="24"/>
      <c r="AN143" s="3166"/>
      <c r="AO143" s="5509"/>
      <c r="AP143" s="5482"/>
      <c r="AQ143" s="157"/>
      <c r="AR143" s="24"/>
      <c r="AT143" s="3166"/>
      <c r="AU143" s="5509"/>
      <c r="AV143" s="5482"/>
      <c r="AW143" s="157"/>
      <c r="AX143" s="24"/>
    </row>
    <row r="144" spans="1:50" x14ac:dyDescent="0.35">
      <c r="A144" s="9168"/>
      <c r="B144" s="271" t="s">
        <v>2230</v>
      </c>
      <c r="C144" s="271"/>
      <c r="D144" s="184"/>
      <c r="E144" s="143"/>
      <c r="F144" s="227"/>
      <c r="G144" s="143"/>
      <c r="H144" s="245"/>
      <c r="I144" s="247"/>
      <c r="J144" s="476"/>
      <c r="K144" s="143"/>
      <c r="L144" s="102"/>
      <c r="M144" s="268"/>
      <c r="N144" s="143"/>
      <c r="O144" s="102"/>
      <c r="P144" s="268"/>
      <c r="Q144" s="143"/>
      <c r="R144" s="143"/>
      <c r="S144" s="143"/>
      <c r="T144" s="102"/>
      <c r="U144" s="103"/>
      <c r="V144" s="268"/>
      <c r="W144" s="5013"/>
      <c r="X144" s="102"/>
      <c r="Y144" s="268"/>
      <c r="Z144" s="143"/>
      <c r="AA144" s="143"/>
      <c r="AB144" s="143"/>
      <c r="AC144" s="102"/>
      <c r="AD144" s="103"/>
      <c r="AE144" s="268"/>
      <c r="AF144" s="247"/>
      <c r="AG144" s="18"/>
      <c r="AH144" s="102"/>
      <c r="AI144" s="103"/>
      <c r="AJ144" s="268"/>
      <c r="AK144" s="247"/>
      <c r="AL144" s="18"/>
      <c r="AN144" s="7558" t="s">
        <v>6217</v>
      </c>
      <c r="AO144" s="103"/>
      <c r="AP144" s="7558" t="s">
        <v>6217</v>
      </c>
      <c r="AQ144" s="247"/>
      <c r="AR144" s="18"/>
      <c r="AT144" s="7558"/>
      <c r="AU144" s="3726" t="s">
        <v>6218</v>
      </c>
      <c r="AV144" s="7558"/>
      <c r="AW144" s="247"/>
      <c r="AX144" s="18"/>
    </row>
    <row r="145" spans="1:50" x14ac:dyDescent="0.35">
      <c r="A145" s="9169"/>
      <c r="B145" s="272"/>
      <c r="C145" s="272" t="s">
        <v>980</v>
      </c>
      <c r="D145" s="197"/>
      <c r="F145" s="155">
        <v>746699000000</v>
      </c>
      <c r="H145" s="117">
        <v>1095780000000</v>
      </c>
      <c r="I145" s="3265">
        <v>1077890000000</v>
      </c>
      <c r="J145" s="476">
        <f>IF(H145=0,0,I145/H145)</f>
        <v>0.98367373012831039</v>
      </c>
      <c r="L145" s="117">
        <v>1384820000000</v>
      </c>
      <c r="M145" s="611">
        <v>1327940000000</v>
      </c>
      <c r="O145" s="117"/>
      <c r="P145" s="611"/>
      <c r="T145" s="164"/>
      <c r="U145" s="254" t="s">
        <v>6219</v>
      </c>
      <c r="V145" s="611"/>
      <c r="W145" s="5013"/>
      <c r="X145" s="5365">
        <f>X146+X147</f>
        <v>1292160000000</v>
      </c>
      <c r="Y145" s="5482">
        <f>Y146+Y147</f>
        <v>1292160000000</v>
      </c>
      <c r="AC145" s="5523">
        <f>1384.906*Y2</f>
        <v>1384906000000</v>
      </c>
      <c r="AD145" s="5524" t="s">
        <v>6154</v>
      </c>
      <c r="AE145" s="5488">
        <f>1384.906*Y2</f>
        <v>1384906000000</v>
      </c>
      <c r="AF145" s="157"/>
      <c r="AG145" s="26"/>
      <c r="AH145" s="5523">
        <v>1433.53</v>
      </c>
      <c r="AI145" s="5524" t="s">
        <v>6220</v>
      </c>
      <c r="AJ145" s="5488">
        <v>1417.59</v>
      </c>
      <c r="AK145" s="157"/>
      <c r="AL145" s="26"/>
      <c r="AN145" s="5523">
        <v>1637.2470000000001</v>
      </c>
      <c r="AO145" s="5524"/>
      <c r="AP145" s="5488">
        <v>1637.25</v>
      </c>
      <c r="AQ145" s="157"/>
      <c r="AR145" s="26"/>
      <c r="AT145" s="8845"/>
      <c r="AU145" s="5524"/>
      <c r="AV145" s="8846"/>
      <c r="AW145" s="6621"/>
      <c r="AX145" s="26" t="s">
        <v>6221</v>
      </c>
    </row>
    <row r="146" spans="1:50" x14ac:dyDescent="0.35">
      <c r="A146" s="310"/>
      <c r="B146" s="274"/>
      <c r="C146" s="274" t="s">
        <v>5752</v>
      </c>
      <c r="D146" s="197"/>
      <c r="F146" s="163"/>
      <c r="H146" s="242"/>
      <c r="I146" s="3272"/>
      <c r="J146" s="476"/>
      <c r="L146" s="242"/>
      <c r="M146" s="611"/>
      <c r="O146" s="117">
        <f>1384820000000-O147</f>
        <v>1375960000000</v>
      </c>
      <c r="P146" s="611">
        <f>1327940000000-P147</f>
        <v>1319080000000</v>
      </c>
      <c r="T146" s="117">
        <f>1292.16*1000000000-T147</f>
        <v>1283300000000</v>
      </c>
      <c r="U146" s="254"/>
      <c r="V146" s="611">
        <f>1292.16*1000000000-V147</f>
        <v>1283300000000</v>
      </c>
      <c r="W146" s="5013"/>
      <c r="X146" s="5365">
        <v>1283300000000</v>
      </c>
      <c r="Y146" s="5482">
        <v>1283300000000</v>
      </c>
      <c r="Z146" s="5469"/>
      <c r="AC146" s="5525">
        <f>AC145-AC147</f>
        <v>1337978000000</v>
      </c>
      <c r="AE146" s="5488">
        <f>AE145-AE147</f>
        <v>1337978000000</v>
      </c>
      <c r="AF146" s="157"/>
      <c r="AG146" s="26"/>
      <c r="AH146" s="5526">
        <f>1155.506+231.376</f>
        <v>1386.8820000000001</v>
      </c>
      <c r="AJ146" s="5527">
        <f>1139.892+230.985</f>
        <v>1370.877</v>
      </c>
      <c r="AK146" s="157"/>
      <c r="AL146" s="26"/>
      <c r="AN146" s="5526">
        <v>1251.7460000000001</v>
      </c>
      <c r="AP146" s="5527">
        <v>1251.7460000000001</v>
      </c>
      <c r="AQ146" s="157"/>
      <c r="AR146" s="26"/>
      <c r="AT146" s="5526"/>
      <c r="AV146" s="5527"/>
      <c r="AW146" s="6621"/>
      <c r="AX146" s="26"/>
    </row>
    <row r="147" spans="1:50" x14ac:dyDescent="0.35">
      <c r="A147" s="9159" t="s">
        <v>559</v>
      </c>
      <c r="B147" s="274"/>
      <c r="C147" s="274" t="s">
        <v>933</v>
      </c>
      <c r="D147" s="197"/>
      <c r="F147" s="163"/>
      <c r="H147" s="242"/>
      <c r="I147" s="3272"/>
      <c r="J147" s="476"/>
      <c r="L147" s="242"/>
      <c r="M147" s="611"/>
      <c r="O147" s="242">
        <v>8860000000</v>
      </c>
      <c r="P147" s="611">
        <v>8860000000</v>
      </c>
      <c r="T147" s="164">
        <v>8860000000</v>
      </c>
      <c r="U147" s="106"/>
      <c r="V147" s="611">
        <v>8860000000</v>
      </c>
      <c r="W147" s="5013"/>
      <c r="X147" s="3166">
        <v>8860000000</v>
      </c>
      <c r="Y147" s="5482">
        <v>8860000000</v>
      </c>
      <c r="Z147" s="5469"/>
      <c r="AC147" s="5523">
        <f>(32.509+14.419)*Y2</f>
        <v>46928000000</v>
      </c>
      <c r="AD147" s="5528"/>
      <c r="AE147" s="5488">
        <f>(32.509+14.419)*Y2</f>
        <v>46928000000</v>
      </c>
      <c r="AF147" s="157"/>
      <c r="AG147" s="26"/>
      <c r="AH147" s="5529">
        <v>46.651000000000003</v>
      </c>
      <c r="AI147" s="5528"/>
      <c r="AJ147" s="5527">
        <v>46.716999999999999</v>
      </c>
      <c r="AK147" s="157"/>
      <c r="AL147" s="26"/>
      <c r="AN147" s="5529">
        <v>130.25</v>
      </c>
      <c r="AO147" s="5528"/>
      <c r="AP147" s="5527">
        <v>130.25</v>
      </c>
      <c r="AQ147" s="157"/>
      <c r="AR147" s="26"/>
      <c r="AT147" s="5529"/>
      <c r="AU147" s="5528"/>
      <c r="AV147" s="5527"/>
      <c r="AW147" s="6621"/>
      <c r="AX147" s="26"/>
    </row>
    <row r="148" spans="1:50" x14ac:dyDescent="0.35">
      <c r="A148" s="9160"/>
      <c r="B148" s="277"/>
      <c r="C148" s="277" t="s">
        <v>555</v>
      </c>
      <c r="D148" s="209"/>
      <c r="F148" s="665">
        <f>F145/F32</f>
        <v>0.50316644204851757</v>
      </c>
      <c r="G148" s="666"/>
      <c r="H148" s="5530">
        <f>H145/H32</f>
        <v>0.54540034430172979</v>
      </c>
      <c r="I148" s="5531">
        <f>I145/I32</f>
        <v>0.54896358543417367</v>
      </c>
      <c r="J148" s="476"/>
      <c r="L148" s="283">
        <f>L145/L32</f>
        <v>0.68927380419093132</v>
      </c>
      <c r="M148" s="665">
        <f>M145/M32</f>
        <v>0.67631270690094214</v>
      </c>
      <c r="O148" s="283">
        <f>O145/O32</f>
        <v>0</v>
      </c>
      <c r="P148" s="665">
        <f>P145/P32</f>
        <v>0</v>
      </c>
      <c r="T148" s="665">
        <f>T146/T32</f>
        <v>0.54344633218465976</v>
      </c>
      <c r="U148" s="8874"/>
      <c r="V148" s="665">
        <f>V146/V32</f>
        <v>0.54977940312441886</v>
      </c>
      <c r="W148" s="5013"/>
      <c r="X148" s="3284">
        <f>X145/X32</f>
        <v>0.54719832665450796</v>
      </c>
      <c r="Y148" s="285">
        <f>Y145/Y32</f>
        <v>0.553575121593742</v>
      </c>
      <c r="AC148" s="3284">
        <f>AC146/AC32</f>
        <v>0.51538912518768865</v>
      </c>
      <c r="AD148" s="7560"/>
      <c r="AE148" s="285">
        <f>AE146/AE32</f>
        <v>0.50711008070308294</v>
      </c>
      <c r="AF148" s="7561"/>
      <c r="AG148" s="24"/>
      <c r="AH148" s="3284"/>
      <c r="AI148" s="7560"/>
      <c r="AJ148" s="285"/>
      <c r="AK148" s="7561"/>
      <c r="AL148" s="24"/>
      <c r="AN148" s="3284"/>
      <c r="AO148" s="7560"/>
      <c r="AP148" s="285"/>
      <c r="AQ148" s="7561"/>
      <c r="AR148" s="24"/>
      <c r="AT148" s="3284"/>
      <c r="AU148" s="7560"/>
      <c r="AV148" s="285"/>
      <c r="AW148" s="7561"/>
      <c r="AX148" s="24"/>
    </row>
    <row r="149" spans="1:50" x14ac:dyDescent="0.35">
      <c r="A149" s="9160"/>
      <c r="B149" s="287" t="s">
        <v>556</v>
      </c>
      <c r="C149" s="288"/>
      <c r="D149" s="184"/>
      <c r="E149" s="143"/>
      <c r="F149" s="289"/>
      <c r="G149" s="290"/>
      <c r="H149" s="291"/>
      <c r="I149" s="294"/>
      <c r="J149" s="869"/>
      <c r="K149" s="143"/>
      <c r="L149" s="291"/>
      <c r="M149" s="3091"/>
      <c r="N149" s="143"/>
      <c r="O149" s="291"/>
      <c r="P149" s="3091"/>
      <c r="Q149" s="143"/>
      <c r="R149" s="143"/>
      <c r="S149" s="143"/>
      <c r="T149" s="291"/>
      <c r="U149" s="103"/>
      <c r="V149" s="3091"/>
      <c r="W149" s="5013"/>
      <c r="X149" s="291"/>
      <c r="Y149" s="5532"/>
      <c r="Z149" s="143"/>
      <c r="AA149" s="143"/>
      <c r="AB149" s="143"/>
      <c r="AC149" s="291"/>
      <c r="AD149" s="103"/>
      <c r="AE149" s="5532"/>
      <c r="AF149" s="247"/>
      <c r="AG149" s="18"/>
      <c r="AH149" s="291"/>
      <c r="AI149" s="103"/>
      <c r="AJ149" s="5532"/>
      <c r="AK149" s="247"/>
      <c r="AL149" s="18"/>
      <c r="AN149" s="291"/>
      <c r="AO149" s="103"/>
      <c r="AP149" s="5532"/>
      <c r="AQ149" s="247"/>
      <c r="AR149" s="18"/>
      <c r="AT149" s="291"/>
      <c r="AU149" s="103"/>
      <c r="AV149" s="5532"/>
      <c r="AW149" s="247"/>
      <c r="AX149" s="18"/>
    </row>
    <row r="150" spans="1:50" x14ac:dyDescent="0.35">
      <c r="A150" s="9160"/>
      <c r="B150" s="302"/>
      <c r="C150" s="59" t="s">
        <v>2149</v>
      </c>
      <c r="D150" s="197"/>
      <c r="F150" s="521">
        <v>115286701659.40601</v>
      </c>
      <c r="G150" s="272"/>
      <c r="H150" s="304"/>
      <c r="I150" s="3286">
        <v>219630902000</v>
      </c>
      <c r="J150" s="476">
        <f>IF(H150=0,0,I150/H150)</f>
        <v>0</v>
      </c>
      <c r="L150" s="304"/>
      <c r="M150" s="3093"/>
      <c r="O150" s="304"/>
      <c r="P150" s="3093"/>
      <c r="T150" s="62"/>
      <c r="U150" s="57"/>
      <c r="V150" s="3093"/>
      <c r="W150" s="5013"/>
      <c r="X150" s="304"/>
      <c r="Y150" s="521"/>
      <c r="AC150" s="62"/>
      <c r="AD150" s="57"/>
      <c r="AE150" s="521"/>
      <c r="AF150" s="157"/>
      <c r="AG150" s="26"/>
      <c r="AH150" s="62"/>
      <c r="AI150" s="57"/>
      <c r="AJ150" s="521"/>
      <c r="AK150" s="157"/>
      <c r="AL150" s="26"/>
      <c r="AN150" s="62"/>
      <c r="AO150" s="57"/>
      <c r="AP150" s="521"/>
      <c r="AQ150" s="157"/>
      <c r="AR150" s="26"/>
      <c r="AT150" s="62"/>
      <c r="AU150" s="57"/>
      <c r="AV150" s="521"/>
      <c r="AW150" s="157"/>
      <c r="AX150" s="26"/>
    </row>
    <row r="151" spans="1:50" x14ac:dyDescent="0.35">
      <c r="A151" s="9160"/>
      <c r="B151" s="302"/>
      <c r="C151" s="59" t="s">
        <v>2501</v>
      </c>
      <c r="D151" s="197"/>
      <c r="F151" s="61">
        <v>10309892000</v>
      </c>
      <c r="G151" s="272"/>
      <c r="H151" s="62"/>
      <c r="I151" s="301">
        <v>330565104040</v>
      </c>
      <c r="J151" s="476">
        <f>IF(H151=0,0,I151/H151)</f>
        <v>0</v>
      </c>
      <c r="L151" s="62"/>
      <c r="M151" s="3093"/>
      <c r="O151" s="62">
        <f>O47+O51+O55+O59+O67+O71+O75+O79+O83+O87+O91</f>
        <v>231683000000</v>
      </c>
      <c r="P151" s="3093">
        <f>P47+P51+P55+P59+P67+P71+P75+P79+P83+P87+P91</f>
        <v>108482000000</v>
      </c>
      <c r="Q151" s="1" t="s">
        <v>6163</v>
      </c>
      <c r="T151" s="62">
        <f>T47+T51+T55+T59+T67+T71+T75+T79+T83+T87+T91</f>
        <v>200477000000</v>
      </c>
      <c r="U151" s="57" t="s">
        <v>6222</v>
      </c>
      <c r="V151" s="3093">
        <f>V47+V51+V55+V59+V67+V71+V75+V79+V83+V87+V91</f>
        <v>143815000000</v>
      </c>
      <c r="W151" s="5013"/>
      <c r="X151" s="62">
        <f>X47+X51+X55+X59+X67+X71+X75+X79+X83+X87+X91</f>
        <v>200477000000</v>
      </c>
      <c r="Y151" s="61">
        <f>Y47+Y51+Y55+Y59+Y67+Y71+Y75+Y79+Y83+Y87+Y91</f>
        <v>143815000000</v>
      </c>
      <c r="AC151" s="62">
        <f>AC47+AC51+AC55+AC59+AC67+AC71+AC75+AC79+AC83+AC87+AC91</f>
        <v>396921000000</v>
      </c>
      <c r="AD151" s="57"/>
      <c r="AE151" s="61">
        <f>AE47+AE51+AE55+AE59+AE67+AE71+AE75+AE79+AE83+AE87+AE91</f>
        <v>232681000000</v>
      </c>
      <c r="AF151" s="157"/>
      <c r="AG151" s="26"/>
      <c r="AH151" s="62">
        <f>AH47+AH51+AH55+AH59+AH67+AH71+AH75+AH79+AH83+AH87+AH91+AH95+AH99+AH103+AH107</f>
        <v>388.95800000000003</v>
      </c>
      <c r="AI151" s="57"/>
      <c r="AJ151" s="61">
        <f>AJ47+AJ51+AJ55+AJ59+AJ67+AJ71+AJ75+AJ79+AJ83+AJ87+AJ91+AJ95+AJ99+AJ103+AJ107</f>
        <v>197.03399999999999</v>
      </c>
      <c r="AK151" s="157"/>
      <c r="AL151" s="26"/>
      <c r="AN151" s="62">
        <f>AN47+AN51+AN55+AN59+AN63+AN67+AN71+AN75+AN79+AN83+AN87+AN91+AN95+AN99+AN103+AN107</f>
        <v>336.892</v>
      </c>
      <c r="AO151" s="57"/>
      <c r="AP151" s="61">
        <f>AP47+AP51+AP55+AP59+AP63+AP67+AP71+AP75+AP79+AP83+AP87+AP91+AP95+AP99+AP103+AP107</f>
        <v>251.053</v>
      </c>
      <c r="AQ151" s="157"/>
      <c r="AR151" s="26"/>
      <c r="AT151" s="62">
        <f>AT47+AT51+AT55+AT59+AT63+AT67+AT71+AT75+AT79+AT83+AT87+AT91+AT95+AT99+AT103+AT107</f>
        <v>0</v>
      </c>
      <c r="AU151" s="57"/>
      <c r="AV151" s="61">
        <f>AV47+AV51+AV55+AV59+AV63+AV67+AV71+AV75+AV79+AV83+AV87+AV91+AV95+AV99+AV103+AV107</f>
        <v>0</v>
      </c>
      <c r="AW151" s="157"/>
      <c r="AX151" s="26"/>
    </row>
    <row r="152" spans="1:50" x14ac:dyDescent="0.35">
      <c r="A152" s="9160"/>
      <c r="B152" s="305"/>
      <c r="C152" s="59"/>
      <c r="D152" s="197"/>
      <c r="F152" s="61"/>
      <c r="G152" s="272"/>
      <c r="H152" s="62"/>
      <c r="I152" s="301"/>
      <c r="J152" s="476">
        <f>IF(H152=0,0,I152/H152)</f>
        <v>0</v>
      </c>
      <c r="L152" s="62"/>
      <c r="M152" s="3093"/>
      <c r="O152" s="62"/>
      <c r="P152" s="3093"/>
      <c r="T152" s="62"/>
      <c r="U152" s="106"/>
      <c r="V152" s="3093"/>
      <c r="W152" s="5013"/>
      <c r="X152" s="62"/>
      <c r="Y152" s="521"/>
      <c r="AC152" s="62"/>
      <c r="AD152" s="106"/>
      <c r="AE152" s="521"/>
      <c r="AF152" s="157"/>
      <c r="AG152" s="26"/>
      <c r="AH152" s="62"/>
      <c r="AI152" s="106"/>
      <c r="AJ152" s="521"/>
      <c r="AK152" s="157"/>
      <c r="AL152" s="26"/>
      <c r="AN152" s="62"/>
      <c r="AO152" s="106"/>
      <c r="AP152" s="521"/>
      <c r="AQ152" s="157"/>
      <c r="AR152" s="26"/>
      <c r="AT152" s="62"/>
      <c r="AU152" s="106"/>
      <c r="AV152" s="521"/>
      <c r="AW152" s="157"/>
      <c r="AX152" s="26"/>
    </row>
    <row r="153" spans="1:50" x14ac:dyDescent="0.35">
      <c r="A153" s="9160"/>
      <c r="B153" s="306"/>
      <c r="C153" s="86" t="s">
        <v>536</v>
      </c>
      <c r="D153" s="209"/>
      <c r="F153" s="88"/>
      <c r="G153" s="274"/>
      <c r="H153" s="89"/>
      <c r="I153" s="3096">
        <f>H153*G153</f>
        <v>0</v>
      </c>
      <c r="J153" s="3864"/>
      <c r="L153" s="89"/>
      <c r="M153" s="3096"/>
      <c r="O153" s="89"/>
      <c r="P153" s="3096"/>
      <c r="T153" s="89"/>
      <c r="U153" s="216"/>
      <c r="V153" s="3096"/>
      <c r="W153" s="5013"/>
      <c r="X153" s="89"/>
      <c r="Y153" s="5533"/>
      <c r="AC153" s="89"/>
      <c r="AD153" s="216"/>
      <c r="AE153" s="5533"/>
      <c r="AF153" s="157"/>
      <c r="AG153" s="24"/>
      <c r="AH153" s="89"/>
      <c r="AI153" s="216"/>
      <c r="AJ153" s="5533"/>
      <c r="AK153" s="157"/>
      <c r="AL153" s="24"/>
      <c r="AN153" s="89"/>
      <c r="AO153" s="216"/>
      <c r="AP153" s="5533"/>
      <c r="AQ153" s="157"/>
      <c r="AR153" s="24"/>
      <c r="AT153" s="89"/>
      <c r="AU153" s="216"/>
      <c r="AV153" s="5533"/>
      <c r="AW153" s="157"/>
      <c r="AX153" s="24"/>
    </row>
    <row r="154" spans="1:50" x14ac:dyDescent="0.35">
      <c r="A154" s="9160"/>
      <c r="B154" s="310"/>
      <c r="F154" s="106"/>
      <c r="H154" s="106"/>
      <c r="I154" s="312"/>
      <c r="J154"/>
      <c r="L154" s="106"/>
      <c r="M154" s="312"/>
      <c r="O154" s="106"/>
      <c r="P154" s="312"/>
      <c r="T154" s="106"/>
      <c r="U154" s="106"/>
      <c r="V154" s="312"/>
      <c r="W154" s="5013"/>
      <c r="X154" s="106"/>
      <c r="Y154" s="312"/>
      <c r="AC154" s="106"/>
      <c r="AD154" s="106"/>
      <c r="AE154" s="312"/>
      <c r="AF154" s="312"/>
      <c r="AH154" s="106"/>
      <c r="AI154" s="106"/>
      <c r="AJ154" s="312"/>
      <c r="AK154" s="312"/>
      <c r="AN154" s="106"/>
      <c r="AO154" s="106"/>
      <c r="AP154" s="312"/>
      <c r="AQ154" s="312"/>
      <c r="AT154" s="106"/>
      <c r="AU154" s="106"/>
      <c r="AV154" s="312"/>
      <c r="AW154" s="312"/>
    </row>
    <row r="155" spans="1:50" x14ac:dyDescent="0.35">
      <c r="A155" s="9160"/>
      <c r="B155" s="939" t="s">
        <v>560</v>
      </c>
      <c r="C155" s="940"/>
      <c r="D155" s="184"/>
      <c r="F155" s="316"/>
      <c r="G155" s="290"/>
      <c r="H155" s="317"/>
      <c r="I155" s="1687"/>
      <c r="J155" s="293"/>
      <c r="L155" s="317"/>
      <c r="M155" s="268"/>
      <c r="O155" s="317"/>
      <c r="P155" s="1687"/>
      <c r="Q155" s="103"/>
      <c r="R155" s="293"/>
      <c r="T155" s="317"/>
      <c r="U155" s="348" t="s">
        <v>6223</v>
      </c>
      <c r="V155" s="318"/>
      <c r="W155" s="5013"/>
      <c r="X155" s="317"/>
      <c r="Y155" s="1687"/>
      <c r="Z155" s="103"/>
      <c r="AA155" s="293"/>
      <c r="AC155" s="317"/>
      <c r="AD155" s="348"/>
      <c r="AE155" s="318"/>
      <c r="AF155" s="1"/>
      <c r="AH155" s="317"/>
      <c r="AI155" s="348" t="s">
        <v>6224</v>
      </c>
      <c r="AJ155" s="318"/>
      <c r="AK155" s="1"/>
      <c r="AN155" s="317"/>
      <c r="AO155" s="348"/>
      <c r="AP155" s="318"/>
      <c r="AQ155" s="1"/>
      <c r="AT155" s="317"/>
      <c r="AU155" s="348" t="s">
        <v>6225</v>
      </c>
      <c r="AV155" s="318"/>
      <c r="AW155" s="1"/>
    </row>
    <row r="156" spans="1:50" x14ac:dyDescent="0.35">
      <c r="A156" s="9160"/>
      <c r="B156" s="5534" t="s">
        <v>5752</v>
      </c>
      <c r="C156" s="945"/>
      <c r="D156" s="197"/>
      <c r="F156" s="327"/>
      <c r="G156" s="272"/>
      <c r="H156" s="325"/>
      <c r="I156" s="946"/>
      <c r="J156" s="523">
        <f t="shared" ref="J156:J162" si="3">IF(H156=0,0,I156/H156)</f>
        <v>0</v>
      </c>
      <c r="L156" s="325"/>
      <c r="M156" s="157">
        <f t="shared" ref="M156:M162" si="4">L156*J156</f>
        <v>0</v>
      </c>
      <c r="O156" s="330"/>
      <c r="P156" s="947"/>
      <c r="Q156" s="106" t="s">
        <v>6226</v>
      </c>
      <c r="R156" s="523"/>
      <c r="T156" s="330"/>
      <c r="U156" t="s">
        <v>6227</v>
      </c>
      <c r="V156" s="328"/>
      <c r="W156" s="5013"/>
      <c r="X156" s="330"/>
      <c r="Y156" s="947"/>
      <c r="Z156" s="106"/>
      <c r="AA156" s="523"/>
      <c r="AC156" s="330"/>
      <c r="AE156" s="328"/>
      <c r="AF156" s="1"/>
      <c r="AH156" s="330"/>
      <c r="AJ156" s="328"/>
      <c r="AK156" s="1"/>
      <c r="AN156" s="330"/>
      <c r="AP156" s="328"/>
      <c r="AQ156" s="1"/>
      <c r="AT156" s="330"/>
      <c r="AV156" s="328"/>
      <c r="AW156" s="1"/>
    </row>
    <row r="157" spans="1:50" x14ac:dyDescent="0.35">
      <c r="A157" s="9161"/>
      <c r="B157" s="5534"/>
      <c r="C157" s="945" t="s">
        <v>6228</v>
      </c>
      <c r="D157" s="197"/>
      <c r="F157" s="336"/>
      <c r="G157" s="272"/>
      <c r="H157" s="330"/>
      <c r="I157" s="948"/>
      <c r="J157" s="523">
        <f t="shared" si="3"/>
        <v>0</v>
      </c>
      <c r="L157" s="330"/>
      <c r="M157" s="157">
        <f t="shared" si="4"/>
        <v>0</v>
      </c>
      <c r="O157" s="330">
        <f>33860000000-O162</f>
        <v>30800000000</v>
      </c>
      <c r="P157" s="331">
        <f>34570000000-P162</f>
        <v>29730000000</v>
      </c>
      <c r="Q157" s="106"/>
      <c r="R157" s="523"/>
      <c r="T157" s="330">
        <f>29300000000-T162</f>
        <v>24280000000</v>
      </c>
      <c r="V157" s="337">
        <f>29010000000-V162</f>
        <v>24040000000</v>
      </c>
      <c r="W157" s="5013"/>
      <c r="X157" s="5151">
        <v>24280000000</v>
      </c>
      <c r="Y157" s="5535">
        <v>24040000000</v>
      </c>
      <c r="Z157" s="3016"/>
      <c r="AA157" s="523"/>
      <c r="AC157" s="5151">
        <v>133200000000</v>
      </c>
      <c r="AD157" s="5536"/>
      <c r="AE157" s="5537">
        <v>72758000000</v>
      </c>
      <c r="AF157" s="1"/>
      <c r="AH157" s="5538">
        <f>0.268+14.03</f>
        <v>14.298</v>
      </c>
      <c r="AI157" s="5539" t="s">
        <v>6229</v>
      </c>
      <c r="AJ157" s="5540">
        <f>0.268+12.818</f>
        <v>13.086</v>
      </c>
      <c r="AK157" s="1"/>
      <c r="AL157" t="s">
        <v>6230</v>
      </c>
      <c r="AN157" s="5538">
        <f>0.279+20.733</f>
        <v>21.012</v>
      </c>
      <c r="AO157" s="5539"/>
      <c r="AP157" s="5540">
        <f>0.279+20.193</f>
        <v>20.472000000000001</v>
      </c>
      <c r="AQ157" s="1"/>
      <c r="AT157" s="8847">
        <v>1068.3499999999999</v>
      </c>
      <c r="AU157" s="8848"/>
      <c r="AV157" s="8849">
        <f>AT157</f>
        <v>1068.3499999999999</v>
      </c>
      <c r="AW157" s="1"/>
    </row>
    <row r="158" spans="1:50" x14ac:dyDescent="0.35">
      <c r="A158" s="310"/>
      <c r="B158" s="5534"/>
      <c r="C158" s="945" t="s">
        <v>6231</v>
      </c>
      <c r="D158" s="197"/>
      <c r="F158" s="336"/>
      <c r="G158" s="272"/>
      <c r="H158" s="330"/>
      <c r="I158" s="948"/>
      <c r="J158" s="523">
        <f t="shared" si="3"/>
        <v>0</v>
      </c>
      <c r="L158" s="330"/>
      <c r="M158" s="157">
        <f t="shared" si="4"/>
        <v>0</v>
      </c>
      <c r="O158" s="330">
        <f>4120000000-O163</f>
        <v>2060000000</v>
      </c>
      <c r="P158" s="331">
        <f>3690000000-P163</f>
        <v>1870000000</v>
      </c>
      <c r="Q158" s="106"/>
      <c r="R158" s="523"/>
      <c r="T158" s="330">
        <f>3180000000-T163</f>
        <v>1120000000</v>
      </c>
      <c r="V158" s="337">
        <f>3090000000-V163</f>
        <v>1050000000</v>
      </c>
      <c r="W158" s="5013"/>
      <c r="X158" s="5151">
        <v>1120000000</v>
      </c>
      <c r="Y158" s="5535">
        <v>1050000000</v>
      </c>
      <c r="Z158" s="106"/>
      <c r="AA158" s="523"/>
      <c r="AC158" s="5151">
        <v>1489000000</v>
      </c>
      <c r="AD158" s="5536"/>
      <c r="AE158" s="5537">
        <v>200000000</v>
      </c>
      <c r="AF158" s="1"/>
      <c r="AH158" s="5151">
        <f>0.122+1.311</f>
        <v>1.4329999999999998</v>
      </c>
      <c r="AI158" s="5536"/>
      <c r="AJ158" s="5537">
        <f>0.122+1.111</f>
        <v>1.2330000000000001</v>
      </c>
      <c r="AK158" s="1"/>
      <c r="AN158" s="5151">
        <f>0.127+1.371</f>
        <v>1.498</v>
      </c>
      <c r="AO158" s="5536"/>
      <c r="AP158" s="5537">
        <f>0.119+1.2</f>
        <v>1.319</v>
      </c>
      <c r="AQ158" s="1"/>
      <c r="AT158" s="8850"/>
      <c r="AU158" s="8851"/>
      <c r="AV158" s="8852"/>
      <c r="AW158" s="1"/>
    </row>
    <row r="159" spans="1:50" x14ac:dyDescent="0.35">
      <c r="A159" s="9167" t="s">
        <v>566</v>
      </c>
      <c r="B159" s="5534"/>
      <c r="C159" s="945" t="s">
        <v>6232</v>
      </c>
      <c r="D159" s="197"/>
      <c r="F159" s="336"/>
      <c r="G159" s="272"/>
      <c r="H159" s="330"/>
      <c r="I159" s="948"/>
      <c r="J159" s="523">
        <f t="shared" si="3"/>
        <v>0</v>
      </c>
      <c r="L159" s="330"/>
      <c r="M159" s="157">
        <f t="shared" si="4"/>
        <v>0</v>
      </c>
      <c r="O159" s="330">
        <f>26830000000-O164</f>
        <v>20460000000</v>
      </c>
      <c r="P159" s="331">
        <f>24800000000-P164</f>
        <v>19390000000</v>
      </c>
      <c r="Q159" s="106"/>
      <c r="R159" s="523"/>
      <c r="T159" s="330">
        <f>27100000000-T164</f>
        <v>20880000000</v>
      </c>
      <c r="V159" s="337">
        <f>26380000000-V164</f>
        <v>20870000000</v>
      </c>
      <c r="W159" s="5013"/>
      <c r="X159" s="5151">
        <v>20880000000</v>
      </c>
      <c r="Y159" s="5535">
        <v>20870000000</v>
      </c>
      <c r="Z159" s="106"/>
      <c r="AA159" s="523"/>
      <c r="AC159" s="5151">
        <v>62159000000</v>
      </c>
      <c r="AE159" s="5537">
        <v>26589000000</v>
      </c>
      <c r="AF159" s="1"/>
      <c r="AH159" s="5151">
        <f>5.318+7.625</f>
        <v>12.943</v>
      </c>
      <c r="AJ159" s="5537">
        <f>5.318+7.024</f>
        <v>12.341999999999999</v>
      </c>
      <c r="AK159" s="1"/>
      <c r="AL159" t="s">
        <v>6233</v>
      </c>
      <c r="AN159" s="5151">
        <f>5.535+8.301</f>
        <v>13.836</v>
      </c>
      <c r="AP159" s="5537">
        <f>5.535+7.814</f>
        <v>13.349</v>
      </c>
      <c r="AQ159" s="1"/>
      <c r="AT159" s="8850"/>
      <c r="AU159" s="1112"/>
      <c r="AV159" s="8852"/>
      <c r="AW159" s="1"/>
    </row>
    <row r="160" spans="1:50" x14ac:dyDescent="0.35">
      <c r="A160" s="9168"/>
      <c r="B160" s="5534"/>
      <c r="C160" s="945" t="s">
        <v>6234</v>
      </c>
      <c r="D160" s="197"/>
      <c r="F160" s="336"/>
      <c r="G160" s="272"/>
      <c r="H160" s="330"/>
      <c r="I160" s="948"/>
      <c r="J160" s="523">
        <f t="shared" si="3"/>
        <v>0</v>
      </c>
      <c r="L160" s="330"/>
      <c r="M160" s="157">
        <f t="shared" si="4"/>
        <v>0</v>
      </c>
      <c r="O160" s="330">
        <f>946180000000-O165</f>
        <v>891980000000</v>
      </c>
      <c r="P160" s="331">
        <f>828580000000-P165</f>
        <v>828580000000</v>
      </c>
      <c r="Q160" s="106"/>
      <c r="R160" s="523"/>
      <c r="T160" s="330">
        <f>901490000000-T165</f>
        <v>847290000000</v>
      </c>
      <c r="V160" s="337">
        <f>901019000000-V165</f>
        <v>846819000000</v>
      </c>
      <c r="W160" s="5013"/>
      <c r="X160" s="5151">
        <v>847290000000</v>
      </c>
      <c r="Y160" s="5535">
        <v>846819000000</v>
      </c>
      <c r="Z160" s="3016"/>
      <c r="AA160" s="523"/>
      <c r="AC160" s="5151">
        <v>940989000000</v>
      </c>
      <c r="AD160" s="5536"/>
      <c r="AE160" s="5537">
        <v>945680000000</v>
      </c>
      <c r="AF160" s="1"/>
      <c r="AH160" s="5151">
        <f>906.455+72.533</f>
        <v>978.98800000000006</v>
      </c>
      <c r="AI160" s="5536"/>
      <c r="AJ160" s="5537">
        <f>1077.59+178.037</f>
        <v>1255.627</v>
      </c>
      <c r="AK160" s="1"/>
      <c r="AN160" s="5151">
        <f>918.676+85.104</f>
        <v>1003.7800000000001</v>
      </c>
      <c r="AO160" s="5536"/>
      <c r="AP160" s="5537">
        <f>918.676+85.104</f>
        <v>1003.7800000000001</v>
      </c>
      <c r="AQ160" s="1"/>
      <c r="AT160" s="8850"/>
      <c r="AU160" s="8851"/>
      <c r="AV160" s="8852"/>
      <c r="AW160" s="1"/>
    </row>
    <row r="161" spans="1:50" x14ac:dyDescent="0.35">
      <c r="A161" s="9168"/>
      <c r="B161" s="5534" t="s">
        <v>5783</v>
      </c>
      <c r="C161" s="945"/>
      <c r="D161" s="197"/>
      <c r="F161" s="336"/>
      <c r="G161" s="272"/>
      <c r="H161" s="330"/>
      <c r="I161" s="948"/>
      <c r="J161" s="523">
        <f t="shared" si="3"/>
        <v>0</v>
      </c>
      <c r="L161" s="330"/>
      <c r="M161" s="157">
        <f t="shared" si="4"/>
        <v>0</v>
      </c>
      <c r="O161" s="330"/>
      <c r="P161" s="331"/>
      <c r="Q161" s="106"/>
      <c r="R161" s="523"/>
      <c r="T161" s="330"/>
      <c r="V161" s="337"/>
      <c r="W161" s="5013"/>
      <c r="X161" s="330"/>
      <c r="Y161" s="331"/>
      <c r="Z161" s="106"/>
      <c r="AA161" s="523"/>
      <c r="AC161" s="330"/>
      <c r="AE161" s="337"/>
      <c r="AF161" s="1"/>
      <c r="AH161" s="330"/>
      <c r="AJ161" s="337"/>
      <c r="AK161" s="1"/>
      <c r="AN161" s="330"/>
      <c r="AP161" s="337"/>
      <c r="AQ161" s="1"/>
      <c r="AT161" s="8850"/>
      <c r="AU161" s="1112"/>
      <c r="AV161" s="8852"/>
      <c r="AW161" s="1"/>
    </row>
    <row r="162" spans="1:50" x14ac:dyDescent="0.35">
      <c r="A162" s="9168"/>
      <c r="B162" s="944"/>
      <c r="C162" s="945" t="s">
        <v>6228</v>
      </c>
      <c r="D162" s="197"/>
      <c r="F162" s="336"/>
      <c r="G162" s="272"/>
      <c r="H162" s="330"/>
      <c r="I162" s="948"/>
      <c r="J162" s="523">
        <f t="shared" si="3"/>
        <v>0</v>
      </c>
      <c r="L162" s="330"/>
      <c r="M162" s="157">
        <f t="shared" si="4"/>
        <v>0</v>
      </c>
      <c r="O162" s="330">
        <v>3060000000</v>
      </c>
      <c r="P162" s="331">
        <v>4840000000</v>
      </c>
      <c r="Q162" s="106"/>
      <c r="R162" s="523"/>
      <c r="T162" s="330">
        <v>5020000000</v>
      </c>
      <c r="V162" s="337">
        <v>4970000000</v>
      </c>
      <c r="W162" s="5013"/>
      <c r="X162" s="5151">
        <v>5020000000</v>
      </c>
      <c r="Y162" s="5535">
        <v>4970000000</v>
      </c>
      <c r="Z162" s="3016"/>
      <c r="AA162" s="523"/>
      <c r="AC162" s="5151">
        <v>10520000000</v>
      </c>
      <c r="AD162" s="5536"/>
      <c r="AE162" s="5537">
        <v>5642000000</v>
      </c>
      <c r="AF162" s="1"/>
      <c r="AH162" s="5538">
        <f>12.243</f>
        <v>12.243</v>
      </c>
      <c r="AI162" s="5536"/>
      <c r="AJ162" s="5540">
        <f>11.882</f>
        <v>11.882</v>
      </c>
      <c r="AK162" s="1"/>
      <c r="AN162" s="5538">
        <v>4.3040000000000003</v>
      </c>
      <c r="AO162" s="5536"/>
      <c r="AP162" s="5540">
        <v>5.14</v>
      </c>
      <c r="AQ162" s="1"/>
      <c r="AT162" s="8847">
        <v>32.51</v>
      </c>
      <c r="AU162" s="8851"/>
      <c r="AV162" s="8849">
        <f>AT162</f>
        <v>32.51</v>
      </c>
      <c r="AW162" s="1"/>
    </row>
    <row r="163" spans="1:50" x14ac:dyDescent="0.35">
      <c r="A163" s="9168"/>
      <c r="B163" s="944"/>
      <c r="C163" s="945" t="s">
        <v>6231</v>
      </c>
      <c r="D163" s="197"/>
      <c r="F163" s="336"/>
      <c r="G163" s="272"/>
      <c r="H163" s="330"/>
      <c r="I163" s="948"/>
      <c r="J163" s="523"/>
      <c r="L163" s="330"/>
      <c r="M163" s="157"/>
      <c r="O163" s="330">
        <v>2060000000</v>
      </c>
      <c r="P163" s="331">
        <v>1820000000</v>
      </c>
      <c r="Q163" s="106"/>
      <c r="R163" s="523"/>
      <c r="T163" s="330">
        <v>2060000000</v>
      </c>
      <c r="V163" s="337">
        <v>2040000000</v>
      </c>
      <c r="W163" s="5013"/>
      <c r="X163" s="5151">
        <v>2060000000</v>
      </c>
      <c r="Y163" s="5535">
        <v>2040000000</v>
      </c>
      <c r="Z163" s="106"/>
      <c r="AA163" s="523"/>
      <c r="AC163" s="5151">
        <v>2061000000</v>
      </c>
      <c r="AE163" s="5537">
        <v>2040000000</v>
      </c>
      <c r="AF163" s="1"/>
      <c r="AH163" s="5151">
        <v>2.0609999999999999</v>
      </c>
      <c r="AJ163" s="5537">
        <v>1.9510000000000001</v>
      </c>
      <c r="AK163" s="1"/>
      <c r="AL163" t="s">
        <v>6233</v>
      </c>
      <c r="AN163" s="5151">
        <v>1.8979999999999999</v>
      </c>
      <c r="AP163" s="5537">
        <v>1.6919999999999999</v>
      </c>
      <c r="AQ163" s="1"/>
      <c r="AT163" s="8850"/>
      <c r="AU163" s="1112"/>
      <c r="AV163" s="8852"/>
      <c r="AW163" s="1"/>
    </row>
    <row r="164" spans="1:50" x14ac:dyDescent="0.35">
      <c r="A164" s="9168"/>
      <c r="B164" s="944"/>
      <c r="C164" s="945" t="s">
        <v>6232</v>
      </c>
      <c r="D164" s="197"/>
      <c r="F164" s="336"/>
      <c r="G164" s="272"/>
      <c r="H164" s="330"/>
      <c r="I164" s="948"/>
      <c r="J164" s="523">
        <f>IF(H164=0,0,I164/H164)</f>
        <v>0</v>
      </c>
      <c r="L164" s="330"/>
      <c r="M164" s="157">
        <f>L164*J164</f>
        <v>0</v>
      </c>
      <c r="O164" s="330">
        <v>6370000000</v>
      </c>
      <c r="P164" s="331">
        <v>5410000000</v>
      </c>
      <c r="Q164" s="106"/>
      <c r="R164" s="523"/>
      <c r="T164" s="330">
        <v>6220000000</v>
      </c>
      <c r="V164" s="337">
        <v>5510000000</v>
      </c>
      <c r="W164" s="5013"/>
      <c r="X164" s="5151">
        <v>6220000000</v>
      </c>
      <c r="Y164" s="5535">
        <v>5510000000</v>
      </c>
      <c r="Z164" s="3016"/>
      <c r="AA164" s="523"/>
      <c r="AC164" s="5151">
        <v>7581000000</v>
      </c>
      <c r="AD164" s="5536"/>
      <c r="AE164" s="5537">
        <v>3741000000</v>
      </c>
      <c r="AF164" s="1"/>
      <c r="AH164" s="5151">
        <v>5.524</v>
      </c>
      <c r="AI164" s="5536"/>
      <c r="AJ164" s="5537">
        <v>5.4509999999999996</v>
      </c>
      <c r="AK164" s="1"/>
      <c r="AL164" t="s">
        <v>6233</v>
      </c>
      <c r="AN164" s="5151">
        <v>6.6589999999999998</v>
      </c>
      <c r="AO164" s="5536"/>
      <c r="AP164" s="5537">
        <v>6.3040000000000003</v>
      </c>
      <c r="AQ164" s="1"/>
      <c r="AT164" s="8850"/>
      <c r="AU164" s="8851"/>
      <c r="AV164" s="8852"/>
      <c r="AW164" s="1"/>
    </row>
    <row r="165" spans="1:50" x14ac:dyDescent="0.35">
      <c r="A165" s="9168"/>
      <c r="B165" s="949"/>
      <c r="C165" s="950" t="s">
        <v>6234</v>
      </c>
      <c r="D165" s="209"/>
      <c r="F165" s="343"/>
      <c r="G165" s="274"/>
      <c r="H165" s="341"/>
      <c r="I165" s="951"/>
      <c r="J165" s="527">
        <f>IF(H165=0,0,I165/H165)</f>
        <v>0</v>
      </c>
      <c r="L165" s="341"/>
      <c r="M165" s="213">
        <f>L165*J165</f>
        <v>0</v>
      </c>
      <c r="O165" s="341">
        <v>54200000000</v>
      </c>
      <c r="P165" s="952">
        <v>0</v>
      </c>
      <c r="Q165" s="216"/>
      <c r="R165" s="527"/>
      <c r="T165" s="341">
        <v>54200000000</v>
      </c>
      <c r="U165" s="1696"/>
      <c r="V165" s="342">
        <v>54200000000</v>
      </c>
      <c r="W165" s="5013"/>
      <c r="X165" s="5541">
        <v>54200000000</v>
      </c>
      <c r="Y165" s="5542">
        <v>54200000000</v>
      </c>
      <c r="Z165" s="5543"/>
      <c r="AA165" s="527"/>
      <c r="AC165" s="5541">
        <v>38069000000</v>
      </c>
      <c r="AD165" s="5539"/>
      <c r="AE165" s="5544">
        <v>14419000000</v>
      </c>
      <c r="AF165" s="1"/>
      <c r="AH165" s="5541">
        <v>37.792999999999999</v>
      </c>
      <c r="AI165" s="5539" t="s">
        <v>6229</v>
      </c>
      <c r="AJ165" s="5544">
        <v>43.765000000000001</v>
      </c>
      <c r="AK165" s="1"/>
      <c r="AN165" s="5541">
        <v>130.25</v>
      </c>
      <c r="AO165" s="5539"/>
      <c r="AP165" s="5544">
        <v>130.25</v>
      </c>
      <c r="AQ165" s="1"/>
      <c r="AT165" s="5541"/>
      <c r="AU165" s="5539"/>
      <c r="AV165" s="5544"/>
      <c r="AW165" s="1"/>
    </row>
    <row r="166" spans="1:50" x14ac:dyDescent="0.35">
      <c r="A166" s="9168"/>
      <c r="B166" s="310"/>
      <c r="F166" s="106"/>
      <c r="H166" s="106"/>
      <c r="I166" s="312"/>
      <c r="J166"/>
      <c r="L166" s="106"/>
      <c r="M166" s="312"/>
      <c r="O166" s="106"/>
      <c r="P166" s="312"/>
      <c r="T166" s="106"/>
      <c r="U166" s="106"/>
      <c r="V166" s="312"/>
      <c r="W166" s="5013"/>
      <c r="X166" s="106"/>
      <c r="Y166" s="312"/>
      <c r="AC166" s="106"/>
      <c r="AD166" s="106"/>
      <c r="AE166" s="312"/>
      <c r="AF166" s="312"/>
      <c r="AH166" s="106"/>
      <c r="AI166" s="106"/>
      <c r="AJ166" s="312"/>
      <c r="AK166" s="312"/>
      <c r="AN166" s="106"/>
      <c r="AO166" s="106"/>
      <c r="AP166" s="312"/>
      <c r="AQ166" s="312"/>
      <c r="AT166" s="106"/>
      <c r="AU166" s="106"/>
      <c r="AV166" s="312"/>
      <c r="AW166" s="312"/>
    </row>
    <row r="167" spans="1:50" x14ac:dyDescent="0.35">
      <c r="A167" s="9168"/>
      <c r="B167" s="139" t="s">
        <v>6235</v>
      </c>
      <c r="C167" s="348"/>
      <c r="D167" s="49"/>
      <c r="E167" s="141"/>
      <c r="F167" s="227"/>
      <c r="G167" s="141"/>
      <c r="H167" s="102"/>
      <c r="I167" s="268"/>
      <c r="J167" s="5545"/>
      <c r="K167" s="141"/>
      <c r="L167" s="102"/>
      <c r="M167" s="268"/>
      <c r="N167" s="141"/>
      <c r="O167" s="102"/>
      <c r="P167" s="2909"/>
      <c r="Q167" s="271"/>
      <c r="R167" s="908"/>
      <c r="S167" s="141"/>
      <c r="T167" s="102"/>
      <c r="U167" s="103"/>
      <c r="V167" s="268"/>
      <c r="W167" s="5013"/>
      <c r="X167" s="102"/>
      <c r="Y167" s="2909"/>
      <c r="Z167" s="271"/>
      <c r="AA167" s="908"/>
      <c r="AB167" s="141"/>
      <c r="AC167" s="102"/>
      <c r="AD167" s="103"/>
      <c r="AE167" s="268"/>
      <c r="AF167" s="254"/>
      <c r="AH167" s="102"/>
      <c r="AI167" s="103"/>
      <c r="AJ167" s="268"/>
      <c r="AK167" s="254"/>
      <c r="AN167" s="102"/>
      <c r="AO167" s="103"/>
      <c r="AP167" s="268"/>
      <c r="AQ167" s="254"/>
      <c r="AT167" s="102"/>
      <c r="AU167" s="103"/>
      <c r="AV167" s="268"/>
      <c r="AW167" s="254"/>
    </row>
    <row r="168" spans="1:50" x14ac:dyDescent="0.35">
      <c r="A168" s="9168"/>
      <c r="B168" s="6082"/>
      <c r="C168"/>
      <c r="D168" s="110" t="s">
        <v>568</v>
      </c>
      <c r="F168" s="349">
        <f>SUM(F44:F91)-SUM(F109:F111)</f>
        <v>366638000000</v>
      </c>
      <c r="G168" s="350"/>
      <c r="H168" s="351">
        <f>SUM(H44:H91)-SUM(H109:H111)</f>
        <v>660064300000</v>
      </c>
      <c r="I168" s="353">
        <f>SUM(I44:I91)-SUM(I109:I111)</f>
        <v>506254600000</v>
      </c>
      <c r="J168" s="5546"/>
      <c r="L168" s="351">
        <f>SUM(L44:L91)-SUM(L109:L111)</f>
        <v>644922000000</v>
      </c>
      <c r="M168" s="353">
        <f>SUM(M44:M91)-SUM(M109:M111)</f>
        <v>536844000000</v>
      </c>
      <c r="O168" s="351">
        <f>SUM(O44:O91)-SUM(O109:O111)</f>
        <v>641651000000</v>
      </c>
      <c r="P168" s="352">
        <f>SUM(P44:P91)-SUM(P109:P111)</f>
        <v>521995000000</v>
      </c>
      <c r="R168" s="110"/>
      <c r="T168" s="351">
        <f>SUM(T44:T107)-SUM(T109:T111)</f>
        <v>779231000000</v>
      </c>
      <c r="U168" s="352"/>
      <c r="V168" s="353">
        <f>SUM(V44:V107)-SUM(V109:V111)</f>
        <v>728685000000</v>
      </c>
      <c r="W168" s="5013"/>
      <c r="X168" s="351">
        <f>SUM(X44:X107)-SUM(X109:X111)</f>
        <v>779231000000</v>
      </c>
      <c r="Y168" s="352">
        <f>SUM(Y44:Y107)-SUM(Y109:Y111)</f>
        <v>728685000000</v>
      </c>
      <c r="AA168" s="110"/>
      <c r="AC168" s="351">
        <f>SUM(AC44:AC107)-SUM(AC109:AC111)</f>
        <v>1103524000000</v>
      </c>
      <c r="AD168" s="352"/>
      <c r="AE168" s="353">
        <f>SUM(AE44:AE107)-SUM(AE109:AE111)</f>
        <v>880288000000</v>
      </c>
      <c r="AF168" s="352"/>
      <c r="AH168" s="351">
        <f>SUM(AH44:AH107)-SUM(AH109:AH111)</f>
        <v>1067.5899999999999</v>
      </c>
      <c r="AI168" s="352"/>
      <c r="AJ168" s="353">
        <f>SUM(AJ44:AJ107)-SUM(AJ109:AJ111)</f>
        <v>893.80299999999988</v>
      </c>
      <c r="AK168" s="352"/>
      <c r="AN168" s="351">
        <f>SUM(AN44:AN107)-SUM(AN109:AN111)</f>
        <v>1140.8819999999996</v>
      </c>
      <c r="AO168" s="352"/>
      <c r="AP168" s="353">
        <f>SUM(AP44:AP107)-SUM(AP109:AP111)</f>
        <v>1096.0940000000001</v>
      </c>
      <c r="AQ168" s="352"/>
      <c r="AT168" s="351">
        <f>SUM(AT38:AT40)</f>
        <v>3397.643</v>
      </c>
      <c r="AU168" s="352"/>
      <c r="AV168" s="353">
        <f>SUM(AV38:AV40)</f>
        <v>3323.1040000000003</v>
      </c>
      <c r="AW168" s="352"/>
    </row>
    <row r="169" spans="1:50" x14ac:dyDescent="0.35">
      <c r="A169" s="9168"/>
      <c r="B169" s="6082"/>
      <c r="C169"/>
      <c r="D169" s="110" t="s">
        <v>569</v>
      </c>
      <c r="F169" s="349">
        <f>SUM(F113:F123)</f>
        <v>1334233349.8499999</v>
      </c>
      <c r="G169" s="350"/>
      <c r="H169" s="351">
        <f>SUM(H113:H123)</f>
        <v>877988381.04999995</v>
      </c>
      <c r="I169" s="353">
        <f>SUM(I113:I123)</f>
        <v>877988381.04999995</v>
      </c>
      <c r="J169" s="5546"/>
      <c r="L169" s="351">
        <f>SUM(L113:L123)</f>
        <v>758069424.48732913</v>
      </c>
      <c r="M169" s="353">
        <f>SUM(M113:M123)</f>
        <v>562786979.77933717</v>
      </c>
      <c r="O169" s="351">
        <f>SUM(O113:O123)</f>
        <v>754106097.31103683</v>
      </c>
      <c r="P169" s="352">
        <f>SUM(P113:P123)</f>
        <v>538957703.43413675</v>
      </c>
      <c r="R169" s="110"/>
      <c r="T169" s="351">
        <f>SUM(T113:T123)</f>
        <v>739975100.83040416</v>
      </c>
      <c r="U169" s="352"/>
      <c r="V169" s="353">
        <f>SUM(V113:V123)</f>
        <v>649512614.63604724</v>
      </c>
      <c r="W169" s="5013"/>
      <c r="X169" s="351">
        <f>SUM(X113:X123)</f>
        <v>739975100.83040416</v>
      </c>
      <c r="Y169" s="352">
        <f>SUM(Y113:Y123)</f>
        <v>649512614.63604724</v>
      </c>
      <c r="AA169" s="110"/>
      <c r="AC169" s="351">
        <f>SUM(AC113:AC123)</f>
        <v>1207096129.3807037</v>
      </c>
      <c r="AD169" s="352"/>
      <c r="AE169" s="353">
        <f>SUM(AE113:AE123)</f>
        <v>805510633.42935252</v>
      </c>
      <c r="AF169" s="352"/>
      <c r="AH169" s="351">
        <f>SUM(AH113:AH123)</f>
        <v>1.1287592326441369</v>
      </c>
      <c r="AI169" s="352"/>
      <c r="AJ169" s="353">
        <f>SUM(AJ113:AJ123)</f>
        <v>0.78749301933067839</v>
      </c>
      <c r="AK169" s="352"/>
      <c r="AN169" s="351">
        <f>SUM(AN113:AN123)</f>
        <v>0</v>
      </c>
      <c r="AO169" s="352"/>
      <c r="AP169" s="353">
        <f>SUM(AP113:AP123)</f>
        <v>0</v>
      </c>
      <c r="AQ169" s="352"/>
      <c r="AT169" s="351">
        <f>SUM(AT113:AT123)</f>
        <v>0</v>
      </c>
      <c r="AU169" s="352"/>
      <c r="AV169" s="353">
        <f>SUM(AV113:AV123)</f>
        <v>0</v>
      </c>
      <c r="AW169" s="352"/>
    </row>
    <row r="170" spans="1:50" x14ac:dyDescent="0.35">
      <c r="A170" s="9168"/>
      <c r="B170" s="6082"/>
      <c r="C170"/>
      <c r="D170" s="110" t="s">
        <v>570</v>
      </c>
      <c r="F170" s="349">
        <f>SUM(F127:F143)*F31</f>
        <v>77522302284.803406</v>
      </c>
      <c r="G170" s="350"/>
      <c r="H170" s="351">
        <f>SUM(H127:H143)*H31</f>
        <v>90685275016.279572</v>
      </c>
      <c r="I170" s="353">
        <f>SUM(I127:I143)*I31</f>
        <v>77622180067.369659</v>
      </c>
      <c r="J170" s="5546"/>
      <c r="L170" s="351">
        <f>SUM(L127:L143)*L31</f>
        <v>105681418874.0287</v>
      </c>
      <c r="M170" s="353">
        <f>SUM(M127:M143)*M31</f>
        <v>93439260416.666672</v>
      </c>
      <c r="O170" s="351">
        <f>SUM(O127:O143)*O31</f>
        <v>105681418874.0287</v>
      </c>
      <c r="P170" s="352">
        <f>SUM(P127:P143)*P31</f>
        <v>71075709984.152145</v>
      </c>
      <c r="R170" s="110"/>
      <c r="T170" s="351">
        <f>SUM(T127:T143)*T31</f>
        <v>103982859701.32008</v>
      </c>
      <c r="U170" s="352"/>
      <c r="V170" s="353">
        <f>SUM(V127:V143)*V31</f>
        <v>70056597464.342316</v>
      </c>
      <c r="W170" s="5013"/>
      <c r="X170" s="351">
        <f>SUM(X127:X143)*X31</f>
        <v>2706472.2778582834</v>
      </c>
      <c r="Y170" s="352">
        <f>SUM(Y127:Y143)*Y31</f>
        <v>2821937.6693766941</v>
      </c>
      <c r="AA170" s="110"/>
      <c r="AC170" s="351">
        <f>SUM(AC127:AC143)*AC31</f>
        <v>0</v>
      </c>
      <c r="AD170" s="352"/>
      <c r="AE170" s="353">
        <f>SUM(AE127:AE143)*AE31</f>
        <v>0</v>
      </c>
      <c r="AF170" s="352"/>
      <c r="AH170" s="351">
        <f>SUM(AH127:AH143)*AH31</f>
        <v>0</v>
      </c>
      <c r="AI170" s="352"/>
      <c r="AJ170" s="353">
        <f>SUM(AJ127:AJ143)*AJ31</f>
        <v>0</v>
      </c>
      <c r="AK170" s="352"/>
      <c r="AN170" s="351">
        <f>SUM(AN127:AN143)*AN31</f>
        <v>0</v>
      </c>
      <c r="AO170" s="352"/>
      <c r="AP170" s="353">
        <f>SUM(AP127:AP143)*AP31</f>
        <v>0</v>
      </c>
      <c r="AQ170" s="352"/>
      <c r="AT170" s="351">
        <f>AT125*AT31</f>
        <v>59.306825462111632</v>
      </c>
      <c r="AU170" s="352"/>
      <c r="AV170" s="353">
        <f>AV125*AV31</f>
        <v>58.814162965465009</v>
      </c>
      <c r="AW170" s="352"/>
    </row>
    <row r="171" spans="1:50" x14ac:dyDescent="0.35">
      <c r="A171" s="9168"/>
      <c r="B171" s="6082"/>
      <c r="C171"/>
      <c r="D171" s="110" t="s">
        <v>552</v>
      </c>
      <c r="F171" s="349">
        <f>SUM(F145:F147)</f>
        <v>746699000000</v>
      </c>
      <c r="G171" s="350"/>
      <c r="H171" s="351">
        <f>SUM(H145:H147)</f>
        <v>1095780000000</v>
      </c>
      <c r="I171" s="353">
        <f>SUM(I145:I147)</f>
        <v>1077890000000</v>
      </c>
      <c r="J171" s="5546"/>
      <c r="L171" s="351">
        <f>SUM(L145:L147)</f>
        <v>1384820000000</v>
      </c>
      <c r="M171" s="353">
        <f>SUM(M145:M147)</f>
        <v>1327940000000</v>
      </c>
      <c r="O171" s="351">
        <f>SUM(O145:O147)</f>
        <v>1384820000000</v>
      </c>
      <c r="P171" s="352">
        <f>SUM(P145:P147)</f>
        <v>1327940000000</v>
      </c>
      <c r="R171" s="110"/>
      <c r="T171" s="351">
        <f>SUM(T146:T147)</f>
        <v>1292160000000</v>
      </c>
      <c r="U171" s="352"/>
      <c r="V171" s="353">
        <f>SUM(V146:V147)</f>
        <v>1292160000000</v>
      </c>
      <c r="W171" s="5013"/>
      <c r="X171" s="351">
        <f>SUM(X146:X147)</f>
        <v>1292160000000</v>
      </c>
      <c r="Y171" s="352">
        <f>SUM(Y146:Y147)</f>
        <v>1292160000000</v>
      </c>
      <c r="AA171" s="110"/>
      <c r="AC171" s="351">
        <f>SUM(AC146:AC147)</f>
        <v>1384906000000</v>
      </c>
      <c r="AD171" s="352"/>
      <c r="AE171" s="353">
        <f>SUM(AE146:AE147)</f>
        <v>1384906000000</v>
      </c>
      <c r="AF171" s="352"/>
      <c r="AH171" s="351">
        <f>SUM(AH146:AH147)</f>
        <v>1433.5330000000001</v>
      </c>
      <c r="AI171" s="352"/>
      <c r="AJ171" s="353">
        <f>SUM(AJ146:AJ147)</f>
        <v>1417.5940000000001</v>
      </c>
      <c r="AK171" s="352"/>
      <c r="AN171" s="351">
        <f>SUM(AN146:AN147)</f>
        <v>1381.9960000000001</v>
      </c>
      <c r="AO171" s="352"/>
      <c r="AP171" s="353">
        <f>SUM(AP146:AP147)</f>
        <v>1381.9960000000001</v>
      </c>
      <c r="AQ171" s="352"/>
      <c r="AT171" s="351">
        <f>SUM(AT146:AT147)</f>
        <v>0</v>
      </c>
      <c r="AU171" s="352"/>
      <c r="AV171" s="353">
        <f>SUM(AV146:AV147)</f>
        <v>0</v>
      </c>
      <c r="AW171" s="352"/>
    </row>
    <row r="172" spans="1:50" x14ac:dyDescent="0.35">
      <c r="A172" s="9168"/>
      <c r="B172" s="6082"/>
      <c r="C172"/>
      <c r="D172" s="356" t="s">
        <v>571</v>
      </c>
      <c r="E172" s="143"/>
      <c r="F172" s="357">
        <f>SUM(F168:F171)</f>
        <v>1192193535634.6533</v>
      </c>
      <c r="G172" s="358"/>
      <c r="H172" s="359">
        <f>SUM(H168:H171)</f>
        <v>1847407563397.3296</v>
      </c>
      <c r="I172" s="362">
        <f>SUM(I168:I171)</f>
        <v>1662644768448.4197</v>
      </c>
      <c r="J172" s="5546"/>
      <c r="K172" s="143"/>
      <c r="L172" s="359">
        <f>SUM(L168:L171)</f>
        <v>2136181488298.5161</v>
      </c>
      <c r="M172" s="362">
        <f>SUM(M168:M171)</f>
        <v>1958786047396.446</v>
      </c>
      <c r="N172" s="143"/>
      <c r="O172" s="359">
        <f>SUM(O168:O171)</f>
        <v>2132906524971.3398</v>
      </c>
      <c r="P172" s="360">
        <f>SUM(P168:P171)</f>
        <v>1921549667687.5864</v>
      </c>
      <c r="Q172" s="143"/>
      <c r="R172" s="356"/>
      <c r="S172" s="143"/>
      <c r="T172" s="359">
        <f>SUM(T168:T171)</f>
        <v>2176113834802.1504</v>
      </c>
      <c r="U172" s="360"/>
      <c r="V172" s="362">
        <f>SUM(V168:V171)</f>
        <v>2091551110078.9783</v>
      </c>
      <c r="W172" s="5013"/>
      <c r="X172" s="359">
        <f>SUM(X168:X171)</f>
        <v>2072133681573.1084</v>
      </c>
      <c r="Y172" s="360">
        <f>SUM(Y168:Y171)</f>
        <v>2021497334552.3054</v>
      </c>
      <c r="Z172" s="143"/>
      <c r="AA172" s="356"/>
      <c r="AB172" s="143"/>
      <c r="AC172" s="359">
        <f>SUM(AC168:AC171)</f>
        <v>2489637096129.3809</v>
      </c>
      <c r="AD172" s="360"/>
      <c r="AE172" s="362">
        <f>SUM(AE168:AE171)</f>
        <v>2265999510633.4292</v>
      </c>
      <c r="AF172" s="360"/>
      <c r="AH172" s="359">
        <f>SUM(AH168:AH171)</f>
        <v>2502.251759232644</v>
      </c>
      <c r="AI172" s="360"/>
      <c r="AJ172" s="362">
        <f>SUM(AJ168:AJ171)</f>
        <v>2312.1844930193306</v>
      </c>
      <c r="AK172" s="360"/>
      <c r="AN172" s="359">
        <f>SUM(AN168:AN171)</f>
        <v>2522.8779999999997</v>
      </c>
      <c r="AO172" s="360"/>
      <c r="AP172" s="362">
        <f>SUM(AP168:AP171)</f>
        <v>2478.09</v>
      </c>
      <c r="AQ172" s="360"/>
      <c r="AT172" s="359">
        <f>SUM(AT168:AT171)</f>
        <v>3456.9498254621117</v>
      </c>
      <c r="AU172" s="360"/>
      <c r="AV172" s="362">
        <f>SUM(AV168:AV171)</f>
        <v>3381.9181629654654</v>
      </c>
      <c r="AW172" s="360"/>
    </row>
    <row r="173" spans="1:50" ht="15.5" x14ac:dyDescent="0.35">
      <c r="A173" s="9168"/>
      <c r="B173" s="6082"/>
      <c r="C173"/>
      <c r="D173" s="356" t="s">
        <v>572</v>
      </c>
      <c r="F173" s="559">
        <f>F172/(F17+F18+F19+F20)</f>
        <v>0.14394995600515012</v>
      </c>
      <c r="G173" s="560"/>
      <c r="H173" s="561">
        <f>H172/(H17+H18+H19+H20)</f>
        <v>0.15280965155152607</v>
      </c>
      <c r="I173" s="563">
        <f>I172/(I17+I18+I19+I20)</f>
        <v>0.15918397369489312</v>
      </c>
      <c r="J173" s="5546"/>
      <c r="L173" s="561">
        <f>L172/(L17+L18+L19+L20)</f>
        <v>0.17214498020005448</v>
      </c>
      <c r="M173" s="561">
        <f>M172/(M17+M18+M19+M20)</f>
        <v>0.1675894975527418</v>
      </c>
      <c r="O173" s="561">
        <f>O172/(O17+O18+O19+O20)</f>
        <v>0.17188106606157849</v>
      </c>
      <c r="P173" s="562">
        <f>P172/(P17+P18+P19+P20)</f>
        <v>0.16415363902403821</v>
      </c>
      <c r="R173" s="110"/>
      <c r="T173" s="561">
        <f>T172/(T17+T18+T19+T20)</f>
        <v>0.15420089247616603</v>
      </c>
      <c r="U173" s="7562"/>
      <c r="V173" s="559">
        <f>V172/(V17+V18+V19+V20)</f>
        <v>0.15702335661253591</v>
      </c>
      <c r="W173" s="5013"/>
      <c r="X173" s="561">
        <f>X172/(X17+X18+X19+X20)</f>
        <v>0.146832788762426</v>
      </c>
      <c r="Y173" s="562">
        <f>Y172/(Y17+Y18+Y19+Y20)</f>
        <v>0.15092558866300623</v>
      </c>
      <c r="AA173" s="110"/>
      <c r="AC173" s="561">
        <f>AC172/(AC17+AC18+AC19+AC20)</f>
        <v>0.14816622603876575</v>
      </c>
      <c r="AD173" s="7562"/>
      <c r="AE173" s="563">
        <f>AE172/(AE17+AE18+AE19+AE20)</f>
        <v>0.15788736835517206</v>
      </c>
      <c r="AF173" s="7562"/>
      <c r="AH173" s="561">
        <f>AH172/(AH17+AH18+AH19+AH20)</f>
        <v>0.138439462853195</v>
      </c>
      <c r="AI173" s="7562"/>
      <c r="AJ173" s="563">
        <f>AJ172/(AJ17+AJ18+AJ19+AJ20)</f>
        <v>0.14253738799004603</v>
      </c>
      <c r="AK173" s="7562"/>
      <c r="AN173" s="561">
        <f>AN172/(AN17+AN18+AN19+AN20)</f>
        <v>0.11752798237600617</v>
      </c>
      <c r="AO173" s="7562"/>
      <c r="AP173" s="563">
        <f>AP172/(AP17+AP18+AP19+AP20)</f>
        <v>0.12455586489547087</v>
      </c>
      <c r="AQ173" s="7562"/>
      <c r="AT173" s="561">
        <f>AT172/(AT17+AT18+AT19+AT20)</f>
        <v>0.12035417525598217</v>
      </c>
      <c r="AU173" s="7562"/>
      <c r="AV173" s="563">
        <f>AV172/(AV17+AV18+AV19+AV20)</f>
        <v>0.1396071158818894</v>
      </c>
      <c r="AW173" s="7562"/>
    </row>
    <row r="174" spans="1:50" x14ac:dyDescent="0.35">
      <c r="A174" s="9168"/>
      <c r="B174" s="5026"/>
      <c r="C174" s="5027"/>
      <c r="D174" s="5028" t="s">
        <v>573</v>
      </c>
      <c r="E174" s="5029"/>
      <c r="F174" s="5030"/>
      <c r="G174" s="8875"/>
      <c r="H174" s="5032"/>
      <c r="I174" s="5033"/>
      <c r="J174" s="7070"/>
      <c r="K174" s="8875"/>
      <c r="L174" s="5035"/>
      <c r="M174" s="5036"/>
      <c r="N174" s="2746"/>
      <c r="O174" s="5032">
        <f>O45+O49+O53+O57+O61+O65+O69+O73+O77+O81+O85+O89+SUM(O113:O123)+O146+O170</f>
        <v>1803591524971.3398</v>
      </c>
      <c r="P174" s="5033">
        <f>P45+P49+P53+P57+P61+P65+P69+P73+P77+P81+P85+P89+SUM(P113:P123)+P146+P170</f>
        <v>1721854667687.5862</v>
      </c>
      <c r="Q174" s="7069"/>
      <c r="R174" s="7070"/>
      <c r="S174" s="2746"/>
      <c r="T174" s="381">
        <f>T45+T49+T53+T57+T61+T65+T69+T73+T77+T81+T85+T89+T93+T97+T101+T105+SUM(T113:T123)+T146+T170</f>
        <v>1858295834802.1504</v>
      </c>
      <c r="U174" s="7069"/>
      <c r="V174" s="5036">
        <f>V45+V49+V53+V57+V61+V65+V69+V73+V77+V81+V85+V89+V93+V97+V101+V105+SUM(V113:V123)+V146+V170</f>
        <v>1836628110078.9783</v>
      </c>
      <c r="W174" s="5013"/>
      <c r="X174" s="5032">
        <f>X45+X49+X53+X57+X61+X65+X69+X73+X77+X81+X85+X89+X93+X97+X101+X105+SUM(X113:X123)+X146+X170</f>
        <v>1753662681573.1082</v>
      </c>
      <c r="Y174" s="5033">
        <f>Y45+Y49+Y53+Y57+Y61+Y65+Y69+Y73+Y77+Y81+Y85+Y89+Y93+Y97+Y101+Y105+SUM(Y113:Y123)+Y146+Y170</f>
        <v>1766539334552.3054</v>
      </c>
      <c r="Z174" s="7069"/>
      <c r="AA174" s="7070"/>
      <c r="AB174" s="2746"/>
      <c r="AC174" s="381">
        <f>AC45+AC49+AC53+AC57+AC61+AC65+AC69+AC73+AC77+AC81+AC85+AC89+AC93+AC97+AC101+AC105+SUM(AC113:AC123)+AC146+AC170</f>
        <v>1902057096129.3809</v>
      </c>
      <c r="AD174" s="7069"/>
      <c r="AE174" s="680">
        <f>AE45+AE49+AE53+AE57+AE61+AE65+AE69+AE73+AE77+AE81+AE85+AE89+AE93+AE97+AE101+AE105+SUM(AE113:AE123)+AE146+AE170</f>
        <v>1902765510633.4292</v>
      </c>
      <c r="AF174" s="3622"/>
      <c r="AH174" s="381">
        <f>AH45+AH49+AH53+AH57+AH61+AH65+AH69+AH73+AH77+AH81+AH85+AH89+AH93+AH97+AH101+AH105+SUM(AH113:AH123)+AH146+AH170</f>
        <v>1952.6787592326441</v>
      </c>
      <c r="AI174" s="7069"/>
      <c r="AJ174" s="5036">
        <f>AJ45+AJ49+AJ53+AJ57+AJ61+AJ65+AJ69+AJ73+AJ77+AJ81+AJ85+AJ89+AJ93+AJ97+AJ101+AJ105+SUM(AJ113:AJ123)+AJ146+AJ170</f>
        <v>1965.4034930193304</v>
      </c>
      <c r="AK174" s="3622"/>
      <c r="AN174" s="381">
        <f>AN45+AN49+AN53+AN57+AN61+AN65+AN69+AN73+AN77+AN81+AN85+AN89+AN93+AN97+AN101+AN105+SUM(AN113:AN123)+AN146+AN170</f>
        <v>1946.0540000000003</v>
      </c>
      <c r="AO174" s="7069"/>
      <c r="AP174" s="5036">
        <f>AP45+AP49+AP53+AP57+AP61+AP65+AP69+AP73+AP77+AP81+AP85+AP89+AP93+AP97+AP101+AP105+SUM(AP113:AP123)+AP146+AP170</f>
        <v>1975.546</v>
      </c>
      <c r="AQ174" s="3622"/>
      <c r="AT174" s="381">
        <f>AT38</f>
        <v>2774.424</v>
      </c>
      <c r="AU174" s="7069"/>
      <c r="AV174" s="5036">
        <f>AV38</f>
        <v>2810.5630000000001</v>
      </c>
      <c r="AW174" s="3622"/>
    </row>
    <row r="175" spans="1:50" x14ac:dyDescent="0.35">
      <c r="A175" s="9169"/>
      <c r="B175" s="371"/>
      <c r="C175" s="372"/>
      <c r="D175" s="296" t="s">
        <v>575</v>
      </c>
      <c r="E175" s="374"/>
      <c r="F175" s="1054"/>
      <c r="G175" s="958"/>
      <c r="H175" s="1056"/>
      <c r="I175" s="953"/>
      <c r="J175" s="5419"/>
      <c r="K175" s="958"/>
      <c r="L175" s="1203"/>
      <c r="M175" s="1058"/>
      <c r="O175" s="1056">
        <f>(O172-O174)/(O18+O19+O20)</f>
        <v>8.6106680611844691E-2</v>
      </c>
      <c r="P175" s="953">
        <f>(P172-P174)/(P18+P19+P20)</f>
        <v>3.8186251075628695E-2</v>
      </c>
      <c r="Q175" s="3622"/>
      <c r="R175" s="5419"/>
      <c r="T175" s="1056">
        <f>(T172-T174)/(T18+T19+T20)</f>
        <v>4.4644883969208293E-2</v>
      </c>
      <c r="V175" s="1058">
        <f>(V172-V174)/(V18+V19+V20)</f>
        <v>4.3777132847918669E-2</v>
      </c>
      <c r="W175" s="5013"/>
      <c r="X175" s="1056">
        <f>(X172-X174)/(X18+X19+X20)</f>
        <v>4.4736612912288622E-2</v>
      </c>
      <c r="Y175" s="953">
        <f>(Y172-Y174)/(Y18+Y19+Y20)</f>
        <v>4.3162011173184356E-2</v>
      </c>
      <c r="Z175" s="3622"/>
      <c r="AA175" s="5419"/>
      <c r="AC175" s="1056">
        <f>(AC172-AC174)/(AC18+AC19+AC20)</f>
        <v>6.3687405159332328E-2</v>
      </c>
      <c r="AE175" s="1058">
        <f>(AE172-AE174)/(AE18+AE19+AE20)</f>
        <v>5.4068770467401009E-2</v>
      </c>
      <c r="AH175" s="1056">
        <f>(AH172-AH174)/(AH18+AH19+AH20)</f>
        <v>5.4542774910678826E-2</v>
      </c>
      <c r="AJ175" s="1058">
        <f>(AJ172-AJ174)/(AJ18+AJ19+AJ20)</f>
        <v>4.5833520572025242E-2</v>
      </c>
      <c r="AN175" s="1056">
        <f>(AN172-AN174)/(AN18+AN19+AN20)</f>
        <v>4.8420766339230051E-2</v>
      </c>
      <c r="AP175" s="1058">
        <f>(AP172-AP174)/(AP18+AP19+AP20)</f>
        <v>5.0018761614036282E-2</v>
      </c>
      <c r="AT175" s="1056">
        <f>(AT172-AT174)/(AT19+AT20)</f>
        <v>4.0770154954304014E-2</v>
      </c>
      <c r="AV175" s="1058">
        <f>(AV172-AV174)/(AV19+AV20)</f>
        <v>4.7361323217528985E-2</v>
      </c>
    </row>
    <row r="176" spans="1:50" s="462" customFormat="1" x14ac:dyDescent="0.35">
      <c r="B176" s="371"/>
      <c r="C176" s="372"/>
      <c r="D176" s="296" t="s">
        <v>576</v>
      </c>
      <c r="E176" s="374"/>
      <c r="F176" s="1054"/>
      <c r="G176" s="958"/>
      <c r="H176" s="1056"/>
      <c r="I176" s="953"/>
      <c r="J176" s="5419"/>
      <c r="K176" s="958"/>
      <c r="L176" s="1203"/>
      <c r="M176" s="1058"/>
      <c r="N176" s="1"/>
      <c r="O176" s="1056">
        <f>O174/O17</f>
        <v>0.21009371614282851</v>
      </c>
      <c r="P176" s="953">
        <f>P174/P17</f>
        <v>0.26587012147176414</v>
      </c>
      <c r="Q176" s="3622"/>
      <c r="R176" s="5419"/>
      <c r="S176" s="1"/>
      <c r="T176" s="1056">
        <f>T174/T17</f>
        <v>0.26572137083566655</v>
      </c>
      <c r="U176"/>
      <c r="V176" s="1058">
        <f>V174/V17</f>
        <v>0.24498827634176959</v>
      </c>
      <c r="W176" s="5013"/>
      <c r="X176" s="1056">
        <f>X174/X17</f>
        <v>0.25075967077145711</v>
      </c>
      <c r="Y176" s="953">
        <f>Y174/Y17</f>
        <v>0.23594755370005416</v>
      </c>
      <c r="Z176" s="3622"/>
      <c r="AA176" s="5419"/>
      <c r="AB176" s="1"/>
      <c r="AC176" s="1056">
        <f>AC174/AC17</f>
        <v>0.25103036770877402</v>
      </c>
      <c r="AD176"/>
      <c r="AE176" s="1058">
        <f>AE174/AE17</f>
        <v>0.24924882245656657</v>
      </c>
      <c r="AF176"/>
      <c r="AG176"/>
      <c r="AH176" s="1056">
        <f>AH174/AH17</f>
        <v>0.2441245151377904</v>
      </c>
      <c r="AI176"/>
      <c r="AJ176" s="1058">
        <f>AJ174/AJ17</f>
        <v>0.22706989694637286</v>
      </c>
      <c r="AK176"/>
      <c r="AL176"/>
      <c r="AM176"/>
      <c r="AN176" s="1056">
        <f>AN174/AN17</f>
        <v>0.20370169938608571</v>
      </c>
      <c r="AO176"/>
      <c r="AP176" s="1058">
        <f>AP174/AP17</f>
        <v>0.20059766660235778</v>
      </c>
      <c r="AQ176"/>
      <c r="AR176"/>
      <c r="AS176"/>
      <c r="AT176" s="1056">
        <f>AT174/AT17</f>
        <v>0.23154314022660052</v>
      </c>
      <c r="AU176"/>
      <c r="AV176" s="1058">
        <f>AV174/AV17</f>
        <v>0.23111681066772802</v>
      </c>
      <c r="AW176"/>
      <c r="AX176"/>
    </row>
    <row r="177" spans="1:50" s="462" customFormat="1" x14ac:dyDescent="0.35">
      <c r="A177" s="455" t="s">
        <v>582</v>
      </c>
      <c r="B177" s="371"/>
      <c r="C177" s="372"/>
      <c r="D177" s="296"/>
      <c r="E177" s="374"/>
      <c r="F177" s="1054"/>
      <c r="G177" s="958"/>
      <c r="H177" s="1056"/>
      <c r="I177" s="953"/>
      <c r="J177" s="5419"/>
      <c r="K177" s="958"/>
      <c r="L177" s="1203"/>
      <c r="M177" s="1058"/>
      <c r="N177" s="1"/>
      <c r="O177" s="1056"/>
      <c r="P177" s="953"/>
      <c r="Q177" s="3622"/>
      <c r="R177" s="5419"/>
      <c r="S177" s="1"/>
      <c r="T177" s="1056"/>
      <c r="U177"/>
      <c r="V177" s="1058"/>
      <c r="W177" s="5013"/>
      <c r="X177" s="1056"/>
      <c r="Y177" s="953"/>
      <c r="Z177" s="3622"/>
      <c r="AA177" s="5419"/>
      <c r="AB177" s="1"/>
      <c r="AC177" s="1056"/>
      <c r="AD177"/>
      <c r="AE177" s="1058"/>
      <c r="AF177"/>
      <c r="AG177"/>
      <c r="AH177" s="1056"/>
      <c r="AI177"/>
      <c r="AJ177" s="1058"/>
      <c r="AK177"/>
      <c r="AL177"/>
      <c r="AM177"/>
      <c r="AN177" s="1056"/>
      <c r="AO177"/>
      <c r="AP177" s="1058"/>
      <c r="AQ177"/>
      <c r="AR177"/>
      <c r="AS177"/>
      <c r="AT177" s="1056"/>
      <c r="AU177"/>
      <c r="AV177" s="1058"/>
      <c r="AW177"/>
      <c r="AX177"/>
    </row>
    <row r="178" spans="1:50" s="462" customFormat="1" ht="12" customHeight="1" x14ac:dyDescent="0.35">
      <c r="A178" s="463">
        <v>1</v>
      </c>
      <c r="B178" s="371"/>
      <c r="C178" s="372"/>
      <c r="D178" s="296" t="s">
        <v>577</v>
      </c>
      <c r="E178" s="374"/>
      <c r="F178" s="1054">
        <f>F172/F12</f>
        <v>0.18630935077897379</v>
      </c>
      <c r="G178" s="958"/>
      <c r="H178" s="1056">
        <f>H172/H12</f>
        <v>0.21087683074188179</v>
      </c>
      <c r="I178" s="953">
        <f>I172/I12</f>
        <v>0.20358832434746221</v>
      </c>
      <c r="J178" s="5419"/>
      <c r="K178" s="958"/>
      <c r="L178" s="1203">
        <f>L172/L12</f>
        <v>0.21837657438571637</v>
      </c>
      <c r="M178" s="1058">
        <f>M172/M12</f>
        <v>0.19715419236424125</v>
      </c>
      <c r="N178" s="1"/>
      <c r="O178" s="1056">
        <f>O172/O12</f>
        <v>0.21804178294756135</v>
      </c>
      <c r="P178" s="953">
        <f>P172/P12</f>
        <v>0.18998909112987802</v>
      </c>
      <c r="Q178" s="3622"/>
      <c r="R178" s="5419"/>
      <c r="S178" s="1"/>
      <c r="T178" s="1056">
        <f>T172/T12</f>
        <v>0.19086708721907786</v>
      </c>
      <c r="U178"/>
      <c r="V178" s="1058">
        <f>V172/V12</f>
        <v>0.18189773536365425</v>
      </c>
      <c r="W178" s="5013"/>
      <c r="X178" s="1056">
        <f>X172/X12</f>
        <v>0.18174698115751925</v>
      </c>
      <c r="Y178" s="953">
        <f>Y172/Y12</f>
        <v>0.17581295308334541</v>
      </c>
      <c r="Z178" s="3622"/>
      <c r="AA178" s="5419"/>
      <c r="AB178" s="1"/>
      <c r="AC178" s="1056">
        <f>AC172/AC12</f>
        <v>0.19278589872459198</v>
      </c>
      <c r="AD178"/>
      <c r="AE178" s="1058">
        <f>AE172/AE12</f>
        <v>0.17502120264412058</v>
      </c>
      <c r="AF178"/>
      <c r="AG178"/>
      <c r="AH178" s="1056">
        <f>AH172/AH12</f>
        <v>0.16613011281587067</v>
      </c>
      <c r="AI178"/>
      <c r="AJ178" s="1058">
        <f>AJ172/AJ12</f>
        <v>0.15938515416934912</v>
      </c>
      <c r="AK178"/>
      <c r="AL178"/>
      <c r="AM178"/>
      <c r="AN178" s="1056">
        <f>AN172/AN12</f>
        <v>0.15422136451245536</v>
      </c>
      <c r="AO178"/>
      <c r="AP178" s="1058">
        <f>AP172/AP12</f>
        <v>0.14894345943782197</v>
      </c>
      <c r="AQ178"/>
      <c r="AR178"/>
      <c r="AS178"/>
      <c r="AT178" s="1056">
        <f>AT172/AT12</f>
        <v>0.1674353933365903</v>
      </c>
      <c r="AU178"/>
      <c r="AV178" s="1058">
        <f>AV172/AV12</f>
        <v>0.19564650893652183</v>
      </c>
      <c r="AW178"/>
      <c r="AX178"/>
    </row>
    <row r="179" spans="1:50" s="462" customFormat="1" x14ac:dyDescent="0.35">
      <c r="A179" s="468">
        <v>2</v>
      </c>
      <c r="B179" s="58"/>
      <c r="C179" s="390"/>
      <c r="D179" s="59" t="s">
        <v>578</v>
      </c>
      <c r="E179" s="424"/>
      <c r="F179" s="981">
        <f>F172-SUM(F149:F153)</f>
        <v>1066596941975.2473</v>
      </c>
      <c r="G179" s="982"/>
      <c r="H179" s="983"/>
      <c r="I179" s="979">
        <f>I172-SUM(I149:I153)</f>
        <v>1112448762408.4197</v>
      </c>
      <c r="J179" s="246"/>
      <c r="K179" s="982"/>
      <c r="L179" s="986"/>
      <c r="M179" s="984"/>
      <c r="N179" s="1"/>
      <c r="O179" s="983">
        <f>O172-SUM(O149:O153)</f>
        <v>1901223524971.3398</v>
      </c>
      <c r="P179" s="979">
        <f>P172-SUM(P149:P153)</f>
        <v>1813067667687.5864</v>
      </c>
      <c r="Q179" s="985"/>
      <c r="R179" s="246"/>
      <c r="S179" s="1"/>
      <c r="T179" s="983">
        <f>T172-SUM(T149:T153)</f>
        <v>1975636834802.1504</v>
      </c>
      <c r="U179"/>
      <c r="V179" s="984">
        <f>V172-SUM(V149:V153)</f>
        <v>1947736110078.9783</v>
      </c>
      <c r="W179" s="5013"/>
      <c r="X179" s="983">
        <f>X172-SUM(X149:X153)</f>
        <v>1871656681573.1084</v>
      </c>
      <c r="Y179" s="979">
        <f>Y172-SUM(Y149:Y153)</f>
        <v>1877682334552.3054</v>
      </c>
      <c r="Z179" s="985"/>
      <c r="AA179" s="246"/>
      <c r="AB179" s="1"/>
      <c r="AC179" s="983">
        <f>AC172-SUM(AC149:AC153)</f>
        <v>2092716096129.3809</v>
      </c>
      <c r="AD179"/>
      <c r="AE179" s="984">
        <f>AE172-SUM(AE149:AE153)</f>
        <v>2033318510633.4292</v>
      </c>
      <c r="AF179"/>
      <c r="AG179"/>
      <c r="AH179" s="983">
        <f>AH172-SUM(AH149:AH153)</f>
        <v>2113.2937592326439</v>
      </c>
      <c r="AI179"/>
      <c r="AJ179" s="984">
        <f>AJ172-SUM(AJ149:AJ153)</f>
        <v>2115.1504930193305</v>
      </c>
      <c r="AK179"/>
      <c r="AL179"/>
      <c r="AM179"/>
      <c r="AN179" s="983">
        <f>AN172-SUM(AN149:AN153)</f>
        <v>2185.9859999999999</v>
      </c>
      <c r="AO179"/>
      <c r="AP179" s="984">
        <f>AP172-SUM(AP149:AP153)</f>
        <v>2227.0370000000003</v>
      </c>
      <c r="AQ179"/>
      <c r="AR179"/>
      <c r="AS179"/>
      <c r="AT179" s="983"/>
      <c r="AU179"/>
      <c r="AV179" s="984"/>
      <c r="AW179"/>
      <c r="AX179"/>
    </row>
    <row r="180" spans="1:50" s="462" customFormat="1" x14ac:dyDescent="0.35">
      <c r="A180" s="463">
        <v>3</v>
      </c>
      <c r="B180" s="371"/>
      <c r="C180" s="372"/>
      <c r="D180" s="296" t="s">
        <v>579</v>
      </c>
      <c r="E180" s="374"/>
      <c r="F180" s="1054">
        <f>F179/F12</f>
        <v>0.16668181621741637</v>
      </c>
      <c r="G180" s="958"/>
      <c r="H180" s="1056"/>
      <c r="I180" s="953">
        <f>I179/I12</f>
        <v>0.13621765981466438</v>
      </c>
      <c r="J180" s="5419"/>
      <c r="K180" s="958"/>
      <c r="L180" s="1203"/>
      <c r="M180" s="1058"/>
      <c r="N180" s="1"/>
      <c r="O180" s="1056">
        <f>O179/O12</f>
        <v>0.19435740024854989</v>
      </c>
      <c r="P180" s="953">
        <f>P179/P12</f>
        <v>0.17926316666873507</v>
      </c>
      <c r="Q180" s="3622"/>
      <c r="R180" s="5419"/>
      <c r="S180" s="1"/>
      <c r="T180" s="1056">
        <f>T179/T12</f>
        <v>0.17328323639635743</v>
      </c>
      <c r="U180"/>
      <c r="V180" s="1058">
        <f>V179/V12</f>
        <v>0.16939045180492918</v>
      </c>
      <c r="W180" s="5013"/>
      <c r="X180" s="1056">
        <f>X179/X12</f>
        <v>0.16416313033479882</v>
      </c>
      <c r="Y180" s="953">
        <f>Y179/Y12</f>
        <v>0.16330512563509353</v>
      </c>
      <c r="Z180" s="3622"/>
      <c r="AA180" s="5419"/>
      <c r="AB180" s="1"/>
      <c r="AC180" s="1056">
        <f>AC179/AC12</f>
        <v>0.16205018554509687</v>
      </c>
      <c r="AD180"/>
      <c r="AE180" s="1058">
        <f>AE179/AE12</f>
        <v>0.15704939450323852</v>
      </c>
      <c r="AF180"/>
      <c r="AG180"/>
      <c r="AH180" s="1056">
        <f>AH179/AH12</f>
        <v>0.1403063178351244</v>
      </c>
      <c r="AI180"/>
      <c r="AJ180" s="1058">
        <f>AJ179/AJ12</f>
        <v>0.1458030656459568</v>
      </c>
      <c r="AK180"/>
      <c r="AL180"/>
      <c r="AM180"/>
      <c r="AN180" s="1056">
        <f>AN179/AN12</f>
        <v>0.13362744600615814</v>
      </c>
      <c r="AO180"/>
      <c r="AP180" s="1058">
        <f>AP179/AP12</f>
        <v>0.13385413567547133</v>
      </c>
      <c r="AQ180"/>
      <c r="AR180"/>
      <c r="AS180"/>
      <c r="AT180" s="1056"/>
      <c r="AU180"/>
      <c r="AV180" s="1058"/>
      <c r="AW180"/>
      <c r="AX180"/>
    </row>
    <row r="181" spans="1:50" s="462" customFormat="1" x14ac:dyDescent="0.35">
      <c r="A181" s="468">
        <v>4</v>
      </c>
      <c r="B181" s="371"/>
      <c r="C181" s="372"/>
      <c r="D181" s="296"/>
      <c r="E181" s="374"/>
      <c r="F181" s="1054"/>
      <c r="G181" s="958"/>
      <c r="H181" s="1056"/>
      <c r="I181" s="953"/>
      <c r="J181" s="5419"/>
      <c r="K181" s="958"/>
      <c r="L181" s="1203"/>
      <c r="M181" s="1058"/>
      <c r="N181" s="1"/>
      <c r="O181" s="1056"/>
      <c r="P181" s="953"/>
      <c r="Q181" s="3622"/>
      <c r="R181" s="5419"/>
      <c r="S181" s="1"/>
      <c r="T181" s="1056"/>
      <c r="U181"/>
      <c r="V181" s="1058"/>
      <c r="W181" s="5013"/>
      <c r="X181" s="1056"/>
      <c r="Y181" s="953"/>
      <c r="Z181" s="3622"/>
      <c r="AA181" s="5419"/>
      <c r="AB181" s="1"/>
      <c r="AC181" s="1056"/>
      <c r="AD181"/>
      <c r="AE181" s="1058"/>
      <c r="AF181"/>
      <c r="AG181"/>
      <c r="AH181" s="1056"/>
      <c r="AI181"/>
      <c r="AJ181" s="1058"/>
      <c r="AK181"/>
      <c r="AL181"/>
      <c r="AM181"/>
      <c r="AN181" s="1056"/>
      <c r="AO181"/>
      <c r="AP181" s="1058"/>
      <c r="AQ181"/>
      <c r="AR181"/>
      <c r="AS181"/>
      <c r="AT181" s="1056"/>
      <c r="AU181"/>
      <c r="AV181" s="1058"/>
      <c r="AW181"/>
      <c r="AX181"/>
    </row>
    <row r="182" spans="1:50" s="462" customFormat="1" x14ac:dyDescent="0.35">
      <c r="A182" s="463">
        <v>5</v>
      </c>
      <c r="B182" s="4906"/>
      <c r="C182" s="4907"/>
      <c r="D182" s="980" t="s">
        <v>580</v>
      </c>
      <c r="E182" s="1"/>
      <c r="F182" s="4908"/>
      <c r="G182" s="6144"/>
      <c r="H182" s="3295"/>
      <c r="I182" s="3296"/>
      <c r="J182" s="5419"/>
      <c r="K182" s="6144"/>
      <c r="L182" s="3297"/>
      <c r="M182" s="5038"/>
      <c r="N182" s="1"/>
      <c r="O182" s="3295">
        <f>SUM(O155:O165)/O172</f>
        <v>0.47399639326134313</v>
      </c>
      <c r="P182" s="3296">
        <f>SUM(P155:P165)/P172</f>
        <v>0.46402131310662875</v>
      </c>
      <c r="Q182" s="3622"/>
      <c r="R182" s="5419"/>
      <c r="S182" s="1"/>
      <c r="T182" s="3295">
        <f>SUM(T155:T165)/T172</f>
        <v>0.44164509440168109</v>
      </c>
      <c r="U182"/>
      <c r="V182" s="5038">
        <f>SUM(V155:V165)/V172</f>
        <v>0.45874996569592252</v>
      </c>
      <c r="W182" s="5013"/>
      <c r="X182" s="3295">
        <f>SUM(X155:X165)/X172</f>
        <v>0.46380694862813165</v>
      </c>
      <c r="Y182" s="3296">
        <f>SUM(Y155:Y165)/Y172</f>
        <v>0.47464767012047393</v>
      </c>
      <c r="Z182" s="3622"/>
      <c r="AA182" s="5419"/>
      <c r="AB182" s="1"/>
      <c r="AC182" s="3295">
        <f>SUM(AC155:AC165)/AC172</f>
        <v>0.48041861276067804</v>
      </c>
      <c r="AD182"/>
      <c r="AE182" s="5038">
        <f>SUM(AE155:AE165)/AE172</f>
        <v>0.47266956368432633</v>
      </c>
      <c r="AF182" s="985"/>
      <c r="AG182"/>
      <c r="AH182" s="3295">
        <f>SUM(AH155:AH165)/AH172</f>
        <v>0.42572974364765204</v>
      </c>
      <c r="AI182"/>
      <c r="AJ182" s="5038">
        <f>SUM(AJ155:AJ165)/AJ172</f>
        <v>0.58184673587323155</v>
      </c>
      <c r="AK182" s="985"/>
      <c r="AL182"/>
      <c r="AM182"/>
      <c r="AN182" s="3295">
        <f>SUM(AN155:AN165)/AN172</f>
        <v>0.46900286101824995</v>
      </c>
      <c r="AO182"/>
      <c r="AP182" s="5038">
        <f>SUM(AP155:AP165)/AP172</f>
        <v>0.47710373715240373</v>
      </c>
      <c r="AQ182" s="985"/>
      <c r="AR182"/>
      <c r="AS182"/>
      <c r="AT182" s="3295">
        <f>SUM(AT155:AT165)/AT172</f>
        <v>0.31844835927083243</v>
      </c>
      <c r="AU182"/>
      <c r="AV182" s="5038">
        <f>SUM(AV155:AV165)/AV172</f>
        <v>0.32551349469518237</v>
      </c>
      <c r="AW182" s="985"/>
      <c r="AX182"/>
    </row>
    <row r="183" spans="1:50" s="462" customFormat="1" x14ac:dyDescent="0.35">
      <c r="A183" s="468">
        <v>6</v>
      </c>
      <c r="B183" s="85"/>
      <c r="C183" s="432"/>
      <c r="D183" s="86" t="s">
        <v>581</v>
      </c>
      <c r="E183" s="3659"/>
      <c r="F183" s="4909"/>
      <c r="G183" s="460"/>
      <c r="H183" s="5039"/>
      <c r="I183" s="4911"/>
      <c r="J183" s="3514"/>
      <c r="K183" s="460"/>
      <c r="L183" s="4910"/>
      <c r="M183" s="5040"/>
      <c r="N183" s="1"/>
      <c r="O183" s="1996">
        <f>SUM(O157:O160)/O174</f>
        <v>0.52412089262563011</v>
      </c>
      <c r="P183" s="1997">
        <f>SUM(P157:P160)/P174</f>
        <v>0.51082708460014437</v>
      </c>
      <c r="Q183" s="3347"/>
      <c r="R183" s="988"/>
      <c r="S183" s="1"/>
      <c r="T183" s="1996">
        <f>SUM(T157:T160)/T174</f>
        <v>0.48085454601211913</v>
      </c>
      <c r="U183" s="5069"/>
      <c r="V183" s="3435">
        <f>SUM(V157:V160)/V174</f>
        <v>0.48609677435548393</v>
      </c>
      <c r="W183" s="5013"/>
      <c r="X183" s="1996">
        <f>SUM(X157:X160)/X174</f>
        <v>0.50954497087115447</v>
      </c>
      <c r="Y183" s="1997">
        <f>SUM(Y157:Y160)/Y174</f>
        <v>0.50538302914509248</v>
      </c>
      <c r="Z183" s="3347"/>
      <c r="AA183" s="988"/>
      <c r="AB183" s="1"/>
      <c r="AC183" s="1996">
        <f>SUM(AC157:AC160)/AC174</f>
        <v>0.59821390341828229</v>
      </c>
      <c r="AD183" s="5069"/>
      <c r="AE183" s="3435">
        <f>SUM(AE157:AE160)/AE174</f>
        <v>0.54931992100910254</v>
      </c>
      <c r="AF183" s="3622"/>
      <c r="AG183"/>
      <c r="AH183" s="1996">
        <f>SUM(AH157:AH160)/AH174</f>
        <v>0.51604084657324123</v>
      </c>
      <c r="AI183" s="5069"/>
      <c r="AJ183" s="3435">
        <f>SUM(AJ157:AJ160)/AJ174</f>
        <v>0.65242989775605753</v>
      </c>
      <c r="AK183" s="3622"/>
      <c r="AL183"/>
      <c r="AM183"/>
      <c r="AN183" s="1996">
        <f>SUM(AN157:AN160)/AN174</f>
        <v>0.53447951598465404</v>
      </c>
      <c r="AO183" s="5069"/>
      <c r="AP183" s="3435">
        <f>SUM(AP157:AP160)/AP174</f>
        <v>0.52589005773593733</v>
      </c>
      <c r="AQ183" s="3622"/>
      <c r="AR183"/>
      <c r="AS183"/>
      <c r="AT183" s="1996">
        <f>SUM(AT157:AT160)/AT174</f>
        <v>0.3850709192250355</v>
      </c>
      <c r="AU183" s="5069"/>
      <c r="AV183" s="3435">
        <f>SUM(AV157:AV160)/AV174</f>
        <v>0.38011957034942817</v>
      </c>
      <c r="AW183" s="3622"/>
      <c r="AX183"/>
    </row>
    <row r="184" spans="1:50" s="462" customFormat="1" ht="12" x14ac:dyDescent="0.3">
      <c r="A184" s="463">
        <v>7</v>
      </c>
      <c r="C184" s="456"/>
      <c r="D184" s="2"/>
      <c r="E184" s="456"/>
      <c r="F184" s="456"/>
      <c r="G184" s="456"/>
      <c r="J184" s="7"/>
      <c r="K184" s="456"/>
      <c r="N184" s="456"/>
      <c r="Q184" s="456"/>
      <c r="R184" s="456"/>
      <c r="S184" s="456"/>
      <c r="Z184" s="456"/>
      <c r="AA184" s="456"/>
      <c r="AB184" s="456"/>
    </row>
    <row r="185" spans="1:50" s="462" customFormat="1" ht="12" x14ac:dyDescent="0.3">
      <c r="A185" s="468">
        <v>8</v>
      </c>
      <c r="B185" s="455"/>
      <c r="C185" s="456"/>
      <c r="D185" s="2"/>
      <c r="E185" s="456"/>
      <c r="F185" s="456"/>
      <c r="G185" s="456"/>
      <c r="J185" s="7"/>
      <c r="K185" s="456"/>
      <c r="N185" s="456"/>
      <c r="Q185" s="456"/>
      <c r="R185" s="456"/>
      <c r="S185" s="456"/>
      <c r="Z185" s="456"/>
      <c r="AA185" s="456"/>
      <c r="AB185" s="456"/>
    </row>
    <row r="186" spans="1:50" s="462" customFormat="1" ht="12" x14ac:dyDescent="0.3">
      <c r="A186" s="463">
        <v>9</v>
      </c>
      <c r="B186" s="464">
        <f>AG31</f>
        <v>0</v>
      </c>
      <c r="D186" s="709"/>
      <c r="E186" s="466"/>
      <c r="F186" s="466"/>
      <c r="G186" s="466"/>
      <c r="H186" s="466"/>
      <c r="I186" s="466"/>
      <c r="J186" s="7"/>
      <c r="K186" s="456"/>
      <c r="L186" s="466"/>
      <c r="M186" s="466"/>
      <c r="N186" s="456"/>
      <c r="O186" s="466"/>
      <c r="P186" s="466"/>
      <c r="Q186" s="456"/>
      <c r="R186" s="456"/>
      <c r="S186" s="456"/>
      <c r="T186" s="466"/>
      <c r="U186" s="466"/>
      <c r="V186" s="466"/>
      <c r="W186" s="466"/>
      <c r="X186" s="466"/>
      <c r="Y186" s="466"/>
      <c r="Z186" s="456"/>
      <c r="AA186" s="456"/>
      <c r="AB186" s="456"/>
      <c r="AC186" s="466"/>
      <c r="AD186" s="466"/>
      <c r="AE186" s="466"/>
      <c r="AF186" s="466"/>
      <c r="AG186" s="577"/>
      <c r="AH186" s="466"/>
      <c r="AI186" s="466"/>
      <c r="AJ186" s="466"/>
      <c r="AK186" s="466"/>
      <c r="AL186" s="577"/>
      <c r="AN186" s="466"/>
      <c r="AO186" s="466"/>
      <c r="AP186" s="466"/>
      <c r="AQ186" s="466"/>
      <c r="AR186" s="577"/>
      <c r="AT186" s="466"/>
      <c r="AU186" s="466"/>
      <c r="AV186" s="466"/>
      <c r="AW186" s="466"/>
      <c r="AX186" s="577"/>
    </row>
    <row r="187" spans="1:50" s="462" customFormat="1" ht="12" x14ac:dyDescent="0.3">
      <c r="A187" s="468">
        <v>10</v>
      </c>
      <c r="B187" s="464">
        <f>AG32</f>
        <v>0</v>
      </c>
      <c r="D187" s="2"/>
      <c r="E187" s="456"/>
      <c r="F187" s="456"/>
      <c r="G187" s="456"/>
      <c r="J187" s="7"/>
      <c r="K187" s="456"/>
      <c r="N187" s="456"/>
      <c r="Q187" s="456"/>
      <c r="R187" s="456"/>
      <c r="S187" s="456"/>
      <c r="W187" s="5548"/>
      <c r="Z187" s="456"/>
      <c r="AA187" s="456"/>
      <c r="AB187" s="456"/>
      <c r="AG187" s="577"/>
      <c r="AL187" s="577"/>
      <c r="AR187" s="577"/>
      <c r="AX187" s="577"/>
    </row>
    <row r="188" spans="1:50" s="462" customFormat="1" ht="12" x14ac:dyDescent="0.3">
      <c r="A188" s="463">
        <v>11</v>
      </c>
      <c r="B188" s="464" t="str">
        <f>AG113</f>
        <v>estimaters from source NEA</v>
      </c>
      <c r="D188" s="2"/>
      <c r="E188" s="456"/>
      <c r="F188" s="456"/>
      <c r="G188" s="456"/>
      <c r="J188" s="7"/>
      <c r="K188" s="456"/>
      <c r="N188" s="456"/>
      <c r="Q188" s="456"/>
      <c r="R188" s="456"/>
      <c r="S188" s="456"/>
      <c r="Z188" s="456"/>
      <c r="AA188" s="456"/>
      <c r="AB188" s="456"/>
      <c r="AG188" s="577"/>
      <c r="AL188" s="577"/>
      <c r="AR188" s="577"/>
      <c r="AX188" s="577"/>
    </row>
    <row r="189" spans="1:50" s="462" customFormat="1" ht="12" x14ac:dyDescent="0.3">
      <c r="A189" s="468"/>
      <c r="B189" s="464" t="str">
        <f>AG114</f>
        <v>source NEA</v>
      </c>
      <c r="D189" s="2"/>
      <c r="E189" s="456"/>
      <c r="F189" s="456"/>
      <c r="G189" s="456"/>
      <c r="J189" s="7"/>
      <c r="K189" s="456"/>
      <c r="N189" s="456"/>
      <c r="Q189" s="456"/>
      <c r="R189" s="456"/>
      <c r="S189" s="456"/>
      <c r="Z189" s="456"/>
      <c r="AA189" s="456"/>
      <c r="AB189" s="456"/>
      <c r="AG189" s="577"/>
      <c r="AL189" s="577"/>
      <c r="AR189" s="577"/>
      <c r="AX189" s="577"/>
    </row>
    <row r="190" spans="1:50" s="462" customFormat="1" ht="12" x14ac:dyDescent="0.3">
      <c r="A190" s="455" t="s">
        <v>583</v>
      </c>
      <c r="B190" s="464">
        <f>AG143</f>
        <v>0</v>
      </c>
      <c r="D190" s="2"/>
      <c r="E190" s="456"/>
      <c r="F190" s="456"/>
      <c r="G190" s="456"/>
      <c r="J190" s="7"/>
      <c r="K190" s="456"/>
      <c r="N190" s="456"/>
      <c r="Q190" s="456"/>
      <c r="R190" s="456"/>
      <c r="S190" s="456"/>
      <c r="Z190" s="456"/>
      <c r="AA190" s="456"/>
      <c r="AB190" s="456"/>
      <c r="AG190" s="577"/>
      <c r="AL190" s="577"/>
      <c r="AR190" s="577"/>
      <c r="AX190" s="577"/>
    </row>
    <row r="191" spans="1:50" s="462" customFormat="1" ht="93" customHeight="1" x14ac:dyDescent="0.3">
      <c r="A191" s="9170"/>
      <c r="B191" s="9171"/>
      <c r="C191" s="9171"/>
      <c r="D191" s="9171"/>
      <c r="E191" s="9171"/>
      <c r="F191" s="9171"/>
      <c r="G191" s="9171"/>
      <c r="H191" s="9171"/>
      <c r="I191" s="9171"/>
      <c r="J191" s="9171"/>
      <c r="K191" s="9171"/>
      <c r="L191" s="9171"/>
      <c r="M191" s="9172"/>
      <c r="N191" s="456"/>
      <c r="Q191" s="456"/>
      <c r="R191" s="456"/>
      <c r="S191" s="456"/>
      <c r="Z191" s="456"/>
      <c r="AA191" s="456"/>
      <c r="AB191" s="456"/>
      <c r="AG191" s="577"/>
      <c r="AL191" s="577"/>
      <c r="AR191" s="577"/>
      <c r="AX191" s="577"/>
    </row>
    <row r="192" spans="1:50" x14ac:dyDescent="0.35">
      <c r="B192" s="464"/>
      <c r="C192" s="462"/>
      <c r="E192" s="456"/>
      <c r="F192" s="456"/>
      <c r="G192" s="456"/>
      <c r="H192" s="462"/>
      <c r="I192" s="462"/>
      <c r="K192" s="456"/>
      <c r="L192" s="462"/>
      <c r="M192" s="462"/>
      <c r="N192" s="456"/>
      <c r="O192" s="462"/>
      <c r="P192" s="462"/>
      <c r="Q192" s="456"/>
      <c r="R192" s="456"/>
      <c r="S192" s="456"/>
      <c r="T192" s="462"/>
      <c r="U192" s="462"/>
      <c r="V192" s="462"/>
      <c r="W192" s="462"/>
      <c r="X192" s="462"/>
      <c r="Y192" s="462"/>
      <c r="Z192" s="456"/>
      <c r="AA192" s="456"/>
      <c r="AB192" s="456"/>
      <c r="AC192" s="462"/>
      <c r="AD192" s="462"/>
      <c r="AE192" s="462"/>
      <c r="AF192" s="462"/>
      <c r="AG192" s="577"/>
      <c r="AH192" s="462"/>
      <c r="AI192" s="462"/>
      <c r="AJ192" s="462"/>
      <c r="AK192" s="462"/>
      <c r="AL192" s="577"/>
      <c r="AM192" s="462"/>
      <c r="AN192" s="462"/>
      <c r="AO192" s="462"/>
      <c r="AP192" s="462"/>
      <c r="AQ192" s="462"/>
      <c r="AR192" s="577"/>
      <c r="AS192" s="462"/>
      <c r="AT192" s="462"/>
      <c r="AU192" s="462"/>
      <c r="AV192" s="462"/>
      <c r="AW192" s="462"/>
      <c r="AX192" s="577"/>
    </row>
    <row r="193" spans="2:50" x14ac:dyDescent="0.35">
      <c r="B193" s="464"/>
      <c r="C193" s="462"/>
      <c r="E193" s="456"/>
      <c r="F193" s="456"/>
      <c r="G193" s="456"/>
      <c r="H193" s="462"/>
      <c r="I193" s="462"/>
      <c r="K193" s="456"/>
      <c r="L193" s="462"/>
      <c r="M193" s="462"/>
      <c r="N193" s="456"/>
      <c r="O193" s="462"/>
      <c r="P193" s="462"/>
      <c r="Q193" s="456"/>
      <c r="R193" s="456"/>
      <c r="S193" s="456"/>
      <c r="T193" s="462"/>
      <c r="U193" s="462"/>
      <c r="V193" s="462"/>
      <c r="W193" s="462"/>
      <c r="X193" s="462"/>
      <c r="Y193" s="462"/>
      <c r="Z193" s="456"/>
      <c r="AA193" s="456"/>
      <c r="AB193" s="456"/>
      <c r="AC193" s="462"/>
      <c r="AD193" s="462"/>
      <c r="AE193" s="462"/>
      <c r="AF193" s="462"/>
      <c r="AG193" s="577"/>
      <c r="AH193" s="462"/>
      <c r="AI193" s="462"/>
      <c r="AJ193" s="462"/>
      <c r="AK193" s="462"/>
      <c r="AL193" s="577"/>
      <c r="AM193" s="462"/>
      <c r="AN193" s="462"/>
      <c r="AO193" s="462"/>
      <c r="AP193" s="462"/>
      <c r="AQ193" s="462"/>
      <c r="AR193" s="577"/>
      <c r="AS193" s="462"/>
      <c r="AT193" s="462"/>
      <c r="AU193" s="462"/>
      <c r="AV193" s="462"/>
      <c r="AW193" s="462"/>
      <c r="AX193" s="577"/>
    </row>
    <row r="194" spans="2:50" x14ac:dyDescent="0.35">
      <c r="B194" s="464"/>
      <c r="C194" s="462"/>
      <c r="E194" s="456"/>
      <c r="F194" s="456"/>
      <c r="G194" s="456"/>
      <c r="H194" s="462"/>
      <c r="I194" s="462"/>
      <c r="K194" s="456"/>
      <c r="L194" s="462"/>
      <c r="M194" s="462"/>
      <c r="N194" s="456"/>
      <c r="O194" s="462"/>
      <c r="P194" s="462"/>
      <c r="Q194" s="456"/>
      <c r="R194" s="456"/>
      <c r="S194" s="456"/>
      <c r="T194" s="462"/>
      <c r="U194" s="462"/>
      <c r="V194" s="462"/>
      <c r="W194" s="462"/>
      <c r="X194" s="462"/>
      <c r="Y194" s="462"/>
      <c r="Z194" s="456"/>
      <c r="AA194" s="456"/>
      <c r="AB194" s="456"/>
      <c r="AC194" s="462"/>
      <c r="AD194" s="462"/>
      <c r="AE194" s="462"/>
      <c r="AF194" s="462"/>
      <c r="AG194" s="577"/>
      <c r="AH194" s="462"/>
      <c r="AI194" s="462"/>
      <c r="AJ194" s="462"/>
      <c r="AK194" s="462"/>
      <c r="AL194" s="577"/>
      <c r="AM194" s="462"/>
      <c r="AN194" s="462"/>
      <c r="AO194" s="462"/>
      <c r="AP194" s="462"/>
      <c r="AQ194" s="462"/>
      <c r="AR194" s="577"/>
      <c r="AS194" s="462"/>
      <c r="AT194" s="462"/>
      <c r="AU194" s="462"/>
      <c r="AV194" s="462"/>
      <c r="AW194" s="462"/>
      <c r="AX194" s="577"/>
    </row>
    <row r="195" spans="2:50" x14ac:dyDescent="0.35">
      <c r="B195" s="464"/>
      <c r="C195" s="462"/>
      <c r="E195" s="456"/>
      <c r="F195" s="456"/>
      <c r="G195" s="456"/>
      <c r="H195" s="462"/>
      <c r="I195" s="462"/>
      <c r="K195" s="456"/>
      <c r="L195" s="462"/>
      <c r="M195" s="462"/>
      <c r="N195" s="456"/>
      <c r="O195" s="462"/>
      <c r="P195" s="462"/>
      <c r="Q195" s="456"/>
      <c r="R195" s="456"/>
      <c r="S195" s="456"/>
      <c r="T195" s="462"/>
      <c r="U195" s="462"/>
      <c r="V195" s="462"/>
      <c r="W195" s="462"/>
      <c r="X195" s="462"/>
      <c r="Y195" s="462"/>
      <c r="Z195" s="456"/>
      <c r="AA195" s="456"/>
      <c r="AB195" s="456"/>
      <c r="AC195" s="462"/>
      <c r="AD195" s="462"/>
      <c r="AE195" s="462"/>
      <c r="AF195" s="462"/>
      <c r="AG195" s="577"/>
      <c r="AH195" s="462"/>
      <c r="AI195" s="462"/>
      <c r="AJ195" s="462"/>
      <c r="AK195" s="462"/>
      <c r="AL195" s="577"/>
      <c r="AM195" s="462"/>
      <c r="AN195" s="462"/>
      <c r="AO195" s="462"/>
      <c r="AP195" s="462"/>
      <c r="AQ195" s="462"/>
      <c r="AR195" s="577"/>
      <c r="AS195" s="462"/>
      <c r="AT195" s="462"/>
      <c r="AU195" s="462"/>
      <c r="AV195" s="462"/>
      <c r="AW195" s="462"/>
      <c r="AX195" s="577"/>
    </row>
    <row r="196" spans="2:50" x14ac:dyDescent="0.35">
      <c r="B196" s="464"/>
      <c r="C196" s="462"/>
      <c r="E196" s="456"/>
      <c r="F196" s="456"/>
      <c r="G196" s="456"/>
      <c r="H196" s="462"/>
      <c r="I196" s="462"/>
      <c r="K196" s="456"/>
      <c r="L196" s="462"/>
      <c r="M196" s="462"/>
      <c r="N196" s="456"/>
      <c r="O196" s="462"/>
      <c r="P196" s="462"/>
      <c r="Q196" s="456"/>
      <c r="R196" s="456"/>
      <c r="S196" s="456"/>
      <c r="T196" s="462"/>
      <c r="U196" s="462"/>
      <c r="V196" s="462"/>
      <c r="W196" s="462"/>
      <c r="X196" s="462"/>
      <c r="Y196" s="462"/>
      <c r="Z196" s="456"/>
      <c r="AA196" s="456"/>
      <c r="AB196" s="456"/>
      <c r="AC196" s="462"/>
      <c r="AD196" s="462"/>
      <c r="AE196" s="462"/>
      <c r="AF196" s="462"/>
      <c r="AG196" s="577"/>
      <c r="AH196" s="462"/>
      <c r="AI196" s="462"/>
      <c r="AJ196" s="462"/>
      <c r="AK196" s="462"/>
      <c r="AL196" s="577"/>
      <c r="AM196" s="462"/>
      <c r="AN196" s="462"/>
      <c r="AO196" s="462"/>
      <c r="AP196" s="462"/>
      <c r="AQ196" s="462"/>
      <c r="AR196" s="577"/>
      <c r="AS196" s="462"/>
      <c r="AT196" s="462"/>
      <c r="AU196" s="462"/>
      <c r="AV196" s="462"/>
      <c r="AW196" s="462"/>
      <c r="AX196" s="577"/>
    </row>
    <row r="197" spans="2:50" x14ac:dyDescent="0.35">
      <c r="B197" s="469"/>
      <c r="C197" s="462"/>
      <c r="E197" s="456"/>
      <c r="F197" s="456"/>
      <c r="G197" s="456"/>
      <c r="H197" s="462"/>
      <c r="I197" s="462"/>
      <c r="K197" s="456"/>
      <c r="L197" s="462"/>
      <c r="M197" s="462"/>
      <c r="N197" s="456"/>
      <c r="O197" s="462"/>
      <c r="P197" s="462"/>
      <c r="Q197" s="456"/>
      <c r="R197" s="456"/>
      <c r="S197" s="456"/>
      <c r="T197" s="462"/>
      <c r="U197" s="462"/>
      <c r="V197" s="462"/>
      <c r="W197" s="462"/>
      <c r="X197" s="462"/>
      <c r="Y197" s="462"/>
      <c r="Z197" s="456"/>
      <c r="AA197" s="456"/>
      <c r="AB197" s="456"/>
      <c r="AC197" s="462"/>
      <c r="AD197" s="462"/>
      <c r="AE197" s="462"/>
      <c r="AF197" s="462"/>
      <c r="AG197" s="577"/>
      <c r="AH197" s="462"/>
      <c r="AI197" s="462"/>
      <c r="AJ197" s="462"/>
      <c r="AK197" s="462"/>
      <c r="AL197" s="577"/>
      <c r="AM197" s="462"/>
      <c r="AN197" s="462"/>
      <c r="AO197" s="462"/>
      <c r="AP197" s="462"/>
      <c r="AQ197" s="462"/>
      <c r="AR197" s="577"/>
      <c r="AS197" s="462"/>
      <c r="AT197" s="462"/>
      <c r="AU197" s="462"/>
      <c r="AV197" s="462"/>
      <c r="AW197" s="462"/>
      <c r="AX197" s="577"/>
    </row>
    <row r="198" spans="2:50" x14ac:dyDescent="0.35">
      <c r="B198" s="455"/>
      <c r="C198" s="456"/>
      <c r="E198" s="456"/>
      <c r="F198" s="456"/>
      <c r="G198" s="456"/>
      <c r="H198" s="462"/>
      <c r="I198" s="462"/>
      <c r="J198" s="462"/>
      <c r="K198" s="456"/>
      <c r="L198" s="462"/>
      <c r="M198" s="462"/>
      <c r="N198" s="456"/>
      <c r="O198" s="462"/>
      <c r="P198" s="462"/>
      <c r="Q198" s="456"/>
      <c r="R198" s="456"/>
      <c r="S198" s="456"/>
      <c r="T198" s="462"/>
      <c r="U198" s="462"/>
      <c r="V198" s="462"/>
      <c r="W198" s="462"/>
      <c r="X198" s="462"/>
      <c r="Y198" s="462"/>
      <c r="Z198" s="456"/>
      <c r="AA198" s="456"/>
      <c r="AB198" s="456"/>
      <c r="AC198" s="462"/>
      <c r="AD198" s="462"/>
      <c r="AE198" s="462"/>
      <c r="AF198" s="462"/>
      <c r="AG198" s="577"/>
      <c r="AH198" s="462"/>
      <c r="AI198" s="462"/>
      <c r="AJ198" s="462"/>
      <c r="AK198" s="462"/>
      <c r="AL198" s="577"/>
      <c r="AM198" s="462"/>
      <c r="AN198" s="462"/>
      <c r="AO198" s="462"/>
      <c r="AP198" s="462"/>
      <c r="AQ198" s="462"/>
      <c r="AR198" s="577"/>
      <c r="AS198" s="462"/>
      <c r="AT198" s="462"/>
      <c r="AU198" s="462"/>
      <c r="AV198" s="462"/>
      <c r="AW198" s="462"/>
      <c r="AX198" s="577"/>
    </row>
    <row r="199" spans="2:50" x14ac:dyDescent="0.35">
      <c r="N199" s="456"/>
      <c r="O199" s="456"/>
      <c r="P199" s="456"/>
      <c r="Q199" s="456"/>
      <c r="R199" s="456"/>
      <c r="S199" s="456"/>
      <c r="T199" s="456"/>
      <c r="U199" s="456"/>
      <c r="V199" s="456"/>
      <c r="W199" s="456"/>
      <c r="X199" s="456"/>
      <c r="Y199" s="456"/>
      <c r="Z199" s="456"/>
      <c r="AA199" s="456"/>
      <c r="AB199" s="456"/>
      <c r="AC199" s="456"/>
      <c r="AD199" s="456"/>
      <c r="AE199" s="456"/>
      <c r="AF199" s="456"/>
      <c r="AG199" s="577"/>
      <c r="AH199" s="456"/>
      <c r="AI199" s="456"/>
      <c r="AJ199" s="456"/>
      <c r="AK199" s="456"/>
      <c r="AL199" s="577"/>
      <c r="AM199" s="462"/>
      <c r="AN199" s="456"/>
      <c r="AO199" s="456"/>
      <c r="AP199" s="456"/>
      <c r="AQ199" s="456"/>
      <c r="AR199" s="577"/>
      <c r="AS199" s="462"/>
      <c r="AT199" s="456"/>
      <c r="AU199" s="456"/>
      <c r="AV199" s="456"/>
      <c r="AW199" s="456"/>
      <c r="AX199" s="577"/>
    </row>
  </sheetData>
  <mergeCells count="50">
    <mergeCell ref="AT1:AV1"/>
    <mergeCell ref="AT4:AV4"/>
    <mergeCell ref="AX4:AX5"/>
    <mergeCell ref="AT5:AV5"/>
    <mergeCell ref="AT7:AV7"/>
    <mergeCell ref="F1:M1"/>
    <mergeCell ref="O1:V1"/>
    <mergeCell ref="X1:AE1"/>
    <mergeCell ref="AH1:AJ1"/>
    <mergeCell ref="H4:J4"/>
    <mergeCell ref="L4:M4"/>
    <mergeCell ref="O4:R4"/>
    <mergeCell ref="T4:V4"/>
    <mergeCell ref="X4:AA4"/>
    <mergeCell ref="AC4:AE4"/>
    <mergeCell ref="AG4:AG5"/>
    <mergeCell ref="AH4:AJ4"/>
    <mergeCell ref="AL4:AL5"/>
    <mergeCell ref="H5:J5"/>
    <mergeCell ref="L5:M5"/>
    <mergeCell ref="O5:R5"/>
    <mergeCell ref="T5:V5"/>
    <mergeCell ref="X5:AA5"/>
    <mergeCell ref="AC5:AE5"/>
    <mergeCell ref="AH5:AJ5"/>
    <mergeCell ref="O36:P36"/>
    <mergeCell ref="X36:Y36"/>
    <mergeCell ref="A147:A157"/>
    <mergeCell ref="AC7:AE7"/>
    <mergeCell ref="AH7:AJ7"/>
    <mergeCell ref="A10:A32"/>
    <mergeCell ref="H10:I10"/>
    <mergeCell ref="L10:M10"/>
    <mergeCell ref="Z27:Z30"/>
    <mergeCell ref="H7:I7"/>
    <mergeCell ref="J7:J8"/>
    <mergeCell ref="L7:M7"/>
    <mergeCell ref="O7:R7"/>
    <mergeCell ref="T7:V7"/>
    <mergeCell ref="X7:AA7"/>
    <mergeCell ref="A159:A175"/>
    <mergeCell ref="A191:M191"/>
    <mergeCell ref="A36:A145"/>
    <mergeCell ref="H36:I36"/>
    <mergeCell ref="L36:M36"/>
    <mergeCell ref="AN1:AP1"/>
    <mergeCell ref="AN4:AP4"/>
    <mergeCell ref="AR4:AR5"/>
    <mergeCell ref="AN5:AP5"/>
    <mergeCell ref="AN7:AP7"/>
  </mergeCells>
  <hyperlinks>
    <hyperlink ref="Q10" r:id="rId1" xr:uid="{E95218C6-A509-4254-9DB0-AAF0BD189172}"/>
    <hyperlink ref="U10" r:id="rId2" xr:uid="{C156C2B4-8FC0-4485-BA39-BDBA66C7F9B6}"/>
    <hyperlink ref="U36" r:id="rId3" xr:uid="{A6D0D92F-8CB1-49F2-A1A3-7CEE2762ED00}"/>
    <hyperlink ref="Z10" r:id="rId4" xr:uid="{E48D7270-5B67-4DF0-8A12-4D8CE0A1671F}"/>
    <hyperlink ref="AD10" r:id="rId5" xr:uid="{6AE2A936-FBD5-41D4-A731-0E1D6F47CDB4}"/>
    <hyperlink ref="AD36" r:id="rId6" xr:uid="{1B55DF5E-659C-43B5-8B41-87597D801679}"/>
    <hyperlink ref="Z36" r:id="rId7" xr:uid="{284AE80E-C782-437C-8E94-6E7C25C52641}"/>
    <hyperlink ref="AI10" r:id="rId8" display="https://budget.go.ug/sites/default/files/National Budget docs/Annual Budget Performance Report %28ABPR%29 FY 2017-18.pdf" xr:uid="{508F627F-0AD8-4AD0-AE81-3C8380B6A4D9}"/>
    <hyperlink ref="AI36" r:id="rId9" display="https://budget.go.ug/sites/default/files/National Budget docs/Annual Budget Performance Report %28ABPR%29 FY 2017-18.pdf" xr:uid="{83BB04EA-348D-4DD2-B7B5-C7259D48F457}"/>
  </hyperlinks>
  <pageMargins left="0.7" right="0.7" top="0.75" bottom="0.75" header="0.3" footer="0.3"/>
  <pageSetup orientation="portrait" r:id="rId1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C4D73-7B80-4E48-A631-153A774C974B}">
  <sheetPr>
    <pageSetUpPr fitToPage="1"/>
  </sheetPr>
  <dimension ref="A1:AM108"/>
  <sheetViews>
    <sheetView zoomScale="80" zoomScaleNormal="80" workbookViewId="0">
      <pane xSplit="3" ySplit="1" topLeftCell="V20" activePane="bottomRight" state="frozen"/>
      <selection pane="topRight" activeCell="D1" sqref="D1"/>
      <selection pane="bottomLeft" activeCell="A2" sqref="A2"/>
      <selection pane="bottomRight" activeCell="AB21" sqref="AB21"/>
    </sheetView>
  </sheetViews>
  <sheetFormatPr defaultColWidth="9.1796875" defaultRowHeight="14.5" x14ac:dyDescent="0.35"/>
  <cols>
    <col min="1" max="1" width="6.6328125" style="462" customWidth="1"/>
    <col min="2" max="2" width="15.81640625" style="462" customWidth="1"/>
    <col min="3" max="3" width="31.36328125" style="456" customWidth="1"/>
    <col min="4" max="4" width="3.453125" style="456" customWidth="1"/>
    <col min="5" max="5" width="1.6328125" style="456" customWidth="1"/>
    <col min="6" max="6" width="21.6328125" style="456" customWidth="1"/>
    <col min="7" max="7" width="1.6328125" style="456" customWidth="1"/>
    <col min="8" max="9" width="21.6328125" style="459" customWidth="1"/>
    <col min="10" max="10" width="8.6328125" style="459" customWidth="1"/>
    <col min="11" max="11" width="1.6328125" style="456" customWidth="1"/>
    <col min="12" max="13" width="21.6328125" style="462" customWidth="1"/>
    <col min="14" max="14" width="1.6328125" style="1" customWidth="1"/>
    <col min="15" max="17" width="21.6328125" style="6" customWidth="1"/>
    <col min="18" max="18" width="8.6328125" style="7" customWidth="1"/>
    <col min="19" max="19" width="1.6328125" style="1" customWidth="1"/>
    <col min="20" max="22" width="21.6328125" customWidth="1"/>
    <col min="23" max="23" width="1.6328125" style="1" customWidth="1"/>
    <col min="24" max="24" width="17" style="711" customWidth="1"/>
    <col min="25" max="25" width="3.1796875" style="462" customWidth="1"/>
    <col min="26" max="28" width="34.453125" customWidth="1"/>
    <col min="29" max="29" width="1.6328125" style="1" customWidth="1"/>
    <col min="30" max="31" width="21.6328125" style="6" customWidth="1"/>
    <col min="32" max="32" width="25" style="6" customWidth="1"/>
    <col min="33" max="33" width="8.6328125" style="7" customWidth="1"/>
    <col min="34" max="34" width="1.6328125" style="1" customWidth="1"/>
    <col min="35" max="37" width="21.6328125" customWidth="1"/>
    <col min="38" max="38" width="1.6328125" style="1" customWidth="1"/>
    <col min="39" max="39" width="58.453125" style="711" customWidth="1"/>
    <col min="40" max="16384" width="9.1796875" style="462"/>
  </cols>
  <sheetData>
    <row r="1" spans="1:39" s="470" customFormat="1" ht="31" x14ac:dyDescent="0.7">
      <c r="F1" s="9118" t="s">
        <v>1004</v>
      </c>
      <c r="G1" s="9119"/>
      <c r="H1" s="9119"/>
      <c r="I1" s="9119"/>
      <c r="J1" s="9119"/>
      <c r="K1" s="9119"/>
      <c r="L1" s="9119"/>
      <c r="M1" s="9120"/>
      <c r="N1" s="710"/>
      <c r="O1" s="9121" t="s">
        <v>395</v>
      </c>
      <c r="P1" s="9122"/>
      <c r="Q1" s="9122"/>
      <c r="R1" s="9122"/>
      <c r="S1" s="9122"/>
      <c r="T1" s="9122"/>
      <c r="U1" s="9122"/>
      <c r="V1" s="9123"/>
      <c r="W1" s="710"/>
      <c r="Z1" s="9124" t="s">
        <v>396</v>
      </c>
      <c r="AA1" s="9125"/>
      <c r="AB1" s="9126"/>
      <c r="AC1" s="710"/>
      <c r="AD1" s="9164" t="s">
        <v>398</v>
      </c>
      <c r="AE1" s="9165"/>
      <c r="AF1" s="9165"/>
      <c r="AG1" s="9165"/>
      <c r="AH1" s="9165"/>
      <c r="AI1" s="9165"/>
      <c r="AJ1" s="9165"/>
      <c r="AK1" s="9166"/>
      <c r="AL1" s="710"/>
    </row>
    <row r="2" spans="1:39" ht="21" x14ac:dyDescent="0.5">
      <c r="B2" s="456" t="s">
        <v>9</v>
      </c>
      <c r="C2" s="4" t="s">
        <v>6236</v>
      </c>
      <c r="H2" s="462"/>
    </row>
    <row r="3" spans="1:39" x14ac:dyDescent="0.35">
      <c r="F3" s="459"/>
      <c r="H3" s="462"/>
    </row>
    <row r="4" spans="1:39" ht="14.5" customHeight="1" x14ac:dyDescent="0.3">
      <c r="F4" s="8323" t="s">
        <v>400</v>
      </c>
      <c r="G4" s="712"/>
      <c r="H4" s="9133" t="s">
        <v>401</v>
      </c>
      <c r="I4" s="9134"/>
      <c r="J4" s="9135"/>
      <c r="K4" s="712"/>
      <c r="L4" s="9133" t="s">
        <v>402</v>
      </c>
      <c r="M4" s="9135"/>
      <c r="N4" s="8"/>
      <c r="O4" s="9130" t="s">
        <v>403</v>
      </c>
      <c r="P4" s="9131"/>
      <c r="Q4" s="9131"/>
      <c r="R4" s="9132"/>
      <c r="S4" s="8"/>
      <c r="T4" s="9130" t="s">
        <v>402</v>
      </c>
      <c r="U4" s="9131"/>
      <c r="V4" s="9132"/>
      <c r="W4" s="8"/>
      <c r="X4" s="9136" t="s">
        <v>404</v>
      </c>
      <c r="Z4" s="9130" t="s">
        <v>402</v>
      </c>
      <c r="AA4" s="9131"/>
      <c r="AB4" s="9132"/>
      <c r="AC4" s="8"/>
      <c r="AD4" s="9130" t="s">
        <v>5617</v>
      </c>
      <c r="AE4" s="9131"/>
      <c r="AF4" s="9131"/>
      <c r="AG4" s="8"/>
      <c r="AH4" s="8"/>
      <c r="AI4" s="9130" t="s">
        <v>402</v>
      </c>
      <c r="AJ4" s="9131"/>
      <c r="AK4" s="9132"/>
      <c r="AL4" s="8"/>
      <c r="AM4" s="9136" t="s">
        <v>404</v>
      </c>
    </row>
    <row r="5" spans="1:39" x14ac:dyDescent="0.3">
      <c r="B5" s="456" t="s">
        <v>406</v>
      </c>
      <c r="C5" s="714">
        <v>2013</v>
      </c>
      <c r="F5" s="8324">
        <v>2013</v>
      </c>
      <c r="G5" s="12"/>
      <c r="H5" s="9138">
        <v>2014</v>
      </c>
      <c r="I5" s="9139"/>
      <c r="J5" s="9140"/>
      <c r="K5" s="12"/>
      <c r="L5" s="9138">
        <v>2015</v>
      </c>
      <c r="M5" s="9140"/>
      <c r="N5" s="12"/>
      <c r="O5" s="9138">
        <v>2015</v>
      </c>
      <c r="P5" s="9139"/>
      <c r="Q5" s="9139"/>
      <c r="R5" s="9140"/>
      <c r="S5" s="12"/>
      <c r="T5" s="9138">
        <v>2016</v>
      </c>
      <c r="U5" s="9139"/>
      <c r="V5" s="9140"/>
      <c r="W5" s="12"/>
      <c r="X5" s="9137"/>
      <c r="Z5" s="9138">
        <v>2017</v>
      </c>
      <c r="AA5" s="9139"/>
      <c r="AB5" s="9140"/>
      <c r="AC5" s="12"/>
      <c r="AD5" s="9138">
        <v>2018</v>
      </c>
      <c r="AE5" s="9139"/>
      <c r="AF5" s="9139"/>
      <c r="AG5" s="7678"/>
      <c r="AH5" s="12"/>
      <c r="AI5" s="9138">
        <v>2019</v>
      </c>
      <c r="AJ5" s="9139"/>
      <c r="AK5" s="9140"/>
      <c r="AL5" s="12"/>
      <c r="AM5" s="9137"/>
    </row>
    <row r="6" spans="1:39" x14ac:dyDescent="0.35">
      <c r="F6" s="459"/>
      <c r="L6" s="715"/>
      <c r="T6" s="14"/>
      <c r="U6" s="14"/>
      <c r="X6" s="716"/>
      <c r="Z6" s="14"/>
      <c r="AA6" s="14"/>
      <c r="AI6" s="14"/>
      <c r="AJ6" s="14"/>
      <c r="AM6" s="716"/>
    </row>
    <row r="7" spans="1:39" ht="15.25" customHeight="1" x14ac:dyDescent="0.35">
      <c r="B7" s="456" t="s">
        <v>101</v>
      </c>
      <c r="C7" s="714" t="s">
        <v>6237</v>
      </c>
      <c r="D7" s="456" t="s">
        <v>417</v>
      </c>
      <c r="F7" s="717" t="s">
        <v>6238</v>
      </c>
      <c r="H7" s="9194" t="s">
        <v>6238</v>
      </c>
      <c r="I7" s="9194"/>
      <c r="J7" s="9143" t="s">
        <v>860</v>
      </c>
      <c r="L7" s="9145" t="s">
        <v>6238</v>
      </c>
      <c r="M7" s="9146"/>
      <c r="O7" s="9173" t="s">
        <v>6238</v>
      </c>
      <c r="P7" s="9173"/>
      <c r="Q7" s="16"/>
      <c r="R7" s="9147" t="s">
        <v>860</v>
      </c>
      <c r="T7" s="9149" t="s">
        <v>6238</v>
      </c>
      <c r="U7" s="9150"/>
      <c r="V7" s="9151"/>
      <c r="X7" s="718"/>
      <c r="Z7" s="9149" t="s">
        <v>6238</v>
      </c>
      <c r="AA7" s="9150"/>
      <c r="AB7" s="9151"/>
      <c r="AD7" s="9173" t="s">
        <v>6239</v>
      </c>
      <c r="AE7" s="9173"/>
      <c r="AF7" s="16"/>
      <c r="AG7" s="9147" t="s">
        <v>419</v>
      </c>
      <c r="AI7" s="9149" t="s">
        <v>6239</v>
      </c>
      <c r="AJ7" s="9150"/>
      <c r="AK7" s="9151"/>
      <c r="AM7" s="718"/>
    </row>
    <row r="8" spans="1:39" s="712" customFormat="1" ht="15.25" customHeight="1" x14ac:dyDescent="0.35">
      <c r="B8" s="456" t="s">
        <v>420</v>
      </c>
      <c r="C8" s="714" t="s">
        <v>589</v>
      </c>
      <c r="F8" s="720" t="s">
        <v>96</v>
      </c>
      <c r="G8" s="456"/>
      <c r="H8" s="720" t="s">
        <v>423</v>
      </c>
      <c r="I8" s="720" t="s">
        <v>96</v>
      </c>
      <c r="J8" s="9144"/>
      <c r="K8" s="456"/>
      <c r="L8" s="721" t="s">
        <v>423</v>
      </c>
      <c r="M8" s="720" t="s">
        <v>96</v>
      </c>
      <c r="N8" s="1"/>
      <c r="O8" s="20" t="s">
        <v>424</v>
      </c>
      <c r="P8" s="20" t="s">
        <v>96</v>
      </c>
      <c r="Q8" s="22" t="s">
        <v>425</v>
      </c>
      <c r="R8" s="9148"/>
      <c r="S8" s="1"/>
      <c r="T8" s="21" t="s">
        <v>424</v>
      </c>
      <c r="U8" s="22" t="s">
        <v>425</v>
      </c>
      <c r="V8" s="20" t="s">
        <v>96</v>
      </c>
      <c r="W8" s="1"/>
      <c r="X8" s="722"/>
      <c r="Z8" s="21" t="s">
        <v>424</v>
      </c>
      <c r="AA8" s="22" t="s">
        <v>425</v>
      </c>
      <c r="AB8" s="20" t="s">
        <v>96</v>
      </c>
      <c r="AC8" s="1"/>
      <c r="AD8" s="20" t="s">
        <v>424</v>
      </c>
      <c r="AE8" s="720" t="s">
        <v>6240</v>
      </c>
      <c r="AF8" s="22" t="s">
        <v>425</v>
      </c>
      <c r="AG8" s="9148"/>
      <c r="AH8" s="1"/>
      <c r="AI8" s="20" t="s">
        <v>424</v>
      </c>
      <c r="AJ8" s="22" t="s">
        <v>425</v>
      </c>
      <c r="AK8" s="7178" t="s">
        <v>6240</v>
      </c>
      <c r="AL8" s="1"/>
      <c r="AM8" s="722"/>
    </row>
    <row r="9" spans="1:39" x14ac:dyDescent="0.35">
      <c r="F9" s="462"/>
      <c r="G9" s="462"/>
      <c r="H9" s="462"/>
      <c r="I9" s="462"/>
      <c r="J9" s="462"/>
      <c r="K9" s="462"/>
      <c r="N9"/>
      <c r="O9"/>
      <c r="P9"/>
      <c r="Q9"/>
      <c r="R9" s="25"/>
      <c r="S9"/>
      <c r="W9"/>
      <c r="AC9"/>
      <c r="AD9"/>
      <c r="AE9" s="462"/>
      <c r="AF9"/>
      <c r="AG9" s="25"/>
      <c r="AH9"/>
      <c r="AL9"/>
    </row>
    <row r="10" spans="1:39" ht="31.75" customHeight="1" x14ac:dyDescent="0.35">
      <c r="A10" s="9152" t="s">
        <v>426</v>
      </c>
      <c r="B10" s="724"/>
      <c r="C10" s="725" t="s">
        <v>427</v>
      </c>
      <c r="D10" s="580" t="s">
        <v>428</v>
      </c>
      <c r="F10" s="4935" t="s">
        <v>6241</v>
      </c>
      <c r="G10" s="510"/>
      <c r="H10" s="31"/>
      <c r="I10" s="4935" t="s">
        <v>6242</v>
      </c>
      <c r="J10" s="472"/>
      <c r="K10" s="510"/>
      <c r="L10" s="31"/>
      <c r="M10" s="7179" t="s">
        <v>6243</v>
      </c>
      <c r="N10" s="33"/>
      <c r="O10" s="31">
        <f>L10</f>
        <v>0</v>
      </c>
      <c r="P10" s="31" t="s">
        <v>6244</v>
      </c>
      <c r="Q10" s="473" t="s">
        <v>6245</v>
      </c>
      <c r="R10" s="32"/>
      <c r="S10" s="33"/>
      <c r="T10" s="31"/>
      <c r="U10" s="473" t="s">
        <v>6245</v>
      </c>
      <c r="V10" s="34" t="s">
        <v>6246</v>
      </c>
      <c r="W10" s="33"/>
      <c r="X10" s="726" t="s">
        <v>6247</v>
      </c>
      <c r="Z10" s="31"/>
      <c r="AA10" s="473" t="s">
        <v>6248</v>
      </c>
      <c r="AB10" s="34" t="s">
        <v>6249</v>
      </c>
      <c r="AC10" s="33"/>
      <c r="AD10" s="727" t="s">
        <v>6250</v>
      </c>
      <c r="AE10" s="7180" t="s">
        <v>6251</v>
      </c>
      <c r="AF10" s="726"/>
      <c r="AG10" s="32"/>
      <c r="AH10" s="33"/>
      <c r="AI10" s="7181" t="s">
        <v>6250</v>
      </c>
      <c r="AJ10" s="473"/>
      <c r="AK10" s="31"/>
      <c r="AL10" s="33"/>
      <c r="AM10" s="726" t="s">
        <v>6247</v>
      </c>
    </row>
    <row r="11" spans="1:39" ht="12.75" customHeight="1" x14ac:dyDescent="0.35">
      <c r="A11" s="9153"/>
      <c r="B11" s="40" t="s">
        <v>451</v>
      </c>
      <c r="C11" s="728"/>
      <c r="D11" s="729"/>
      <c r="F11" s="730"/>
      <c r="G11" s="731"/>
      <c r="H11" s="7182"/>
      <c r="I11" s="7183"/>
      <c r="J11" s="734"/>
      <c r="K11" s="731"/>
      <c r="L11" s="7182"/>
      <c r="M11" s="7184"/>
      <c r="N11" s="48"/>
      <c r="O11" s="45"/>
      <c r="P11" s="46"/>
      <c r="Q11" s="804"/>
      <c r="R11" s="47"/>
      <c r="S11" s="48"/>
      <c r="T11" s="46"/>
      <c r="U11" s="804"/>
      <c r="V11" s="49"/>
      <c r="W11" s="48"/>
      <c r="X11" s="718"/>
      <c r="Z11" s="804"/>
      <c r="AA11" s="804"/>
      <c r="AB11" s="49"/>
      <c r="AC11" s="48"/>
      <c r="AD11" s="154"/>
      <c r="AE11" s="7125"/>
      <c r="AF11" s="7126"/>
      <c r="AG11" s="47"/>
      <c r="AH11" s="739"/>
      <c r="AI11" s="154"/>
      <c r="AJ11" s="474"/>
      <c r="AK11" s="586"/>
      <c r="AL11" s="43"/>
      <c r="AM11" s="718"/>
    </row>
    <row r="12" spans="1:39" x14ac:dyDescent="0.35">
      <c r="A12" s="9153"/>
      <c r="B12" s="58"/>
      <c r="C12" s="743" t="s">
        <v>1612</v>
      </c>
      <c r="F12" s="753">
        <v>23640.5</v>
      </c>
      <c r="G12" s="745"/>
      <c r="H12" s="5090"/>
      <c r="I12" s="5089">
        <v>28596.799999999999</v>
      </c>
      <c r="J12" s="748">
        <v>0</v>
      </c>
      <c r="K12" s="745"/>
      <c r="L12" s="5090"/>
      <c r="M12" s="7185">
        <v>32808.300000000003</v>
      </c>
      <c r="N12" s="65"/>
      <c r="O12" s="71"/>
      <c r="P12" s="74">
        <v>32808.300000000003</v>
      </c>
      <c r="Q12" s="7186" t="s">
        <v>6252</v>
      </c>
      <c r="R12" s="476">
        <f>IF(O12=0,0,P12/O12)</f>
        <v>0</v>
      </c>
      <c r="S12" s="65"/>
      <c r="T12" s="63"/>
      <c r="U12" s="7187"/>
      <c r="V12" s="66">
        <v>36290.800000000003</v>
      </c>
      <c r="W12" s="65"/>
      <c r="X12" s="723" t="s">
        <v>6253</v>
      </c>
      <c r="Z12" s="7187"/>
      <c r="AA12" s="7187"/>
      <c r="AB12" s="7188">
        <f>49684.8-AB13</f>
        <v>45955.200000000004</v>
      </c>
      <c r="AC12" s="65"/>
      <c r="AD12" s="62">
        <f>AD15-AD13</f>
        <v>57291.85897629676</v>
      </c>
      <c r="AE12" s="5645">
        <f>AE15-AE13</f>
        <v>71127.98678585999</v>
      </c>
      <c r="AF12" s="7128"/>
      <c r="AG12" s="476">
        <f>IF(AD12=0,0,AE12/AD12)</f>
        <v>1.2415025111209539</v>
      </c>
      <c r="AH12" s="272"/>
      <c r="AI12" s="62"/>
      <c r="AJ12" s="106"/>
      <c r="AK12" s="998">
        <f>AK15-AK13</f>
        <v>97894</v>
      </c>
      <c r="AM12" s="723" t="s">
        <v>6253</v>
      </c>
    </row>
    <row r="13" spans="1:39" x14ac:dyDescent="0.35">
      <c r="A13" s="9153"/>
      <c r="B13" s="58"/>
      <c r="C13" s="752" t="s">
        <v>5024</v>
      </c>
      <c r="E13" s="462"/>
      <c r="F13" s="753"/>
      <c r="G13" s="745"/>
      <c r="H13" s="746"/>
      <c r="I13" s="747"/>
      <c r="J13" s="754">
        <f>IF(H13=0,0,I13/H13)</f>
        <v>0</v>
      </c>
      <c r="K13" s="745"/>
      <c r="L13" s="746"/>
      <c r="M13" s="7185"/>
      <c r="N13" s="65"/>
      <c r="O13" s="71"/>
      <c r="P13" s="74">
        <v>3684.9780999999998</v>
      </c>
      <c r="Q13" s="7189" t="s">
        <v>6254</v>
      </c>
      <c r="R13" s="73">
        <f>IF(O13=0,0,P13/O13)</f>
        <v>0</v>
      </c>
      <c r="S13" s="65"/>
      <c r="T13" s="63"/>
      <c r="U13" s="7190" t="s">
        <v>6254</v>
      </c>
      <c r="V13" s="66">
        <v>4739.9424691138101</v>
      </c>
      <c r="W13" s="65"/>
      <c r="X13" s="723" t="s">
        <v>6255</v>
      </c>
      <c r="Z13" s="7190"/>
      <c r="AA13" s="7190"/>
      <c r="AB13" s="7188">
        <v>3729.6</v>
      </c>
      <c r="AC13" s="65"/>
      <c r="AD13" s="62">
        <v>4937.5999999999995</v>
      </c>
      <c r="AE13" s="5645">
        <v>7971.0641441300104</v>
      </c>
      <c r="AF13" s="7128" t="s">
        <v>6256</v>
      </c>
      <c r="AG13" s="476">
        <f t="shared" ref="AG13:AG14" si="0">IF(AD13=0,0,AE13/AD13)</f>
        <v>1.6143600421520599</v>
      </c>
      <c r="AH13" s="272"/>
      <c r="AI13" s="62"/>
      <c r="AJ13" s="106"/>
      <c r="AK13" s="998">
        <v>14271.4</v>
      </c>
      <c r="AM13" s="723" t="s">
        <v>6255</v>
      </c>
    </row>
    <row r="14" spans="1:39" ht="14.75" customHeight="1" x14ac:dyDescent="0.35">
      <c r="A14" s="9153"/>
      <c r="B14" s="75"/>
      <c r="C14" s="755"/>
      <c r="E14" s="462"/>
      <c r="F14" s="756"/>
      <c r="G14" s="745"/>
      <c r="H14" s="757"/>
      <c r="I14" s="758"/>
      <c r="J14" s="754"/>
      <c r="K14" s="745"/>
      <c r="L14" s="757"/>
      <c r="M14" s="7185"/>
      <c r="N14" s="80"/>
      <c r="O14" s="760"/>
      <c r="P14" s="84"/>
      <c r="Q14" s="7189"/>
      <c r="R14" s="73"/>
      <c r="S14" s="80"/>
      <c r="T14" s="79"/>
      <c r="U14" s="7187"/>
      <c r="V14" s="66"/>
      <c r="W14" s="80"/>
      <c r="X14" s="723"/>
      <c r="Z14" s="7187"/>
      <c r="AA14" s="7187"/>
      <c r="AB14" s="1553"/>
      <c r="AC14" s="80"/>
      <c r="AD14" s="78"/>
      <c r="AE14" s="5645"/>
      <c r="AF14" s="7128"/>
      <c r="AG14" s="476">
        <f t="shared" si="0"/>
        <v>0</v>
      </c>
      <c r="AH14" s="274"/>
      <c r="AI14" s="78"/>
      <c r="AJ14" s="106"/>
      <c r="AK14" s="999"/>
      <c r="AM14" s="723"/>
    </row>
    <row r="15" spans="1:39" ht="12.75" customHeight="1" x14ac:dyDescent="0.35">
      <c r="A15" s="9153"/>
      <c r="B15" s="85"/>
      <c r="C15" s="762" t="s">
        <v>466</v>
      </c>
      <c r="E15" s="223"/>
      <c r="F15" s="763">
        <v>26223</v>
      </c>
      <c r="G15" s="745"/>
      <c r="H15" s="764"/>
      <c r="I15" s="765">
        <v>31730.5</v>
      </c>
      <c r="J15" s="766">
        <v>0</v>
      </c>
      <c r="K15" s="745"/>
      <c r="L15" s="764"/>
      <c r="M15" s="7191">
        <v>36493.300000000003</v>
      </c>
      <c r="N15" s="80"/>
      <c r="O15" s="768"/>
      <c r="P15" s="99">
        <v>36493.300000000003</v>
      </c>
      <c r="Q15" s="7192" t="s">
        <v>6257</v>
      </c>
      <c r="R15" s="91">
        <f>IF(O15=0,0,P15/O15)</f>
        <v>0</v>
      </c>
      <c r="S15" s="80"/>
      <c r="T15" s="90"/>
      <c r="U15" s="7192" t="s">
        <v>6257</v>
      </c>
      <c r="V15" s="92">
        <v>41030.707544957819</v>
      </c>
      <c r="W15" s="80"/>
      <c r="X15" s="722"/>
      <c r="Z15" s="7192"/>
      <c r="AA15" s="7192" t="s">
        <v>6258</v>
      </c>
      <c r="AB15" s="7193">
        <f>AB13+AB12</f>
        <v>49684.800000000003</v>
      </c>
      <c r="AC15" s="80"/>
      <c r="AD15" s="1776">
        <v>62229.458976296759</v>
      </c>
      <c r="AE15" s="7135">
        <v>79099.05092999</v>
      </c>
      <c r="AF15" s="7192" t="s">
        <v>6259</v>
      </c>
      <c r="AG15" s="91">
        <f>IF(AD15=0,0,AE15/AD15)</f>
        <v>1.2710869133559217</v>
      </c>
      <c r="AH15" s="274"/>
      <c r="AI15" s="1776"/>
      <c r="AJ15" s="216"/>
      <c r="AK15" s="4877">
        <v>112165.4</v>
      </c>
      <c r="AM15" s="722"/>
    </row>
    <row r="16" spans="1:39" x14ac:dyDescent="0.35">
      <c r="A16" s="9153"/>
      <c r="B16" s="100" t="s">
        <v>468</v>
      </c>
      <c r="C16" s="771"/>
      <c r="D16" s="729"/>
      <c r="E16" s="729"/>
      <c r="F16" s="772"/>
      <c r="G16" s="729"/>
      <c r="H16" s="773"/>
      <c r="I16" s="774"/>
      <c r="J16" s="775"/>
      <c r="K16" s="729"/>
      <c r="L16" s="773"/>
      <c r="M16" s="776"/>
      <c r="N16" s="43"/>
      <c r="O16" s="102"/>
      <c r="P16" s="106"/>
      <c r="Q16" s="892"/>
      <c r="R16" s="104"/>
      <c r="S16" s="43"/>
      <c r="T16" s="777"/>
      <c r="U16" s="847"/>
      <c r="V16" s="105"/>
      <c r="W16" s="43"/>
      <c r="X16" s="718"/>
      <c r="Z16" s="777"/>
      <c r="AA16" s="847"/>
      <c r="AB16" s="105"/>
      <c r="AC16" s="80"/>
      <c r="AD16" s="102"/>
      <c r="AE16" s="774"/>
      <c r="AF16" s="7126"/>
      <c r="AG16" s="104"/>
      <c r="AH16" s="43"/>
      <c r="AI16" s="102"/>
      <c r="AJ16" s="103"/>
      <c r="AK16" s="105"/>
      <c r="AM16" s="718"/>
    </row>
    <row r="17" spans="1:39" x14ac:dyDescent="0.35">
      <c r="A17" s="9153"/>
      <c r="B17" s="6082"/>
      <c r="C17" s="778" t="s">
        <v>1622</v>
      </c>
      <c r="F17" s="779"/>
      <c r="H17" s="780"/>
      <c r="I17" s="781"/>
      <c r="J17" s="782">
        <f>IF(H17=0,0,I17/H17)</f>
        <v>0</v>
      </c>
      <c r="L17" s="780"/>
      <c r="M17" s="1555"/>
      <c r="O17" s="112"/>
      <c r="P17" s="115">
        <f>P21-P18-P19-P20</f>
        <v>34418.600000000006</v>
      </c>
      <c r="Q17" s="462" t="s">
        <v>6260</v>
      </c>
      <c r="R17" s="476">
        <f>IF(O17=0,0,P17/O17)</f>
        <v>0</v>
      </c>
      <c r="T17" s="117"/>
      <c r="U17" s="7194"/>
      <c r="V17" s="66">
        <f>V21-V18</f>
        <v>38798.200599699994</v>
      </c>
      <c r="X17" s="723"/>
      <c r="Z17" s="117"/>
      <c r="AA17" s="7194"/>
      <c r="AB17" s="1553">
        <f>AB21-AB18</f>
        <v>46110.1</v>
      </c>
      <c r="AC17" s="43"/>
      <c r="AD17" s="112">
        <f>AD21-AD18</f>
        <v>59122.400000000001</v>
      </c>
      <c r="AE17" s="1041">
        <f>AE21-AE18</f>
        <v>74335.721984200005</v>
      </c>
      <c r="AF17" s="7128"/>
      <c r="AG17" s="476">
        <f>IF(AD17=0,0,AE17/AD17)</f>
        <v>1.2573190869146043</v>
      </c>
      <c r="AI17" s="112"/>
      <c r="AJ17" s="789"/>
      <c r="AK17" s="273">
        <f>AK21-AK18</f>
        <v>110960.1</v>
      </c>
      <c r="AL17" s="43"/>
      <c r="AM17" s="723"/>
    </row>
    <row r="18" spans="1:39" x14ac:dyDescent="0.35">
      <c r="A18" s="9153"/>
      <c r="B18" s="6082"/>
      <c r="C18" s="778" t="s">
        <v>1624</v>
      </c>
      <c r="F18" s="3230">
        <v>1439.6</v>
      </c>
      <c r="H18" s="1566"/>
      <c r="I18" s="1656">
        <v>1616.5</v>
      </c>
      <c r="J18" s="782"/>
      <c r="L18" s="1566"/>
      <c r="M18" s="1555">
        <v>1838.7</v>
      </c>
      <c r="O18" s="114"/>
      <c r="P18" s="115">
        <v>1838.7</v>
      </c>
      <c r="Q18" s="7186" t="s">
        <v>6261</v>
      </c>
      <c r="R18" s="476">
        <f>IF(O18=0,0,P18/O18)</f>
        <v>0</v>
      </c>
      <c r="T18" s="117"/>
      <c r="U18" s="7195" t="s">
        <v>6262</v>
      </c>
      <c r="V18" s="66">
        <v>2131.8000000000002</v>
      </c>
      <c r="X18" s="723" t="s">
        <v>6263</v>
      </c>
      <c r="Z18" s="117"/>
      <c r="AA18" s="7195" t="s">
        <v>6264</v>
      </c>
      <c r="AB18" s="7188">
        <v>3234.8</v>
      </c>
      <c r="AD18" s="112">
        <v>3047.6</v>
      </c>
      <c r="AE18" s="1037">
        <v>5400.4</v>
      </c>
      <c r="AF18" s="7128" t="s">
        <v>6262</v>
      </c>
      <c r="AG18" s="476">
        <f>IF(AD18=0,0,AE18/AD18)</f>
        <v>1.7720173251082818</v>
      </c>
      <c r="AI18" s="112"/>
      <c r="AJ18" s="789"/>
      <c r="AK18" s="273">
        <v>7048.5</v>
      </c>
      <c r="AM18" s="723" t="s">
        <v>6263</v>
      </c>
    </row>
    <row r="19" spans="1:39" x14ac:dyDescent="0.35">
      <c r="A19" s="9153"/>
      <c r="B19" s="6082"/>
      <c r="C19" s="787" t="s">
        <v>634</v>
      </c>
      <c r="F19" s="3230"/>
      <c r="H19" s="1566"/>
      <c r="I19" s="1656"/>
      <c r="J19" s="782">
        <f>IF(H19=0,0,I19/H19)</f>
        <v>0</v>
      </c>
      <c r="L19" s="1566"/>
      <c r="M19" s="1555"/>
      <c r="O19" s="114"/>
      <c r="P19" s="115"/>
      <c r="Q19" s="7186"/>
      <c r="R19" s="476"/>
      <c r="T19" s="117"/>
      <c r="U19" s="7194"/>
      <c r="V19" s="66"/>
      <c r="X19" s="723"/>
      <c r="Z19" s="117"/>
      <c r="AA19" s="7194"/>
      <c r="AB19" s="1553"/>
      <c r="AD19" s="112"/>
      <c r="AE19" s="1037"/>
      <c r="AF19" s="7128"/>
      <c r="AG19" s="476">
        <f>IF(AD19=0,0,AE19/AD19)</f>
        <v>0</v>
      </c>
      <c r="AI19" s="112"/>
      <c r="AJ19" s="789"/>
      <c r="AK19" s="273"/>
      <c r="AM19" s="723"/>
    </row>
    <row r="20" spans="1:39" x14ac:dyDescent="0.35">
      <c r="A20" s="9153"/>
      <c r="B20" s="6082"/>
      <c r="C20" s="787" t="s">
        <v>478</v>
      </c>
      <c r="F20" s="3230"/>
      <c r="H20" s="1566"/>
      <c r="I20" s="1656"/>
      <c r="J20" s="782">
        <f>IF(H20=0,0,I20/H20)</f>
        <v>0</v>
      </c>
      <c r="L20" s="1566"/>
      <c r="M20" s="1555"/>
      <c r="O20" s="114"/>
      <c r="P20" s="123"/>
      <c r="Q20" s="7186"/>
      <c r="R20" s="476">
        <f>IF(O20=0,0,P20/O20)</f>
        <v>0</v>
      </c>
      <c r="T20" s="114"/>
      <c r="V20" s="66"/>
      <c r="X20" s="723"/>
      <c r="Z20" s="114"/>
      <c r="AB20" s="1553"/>
      <c r="AD20" s="112"/>
      <c r="AE20" s="1037"/>
      <c r="AF20" s="7128"/>
      <c r="AG20" s="476">
        <f>IF(AD20=0,0,AE20/AD20)</f>
        <v>0</v>
      </c>
      <c r="AI20" s="112"/>
      <c r="AJ20" s="789"/>
      <c r="AK20" s="482"/>
      <c r="AM20" s="723"/>
    </row>
    <row r="21" spans="1:39" x14ac:dyDescent="0.35">
      <c r="A21" s="9153"/>
      <c r="B21" s="128"/>
      <c r="C21" s="794" t="s">
        <v>479</v>
      </c>
      <c r="E21" s="729"/>
      <c r="F21" s="795">
        <v>25825.9</v>
      </c>
      <c r="H21" s="796"/>
      <c r="I21" s="797">
        <v>31425.4</v>
      </c>
      <c r="J21" s="798">
        <v>0</v>
      </c>
      <c r="L21" s="796"/>
      <c r="M21" s="1577">
        <v>36257.300000000003</v>
      </c>
      <c r="O21" s="131"/>
      <c r="P21" s="132">
        <v>36257.300000000003</v>
      </c>
      <c r="Q21" s="7186" t="s">
        <v>6265</v>
      </c>
      <c r="R21" s="484">
        <f>IF(O21=0,0,P21/O21)</f>
        <v>0</v>
      </c>
      <c r="T21" s="131"/>
      <c r="U21" s="7195" t="s">
        <v>6265</v>
      </c>
      <c r="V21" s="92">
        <v>40930.000599699997</v>
      </c>
      <c r="X21" s="723"/>
      <c r="Z21" s="131"/>
      <c r="AA21" s="7195" t="s">
        <v>6266</v>
      </c>
      <c r="AB21" s="7193">
        <v>49344.9</v>
      </c>
      <c r="AD21" s="7141">
        <v>62170</v>
      </c>
      <c r="AE21" s="7196">
        <v>79736.121984199999</v>
      </c>
      <c r="AF21" s="7128" t="s">
        <v>6267</v>
      </c>
      <c r="AG21" s="484">
        <f>IF(AD21=0,0,AE21/AD21)</f>
        <v>1.2825498147691812</v>
      </c>
      <c r="AI21" s="7141"/>
      <c r="AJ21" s="1000"/>
      <c r="AK21" s="1784">
        <v>118008.6</v>
      </c>
      <c r="AM21" s="723"/>
    </row>
    <row r="22" spans="1:39" x14ac:dyDescent="0.35">
      <c r="A22" s="9153"/>
      <c r="B22" s="139" t="s">
        <v>480</v>
      </c>
      <c r="C22" s="771"/>
      <c r="D22" s="801"/>
      <c r="F22" s="802"/>
      <c r="G22" s="801"/>
      <c r="H22" s="803"/>
      <c r="I22" s="804"/>
      <c r="J22" s="805"/>
      <c r="K22" s="801"/>
      <c r="L22" s="147"/>
      <c r="M22" s="806"/>
      <c r="N22" s="141"/>
      <c r="O22" s="144"/>
      <c r="P22" s="145"/>
      <c r="Q22" s="804"/>
      <c r="R22" s="486"/>
      <c r="S22" s="141"/>
      <c r="T22" s="151"/>
      <c r="U22" s="7197"/>
      <c r="V22" s="148"/>
      <c r="W22" s="141"/>
      <c r="X22" s="718"/>
      <c r="Z22" s="151"/>
      <c r="AA22" s="7197"/>
      <c r="AB22" s="148"/>
      <c r="AD22" s="144"/>
      <c r="AE22" s="145"/>
      <c r="AF22" s="3036"/>
      <c r="AG22" s="486"/>
      <c r="AH22" s="141"/>
      <c r="AI22" s="144"/>
      <c r="AJ22" s="145"/>
      <c r="AK22" s="148"/>
      <c r="AM22" s="718"/>
    </row>
    <row r="23" spans="1:39" x14ac:dyDescent="0.35">
      <c r="A23" s="9153"/>
      <c r="B23" s="6082"/>
      <c r="C23" s="778" t="s">
        <v>483</v>
      </c>
      <c r="F23" s="788"/>
      <c r="H23" s="785"/>
      <c r="I23" s="786"/>
      <c r="J23" s="782">
        <f>IF(H23=0,0,I23/H23)</f>
        <v>0</v>
      </c>
      <c r="L23" s="807"/>
      <c r="M23" s="1622"/>
      <c r="O23" s="117"/>
      <c r="P23" s="115"/>
      <c r="Q23" s="7186"/>
      <c r="R23" s="476">
        <f>IF(O23=0,0,P23/O23)</f>
        <v>0</v>
      </c>
      <c r="T23" s="156"/>
      <c r="U23" s="7194"/>
      <c r="V23" s="157">
        <f>T23*R23</f>
        <v>0</v>
      </c>
      <c r="X23" s="723"/>
      <c r="Z23" s="156"/>
      <c r="AA23" s="7194"/>
      <c r="AB23" s="157"/>
      <c r="AC23" s="141"/>
      <c r="AD23" s="200"/>
      <c r="AE23" s="647"/>
      <c r="AF23" s="66"/>
      <c r="AG23" s="476">
        <f>IF(AD23=0,0,AE23/AD23)</f>
        <v>0</v>
      </c>
      <c r="AI23" s="200"/>
      <c r="AJ23" s="789"/>
      <c r="AK23" s="273"/>
      <c r="AL23" s="141"/>
      <c r="AM23" s="723"/>
    </row>
    <row r="24" spans="1:39" x14ac:dyDescent="0.35">
      <c r="A24" s="9153"/>
      <c r="B24" s="6082"/>
      <c r="C24" s="778" t="s">
        <v>1632</v>
      </c>
      <c r="F24" s="788"/>
      <c r="H24" s="785"/>
      <c r="I24" s="786"/>
      <c r="J24" s="782">
        <f>IF(H24=0,0,I24/H24)</f>
        <v>0</v>
      </c>
      <c r="L24" s="807"/>
      <c r="M24" s="1622"/>
      <c r="O24" s="117"/>
      <c r="P24" s="115"/>
      <c r="Q24" s="7186"/>
      <c r="R24" s="476">
        <f>IF(O24=0,0,P24/O24)</f>
        <v>0</v>
      </c>
      <c r="T24" s="156"/>
      <c r="U24" s="7194"/>
      <c r="V24" s="157">
        <f>T24*R24</f>
        <v>0</v>
      </c>
      <c r="X24" s="723"/>
      <c r="Z24" s="156"/>
      <c r="AA24" s="7194"/>
      <c r="AB24" s="157"/>
      <c r="AD24" s="200"/>
      <c r="AE24" s="649"/>
      <c r="AF24" s="7128"/>
      <c r="AG24" s="476">
        <f>IF(AD24=0,0,AE24/AD24)</f>
        <v>0</v>
      </c>
      <c r="AI24" s="200"/>
      <c r="AJ24" s="789"/>
      <c r="AK24" s="273"/>
      <c r="AM24" s="723"/>
    </row>
    <row r="25" spans="1:39" x14ac:dyDescent="0.35">
      <c r="A25" s="9153"/>
      <c r="B25" s="6082"/>
      <c r="C25" s="778" t="s">
        <v>490</v>
      </c>
      <c r="F25" s="788"/>
      <c r="H25" s="785"/>
      <c r="I25" s="786"/>
      <c r="J25" s="782">
        <f>IF(H25=0,0,I25/H25)</f>
        <v>0</v>
      </c>
      <c r="L25" s="807"/>
      <c r="M25" s="1622"/>
      <c r="O25" s="117"/>
      <c r="P25" s="115"/>
      <c r="Q25" s="7186"/>
      <c r="R25" s="476">
        <f>IF(O25=0,0,P25/O25)</f>
        <v>0</v>
      </c>
      <c r="T25" s="156"/>
      <c r="U25" s="7194"/>
      <c r="V25" s="157">
        <f>T25*R25</f>
        <v>0</v>
      </c>
      <c r="X25" s="723"/>
      <c r="Z25" s="156"/>
      <c r="AA25" s="7194"/>
      <c r="AB25" s="157"/>
      <c r="AD25" s="200"/>
      <c r="AE25" s="649"/>
      <c r="AF25" s="7128"/>
      <c r="AG25" s="476">
        <f>IF(AD25=0,0,AE25/AD25)</f>
        <v>0</v>
      </c>
      <c r="AI25" s="200"/>
      <c r="AJ25" s="789"/>
      <c r="AK25" s="273"/>
      <c r="AM25" s="723"/>
    </row>
    <row r="26" spans="1:39" x14ac:dyDescent="0.35">
      <c r="A26" s="9153"/>
      <c r="B26" s="6082"/>
      <c r="C26" s="817" t="s">
        <v>497</v>
      </c>
      <c r="E26" s="801"/>
      <c r="F26" s="790"/>
      <c r="H26" s="818"/>
      <c r="I26" s="819"/>
      <c r="J26" s="782">
        <f>IF(H26=0,0,I26/H26)</f>
        <v>0</v>
      </c>
      <c r="L26" s="7198"/>
      <c r="M26" s="1622">
        <f>L26*J26</f>
        <v>0</v>
      </c>
      <c r="O26" s="164"/>
      <c r="P26" s="165"/>
      <c r="Q26" s="892"/>
      <c r="R26" s="476">
        <f>IF(O26=0,0,P26/O26)</f>
        <v>0</v>
      </c>
      <c r="T26" s="156"/>
      <c r="U26" s="847"/>
      <c r="V26" s="157">
        <f>T26*R26</f>
        <v>0</v>
      </c>
      <c r="X26" s="723"/>
      <c r="Z26" s="156"/>
      <c r="AA26" s="847"/>
      <c r="AB26" s="157"/>
      <c r="AD26" s="164"/>
      <c r="AE26" s="638"/>
      <c r="AF26" s="66"/>
      <c r="AG26" s="476">
        <f>IF(AD26=0,0,AE26/AD26)</f>
        <v>0</v>
      </c>
      <c r="AI26" s="164"/>
      <c r="AJ26" s="106"/>
      <c r="AK26" s="273"/>
      <c r="AM26" s="723"/>
    </row>
    <row r="27" spans="1:39" x14ac:dyDescent="0.35">
      <c r="A27" s="9153"/>
      <c r="B27" s="128"/>
      <c r="C27" s="794" t="s">
        <v>499</v>
      </c>
      <c r="F27" s="822">
        <f>IF(F24=0,0,(F25-F26)/F24)</f>
        <v>0</v>
      </c>
      <c r="G27" s="823"/>
      <c r="H27" s="824">
        <f>IF(H24=0,0,(H25-H26)/H24)</f>
        <v>0</v>
      </c>
      <c r="I27" s="825">
        <f>IF(I24=0,0,(I25-I26)/I24)</f>
        <v>0</v>
      </c>
      <c r="J27" s="826"/>
      <c r="K27" s="823"/>
      <c r="L27" s="827">
        <f>IF(L24=0,0,L25/L24)</f>
        <v>0</v>
      </c>
      <c r="M27" s="828">
        <f>IF(M24=0,0,M25/M24)</f>
        <v>0</v>
      </c>
      <c r="N27" s="170"/>
      <c r="O27" s="492"/>
      <c r="P27" s="497"/>
      <c r="Q27" s="7199"/>
      <c r="R27" s="494"/>
      <c r="S27" s="170"/>
      <c r="T27" s="495">
        <f>IF(T24=0,0,T25/T24)</f>
        <v>0</v>
      </c>
      <c r="U27" s="497"/>
      <c r="V27" s="496">
        <f>IF(V24=0,0,V25/V24)</f>
        <v>0</v>
      </c>
      <c r="W27" s="170"/>
      <c r="X27" s="723"/>
      <c r="Z27" s="495"/>
      <c r="AA27" s="497"/>
      <c r="AB27" s="496"/>
      <c r="AD27" s="492">
        <f t="shared" ref="AD27:AE27" si="1">IF(AD24=0,0,AD25/AD24)</f>
        <v>0</v>
      </c>
      <c r="AE27" s="497">
        <f t="shared" si="1"/>
        <v>0</v>
      </c>
      <c r="AF27" s="494"/>
      <c r="AG27" s="494"/>
      <c r="AH27" s="170"/>
      <c r="AI27" s="492">
        <f>IF(AI24=0,0,AI25/AI24)</f>
        <v>0</v>
      </c>
      <c r="AJ27" s="497"/>
      <c r="AK27" s="496">
        <f>IF(AK24=0,0,AK25/AK24)</f>
        <v>0</v>
      </c>
      <c r="AM27" s="723"/>
    </row>
    <row r="28" spans="1:39" x14ac:dyDescent="0.35">
      <c r="A28" s="9153"/>
      <c r="B28" s="139" t="s">
        <v>501</v>
      </c>
      <c r="C28" s="831"/>
      <c r="E28" s="1"/>
      <c r="F28" s="832"/>
      <c r="G28" s="170"/>
      <c r="H28" s="833"/>
      <c r="I28" s="834"/>
      <c r="J28" s="835"/>
      <c r="K28" s="170"/>
      <c r="L28" s="836"/>
      <c r="M28" s="837"/>
      <c r="N28" s="170"/>
      <c r="O28" s="838"/>
      <c r="P28" s="839"/>
      <c r="Q28" s="7200"/>
      <c r="R28" s="840"/>
      <c r="S28" s="170"/>
      <c r="T28" s="836"/>
      <c r="U28" s="834"/>
      <c r="V28" s="837"/>
      <c r="W28" s="170"/>
      <c r="X28" s="718"/>
      <c r="Z28" s="836"/>
      <c r="AA28" s="834"/>
      <c r="AB28" s="837"/>
      <c r="AC28" s="170"/>
      <c r="AD28" s="838"/>
      <c r="AE28" s="839"/>
      <c r="AF28" s="840"/>
      <c r="AG28" s="840"/>
      <c r="AH28" s="170"/>
      <c r="AI28" s="838"/>
      <c r="AJ28" s="834"/>
      <c r="AK28" s="837"/>
      <c r="AL28" s="170"/>
      <c r="AM28" s="718"/>
    </row>
    <row r="29" spans="1:39" x14ac:dyDescent="0.35">
      <c r="A29" s="9153"/>
      <c r="B29" s="6082"/>
      <c r="C29" s="121" t="s">
        <v>11</v>
      </c>
      <c r="E29" s="1"/>
      <c r="F29" s="841"/>
      <c r="G29" s="170"/>
      <c r="H29" s="112"/>
      <c r="I29" s="113"/>
      <c r="J29" s="476">
        <f>IF(H29=0,0,I29/H29)</f>
        <v>0</v>
      </c>
      <c r="K29" s="170"/>
      <c r="L29" s="117"/>
      <c r="M29" s="611">
        <f>L29*J29</f>
        <v>0</v>
      </c>
      <c r="N29" s="170"/>
      <c r="O29" s="200"/>
      <c r="P29" s="201"/>
      <c r="Q29" s="558"/>
      <c r="R29" s="835"/>
      <c r="S29" s="170"/>
      <c r="T29" s="117"/>
      <c r="U29" s="834"/>
      <c r="V29" s="837"/>
      <c r="W29" s="170"/>
      <c r="X29" s="723"/>
      <c r="Z29" s="117"/>
      <c r="AA29" s="834"/>
      <c r="AB29" s="837"/>
      <c r="AC29" s="170"/>
      <c r="AD29" s="200"/>
      <c r="AE29" s="204"/>
      <c r="AF29" s="835"/>
      <c r="AG29" s="476">
        <f>IF(AD29=0,0,AE29/AD29)</f>
        <v>0</v>
      </c>
      <c r="AH29" s="170"/>
      <c r="AI29" s="200"/>
      <c r="AJ29" s="834"/>
      <c r="AK29" s="7149"/>
      <c r="AL29" s="170"/>
      <c r="AM29" s="723"/>
    </row>
    <row r="30" spans="1:39" x14ac:dyDescent="0.35">
      <c r="A30" s="9154"/>
      <c r="B30" s="844"/>
      <c r="C30" s="208" t="s">
        <v>502</v>
      </c>
      <c r="E30" s="1"/>
      <c r="F30" s="210"/>
      <c r="G30" s="1"/>
      <c r="H30" s="217"/>
      <c r="I30" s="845"/>
      <c r="J30" s="484">
        <f>IF(H30=0,0,I30/H30)</f>
        <v>0</v>
      </c>
      <c r="K30" s="1"/>
      <c r="L30" s="217"/>
      <c r="M30" s="1345">
        <f>L30*J30</f>
        <v>0</v>
      </c>
      <c r="O30" s="214"/>
      <c r="P30" s="215"/>
      <c r="Q30" s="3740"/>
      <c r="R30" s="484">
        <f>IF(O30=0,0,P30/O30)</f>
        <v>0</v>
      </c>
      <c r="T30" s="217"/>
      <c r="U30" s="1605"/>
      <c r="V30" s="213">
        <f>T30*R30</f>
        <v>0</v>
      </c>
      <c r="X30" s="722"/>
      <c r="Z30" s="217"/>
      <c r="AA30" s="1605"/>
      <c r="AB30" s="213"/>
      <c r="AC30" s="170"/>
      <c r="AD30" s="214"/>
      <c r="AE30" s="135"/>
      <c r="AF30" s="92"/>
      <c r="AG30" s="484">
        <f>IF(AD30=0,0,AE30/AD30)</f>
        <v>0</v>
      </c>
      <c r="AI30" s="214"/>
      <c r="AJ30" s="216"/>
      <c r="AK30" s="7151"/>
      <c r="AL30" s="170"/>
      <c r="AM30" s="722"/>
    </row>
    <row r="31" spans="1:39" x14ac:dyDescent="0.35">
      <c r="F31" s="847"/>
      <c r="H31" s="847"/>
      <c r="I31" s="847"/>
      <c r="J31" s="847"/>
      <c r="L31" s="847"/>
      <c r="N31" s="462"/>
      <c r="O31" s="462"/>
      <c r="P31" s="462"/>
      <c r="Q31" s="462"/>
      <c r="R31" s="462"/>
      <c r="S31" s="462"/>
      <c r="T31" s="462"/>
      <c r="U31" s="462"/>
      <c r="V31" s="462"/>
      <c r="W31" s="462"/>
      <c r="X31" s="462"/>
      <c r="Z31" s="462"/>
      <c r="AA31" s="462"/>
      <c r="AB31" s="462"/>
      <c r="AD31" s="462"/>
      <c r="AE31" s="462"/>
      <c r="AF31" s="462"/>
      <c r="AG31" s="462"/>
      <c r="AH31" s="462"/>
      <c r="AI31" s="462"/>
      <c r="AJ31" s="462"/>
      <c r="AK31" s="867"/>
      <c r="AM31" s="462"/>
    </row>
    <row r="32" spans="1:39" ht="23.5" customHeight="1" x14ac:dyDescent="0.35">
      <c r="A32" s="9152" t="s">
        <v>503</v>
      </c>
      <c r="B32" s="848"/>
      <c r="C32" s="725" t="s">
        <v>427</v>
      </c>
      <c r="F32" s="7201" t="s">
        <v>6268</v>
      </c>
      <c r="G32" s="7202"/>
      <c r="H32" s="222"/>
      <c r="I32" s="36" t="s">
        <v>5644</v>
      </c>
      <c r="J32" s="1610"/>
      <c r="K32" s="223"/>
      <c r="L32" s="222"/>
      <c r="M32" s="36" t="s">
        <v>5644</v>
      </c>
      <c r="N32" s="170"/>
      <c r="O32" s="1024"/>
      <c r="P32" s="1025"/>
      <c r="Q32" s="7203"/>
      <c r="R32" s="855"/>
      <c r="S32" s="170"/>
      <c r="T32" s="503"/>
      <c r="U32" s="854"/>
      <c r="V32" s="857"/>
      <c r="W32" s="170"/>
      <c r="X32" s="858"/>
      <c r="Z32" s="503"/>
      <c r="AA32" s="854"/>
      <c r="AB32" s="857"/>
      <c r="AC32" s="462"/>
      <c r="AD32" s="1024"/>
      <c r="AE32" s="502"/>
      <c r="AF32" s="855"/>
      <c r="AG32" s="855"/>
      <c r="AH32" s="170"/>
      <c r="AI32" s="1024"/>
      <c r="AJ32" s="854"/>
      <c r="AK32" s="7204"/>
      <c r="AL32" s="462"/>
      <c r="AM32" s="858"/>
    </row>
    <row r="33" spans="1:39" x14ac:dyDescent="0.35">
      <c r="A33" s="9153"/>
      <c r="B33" s="863" t="s">
        <v>514</v>
      </c>
      <c r="C33" s="864"/>
      <c r="F33" s="865"/>
      <c r="G33" s="457"/>
      <c r="H33" s="866"/>
      <c r="I33" s="847"/>
      <c r="J33" s="776"/>
      <c r="K33" s="457"/>
      <c r="L33" s="773"/>
      <c r="M33" s="867"/>
      <c r="O33" s="773"/>
      <c r="P33" s="868"/>
      <c r="Q33" s="912"/>
      <c r="R33" s="869"/>
      <c r="T33" s="773"/>
      <c r="U33" s="774"/>
      <c r="V33" s="533"/>
      <c r="X33" s="718"/>
      <c r="Z33" s="773"/>
      <c r="AA33" s="774"/>
      <c r="AB33" s="533"/>
      <c r="AC33" s="170"/>
      <c r="AD33" s="773"/>
      <c r="AE33" s="868"/>
      <c r="AF33" s="105"/>
      <c r="AG33" s="869"/>
      <c r="AI33" s="773"/>
      <c r="AJ33" s="103"/>
      <c r="AK33" s="533"/>
      <c r="AL33" s="170"/>
      <c r="AM33" s="718"/>
    </row>
    <row r="34" spans="1:39" ht="15.5" customHeight="1" x14ac:dyDescent="0.35">
      <c r="A34" s="9153"/>
      <c r="B34" s="873"/>
      <c r="C34" s="874" t="s">
        <v>5647</v>
      </c>
      <c r="F34" s="779">
        <v>8803.2000000000007</v>
      </c>
      <c r="H34" s="780"/>
      <c r="I34" s="781">
        <v>10673.5</v>
      </c>
      <c r="J34" s="782">
        <v>0</v>
      </c>
      <c r="L34" s="780"/>
      <c r="M34" s="1622">
        <v>12162.2</v>
      </c>
      <c r="O34" s="780"/>
      <c r="P34" s="3232">
        <v>12162.2</v>
      </c>
      <c r="Q34" s="892" t="s">
        <v>6269</v>
      </c>
      <c r="R34" s="877">
        <f>IF(O34=0,0,P34/O34)</f>
        <v>0</v>
      </c>
      <c r="T34" s="780"/>
      <c r="U34" s="892" t="s">
        <v>6269</v>
      </c>
      <c r="V34" s="901">
        <v>13744.030862700001</v>
      </c>
      <c r="X34" s="723" t="s">
        <v>6270</v>
      </c>
      <c r="Z34" s="780"/>
      <c r="AA34" s="892" t="s">
        <v>6271</v>
      </c>
      <c r="AB34" s="7205">
        <v>15977.7</v>
      </c>
      <c r="AD34" s="780">
        <v>19504.3</v>
      </c>
      <c r="AE34" s="647">
        <v>20631.900000000001</v>
      </c>
      <c r="AF34" s="7206"/>
      <c r="AG34" s="877">
        <f>IF(AD34=0,0,AE34/AD34)</f>
        <v>1.0578128925416448</v>
      </c>
      <c r="AI34" s="780"/>
      <c r="AJ34" s="106"/>
      <c r="AK34" s="1042">
        <v>33536.1</v>
      </c>
      <c r="AM34" s="723" t="s">
        <v>6270</v>
      </c>
    </row>
    <row r="35" spans="1:39" x14ac:dyDescent="0.35">
      <c r="A35" s="9153"/>
      <c r="B35" s="873"/>
      <c r="C35" s="874" t="s">
        <v>2541</v>
      </c>
      <c r="F35" s="788"/>
      <c r="H35" s="785"/>
      <c r="I35" s="786"/>
      <c r="J35" s="782">
        <f>IF(H35=0,0,I35/H35)</f>
        <v>0</v>
      </c>
      <c r="L35" s="785"/>
      <c r="M35" s="1622"/>
      <c r="N35" s="223"/>
      <c r="O35" s="785"/>
      <c r="P35" s="3232"/>
      <c r="Q35" s="1039"/>
      <c r="R35" s="883">
        <f>IF(O35=0,0,P35/O35)</f>
        <v>0</v>
      </c>
      <c r="S35" s="223"/>
      <c r="T35" s="785"/>
      <c r="U35" s="1039"/>
      <c r="V35" s="1036">
        <f>T35*R35</f>
        <v>0</v>
      </c>
      <c r="W35" s="223"/>
      <c r="X35" s="723"/>
      <c r="Z35" s="785"/>
      <c r="AA35" s="1039"/>
      <c r="AB35" s="1036"/>
      <c r="AD35" s="780"/>
      <c r="AE35" s="647"/>
      <c r="AF35" s="883"/>
      <c r="AG35" s="883">
        <f>IF(AD35=0,0,AE35/AD35)</f>
        <v>0</v>
      </c>
      <c r="AH35" s="223"/>
      <c r="AI35" s="785"/>
      <c r="AJ35" s="1039"/>
      <c r="AK35" s="3265"/>
      <c r="AM35" s="723"/>
    </row>
    <row r="36" spans="1:39" x14ac:dyDescent="0.35">
      <c r="A36" s="9153"/>
      <c r="B36" s="873"/>
      <c r="C36" s="874" t="s">
        <v>5650</v>
      </c>
      <c r="F36" s="790"/>
      <c r="H36" s="791"/>
      <c r="I36" s="792"/>
      <c r="J36" s="782"/>
      <c r="L36" s="791"/>
      <c r="M36" s="1622"/>
      <c r="N36" s="223"/>
      <c r="O36" s="791"/>
      <c r="P36" s="3232"/>
      <c r="Q36" s="1039"/>
      <c r="R36" s="883">
        <f>IF(O36=0,0,P36/O36)</f>
        <v>0</v>
      </c>
      <c r="S36" s="223"/>
      <c r="T36" s="791"/>
      <c r="U36" s="1039"/>
      <c r="V36" s="1036">
        <f>T36*R36</f>
        <v>0</v>
      </c>
      <c r="W36" s="223"/>
      <c r="X36" s="723"/>
      <c r="Z36" s="791"/>
      <c r="AA36" s="1039"/>
      <c r="AB36" s="1036"/>
      <c r="AC36" s="223"/>
      <c r="AD36" s="780"/>
      <c r="AE36" s="647"/>
      <c r="AF36" s="883"/>
      <c r="AG36" s="883">
        <f>IF(AD36=0,0,AE36/AD36)</f>
        <v>0</v>
      </c>
      <c r="AH36" s="223"/>
      <c r="AI36" s="791"/>
      <c r="AJ36" s="1039"/>
      <c r="AK36" s="3265"/>
      <c r="AL36" s="223"/>
      <c r="AM36" s="723"/>
    </row>
    <row r="37" spans="1:39" x14ac:dyDescent="0.35">
      <c r="A37" s="9153"/>
      <c r="B37" s="885"/>
      <c r="C37" s="886" t="s">
        <v>5651</v>
      </c>
      <c r="E37" s="223"/>
      <c r="F37" s="790"/>
      <c r="H37" s="791"/>
      <c r="I37" s="792"/>
      <c r="J37" s="782">
        <f>IF(H37=0,0,I37/H37)</f>
        <v>0</v>
      </c>
      <c r="L37" s="791"/>
      <c r="M37" s="1622"/>
      <c r="N37" s="143"/>
      <c r="O37" s="791"/>
      <c r="P37" s="3232"/>
      <c r="Q37" s="106"/>
      <c r="R37" s="877">
        <f>IF(O37=0,0,P37/O37)</f>
        <v>0</v>
      </c>
      <c r="S37" s="143"/>
      <c r="T37" s="791"/>
      <c r="U37" s="106"/>
      <c r="V37" s="901">
        <f>T37*R37</f>
        <v>0</v>
      </c>
      <c r="W37" s="143"/>
      <c r="X37" s="723"/>
      <c r="Z37" s="791"/>
      <c r="AA37" s="106"/>
      <c r="AB37" s="901"/>
      <c r="AC37" s="223"/>
      <c r="AD37" s="791"/>
      <c r="AE37" s="3232"/>
      <c r="AF37" s="66"/>
      <c r="AG37" s="877">
        <f>IF(AD37=0,0,AE37/AD37)</f>
        <v>0</v>
      </c>
      <c r="AH37" s="143"/>
      <c r="AI37" s="791"/>
      <c r="AJ37" s="106"/>
      <c r="AK37" s="3265"/>
      <c r="AL37" s="223"/>
      <c r="AM37" s="723"/>
    </row>
    <row r="38" spans="1:39" x14ac:dyDescent="0.35">
      <c r="A38" s="9153"/>
      <c r="B38" s="196" t="s">
        <v>2547</v>
      </c>
      <c r="C38" s="889"/>
      <c r="E38" s="457"/>
      <c r="F38" s="865"/>
      <c r="G38" s="457"/>
      <c r="H38" s="866"/>
      <c r="I38" s="847"/>
      <c r="J38" s="890"/>
      <c r="K38" s="457"/>
      <c r="L38" s="866"/>
      <c r="M38" s="891"/>
      <c r="O38" s="866"/>
      <c r="P38" s="892"/>
      <c r="Q38" s="106"/>
      <c r="R38" s="476"/>
      <c r="T38" s="866"/>
      <c r="U38" s="106"/>
      <c r="V38" s="543"/>
      <c r="X38" s="893"/>
      <c r="Z38" s="866"/>
      <c r="AA38" s="106"/>
      <c r="AB38" s="543"/>
      <c r="AC38" s="143"/>
      <c r="AD38" s="866"/>
      <c r="AE38" s="892"/>
      <c r="AF38" s="66"/>
      <c r="AG38" s="476"/>
      <c r="AI38" s="866"/>
      <c r="AJ38" s="106"/>
      <c r="AK38" s="543"/>
      <c r="AL38" s="143"/>
      <c r="AM38" s="893"/>
    </row>
    <row r="39" spans="1:39" x14ac:dyDescent="0.35">
      <c r="A39" s="9153"/>
      <c r="B39" s="873"/>
      <c r="C39" s="874" t="s">
        <v>5652</v>
      </c>
      <c r="F39" s="779"/>
      <c r="H39" s="780"/>
      <c r="I39" s="781"/>
      <c r="J39" s="782">
        <f>IF(H39=0,0,I39/H39)</f>
        <v>0</v>
      </c>
      <c r="L39" s="780"/>
      <c r="M39" s="1622"/>
      <c r="O39" s="780"/>
      <c r="P39" s="3232"/>
      <c r="Q39" s="106"/>
      <c r="R39" s="476">
        <f>IF(O39=0,0,P39/O39)</f>
        <v>0</v>
      </c>
      <c r="T39" s="780"/>
      <c r="U39" s="106"/>
      <c r="V39" s="543">
        <f>T39*R39</f>
        <v>0</v>
      </c>
      <c r="X39" s="723"/>
      <c r="Z39" s="780"/>
      <c r="AA39" s="106"/>
      <c r="AB39" s="543"/>
      <c r="AD39" s="780"/>
      <c r="AE39" s="647"/>
      <c r="AF39" s="66"/>
      <c r="AG39" s="476">
        <f>IF(AD39=0,0,AE39/AD39)</f>
        <v>0</v>
      </c>
      <c r="AI39" s="780"/>
      <c r="AJ39" s="106"/>
      <c r="AK39" s="3265"/>
      <c r="AM39" s="723"/>
    </row>
    <row r="40" spans="1:39" x14ac:dyDescent="0.35">
      <c r="A40" s="9153"/>
      <c r="B40" s="873"/>
      <c r="C40" s="874" t="s">
        <v>5650</v>
      </c>
      <c r="F40" s="788"/>
      <c r="H40" s="785"/>
      <c r="I40" s="786"/>
      <c r="J40" s="782">
        <f>IF(H40=0,0,I40/H40)</f>
        <v>0</v>
      </c>
      <c r="L40" s="785"/>
      <c r="M40" s="1622"/>
      <c r="O40" s="785"/>
      <c r="P40" s="3232"/>
      <c r="Q40" s="106"/>
      <c r="R40" s="476">
        <f>IF(O40=0,0,P40/O40)</f>
        <v>0</v>
      </c>
      <c r="T40" s="785"/>
      <c r="U40" s="106"/>
      <c r="V40" s="543">
        <f>T40*R40</f>
        <v>0</v>
      </c>
      <c r="X40" s="723"/>
      <c r="Z40" s="785"/>
      <c r="AA40" s="106"/>
      <c r="AB40" s="543"/>
      <c r="AD40" s="785"/>
      <c r="AE40" s="647"/>
      <c r="AF40" s="66"/>
      <c r="AG40" s="476">
        <f>IF(AD40=0,0,AE40/AD40)</f>
        <v>0</v>
      </c>
      <c r="AI40" s="785"/>
      <c r="AJ40" s="106"/>
      <c r="AK40" s="3265"/>
      <c r="AM40" s="723"/>
    </row>
    <row r="41" spans="1:39" x14ac:dyDescent="0.35">
      <c r="A41" s="9153"/>
      <c r="B41" s="895"/>
      <c r="C41" s="896" t="s">
        <v>5651</v>
      </c>
      <c r="F41" s="795"/>
      <c r="H41" s="791"/>
      <c r="I41" s="792"/>
      <c r="J41" s="782">
        <f>IF(H41=0,0,I41/H41)</f>
        <v>0</v>
      </c>
      <c r="L41" s="796"/>
      <c r="M41" s="1637"/>
      <c r="O41" s="796"/>
      <c r="P41" s="7162"/>
      <c r="Q41" s="216"/>
      <c r="R41" s="484">
        <f>IF(O41=0,0,P41/O41)</f>
        <v>0</v>
      </c>
      <c r="T41" s="796"/>
      <c r="U41" s="216"/>
      <c r="V41" s="553">
        <f>T41*R41</f>
        <v>0</v>
      </c>
      <c r="X41" s="722"/>
      <c r="Z41" s="796"/>
      <c r="AA41" s="216"/>
      <c r="AB41" s="553"/>
      <c r="AD41" s="796"/>
      <c r="AE41" s="7162"/>
      <c r="AF41" s="92"/>
      <c r="AG41" s="484">
        <f>IF(AD41=0,0,AE41/AD41)</f>
        <v>0</v>
      </c>
      <c r="AI41" s="796"/>
      <c r="AJ41" s="216"/>
      <c r="AK41" s="3234"/>
      <c r="AM41" s="722"/>
    </row>
    <row r="42" spans="1:39" x14ac:dyDescent="0.35">
      <c r="A42" s="9153"/>
      <c r="B42" s="141" t="s">
        <v>535</v>
      </c>
      <c r="C42" s="899"/>
      <c r="E42" s="457"/>
      <c r="F42" s="870"/>
      <c r="G42" s="457"/>
      <c r="H42" s="773"/>
      <c r="I42" s="774"/>
      <c r="J42" s="900"/>
      <c r="K42" s="457"/>
      <c r="L42" s="866"/>
      <c r="M42" s="891"/>
      <c r="N42" s="143"/>
      <c r="O42" s="866"/>
      <c r="P42" s="892"/>
      <c r="Q42" s="106"/>
      <c r="R42" s="877"/>
      <c r="S42" s="143"/>
      <c r="T42" s="866"/>
      <c r="U42" s="106"/>
      <c r="V42" s="901"/>
      <c r="W42" s="143"/>
      <c r="X42" s="718"/>
      <c r="Z42" s="866"/>
      <c r="AA42" s="106"/>
      <c r="AB42" s="901"/>
      <c r="AD42" s="866"/>
      <c r="AE42" s="892"/>
      <c r="AF42" s="66"/>
      <c r="AG42" s="877"/>
      <c r="AH42" s="143"/>
      <c r="AI42" s="866"/>
      <c r="AJ42" s="106"/>
      <c r="AK42" s="901"/>
      <c r="AM42" s="718"/>
    </row>
    <row r="43" spans="1:39" x14ac:dyDescent="0.35">
      <c r="A43" s="9153"/>
      <c r="B43" s="240"/>
      <c r="C43" s="874" t="s">
        <v>5652</v>
      </c>
      <c r="F43" s="779"/>
      <c r="H43" s="780"/>
      <c r="I43" s="781"/>
      <c r="J43" s="782">
        <f t="shared" ref="J43:J49" si="2">IF(H43=0,0,I43/H43)</f>
        <v>0</v>
      </c>
      <c r="L43" s="780"/>
      <c r="M43" s="1622"/>
      <c r="O43" s="780"/>
      <c r="P43" s="3232"/>
      <c r="Q43" s="106"/>
      <c r="R43" s="476">
        <f t="shared" ref="R43:R49" si="3">IF(O43=0,0,P43/O43)</f>
        <v>0</v>
      </c>
      <c r="T43" s="780"/>
      <c r="U43" s="106"/>
      <c r="V43" s="543">
        <f t="shared" ref="V43:V49" si="4">T43*R43</f>
        <v>0</v>
      </c>
      <c r="X43" s="903"/>
      <c r="Z43" s="780"/>
      <c r="AA43" s="106"/>
      <c r="AB43" s="543"/>
      <c r="AC43" s="143"/>
      <c r="AD43" s="780"/>
      <c r="AE43" s="647"/>
      <c r="AF43" s="66"/>
      <c r="AG43" s="476">
        <f t="shared" ref="AG43:AG49" si="5">IF(AD43=0,0,AE43/AD43)</f>
        <v>0</v>
      </c>
      <c r="AI43" s="785"/>
      <c r="AJ43" s="106"/>
      <c r="AK43" s="3265"/>
      <c r="AL43" s="143"/>
      <c r="AM43" s="903"/>
    </row>
    <row r="44" spans="1:39" x14ac:dyDescent="0.35">
      <c r="A44" s="9153"/>
      <c r="B44" s="240"/>
      <c r="C44" s="874" t="s">
        <v>5650</v>
      </c>
      <c r="F44" s="788"/>
      <c r="H44" s="785"/>
      <c r="I44" s="786"/>
      <c r="J44" s="782">
        <f t="shared" si="2"/>
        <v>0</v>
      </c>
      <c r="L44" s="785"/>
      <c r="M44" s="1622"/>
      <c r="O44" s="785"/>
      <c r="P44" s="3232"/>
      <c r="Q44" s="106"/>
      <c r="R44" s="476">
        <f t="shared" si="3"/>
        <v>0</v>
      </c>
      <c r="T44" s="785"/>
      <c r="U44" s="106"/>
      <c r="V44" s="543">
        <f t="shared" si="4"/>
        <v>0</v>
      </c>
      <c r="X44" s="723"/>
      <c r="Z44" s="785"/>
      <c r="AA44" s="106"/>
      <c r="AB44" s="543"/>
      <c r="AD44" s="785"/>
      <c r="AE44" s="647"/>
      <c r="AF44" s="66"/>
      <c r="AG44" s="476">
        <f t="shared" si="5"/>
        <v>0</v>
      </c>
      <c r="AI44" s="785"/>
      <c r="AJ44" s="106"/>
      <c r="AK44" s="3265"/>
      <c r="AM44" s="723"/>
    </row>
    <row r="45" spans="1:39" x14ac:dyDescent="0.35">
      <c r="A45" s="9153"/>
      <c r="B45" s="240"/>
      <c r="C45" s="874" t="s">
        <v>5651</v>
      </c>
      <c r="F45" s="788"/>
      <c r="H45" s="785"/>
      <c r="I45" s="786"/>
      <c r="J45" s="782">
        <f t="shared" si="2"/>
        <v>0</v>
      </c>
      <c r="L45" s="785"/>
      <c r="M45" s="1622"/>
      <c r="O45" s="785"/>
      <c r="P45" s="3232"/>
      <c r="Q45" s="106"/>
      <c r="R45" s="476">
        <f t="shared" si="3"/>
        <v>0</v>
      </c>
      <c r="T45" s="785"/>
      <c r="U45" s="106"/>
      <c r="V45" s="543">
        <f t="shared" si="4"/>
        <v>0</v>
      </c>
      <c r="X45" s="723"/>
      <c r="Z45" s="785"/>
      <c r="AA45" s="106"/>
      <c r="AB45" s="543"/>
      <c r="AD45" s="785"/>
      <c r="AE45" s="647"/>
      <c r="AF45" s="66"/>
      <c r="AG45" s="476">
        <f t="shared" si="5"/>
        <v>0</v>
      </c>
      <c r="AI45" s="785"/>
      <c r="AJ45" s="106"/>
      <c r="AK45" s="3265"/>
      <c r="AM45" s="723"/>
    </row>
    <row r="46" spans="1:39" x14ac:dyDescent="0.35">
      <c r="A46" s="9153"/>
      <c r="B46" s="240"/>
      <c r="C46" s="874" t="s">
        <v>5657</v>
      </c>
      <c r="E46" s="457"/>
      <c r="F46" s="788"/>
      <c r="H46" s="785"/>
      <c r="I46" s="786"/>
      <c r="J46" s="782">
        <f t="shared" si="2"/>
        <v>0</v>
      </c>
      <c r="L46" s="785"/>
      <c r="M46" s="1622"/>
      <c r="N46" s="143"/>
      <c r="O46" s="785"/>
      <c r="P46" s="3232"/>
      <c r="Q46" s="106"/>
      <c r="R46" s="3382">
        <f t="shared" si="3"/>
        <v>0</v>
      </c>
      <c r="S46" s="143"/>
      <c r="T46" s="785"/>
      <c r="U46" s="106"/>
      <c r="V46" s="7207">
        <f t="shared" si="4"/>
        <v>0</v>
      </c>
      <c r="W46" s="143"/>
      <c r="X46" s="893"/>
      <c r="Z46" s="785"/>
      <c r="AA46" s="106"/>
      <c r="AB46" s="7207"/>
      <c r="AD46" s="785"/>
      <c r="AE46" s="647"/>
      <c r="AF46" s="66"/>
      <c r="AG46" s="3382">
        <f t="shared" si="5"/>
        <v>0</v>
      </c>
      <c r="AH46" s="143"/>
      <c r="AI46" s="785"/>
      <c r="AJ46" s="106"/>
      <c r="AK46" s="3265"/>
      <c r="AM46" s="893"/>
    </row>
    <row r="47" spans="1:39" x14ac:dyDescent="0.35">
      <c r="A47" s="9153"/>
      <c r="B47" s="240"/>
      <c r="C47" s="874" t="s">
        <v>5658</v>
      </c>
      <c r="F47" s="788"/>
      <c r="H47" s="785"/>
      <c r="I47" s="786"/>
      <c r="J47" s="782">
        <f t="shared" si="2"/>
        <v>0</v>
      </c>
      <c r="L47" s="785"/>
      <c r="M47" s="1622"/>
      <c r="O47" s="785"/>
      <c r="P47" s="3232"/>
      <c r="Q47" s="106"/>
      <c r="R47" s="476">
        <f t="shared" si="3"/>
        <v>0</v>
      </c>
      <c r="T47" s="785"/>
      <c r="U47" s="106"/>
      <c r="V47" s="543">
        <f t="shared" si="4"/>
        <v>0</v>
      </c>
      <c r="X47" s="723"/>
      <c r="Z47" s="785"/>
      <c r="AA47" s="106"/>
      <c r="AB47" s="543"/>
      <c r="AC47" s="143"/>
      <c r="AD47" s="785"/>
      <c r="AE47" s="647"/>
      <c r="AF47" s="66"/>
      <c r="AG47" s="476">
        <f t="shared" si="5"/>
        <v>0</v>
      </c>
      <c r="AI47" s="785"/>
      <c r="AJ47" s="106"/>
      <c r="AK47" s="3265"/>
      <c r="AL47" s="143"/>
      <c r="AM47" s="723"/>
    </row>
    <row r="48" spans="1:39" x14ac:dyDescent="0.35">
      <c r="A48" s="9153"/>
      <c r="B48" s="240"/>
      <c r="C48" s="874" t="s">
        <v>5659</v>
      </c>
      <c r="F48" s="788"/>
      <c r="H48" s="785"/>
      <c r="I48" s="786"/>
      <c r="J48" s="782">
        <f t="shared" si="2"/>
        <v>0</v>
      </c>
      <c r="L48" s="785"/>
      <c r="M48" s="1622"/>
      <c r="O48" s="785"/>
      <c r="P48" s="3232"/>
      <c r="Q48" s="106"/>
      <c r="R48" s="476">
        <f t="shared" si="3"/>
        <v>0</v>
      </c>
      <c r="T48" s="785"/>
      <c r="U48" s="106"/>
      <c r="V48" s="543">
        <f t="shared" si="4"/>
        <v>0</v>
      </c>
      <c r="X48" s="723"/>
      <c r="Z48" s="785"/>
      <c r="AA48" s="106"/>
      <c r="AB48" s="543"/>
      <c r="AD48" s="785"/>
      <c r="AE48" s="647"/>
      <c r="AF48" s="66"/>
      <c r="AG48" s="476">
        <f t="shared" si="5"/>
        <v>0</v>
      </c>
      <c r="AI48" s="785"/>
      <c r="AJ48" s="106"/>
      <c r="AK48" s="3265"/>
      <c r="AM48" s="723"/>
    </row>
    <row r="49" spans="1:39" x14ac:dyDescent="0.35">
      <c r="A49" s="9153"/>
      <c r="B49" s="241"/>
      <c r="C49" s="874" t="s">
        <v>5660</v>
      </c>
      <c r="F49" s="795"/>
      <c r="H49" s="796"/>
      <c r="I49" s="797"/>
      <c r="J49" s="798">
        <f t="shared" si="2"/>
        <v>0</v>
      </c>
      <c r="L49" s="791"/>
      <c r="M49" s="1622"/>
      <c r="O49" s="791"/>
      <c r="P49" s="3232"/>
      <c r="Q49" s="216"/>
      <c r="R49" s="484">
        <f t="shared" si="3"/>
        <v>0</v>
      </c>
      <c r="T49" s="791"/>
      <c r="U49" s="216"/>
      <c r="V49" s="553">
        <f t="shared" si="4"/>
        <v>0</v>
      </c>
      <c r="X49" s="722"/>
      <c r="Z49" s="791"/>
      <c r="AA49" s="216"/>
      <c r="AB49" s="553"/>
      <c r="AD49" s="791"/>
      <c r="AE49" s="3232"/>
      <c r="AF49" s="92"/>
      <c r="AG49" s="484">
        <f t="shared" si="5"/>
        <v>0</v>
      </c>
      <c r="AI49" s="791"/>
      <c r="AJ49" s="216"/>
      <c r="AK49" s="7167"/>
      <c r="AM49" s="722"/>
    </row>
    <row r="50" spans="1:39" x14ac:dyDescent="0.35">
      <c r="A50" s="9153"/>
      <c r="B50" s="139" t="s">
        <v>540</v>
      </c>
      <c r="C50" s="908"/>
      <c r="F50" s="870"/>
      <c r="G50" s="801"/>
      <c r="H50" s="866"/>
      <c r="I50" s="847"/>
      <c r="J50" s="909"/>
      <c r="K50" s="801"/>
      <c r="L50" s="773"/>
      <c r="M50" s="910"/>
      <c r="O50" s="773"/>
      <c r="P50" s="912"/>
      <c r="Q50" s="106"/>
      <c r="R50" s="476"/>
      <c r="T50" s="773"/>
      <c r="U50" s="106"/>
      <c r="V50" s="543"/>
      <c r="X50" s="718"/>
      <c r="Z50" s="773"/>
      <c r="AA50" s="106"/>
      <c r="AB50" s="543"/>
      <c r="AD50" s="773"/>
      <c r="AE50" s="912"/>
      <c r="AF50" s="66"/>
      <c r="AG50" s="476"/>
      <c r="AI50" s="773"/>
      <c r="AJ50" s="106"/>
      <c r="AK50" s="543"/>
      <c r="AM50" s="718"/>
    </row>
    <row r="51" spans="1:39" x14ac:dyDescent="0.35">
      <c r="A51" s="9153"/>
      <c r="B51" s="873"/>
      <c r="C51" s="914" t="s">
        <v>532</v>
      </c>
      <c r="F51" s="779"/>
      <c r="H51" s="780"/>
      <c r="I51" s="781"/>
      <c r="J51" s="782">
        <f t="shared" ref="J51:J58" si="6">IF(H51=0,0,I51/H51)</f>
        <v>0</v>
      </c>
      <c r="L51" s="780"/>
      <c r="M51" s="1622"/>
      <c r="O51" s="780"/>
      <c r="P51" s="3232"/>
      <c r="Q51" s="106"/>
      <c r="R51" s="476">
        <f t="shared" ref="R51:R58" si="7">IF(O51=0,0,P51/O51)</f>
        <v>0</v>
      </c>
      <c r="T51" s="780"/>
      <c r="U51" s="106"/>
      <c r="V51" s="543">
        <f t="shared" ref="V51:V58" si="8">T51*R51</f>
        <v>0</v>
      </c>
      <c r="X51" s="723"/>
      <c r="Z51" s="780"/>
      <c r="AA51" s="106"/>
      <c r="AB51" s="543"/>
      <c r="AD51" s="780"/>
      <c r="AE51" s="647"/>
      <c r="AF51" s="66"/>
      <c r="AG51" s="476">
        <f t="shared" ref="AG51:AG58" si="9">IF(AD51=0,0,AE51/AD51)</f>
        <v>0</v>
      </c>
      <c r="AI51" s="785"/>
      <c r="AK51" s="3265"/>
      <c r="AM51" s="723"/>
    </row>
    <row r="52" spans="1:39" x14ac:dyDescent="0.35">
      <c r="A52" s="9153"/>
      <c r="B52" s="873"/>
      <c r="C52" s="914" t="s">
        <v>533</v>
      </c>
      <c r="F52" s="788"/>
      <c r="H52" s="785"/>
      <c r="I52" s="786"/>
      <c r="J52" s="782">
        <f t="shared" si="6"/>
        <v>0</v>
      </c>
      <c r="L52" s="785"/>
      <c r="M52" s="1622"/>
      <c r="O52" s="785"/>
      <c r="P52" s="3232"/>
      <c r="Q52" s="106"/>
      <c r="R52" s="476">
        <f t="shared" si="7"/>
        <v>0</v>
      </c>
      <c r="T52" s="785"/>
      <c r="U52" s="106"/>
      <c r="V52" s="543">
        <f t="shared" si="8"/>
        <v>0</v>
      </c>
      <c r="X52" s="723"/>
      <c r="Z52" s="785"/>
      <c r="AA52" s="106"/>
      <c r="AB52" s="543"/>
      <c r="AD52" s="785"/>
      <c r="AE52" s="647"/>
      <c r="AF52" s="66"/>
      <c r="AG52" s="476">
        <f t="shared" si="9"/>
        <v>0</v>
      </c>
      <c r="AI52" s="785"/>
      <c r="AJ52" s="106"/>
      <c r="AK52" s="3265"/>
      <c r="AM52" s="723"/>
    </row>
    <row r="53" spans="1:39" x14ac:dyDescent="0.35">
      <c r="A53" s="9153"/>
      <c r="B53" s="873"/>
      <c r="C53" s="914" t="s">
        <v>534</v>
      </c>
      <c r="F53" s="790"/>
      <c r="H53" s="791"/>
      <c r="I53" s="792"/>
      <c r="J53" s="782">
        <f t="shared" si="6"/>
        <v>0</v>
      </c>
      <c r="L53" s="791"/>
      <c r="M53" s="1622"/>
      <c r="O53" s="791"/>
      <c r="P53" s="3232"/>
      <c r="Q53" s="106"/>
      <c r="R53" s="476">
        <f t="shared" si="7"/>
        <v>0</v>
      </c>
      <c r="T53" s="791"/>
      <c r="U53" s="106"/>
      <c r="V53" s="543">
        <f t="shared" si="8"/>
        <v>0</v>
      </c>
      <c r="X53" s="723"/>
      <c r="Z53" s="791"/>
      <c r="AA53" s="106"/>
      <c r="AB53" s="543"/>
      <c r="AD53" s="791"/>
      <c r="AE53" s="647"/>
      <c r="AF53" s="66"/>
      <c r="AG53" s="476">
        <f t="shared" si="9"/>
        <v>0</v>
      </c>
      <c r="AI53" s="791"/>
      <c r="AJ53" s="106"/>
      <c r="AK53" s="3265"/>
      <c r="AM53" s="723"/>
    </row>
    <row r="54" spans="1:39" x14ac:dyDescent="0.35">
      <c r="A54" s="9153"/>
      <c r="B54" s="873"/>
      <c r="C54" s="914" t="s">
        <v>536</v>
      </c>
      <c r="E54" s="801"/>
      <c r="F54" s="790"/>
      <c r="H54" s="791"/>
      <c r="I54" s="792"/>
      <c r="J54" s="782">
        <f t="shared" si="6"/>
        <v>0</v>
      </c>
      <c r="L54" s="791"/>
      <c r="M54" s="1622"/>
      <c r="N54" s="141"/>
      <c r="O54" s="791"/>
      <c r="P54" s="3232"/>
      <c r="Q54" s="106"/>
      <c r="R54" s="3382">
        <f t="shared" si="7"/>
        <v>0</v>
      </c>
      <c r="S54" s="141"/>
      <c r="T54" s="791"/>
      <c r="U54" s="106"/>
      <c r="V54" s="7207">
        <f t="shared" si="8"/>
        <v>0</v>
      </c>
      <c r="W54" s="141"/>
      <c r="X54" s="893"/>
      <c r="Z54" s="791"/>
      <c r="AA54" s="106"/>
      <c r="AB54" s="7207"/>
      <c r="AD54" s="791"/>
      <c r="AE54" s="647"/>
      <c r="AF54" s="66"/>
      <c r="AG54" s="3382">
        <f t="shared" si="9"/>
        <v>0</v>
      </c>
      <c r="AH54" s="141"/>
      <c r="AI54" s="791"/>
      <c r="AJ54" s="106"/>
      <c r="AK54" s="3265"/>
      <c r="AM54" s="893"/>
    </row>
    <row r="55" spans="1:39" x14ac:dyDescent="0.35">
      <c r="A55" s="9153"/>
      <c r="B55" s="873"/>
      <c r="C55" s="914" t="s">
        <v>537</v>
      </c>
      <c r="F55" s="790"/>
      <c r="H55" s="791"/>
      <c r="I55" s="792"/>
      <c r="J55" s="782">
        <f t="shared" si="6"/>
        <v>0</v>
      </c>
      <c r="L55" s="791"/>
      <c r="M55" s="1622"/>
      <c r="O55" s="791"/>
      <c r="P55" s="3232"/>
      <c r="Q55" s="106"/>
      <c r="R55" s="476">
        <f t="shared" si="7"/>
        <v>0</v>
      </c>
      <c r="T55" s="791"/>
      <c r="U55" s="106"/>
      <c r="V55" s="543">
        <f t="shared" si="8"/>
        <v>0</v>
      </c>
      <c r="X55" s="723"/>
      <c r="Z55" s="791"/>
      <c r="AA55" s="106"/>
      <c r="AB55" s="543"/>
      <c r="AC55" s="141"/>
      <c r="AD55" s="791"/>
      <c r="AE55" s="647"/>
      <c r="AF55" s="66"/>
      <c r="AG55" s="476">
        <f t="shared" si="9"/>
        <v>0</v>
      </c>
      <c r="AI55" s="791"/>
      <c r="AJ55" s="106"/>
      <c r="AK55" s="3265"/>
      <c r="AL55" s="141"/>
      <c r="AM55" s="723"/>
    </row>
    <row r="56" spans="1:39" x14ac:dyDescent="0.35">
      <c r="A56" s="9153"/>
      <c r="B56" s="873"/>
      <c r="C56" s="914" t="s">
        <v>538</v>
      </c>
      <c r="F56" s="790"/>
      <c r="H56" s="791"/>
      <c r="I56" s="792"/>
      <c r="J56" s="782">
        <f t="shared" si="6"/>
        <v>0</v>
      </c>
      <c r="L56" s="791"/>
      <c r="M56" s="1622"/>
      <c r="O56" s="791"/>
      <c r="P56" s="3232"/>
      <c r="Q56" s="106"/>
      <c r="R56" s="476">
        <f t="shared" si="7"/>
        <v>0</v>
      </c>
      <c r="T56" s="791"/>
      <c r="U56" s="106"/>
      <c r="V56" s="543">
        <f t="shared" si="8"/>
        <v>0</v>
      </c>
      <c r="X56" s="723"/>
      <c r="Z56" s="791"/>
      <c r="AA56" s="106"/>
      <c r="AB56" s="543"/>
      <c r="AD56" s="791"/>
      <c r="AE56" s="647"/>
      <c r="AF56" s="66"/>
      <c r="AG56" s="476">
        <f t="shared" si="9"/>
        <v>0</v>
      </c>
      <c r="AI56" s="791"/>
      <c r="AJ56" s="106"/>
      <c r="AK56" s="3265"/>
      <c r="AM56" s="723"/>
    </row>
    <row r="57" spans="1:39" x14ac:dyDescent="0.35">
      <c r="A57" s="9153"/>
      <c r="B57" s="873"/>
      <c r="C57" s="914" t="s">
        <v>539</v>
      </c>
      <c r="F57" s="790"/>
      <c r="H57" s="791"/>
      <c r="I57" s="792"/>
      <c r="J57" s="782">
        <f t="shared" si="6"/>
        <v>0</v>
      </c>
      <c r="L57" s="791"/>
      <c r="M57" s="1622"/>
      <c r="O57" s="791"/>
      <c r="P57" s="3232"/>
      <c r="Q57" s="106"/>
      <c r="R57" s="476">
        <f t="shared" si="7"/>
        <v>0</v>
      </c>
      <c r="T57" s="791"/>
      <c r="U57" s="106"/>
      <c r="V57" s="543">
        <f t="shared" si="8"/>
        <v>0</v>
      </c>
      <c r="X57" s="723"/>
      <c r="Z57" s="791"/>
      <c r="AA57" s="106"/>
      <c r="AB57" s="543"/>
      <c r="AD57" s="791"/>
      <c r="AE57" s="647"/>
      <c r="AF57" s="66"/>
      <c r="AG57" s="476">
        <f t="shared" si="9"/>
        <v>0</v>
      </c>
      <c r="AI57" s="791"/>
      <c r="AJ57" s="106"/>
      <c r="AK57" s="3265"/>
      <c r="AM57" s="723"/>
    </row>
    <row r="58" spans="1:39" x14ac:dyDescent="0.35">
      <c r="A58" s="9153"/>
      <c r="B58" s="895"/>
      <c r="C58" s="917" t="s">
        <v>704</v>
      </c>
      <c r="F58" s="795"/>
      <c r="H58" s="791"/>
      <c r="I58" s="792"/>
      <c r="J58" s="782">
        <f t="shared" si="6"/>
        <v>0</v>
      </c>
      <c r="L58" s="791"/>
      <c r="M58" s="1622"/>
      <c r="O58" s="796"/>
      <c r="P58" s="7162"/>
      <c r="Q58" s="216"/>
      <c r="R58" s="484">
        <f t="shared" si="7"/>
        <v>0</v>
      </c>
      <c r="T58" s="796"/>
      <c r="U58" s="216"/>
      <c r="V58" s="553">
        <f t="shared" si="8"/>
        <v>0</v>
      </c>
      <c r="X58" s="722"/>
      <c r="Z58" s="796"/>
      <c r="AA58" s="216"/>
      <c r="AB58" s="553"/>
      <c r="AD58" s="796"/>
      <c r="AE58" s="7162"/>
      <c r="AF58" s="92"/>
      <c r="AG58" s="484">
        <f t="shared" si="9"/>
        <v>0</v>
      </c>
      <c r="AI58" s="796"/>
      <c r="AJ58" s="216"/>
      <c r="AK58" s="7167"/>
      <c r="AM58" s="722"/>
    </row>
    <row r="59" spans="1:39" x14ac:dyDescent="0.35">
      <c r="A59" s="9153"/>
      <c r="B59" s="139" t="s">
        <v>552</v>
      </c>
      <c r="C59" s="908"/>
      <c r="F59" s="870"/>
      <c r="G59" s="457"/>
      <c r="H59" s="773"/>
      <c r="I59" s="774"/>
      <c r="J59" s="776"/>
      <c r="K59" s="457"/>
      <c r="L59" s="773"/>
      <c r="M59" s="910"/>
      <c r="O59" s="919"/>
      <c r="P59" s="920"/>
      <c r="Q59" s="106"/>
      <c r="R59" s="476"/>
      <c r="T59" s="919"/>
      <c r="U59" s="106"/>
      <c r="V59" s="476"/>
      <c r="X59" s="723"/>
      <c r="Z59" s="919"/>
      <c r="AA59" s="106"/>
      <c r="AB59" s="476"/>
      <c r="AD59" s="919"/>
      <c r="AE59" s="920"/>
      <c r="AF59" s="66"/>
      <c r="AG59" s="476"/>
      <c r="AI59" s="919"/>
      <c r="AJ59" s="106"/>
      <c r="AK59" s="476"/>
      <c r="AM59" s="723"/>
    </row>
    <row r="60" spans="1:39" x14ac:dyDescent="0.35">
      <c r="A60" s="9153"/>
      <c r="B60" s="65"/>
      <c r="C60" s="921" t="s">
        <v>553</v>
      </c>
      <c r="F60" s="779"/>
      <c r="H60" s="780"/>
      <c r="I60" s="781"/>
      <c r="J60" s="782">
        <f>IF(H60=0,0,I60/H60)</f>
        <v>0</v>
      </c>
      <c r="L60" s="780"/>
      <c r="M60" s="1622"/>
      <c r="O60" s="242"/>
      <c r="P60" s="201"/>
      <c r="Q60" s="106"/>
      <c r="R60" s="476">
        <f>IF(O60=0,0,P60/O60)</f>
        <v>0</v>
      </c>
      <c r="T60" s="242"/>
      <c r="U60" s="106"/>
      <c r="V60" s="476">
        <f>T60*R60</f>
        <v>0</v>
      </c>
      <c r="X60" s="723"/>
      <c r="Z60" s="242"/>
      <c r="AA60" s="106"/>
      <c r="AB60" s="476"/>
      <c r="AD60" s="242"/>
      <c r="AE60" s="201"/>
      <c r="AF60" s="66"/>
      <c r="AG60" s="476">
        <f>IF(AD60=0,0,AE60/AD60)</f>
        <v>0</v>
      </c>
      <c r="AI60" s="242"/>
      <c r="AJ60" s="106"/>
      <c r="AK60" s="3265"/>
      <c r="AM60" s="723"/>
    </row>
    <row r="61" spans="1:39" x14ac:dyDescent="0.35">
      <c r="A61" s="9153"/>
      <c r="B61" s="80"/>
      <c r="C61" s="921" t="s">
        <v>554</v>
      </c>
      <c r="F61" s="788"/>
      <c r="H61" s="785"/>
      <c r="I61" s="786"/>
      <c r="J61" s="782">
        <f>IF(H61=0,0,I61/H61)</f>
        <v>0</v>
      </c>
      <c r="L61" s="785"/>
      <c r="M61" s="1622"/>
      <c r="O61" s="242"/>
      <c r="P61" s="201"/>
      <c r="Q61" s="106"/>
      <c r="R61" s="476">
        <f>IF(O61=0,0,P61/O61)</f>
        <v>0</v>
      </c>
      <c r="T61" s="242"/>
      <c r="U61" s="106"/>
      <c r="V61" s="476">
        <f>T61*R61</f>
        <v>0</v>
      </c>
      <c r="X61" s="723"/>
      <c r="Z61" s="242"/>
      <c r="AA61" s="106"/>
      <c r="AB61" s="476"/>
      <c r="AD61" s="242"/>
      <c r="AE61" s="201"/>
      <c r="AF61" s="66"/>
      <c r="AG61" s="476">
        <f>IF(AD61=0,0,AE61/AD61)</f>
        <v>0</v>
      </c>
      <c r="AI61" s="242"/>
      <c r="AJ61" s="106"/>
      <c r="AK61" s="3265"/>
      <c r="AM61" s="723"/>
    </row>
    <row r="62" spans="1:39" x14ac:dyDescent="0.35">
      <c r="A62" s="9153"/>
      <c r="B62" s="922"/>
      <c r="C62" s="923" t="s">
        <v>555</v>
      </c>
      <c r="F62" s="924"/>
      <c r="H62" s="925"/>
      <c r="I62" s="926"/>
      <c r="J62" s="798">
        <f>IF(H62=0,0,I62/H62)</f>
        <v>0</v>
      </c>
      <c r="L62" s="925"/>
      <c r="M62" s="7208"/>
      <c r="O62" s="242"/>
      <c r="P62" s="201"/>
      <c r="Q62" s="216"/>
      <c r="R62" s="476">
        <f>IF(O62=0,0,P62/O62)</f>
        <v>0</v>
      </c>
      <c r="T62" s="242"/>
      <c r="U62" s="216"/>
      <c r="V62" s="476">
        <f>T62*R62</f>
        <v>0</v>
      </c>
      <c r="X62" s="722"/>
      <c r="Z62" s="242"/>
      <c r="AA62" s="216"/>
      <c r="AB62" s="476"/>
      <c r="AD62" s="4661"/>
      <c r="AE62" s="1128"/>
      <c r="AF62" s="92"/>
      <c r="AG62" s="476">
        <f>IF(AD62=0,0,AE62/AD62)</f>
        <v>0</v>
      </c>
      <c r="AI62" s="4661"/>
      <c r="AJ62" s="216"/>
      <c r="AK62" s="7169"/>
      <c r="AM62" s="722"/>
    </row>
    <row r="63" spans="1:39" x14ac:dyDescent="0.35">
      <c r="A63" s="9153"/>
      <c r="B63" s="287" t="s">
        <v>556</v>
      </c>
      <c r="C63" s="288"/>
      <c r="E63" s="457"/>
      <c r="F63" s="289"/>
      <c r="H63" s="291"/>
      <c r="I63" s="292"/>
      <c r="J63" s="930"/>
      <c r="L63" s="291"/>
      <c r="M63" s="7209"/>
      <c r="N63" s="143"/>
      <c r="O63" s="291"/>
      <c r="P63" s="292"/>
      <c r="Q63" s="106"/>
      <c r="R63" s="293"/>
      <c r="T63" s="291"/>
      <c r="U63" s="106"/>
      <c r="V63" s="268"/>
      <c r="X63" s="718"/>
      <c r="Z63" s="291"/>
      <c r="AA63" s="106"/>
      <c r="AB63" s="268"/>
      <c r="AD63" s="1388"/>
      <c r="AE63" s="520"/>
      <c r="AF63" s="66"/>
      <c r="AG63" s="293"/>
      <c r="AI63" s="1388"/>
      <c r="AJ63" s="106"/>
      <c r="AK63" s="268"/>
      <c r="AM63" s="718"/>
    </row>
    <row r="64" spans="1:39" x14ac:dyDescent="0.35">
      <c r="A64" s="9153"/>
      <c r="B64" s="302"/>
      <c r="C64" s="59" t="s">
        <v>532</v>
      </c>
      <c r="F64" s="521"/>
      <c r="G64" s="457"/>
      <c r="H64" s="304"/>
      <c r="I64" s="932"/>
      <c r="J64" s="890"/>
      <c r="K64" s="457"/>
      <c r="L64" s="304"/>
      <c r="M64" s="7210"/>
      <c r="O64" s="304"/>
      <c r="P64" s="932"/>
      <c r="Q64" s="332"/>
      <c r="R64" s="523">
        <f>IF(O64=0,0,P64/O64)</f>
        <v>0</v>
      </c>
      <c r="T64" s="304"/>
      <c r="U64" s="332"/>
      <c r="V64" s="157">
        <f>T64*R64</f>
        <v>0</v>
      </c>
      <c r="X64" s="718"/>
      <c r="Z64" s="304"/>
      <c r="AA64" s="332"/>
      <c r="AB64" s="157"/>
      <c r="AD64" s="304"/>
      <c r="AE64" s="932"/>
      <c r="AF64" s="1801"/>
      <c r="AG64" s="523">
        <f>IF(AD64=0,0,AE64/AD64)</f>
        <v>0</v>
      </c>
      <c r="AI64" s="304"/>
      <c r="AJ64" s="332"/>
      <c r="AK64" s="7170"/>
      <c r="AM64" s="718"/>
    </row>
    <row r="65" spans="1:39" x14ac:dyDescent="0.35">
      <c r="A65" s="9153"/>
      <c r="B65" s="302"/>
      <c r="C65" s="59" t="s">
        <v>533</v>
      </c>
      <c r="F65" s="61"/>
      <c r="H65" s="62"/>
      <c r="I65" s="72"/>
      <c r="J65" s="782">
        <f>IF(H65=0,0,I65/H65)</f>
        <v>0</v>
      </c>
      <c r="L65" s="62"/>
      <c r="M65" s="1678">
        <f>L65*J65</f>
        <v>0</v>
      </c>
      <c r="O65" s="62"/>
      <c r="P65" s="72"/>
      <c r="Q65" s="106"/>
      <c r="R65" s="523">
        <f>IF(O65=0,0,P65/O65)</f>
        <v>0</v>
      </c>
      <c r="T65" s="62"/>
      <c r="U65" s="106"/>
      <c r="V65" s="157">
        <f>T65*R65</f>
        <v>0</v>
      </c>
      <c r="X65" s="723"/>
      <c r="Z65" s="62"/>
      <c r="AA65" s="106"/>
      <c r="AB65" s="157"/>
      <c r="AD65" s="62"/>
      <c r="AE65" s="72"/>
      <c r="AF65" s="66"/>
      <c r="AG65" s="523">
        <f>IF(AD65=0,0,AE65/AD65)</f>
        <v>0</v>
      </c>
      <c r="AI65" s="62"/>
      <c r="AJ65" s="106"/>
      <c r="AK65" s="7171"/>
      <c r="AM65" s="723"/>
    </row>
    <row r="66" spans="1:39" x14ac:dyDescent="0.35">
      <c r="A66" s="9153"/>
      <c r="B66" s="305"/>
      <c r="C66" s="59" t="s">
        <v>534</v>
      </c>
      <c r="F66" s="61"/>
      <c r="H66" s="62"/>
      <c r="I66" s="72"/>
      <c r="J66" s="782">
        <f>IF(H66=0,0,I66/H66)</f>
        <v>0</v>
      </c>
      <c r="L66" s="62"/>
      <c r="M66" s="1678">
        <f>L66*J66</f>
        <v>0</v>
      </c>
      <c r="O66" s="62"/>
      <c r="P66" s="72"/>
      <c r="Q66" s="106"/>
      <c r="R66" s="523">
        <f>IF(O66=0,0,P66/O66)</f>
        <v>0</v>
      </c>
      <c r="T66" s="62"/>
      <c r="U66" s="106"/>
      <c r="V66" s="157">
        <f>T66*R66</f>
        <v>0</v>
      </c>
      <c r="X66" s="723"/>
      <c r="Z66" s="62"/>
      <c r="AA66" s="106"/>
      <c r="AB66" s="157"/>
      <c r="AD66" s="62"/>
      <c r="AE66" s="72"/>
      <c r="AF66" s="66"/>
      <c r="AG66" s="523">
        <f>IF(AD66=0,0,AE66/AD66)</f>
        <v>0</v>
      </c>
      <c r="AI66" s="62"/>
      <c r="AJ66" s="106"/>
      <c r="AK66" s="7171"/>
      <c r="AM66" s="723"/>
    </row>
    <row r="67" spans="1:39" x14ac:dyDescent="0.35">
      <c r="A67" s="9154"/>
      <c r="B67" s="306"/>
      <c r="C67" s="86" t="s">
        <v>536</v>
      </c>
      <c r="F67" s="88"/>
      <c r="H67" s="89"/>
      <c r="I67" s="308"/>
      <c r="J67" s="798">
        <f>IF(H67=0,0,I67/H67)</f>
        <v>0</v>
      </c>
      <c r="L67" s="89"/>
      <c r="M67" s="1685">
        <f>L67*J67</f>
        <v>0</v>
      </c>
      <c r="O67" s="89"/>
      <c r="P67" s="308"/>
      <c r="Q67" s="216"/>
      <c r="R67" s="527">
        <f>IF(O67=0,0,P67/O67)</f>
        <v>0</v>
      </c>
      <c r="T67" s="89"/>
      <c r="U67" s="216"/>
      <c r="V67" s="213">
        <f>T67*R67</f>
        <v>0</v>
      </c>
      <c r="X67" s="722"/>
      <c r="Z67" s="89"/>
      <c r="AA67" s="216"/>
      <c r="AB67" s="213"/>
      <c r="AD67" s="89"/>
      <c r="AE67" s="308"/>
      <c r="AF67" s="92"/>
      <c r="AG67" s="527">
        <f>IF(AD67=0,0,AE67/AD67)</f>
        <v>0</v>
      </c>
      <c r="AI67" s="89"/>
      <c r="AJ67" s="216"/>
      <c r="AK67" s="7172"/>
      <c r="AM67" s="722"/>
    </row>
    <row r="68" spans="1:39" x14ac:dyDescent="0.35">
      <c r="A68" s="936"/>
      <c r="B68" s="936"/>
      <c r="E68" s="457"/>
      <c r="F68" s="847"/>
      <c r="H68" s="847"/>
      <c r="I68" s="847"/>
      <c r="J68" s="937"/>
      <c r="L68" s="847"/>
      <c r="M68" s="938"/>
      <c r="O68" s="106"/>
      <c r="P68" s="106"/>
      <c r="Q68" s="106"/>
      <c r="R68" s="558"/>
      <c r="T68" s="106"/>
      <c r="U68" s="106"/>
      <c r="V68" s="312"/>
      <c r="Z68" s="106"/>
      <c r="AA68" s="106"/>
      <c r="AB68" s="312"/>
      <c r="AD68" s="106"/>
      <c r="AE68" s="106"/>
      <c r="AF68" s="106"/>
      <c r="AG68" s="558"/>
      <c r="AI68" s="106"/>
      <c r="AJ68" s="106"/>
      <c r="AK68" s="312"/>
    </row>
    <row r="69" spans="1:39" customFormat="1" x14ac:dyDescent="0.35">
      <c r="A69" s="9159" t="s">
        <v>559</v>
      </c>
      <c r="B69" s="939" t="s">
        <v>560</v>
      </c>
      <c r="C69" s="940"/>
      <c r="D69" s="184"/>
      <c r="E69" s="1"/>
      <c r="F69" s="316"/>
      <c r="G69" s="290"/>
      <c r="H69" s="317"/>
      <c r="I69" s="1687"/>
      <c r="J69" s="293"/>
      <c r="K69" s="1"/>
      <c r="L69" s="317"/>
      <c r="M69" s="268"/>
      <c r="N69" s="1"/>
      <c r="O69" s="317"/>
      <c r="P69" s="1687"/>
      <c r="Q69" s="103"/>
      <c r="R69" s="293"/>
      <c r="S69" s="1"/>
      <c r="T69" s="317"/>
      <c r="U69" s="106"/>
      <c r="V69" s="323"/>
      <c r="W69" s="1"/>
      <c r="X69" s="18"/>
      <c r="Z69" s="317"/>
      <c r="AA69" s="106"/>
      <c r="AB69" s="323"/>
      <c r="AC69" s="1"/>
      <c r="AD69" s="1388"/>
      <c r="AE69" s="520"/>
      <c r="AF69" s="105"/>
      <c r="AG69" s="293"/>
      <c r="AH69" s="1"/>
      <c r="AI69" s="1388"/>
      <c r="AJ69" s="103"/>
      <c r="AK69" s="268"/>
      <c r="AL69" s="1"/>
      <c r="AM69" s="18"/>
    </row>
    <row r="70" spans="1:39" customFormat="1" x14ac:dyDescent="0.35">
      <c r="A70" s="9160"/>
      <c r="B70" s="944"/>
      <c r="C70" s="945" t="s">
        <v>562</v>
      </c>
      <c r="D70" s="197"/>
      <c r="E70" s="1"/>
      <c r="F70" s="327"/>
      <c r="G70" s="272"/>
      <c r="H70" s="325"/>
      <c r="I70" s="946"/>
      <c r="J70" s="523">
        <f t="shared" ref="J70:J78" si="10">IF(H70=0,0,I70/H70)</f>
        <v>0</v>
      </c>
      <c r="K70" s="1"/>
      <c r="L70" s="325"/>
      <c r="M70" s="157">
        <f t="shared" ref="M70:M78" si="11">L70*J70</f>
        <v>0</v>
      </c>
      <c r="N70" s="1"/>
      <c r="O70" s="325"/>
      <c r="P70" s="947"/>
      <c r="Q70" s="332"/>
      <c r="R70" s="523">
        <f t="shared" ref="R70:R78" si="12">IF(O70=0,0,P70/O70)</f>
        <v>0</v>
      </c>
      <c r="S70" s="1"/>
      <c r="T70" s="325"/>
      <c r="U70" s="332"/>
      <c r="V70" s="333">
        <f t="shared" ref="V70:V78" si="13">T70*R70</f>
        <v>0</v>
      </c>
      <c r="W70" s="1"/>
      <c r="X70" s="26"/>
      <c r="Z70" s="325"/>
      <c r="AA70" s="332"/>
      <c r="AB70" s="333">
        <f t="shared" ref="AB70:AB78" si="14">Z70*X70</f>
        <v>0</v>
      </c>
      <c r="AC70" s="1"/>
      <c r="AD70" s="325"/>
      <c r="AE70" s="947"/>
      <c r="AF70" s="1801"/>
      <c r="AG70" s="523">
        <f t="shared" ref="AG70:AG78" si="15">IF(AD70=0,0,AE70/AD70)</f>
        <v>0</v>
      </c>
      <c r="AH70" s="1"/>
      <c r="AI70" s="325"/>
      <c r="AJ70" s="332"/>
      <c r="AK70" s="333"/>
      <c r="AL70" s="1"/>
      <c r="AM70" s="26"/>
    </row>
    <row r="71" spans="1:39" customFormat="1" x14ac:dyDescent="0.35">
      <c r="A71" s="9160"/>
      <c r="B71" s="944"/>
      <c r="C71" s="945" t="s">
        <v>565</v>
      </c>
      <c r="D71" s="197"/>
      <c r="E71" s="1"/>
      <c r="F71" s="336"/>
      <c r="G71" s="272"/>
      <c r="H71" s="330"/>
      <c r="I71" s="948"/>
      <c r="J71" s="523">
        <f t="shared" si="10"/>
        <v>0</v>
      </c>
      <c r="K71" s="1"/>
      <c r="L71" s="330"/>
      <c r="M71" s="157">
        <f t="shared" si="11"/>
        <v>0</v>
      </c>
      <c r="N71" s="1"/>
      <c r="O71" s="330"/>
      <c r="P71" s="331"/>
      <c r="Q71" s="106"/>
      <c r="R71" s="523">
        <f t="shared" si="12"/>
        <v>0</v>
      </c>
      <c r="S71" s="1"/>
      <c r="T71" s="330"/>
      <c r="U71" s="106"/>
      <c r="V71" s="333">
        <f t="shared" si="13"/>
        <v>0</v>
      </c>
      <c r="W71" s="1"/>
      <c r="X71" s="26"/>
      <c r="Z71" s="330"/>
      <c r="AA71" s="106"/>
      <c r="AB71" s="333">
        <f t="shared" si="14"/>
        <v>0</v>
      </c>
      <c r="AC71" s="1"/>
      <c r="AD71" s="330"/>
      <c r="AE71" s="331"/>
      <c r="AF71" s="66"/>
      <c r="AG71" s="523">
        <f t="shared" si="15"/>
        <v>0</v>
      </c>
      <c r="AH71" s="1"/>
      <c r="AI71" s="330"/>
      <c r="AJ71" s="106"/>
      <c r="AK71" s="333"/>
      <c r="AL71" s="1"/>
      <c r="AM71" s="26"/>
    </row>
    <row r="72" spans="1:39" customFormat="1" x14ac:dyDescent="0.35">
      <c r="A72" s="9160"/>
      <c r="B72" s="944"/>
      <c r="C72" s="945"/>
      <c r="D72" s="197"/>
      <c r="E72" s="1"/>
      <c r="F72" s="336"/>
      <c r="G72" s="272"/>
      <c r="H72" s="330"/>
      <c r="I72" s="948"/>
      <c r="J72" s="523">
        <f t="shared" si="10"/>
        <v>0</v>
      </c>
      <c r="K72" s="1"/>
      <c r="L72" s="330"/>
      <c r="M72" s="157">
        <f t="shared" si="11"/>
        <v>0</v>
      </c>
      <c r="N72" s="1"/>
      <c r="O72" s="330"/>
      <c r="P72" s="331"/>
      <c r="Q72" s="106"/>
      <c r="R72" s="523">
        <f t="shared" si="12"/>
        <v>0</v>
      </c>
      <c r="S72" s="1"/>
      <c r="T72" s="330"/>
      <c r="U72" s="106"/>
      <c r="V72" s="333">
        <f t="shared" si="13"/>
        <v>0</v>
      </c>
      <c r="W72" s="1"/>
      <c r="X72" s="26"/>
      <c r="Z72" s="330"/>
      <c r="AA72" s="106"/>
      <c r="AB72" s="333">
        <f t="shared" si="14"/>
        <v>0</v>
      </c>
      <c r="AC72" s="1"/>
      <c r="AD72" s="330"/>
      <c r="AE72" s="331"/>
      <c r="AF72" s="66"/>
      <c r="AG72" s="523">
        <f t="shared" si="15"/>
        <v>0</v>
      </c>
      <c r="AH72" s="1"/>
      <c r="AI72" s="330"/>
      <c r="AJ72" s="106"/>
      <c r="AK72" s="333"/>
      <c r="AL72" s="1"/>
      <c r="AM72" s="26"/>
    </row>
    <row r="73" spans="1:39" customFormat="1" x14ac:dyDescent="0.35">
      <c r="A73" s="9160"/>
      <c r="B73" s="944"/>
      <c r="C73" s="945"/>
      <c r="D73" s="197"/>
      <c r="E73" s="1"/>
      <c r="F73" s="336"/>
      <c r="G73" s="272"/>
      <c r="H73" s="330"/>
      <c r="I73" s="948"/>
      <c r="J73" s="523">
        <f t="shared" si="10"/>
        <v>0</v>
      </c>
      <c r="K73" s="1"/>
      <c r="L73" s="330"/>
      <c r="M73" s="157">
        <f t="shared" si="11"/>
        <v>0</v>
      </c>
      <c r="N73" s="1"/>
      <c r="O73" s="330"/>
      <c r="P73" s="331"/>
      <c r="Q73" s="106"/>
      <c r="R73" s="523">
        <f t="shared" si="12"/>
        <v>0</v>
      </c>
      <c r="S73" s="1"/>
      <c r="T73" s="330"/>
      <c r="U73" s="106"/>
      <c r="V73" s="333">
        <f t="shared" si="13"/>
        <v>0</v>
      </c>
      <c r="W73" s="1"/>
      <c r="X73" s="26"/>
      <c r="Z73" s="330"/>
      <c r="AA73" s="106"/>
      <c r="AB73" s="333">
        <f t="shared" si="14"/>
        <v>0</v>
      </c>
      <c r="AC73" s="1"/>
      <c r="AD73" s="330"/>
      <c r="AE73" s="331"/>
      <c r="AF73" s="66"/>
      <c r="AG73" s="523">
        <f t="shared" si="15"/>
        <v>0</v>
      </c>
      <c r="AH73" s="1"/>
      <c r="AI73" s="330"/>
      <c r="AJ73" s="106"/>
      <c r="AK73" s="333"/>
      <c r="AL73" s="1"/>
      <c r="AM73" s="26"/>
    </row>
    <row r="74" spans="1:39" customFormat="1" x14ac:dyDescent="0.35">
      <c r="A74" s="9160"/>
      <c r="B74" s="944"/>
      <c r="C74" s="945" t="s">
        <v>562</v>
      </c>
      <c r="D74" s="197"/>
      <c r="E74" s="1"/>
      <c r="F74" s="336"/>
      <c r="G74" s="272"/>
      <c r="H74" s="330"/>
      <c r="I74" s="948"/>
      <c r="J74" s="523">
        <f t="shared" si="10"/>
        <v>0</v>
      </c>
      <c r="K74" s="1"/>
      <c r="L74" s="330"/>
      <c r="M74" s="157">
        <f t="shared" si="11"/>
        <v>0</v>
      </c>
      <c r="N74" s="1"/>
      <c r="O74" s="330"/>
      <c r="P74" s="331"/>
      <c r="Q74" s="106"/>
      <c r="R74" s="523">
        <f t="shared" si="12"/>
        <v>0</v>
      </c>
      <c r="S74" s="1"/>
      <c r="T74" s="330"/>
      <c r="U74" s="106"/>
      <c r="V74" s="333">
        <f t="shared" si="13"/>
        <v>0</v>
      </c>
      <c r="W74" s="1"/>
      <c r="X74" s="26"/>
      <c r="Z74" s="330"/>
      <c r="AA74" s="106"/>
      <c r="AB74" s="333">
        <f t="shared" si="14"/>
        <v>0</v>
      </c>
      <c r="AC74" s="1"/>
      <c r="AD74" s="330"/>
      <c r="AE74" s="331"/>
      <c r="AF74" s="66"/>
      <c r="AG74" s="523">
        <f t="shared" si="15"/>
        <v>0</v>
      </c>
      <c r="AH74" s="1"/>
      <c r="AI74" s="330"/>
      <c r="AJ74" s="106"/>
      <c r="AK74" s="333"/>
      <c r="AL74" s="1"/>
      <c r="AM74" s="26"/>
    </row>
    <row r="75" spans="1:39" customFormat="1" x14ac:dyDescent="0.35">
      <c r="A75" s="9160"/>
      <c r="B75" s="944"/>
      <c r="C75" s="945" t="s">
        <v>565</v>
      </c>
      <c r="D75" s="197"/>
      <c r="E75" s="1"/>
      <c r="F75" s="336"/>
      <c r="G75" s="272"/>
      <c r="H75" s="330"/>
      <c r="I75" s="948"/>
      <c r="J75" s="523">
        <f t="shared" si="10"/>
        <v>0</v>
      </c>
      <c r="K75" s="1"/>
      <c r="L75" s="330"/>
      <c r="M75" s="157">
        <f t="shared" si="11"/>
        <v>0</v>
      </c>
      <c r="N75" s="1"/>
      <c r="O75" s="330"/>
      <c r="P75" s="331"/>
      <c r="Q75" s="106"/>
      <c r="R75" s="523">
        <f t="shared" si="12"/>
        <v>0</v>
      </c>
      <c r="S75" s="1"/>
      <c r="T75" s="330"/>
      <c r="U75" s="106"/>
      <c r="V75" s="333">
        <f t="shared" si="13"/>
        <v>0</v>
      </c>
      <c r="W75" s="1"/>
      <c r="X75" s="26"/>
      <c r="Z75" s="330"/>
      <c r="AA75" s="106"/>
      <c r="AB75" s="333">
        <f t="shared" si="14"/>
        <v>0</v>
      </c>
      <c r="AC75" s="1"/>
      <c r="AD75" s="330"/>
      <c r="AE75" s="331"/>
      <c r="AF75" s="66"/>
      <c r="AG75" s="523">
        <f t="shared" si="15"/>
        <v>0</v>
      </c>
      <c r="AH75" s="1"/>
      <c r="AI75" s="330"/>
      <c r="AJ75" s="106"/>
      <c r="AK75" s="333"/>
      <c r="AL75" s="1"/>
      <c r="AM75" s="26"/>
    </row>
    <row r="76" spans="1:39" customFormat="1" x14ac:dyDescent="0.35">
      <c r="A76" s="9160"/>
      <c r="B76" s="944"/>
      <c r="C76" s="945"/>
      <c r="D76" s="197"/>
      <c r="E76" s="1"/>
      <c r="F76" s="336"/>
      <c r="G76" s="272"/>
      <c r="H76" s="330"/>
      <c r="I76" s="948"/>
      <c r="J76" s="523">
        <f t="shared" si="10"/>
        <v>0</v>
      </c>
      <c r="K76" s="1"/>
      <c r="L76" s="330"/>
      <c r="M76" s="157">
        <f t="shared" si="11"/>
        <v>0</v>
      </c>
      <c r="N76" s="1"/>
      <c r="O76" s="330"/>
      <c r="P76" s="331"/>
      <c r="Q76" s="106"/>
      <c r="R76" s="523">
        <f t="shared" si="12"/>
        <v>0</v>
      </c>
      <c r="S76" s="1"/>
      <c r="T76" s="330"/>
      <c r="U76" s="106"/>
      <c r="V76" s="333">
        <f t="shared" si="13"/>
        <v>0</v>
      </c>
      <c r="W76" s="1"/>
      <c r="X76" s="26"/>
      <c r="Z76" s="330"/>
      <c r="AA76" s="106"/>
      <c r="AB76" s="333">
        <f t="shared" si="14"/>
        <v>0</v>
      </c>
      <c r="AC76" s="1"/>
      <c r="AD76" s="330"/>
      <c r="AE76" s="331"/>
      <c r="AF76" s="66"/>
      <c r="AG76" s="523">
        <f t="shared" si="15"/>
        <v>0</v>
      </c>
      <c r="AH76" s="1"/>
      <c r="AI76" s="330"/>
      <c r="AJ76" s="106"/>
      <c r="AK76" s="333"/>
      <c r="AL76" s="1"/>
      <c r="AM76" s="26"/>
    </row>
    <row r="77" spans="1:39" customFormat="1" x14ac:dyDescent="0.35">
      <c r="A77" s="9160"/>
      <c r="B77" s="944"/>
      <c r="C77" s="945"/>
      <c r="D77" s="197"/>
      <c r="E77" s="1"/>
      <c r="F77" s="336"/>
      <c r="G77" s="272"/>
      <c r="H77" s="330"/>
      <c r="I77" s="948"/>
      <c r="J77" s="523">
        <f t="shared" si="10"/>
        <v>0</v>
      </c>
      <c r="K77" s="1"/>
      <c r="L77" s="330"/>
      <c r="M77" s="157">
        <f t="shared" si="11"/>
        <v>0</v>
      </c>
      <c r="N77" s="1"/>
      <c r="O77" s="330"/>
      <c r="P77" s="331"/>
      <c r="Q77" s="106"/>
      <c r="R77" s="523">
        <f t="shared" si="12"/>
        <v>0</v>
      </c>
      <c r="S77" s="1"/>
      <c r="T77" s="330"/>
      <c r="U77" s="106"/>
      <c r="V77" s="333">
        <f t="shared" si="13"/>
        <v>0</v>
      </c>
      <c r="W77" s="1"/>
      <c r="X77" s="26"/>
      <c r="Z77" s="330"/>
      <c r="AA77" s="106"/>
      <c r="AB77" s="333">
        <f t="shared" si="14"/>
        <v>0</v>
      </c>
      <c r="AC77" s="1"/>
      <c r="AD77" s="330"/>
      <c r="AE77" s="331"/>
      <c r="AF77" s="66"/>
      <c r="AG77" s="523">
        <f t="shared" si="15"/>
        <v>0</v>
      </c>
      <c r="AH77" s="1"/>
      <c r="AI77" s="330"/>
      <c r="AJ77" s="106"/>
      <c r="AK77" s="333"/>
      <c r="AL77" s="1"/>
      <c r="AM77" s="26"/>
    </row>
    <row r="78" spans="1:39" customFormat="1" x14ac:dyDescent="0.35">
      <c r="A78" s="9161"/>
      <c r="B78" s="949"/>
      <c r="C78" s="950" t="s">
        <v>10</v>
      </c>
      <c r="D78" s="209"/>
      <c r="E78" s="1"/>
      <c r="F78" s="343"/>
      <c r="G78" s="274"/>
      <c r="H78" s="341"/>
      <c r="I78" s="951"/>
      <c r="J78" s="527">
        <f t="shared" si="10"/>
        <v>0</v>
      </c>
      <c r="K78" s="1"/>
      <c r="L78" s="341"/>
      <c r="M78" s="213">
        <f t="shared" si="11"/>
        <v>0</v>
      </c>
      <c r="N78" s="1"/>
      <c r="O78" s="341"/>
      <c r="P78" s="952"/>
      <c r="Q78" s="216"/>
      <c r="R78" s="527">
        <f t="shared" si="12"/>
        <v>0</v>
      </c>
      <c r="S78" s="1"/>
      <c r="T78" s="341"/>
      <c r="U78" s="216"/>
      <c r="V78" s="347">
        <f t="shared" si="13"/>
        <v>0</v>
      </c>
      <c r="W78" s="1"/>
      <c r="X78" s="24"/>
      <c r="Z78" s="341"/>
      <c r="AA78" s="216"/>
      <c r="AB78" s="347">
        <f t="shared" si="14"/>
        <v>0</v>
      </c>
      <c r="AC78" s="1"/>
      <c r="AD78" s="341"/>
      <c r="AE78" s="952"/>
      <c r="AF78" s="92"/>
      <c r="AG78" s="527">
        <f t="shared" si="15"/>
        <v>0</v>
      </c>
      <c r="AH78" s="1"/>
      <c r="AI78" s="341"/>
      <c r="AJ78" s="216"/>
      <c r="AK78" s="347"/>
      <c r="AL78" s="1"/>
      <c r="AM78" s="24"/>
    </row>
    <row r="79" spans="1:39" x14ac:dyDescent="0.35">
      <c r="A79" s="936"/>
      <c r="B79" s="936"/>
      <c r="E79" s="457"/>
      <c r="F79" s="847"/>
      <c r="H79" s="847"/>
      <c r="I79" s="847"/>
      <c r="J79" s="937"/>
      <c r="L79" s="847"/>
      <c r="M79" s="938"/>
      <c r="O79" s="106"/>
      <c r="P79" s="106"/>
      <c r="Q79" s="106"/>
      <c r="R79" s="558"/>
      <c r="T79" s="106"/>
      <c r="U79" s="106"/>
      <c r="V79" s="312"/>
      <c r="Z79" s="106"/>
      <c r="AA79" s="106"/>
      <c r="AB79" s="312"/>
      <c r="AD79" s="106"/>
      <c r="AE79" s="106"/>
      <c r="AF79" s="106"/>
      <c r="AG79" s="558"/>
      <c r="AI79" s="106"/>
      <c r="AJ79" s="106"/>
      <c r="AK79" s="312"/>
    </row>
    <row r="80" spans="1:39" customFormat="1" x14ac:dyDescent="0.35">
      <c r="A80" s="9152" t="s">
        <v>566</v>
      </c>
      <c r="B80" s="139" t="s">
        <v>567</v>
      </c>
      <c r="C80" s="348"/>
      <c r="D80" s="49"/>
      <c r="E80" s="141"/>
      <c r="F80" s="227"/>
      <c r="G80" s="141"/>
      <c r="H80" s="102"/>
      <c r="I80" s="103"/>
      <c r="J80" s="228"/>
      <c r="K80" s="141"/>
      <c r="L80" s="102"/>
      <c r="M80" s="268"/>
      <c r="N80" s="141"/>
      <c r="O80" s="102"/>
      <c r="P80" s="103"/>
      <c r="Q80" s="103"/>
      <c r="R80" s="228"/>
      <c r="S80" s="141"/>
      <c r="T80" s="102"/>
      <c r="U80" s="103"/>
      <c r="V80" s="268"/>
      <c r="W80" s="141"/>
      <c r="Z80" s="102"/>
      <c r="AA80" s="103"/>
      <c r="AB80" s="268"/>
      <c r="AC80" s="1"/>
      <c r="AD80" s="102"/>
      <c r="AE80" s="103"/>
      <c r="AF80" s="103"/>
      <c r="AG80" s="228"/>
      <c r="AH80" s="141"/>
      <c r="AI80" s="102"/>
      <c r="AJ80" s="103"/>
      <c r="AK80" s="268"/>
      <c r="AL80" s="1"/>
    </row>
    <row r="81" spans="1:38" customFormat="1" ht="14.5" customHeight="1" x14ac:dyDescent="0.35">
      <c r="A81" s="9153"/>
      <c r="B81" s="6082"/>
      <c r="D81" s="110" t="s">
        <v>568</v>
      </c>
      <c r="E81" s="1"/>
      <c r="F81" s="349">
        <f>SUM(F34:F37)-SUM(F39:F41)</f>
        <v>8803.2000000000007</v>
      </c>
      <c r="G81" s="350"/>
      <c r="H81" s="351">
        <f>SUM(H34:H37)-SUM(H39:H41)</f>
        <v>0</v>
      </c>
      <c r="I81" s="352">
        <f>SUM(I34:I37)-SUM(I39:I41)</f>
        <v>10673.5</v>
      </c>
      <c r="J81" s="246"/>
      <c r="K81" s="350"/>
      <c r="L81" s="351">
        <f>SUM(L34:L37)-SUM(L39:L41)</f>
        <v>0</v>
      </c>
      <c r="M81" s="353">
        <f>SUM(M34:M37)-SUM(M39:M41)</f>
        <v>12162.2</v>
      </c>
      <c r="N81" s="350"/>
      <c r="O81" s="351">
        <f>SUM(O34:O37)-SUM(O39:O41)</f>
        <v>0</v>
      </c>
      <c r="P81" s="352">
        <f>SUM(P34:P37)-SUM(P39:P41)</f>
        <v>12162.2</v>
      </c>
      <c r="Q81" s="352"/>
      <c r="R81" s="246"/>
      <c r="S81" s="350"/>
      <c r="T81" s="351">
        <f>SUM(T34:T37)-SUM(T39:T41)</f>
        <v>0</v>
      </c>
      <c r="U81" s="352"/>
      <c r="V81" s="353">
        <f>SUM(V34:V37)-SUM(V39:V41)</f>
        <v>13744.030862700001</v>
      </c>
      <c r="W81" s="350"/>
      <c r="Z81" s="352">
        <f>SUM(Z34:Z37)-SUM(Z39:Z41)</f>
        <v>0</v>
      </c>
      <c r="AA81" s="352"/>
      <c r="AB81" s="352">
        <f>SUM(AB34:AB37)-SUM(AB39:AB41)</f>
        <v>15977.7</v>
      </c>
      <c r="AC81" s="141"/>
      <c r="AD81" s="351">
        <f>SUM(AD34:AD37)-SUM(AD39:AD41)</f>
        <v>19504.3</v>
      </c>
      <c r="AE81" s="352">
        <f>SUM(AE34:AE37)-SUM(AE39:AE41)</f>
        <v>20631.900000000001</v>
      </c>
      <c r="AF81" s="352"/>
      <c r="AG81" s="246"/>
      <c r="AH81" s="350"/>
      <c r="AI81" s="351">
        <f>SUM(AI34:AI37)-SUM(AI39:AI41)</f>
        <v>0</v>
      </c>
      <c r="AJ81" s="352"/>
      <c r="AK81" s="353">
        <f>SUM(AK34:AK37)-SUM(AK39:AK41)</f>
        <v>33536.1</v>
      </c>
      <c r="AL81" s="141"/>
    </row>
    <row r="82" spans="1:38" customFormat="1" x14ac:dyDescent="0.35">
      <c r="A82" s="9153"/>
      <c r="B82" s="6082"/>
      <c r="D82" s="110" t="s">
        <v>569</v>
      </c>
      <c r="E82" s="1"/>
      <c r="F82" s="349">
        <f>SUM(F43:F49)</f>
        <v>0</v>
      </c>
      <c r="G82" s="350"/>
      <c r="H82" s="351">
        <f>SUM(H43:H49)</f>
        <v>0</v>
      </c>
      <c r="I82" s="352">
        <f>SUM(I43:I49)</f>
        <v>0</v>
      </c>
      <c r="J82" s="246"/>
      <c r="K82" s="350"/>
      <c r="L82" s="351">
        <f>SUM(L43:L49)</f>
        <v>0</v>
      </c>
      <c r="M82" s="353">
        <f>SUM(M43:M49)</f>
        <v>0</v>
      </c>
      <c r="N82" s="350"/>
      <c r="O82" s="351">
        <f>SUM(O43:O49)</f>
        <v>0</v>
      </c>
      <c r="P82" s="352">
        <f>SUM(P43:P49)</f>
        <v>0</v>
      </c>
      <c r="Q82" s="352"/>
      <c r="R82" s="246"/>
      <c r="S82" s="350"/>
      <c r="T82" s="351">
        <f>SUM(T43:T49)</f>
        <v>0</v>
      </c>
      <c r="U82" s="352"/>
      <c r="V82" s="353">
        <f>SUM(V43:V49)</f>
        <v>0</v>
      </c>
      <c r="W82" s="350"/>
      <c r="Z82" s="352">
        <f>SUM(Z43:Z49)</f>
        <v>0</v>
      </c>
      <c r="AA82" s="352"/>
      <c r="AB82" s="352">
        <f>SUM(AB43:AB49)</f>
        <v>0</v>
      </c>
      <c r="AC82" s="350"/>
      <c r="AD82" s="351">
        <f>SUM(AD43:AD49)</f>
        <v>0</v>
      </c>
      <c r="AE82" s="352">
        <f>SUM(AE43:AE49)</f>
        <v>0</v>
      </c>
      <c r="AF82" s="352"/>
      <c r="AG82" s="246"/>
      <c r="AH82" s="350"/>
      <c r="AI82" s="351">
        <f>SUM(AI43:AI49)</f>
        <v>0</v>
      </c>
      <c r="AJ82" s="352"/>
      <c r="AK82" s="353">
        <f>SUM(AK43:AK49)</f>
        <v>0</v>
      </c>
      <c r="AL82" s="350"/>
    </row>
    <row r="83" spans="1:38" customFormat="1" x14ac:dyDescent="0.35">
      <c r="A83" s="9153"/>
      <c r="B83" s="6082"/>
      <c r="D83" s="110" t="s">
        <v>570</v>
      </c>
      <c r="E83" s="1"/>
      <c r="F83" s="349">
        <f>SUM(F51:F58)*F27</f>
        <v>0</v>
      </c>
      <c r="G83" s="350"/>
      <c r="H83" s="351">
        <f>SUM(H51:H58)*H27</f>
        <v>0</v>
      </c>
      <c r="I83" s="352">
        <f>SUM(I51:I58)*I27</f>
        <v>0</v>
      </c>
      <c r="J83" s="246"/>
      <c r="K83" s="350"/>
      <c r="L83" s="351">
        <f>SUM(L51:L58)*L27</f>
        <v>0</v>
      </c>
      <c r="M83" s="353">
        <f>SUM(M51:M58)*M27</f>
        <v>0</v>
      </c>
      <c r="N83" s="350"/>
      <c r="O83" s="351">
        <f>SUM(O51:O58)*O27</f>
        <v>0</v>
      </c>
      <c r="P83" s="352">
        <f>SUM(P51:P58)*P27</f>
        <v>0</v>
      </c>
      <c r="Q83" s="352"/>
      <c r="R83" s="246"/>
      <c r="S83" s="350"/>
      <c r="T83" s="351">
        <f>SUM(T51:T58)*T27</f>
        <v>0</v>
      </c>
      <c r="U83" s="352"/>
      <c r="V83" s="353">
        <f>SUM(V51:V58)*V27</f>
        <v>0</v>
      </c>
      <c r="W83" s="350"/>
      <c r="Z83" s="352">
        <f>SUM(Z51:Z58)*Z27</f>
        <v>0</v>
      </c>
      <c r="AA83" s="352"/>
      <c r="AB83" s="352">
        <f>SUM(AB51:AB58)*AB27</f>
        <v>0</v>
      </c>
      <c r="AC83" s="350"/>
      <c r="AD83" s="351">
        <f>SUM(AD51:AD58)*AD27</f>
        <v>0</v>
      </c>
      <c r="AE83" s="352">
        <f>SUM(AE51:AE58)*AE27</f>
        <v>0</v>
      </c>
      <c r="AF83" s="352"/>
      <c r="AG83" s="246"/>
      <c r="AH83" s="350"/>
      <c r="AI83" s="351">
        <f>SUM(AI51:AI58)*AI27</f>
        <v>0</v>
      </c>
      <c r="AJ83" s="352"/>
      <c r="AK83" s="353">
        <f>SUM(AK51:AK58)*AK27</f>
        <v>0</v>
      </c>
      <c r="AL83" s="350"/>
    </row>
    <row r="84" spans="1:38" customFormat="1" x14ac:dyDescent="0.35">
      <c r="A84" s="9153"/>
      <c r="B84" s="6082"/>
      <c r="D84" s="110" t="s">
        <v>552</v>
      </c>
      <c r="E84" s="1"/>
      <c r="F84" s="349">
        <f>F60+F61</f>
        <v>0</v>
      </c>
      <c r="G84" s="350"/>
      <c r="H84" s="351">
        <f>H60+H61</f>
        <v>0</v>
      </c>
      <c r="I84" s="352">
        <f>I60+I61</f>
        <v>0</v>
      </c>
      <c r="J84" s="246"/>
      <c r="K84" s="350"/>
      <c r="L84" s="351">
        <f>L60+L61</f>
        <v>0</v>
      </c>
      <c r="M84" s="353">
        <f>M60+M61</f>
        <v>0</v>
      </c>
      <c r="N84" s="350"/>
      <c r="O84" s="351">
        <f>O60+O61</f>
        <v>0</v>
      </c>
      <c r="P84" s="352">
        <f>P60+P61</f>
        <v>0</v>
      </c>
      <c r="Q84" s="352"/>
      <c r="R84" s="246"/>
      <c r="S84" s="350"/>
      <c r="T84" s="351">
        <f>T60+T61</f>
        <v>0</v>
      </c>
      <c r="U84" s="352"/>
      <c r="V84" s="353">
        <f>V60+V61</f>
        <v>0</v>
      </c>
      <c r="W84" s="350"/>
      <c r="Z84" s="352">
        <f>Z60+Z61</f>
        <v>0</v>
      </c>
      <c r="AA84" s="352"/>
      <c r="AB84" s="352">
        <f>AB60+AB61</f>
        <v>0</v>
      </c>
      <c r="AC84" s="350"/>
      <c r="AD84" s="351">
        <f>AD60+AD61</f>
        <v>0</v>
      </c>
      <c r="AE84" s="352">
        <f>AE60+AE61</f>
        <v>0</v>
      </c>
      <c r="AF84" s="352"/>
      <c r="AG84" s="246"/>
      <c r="AH84" s="350"/>
      <c r="AI84" s="351">
        <f>AI60+AI61</f>
        <v>0</v>
      </c>
      <c r="AJ84" s="352"/>
      <c r="AK84" s="353">
        <f>AK60+AK61</f>
        <v>0</v>
      </c>
      <c r="AL84" s="350"/>
    </row>
    <row r="85" spans="1:38" customFormat="1" x14ac:dyDescent="0.35">
      <c r="A85" s="9153"/>
      <c r="B85" s="6082"/>
      <c r="D85" s="356" t="s">
        <v>571</v>
      </c>
      <c r="E85" s="143"/>
      <c r="F85" s="357">
        <f>SUM(F81:F84)</f>
        <v>8803.2000000000007</v>
      </c>
      <c r="G85" s="358"/>
      <c r="H85" s="359">
        <f>SUM(H81:H84)</f>
        <v>0</v>
      </c>
      <c r="I85" s="360">
        <f>SUM(I81:I84)</f>
        <v>10673.5</v>
      </c>
      <c r="J85" s="361"/>
      <c r="K85" s="358"/>
      <c r="L85" s="359">
        <f>SUM(L81:L84)</f>
        <v>0</v>
      </c>
      <c r="M85" s="362">
        <f>SUM(M81:M84)</f>
        <v>12162.2</v>
      </c>
      <c r="N85" s="358"/>
      <c r="O85" s="359">
        <f>SUM(O81:O84)</f>
        <v>0</v>
      </c>
      <c r="P85" s="360">
        <f>SUM(P81:P84)</f>
        <v>12162.2</v>
      </c>
      <c r="Q85" s="360"/>
      <c r="R85" s="361"/>
      <c r="S85" s="358"/>
      <c r="T85" s="359">
        <f>SUM(T81:T84)</f>
        <v>0</v>
      </c>
      <c r="U85" s="360"/>
      <c r="V85" s="362">
        <f>SUM(V81:V84)</f>
        <v>13744.030862700001</v>
      </c>
      <c r="W85" s="358"/>
      <c r="Z85" s="360">
        <f>SUM(Z81:Z84)</f>
        <v>0</v>
      </c>
      <c r="AA85" s="360"/>
      <c r="AB85" s="360">
        <f>SUM(AB81:AB84)</f>
        <v>15977.7</v>
      </c>
      <c r="AC85" s="350"/>
      <c r="AD85" s="359">
        <f>SUM(AD81:AD84)</f>
        <v>19504.3</v>
      </c>
      <c r="AE85" s="360">
        <f>SUM(AE81:AE84)</f>
        <v>20631.900000000001</v>
      </c>
      <c r="AF85" s="360"/>
      <c r="AG85" s="361"/>
      <c r="AH85" s="358"/>
      <c r="AI85" s="359">
        <f>SUM(AI81:AI84)</f>
        <v>0</v>
      </c>
      <c r="AJ85" s="360"/>
      <c r="AK85" s="362">
        <f>SUM(AK81:AK84)</f>
        <v>33536.1</v>
      </c>
      <c r="AL85" s="350"/>
    </row>
    <row r="86" spans="1:38" customFormat="1" ht="15.5" x14ac:dyDescent="0.35">
      <c r="A86" s="9153"/>
      <c r="B86" s="6082"/>
      <c r="D86" s="356" t="s">
        <v>572</v>
      </c>
      <c r="E86" s="1"/>
      <c r="F86" s="559">
        <f>F85/(F21-F19-F20)</f>
        <v>0.34086711402119579</v>
      </c>
      <c r="G86" s="560"/>
      <c r="H86" s="561" t="e">
        <f>H85/(H21-H19-H20)</f>
        <v>#DIV/0!</v>
      </c>
      <c r="I86" s="562">
        <f>I85/(I21-I19-I20)</f>
        <v>0.33964563696882138</v>
      </c>
      <c r="J86" s="563"/>
      <c r="K86" s="560"/>
      <c r="L86" s="561" t="e">
        <f>L85/(L21-L19-L20)</f>
        <v>#DIV/0!</v>
      </c>
      <c r="M86" s="563">
        <f>M85/(M21-M19-M20)</f>
        <v>0.33544141455651688</v>
      </c>
      <c r="N86" s="560"/>
      <c r="O86" s="561" t="e">
        <f>O85/(O21-O19-O20)</f>
        <v>#DIV/0!</v>
      </c>
      <c r="P86" s="562">
        <f>P85/(P21-P19-P20)</f>
        <v>0.33544141455651688</v>
      </c>
      <c r="Q86" s="562"/>
      <c r="R86" s="563"/>
      <c r="S86" s="560"/>
      <c r="T86" s="561" t="e">
        <f>T85/(T21-T19-T20)</f>
        <v>#DIV/0!</v>
      </c>
      <c r="U86" s="562"/>
      <c r="V86" s="563">
        <f>V85/(V21-V19)</f>
        <v>0.3357935661208063</v>
      </c>
      <c r="W86" s="560"/>
      <c r="Z86" s="562" t="e">
        <f>Z85/(Z21-Z19-Z20)</f>
        <v>#DIV/0!</v>
      </c>
      <c r="AA86" s="562"/>
      <c r="AB86" s="562">
        <f>AB85/(AB21-AB19-AB20)</f>
        <v>0.32379638017302703</v>
      </c>
      <c r="AC86" s="358"/>
      <c r="AD86" s="561">
        <f>AD85/(AD21-AD19-AD20)</f>
        <v>0.31372526942255108</v>
      </c>
      <c r="AE86" s="562">
        <f>AE85/(AE21-AE19-AE20)</f>
        <v>0.25875223783880896</v>
      </c>
      <c r="AF86" s="562"/>
      <c r="AG86" s="563"/>
      <c r="AH86" s="560"/>
      <c r="AI86" s="561" t="e">
        <f>AI85/(AI21-AI19-AI20)</f>
        <v>#DIV/0!</v>
      </c>
      <c r="AJ86" s="562"/>
      <c r="AK86" s="563">
        <f>AK85/(AK21-AK19-AK20)</f>
        <v>0.28418352560745569</v>
      </c>
      <c r="AL86" s="358"/>
    </row>
    <row r="87" spans="1:38" s="4043" customFormat="1" ht="15.5" x14ac:dyDescent="0.35">
      <c r="A87" s="9153"/>
      <c r="B87" s="676"/>
      <c r="C87" s="677"/>
      <c r="D87" s="373" t="s">
        <v>573</v>
      </c>
      <c r="E87" s="7173"/>
      <c r="F87" s="679"/>
      <c r="G87" s="954"/>
      <c r="H87" s="381"/>
      <c r="I87" s="382"/>
      <c r="J87" s="955"/>
      <c r="K87" s="954"/>
      <c r="L87" s="386"/>
      <c r="M87" s="680"/>
      <c r="N87" s="6028"/>
      <c r="O87" s="381"/>
      <c r="P87" s="382"/>
      <c r="Q87" s="956"/>
      <c r="R87" s="955"/>
      <c r="S87" s="954"/>
      <c r="T87" s="386"/>
      <c r="U87" s="956"/>
      <c r="V87" s="387"/>
      <c r="W87" s="6028"/>
      <c r="Z87" s="382"/>
      <c r="AA87" s="956"/>
      <c r="AB87" s="382"/>
      <c r="AC87" s="560"/>
      <c r="AD87" s="381"/>
      <c r="AE87" s="382"/>
      <c r="AF87" s="956"/>
      <c r="AG87" s="955"/>
      <c r="AH87" s="954"/>
      <c r="AI87" s="386"/>
      <c r="AJ87" s="956"/>
      <c r="AK87" s="7174"/>
      <c r="AL87" s="560"/>
    </row>
    <row r="88" spans="1:38" s="3341" customFormat="1" x14ac:dyDescent="0.35">
      <c r="A88" s="9153"/>
      <c r="B88" s="681"/>
      <c r="C88" s="682"/>
      <c r="D88" s="391" t="s">
        <v>575</v>
      </c>
      <c r="E88" s="3338"/>
      <c r="F88" s="683"/>
      <c r="G88" s="973"/>
      <c r="H88" s="397"/>
      <c r="I88" s="398"/>
      <c r="J88" s="3339"/>
      <c r="K88" s="3338"/>
      <c r="L88" s="402"/>
      <c r="M88" s="684"/>
      <c r="N88" s="6031"/>
      <c r="O88" s="397"/>
      <c r="P88" s="398"/>
      <c r="Q88" s="975"/>
      <c r="R88" s="974"/>
      <c r="S88" s="973"/>
      <c r="T88" s="402"/>
      <c r="U88" s="975"/>
      <c r="V88" s="403"/>
      <c r="W88" s="6031"/>
      <c r="Z88" s="398"/>
      <c r="AA88" s="975"/>
      <c r="AB88" s="398"/>
      <c r="AC88" s="6028"/>
      <c r="AD88" s="1056"/>
      <c r="AE88" s="953"/>
      <c r="AF88" s="3622"/>
      <c r="AG88" s="5419"/>
      <c r="AH88" s="958"/>
      <c r="AI88" s="1203"/>
      <c r="AJ88" s="3622"/>
      <c r="AK88" s="691"/>
      <c r="AL88" s="6028"/>
    </row>
    <row r="89" spans="1:38" s="3341" customFormat="1" x14ac:dyDescent="0.35">
      <c r="A89" s="9153"/>
      <c r="B89" s="681"/>
      <c r="C89" s="682"/>
      <c r="D89" s="391" t="s">
        <v>576</v>
      </c>
      <c r="E89" s="3338"/>
      <c r="F89" s="683"/>
      <c r="G89" s="973"/>
      <c r="H89" s="397"/>
      <c r="I89" s="398"/>
      <c r="J89" s="3339"/>
      <c r="K89" s="3338"/>
      <c r="L89" s="402"/>
      <c r="M89" s="684"/>
      <c r="N89" s="6031"/>
      <c r="O89" s="397"/>
      <c r="P89" s="398"/>
      <c r="Q89" s="975"/>
      <c r="R89" s="974"/>
      <c r="S89" s="973"/>
      <c r="T89" s="402"/>
      <c r="U89" s="975"/>
      <c r="V89" s="403"/>
      <c r="W89" s="6031"/>
      <c r="Z89" s="398"/>
      <c r="AA89" s="975"/>
      <c r="AB89" s="398"/>
      <c r="AC89" s="6031"/>
      <c r="AD89" s="1056"/>
      <c r="AE89" s="953"/>
      <c r="AF89" s="3622"/>
      <c r="AG89" s="5419"/>
      <c r="AH89" s="958"/>
      <c r="AI89" s="1203"/>
      <c r="AJ89" s="3622"/>
      <c r="AK89" s="691"/>
      <c r="AL89" s="6031"/>
    </row>
    <row r="90" spans="1:38" s="3341" customFormat="1" x14ac:dyDescent="0.35">
      <c r="A90" s="9153"/>
      <c r="B90" s="681"/>
      <c r="C90" s="682"/>
      <c r="D90" s="391"/>
      <c r="E90" s="3338"/>
      <c r="F90" s="683"/>
      <c r="G90" s="973"/>
      <c r="H90" s="397"/>
      <c r="I90" s="398"/>
      <c r="J90" s="3339"/>
      <c r="K90" s="3338"/>
      <c r="L90" s="402"/>
      <c r="M90" s="684"/>
      <c r="N90" s="6031"/>
      <c r="O90" s="405"/>
      <c r="P90" s="406"/>
      <c r="R90" s="3339"/>
      <c r="S90" s="3338"/>
      <c r="T90" s="410"/>
      <c r="V90" s="411"/>
      <c r="W90" s="6031"/>
      <c r="Z90" s="398"/>
      <c r="AB90" s="398"/>
      <c r="AC90" s="6031"/>
      <c r="AD90" s="1056"/>
      <c r="AE90" s="953"/>
      <c r="AF90" s="3622"/>
      <c r="AG90" s="5419"/>
      <c r="AH90" s="958"/>
      <c r="AI90" s="1203"/>
      <c r="AJ90" s="3622"/>
      <c r="AK90" s="977"/>
      <c r="AL90" s="6031"/>
    </row>
    <row r="91" spans="1:38" s="3341" customFormat="1" x14ac:dyDescent="0.35">
      <c r="A91" s="9153"/>
      <c r="B91" s="681"/>
      <c r="C91" s="682"/>
      <c r="D91" s="391" t="s">
        <v>577</v>
      </c>
      <c r="E91" s="3338"/>
      <c r="F91" s="683"/>
      <c r="G91" s="973"/>
      <c r="H91" s="397"/>
      <c r="I91" s="398">
        <f>I85/I12</f>
        <v>0.37324106193699996</v>
      </c>
      <c r="J91" s="3339"/>
      <c r="K91" s="3338"/>
      <c r="L91" s="402"/>
      <c r="M91" s="684">
        <f>M85/M12</f>
        <v>0.37070497404620173</v>
      </c>
      <c r="N91" s="6031"/>
      <c r="O91" s="397"/>
      <c r="P91" s="398">
        <f>P85/P12</f>
        <v>0.37070497404620173</v>
      </c>
      <c r="Q91" s="975"/>
      <c r="R91" s="974"/>
      <c r="S91" s="973"/>
      <c r="T91" s="402"/>
      <c r="U91" s="975"/>
      <c r="V91" s="403">
        <f>V85/V12</f>
        <v>0.37871942372998113</v>
      </c>
      <c r="W91" s="6031"/>
      <c r="Z91" s="398" t="e">
        <f>Z85/Z12</f>
        <v>#DIV/0!</v>
      </c>
      <c r="AA91" s="975"/>
      <c r="AB91" s="398">
        <f>AB85/AB12</f>
        <v>0.34767991435136825</v>
      </c>
      <c r="AC91" s="6031"/>
      <c r="AD91" s="1056">
        <f>AD85/AD12</f>
        <v>0.34043754817014182</v>
      </c>
      <c r="AE91" s="953">
        <f>AE85/AE12</f>
        <v>0.29006725667795163</v>
      </c>
      <c r="AF91" s="3622"/>
      <c r="AG91" s="5419"/>
      <c r="AH91" s="958"/>
      <c r="AI91" s="1203" t="e">
        <f>AI85/AI12</f>
        <v>#DIV/0!</v>
      </c>
      <c r="AJ91" s="3622"/>
      <c r="AK91" s="684">
        <f>AK85/AK12</f>
        <v>0.34257564304247451</v>
      </c>
      <c r="AL91" s="6031"/>
    </row>
    <row r="92" spans="1:38" s="4043" customFormat="1" x14ac:dyDescent="0.35">
      <c r="A92" s="9153"/>
      <c r="B92" s="685"/>
      <c r="C92" s="686"/>
      <c r="D92" s="414" t="s">
        <v>578</v>
      </c>
      <c r="E92" s="3429"/>
      <c r="F92" s="688"/>
      <c r="G92" s="4723"/>
      <c r="H92" s="415"/>
      <c r="I92" s="416"/>
      <c r="J92" s="3432"/>
      <c r="K92" s="3429"/>
      <c r="L92" s="420"/>
      <c r="M92" s="690"/>
      <c r="N92" s="6028"/>
      <c r="O92" s="415"/>
      <c r="P92" s="416"/>
      <c r="Q92" s="4724"/>
      <c r="R92" s="5647"/>
      <c r="S92" s="4723"/>
      <c r="T92" s="420"/>
      <c r="U92" s="4724"/>
      <c r="V92" s="421"/>
      <c r="W92" s="6028"/>
      <c r="Z92" s="416"/>
      <c r="AA92" s="4724"/>
      <c r="AB92" s="416"/>
      <c r="AC92" s="6031"/>
      <c r="AD92" s="983"/>
      <c r="AE92" s="979"/>
      <c r="AF92" s="985"/>
      <c r="AG92" s="246"/>
      <c r="AH92" s="982"/>
      <c r="AI92" s="986"/>
      <c r="AJ92" s="985"/>
      <c r="AK92" s="3294"/>
      <c r="AL92" s="6031"/>
    </row>
    <row r="93" spans="1:38" s="3341" customFormat="1" x14ac:dyDescent="0.35">
      <c r="A93" s="9153"/>
      <c r="B93" s="681"/>
      <c r="C93" s="682"/>
      <c r="D93" s="391" t="s">
        <v>579</v>
      </c>
      <c r="E93" s="3338"/>
      <c r="F93" s="683"/>
      <c r="G93" s="973"/>
      <c r="H93" s="397"/>
      <c r="I93" s="398"/>
      <c r="J93" s="3339"/>
      <c r="K93" s="3338"/>
      <c r="L93" s="402"/>
      <c r="M93" s="684"/>
      <c r="N93" s="6031"/>
      <c r="O93" s="397"/>
      <c r="P93" s="398"/>
      <c r="Q93" s="975"/>
      <c r="R93" s="974"/>
      <c r="S93" s="973"/>
      <c r="T93" s="402"/>
      <c r="U93" s="975"/>
      <c r="V93" s="403"/>
      <c r="W93" s="6031"/>
      <c r="Z93" s="398"/>
      <c r="AA93" s="975"/>
      <c r="AB93" s="398"/>
      <c r="AC93" s="6028"/>
      <c r="AD93" s="1056"/>
      <c r="AE93" s="953"/>
      <c r="AF93" s="3622"/>
      <c r="AG93" s="5419"/>
      <c r="AH93" s="958"/>
      <c r="AI93" s="1203"/>
      <c r="AJ93" s="3622"/>
      <c r="AK93" s="684"/>
      <c r="AL93" s="6028"/>
    </row>
    <row r="94" spans="1:38" s="3341" customFormat="1" x14ac:dyDescent="0.35">
      <c r="A94" s="9153"/>
      <c r="B94" s="681"/>
      <c r="C94" s="682"/>
      <c r="D94" s="391"/>
      <c r="E94" s="3338"/>
      <c r="F94" s="413"/>
      <c r="G94" s="3338"/>
      <c r="H94" s="405"/>
      <c r="I94" s="406"/>
      <c r="J94" s="3339"/>
      <c r="K94" s="3338"/>
      <c r="L94" s="410"/>
      <c r="M94" s="691"/>
      <c r="N94" s="6031"/>
      <c r="O94" s="397"/>
      <c r="P94" s="398"/>
      <c r="Q94" s="975"/>
      <c r="R94" s="974"/>
      <c r="S94" s="973"/>
      <c r="T94" s="402"/>
      <c r="U94" s="975"/>
      <c r="V94" s="403"/>
      <c r="W94" s="6031"/>
      <c r="Z94" s="406"/>
      <c r="AA94" s="975"/>
      <c r="AB94" s="406"/>
      <c r="AC94" s="6031"/>
      <c r="AD94" s="1056"/>
      <c r="AE94" s="953"/>
      <c r="AF94" s="3622"/>
      <c r="AG94" s="5419"/>
      <c r="AH94" s="958"/>
      <c r="AI94" s="1203"/>
      <c r="AJ94" s="3622"/>
      <c r="AK94" s="977"/>
      <c r="AL94" s="6031"/>
    </row>
    <row r="95" spans="1:38" s="3341" customFormat="1" x14ac:dyDescent="0.35">
      <c r="A95" s="9153"/>
      <c r="B95" s="681"/>
      <c r="C95" s="682"/>
      <c r="D95" s="423" t="s">
        <v>580</v>
      </c>
      <c r="E95" s="7175"/>
      <c r="F95" s="693"/>
      <c r="G95" s="3346"/>
      <c r="H95" s="695"/>
      <c r="I95" s="696"/>
      <c r="J95" s="518"/>
      <c r="K95" s="3346"/>
      <c r="L95" s="697"/>
      <c r="M95" s="698"/>
      <c r="N95" s="6031"/>
      <c r="O95" s="397"/>
      <c r="P95" s="398"/>
      <c r="Q95" s="975"/>
      <c r="R95" s="974"/>
      <c r="S95" s="973"/>
      <c r="T95" s="402"/>
      <c r="U95" s="975"/>
      <c r="V95" s="403"/>
      <c r="W95" s="6031"/>
      <c r="Z95" s="696"/>
      <c r="AA95" s="975"/>
      <c r="AB95" s="696"/>
      <c r="AC95" s="6031"/>
      <c r="AD95" s="3295"/>
      <c r="AE95" s="3296"/>
      <c r="AF95" s="3622"/>
      <c r="AG95" s="5419"/>
      <c r="AH95" s="6144"/>
      <c r="AI95" s="3297"/>
      <c r="AJ95" s="6145"/>
      <c r="AK95" s="698"/>
      <c r="AL95" s="6031"/>
    </row>
    <row r="96" spans="1:38" s="3341" customFormat="1" x14ac:dyDescent="0.35">
      <c r="A96" s="9154"/>
      <c r="B96" s="699"/>
      <c r="C96" s="700"/>
      <c r="D96" s="433" t="s">
        <v>581</v>
      </c>
      <c r="E96" s="7176"/>
      <c r="F96" s="702"/>
      <c r="G96" s="6146"/>
      <c r="H96" s="704"/>
      <c r="I96" s="705"/>
      <c r="J96" s="988"/>
      <c r="K96" s="6146"/>
      <c r="L96" s="707"/>
      <c r="M96" s="708"/>
      <c r="N96" s="6031"/>
      <c r="O96" s="441"/>
      <c r="P96" s="442"/>
      <c r="Q96" s="4741"/>
      <c r="R96" s="5660"/>
      <c r="S96" s="4740"/>
      <c r="T96" s="446"/>
      <c r="U96" s="4741"/>
      <c r="V96" s="447"/>
      <c r="W96" s="6031"/>
      <c r="Z96" s="705"/>
      <c r="AA96" s="4741"/>
      <c r="AB96" s="705"/>
      <c r="AC96" s="6031"/>
      <c r="AD96" s="1996"/>
      <c r="AE96" s="1997"/>
      <c r="AF96" s="3347"/>
      <c r="AG96" s="988"/>
      <c r="AH96" s="7177"/>
      <c r="AI96" s="1998"/>
      <c r="AJ96" s="3347"/>
      <c r="AK96" s="708"/>
      <c r="AL96" s="6031"/>
    </row>
    <row r="97" spans="1:39" ht="11.75" customHeight="1" x14ac:dyDescent="0.35">
      <c r="N97" s="982"/>
      <c r="O97" s="1087"/>
      <c r="P97" s="1087"/>
      <c r="Q97" s="1087"/>
      <c r="R97" s="1087"/>
      <c r="S97" s="1087"/>
      <c r="T97" s="1087"/>
      <c r="U97" s="1087"/>
      <c r="V97" s="1087"/>
      <c r="W97" s="1087"/>
      <c r="X97"/>
      <c r="Z97" s="1087"/>
      <c r="AA97" s="1087"/>
      <c r="AB97" s="1087"/>
      <c r="AC97" s="6031"/>
      <c r="AD97" s="1087"/>
      <c r="AE97" s="1087"/>
      <c r="AF97" s="1087"/>
      <c r="AG97" s="1087"/>
      <c r="AH97" s="461"/>
      <c r="AI97" s="1087"/>
      <c r="AJ97" s="1087"/>
      <c r="AK97" s="1087"/>
      <c r="AL97" s="6031"/>
      <c r="AM97"/>
    </row>
    <row r="98" spans="1:39" x14ac:dyDescent="0.35">
      <c r="A98" s="455" t="s">
        <v>3241</v>
      </c>
      <c r="B98" s="455"/>
      <c r="E98" s="457"/>
      <c r="N98" s="460"/>
      <c r="O98" s="461"/>
      <c r="P98" s="461"/>
      <c r="Q98" s="461"/>
      <c r="R98" s="461"/>
      <c r="S98" s="461"/>
      <c r="T98" s="461"/>
      <c r="U98" s="461"/>
      <c r="V98" s="461"/>
      <c r="W98" s="461"/>
      <c r="X98"/>
      <c r="Z98" s="461"/>
      <c r="AA98" s="461"/>
      <c r="AB98" s="461"/>
      <c r="AC98" s="1087"/>
      <c r="AD98" s="461"/>
      <c r="AE98" s="461"/>
      <c r="AF98" s="461"/>
      <c r="AG98" s="461"/>
      <c r="AH98" s="461"/>
      <c r="AI98" s="461"/>
      <c r="AJ98" s="461"/>
      <c r="AK98" s="461"/>
      <c r="AL98" s="461"/>
      <c r="AM98"/>
    </row>
    <row r="99" spans="1:39" ht="47" customHeight="1" x14ac:dyDescent="0.35">
      <c r="A99" s="9537" t="s">
        <v>6272</v>
      </c>
      <c r="B99" s="9538"/>
      <c r="C99" s="9538"/>
      <c r="D99" s="9538"/>
      <c r="E99" s="9538"/>
      <c r="F99" s="9538"/>
      <c r="G99" s="9538"/>
      <c r="H99" s="9538"/>
      <c r="I99" s="9538"/>
      <c r="J99" s="9538"/>
      <c r="K99" s="9538"/>
      <c r="L99" s="9538"/>
      <c r="M99" s="9539"/>
      <c r="N99" s="456"/>
      <c r="O99" s="461"/>
      <c r="P99" s="461"/>
      <c r="Q99" s="461"/>
      <c r="R99" s="461"/>
      <c r="S99" s="461"/>
      <c r="T99" s="461"/>
      <c r="U99" s="461"/>
      <c r="V99" s="461"/>
      <c r="W99" s="461"/>
      <c r="X99"/>
      <c r="Z99" s="461"/>
      <c r="AA99" s="461"/>
      <c r="AB99" s="461"/>
      <c r="AC99" s="461"/>
      <c r="AD99" s="461"/>
      <c r="AE99" s="461"/>
      <c r="AF99" s="461"/>
      <c r="AG99" s="461"/>
      <c r="AH99" s="461"/>
      <c r="AI99" s="461"/>
      <c r="AJ99" s="461"/>
      <c r="AK99" s="461"/>
      <c r="AL99" s="461"/>
      <c r="AM99"/>
    </row>
    <row r="100" spans="1:39" x14ac:dyDescent="0.35">
      <c r="X100"/>
      <c r="AC100" s="461"/>
      <c r="AL100" s="461"/>
      <c r="AM100"/>
    </row>
    <row r="101" spans="1:39" x14ac:dyDescent="0.35">
      <c r="X101"/>
      <c r="AM101"/>
    </row>
    <row r="102" spans="1:39" x14ac:dyDescent="0.35">
      <c r="X102"/>
      <c r="AM102"/>
    </row>
    <row r="103" spans="1:39" x14ac:dyDescent="0.35">
      <c r="X103"/>
      <c r="AM103"/>
    </row>
    <row r="104" spans="1:39" x14ac:dyDescent="0.35">
      <c r="X104"/>
      <c r="AM104"/>
    </row>
    <row r="105" spans="1:39" x14ac:dyDescent="0.35">
      <c r="X105"/>
      <c r="AM105"/>
    </row>
    <row r="106" spans="1:39" x14ac:dyDescent="0.35">
      <c r="X106"/>
      <c r="AM106"/>
    </row>
    <row r="107" spans="1:39" x14ac:dyDescent="0.35">
      <c r="X107"/>
      <c r="AM107"/>
    </row>
    <row r="108" spans="1:39" x14ac:dyDescent="0.35">
      <c r="X108"/>
      <c r="AM108"/>
    </row>
  </sheetData>
  <mergeCells count="35">
    <mergeCell ref="F1:M1"/>
    <mergeCell ref="O1:V1"/>
    <mergeCell ref="Z1:AB1"/>
    <mergeCell ref="AD1:AK1"/>
    <mergeCell ref="H4:J4"/>
    <mergeCell ref="L4:M4"/>
    <mergeCell ref="O4:R4"/>
    <mergeCell ref="T4:V4"/>
    <mergeCell ref="X4:X5"/>
    <mergeCell ref="Z4:AB4"/>
    <mergeCell ref="AD4:AF4"/>
    <mergeCell ref="AI4:AK4"/>
    <mergeCell ref="AM4:AM5"/>
    <mergeCell ref="H5:J5"/>
    <mergeCell ref="L5:M5"/>
    <mergeCell ref="O5:R5"/>
    <mergeCell ref="T5:V5"/>
    <mergeCell ref="Z5:AB5"/>
    <mergeCell ref="AD5:AF5"/>
    <mergeCell ref="AI5:AK5"/>
    <mergeCell ref="AG7:AG8"/>
    <mergeCell ref="AI7:AK7"/>
    <mergeCell ref="A10:A30"/>
    <mergeCell ref="A32:A67"/>
    <mergeCell ref="H7:I7"/>
    <mergeCell ref="J7:J8"/>
    <mergeCell ref="L7:M7"/>
    <mergeCell ref="O7:P7"/>
    <mergeCell ref="R7:R8"/>
    <mergeCell ref="T7:V7"/>
    <mergeCell ref="A69:A78"/>
    <mergeCell ref="A80:A96"/>
    <mergeCell ref="A99:M99"/>
    <mergeCell ref="Z7:AB7"/>
    <mergeCell ref="AD7:AE7"/>
  </mergeCells>
  <hyperlinks>
    <hyperlink ref="F32" r:id="rId1" display="http://www.stat.kg/media/statisticsoperational/90465663-df1b-4c86-928c-85b034d585d6.xls" xr:uid="{B97CE94D-73A4-43F7-B089-25F5032121B3}"/>
    <hyperlink ref="F10" r:id="rId2" xr:uid="{8B9DDE67-1D05-42AE-A376-82E57EDE38B6}"/>
    <hyperlink ref="M10" r:id="rId3" xr:uid="{D6AC3DA2-6564-445A-827A-7D449B0F5351}"/>
    <hyperlink ref="I10" r:id="rId4" xr:uid="{4EDC43D3-25B2-4635-AE15-306667C9CA55}"/>
    <hyperlink ref="Q10" r:id="rId5" xr:uid="{E517F359-9064-45A8-B5D8-37A93EAB6EFC}"/>
    <hyperlink ref="U10" r:id="rId6" xr:uid="{648B066B-F565-4F1C-87C6-E377048531FF}"/>
    <hyperlink ref="AA10" r:id="rId7" xr:uid="{9D686EF7-C0F8-40A6-A14A-B810DA310D49}"/>
    <hyperlink ref="AD10" r:id="rId8" xr:uid="{894A72CD-DF16-42B2-875E-E3CC4E169BB9}"/>
  </hyperlinks>
  <pageMargins left="0.11811023622047245" right="0.11811023622047245" top="0.35433070866141736" bottom="0.35433070866141736" header="0.31496062992125984" footer="0.31496062992125984"/>
  <pageSetup paperSize="9" scale="21" orientation="landscape" horizontalDpi="4294967293" r:id="rId9"/>
  <legacyDrawing r:id="rId1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O122"/>
  <sheetViews>
    <sheetView zoomScale="83" workbookViewId="0">
      <pane xSplit="4" topLeftCell="Y1" activePane="topRight" state="frozen"/>
      <selection pane="topRight" activeCell="AF94" sqref="AF94"/>
    </sheetView>
  </sheetViews>
  <sheetFormatPr defaultColWidth="9.1796875" defaultRowHeight="14.5" x14ac:dyDescent="0.35"/>
  <cols>
    <col min="1" max="1" width="6.6328125" style="1828" customWidth="1"/>
    <col min="2" max="2" width="25.453125" style="1828" customWidth="1"/>
    <col min="3" max="3" width="21.453125" style="30" customWidth="1"/>
    <col min="4" max="4" width="4.6328125" style="1829" customWidth="1"/>
    <col min="5" max="5" width="1.6328125" style="30" customWidth="1"/>
    <col min="6" max="6" width="21.6328125" style="30" customWidth="1"/>
    <col min="7" max="7" width="1.6328125" style="30" customWidth="1"/>
    <col min="8" max="8" width="21.6328125" style="14" customWidth="1"/>
    <col min="9" max="9" width="3" style="14" customWidth="1"/>
    <col min="10" max="15" width="21.6328125" style="14" customWidth="1"/>
    <col min="16" max="16" width="2.36328125" style="1828" customWidth="1"/>
    <col min="17" max="19" width="21.6328125" style="14" customWidth="1"/>
    <col min="20" max="20" width="9.81640625" style="7566" customWidth="1"/>
    <col min="21" max="21" width="2.453125" style="14" customWidth="1"/>
    <col min="22" max="24" width="21.6328125" style="14" customWidth="1"/>
    <col min="25" max="25" width="2.453125" style="14" customWidth="1"/>
    <col min="26" max="28" width="21.6328125" style="14" customWidth="1"/>
    <col min="29" max="29" width="9.81640625" style="8074" customWidth="1"/>
    <col min="30" max="32" width="21.6328125" style="14" customWidth="1"/>
    <col min="33" max="33" width="2.453125" style="14" customWidth="1"/>
    <col min="34" max="34" width="54.1796875" style="1828" customWidth="1"/>
    <col min="35" max="35" width="9.1796875" style="1828"/>
    <col min="36" max="36" width="20.453125" style="1828" customWidth="1"/>
    <col min="37" max="37" width="10.81640625" style="1828" customWidth="1"/>
    <col min="38" max="38" width="14.453125" style="1828" bestFit="1" customWidth="1"/>
    <col min="39" max="39" width="15.453125" style="1828" bestFit="1" customWidth="1"/>
    <col min="40" max="16384" width="9.1796875" style="1828"/>
  </cols>
  <sheetData>
    <row r="1" spans="1:37" x14ac:dyDescent="0.35">
      <c r="H1" s="1828"/>
      <c r="I1" s="1828"/>
      <c r="J1" s="1828"/>
      <c r="K1" s="1828"/>
      <c r="L1" s="1828"/>
      <c r="M1" s="1828"/>
      <c r="N1" s="1828"/>
      <c r="O1" s="1828"/>
      <c r="Q1" s="1828"/>
      <c r="R1" s="1828"/>
      <c r="S1" s="1828"/>
      <c r="T1" s="1965"/>
      <c r="U1" s="1828"/>
      <c r="V1" s="1828"/>
      <c r="W1" s="1828"/>
      <c r="X1" s="1828"/>
      <c r="Y1" s="1828"/>
      <c r="Z1" s="1828"/>
      <c r="AA1" s="1828"/>
      <c r="AB1" s="1828"/>
      <c r="AC1" s="8070"/>
      <c r="AD1" s="1828"/>
      <c r="AE1" s="1828"/>
      <c r="AF1" s="1828"/>
      <c r="AG1" s="1828"/>
    </row>
    <row r="2" spans="1:37" ht="31" x14ac:dyDescent="0.35">
      <c r="B2" s="30" t="s">
        <v>9</v>
      </c>
      <c r="C2" s="1833" t="s">
        <v>6273</v>
      </c>
      <c r="F2" s="9213" t="s">
        <v>391</v>
      </c>
      <c r="G2" s="9214"/>
      <c r="H2" s="9214"/>
      <c r="I2" s="1834"/>
      <c r="J2" s="9579" t="s">
        <v>392</v>
      </c>
      <c r="K2" s="9580"/>
      <c r="L2" s="9580"/>
      <c r="M2" s="9580"/>
      <c r="N2" s="9580"/>
      <c r="O2" s="9581"/>
      <c r="P2" s="7647"/>
      <c r="Q2" s="9423" t="s">
        <v>393</v>
      </c>
      <c r="R2" s="9424"/>
      <c r="S2" s="9424"/>
      <c r="T2" s="9424"/>
      <c r="U2" s="9424"/>
      <c r="V2" s="9424"/>
      <c r="W2" s="9424"/>
      <c r="X2" s="9591"/>
      <c r="Y2" s="1834"/>
      <c r="Z2" s="9592" t="s">
        <v>399</v>
      </c>
      <c r="AA2" s="9593"/>
      <c r="AB2" s="9593"/>
      <c r="AC2" s="9593"/>
      <c r="AD2" s="9593"/>
      <c r="AE2" s="9593"/>
      <c r="AF2" s="9594"/>
      <c r="AG2" s="1834"/>
      <c r="AH2" s="5447"/>
    </row>
    <row r="3" spans="1:37" ht="18.75" customHeight="1" x14ac:dyDescent="0.35">
      <c r="B3" s="30"/>
      <c r="F3" s="1834"/>
      <c r="G3" s="1834"/>
      <c r="H3" s="1834"/>
      <c r="I3" s="1834"/>
      <c r="J3" s="1834"/>
      <c r="K3" s="1834"/>
      <c r="L3" s="1834"/>
      <c r="M3" s="1834"/>
      <c r="N3" s="1834"/>
      <c r="O3" s="1834"/>
      <c r="P3" s="1834"/>
      <c r="Q3" s="1834"/>
      <c r="R3" s="1834"/>
      <c r="S3" s="1834"/>
      <c r="T3" s="7563"/>
      <c r="U3" s="1834"/>
      <c r="V3" s="1834"/>
      <c r="W3" s="1834"/>
      <c r="X3" s="1834"/>
      <c r="Y3" s="1834"/>
      <c r="Z3" s="1834"/>
      <c r="AA3" s="1834"/>
      <c r="AB3" s="1834"/>
      <c r="AC3" s="8071"/>
      <c r="AD3" s="1834"/>
      <c r="AE3" s="1834"/>
      <c r="AF3" s="1834"/>
      <c r="AG3" s="1834"/>
      <c r="AH3" s="1834"/>
    </row>
    <row r="4" spans="1:37" s="8" customFormat="1" ht="15.25" customHeight="1" x14ac:dyDescent="0.35">
      <c r="D4" s="579"/>
      <c r="F4" s="8326" t="s">
        <v>3199</v>
      </c>
      <c r="H4" s="8326" t="s">
        <v>3199</v>
      </c>
      <c r="I4" s="1835"/>
      <c r="J4" s="9130" t="s">
        <v>3199</v>
      </c>
      <c r="K4" s="9131"/>
      <c r="L4" s="9132"/>
      <c r="M4" s="9130" t="s">
        <v>3199</v>
      </c>
      <c r="N4" s="9131"/>
      <c r="O4" s="9132"/>
      <c r="P4" s="9180" t="s">
        <v>3200</v>
      </c>
      <c r="Q4" s="9130" t="s">
        <v>3199</v>
      </c>
      <c r="R4" s="9131"/>
      <c r="S4" s="9132"/>
      <c r="T4" s="7564"/>
      <c r="U4" s="1835"/>
      <c r="V4" s="9130" t="s">
        <v>3199</v>
      </c>
      <c r="W4" s="9131"/>
      <c r="X4" s="9132"/>
      <c r="Y4" s="1835"/>
      <c r="Z4" s="9130" t="s">
        <v>3199</v>
      </c>
      <c r="AA4" s="9131"/>
      <c r="AB4" s="9132"/>
      <c r="AC4" s="8072"/>
      <c r="AD4" s="9130" t="s">
        <v>3199</v>
      </c>
      <c r="AE4" s="9131"/>
      <c r="AF4" s="9132"/>
      <c r="AG4" s="1835"/>
      <c r="AH4" s="9180" t="s">
        <v>3200</v>
      </c>
    </row>
    <row r="5" spans="1:37" ht="23.5" customHeight="1" x14ac:dyDescent="0.35">
      <c r="B5" s="30"/>
      <c r="C5" s="8"/>
      <c r="F5" s="8336">
        <v>2016</v>
      </c>
      <c r="G5" s="12"/>
      <c r="H5" s="8336">
        <v>2017</v>
      </c>
      <c r="I5" s="1836"/>
      <c r="J5" s="9588">
        <v>2017</v>
      </c>
      <c r="K5" s="9589"/>
      <c r="L5" s="9590"/>
      <c r="M5" s="9588">
        <v>2018</v>
      </c>
      <c r="N5" s="9589"/>
      <c r="O5" s="9590"/>
      <c r="P5" s="9181"/>
      <c r="Q5" s="9588">
        <v>2018</v>
      </c>
      <c r="R5" s="9589"/>
      <c r="S5" s="9590"/>
      <c r="T5" s="7565"/>
      <c r="U5" s="1836"/>
      <c r="V5" s="9588">
        <v>2019</v>
      </c>
      <c r="W5" s="9589"/>
      <c r="X5" s="9590"/>
      <c r="Y5" s="1836"/>
      <c r="Z5" s="9588" t="s">
        <v>6274</v>
      </c>
      <c r="AA5" s="9589"/>
      <c r="AB5" s="9590"/>
      <c r="AC5" s="8073"/>
      <c r="AD5" s="9588">
        <v>2020</v>
      </c>
      <c r="AE5" s="9589"/>
      <c r="AF5" s="9590"/>
      <c r="AG5" s="1836"/>
      <c r="AH5" s="9181"/>
    </row>
    <row r="6" spans="1:37" x14ac:dyDescent="0.35">
      <c r="C6" s="1828"/>
      <c r="F6" s="8328"/>
      <c r="P6" s="14"/>
      <c r="AH6" s="14"/>
    </row>
    <row r="7" spans="1:37" ht="12.75" customHeight="1" x14ac:dyDescent="0.35">
      <c r="B7" s="30" t="s">
        <v>101</v>
      </c>
      <c r="C7" s="1833" t="s">
        <v>6275</v>
      </c>
      <c r="D7" s="1829" t="s">
        <v>417</v>
      </c>
      <c r="F7" s="8322" t="s">
        <v>1590</v>
      </c>
      <c r="H7" s="8322" t="s">
        <v>1590</v>
      </c>
      <c r="I7" s="1838"/>
      <c r="J7" s="8322" t="s">
        <v>1590</v>
      </c>
      <c r="K7" s="8322"/>
      <c r="L7" s="8322" t="s">
        <v>1590</v>
      </c>
      <c r="M7" s="8322" t="s">
        <v>1590</v>
      </c>
      <c r="N7" s="8322"/>
      <c r="O7" s="8322" t="s">
        <v>1590</v>
      </c>
      <c r="P7" s="1840"/>
      <c r="Q7" s="8322" t="s">
        <v>1590</v>
      </c>
      <c r="R7" s="1839"/>
      <c r="S7" s="8322" t="s">
        <v>1590</v>
      </c>
      <c r="T7" s="7567"/>
      <c r="U7" s="4917"/>
      <c r="V7" s="8322" t="s">
        <v>1590</v>
      </c>
      <c r="W7" s="1839"/>
      <c r="X7" s="8322" t="s">
        <v>1590</v>
      </c>
      <c r="Y7" s="1838"/>
      <c r="Z7" s="8322" t="s">
        <v>1590</v>
      </c>
      <c r="AA7" s="1839"/>
      <c r="AB7" s="8322" t="s">
        <v>1590</v>
      </c>
      <c r="AC7" s="8075"/>
      <c r="AD7" s="8322" t="s">
        <v>1590</v>
      </c>
      <c r="AE7" s="1839"/>
      <c r="AF7" s="8322" t="s">
        <v>1590</v>
      </c>
      <c r="AG7" s="1838"/>
      <c r="AH7" s="1840"/>
      <c r="AJ7" s="1828" t="s">
        <v>6276</v>
      </c>
    </row>
    <row r="8" spans="1:37" ht="15.25" customHeight="1" x14ac:dyDescent="0.35">
      <c r="A8" s="14"/>
      <c r="B8" s="1110" t="s">
        <v>420</v>
      </c>
      <c r="C8" s="1833"/>
      <c r="F8" s="21" t="s">
        <v>96</v>
      </c>
      <c r="H8" s="21" t="s">
        <v>3204</v>
      </c>
      <c r="I8" s="1841"/>
      <c r="J8" s="21" t="s">
        <v>3204</v>
      </c>
      <c r="K8" s="21"/>
      <c r="L8" s="21" t="s">
        <v>1019</v>
      </c>
      <c r="M8" s="21" t="s">
        <v>3204</v>
      </c>
      <c r="N8" s="21"/>
      <c r="O8" s="21" t="s">
        <v>1019</v>
      </c>
      <c r="P8" s="1840"/>
      <c r="Q8" s="21" t="s">
        <v>3204</v>
      </c>
      <c r="R8" s="21"/>
      <c r="S8" s="21" t="s">
        <v>1019</v>
      </c>
      <c r="T8" s="7568"/>
      <c r="U8" s="7569"/>
      <c r="V8" s="21" t="s">
        <v>3204</v>
      </c>
      <c r="W8" s="21"/>
      <c r="X8" s="21" t="s">
        <v>1019</v>
      </c>
      <c r="Y8" s="1841"/>
      <c r="Z8" s="21" t="s">
        <v>3204</v>
      </c>
      <c r="AA8" s="21"/>
      <c r="AB8" s="21" t="s">
        <v>1019</v>
      </c>
      <c r="AC8" s="8076"/>
      <c r="AD8" s="21" t="s">
        <v>3204</v>
      </c>
      <c r="AE8" s="21"/>
      <c r="AF8" s="21" t="s">
        <v>1019</v>
      </c>
      <c r="AG8" s="1841"/>
      <c r="AH8" s="1840"/>
      <c r="AJ8" s="5448" t="s">
        <v>6277</v>
      </c>
    </row>
    <row r="9" spans="1:37" ht="56" x14ac:dyDescent="0.35">
      <c r="C9" s="1828"/>
      <c r="E9" s="1828"/>
      <c r="F9" s="1828"/>
      <c r="G9" s="1828"/>
      <c r="H9" s="1828"/>
      <c r="I9" s="1828"/>
      <c r="J9" s="1828"/>
      <c r="K9" s="1828"/>
      <c r="L9" s="1828"/>
      <c r="M9" s="1828"/>
      <c r="N9" s="1828"/>
      <c r="O9" s="1828"/>
      <c r="Q9" s="7570" t="s">
        <v>6278</v>
      </c>
      <c r="R9" s="1840"/>
      <c r="S9" s="7570" t="s">
        <v>6279</v>
      </c>
      <c r="T9" s="7571"/>
      <c r="U9" s="1828"/>
      <c r="V9" s="7570" t="s">
        <v>6280</v>
      </c>
      <c r="W9" s="1840"/>
      <c r="X9" s="7570" t="s">
        <v>6281</v>
      </c>
      <c r="Y9" s="1828"/>
      <c r="Z9" s="9585" t="s">
        <v>6282</v>
      </c>
      <c r="AA9" s="9586"/>
      <c r="AB9" s="9587"/>
      <c r="AC9" s="8077"/>
      <c r="AD9" s="9585" t="s">
        <v>6283</v>
      </c>
      <c r="AE9" s="9586"/>
      <c r="AF9" s="9587"/>
      <c r="AG9" s="1828"/>
    </row>
    <row r="10" spans="1:37" ht="52.5" customHeight="1" x14ac:dyDescent="0.35">
      <c r="A10" s="9216" t="s">
        <v>426</v>
      </c>
      <c r="B10" s="27"/>
      <c r="C10" s="28" t="s">
        <v>427</v>
      </c>
      <c r="D10" s="580" t="s">
        <v>428</v>
      </c>
      <c r="F10" s="582" t="s">
        <v>6284</v>
      </c>
      <c r="G10" s="1828"/>
      <c r="H10" s="582" t="s">
        <v>6285</v>
      </c>
      <c r="I10" s="1842"/>
      <c r="J10" s="582"/>
      <c r="K10" s="582"/>
      <c r="L10" s="582"/>
      <c r="M10" s="582" t="s">
        <v>6286</v>
      </c>
      <c r="N10" s="582"/>
      <c r="O10" s="582" t="s">
        <v>6287</v>
      </c>
      <c r="P10" s="1840" t="s">
        <v>1099</v>
      </c>
      <c r="Q10" s="7572" t="s">
        <v>6288</v>
      </c>
      <c r="R10" s="3375"/>
      <c r="S10" s="6937" t="s">
        <v>6289</v>
      </c>
      <c r="T10" s="7573" t="s">
        <v>6290</v>
      </c>
      <c r="U10" s="7574"/>
      <c r="V10" s="7572" t="s">
        <v>6291</v>
      </c>
      <c r="W10" s="3375"/>
      <c r="X10" s="7575" t="s">
        <v>6292</v>
      </c>
      <c r="Y10" s="7576"/>
      <c r="Z10" s="7572" t="s">
        <v>6288</v>
      </c>
      <c r="AA10" s="35"/>
      <c r="AB10" s="6937" t="s">
        <v>6293</v>
      </c>
      <c r="AC10" s="8078" t="s">
        <v>6290</v>
      </c>
      <c r="AD10" s="7572" t="s">
        <v>6291</v>
      </c>
      <c r="AE10" s="35"/>
      <c r="AF10" s="7572" t="s">
        <v>6294</v>
      </c>
      <c r="AG10" s="8079"/>
      <c r="AH10" s="1840" t="s">
        <v>1099</v>
      </c>
    </row>
    <row r="11" spans="1:37" ht="12.75" customHeight="1" x14ac:dyDescent="0.35">
      <c r="A11" s="9217"/>
      <c r="B11" s="1845" t="s">
        <v>451</v>
      </c>
      <c r="C11" s="1846"/>
      <c r="D11" s="585"/>
      <c r="E11" s="43"/>
      <c r="F11" s="1847"/>
      <c r="G11" s="1828"/>
      <c r="H11" s="5449"/>
      <c r="I11" s="5450"/>
      <c r="J11" s="5449"/>
      <c r="K11" s="5449"/>
      <c r="L11" s="5449"/>
      <c r="M11" s="5449"/>
      <c r="N11" s="5449"/>
      <c r="O11" s="5449"/>
      <c r="P11" s="1852"/>
      <c r="Q11" s="7577"/>
      <c r="R11" s="4472" t="s">
        <v>6295</v>
      </c>
      <c r="S11" s="7578"/>
      <c r="T11" s="7579"/>
      <c r="U11" s="7580"/>
      <c r="V11" s="7577"/>
      <c r="W11" s="4472" t="s">
        <v>6296</v>
      </c>
      <c r="X11" s="7581"/>
      <c r="Y11" s="7582"/>
      <c r="Z11" s="8080"/>
      <c r="AA11" s="4472" t="s">
        <v>6296</v>
      </c>
      <c r="AB11" s="8081"/>
      <c r="AC11" s="8082"/>
      <c r="AD11" s="8080"/>
      <c r="AE11" s="6668" t="s">
        <v>6297</v>
      </c>
      <c r="AF11" s="8083" t="s">
        <v>6298</v>
      </c>
      <c r="AG11" s="8084"/>
      <c r="AH11" s="1852"/>
    </row>
    <row r="12" spans="1:37" ht="15.25" customHeight="1" x14ac:dyDescent="0.35">
      <c r="A12" s="9217"/>
      <c r="B12" s="1853"/>
      <c r="C12" s="1854" t="s">
        <v>456</v>
      </c>
      <c r="D12" s="1855"/>
      <c r="F12" s="1863">
        <f>991971+100887</f>
        <v>1092858</v>
      </c>
      <c r="G12" s="1828"/>
      <c r="H12" s="1863">
        <f>1144631+63949</f>
        <v>1208580</v>
      </c>
      <c r="I12" s="1864"/>
      <c r="J12" s="5451">
        <f>H12</f>
        <v>1208580</v>
      </c>
      <c r="K12" s="5452" t="s">
        <v>6299</v>
      </c>
      <c r="L12" s="5451">
        <f>1233352+120048</f>
        <v>1353400</v>
      </c>
      <c r="M12" s="5451">
        <f>1227750+86450</f>
        <v>1314200</v>
      </c>
      <c r="N12" s="5452" t="s">
        <v>6299</v>
      </c>
      <c r="O12" s="5451">
        <f>1233352+120048</f>
        <v>1353400</v>
      </c>
      <c r="P12" s="1861" t="s">
        <v>6300</v>
      </c>
      <c r="Q12" s="7583">
        <f>1227750+86450</f>
        <v>1314200</v>
      </c>
      <c r="R12" s="7584" t="s">
        <v>6299</v>
      </c>
      <c r="S12" s="7585">
        <f>1233352+120048</f>
        <v>1353400</v>
      </c>
      <c r="T12" s="7586">
        <f>S12/Q12</f>
        <v>1.0298280322629736</v>
      </c>
      <c r="U12" s="5451"/>
      <c r="V12" s="7583">
        <f>1315706+91594</f>
        <v>1407300</v>
      </c>
      <c r="W12" s="7584" t="s">
        <v>6299</v>
      </c>
      <c r="X12" s="7587">
        <f>1334485+118815</f>
        <v>1453300</v>
      </c>
      <c r="Y12" s="5451"/>
      <c r="Z12" s="7583">
        <f>1315706+91594</f>
        <v>1407300</v>
      </c>
      <c r="AA12" s="7584" t="s">
        <v>6299</v>
      </c>
      <c r="AB12" s="7585">
        <f>1551074-AB13</f>
        <v>1544386</v>
      </c>
      <c r="AC12" s="8085">
        <f>AB12/Z12</f>
        <v>1.0974106444965537</v>
      </c>
      <c r="AD12" s="7583">
        <f>1512300-AD13</f>
        <v>1507300</v>
      </c>
      <c r="AE12" s="7584" t="s">
        <v>6299</v>
      </c>
      <c r="AF12" s="7587">
        <f>668675*12/6-AF13</f>
        <v>1336734</v>
      </c>
      <c r="AG12" s="5451"/>
      <c r="AH12" s="1861"/>
      <c r="AJ12" s="5453" t="s">
        <v>6301</v>
      </c>
      <c r="AK12" s="1828" t="s">
        <v>6302</v>
      </c>
    </row>
    <row r="13" spans="1:37" x14ac:dyDescent="0.35">
      <c r="A13" s="9217"/>
      <c r="B13" s="1853"/>
      <c r="C13" s="1862" t="s">
        <v>462</v>
      </c>
      <c r="D13" s="1855"/>
      <c r="F13" s="1863">
        <v>8519</v>
      </c>
      <c r="G13" s="1828"/>
      <c r="H13" s="1863">
        <v>3600</v>
      </c>
      <c r="I13" s="1865"/>
      <c r="J13" s="1863">
        <f>H13</f>
        <v>3600</v>
      </c>
      <c r="K13" s="1863" t="s">
        <v>2135</v>
      </c>
      <c r="L13" s="1863">
        <v>5000</v>
      </c>
      <c r="M13" s="1863">
        <v>5000</v>
      </c>
      <c r="N13" s="1863" t="s">
        <v>2135</v>
      </c>
      <c r="O13" s="1863">
        <v>5000</v>
      </c>
      <c r="P13" s="1861"/>
      <c r="Q13" s="6957">
        <f>O13</f>
        <v>5000</v>
      </c>
      <c r="R13" s="7588" t="s">
        <v>2135</v>
      </c>
      <c r="S13" s="7589">
        <v>5000</v>
      </c>
      <c r="T13" s="7586">
        <f>S13/Q13</f>
        <v>1</v>
      </c>
      <c r="U13" s="1864"/>
      <c r="V13" s="6957">
        <v>4000</v>
      </c>
      <c r="W13" s="7588" t="s">
        <v>2135</v>
      </c>
      <c r="X13" s="6952">
        <v>4000</v>
      </c>
      <c r="Y13" s="2681"/>
      <c r="Z13" s="6957">
        <v>4000</v>
      </c>
      <c r="AA13" s="7588" t="s">
        <v>2135</v>
      </c>
      <c r="AB13" s="7589">
        <v>6688</v>
      </c>
      <c r="AC13" s="8085">
        <f>AB13/Z13</f>
        <v>1.6719999999999999</v>
      </c>
      <c r="AD13" s="6957">
        <v>5000</v>
      </c>
      <c r="AE13" s="7588" t="s">
        <v>2135</v>
      </c>
      <c r="AF13" s="6952">
        <f>308*12/6</f>
        <v>616</v>
      </c>
      <c r="AG13" s="2681"/>
      <c r="AH13" s="1861"/>
      <c r="AK13" s="5448" t="s">
        <v>6303</v>
      </c>
    </row>
    <row r="14" spans="1:37" x14ac:dyDescent="0.35">
      <c r="A14" s="9217"/>
      <c r="B14" s="1866"/>
      <c r="C14" s="1867" t="s">
        <v>465</v>
      </c>
      <c r="D14" s="1855"/>
      <c r="F14" s="1868"/>
      <c r="G14" s="1828"/>
      <c r="H14" s="1868"/>
      <c r="I14" s="1865"/>
      <c r="J14" s="1868"/>
      <c r="K14" s="1868"/>
      <c r="L14" s="1868"/>
      <c r="M14" s="1868"/>
      <c r="N14" s="1868"/>
      <c r="O14" s="1868"/>
      <c r="P14" s="1861"/>
      <c r="Q14" s="6961"/>
      <c r="R14" s="7590"/>
      <c r="S14" s="7591"/>
      <c r="T14" s="7592"/>
      <c r="U14" s="1864"/>
      <c r="V14" s="6961"/>
      <c r="W14" s="7590"/>
      <c r="X14" s="6953"/>
      <c r="Y14" s="2681"/>
      <c r="Z14" s="6961"/>
      <c r="AA14" s="7590"/>
      <c r="AB14" s="7591"/>
      <c r="AC14" s="8086"/>
      <c r="AD14" s="6961"/>
      <c r="AE14" s="7590"/>
      <c r="AF14" s="6953"/>
      <c r="AG14" s="2681"/>
      <c r="AH14" s="1861"/>
    </row>
    <row r="15" spans="1:37" x14ac:dyDescent="0.35">
      <c r="A15" s="9217"/>
      <c r="B15" s="1870"/>
      <c r="C15" s="1871" t="s">
        <v>466</v>
      </c>
      <c r="D15" s="1872"/>
      <c r="F15" s="1907">
        <f>SUM(F12:F14)</f>
        <v>1101377</v>
      </c>
      <c r="G15" s="1828"/>
      <c r="H15" s="1907">
        <f>SUM(H12:H14)</f>
        <v>1212180</v>
      </c>
      <c r="I15" s="1865"/>
      <c r="J15" s="1907">
        <f>SUM(J12:J14)</f>
        <v>1212180</v>
      </c>
      <c r="K15" s="1907"/>
      <c r="L15" s="1907">
        <f>SUM(L12:L14)</f>
        <v>1358400</v>
      </c>
      <c r="M15" s="1907">
        <f>SUM(M12:M14)</f>
        <v>1319200</v>
      </c>
      <c r="N15" s="1907"/>
      <c r="O15" s="1907">
        <f>SUM(O12:O14)</f>
        <v>1358400</v>
      </c>
      <c r="P15" s="5454"/>
      <c r="Q15" s="7593">
        <f>SUM(Q12:Q14)</f>
        <v>1319200</v>
      </c>
      <c r="R15" s="7594"/>
      <c r="S15" s="7595">
        <f>SUM(S12:S14)</f>
        <v>1358400</v>
      </c>
      <c r="T15" s="7596">
        <f>S15/Q15</f>
        <v>1.0297149787750151</v>
      </c>
      <c r="U15" s="1864"/>
      <c r="V15" s="7593">
        <f>SUM(V12:V14)</f>
        <v>1411300</v>
      </c>
      <c r="W15" s="7594"/>
      <c r="X15" s="7597">
        <f>SUM(X12:X14)</f>
        <v>1457300</v>
      </c>
      <c r="Y15" s="2681"/>
      <c r="Z15" s="7593">
        <f>SUM(Z12:Z14)</f>
        <v>1411300</v>
      </c>
      <c r="AA15" s="7594"/>
      <c r="AB15" s="7595">
        <f>SUM(AB12:AB14)</f>
        <v>1551074</v>
      </c>
      <c r="AC15" s="8087">
        <f>AB15/Z15</f>
        <v>1.0990391837313116</v>
      </c>
      <c r="AD15" s="7593">
        <f>SUM(AD12:AD14)</f>
        <v>1512300</v>
      </c>
      <c r="AE15" s="7594"/>
      <c r="AF15" s="7597">
        <f>SUM(AF12:AF14)</f>
        <v>1337350</v>
      </c>
      <c r="AG15" s="2681"/>
      <c r="AH15" s="5454"/>
    </row>
    <row r="16" spans="1:37" x14ac:dyDescent="0.35">
      <c r="A16" s="9217"/>
      <c r="B16" s="100" t="s">
        <v>468</v>
      </c>
      <c r="C16" s="1874"/>
      <c r="D16" s="585"/>
      <c r="E16" s="43"/>
      <c r="F16" s="1875"/>
      <c r="G16" s="1828"/>
      <c r="H16" s="1875"/>
      <c r="I16" s="1865"/>
      <c r="J16" s="1875"/>
      <c r="K16" s="1875"/>
      <c r="L16" s="1875"/>
      <c r="M16" s="1875"/>
      <c r="N16" s="1875"/>
      <c r="O16" s="1875"/>
      <c r="P16" s="1852"/>
      <c r="Q16" s="4264"/>
      <c r="R16" s="4472" t="s">
        <v>6295</v>
      </c>
      <c r="S16" s="4360"/>
      <c r="T16" s="7598"/>
      <c r="U16" s="1865"/>
      <c r="V16" s="4264"/>
      <c r="W16" s="4472" t="s">
        <v>6296</v>
      </c>
      <c r="X16" s="4471"/>
      <c r="Y16" s="1865"/>
      <c r="Z16" s="4264"/>
      <c r="AA16" s="4472" t="s">
        <v>6296</v>
      </c>
      <c r="AB16" s="4360"/>
      <c r="AC16" s="8088"/>
      <c r="AD16" s="4264"/>
      <c r="AE16" s="4472" t="s">
        <v>6296</v>
      </c>
      <c r="AF16" s="4471"/>
      <c r="AG16" s="1865"/>
      <c r="AH16" s="1852"/>
    </row>
    <row r="17" spans="1:36" x14ac:dyDescent="0.35">
      <c r="A17" s="9217"/>
      <c r="B17" s="6082"/>
      <c r="C17" s="1876" t="s">
        <v>470</v>
      </c>
      <c r="D17" s="1855"/>
      <c r="F17" s="1904">
        <v>937951</v>
      </c>
      <c r="G17" s="1828"/>
      <c r="H17" s="1904">
        <v>1003180</v>
      </c>
      <c r="I17" s="1865"/>
      <c r="J17" s="1904">
        <f t="shared" ref="J17:J19" si="0">H17</f>
        <v>1003180</v>
      </c>
      <c r="K17" s="1904"/>
      <c r="L17" s="1904">
        <v>1104835</v>
      </c>
      <c r="M17" s="1904">
        <v>1091403</v>
      </c>
      <c r="N17" s="1904"/>
      <c r="O17" s="1904">
        <v>1104835</v>
      </c>
      <c r="P17" s="1861"/>
      <c r="Q17" s="6966">
        <f>1091403+32097-Q19</f>
        <v>1010982</v>
      </c>
      <c r="R17" s="1864"/>
      <c r="S17" s="7599">
        <f>S20-S18-S19</f>
        <v>1031517</v>
      </c>
      <c r="T17" s="7592">
        <f t="shared" ref="T17:T20" si="1">S17/Q17</f>
        <v>1.0203119343371099</v>
      </c>
      <c r="U17" s="1865"/>
      <c r="V17" s="6966">
        <f>1170200+33800-V19</f>
        <v>1079116</v>
      </c>
      <c r="W17" s="1864"/>
      <c r="X17" s="7600">
        <f>1177400+46000-X19</f>
        <v>1098516</v>
      </c>
      <c r="Y17" s="1865"/>
      <c r="Z17" s="6966">
        <f>1633300-Z18-Z19</f>
        <v>1079116</v>
      </c>
      <c r="AA17" s="1864"/>
      <c r="AB17" s="7599">
        <f>1747987-AB18-AB19</f>
        <v>1201632</v>
      </c>
      <c r="AC17" s="8086">
        <f t="shared" ref="AC17:AC20" si="2">AB17/Z17</f>
        <v>1.1135336701522358</v>
      </c>
      <c r="AD17" s="6966">
        <f>1239100+37400-AD19</f>
        <v>1158308</v>
      </c>
      <c r="AE17" s="1864"/>
      <c r="AF17" s="7600">
        <f>573502*12/6-AF19</f>
        <v>1028174</v>
      </c>
      <c r="AG17" s="1865"/>
      <c r="AH17" s="1861"/>
    </row>
    <row r="18" spans="1:36" x14ac:dyDescent="0.35">
      <c r="A18" s="9217"/>
      <c r="B18" s="6082"/>
      <c r="C18" s="1876" t="s">
        <v>474</v>
      </c>
      <c r="D18" s="1855"/>
      <c r="F18" s="1869">
        <v>268181</v>
      </c>
      <c r="G18" s="1828"/>
      <c r="H18" s="1869">
        <v>358000</v>
      </c>
      <c r="I18" s="1865"/>
      <c r="J18" s="1869">
        <f t="shared" si="0"/>
        <v>358000</v>
      </c>
      <c r="K18" s="1869"/>
      <c r="L18" s="1869">
        <v>418365</v>
      </c>
      <c r="M18" s="1869">
        <v>399700</v>
      </c>
      <c r="N18" s="1869"/>
      <c r="O18" s="1869">
        <v>418365</v>
      </c>
      <c r="P18" s="5455"/>
      <c r="Q18" s="6966">
        <v>399700</v>
      </c>
      <c r="R18" s="1864"/>
      <c r="S18" s="7599">
        <v>418365</v>
      </c>
      <c r="T18" s="7592">
        <f t="shared" si="1"/>
        <v>1.0466975231423568</v>
      </c>
      <c r="U18" s="1865"/>
      <c r="V18" s="6966">
        <f>429300</f>
        <v>429300</v>
      </c>
      <c r="W18" s="1864"/>
      <c r="X18" s="7600">
        <v>443400</v>
      </c>
      <c r="Y18" s="1865"/>
      <c r="Z18" s="6966">
        <f>429300</f>
        <v>429300</v>
      </c>
      <c r="AA18" s="1864"/>
      <c r="AB18" s="7599">
        <v>438371</v>
      </c>
      <c r="AC18" s="8086">
        <f t="shared" si="2"/>
        <v>1.0211297460982995</v>
      </c>
      <c r="AD18" s="6966">
        <v>470600</v>
      </c>
      <c r="AE18" s="1864"/>
      <c r="AF18" s="7600">
        <f>155938*12/6</f>
        <v>311876</v>
      </c>
      <c r="AG18" s="1865"/>
      <c r="AH18" s="5455"/>
    </row>
    <row r="19" spans="1:36" ht="29" x14ac:dyDescent="0.35">
      <c r="A19" s="9217"/>
      <c r="B19" s="6082"/>
      <c r="C19" s="1879" t="s">
        <v>6304</v>
      </c>
      <c r="D19" s="1855"/>
      <c r="F19" s="5456">
        <v>67068</v>
      </c>
      <c r="H19" s="1881"/>
      <c r="I19" s="1865"/>
      <c r="J19" s="5457">
        <f t="shared" si="0"/>
        <v>0</v>
      </c>
      <c r="K19" s="5457" t="s">
        <v>6295</v>
      </c>
      <c r="L19" s="5457">
        <v>153744</v>
      </c>
      <c r="M19" s="5457">
        <v>159744</v>
      </c>
      <c r="N19" s="5457" t="s">
        <v>6295</v>
      </c>
      <c r="O19" s="5457">
        <v>153744</v>
      </c>
      <c r="P19" s="5458" t="s">
        <v>6305</v>
      </c>
      <c r="Q19" s="6966">
        <v>112518</v>
      </c>
      <c r="R19" s="1110" t="s">
        <v>6306</v>
      </c>
      <c r="S19" s="7599">
        <v>112518</v>
      </c>
      <c r="T19" s="7601">
        <f t="shared" si="1"/>
        <v>1</v>
      </c>
      <c r="U19" s="7602"/>
      <c r="V19" s="6966">
        <v>124884</v>
      </c>
      <c r="W19" s="1110" t="s">
        <v>6306</v>
      </c>
      <c r="X19" s="7600">
        <v>124884</v>
      </c>
      <c r="Y19" s="7602"/>
      <c r="Z19" s="6966">
        <v>124884</v>
      </c>
      <c r="AA19" s="1110" t="s">
        <v>6307</v>
      </c>
      <c r="AB19" s="7599">
        <v>107984</v>
      </c>
      <c r="AC19" s="8089">
        <f t="shared" si="2"/>
        <v>0.86467441785977384</v>
      </c>
      <c r="AD19" s="6966">
        <v>118192</v>
      </c>
      <c r="AE19" s="1110" t="s">
        <v>6306</v>
      </c>
      <c r="AF19" s="7600">
        <f>59415*12/6</f>
        <v>118830</v>
      </c>
      <c r="AG19" s="7602"/>
      <c r="AH19" s="5458"/>
      <c r="AI19" s="1828" t="s">
        <v>1099</v>
      </c>
    </row>
    <row r="20" spans="1:36" x14ac:dyDescent="0.35">
      <c r="A20" s="9217"/>
      <c r="B20" s="128"/>
      <c r="C20" s="1882" t="s">
        <v>479</v>
      </c>
      <c r="D20" s="1872"/>
      <c r="F20" s="1907">
        <f>SUM(F17:F19)</f>
        <v>1273200</v>
      </c>
      <c r="H20" s="1907">
        <f>SUM(H17:H19)</f>
        <v>1361180</v>
      </c>
      <c r="I20" s="1865"/>
      <c r="J20" s="1907">
        <f>SUM(J17:J19)</f>
        <v>1361180</v>
      </c>
      <c r="K20" s="1907"/>
      <c r="L20" s="1907">
        <f>SUM(L17:L19)</f>
        <v>1676944</v>
      </c>
      <c r="M20" s="1907">
        <f>SUM(M17:M19)</f>
        <v>1650847</v>
      </c>
      <c r="N20" s="1907"/>
      <c r="O20" s="1907">
        <f>SUM(O17:O19)</f>
        <v>1676944</v>
      </c>
      <c r="P20" s="1873"/>
      <c r="Q20" s="7593">
        <f>SUM(Q17:Q19)</f>
        <v>1523200</v>
      </c>
      <c r="R20" s="4426"/>
      <c r="S20" s="7595">
        <v>1562400</v>
      </c>
      <c r="T20" s="7596">
        <f t="shared" si="1"/>
        <v>1.025735294117647</v>
      </c>
      <c r="U20" s="1865"/>
      <c r="V20" s="7593">
        <f>SUM(V17:V19)</f>
        <v>1633300</v>
      </c>
      <c r="W20" s="4426"/>
      <c r="X20" s="7597">
        <f>SUM(X17:X19)</f>
        <v>1666800</v>
      </c>
      <c r="Y20" s="1865"/>
      <c r="Z20" s="7593">
        <f>SUM(Z17:Z19)</f>
        <v>1633300</v>
      </c>
      <c r="AA20" s="4426"/>
      <c r="AB20" s="7595">
        <f>SUM(AB17:AB19)</f>
        <v>1747987</v>
      </c>
      <c r="AC20" s="8087">
        <f t="shared" si="2"/>
        <v>1.0702179636319109</v>
      </c>
      <c r="AD20" s="7593">
        <f>SUM(AD17:AD19)</f>
        <v>1747100</v>
      </c>
      <c r="AE20" s="4426"/>
      <c r="AF20" s="7597">
        <f>SUM(AF17:AF19)</f>
        <v>1458880</v>
      </c>
      <c r="AG20" s="1865"/>
      <c r="AH20" s="1873"/>
    </row>
    <row r="21" spans="1:36" x14ac:dyDescent="0.35">
      <c r="A21" s="9217"/>
      <c r="B21" s="100" t="s">
        <v>3229</v>
      </c>
      <c r="C21" s="1874"/>
      <c r="D21" s="585"/>
      <c r="E21" s="43"/>
      <c r="F21" s="142"/>
      <c r="G21" s="12"/>
      <c r="H21" s="142"/>
      <c r="I21" s="1884"/>
      <c r="J21" s="142"/>
      <c r="K21" s="142"/>
      <c r="L21" s="142"/>
      <c r="M21" s="142"/>
      <c r="N21" s="142"/>
      <c r="O21" s="142"/>
      <c r="P21" s="1852"/>
      <c r="Q21" s="144"/>
      <c r="R21" s="145"/>
      <c r="S21" s="145"/>
      <c r="T21" s="7603"/>
      <c r="U21" s="1884"/>
      <c r="V21" s="144"/>
      <c r="W21" s="145"/>
      <c r="X21" s="3036"/>
      <c r="Y21" s="1884"/>
      <c r="Z21" s="144"/>
      <c r="AA21" s="145"/>
      <c r="AB21" s="145"/>
      <c r="AC21" s="8090"/>
      <c r="AD21" s="144"/>
      <c r="AE21" s="145"/>
      <c r="AF21" s="3036"/>
      <c r="AG21" s="1884"/>
      <c r="AH21" s="1852"/>
    </row>
    <row r="22" spans="1:36" ht="15.25" customHeight="1" x14ac:dyDescent="0.35">
      <c r="A22" s="9217"/>
      <c r="B22" s="6082"/>
      <c r="C22" s="1876" t="s">
        <v>483</v>
      </c>
      <c r="D22" s="1855"/>
      <c r="F22" s="1863"/>
      <c r="H22" s="1863"/>
      <c r="I22" s="1865"/>
      <c r="J22" s="1863"/>
      <c r="K22" s="1863"/>
      <c r="L22" s="1863"/>
      <c r="M22" s="1863"/>
      <c r="N22" s="1863"/>
      <c r="O22" s="1863"/>
      <c r="P22" s="1861"/>
      <c r="Q22" s="6957"/>
      <c r="R22" s="7604"/>
      <c r="S22" s="7589"/>
      <c r="T22" s="7592"/>
      <c r="U22" s="1865"/>
      <c r="V22" s="6957"/>
      <c r="W22" s="7604"/>
      <c r="X22" s="6952"/>
      <c r="Y22" s="1865"/>
      <c r="Z22" s="6957"/>
      <c r="AA22" s="7604"/>
      <c r="AB22" s="7589"/>
      <c r="AC22" s="8086"/>
      <c r="AD22" s="6957"/>
      <c r="AE22" s="7604"/>
      <c r="AF22" s="6952"/>
      <c r="AG22" s="1865"/>
      <c r="AH22" s="1861"/>
      <c r="AJ22" s="1828" t="s">
        <v>1099</v>
      </c>
    </row>
    <row r="23" spans="1:36" x14ac:dyDescent="0.35">
      <c r="A23" s="9217"/>
      <c r="B23" s="6082"/>
      <c r="C23" s="1876" t="s">
        <v>489</v>
      </c>
      <c r="D23" s="1855"/>
      <c r="F23" s="1863"/>
      <c r="H23" s="1863"/>
      <c r="I23" s="1865"/>
      <c r="J23" s="1863"/>
      <c r="K23" s="1863"/>
      <c r="L23" s="1863"/>
      <c r="M23" s="1863"/>
      <c r="N23" s="1863"/>
      <c r="O23" s="1863"/>
      <c r="P23" s="1861"/>
      <c r="Q23" s="6957"/>
      <c r="R23" s="7604"/>
      <c r="S23" s="7589"/>
      <c r="T23" s="7592"/>
      <c r="U23" s="1865"/>
      <c r="V23" s="6957"/>
      <c r="W23" s="7604"/>
      <c r="X23" s="6952"/>
      <c r="Y23" s="1865"/>
      <c r="Z23" s="6957"/>
      <c r="AA23" s="7604"/>
      <c r="AB23" s="7589"/>
      <c r="AC23" s="8086"/>
      <c r="AD23" s="6957"/>
      <c r="AE23" s="7604"/>
      <c r="AF23" s="6952"/>
      <c r="AG23" s="1865"/>
      <c r="AH23" s="1861"/>
    </row>
    <row r="24" spans="1:36" x14ac:dyDescent="0.35">
      <c r="A24" s="9217"/>
      <c r="B24" s="6082"/>
      <c r="C24" s="1876" t="s">
        <v>490</v>
      </c>
      <c r="D24" s="1855"/>
      <c r="F24" s="1863"/>
      <c r="H24" s="1863"/>
      <c r="I24" s="1865"/>
      <c r="J24" s="1863"/>
      <c r="K24" s="1863"/>
      <c r="L24" s="1863"/>
      <c r="M24" s="1863"/>
      <c r="N24" s="1863"/>
      <c r="O24" s="1863"/>
      <c r="P24" s="1861"/>
      <c r="Q24" s="6957"/>
      <c r="R24" s="7604"/>
      <c r="S24" s="7589"/>
      <c r="T24" s="7592"/>
      <c r="U24" s="1865"/>
      <c r="V24" s="6957"/>
      <c r="W24" s="7604"/>
      <c r="X24" s="6952"/>
      <c r="Y24" s="1865"/>
      <c r="Z24" s="6957"/>
      <c r="AA24" s="7604"/>
      <c r="AB24" s="7589"/>
      <c r="AC24" s="8086"/>
      <c r="AD24" s="6957"/>
      <c r="AE24" s="7604"/>
      <c r="AF24" s="6952"/>
      <c r="AG24" s="1865"/>
      <c r="AH24" s="1861"/>
    </row>
    <row r="25" spans="1:36" x14ac:dyDescent="0.35">
      <c r="A25" s="9217"/>
      <c r="B25" s="6082"/>
      <c r="C25" s="1885" t="s">
        <v>497</v>
      </c>
      <c r="D25" s="1886"/>
      <c r="F25" s="1868"/>
      <c r="H25" s="1868"/>
      <c r="I25" s="1865"/>
      <c r="J25" s="1868"/>
      <c r="K25" s="1868"/>
      <c r="L25" s="1868"/>
      <c r="M25" s="1868"/>
      <c r="N25" s="1868"/>
      <c r="O25" s="1868"/>
      <c r="P25" s="1861"/>
      <c r="Q25" s="6961"/>
      <c r="R25" s="7590"/>
      <c r="S25" s="7591"/>
      <c r="T25" s="7592"/>
      <c r="U25" s="1865"/>
      <c r="V25" s="6961"/>
      <c r="W25" s="7590"/>
      <c r="X25" s="6953"/>
      <c r="Y25" s="1865"/>
      <c r="Z25" s="6961"/>
      <c r="AA25" s="7590"/>
      <c r="AB25" s="7591"/>
      <c r="AC25" s="8086"/>
      <c r="AD25" s="6961"/>
      <c r="AE25" s="7590"/>
      <c r="AF25" s="6953"/>
      <c r="AG25" s="1865"/>
      <c r="AH25" s="1861"/>
    </row>
    <row r="26" spans="1:36" x14ac:dyDescent="0.35">
      <c r="A26" s="9217"/>
      <c r="B26" s="6082"/>
      <c r="C26" s="1876" t="s">
        <v>499</v>
      </c>
      <c r="D26" s="1855"/>
      <c r="F26" s="1887">
        <f>IF(F22=0,0,(F24-F25)/F22)</f>
        <v>0</v>
      </c>
      <c r="G26" s="1888"/>
      <c r="H26" s="1887">
        <f>IF(H22=0,0,(H24-H25)/H22)</f>
        <v>0</v>
      </c>
      <c r="I26" s="1889"/>
      <c r="J26" s="1887">
        <f>IF(J22=0,0,(J24-J25)/J22)</f>
        <v>0</v>
      </c>
      <c r="K26" s="1887"/>
      <c r="L26" s="1887">
        <f>IF(L22=0,0,(L24-L25)/L22)</f>
        <v>0</v>
      </c>
      <c r="M26" s="1887">
        <f>IF(M22=0,0,(M24-M25)/M22)</f>
        <v>0</v>
      </c>
      <c r="N26" s="1887"/>
      <c r="O26" s="1887">
        <f>IF(O22=0,0,(O24-O25)/O22)</f>
        <v>0</v>
      </c>
      <c r="P26" s="1861"/>
      <c r="Q26" s="6962">
        <f>IF(Q22=0,0,(Q24-Q25)/Q22)</f>
        <v>0</v>
      </c>
      <c r="R26" s="7605"/>
      <c r="S26" s="7605">
        <f>IF(S22=0,0,(S24-S25)/S22)</f>
        <v>0</v>
      </c>
      <c r="T26" s="6705"/>
      <c r="U26" s="1890"/>
      <c r="V26" s="7606">
        <f>IF(V22=0,0,(V24-V25)/V22)</f>
        <v>0</v>
      </c>
      <c r="W26" s="7607"/>
      <c r="X26" s="7608">
        <f>IF(X22=0,0,(X24-X25)/X22)</f>
        <v>0</v>
      </c>
      <c r="Y26" s="1890"/>
      <c r="Z26" s="6962">
        <f>IF(Z22=0,0,(Z24-Z25)/Z22)</f>
        <v>0</v>
      </c>
      <c r="AA26" s="8091"/>
      <c r="AB26" s="7605">
        <f>IF(AB22=0,0,(AB24-AB25)/AB22)</f>
        <v>0</v>
      </c>
      <c r="AC26" s="4345"/>
      <c r="AD26" s="7606">
        <f>IF(AD22=0,0,(AD24-AD25)/AD22)</f>
        <v>0</v>
      </c>
      <c r="AE26" s="8092"/>
      <c r="AF26" s="7608">
        <f>IF(AF22=0,0,(AF24-AF25)/AF22)</f>
        <v>0</v>
      </c>
      <c r="AG26" s="1889"/>
      <c r="AH26" s="1861"/>
    </row>
    <row r="27" spans="1:36" x14ac:dyDescent="0.35">
      <c r="A27" s="9217"/>
      <c r="B27" s="100" t="s">
        <v>3230</v>
      </c>
      <c r="C27" s="1874"/>
      <c r="D27" s="1891"/>
      <c r="F27" s="1875"/>
      <c r="H27" s="1875"/>
      <c r="I27" s="1865"/>
      <c r="J27" s="1875"/>
      <c r="K27" s="1875"/>
      <c r="L27" s="1875"/>
      <c r="M27" s="1875"/>
      <c r="N27" s="1875"/>
      <c r="O27" s="1875"/>
      <c r="P27" s="1892"/>
      <c r="Q27" s="4264"/>
      <c r="R27" s="4360"/>
      <c r="S27" s="4360"/>
      <c r="T27" s="7598"/>
      <c r="U27" s="1865"/>
      <c r="V27" s="4264"/>
      <c r="W27" s="4360"/>
      <c r="X27" s="4471"/>
      <c r="Y27" s="1865"/>
      <c r="Z27" s="4264"/>
      <c r="AA27" s="4360"/>
      <c r="AB27" s="4360"/>
      <c r="AC27" s="8088"/>
      <c r="AD27" s="4264"/>
      <c r="AE27" s="4360"/>
      <c r="AF27" s="4471"/>
      <c r="AG27" s="1865"/>
      <c r="AH27" s="1892"/>
    </row>
    <row r="28" spans="1:36" x14ac:dyDescent="0.35">
      <c r="A28" s="9217"/>
      <c r="B28" s="6082"/>
      <c r="C28" s="1893" t="s">
        <v>11</v>
      </c>
      <c r="D28" s="1894"/>
      <c r="F28" s="1869"/>
      <c r="H28" s="1869"/>
      <c r="I28" s="1865"/>
      <c r="J28" s="1869"/>
      <c r="K28" s="1869"/>
      <c r="L28" s="1869"/>
      <c r="M28" s="1869"/>
      <c r="N28" s="1869"/>
      <c r="O28" s="1869"/>
      <c r="P28" s="1895"/>
      <c r="Q28" s="3530"/>
      <c r="R28" s="1864"/>
      <c r="S28" s="7609"/>
      <c r="T28" s="7592"/>
      <c r="U28" s="1865"/>
      <c r="V28" s="3530"/>
      <c r="W28" s="1864"/>
      <c r="X28" s="7610"/>
      <c r="Y28" s="1865"/>
      <c r="Z28" s="3530"/>
      <c r="AA28" s="1864"/>
      <c r="AB28" s="7609"/>
      <c r="AC28" s="8086"/>
      <c r="AD28" s="3530"/>
      <c r="AE28" s="1864"/>
      <c r="AF28" s="7610"/>
      <c r="AG28" s="1865"/>
      <c r="AH28" s="1895"/>
    </row>
    <row r="29" spans="1:36" x14ac:dyDescent="0.35">
      <c r="A29" s="9217"/>
      <c r="B29" s="844"/>
      <c r="C29" s="1896" t="s">
        <v>502</v>
      </c>
      <c r="D29" s="1897"/>
      <c r="F29" s="1898"/>
      <c r="H29" s="1898"/>
      <c r="I29" s="1865"/>
      <c r="J29" s="1898"/>
      <c r="K29" s="1898"/>
      <c r="L29" s="1898"/>
      <c r="M29" s="1898"/>
      <c r="N29" s="1898"/>
      <c r="O29" s="1898"/>
      <c r="P29" s="1900"/>
      <c r="Q29" s="4337"/>
      <c r="R29" s="4426"/>
      <c r="S29" s="7611"/>
      <c r="T29" s="7596"/>
      <c r="U29" s="1865"/>
      <c r="V29" s="4337"/>
      <c r="W29" s="4426"/>
      <c r="X29" s="7612"/>
      <c r="Y29" s="1865"/>
      <c r="Z29" s="4337"/>
      <c r="AA29" s="4426"/>
      <c r="AB29" s="7611"/>
      <c r="AC29" s="8087"/>
      <c r="AD29" s="4337"/>
      <c r="AE29" s="4426"/>
      <c r="AF29" s="7612"/>
      <c r="AG29" s="1865"/>
      <c r="AH29" s="1900"/>
    </row>
    <row r="30" spans="1:36" x14ac:dyDescent="0.35">
      <c r="A30" s="9217"/>
      <c r="B30" s="100" t="s">
        <v>501</v>
      </c>
      <c r="C30" s="1874"/>
      <c r="D30" s="1891"/>
      <c r="F30" s="1875"/>
      <c r="H30" s="1875"/>
      <c r="I30" s="1865"/>
      <c r="J30" s="1875"/>
      <c r="K30" s="1875"/>
      <c r="L30" s="1875"/>
      <c r="M30" s="1875"/>
      <c r="N30" s="1875"/>
      <c r="O30" s="1875"/>
      <c r="P30" s="1892"/>
      <c r="Q30" s="4264"/>
      <c r="R30" s="4360"/>
      <c r="S30" s="4360"/>
      <c r="T30" s="7598"/>
      <c r="U30" s="1865"/>
      <c r="V30" s="4264"/>
      <c r="W30" s="4360"/>
      <c r="X30" s="4471"/>
      <c r="Y30" s="1865"/>
      <c r="Z30" s="4264"/>
      <c r="AA30" s="4360"/>
      <c r="AB30" s="4360"/>
      <c r="AC30" s="8088"/>
      <c r="AD30" s="4264"/>
      <c r="AE30" s="4360"/>
      <c r="AF30" s="4471"/>
      <c r="AG30" s="1865"/>
      <c r="AH30" s="1892"/>
    </row>
    <row r="31" spans="1:36" x14ac:dyDescent="0.35">
      <c r="A31" s="9217"/>
      <c r="B31" s="6082"/>
      <c r="C31" s="1893" t="s">
        <v>11</v>
      </c>
      <c r="D31" s="1894"/>
      <c r="F31" s="1869"/>
      <c r="H31" s="1869"/>
      <c r="I31" s="1865"/>
      <c r="J31" s="1869"/>
      <c r="K31" s="1869"/>
      <c r="L31" s="1869"/>
      <c r="M31" s="1869"/>
      <c r="N31" s="1869"/>
      <c r="O31" s="1869"/>
      <c r="P31" s="1895"/>
      <c r="Q31" s="3530"/>
      <c r="R31" s="1864"/>
      <c r="S31" s="7609"/>
      <c r="T31" s="7592"/>
      <c r="U31" s="1865"/>
      <c r="V31" s="3530"/>
      <c r="W31" s="1864"/>
      <c r="X31" s="7610"/>
      <c r="Y31" s="1865"/>
      <c r="Z31" s="3530"/>
      <c r="AA31" s="1864"/>
      <c r="AB31" s="7609"/>
      <c r="AC31" s="8086"/>
      <c r="AD31" s="3530"/>
      <c r="AE31" s="1864"/>
      <c r="AF31" s="7610"/>
      <c r="AG31" s="1865"/>
      <c r="AH31" s="1895"/>
    </row>
    <row r="32" spans="1:36" x14ac:dyDescent="0.35">
      <c r="A32" s="9217"/>
      <c r="B32" s="844"/>
      <c r="C32" s="1896" t="s">
        <v>502</v>
      </c>
      <c r="D32" s="1897"/>
      <c r="F32" s="1898"/>
      <c r="H32" s="1898"/>
      <c r="I32" s="1865"/>
      <c r="J32" s="1898"/>
      <c r="K32" s="1898"/>
      <c r="L32" s="1898"/>
      <c r="M32" s="1898"/>
      <c r="N32" s="1898"/>
      <c r="O32" s="1898"/>
      <c r="P32" s="1900"/>
      <c r="Q32" s="4337"/>
      <c r="R32" s="4426"/>
      <c r="S32" s="7611"/>
      <c r="T32" s="7596"/>
      <c r="U32" s="1865"/>
      <c r="V32" s="4337"/>
      <c r="W32" s="4426"/>
      <c r="X32" s="7612"/>
      <c r="Y32" s="1865"/>
      <c r="Z32" s="4337"/>
      <c r="AA32" s="4426"/>
      <c r="AB32" s="7611"/>
      <c r="AC32" s="8087"/>
      <c r="AD32" s="4337"/>
      <c r="AE32" s="4426"/>
      <c r="AF32" s="7612"/>
      <c r="AG32" s="1865"/>
      <c r="AH32" s="1900"/>
    </row>
    <row r="33" spans="1:34" x14ac:dyDescent="0.35">
      <c r="A33" s="1901"/>
      <c r="B33" s="1901"/>
      <c r="F33" s="1864"/>
      <c r="H33" s="1902"/>
      <c r="I33" s="1864"/>
      <c r="J33" s="1902"/>
      <c r="K33" s="1902"/>
      <c r="L33" s="1902"/>
      <c r="M33" s="1902"/>
      <c r="N33" s="1902"/>
      <c r="O33" s="1902"/>
      <c r="Q33" s="1864"/>
      <c r="R33" s="1864"/>
      <c r="S33" s="1864"/>
      <c r="T33" s="7613"/>
      <c r="U33" s="1864"/>
      <c r="V33" s="1902"/>
      <c r="W33" s="1902"/>
      <c r="X33" s="1902"/>
      <c r="Y33" s="1864"/>
      <c r="Z33" s="1864"/>
      <c r="AA33" s="1864"/>
      <c r="AB33" s="1864"/>
      <c r="AC33" s="4534"/>
      <c r="AD33" s="1902"/>
      <c r="AE33" s="1902"/>
      <c r="AF33" s="1902"/>
      <c r="AG33" s="1864"/>
    </row>
    <row r="34" spans="1:34" ht="45" customHeight="1" x14ac:dyDescent="0.35">
      <c r="A34" s="9167" t="s">
        <v>503</v>
      </c>
      <c r="B34" s="27"/>
      <c r="C34" s="28" t="s">
        <v>427</v>
      </c>
      <c r="D34" s="585"/>
      <c r="F34" s="36"/>
      <c r="G34" s="223"/>
      <c r="H34" s="36"/>
      <c r="I34" s="1844"/>
      <c r="J34" s="36"/>
      <c r="K34" s="36"/>
      <c r="L34" s="36"/>
      <c r="M34" s="36"/>
      <c r="N34" s="36"/>
      <c r="O34" s="36"/>
      <c r="P34" s="1840"/>
      <c r="Q34" s="8314"/>
      <c r="R34" s="5222"/>
      <c r="S34" s="8327"/>
      <c r="T34" s="7614"/>
      <c r="U34" s="1844"/>
      <c r="V34" s="8314"/>
      <c r="W34" s="5222"/>
      <c r="X34" s="8315"/>
      <c r="Y34" s="1844"/>
      <c r="Z34" s="8327" t="s">
        <v>6308</v>
      </c>
      <c r="AA34" s="5222"/>
      <c r="AB34" s="8327" t="s">
        <v>6308</v>
      </c>
      <c r="AC34" s="8093"/>
      <c r="AD34" s="8314"/>
      <c r="AE34" s="5222"/>
      <c r="AF34" s="8315"/>
      <c r="AG34" s="1844"/>
      <c r="AH34" s="1840"/>
    </row>
    <row r="35" spans="1:34" x14ac:dyDescent="0.35">
      <c r="A35" s="9168"/>
      <c r="B35" s="43" t="s">
        <v>514</v>
      </c>
      <c r="C35" s="1828"/>
      <c r="D35" s="585"/>
      <c r="E35" s="12"/>
      <c r="F35" s="1875"/>
      <c r="G35" s="12"/>
      <c r="H35" s="1875"/>
      <c r="I35" s="1865"/>
      <c r="J35" s="1875"/>
      <c r="K35" s="1875"/>
      <c r="L35" s="1875"/>
      <c r="M35" s="1875"/>
      <c r="N35" s="1875"/>
      <c r="O35" s="1875"/>
      <c r="P35" s="1852"/>
      <c r="Q35" s="4264"/>
      <c r="R35" s="4360" t="s">
        <v>6309</v>
      </c>
      <c r="S35" s="4360"/>
      <c r="T35" s="7598"/>
      <c r="U35" s="1865"/>
      <c r="V35" s="4264"/>
      <c r="W35" s="4360" t="s">
        <v>6309</v>
      </c>
      <c r="X35" s="4471"/>
      <c r="Y35" s="1865"/>
      <c r="Z35" s="4264"/>
      <c r="AA35" s="6668" t="s">
        <v>6310</v>
      </c>
      <c r="AB35" s="4360"/>
      <c r="AC35" s="8088"/>
      <c r="AD35" s="4264"/>
      <c r="AE35" s="6668" t="s">
        <v>6310</v>
      </c>
      <c r="AF35" s="4471"/>
      <c r="AG35" s="1865"/>
      <c r="AH35" s="1852"/>
    </row>
    <row r="36" spans="1:34" ht="15.75" customHeight="1" x14ac:dyDescent="0.35">
      <c r="A36" s="9168"/>
      <c r="B36" s="1903"/>
      <c r="C36" s="1903" t="s">
        <v>532</v>
      </c>
      <c r="D36" s="1855"/>
      <c r="F36" s="1904">
        <v>195635</v>
      </c>
      <c r="H36" s="1904"/>
      <c r="I36" s="1865"/>
      <c r="J36" s="1904">
        <f>H36</f>
        <v>0</v>
      </c>
      <c r="K36" s="1904"/>
      <c r="L36" s="1904">
        <v>230974</v>
      </c>
      <c r="M36" s="1904">
        <v>229074</v>
      </c>
      <c r="N36" s="1904"/>
      <c r="O36" s="1904">
        <v>230974</v>
      </c>
      <c r="P36" s="1861" t="s">
        <v>6311</v>
      </c>
      <c r="Q36" s="6966">
        <v>229074</v>
      </c>
      <c r="R36" s="1951"/>
      <c r="S36" s="7599">
        <v>230974</v>
      </c>
      <c r="T36" s="7592">
        <f t="shared" ref="T36:T37" si="3">S36/Q36</f>
        <v>1.0082942629892524</v>
      </c>
      <c r="U36" s="1865"/>
      <c r="V36" s="6966">
        <v>244835</v>
      </c>
      <c r="W36" s="1951"/>
      <c r="X36" s="7600">
        <v>245235</v>
      </c>
      <c r="Y36" s="1865"/>
      <c r="Z36" s="6966">
        <v>244835</v>
      </c>
      <c r="AA36" s="1951"/>
      <c r="AB36" s="7599">
        <v>245235</v>
      </c>
      <c r="AC36" s="8086">
        <f t="shared" ref="AC36:AC37" si="4">AB36/Z36</f>
        <v>1.0016337533440889</v>
      </c>
      <c r="AD36" s="6966">
        <v>258750</v>
      </c>
      <c r="AE36" s="1951"/>
      <c r="AF36" s="7600">
        <f>124240*12/6</f>
        <v>248480</v>
      </c>
      <c r="AG36" s="1865"/>
      <c r="AH36" s="7615"/>
    </row>
    <row r="37" spans="1:34" x14ac:dyDescent="0.35">
      <c r="A37" s="9168"/>
      <c r="B37" s="1903"/>
      <c r="C37" s="1903" t="s">
        <v>533</v>
      </c>
      <c r="D37" s="1855"/>
      <c r="F37" s="1863"/>
      <c r="H37" s="1863"/>
      <c r="I37" s="1865"/>
      <c r="J37" s="1863"/>
      <c r="K37" s="1863"/>
      <c r="L37" s="1863"/>
      <c r="M37" s="1863"/>
      <c r="N37" s="1863"/>
      <c r="O37" s="1863"/>
      <c r="P37" s="1861"/>
      <c r="Q37" s="6958">
        <f>Q36*$AO$67/$AN$67</f>
        <v>57338.891953413178</v>
      </c>
      <c r="R37" s="7588" t="s">
        <v>6312</v>
      </c>
      <c r="S37" s="7616">
        <f>S36*$AO$67/$AN$67</f>
        <v>57814.475802787114</v>
      </c>
      <c r="T37" s="7592">
        <f t="shared" si="3"/>
        <v>1.0082942629892524</v>
      </c>
      <c r="U37" s="1865"/>
      <c r="V37" s="6958">
        <f>V36*$AO$67/$AN$67</f>
        <v>61283.985137614545</v>
      </c>
      <c r="W37" s="7588" t="s">
        <v>6312</v>
      </c>
      <c r="X37" s="7617">
        <f>X36*$AO$67/$AN$67</f>
        <v>61384.108053272219</v>
      </c>
      <c r="Y37" s="1865"/>
      <c r="Z37" s="6958">
        <f>Z36*$AN$67/$AM$67</f>
        <v>2.5656657886133588E-4</v>
      </c>
      <c r="AA37" s="7588" t="s">
        <v>6312</v>
      </c>
      <c r="AB37" s="7616">
        <f>AB36*$AN$67/$AM$67</f>
        <v>2.5698574536753201E-4</v>
      </c>
      <c r="AC37" s="8086">
        <f t="shared" si="4"/>
        <v>1.0016337533440889</v>
      </c>
      <c r="AD37" s="6958">
        <f>AD36*$AN$67/$AM$67</f>
        <v>2.7114833369563441E-4</v>
      </c>
      <c r="AE37" s="7588" t="s">
        <v>6312</v>
      </c>
      <c r="AF37" s="7617">
        <f>AF36*$AN$67/$AM$67</f>
        <v>2.6038623364904828E-4</v>
      </c>
      <c r="AG37" s="1865"/>
      <c r="AH37" s="1861"/>
    </row>
    <row r="38" spans="1:34" x14ac:dyDescent="0.35">
      <c r="A38" s="9168"/>
      <c r="B38" s="1905"/>
      <c r="C38" s="1903" t="s">
        <v>534</v>
      </c>
      <c r="D38" s="1855"/>
      <c r="F38" s="1863"/>
      <c r="H38" s="1863"/>
      <c r="I38" s="1865"/>
      <c r="J38" s="1863"/>
      <c r="K38" s="1863"/>
      <c r="L38" s="1863"/>
      <c r="M38" s="1863"/>
      <c r="N38" s="1863"/>
      <c r="O38" s="1863"/>
      <c r="P38" s="1861"/>
      <c r="Q38" s="6957"/>
      <c r="R38" s="7604"/>
      <c r="S38" s="7589"/>
      <c r="T38" s="7592"/>
      <c r="U38" s="1865"/>
      <c r="V38" s="6957"/>
      <c r="W38" s="7604"/>
      <c r="X38" s="6952"/>
      <c r="Y38" s="1865"/>
      <c r="Z38" s="6957"/>
      <c r="AA38" s="7604"/>
      <c r="AB38" s="7589"/>
      <c r="AC38" s="8086"/>
      <c r="AD38" s="6957"/>
      <c r="AE38" s="7604"/>
      <c r="AF38" s="6952"/>
      <c r="AG38" s="1865"/>
      <c r="AH38" s="1861"/>
    </row>
    <row r="39" spans="1:34" x14ac:dyDescent="0.35">
      <c r="A39" s="9168"/>
      <c r="B39" s="1905"/>
      <c r="C39" s="1903" t="s">
        <v>536</v>
      </c>
      <c r="D39" s="1855"/>
      <c r="F39" s="1868"/>
      <c r="H39" s="1868"/>
      <c r="I39" s="1865"/>
      <c r="J39" s="1868"/>
      <c r="K39" s="1868"/>
      <c r="L39" s="1868"/>
      <c r="M39" s="1868"/>
      <c r="N39" s="1868"/>
      <c r="O39" s="1868"/>
      <c r="P39" s="1861"/>
      <c r="Q39" s="6961"/>
      <c r="R39" s="7590"/>
      <c r="S39" s="7591"/>
      <c r="T39" s="7592"/>
      <c r="U39" s="1865"/>
      <c r="V39" s="6961"/>
      <c r="W39" s="7590"/>
      <c r="X39" s="6953"/>
      <c r="Y39" s="1865"/>
      <c r="Z39" s="6961"/>
      <c r="AA39" s="7590"/>
      <c r="AB39" s="7591"/>
      <c r="AC39" s="8086"/>
      <c r="AD39" s="6961"/>
      <c r="AE39" s="7590"/>
      <c r="AF39" s="6953"/>
      <c r="AG39" s="1865"/>
      <c r="AH39" s="1861"/>
    </row>
    <row r="40" spans="1:34" x14ac:dyDescent="0.35">
      <c r="A40" s="9168"/>
      <c r="B40" s="43" t="s">
        <v>2547</v>
      </c>
      <c r="C40" s="1828"/>
      <c r="D40" s="1855"/>
      <c r="E40" s="12"/>
      <c r="F40" s="1865"/>
      <c r="G40" s="12"/>
      <c r="H40" s="1865"/>
      <c r="I40" s="1865"/>
      <c r="J40" s="1865"/>
      <c r="K40" s="1865"/>
      <c r="L40" s="1865"/>
      <c r="M40" s="1865"/>
      <c r="N40" s="1865"/>
      <c r="O40" s="1865"/>
      <c r="P40" s="1861"/>
      <c r="Q40" s="4363"/>
      <c r="R40" s="1864"/>
      <c r="S40" s="1864"/>
      <c r="T40" s="7592"/>
      <c r="U40" s="1865"/>
      <c r="V40" s="4363"/>
      <c r="W40" s="1864"/>
      <c r="X40" s="2681"/>
      <c r="Y40" s="1865"/>
      <c r="Z40" s="4363"/>
      <c r="AA40" s="1864"/>
      <c r="AB40" s="1864"/>
      <c r="AC40" s="8086"/>
      <c r="AD40" s="4363"/>
      <c r="AE40" s="1864"/>
      <c r="AF40" s="2681"/>
      <c r="AG40" s="1865"/>
      <c r="AH40" s="1861"/>
    </row>
    <row r="41" spans="1:34" x14ac:dyDescent="0.35">
      <c r="A41" s="9168"/>
      <c r="B41" s="1903"/>
      <c r="C41" s="1903" t="s">
        <v>532</v>
      </c>
      <c r="D41" s="1855"/>
      <c r="F41" s="1904"/>
      <c r="H41" s="1904"/>
      <c r="I41" s="1865"/>
      <c r="J41" s="1904"/>
      <c r="K41" s="1904"/>
      <c r="L41" s="1904"/>
      <c r="M41" s="1904"/>
      <c r="N41" s="1904"/>
      <c r="O41" s="1904"/>
      <c r="P41" s="1861"/>
      <c r="Q41" s="6966"/>
      <c r="R41" s="1951"/>
      <c r="S41" s="7599"/>
      <c r="T41" s="7592"/>
      <c r="U41" s="1865"/>
      <c r="V41" s="6966"/>
      <c r="W41" s="1951"/>
      <c r="X41" s="7600"/>
      <c r="Y41" s="1865"/>
      <c r="Z41" s="6966"/>
      <c r="AA41" s="1951"/>
      <c r="AB41" s="7599"/>
      <c r="AC41" s="8086"/>
      <c r="AD41" s="6966"/>
      <c r="AE41" s="1951"/>
      <c r="AF41" s="7600"/>
      <c r="AG41" s="1865"/>
      <c r="AH41" s="1861"/>
    </row>
    <row r="42" spans="1:34" x14ac:dyDescent="0.35">
      <c r="A42" s="9168"/>
      <c r="B42" s="1903"/>
      <c r="C42" s="1903" t="s">
        <v>533</v>
      </c>
      <c r="D42" s="1855"/>
      <c r="F42" s="1863"/>
      <c r="H42" s="1863"/>
      <c r="I42" s="1865"/>
      <c r="J42" s="1863"/>
      <c r="K42" s="1863"/>
      <c r="L42" s="1863"/>
      <c r="M42" s="1863"/>
      <c r="N42" s="1863"/>
      <c r="O42" s="1863"/>
      <c r="P42" s="1861"/>
      <c r="Q42" s="6957"/>
      <c r="R42" s="7604"/>
      <c r="S42" s="7589"/>
      <c r="T42" s="7592"/>
      <c r="U42" s="1865"/>
      <c r="V42" s="6957"/>
      <c r="W42" s="7604"/>
      <c r="X42" s="6952"/>
      <c r="Y42" s="1865"/>
      <c r="Z42" s="6957"/>
      <c r="AA42" s="7604"/>
      <c r="AB42" s="7589"/>
      <c r="AC42" s="8086"/>
      <c r="AD42" s="6957"/>
      <c r="AE42" s="7604"/>
      <c r="AF42" s="6952"/>
      <c r="AG42" s="1865"/>
      <c r="AH42" s="1861"/>
    </row>
    <row r="43" spans="1:34" x14ac:dyDescent="0.35">
      <c r="A43" s="9168"/>
      <c r="B43" s="1906"/>
      <c r="C43" s="1906" t="s">
        <v>534</v>
      </c>
      <c r="D43" s="1872"/>
      <c r="F43" s="1907"/>
      <c r="H43" s="1907"/>
      <c r="I43" s="1865"/>
      <c r="J43" s="1907"/>
      <c r="K43" s="1907"/>
      <c r="L43" s="1907"/>
      <c r="M43" s="1907"/>
      <c r="N43" s="1907"/>
      <c r="O43" s="1907"/>
      <c r="P43" s="1873"/>
      <c r="Q43" s="6964"/>
      <c r="R43" s="7594"/>
      <c r="S43" s="7618"/>
      <c r="T43" s="7596"/>
      <c r="U43" s="1865"/>
      <c r="V43" s="6964"/>
      <c r="W43" s="7594"/>
      <c r="X43" s="6965"/>
      <c r="Y43" s="1865"/>
      <c r="Z43" s="6964"/>
      <c r="AA43" s="7594"/>
      <c r="AB43" s="7618"/>
      <c r="AC43" s="8087"/>
      <c r="AD43" s="6964"/>
      <c r="AE43" s="7594"/>
      <c r="AF43" s="6965"/>
      <c r="AG43" s="1865"/>
      <c r="AH43" s="1873"/>
    </row>
    <row r="44" spans="1:34" x14ac:dyDescent="0.35">
      <c r="A44" s="9168"/>
      <c r="B44" s="43" t="s">
        <v>535</v>
      </c>
      <c r="C44" s="43"/>
      <c r="D44" s="1855"/>
      <c r="E44" s="12"/>
      <c r="F44" s="1875"/>
      <c r="G44" s="12"/>
      <c r="H44" s="1875"/>
      <c r="I44" s="1865"/>
      <c r="J44" s="1875"/>
      <c r="K44" s="1875"/>
      <c r="L44" s="1875"/>
      <c r="M44" s="1875"/>
      <c r="N44" s="1875"/>
      <c r="O44" s="1875"/>
      <c r="P44" s="1861"/>
      <c r="Q44" s="4264"/>
      <c r="R44" s="4360"/>
      <c r="S44" s="4360"/>
      <c r="T44" s="7598"/>
      <c r="U44" s="1865"/>
      <c r="V44" s="4264"/>
      <c r="W44" s="4360"/>
      <c r="X44" s="4471"/>
      <c r="Y44" s="1865"/>
      <c r="Z44" s="4264"/>
      <c r="AA44" s="4360"/>
      <c r="AB44" s="4360"/>
      <c r="AC44" s="8088"/>
      <c r="AD44" s="4264"/>
      <c r="AE44" s="4360"/>
      <c r="AF44" s="4471"/>
      <c r="AG44" s="1865"/>
      <c r="AH44" s="1861"/>
    </row>
    <row r="45" spans="1:34" x14ac:dyDescent="0.35">
      <c r="A45" s="9168"/>
      <c r="B45" s="1908"/>
      <c r="C45" s="1903" t="s">
        <v>532</v>
      </c>
      <c r="D45" s="1855"/>
      <c r="F45" s="1909"/>
      <c r="H45" s="1909"/>
      <c r="I45" s="1910"/>
      <c r="J45" s="1909"/>
      <c r="K45" s="1909"/>
      <c r="L45" s="1909"/>
      <c r="M45" s="1909"/>
      <c r="N45" s="1909"/>
      <c r="O45" s="1909"/>
      <c r="P45" s="1861"/>
      <c r="Q45" s="6967"/>
      <c r="R45" s="7619"/>
      <c r="S45" s="7620"/>
      <c r="T45" s="7621"/>
      <c r="U45" s="1910"/>
      <c r="V45" s="6967"/>
      <c r="W45" s="7619"/>
      <c r="X45" s="6969"/>
      <c r="Y45" s="1910"/>
      <c r="Z45" s="6967"/>
      <c r="AA45" s="7619"/>
      <c r="AB45" s="7620"/>
      <c r="AC45" s="8094"/>
      <c r="AD45" s="6967"/>
      <c r="AE45" s="7619"/>
      <c r="AF45" s="6969"/>
      <c r="AG45" s="1910"/>
      <c r="AH45" s="1861"/>
    </row>
    <row r="46" spans="1:34" ht="15.25" customHeight="1" x14ac:dyDescent="0.35">
      <c r="A46" s="9168"/>
      <c r="B46" s="1912"/>
      <c r="C46" s="1903" t="s">
        <v>533</v>
      </c>
      <c r="D46" s="1855"/>
      <c r="F46" s="1863"/>
      <c r="H46" s="1863"/>
      <c r="I46" s="1865"/>
      <c r="J46" s="1863"/>
      <c r="K46" s="1863"/>
      <c r="L46" s="1863"/>
      <c r="M46" s="1863"/>
      <c r="N46" s="1863"/>
      <c r="O46" s="1863"/>
      <c r="P46" s="1861"/>
      <c r="Q46" s="6957"/>
      <c r="R46" s="7604"/>
      <c r="S46" s="7589"/>
      <c r="T46" s="7592"/>
      <c r="U46" s="1865"/>
      <c r="V46" s="6957"/>
      <c r="W46" s="7604"/>
      <c r="X46" s="6952"/>
      <c r="Y46" s="1865"/>
      <c r="Z46" s="6957"/>
      <c r="AA46" s="7604"/>
      <c r="AB46" s="7589"/>
      <c r="AC46" s="8086"/>
      <c r="AD46" s="6957"/>
      <c r="AE46" s="7604"/>
      <c r="AF46" s="6952"/>
      <c r="AG46" s="1865"/>
      <c r="AH46" s="1861"/>
    </row>
    <row r="47" spans="1:34" x14ac:dyDescent="0.35">
      <c r="A47" s="9168"/>
      <c r="B47" s="1903"/>
      <c r="C47" s="1903" t="s">
        <v>534</v>
      </c>
      <c r="D47" s="1855"/>
      <c r="F47" s="1863"/>
      <c r="H47" s="1863"/>
      <c r="I47" s="1865"/>
      <c r="J47" s="1863"/>
      <c r="K47" s="1863"/>
      <c r="L47" s="1863"/>
      <c r="M47" s="1863"/>
      <c r="N47" s="1863"/>
      <c r="O47" s="1863"/>
      <c r="P47" s="1861"/>
      <c r="Q47" s="6957"/>
      <c r="R47" s="7604"/>
      <c r="S47" s="7589"/>
      <c r="T47" s="7592"/>
      <c r="U47" s="1865"/>
      <c r="V47" s="6957"/>
      <c r="W47" s="7604"/>
      <c r="X47" s="6952"/>
      <c r="Y47" s="1865"/>
      <c r="Z47" s="6957"/>
      <c r="AA47" s="7604"/>
      <c r="AB47" s="7589"/>
      <c r="AC47" s="8086"/>
      <c r="AD47" s="6957"/>
      <c r="AE47" s="7604"/>
      <c r="AF47" s="6952"/>
      <c r="AG47" s="1865"/>
      <c r="AH47" s="1861"/>
    </row>
    <row r="48" spans="1:34" x14ac:dyDescent="0.35">
      <c r="A48" s="9168"/>
      <c r="B48" s="1903"/>
      <c r="C48" s="1903" t="s">
        <v>536</v>
      </c>
      <c r="D48" s="1855"/>
      <c r="F48" s="1863"/>
      <c r="H48" s="1863"/>
      <c r="I48" s="1865"/>
      <c r="J48" s="1863"/>
      <c r="K48" s="1863"/>
      <c r="L48" s="1863"/>
      <c r="M48" s="1863"/>
      <c r="N48" s="1863"/>
      <c r="O48" s="1863"/>
      <c r="P48" s="1861"/>
      <c r="Q48" s="6957"/>
      <c r="R48" s="7604"/>
      <c r="S48" s="7589"/>
      <c r="T48" s="7592"/>
      <c r="U48" s="1865"/>
      <c r="V48" s="6957"/>
      <c r="W48" s="7604"/>
      <c r="X48" s="6952"/>
      <c r="Y48" s="1865"/>
      <c r="Z48" s="6957"/>
      <c r="AA48" s="7604"/>
      <c r="AB48" s="7589"/>
      <c r="AC48" s="8086"/>
      <c r="AD48" s="6957"/>
      <c r="AE48" s="7604"/>
      <c r="AF48" s="6952"/>
      <c r="AG48" s="1865"/>
      <c r="AH48" s="1861"/>
    </row>
    <row r="49" spans="1:41" x14ac:dyDescent="0.35">
      <c r="A49" s="9168"/>
      <c r="B49" s="1903"/>
      <c r="C49" s="1903" t="s">
        <v>537</v>
      </c>
      <c r="D49" s="1855"/>
      <c r="F49" s="1863"/>
      <c r="H49" s="1863"/>
      <c r="I49" s="1865"/>
      <c r="J49" s="1863"/>
      <c r="K49" s="1863"/>
      <c r="L49" s="1863"/>
      <c r="M49" s="1863"/>
      <c r="N49" s="1863"/>
      <c r="O49" s="1863"/>
      <c r="P49" s="1861"/>
      <c r="Q49" s="6957"/>
      <c r="R49" s="7604"/>
      <c r="S49" s="7589"/>
      <c r="T49" s="7592"/>
      <c r="U49" s="1865"/>
      <c r="V49" s="6957"/>
      <c r="W49" s="7604"/>
      <c r="X49" s="6952"/>
      <c r="Y49" s="1865"/>
      <c r="Z49" s="6957"/>
      <c r="AA49" s="7604"/>
      <c r="AB49" s="7589"/>
      <c r="AC49" s="8086"/>
      <c r="AD49" s="6957"/>
      <c r="AE49" s="7604"/>
      <c r="AF49" s="6952"/>
      <c r="AG49" s="1865"/>
      <c r="AH49" s="1861"/>
    </row>
    <row r="50" spans="1:41" x14ac:dyDescent="0.35">
      <c r="A50" s="9168"/>
      <c r="B50" s="1903"/>
      <c r="C50" s="1903" t="s">
        <v>538</v>
      </c>
      <c r="D50" s="1855"/>
      <c r="F50" s="1863"/>
      <c r="H50" s="1863"/>
      <c r="I50" s="1865"/>
      <c r="J50" s="1863"/>
      <c r="K50" s="1863"/>
      <c r="L50" s="1863"/>
      <c r="M50" s="1863"/>
      <c r="N50" s="1863"/>
      <c r="O50" s="1863"/>
      <c r="P50" s="1861"/>
      <c r="Q50" s="6957"/>
      <c r="R50" s="7604"/>
      <c r="S50" s="7589"/>
      <c r="T50" s="7592"/>
      <c r="U50" s="1865"/>
      <c r="V50" s="6957"/>
      <c r="W50" s="7604"/>
      <c r="X50" s="6952"/>
      <c r="Y50" s="1865"/>
      <c r="Z50" s="6957"/>
      <c r="AA50" s="7604"/>
      <c r="AB50" s="7589"/>
      <c r="AC50" s="8086"/>
      <c r="AD50" s="6957"/>
      <c r="AE50" s="7604"/>
      <c r="AF50" s="6952"/>
      <c r="AG50" s="1865"/>
      <c r="AH50" s="1861"/>
    </row>
    <row r="51" spans="1:41" x14ac:dyDescent="0.35">
      <c r="A51" s="9168"/>
      <c r="B51" s="1903"/>
      <c r="C51" s="1903" t="s">
        <v>6313</v>
      </c>
      <c r="D51" s="1855"/>
      <c r="F51" s="1909"/>
      <c r="H51" s="1909"/>
      <c r="I51" s="1910"/>
      <c r="J51" s="1909"/>
      <c r="K51" s="1909"/>
      <c r="L51" s="1909"/>
      <c r="M51" s="1909"/>
      <c r="N51" s="1909"/>
      <c r="O51" s="1909"/>
      <c r="P51" s="1861"/>
      <c r="Q51" s="6967"/>
      <c r="R51" s="7619"/>
      <c r="S51" s="7620"/>
      <c r="T51" s="7621"/>
      <c r="U51" s="1910"/>
      <c r="V51" s="6967"/>
      <c r="W51" s="7619"/>
      <c r="X51" s="6969"/>
      <c r="Y51" s="1910"/>
      <c r="Z51" s="6967"/>
      <c r="AA51" s="7619"/>
      <c r="AB51" s="7620"/>
      <c r="AC51" s="8094"/>
      <c r="AD51" s="6967"/>
      <c r="AE51" s="7619"/>
      <c r="AF51" s="6969"/>
      <c r="AG51" s="1910"/>
      <c r="AH51" s="1861"/>
    </row>
    <row r="52" spans="1:41" x14ac:dyDescent="0.35">
      <c r="A52" s="9168"/>
      <c r="B52" s="1903"/>
      <c r="C52" s="1903"/>
      <c r="D52" s="1855"/>
      <c r="F52" s="1909"/>
      <c r="H52" s="1909"/>
      <c r="I52" s="1910"/>
      <c r="J52" s="1909"/>
      <c r="K52" s="1909"/>
      <c r="L52" s="1909"/>
      <c r="M52" s="1909"/>
      <c r="N52" s="1909"/>
      <c r="O52" s="1909"/>
      <c r="P52" s="1861"/>
      <c r="Q52" s="6967"/>
      <c r="R52" s="7619"/>
      <c r="S52" s="7620"/>
      <c r="T52" s="7621"/>
      <c r="U52" s="1910"/>
      <c r="V52" s="6967"/>
      <c r="W52" s="7619"/>
      <c r="X52" s="6969"/>
      <c r="Y52" s="1910"/>
      <c r="Z52" s="6967"/>
      <c r="AA52" s="7619"/>
      <c r="AB52" s="7620"/>
      <c r="AC52" s="8094"/>
      <c r="AD52" s="6967"/>
      <c r="AE52" s="7619"/>
      <c r="AF52" s="6969"/>
      <c r="AG52" s="1910"/>
      <c r="AH52" s="1861"/>
    </row>
    <row r="53" spans="1:41" x14ac:dyDescent="0.35">
      <c r="A53" s="9168"/>
      <c r="B53" s="1903"/>
      <c r="C53" s="1903"/>
      <c r="D53" s="1855"/>
      <c r="F53" s="1909"/>
      <c r="H53" s="1909"/>
      <c r="I53" s="1910"/>
      <c r="J53" s="1909"/>
      <c r="K53" s="1909"/>
      <c r="L53" s="1909"/>
      <c r="M53" s="1909"/>
      <c r="N53" s="1909"/>
      <c r="O53" s="1909"/>
      <c r="P53" s="1861"/>
      <c r="Q53" s="6967"/>
      <c r="R53" s="7619"/>
      <c r="S53" s="7620"/>
      <c r="T53" s="7621"/>
      <c r="U53" s="1910"/>
      <c r="V53" s="6967"/>
      <c r="W53" s="7619"/>
      <c r="X53" s="6969"/>
      <c r="Y53" s="1910"/>
      <c r="Z53" s="6967"/>
      <c r="AA53" s="7619"/>
      <c r="AB53" s="7620"/>
      <c r="AC53" s="8094"/>
      <c r="AD53" s="6967"/>
      <c r="AE53" s="7619"/>
      <c r="AF53" s="6969"/>
      <c r="AG53" s="1910"/>
      <c r="AH53" s="1861"/>
    </row>
    <row r="54" spans="1:41" x14ac:dyDescent="0.35">
      <c r="A54" s="9168"/>
      <c r="B54" s="1903"/>
      <c r="C54" s="1903"/>
      <c r="D54" s="1855"/>
      <c r="F54" s="1909"/>
      <c r="H54" s="1909"/>
      <c r="I54" s="1910"/>
      <c r="J54" s="1909"/>
      <c r="K54" s="1909"/>
      <c r="L54" s="1909"/>
      <c r="M54" s="1909"/>
      <c r="N54" s="1909"/>
      <c r="O54" s="1909"/>
      <c r="P54" s="1861"/>
      <c r="Q54" s="6967"/>
      <c r="R54" s="7619"/>
      <c r="S54" s="7620"/>
      <c r="T54" s="7621"/>
      <c r="U54" s="1910"/>
      <c r="V54" s="6967"/>
      <c r="W54" s="7619"/>
      <c r="X54" s="6969"/>
      <c r="Y54" s="1910"/>
      <c r="Z54" s="6967"/>
      <c r="AA54" s="7619"/>
      <c r="AB54" s="7620"/>
      <c r="AC54" s="8094"/>
      <c r="AD54" s="6967"/>
      <c r="AE54" s="7619"/>
      <c r="AF54" s="6969"/>
      <c r="AG54" s="1910"/>
      <c r="AH54" s="1861"/>
    </row>
    <row r="55" spans="1:41" x14ac:dyDescent="0.35">
      <c r="A55" s="9168"/>
      <c r="B55" s="1903"/>
      <c r="C55" s="1903"/>
      <c r="D55" s="1855"/>
      <c r="F55" s="1909"/>
      <c r="H55" s="1909"/>
      <c r="I55" s="1910"/>
      <c r="J55" s="1909"/>
      <c r="K55" s="1909"/>
      <c r="L55" s="1909"/>
      <c r="M55" s="1909"/>
      <c r="N55" s="1909"/>
      <c r="O55" s="1909"/>
      <c r="P55" s="1861"/>
      <c r="Q55" s="6967"/>
      <c r="R55" s="7619"/>
      <c r="S55" s="7620"/>
      <c r="T55" s="7621"/>
      <c r="U55" s="1910"/>
      <c r="V55" s="6967"/>
      <c r="W55" s="7619"/>
      <c r="X55" s="6969"/>
      <c r="Y55" s="1910"/>
      <c r="Z55" s="6967"/>
      <c r="AA55" s="7619"/>
      <c r="AB55" s="7620"/>
      <c r="AC55" s="8094"/>
      <c r="AD55" s="6967"/>
      <c r="AE55" s="7619"/>
      <c r="AF55" s="6969"/>
      <c r="AG55" s="1910"/>
      <c r="AH55" s="1861"/>
    </row>
    <row r="56" spans="1:41" x14ac:dyDescent="0.35">
      <c r="A56" s="9168"/>
      <c r="B56" s="1903"/>
      <c r="C56" s="1903"/>
      <c r="D56" s="1855"/>
      <c r="F56" s="1909"/>
      <c r="H56" s="1909"/>
      <c r="I56" s="1910"/>
      <c r="J56" s="1909"/>
      <c r="K56" s="1909"/>
      <c r="L56" s="1909"/>
      <c r="M56" s="1909"/>
      <c r="N56" s="1909"/>
      <c r="O56" s="1909"/>
      <c r="P56" s="1861"/>
      <c r="Q56" s="6967"/>
      <c r="R56" s="7619"/>
      <c r="S56" s="7620"/>
      <c r="T56" s="7621"/>
      <c r="U56" s="1910"/>
      <c r="V56" s="6967"/>
      <c r="W56" s="7619"/>
      <c r="X56" s="6969"/>
      <c r="Y56" s="1910"/>
      <c r="Z56" s="6967"/>
      <c r="AA56" s="7619"/>
      <c r="AB56" s="7620"/>
      <c r="AC56" s="8094"/>
      <c r="AD56" s="6967"/>
      <c r="AE56" s="7619"/>
      <c r="AF56" s="6969"/>
      <c r="AG56" s="1910"/>
      <c r="AH56" s="1861"/>
    </row>
    <row r="57" spans="1:41" x14ac:dyDescent="0.35">
      <c r="A57" s="9168"/>
      <c r="B57" s="1903"/>
      <c r="C57" s="1903"/>
      <c r="D57" s="1855"/>
      <c r="F57" s="1909"/>
      <c r="H57" s="1909"/>
      <c r="I57" s="1910"/>
      <c r="J57" s="1909"/>
      <c r="K57" s="1909"/>
      <c r="L57" s="1909"/>
      <c r="M57" s="1909"/>
      <c r="N57" s="1909"/>
      <c r="O57" s="1909"/>
      <c r="P57" s="1861"/>
      <c r="Q57" s="6967"/>
      <c r="R57" s="7619"/>
      <c r="S57" s="7620"/>
      <c r="T57" s="7621"/>
      <c r="U57" s="1910"/>
      <c r="V57" s="6967"/>
      <c r="W57" s="7619"/>
      <c r="X57" s="6969"/>
      <c r="Y57" s="1910"/>
      <c r="Z57" s="6967"/>
      <c r="AA57" s="7619"/>
      <c r="AB57" s="7620"/>
      <c r="AC57" s="8094"/>
      <c r="AD57" s="6967"/>
      <c r="AE57" s="7619"/>
      <c r="AF57" s="6969"/>
      <c r="AG57" s="1910"/>
      <c r="AH57" s="1861"/>
    </row>
    <row r="58" spans="1:41" x14ac:dyDescent="0.35">
      <c r="A58" s="9168"/>
      <c r="B58" s="1903"/>
      <c r="C58" s="1903"/>
      <c r="D58" s="1855"/>
      <c r="F58" s="1909"/>
      <c r="H58" s="1909"/>
      <c r="I58" s="1910"/>
      <c r="J58" s="1909"/>
      <c r="K58" s="1909"/>
      <c r="L58" s="1909"/>
      <c r="M58" s="1909"/>
      <c r="N58" s="1909"/>
      <c r="O58" s="1909"/>
      <c r="P58" s="1861"/>
      <c r="Q58" s="6967"/>
      <c r="R58" s="7619"/>
      <c r="S58" s="7620"/>
      <c r="T58" s="7621"/>
      <c r="U58" s="1910"/>
      <c r="V58" s="6967"/>
      <c r="W58" s="7619"/>
      <c r="X58" s="6969"/>
      <c r="Y58" s="1910"/>
      <c r="Z58" s="6967"/>
      <c r="AA58" s="7619"/>
      <c r="AB58" s="7620"/>
      <c r="AC58" s="8094"/>
      <c r="AD58" s="6967"/>
      <c r="AE58" s="7619"/>
      <c r="AF58" s="6969"/>
      <c r="AG58" s="1910"/>
      <c r="AH58" s="1861"/>
    </row>
    <row r="59" spans="1:41" x14ac:dyDescent="0.35">
      <c r="A59" s="9168"/>
      <c r="B59" s="1903"/>
      <c r="C59" s="1903"/>
      <c r="D59" s="1855"/>
      <c r="F59" s="1909"/>
      <c r="H59" s="1909"/>
      <c r="I59" s="1910"/>
      <c r="J59" s="1909"/>
      <c r="K59" s="1909"/>
      <c r="L59" s="1909"/>
      <c r="M59" s="1909"/>
      <c r="N59" s="1909"/>
      <c r="O59" s="1909"/>
      <c r="P59" s="1861"/>
      <c r="Q59" s="6967"/>
      <c r="R59" s="7619"/>
      <c r="S59" s="7620"/>
      <c r="T59" s="7621"/>
      <c r="U59" s="1910"/>
      <c r="V59" s="6967"/>
      <c r="W59" s="7619"/>
      <c r="X59" s="6969"/>
      <c r="Y59" s="1910"/>
      <c r="Z59" s="6967"/>
      <c r="AA59" s="7619"/>
      <c r="AB59" s="7620"/>
      <c r="AC59" s="8094"/>
      <c r="AD59" s="6967"/>
      <c r="AE59" s="7619"/>
      <c r="AF59" s="6969"/>
      <c r="AG59" s="1910"/>
      <c r="AH59" s="1861"/>
      <c r="AJ59" s="7670" t="s">
        <v>6314</v>
      </c>
    </row>
    <row r="60" spans="1:41" x14ac:dyDescent="0.35">
      <c r="A60" s="9168"/>
      <c r="B60" s="1903"/>
      <c r="C60" s="1903"/>
      <c r="D60" s="1855"/>
      <c r="F60" s="1909"/>
      <c r="H60" s="1909"/>
      <c r="I60" s="1910"/>
      <c r="J60" s="1909"/>
      <c r="K60" s="1909"/>
      <c r="L60" s="1909"/>
      <c r="M60" s="1909"/>
      <c r="N60" s="1909"/>
      <c r="O60" s="1909"/>
      <c r="P60" s="1861"/>
      <c r="Q60" s="6967"/>
      <c r="R60" s="7619"/>
      <c r="S60" s="7620"/>
      <c r="T60" s="7621"/>
      <c r="U60" s="1910"/>
      <c r="V60" s="6967"/>
      <c r="W60" s="7619"/>
      <c r="X60" s="6969"/>
      <c r="Y60" s="1910"/>
      <c r="Z60" s="6967"/>
      <c r="AA60" s="7619"/>
      <c r="AB60" s="7620"/>
      <c r="AC60" s="8094"/>
      <c r="AD60" s="6967"/>
      <c r="AE60" s="7619"/>
      <c r="AF60" s="6969"/>
      <c r="AG60" s="1910"/>
      <c r="AH60" s="1861"/>
      <c r="AJ60" s="5453" t="s">
        <v>6315</v>
      </c>
    </row>
    <row r="61" spans="1:41" x14ac:dyDescent="0.35">
      <c r="A61" s="9168"/>
      <c r="B61" s="1903"/>
      <c r="C61" s="1903"/>
      <c r="D61" s="1855"/>
      <c r="F61" s="1909"/>
      <c r="H61" s="1909"/>
      <c r="I61" s="1910"/>
      <c r="J61" s="1909"/>
      <c r="K61" s="1909"/>
      <c r="L61" s="1909"/>
      <c r="M61" s="1909"/>
      <c r="N61" s="1909"/>
      <c r="O61" s="1909"/>
      <c r="P61" s="1861"/>
      <c r="Q61" s="6967"/>
      <c r="R61" s="7619"/>
      <c r="S61" s="7620"/>
      <c r="T61" s="7621"/>
      <c r="U61" s="1910"/>
      <c r="V61" s="6967"/>
      <c r="W61" s="7619"/>
      <c r="X61" s="6969"/>
      <c r="Y61" s="1910"/>
      <c r="Z61" s="6967"/>
      <c r="AA61" s="7619"/>
      <c r="AB61" s="7620"/>
      <c r="AC61" s="8094"/>
      <c r="AD61" s="6967"/>
      <c r="AE61" s="7619"/>
      <c r="AF61" s="6969"/>
      <c r="AG61" s="1910"/>
      <c r="AH61" s="1861"/>
      <c r="AK61" s="12" t="s">
        <v>11</v>
      </c>
      <c r="AL61" s="12" t="s">
        <v>1116</v>
      </c>
      <c r="AM61" s="12" t="s">
        <v>10</v>
      </c>
      <c r="AN61" s="1828" t="s">
        <v>6316</v>
      </c>
      <c r="AO61" s="1828" t="s">
        <v>6317</v>
      </c>
    </row>
    <row r="62" spans="1:41" x14ac:dyDescent="0.35">
      <c r="A62" s="9168"/>
      <c r="B62" s="1903"/>
      <c r="C62" s="1903"/>
      <c r="D62" s="1855"/>
      <c r="F62" s="1909"/>
      <c r="H62" s="1909"/>
      <c r="I62" s="1910"/>
      <c r="J62" s="1909"/>
      <c r="K62" s="1909"/>
      <c r="L62" s="1909"/>
      <c r="M62" s="1909"/>
      <c r="N62" s="1909"/>
      <c r="O62" s="1909"/>
      <c r="P62" s="1861"/>
      <c r="Q62" s="6967"/>
      <c r="R62" s="7619"/>
      <c r="S62" s="7620"/>
      <c r="T62" s="7621"/>
      <c r="U62" s="1910"/>
      <c r="V62" s="6967"/>
      <c r="W62" s="7619"/>
      <c r="X62" s="6969"/>
      <c r="Y62" s="1910"/>
      <c r="Z62" s="6967"/>
      <c r="AA62" s="7619"/>
      <c r="AB62" s="7620"/>
      <c r="AC62" s="8094"/>
      <c r="AD62" s="6967"/>
      <c r="AE62" s="7619"/>
      <c r="AF62" s="6969"/>
      <c r="AG62" s="1910"/>
      <c r="AH62" s="1861"/>
      <c r="AJ62" s="1828">
        <v>2009</v>
      </c>
      <c r="AK62" s="1941">
        <f>AM62-AL62</f>
        <v>73878292</v>
      </c>
      <c r="AL62" s="7672">
        <v>19168694</v>
      </c>
      <c r="AM62" s="7672">
        <v>93046986</v>
      </c>
      <c r="AN62" s="1965">
        <f>AK62/AM62</f>
        <v>0.79398909277942653</v>
      </c>
      <c r="AO62" s="1965">
        <f t="shared" ref="AO62:AO67" si="5">AL62/AM62</f>
        <v>0.2060109072205735</v>
      </c>
    </row>
    <row r="63" spans="1:41" x14ac:dyDescent="0.35">
      <c r="A63" s="9168"/>
      <c r="B63" s="1903"/>
      <c r="C63" s="1903"/>
      <c r="D63" s="1855"/>
      <c r="F63" s="1909"/>
      <c r="H63" s="1909"/>
      <c r="I63" s="1910"/>
      <c r="J63" s="1909"/>
      <c r="K63" s="1909"/>
      <c r="L63" s="1909"/>
      <c r="M63" s="1909"/>
      <c r="N63" s="1909"/>
      <c r="O63" s="1909"/>
      <c r="P63" s="1861"/>
      <c r="Q63" s="6967"/>
      <c r="R63" s="7619"/>
      <c r="S63" s="7620"/>
      <c r="T63" s="7621"/>
      <c r="U63" s="1910"/>
      <c r="V63" s="6967"/>
      <c r="W63" s="7619"/>
      <c r="X63" s="6969"/>
      <c r="Y63" s="1910"/>
      <c r="Z63" s="6967"/>
      <c r="AA63" s="7619"/>
      <c r="AB63" s="7620"/>
      <c r="AC63" s="8094"/>
      <c r="AD63" s="6967"/>
      <c r="AE63" s="7619"/>
      <c r="AF63" s="6969"/>
      <c r="AG63" s="1910"/>
      <c r="AH63" s="1861"/>
      <c r="AJ63" s="1828">
        <v>2010</v>
      </c>
      <c r="AK63" s="1941">
        <f t="shared" ref="AK63:AK66" si="6">AM63-AL63</f>
        <v>91375841</v>
      </c>
      <c r="AL63" s="7672">
        <v>27127785</v>
      </c>
      <c r="AM63" s="7672">
        <v>118503626</v>
      </c>
      <c r="AN63" s="1965">
        <f t="shared" ref="AN63:AN67" si="7">AK63/AM63</f>
        <v>0.77108054904581569</v>
      </c>
      <c r="AO63" s="1965">
        <f t="shared" si="5"/>
        <v>0.22891945095418431</v>
      </c>
    </row>
    <row r="64" spans="1:41" x14ac:dyDescent="0.35">
      <c r="A64" s="9168"/>
      <c r="B64" s="1905"/>
      <c r="C64" s="1903"/>
      <c r="D64" s="1855"/>
      <c r="F64" s="1909"/>
      <c r="H64" s="1909"/>
      <c r="I64" s="1910"/>
      <c r="J64" s="1909"/>
      <c r="K64" s="1909"/>
      <c r="L64" s="1909"/>
      <c r="M64" s="1909"/>
      <c r="N64" s="1909"/>
      <c r="O64" s="1909"/>
      <c r="P64" s="1861"/>
      <c r="Q64" s="6967"/>
      <c r="R64" s="7619"/>
      <c r="S64" s="7620"/>
      <c r="T64" s="7621"/>
      <c r="U64" s="1910"/>
      <c r="V64" s="6967"/>
      <c r="W64" s="7619"/>
      <c r="X64" s="6969"/>
      <c r="Y64" s="1910"/>
      <c r="Z64" s="6967"/>
      <c r="AA64" s="7619"/>
      <c r="AB64" s="7620"/>
      <c r="AC64" s="8094"/>
      <c r="AD64" s="6967"/>
      <c r="AE64" s="7619"/>
      <c r="AF64" s="6969"/>
      <c r="AG64" s="1910"/>
      <c r="AH64" s="1861"/>
      <c r="AJ64" s="1828">
        <v>2011</v>
      </c>
      <c r="AK64" s="1941">
        <f t="shared" si="6"/>
        <v>112705433</v>
      </c>
      <c r="AL64" s="7672">
        <v>30810735</v>
      </c>
      <c r="AM64" s="7672">
        <v>143516168</v>
      </c>
      <c r="AN64" s="1965">
        <f t="shared" si="7"/>
        <v>0.78531523361186739</v>
      </c>
      <c r="AO64" s="1965">
        <f t="shared" si="5"/>
        <v>0.21468476638813266</v>
      </c>
    </row>
    <row r="65" spans="1:41" x14ac:dyDescent="0.35">
      <c r="A65" s="9168"/>
      <c r="B65" s="1905"/>
      <c r="C65" s="1903"/>
      <c r="D65" s="1855"/>
      <c r="F65" s="1909"/>
      <c r="H65" s="1909"/>
      <c r="I65" s="1910"/>
      <c r="J65" s="1909"/>
      <c r="K65" s="1909"/>
      <c r="L65" s="1909"/>
      <c r="M65" s="1909"/>
      <c r="N65" s="1909"/>
      <c r="O65" s="1909"/>
      <c r="P65" s="1861"/>
      <c r="Q65" s="6967"/>
      <c r="R65" s="7619"/>
      <c r="S65" s="7620"/>
      <c r="T65" s="7621"/>
      <c r="U65" s="1910"/>
      <c r="V65" s="6967"/>
      <c r="W65" s="7619"/>
      <c r="X65" s="6969"/>
      <c r="Y65" s="1910"/>
      <c r="Z65" s="6967"/>
      <c r="AA65" s="7619"/>
      <c r="AB65" s="7620"/>
      <c r="AC65" s="8094"/>
      <c r="AD65" s="6967"/>
      <c r="AE65" s="7619"/>
      <c r="AF65" s="6969"/>
      <c r="AG65" s="1910"/>
      <c r="AH65" s="1861"/>
      <c r="AJ65" s="1828">
        <v>2012</v>
      </c>
      <c r="AK65" s="1941">
        <f t="shared" si="6"/>
        <v>157728964</v>
      </c>
      <c r="AL65" s="7672">
        <v>34416855</v>
      </c>
      <c r="AM65" s="7672">
        <v>192145819</v>
      </c>
      <c r="AN65" s="1965">
        <f t="shared" si="7"/>
        <v>0.82088158264843636</v>
      </c>
      <c r="AO65" s="1965">
        <f t="shared" si="5"/>
        <v>0.17911841735156361</v>
      </c>
    </row>
    <row r="66" spans="1:41" x14ac:dyDescent="0.35">
      <c r="A66" s="9168"/>
      <c r="B66" s="1905"/>
      <c r="C66" s="1903"/>
      <c r="D66" s="1872"/>
      <c r="F66" s="1913"/>
      <c r="H66" s="1913"/>
      <c r="I66" s="1910"/>
      <c r="J66" s="1913"/>
      <c r="K66" s="1913"/>
      <c r="L66" s="1913"/>
      <c r="M66" s="1913"/>
      <c r="N66" s="1913"/>
      <c r="O66" s="1913"/>
      <c r="P66" s="1861"/>
      <c r="Q66" s="6970"/>
      <c r="R66" s="6971"/>
      <c r="S66" s="7622"/>
      <c r="T66" s="7621"/>
      <c r="U66" s="1910"/>
      <c r="V66" s="6970"/>
      <c r="W66" s="6971"/>
      <c r="X66" s="6972"/>
      <c r="Y66" s="1910"/>
      <c r="Z66" s="6970"/>
      <c r="AA66" s="6971"/>
      <c r="AB66" s="7622"/>
      <c r="AC66" s="8094"/>
      <c r="AD66" s="6970"/>
      <c r="AE66" s="6971"/>
      <c r="AF66" s="6972"/>
      <c r="AG66" s="1910"/>
      <c r="AH66" s="1861"/>
      <c r="AJ66" s="1828">
        <v>2013</v>
      </c>
      <c r="AK66" s="1941">
        <f t="shared" si="6"/>
        <v>174747125</v>
      </c>
      <c r="AL66" s="7672">
        <v>41272425</v>
      </c>
      <c r="AM66" s="7672">
        <v>216019550</v>
      </c>
      <c r="AN66" s="1965">
        <f t="shared" si="7"/>
        <v>0.80894125091918767</v>
      </c>
      <c r="AO66" s="1965">
        <f t="shared" si="5"/>
        <v>0.19105874908081236</v>
      </c>
    </row>
    <row r="67" spans="1:41" x14ac:dyDescent="0.35">
      <c r="A67" s="9168"/>
      <c r="B67" s="1914" t="s">
        <v>540</v>
      </c>
      <c r="C67" s="1914"/>
      <c r="D67" s="585"/>
      <c r="E67" s="43"/>
      <c r="F67" s="1915"/>
      <c r="G67" s="43"/>
      <c r="H67" s="1915"/>
      <c r="I67" s="1916"/>
      <c r="J67" s="1915"/>
      <c r="K67" s="1915"/>
      <c r="L67" s="1915"/>
      <c r="M67" s="1915"/>
      <c r="N67" s="1915"/>
      <c r="O67" s="1915"/>
      <c r="P67" s="1852"/>
      <c r="Q67" s="6973"/>
      <c r="R67" s="6974"/>
      <c r="S67" s="6974"/>
      <c r="T67" s="7621"/>
      <c r="U67" s="6976"/>
      <c r="V67" s="6973"/>
      <c r="W67" s="6974"/>
      <c r="X67" s="6975"/>
      <c r="Y67" s="6976"/>
      <c r="Z67" s="6973"/>
      <c r="AA67" s="8021"/>
      <c r="AB67" s="6974"/>
      <c r="AC67" s="8094"/>
      <c r="AD67" s="6973"/>
      <c r="AE67" s="8021"/>
      <c r="AF67" s="6975"/>
      <c r="AG67" s="1916"/>
      <c r="AH67" s="1852"/>
      <c r="AJ67" s="7671" t="s">
        <v>3637</v>
      </c>
      <c r="AK67" s="7673">
        <f>SUM(AK62:AK66)</f>
        <v>610435655</v>
      </c>
      <c r="AL67" s="7673">
        <f t="shared" ref="AL67:AM67" si="8">SUM(AL62:AL66)</f>
        <v>152796494</v>
      </c>
      <c r="AM67" s="7673">
        <f t="shared" si="8"/>
        <v>763232149</v>
      </c>
      <c r="AN67" s="7674">
        <f t="shared" si="7"/>
        <v>0.79980338328227318</v>
      </c>
      <c r="AO67" s="7674">
        <f t="shared" si="5"/>
        <v>0.20019661671772687</v>
      </c>
    </row>
    <row r="68" spans="1:41" x14ac:dyDescent="0.35">
      <c r="A68" s="9168"/>
      <c r="B68" s="1918"/>
      <c r="C68" s="1903" t="s">
        <v>532</v>
      </c>
      <c r="D68" s="1855"/>
      <c r="F68" s="1904"/>
      <c r="H68" s="1904"/>
      <c r="I68" s="1865"/>
      <c r="J68" s="1904"/>
      <c r="K68" s="1904"/>
      <c r="L68" s="1904"/>
      <c r="M68" s="1904"/>
      <c r="N68" s="1904"/>
      <c r="O68" s="1904"/>
      <c r="P68" s="1861"/>
      <c r="Q68" s="6966"/>
      <c r="R68" s="1951"/>
      <c r="S68" s="7599"/>
      <c r="T68" s="7592"/>
      <c r="U68" s="1865"/>
      <c r="V68" s="6966"/>
      <c r="W68" s="1951"/>
      <c r="X68" s="7600"/>
      <c r="Y68" s="1865"/>
      <c r="Z68" s="6966"/>
      <c r="AA68" s="1951"/>
      <c r="AB68" s="7599"/>
      <c r="AC68" s="8086"/>
      <c r="AD68" s="6966"/>
      <c r="AE68" s="1951"/>
      <c r="AF68" s="7600"/>
      <c r="AG68" s="1865"/>
      <c r="AH68" s="1861"/>
      <c r="AO68" s="1965"/>
    </row>
    <row r="69" spans="1:41" x14ac:dyDescent="0.35">
      <c r="A69" s="9168"/>
      <c r="B69" s="1918"/>
      <c r="C69" s="1903" t="s">
        <v>533</v>
      </c>
      <c r="D69" s="1855"/>
      <c r="F69" s="1863"/>
      <c r="H69" s="1863"/>
      <c r="I69" s="1865"/>
      <c r="J69" s="1863"/>
      <c r="K69" s="1863"/>
      <c r="L69" s="1863"/>
      <c r="M69" s="1863"/>
      <c r="N69" s="1863"/>
      <c r="O69" s="1863"/>
      <c r="P69" s="1861"/>
      <c r="Q69" s="6957"/>
      <c r="R69" s="7604"/>
      <c r="S69" s="7589"/>
      <c r="T69" s="7592"/>
      <c r="U69" s="1865"/>
      <c r="V69" s="6957"/>
      <c r="W69" s="7604"/>
      <c r="X69" s="6952"/>
      <c r="Y69" s="1865"/>
      <c r="Z69" s="6957"/>
      <c r="AA69" s="7604"/>
      <c r="AB69" s="7589"/>
      <c r="AC69" s="8086"/>
      <c r="AD69" s="6957"/>
      <c r="AE69" s="7604"/>
      <c r="AF69" s="6952"/>
      <c r="AG69" s="1865"/>
      <c r="AH69" s="1861"/>
    </row>
    <row r="70" spans="1:41" x14ac:dyDescent="0.35">
      <c r="A70" s="9168"/>
      <c r="B70" s="1903"/>
      <c r="C70" s="1903" t="s">
        <v>534</v>
      </c>
      <c r="D70" s="1855"/>
      <c r="F70" s="1868"/>
      <c r="H70" s="1868"/>
      <c r="I70" s="1865"/>
      <c r="J70" s="1868"/>
      <c r="K70" s="1868"/>
      <c r="L70" s="1868"/>
      <c r="M70" s="1868"/>
      <c r="N70" s="1868"/>
      <c r="O70" s="1868"/>
      <c r="P70" s="1861"/>
      <c r="Q70" s="6961"/>
      <c r="R70" s="7590"/>
      <c r="S70" s="7591"/>
      <c r="T70" s="7592"/>
      <c r="U70" s="1865"/>
      <c r="V70" s="6961"/>
      <c r="W70" s="7590"/>
      <c r="X70" s="6953"/>
      <c r="Y70" s="1865"/>
      <c r="Z70" s="6961"/>
      <c r="AA70" s="7590"/>
      <c r="AB70" s="7591"/>
      <c r="AC70" s="8086"/>
      <c r="AD70" s="6961"/>
      <c r="AE70" s="7590"/>
      <c r="AF70" s="6953"/>
      <c r="AG70" s="1865"/>
      <c r="AH70" s="1861"/>
    </row>
    <row r="71" spans="1:41" x14ac:dyDescent="0.35">
      <c r="A71" s="9168"/>
      <c r="B71" s="1903"/>
      <c r="C71" s="1903" t="s">
        <v>536</v>
      </c>
      <c r="D71" s="1855"/>
      <c r="F71" s="1868"/>
      <c r="H71" s="1868"/>
      <c r="I71" s="1865"/>
      <c r="J71" s="1868"/>
      <c r="K71" s="1868"/>
      <c r="L71" s="1868"/>
      <c r="M71" s="1868"/>
      <c r="N71" s="1868"/>
      <c r="O71" s="1868"/>
      <c r="P71" s="1861"/>
      <c r="Q71" s="6961"/>
      <c r="R71" s="7590"/>
      <c r="S71" s="7591"/>
      <c r="T71" s="7592"/>
      <c r="U71" s="1865"/>
      <c r="V71" s="6961"/>
      <c r="W71" s="7590"/>
      <c r="X71" s="6953"/>
      <c r="Y71" s="1865"/>
      <c r="Z71" s="6961"/>
      <c r="AA71" s="7590"/>
      <c r="AB71" s="7591"/>
      <c r="AC71" s="8086"/>
      <c r="AD71" s="6961"/>
      <c r="AE71" s="7590"/>
      <c r="AF71" s="6953"/>
      <c r="AG71" s="1865"/>
      <c r="AH71" s="1861"/>
    </row>
    <row r="72" spans="1:41" x14ac:dyDescent="0.35">
      <c r="A72" s="9168"/>
      <c r="B72" s="1903"/>
      <c r="C72" s="1903" t="s">
        <v>537</v>
      </c>
      <c r="D72" s="1855"/>
      <c r="F72" s="1868"/>
      <c r="H72" s="1868"/>
      <c r="I72" s="1865"/>
      <c r="J72" s="1868"/>
      <c r="K72" s="1868"/>
      <c r="L72" s="1868"/>
      <c r="M72" s="1868"/>
      <c r="N72" s="1868"/>
      <c r="O72" s="1868"/>
      <c r="P72" s="1861"/>
      <c r="Q72" s="6961"/>
      <c r="R72" s="7590"/>
      <c r="S72" s="7591"/>
      <c r="T72" s="7592"/>
      <c r="U72" s="1865"/>
      <c r="V72" s="6961"/>
      <c r="W72" s="7590"/>
      <c r="X72" s="6953"/>
      <c r="Y72" s="1865"/>
      <c r="Z72" s="6961"/>
      <c r="AA72" s="7590"/>
      <c r="AB72" s="7591"/>
      <c r="AC72" s="8086"/>
      <c r="AD72" s="6961"/>
      <c r="AE72" s="7590"/>
      <c r="AF72" s="6953"/>
      <c r="AG72" s="1865"/>
      <c r="AH72" s="1861"/>
    </row>
    <row r="73" spans="1:41" x14ac:dyDescent="0.35">
      <c r="A73" s="9168"/>
      <c r="B73" s="1903"/>
      <c r="C73" s="1903" t="s">
        <v>538</v>
      </c>
      <c r="D73" s="1855"/>
      <c r="F73" s="1868"/>
      <c r="H73" s="1868"/>
      <c r="I73" s="1865"/>
      <c r="J73" s="1868"/>
      <c r="K73" s="1868"/>
      <c r="L73" s="1868"/>
      <c r="M73" s="1868"/>
      <c r="N73" s="1868"/>
      <c r="O73" s="1868"/>
      <c r="P73" s="1861"/>
      <c r="Q73" s="6961"/>
      <c r="R73" s="7590"/>
      <c r="S73" s="7591"/>
      <c r="T73" s="7592"/>
      <c r="U73" s="1865"/>
      <c r="V73" s="6961"/>
      <c r="W73" s="7590"/>
      <c r="X73" s="6953"/>
      <c r="Y73" s="1865"/>
      <c r="Z73" s="6961"/>
      <c r="AA73" s="7590"/>
      <c r="AB73" s="7591"/>
      <c r="AC73" s="8086"/>
      <c r="AD73" s="6961"/>
      <c r="AE73" s="7590"/>
      <c r="AF73" s="6953"/>
      <c r="AG73" s="1865"/>
      <c r="AH73" s="1861"/>
    </row>
    <row r="74" spans="1:41" x14ac:dyDescent="0.35">
      <c r="A74" s="9168"/>
      <c r="B74" s="1903"/>
      <c r="C74" s="1903" t="s">
        <v>539</v>
      </c>
      <c r="D74" s="1855"/>
      <c r="F74" s="1868"/>
      <c r="H74" s="1868"/>
      <c r="I74" s="1865"/>
      <c r="J74" s="1868"/>
      <c r="K74" s="1868"/>
      <c r="L74" s="1868"/>
      <c r="M74" s="1868"/>
      <c r="N74" s="1868"/>
      <c r="O74" s="1868"/>
      <c r="P74" s="1861"/>
      <c r="Q74" s="6961"/>
      <c r="R74" s="7590"/>
      <c r="S74" s="7591"/>
      <c r="T74" s="7592"/>
      <c r="U74" s="1865"/>
      <c r="V74" s="6961"/>
      <c r="W74" s="7590"/>
      <c r="X74" s="6953"/>
      <c r="Y74" s="1865"/>
      <c r="Z74" s="6961"/>
      <c r="AA74" s="7590"/>
      <c r="AB74" s="7591"/>
      <c r="AC74" s="8086"/>
      <c r="AD74" s="6961"/>
      <c r="AE74" s="7590"/>
      <c r="AF74" s="6953"/>
      <c r="AG74" s="1865"/>
      <c r="AH74" s="1861"/>
    </row>
    <row r="75" spans="1:41" x14ac:dyDescent="0.35">
      <c r="A75" s="9168"/>
      <c r="B75" s="1906"/>
      <c r="C75" s="1903" t="s">
        <v>704</v>
      </c>
      <c r="D75" s="1872"/>
      <c r="F75" s="1907"/>
      <c r="H75" s="1907"/>
      <c r="I75" s="1865"/>
      <c r="J75" s="1907"/>
      <c r="K75" s="1907"/>
      <c r="L75" s="1907"/>
      <c r="M75" s="1907"/>
      <c r="N75" s="1907"/>
      <c r="O75" s="1907"/>
      <c r="P75" s="1873"/>
      <c r="Q75" s="6964"/>
      <c r="R75" s="7594"/>
      <c r="S75" s="7618"/>
      <c r="T75" s="7592"/>
      <c r="U75" s="1865"/>
      <c r="V75" s="6964"/>
      <c r="W75" s="7594"/>
      <c r="X75" s="6965"/>
      <c r="Y75" s="1865"/>
      <c r="Z75" s="6964"/>
      <c r="AA75" s="7594"/>
      <c r="AB75" s="7618"/>
      <c r="AC75" s="8086"/>
      <c r="AD75" s="6964"/>
      <c r="AE75" s="7594"/>
      <c r="AF75" s="6965"/>
      <c r="AG75" s="1865"/>
      <c r="AH75" s="1873"/>
    </row>
    <row r="76" spans="1:41" x14ac:dyDescent="0.35">
      <c r="A76" s="9168"/>
      <c r="B76" s="1914" t="s">
        <v>3236</v>
      </c>
      <c r="C76" s="1914"/>
      <c r="D76" s="585"/>
      <c r="E76" s="12"/>
      <c r="F76" s="1875"/>
      <c r="G76" s="12"/>
      <c r="H76" s="1875"/>
      <c r="I76" s="1865"/>
      <c r="J76" s="1875"/>
      <c r="K76" s="1875"/>
      <c r="L76" s="1875"/>
      <c r="M76" s="1875"/>
      <c r="N76" s="1875"/>
      <c r="O76" s="1875"/>
      <c r="P76" s="1852"/>
      <c r="Q76" s="4264"/>
      <c r="R76" s="4360"/>
      <c r="S76" s="4360"/>
      <c r="T76" s="7592"/>
      <c r="U76" s="1865"/>
      <c r="V76" s="4264"/>
      <c r="W76" s="4360"/>
      <c r="X76" s="4471"/>
      <c r="Y76" s="1865"/>
      <c r="Z76" s="4264"/>
      <c r="AA76" s="4360"/>
      <c r="AB76" s="4360"/>
      <c r="AC76" s="8086"/>
      <c r="AD76" s="4264"/>
      <c r="AE76" s="4360"/>
      <c r="AF76" s="4471"/>
      <c r="AG76" s="1865"/>
      <c r="AH76" s="1852"/>
    </row>
    <row r="77" spans="1:41" x14ac:dyDescent="0.35">
      <c r="A77" s="9168"/>
      <c r="B77" s="1919"/>
      <c r="C77" s="1919" t="s">
        <v>3237</v>
      </c>
      <c r="D77" s="1855"/>
      <c r="F77" s="1863"/>
      <c r="H77" s="1863"/>
      <c r="I77" s="1865"/>
      <c r="J77" s="1863"/>
      <c r="K77" s="1863"/>
      <c r="L77" s="1863"/>
      <c r="M77" s="1863"/>
      <c r="N77" s="1863"/>
      <c r="O77" s="1863"/>
      <c r="P77" s="1861"/>
      <c r="Q77" s="6957"/>
      <c r="R77" s="7604"/>
      <c r="S77" s="7589"/>
      <c r="T77" s="7592"/>
      <c r="U77" s="1865"/>
      <c r="V77" s="6957"/>
      <c r="W77" s="7604"/>
      <c r="X77" s="6952"/>
      <c r="Y77" s="1865"/>
      <c r="Z77" s="6957"/>
      <c r="AA77" s="7604"/>
      <c r="AB77" s="7589"/>
      <c r="AC77" s="8086"/>
      <c r="AD77" s="6957"/>
      <c r="AE77" s="7604"/>
      <c r="AF77" s="6952"/>
      <c r="AG77" s="1865"/>
      <c r="AH77" s="1861"/>
    </row>
    <row r="78" spans="1:41" x14ac:dyDescent="0.35">
      <c r="A78" s="9168"/>
      <c r="B78" s="1920"/>
      <c r="C78" s="1919" t="s">
        <v>2232</v>
      </c>
      <c r="D78" s="1855"/>
      <c r="F78" s="1868"/>
      <c r="H78" s="1868"/>
      <c r="I78" s="1865"/>
      <c r="J78" s="1868"/>
      <c r="K78" s="1868"/>
      <c r="L78" s="1868"/>
      <c r="M78" s="1868"/>
      <c r="N78" s="1868"/>
      <c r="O78" s="1868"/>
      <c r="P78" s="1861"/>
      <c r="Q78" s="6961"/>
      <c r="R78" s="7590"/>
      <c r="S78" s="7591"/>
      <c r="T78" s="7592"/>
      <c r="U78" s="1865"/>
      <c r="V78" s="6961"/>
      <c r="W78" s="7590"/>
      <c r="X78" s="6953"/>
      <c r="Y78" s="1865"/>
      <c r="Z78" s="6961"/>
      <c r="AA78" s="7590"/>
      <c r="AB78" s="7591"/>
      <c r="AC78" s="8086"/>
      <c r="AD78" s="6961"/>
      <c r="AE78" s="7590"/>
      <c r="AF78" s="6953"/>
      <c r="AG78" s="1865"/>
      <c r="AH78" s="1861"/>
    </row>
    <row r="79" spans="1:41" x14ac:dyDescent="0.35">
      <c r="A79" s="9168"/>
      <c r="B79" s="1921"/>
      <c r="C79" s="1921" t="s">
        <v>555</v>
      </c>
      <c r="D79" s="1872"/>
      <c r="F79" s="1922" t="e">
        <f>F76/F27</f>
        <v>#DIV/0!</v>
      </c>
      <c r="G79" s="1923"/>
      <c r="H79" s="1922" t="e">
        <f>H76/H27</f>
        <v>#DIV/0!</v>
      </c>
      <c r="I79" s="1924"/>
      <c r="J79" s="1922" t="e">
        <f>J76/J27</f>
        <v>#DIV/0!</v>
      </c>
      <c r="K79" s="1922"/>
      <c r="L79" s="1922" t="e">
        <f>L76/L27</f>
        <v>#DIV/0!</v>
      </c>
      <c r="M79" s="1922" t="e">
        <f>M76/M27</f>
        <v>#DIV/0!</v>
      </c>
      <c r="N79" s="1922"/>
      <c r="O79" s="1922" t="e">
        <f>O76/O27</f>
        <v>#DIV/0!</v>
      </c>
      <c r="P79" s="1873"/>
      <c r="Q79" s="6977" t="e">
        <f>Q76/Q27</f>
        <v>#DIV/0!</v>
      </c>
      <c r="R79" s="7623"/>
      <c r="S79" s="7623" t="e">
        <f>S76/S27</f>
        <v>#DIV/0!</v>
      </c>
      <c r="T79" s="7624"/>
      <c r="U79" s="6980"/>
      <c r="V79" s="6977" t="e">
        <f>V76/V27</f>
        <v>#DIV/0!</v>
      </c>
      <c r="W79" s="7623"/>
      <c r="X79" s="6979" t="e">
        <f>X76/X27</f>
        <v>#DIV/0!</v>
      </c>
      <c r="Y79" s="6980"/>
      <c r="Z79" s="6977" t="e">
        <f>Z76/Z27</f>
        <v>#DIV/0!</v>
      </c>
      <c r="AA79" s="8095"/>
      <c r="AB79" s="7623" t="e">
        <f>AB76/AB27</f>
        <v>#DIV/0!</v>
      </c>
      <c r="AC79" s="8096"/>
      <c r="AD79" s="6977" t="e">
        <f>AD76/AD27</f>
        <v>#DIV/0!</v>
      </c>
      <c r="AE79" s="8095"/>
      <c r="AF79" s="6979" t="e">
        <f>AF76/AF27</f>
        <v>#DIV/0!</v>
      </c>
      <c r="AG79" s="1924"/>
      <c r="AH79" s="1873"/>
    </row>
    <row r="80" spans="1:41" x14ac:dyDescent="0.35">
      <c r="A80" s="9168"/>
      <c r="B80" s="1914" t="s">
        <v>552</v>
      </c>
      <c r="C80" s="1914"/>
      <c r="D80" s="585"/>
      <c r="E80" s="12"/>
      <c r="F80" s="1875"/>
      <c r="G80" s="12"/>
      <c r="H80" s="1875"/>
      <c r="I80" s="1865"/>
      <c r="J80" s="1875"/>
      <c r="K80" s="1875"/>
      <c r="L80" s="1875"/>
      <c r="M80" s="1875"/>
      <c r="N80" s="1875"/>
      <c r="O80" s="1875"/>
      <c r="P80" s="1852"/>
      <c r="Q80" s="4264"/>
      <c r="R80" s="4360"/>
      <c r="S80" s="4360"/>
      <c r="T80" s="7598"/>
      <c r="U80" s="1865"/>
      <c r="V80" s="4264"/>
      <c r="W80" s="4360"/>
      <c r="X80" s="4471"/>
      <c r="Y80" s="1865"/>
      <c r="Z80" s="4264"/>
      <c r="AA80" s="4360"/>
      <c r="AB80" s="4360"/>
      <c r="AC80" s="8088"/>
      <c r="AD80" s="4264"/>
      <c r="AE80" s="4360"/>
      <c r="AF80" s="4471"/>
      <c r="AG80" s="1865"/>
      <c r="AH80" s="1852"/>
    </row>
    <row r="81" spans="1:34" x14ac:dyDescent="0.35">
      <c r="A81" s="9168"/>
      <c r="B81" s="1919"/>
      <c r="C81" s="1919" t="s">
        <v>3237</v>
      </c>
      <c r="D81" s="1855"/>
      <c r="F81" s="1863"/>
      <c r="H81" s="1863"/>
      <c r="I81" s="1865"/>
      <c r="J81" s="1863"/>
      <c r="K81" s="1863"/>
      <c r="L81" s="1863"/>
      <c r="M81" s="1863"/>
      <c r="N81" s="1863"/>
      <c r="O81" s="1863"/>
      <c r="P81" s="1861"/>
      <c r="Q81" s="6957"/>
      <c r="R81" s="7604"/>
      <c r="S81" s="7589"/>
      <c r="T81" s="7592"/>
      <c r="U81" s="1865"/>
      <c r="V81" s="6957"/>
      <c r="W81" s="7604"/>
      <c r="X81" s="6952"/>
      <c r="Y81" s="1865"/>
      <c r="Z81" s="6957"/>
      <c r="AA81" s="7604"/>
      <c r="AB81" s="7589"/>
      <c r="AC81" s="8086"/>
      <c r="AD81" s="6957"/>
      <c r="AE81" s="7604"/>
      <c r="AF81" s="6952"/>
      <c r="AG81" s="1865"/>
      <c r="AH81" s="1861"/>
    </row>
    <row r="82" spans="1:34" x14ac:dyDescent="0.35">
      <c r="A82" s="9168"/>
      <c r="B82" s="1920"/>
      <c r="C82" s="1919" t="s">
        <v>2232</v>
      </c>
      <c r="D82" s="1855"/>
      <c r="F82" s="1868"/>
      <c r="H82" s="1868"/>
      <c r="I82" s="1865"/>
      <c r="J82" s="1868"/>
      <c r="K82" s="1868"/>
      <c r="L82" s="1868"/>
      <c r="M82" s="1868"/>
      <c r="N82" s="1868"/>
      <c r="O82" s="1868"/>
      <c r="P82" s="1861"/>
      <c r="Q82" s="6961"/>
      <c r="R82" s="7590"/>
      <c r="S82" s="7591"/>
      <c r="T82" s="7592"/>
      <c r="U82" s="1865"/>
      <c r="V82" s="6961"/>
      <c r="W82" s="7590"/>
      <c r="X82" s="6953"/>
      <c r="Y82" s="1865"/>
      <c r="Z82" s="6961"/>
      <c r="AA82" s="7590"/>
      <c r="AB82" s="7591"/>
      <c r="AC82" s="8086"/>
      <c r="AD82" s="6961"/>
      <c r="AE82" s="7590"/>
      <c r="AF82" s="6953"/>
      <c r="AG82" s="1865"/>
      <c r="AH82" s="1861"/>
    </row>
    <row r="83" spans="1:34" x14ac:dyDescent="0.35">
      <c r="A83" s="9168"/>
      <c r="B83" s="1921"/>
      <c r="C83" s="1921" t="s">
        <v>555</v>
      </c>
      <c r="D83" s="1872"/>
      <c r="F83" s="1922" t="e">
        <f>F80/F30</f>
        <v>#DIV/0!</v>
      </c>
      <c r="G83" s="1923"/>
      <c r="H83" s="1922" t="e">
        <f>H80/H30</f>
        <v>#DIV/0!</v>
      </c>
      <c r="I83" s="1924"/>
      <c r="J83" s="1922" t="e">
        <f>J80/J30</f>
        <v>#DIV/0!</v>
      </c>
      <c r="K83" s="1922"/>
      <c r="L83" s="1922" t="e">
        <f>L80/L30</f>
        <v>#DIV/0!</v>
      </c>
      <c r="M83" s="1922" t="e">
        <f>M80/M30</f>
        <v>#DIV/0!</v>
      </c>
      <c r="N83" s="1922"/>
      <c r="O83" s="1922" t="e">
        <f>O80/O30</f>
        <v>#DIV/0!</v>
      </c>
      <c r="P83" s="1873"/>
      <c r="Q83" s="6977" t="e">
        <f>Q80/Q30</f>
        <v>#DIV/0!</v>
      </c>
      <c r="R83" s="7623"/>
      <c r="S83" s="7623" t="e">
        <f>S80/S30</f>
        <v>#DIV/0!</v>
      </c>
      <c r="T83" s="7624"/>
      <c r="U83" s="6980"/>
      <c r="V83" s="6977" t="e">
        <f>V80/V30</f>
        <v>#DIV/0!</v>
      </c>
      <c r="W83" s="7623"/>
      <c r="X83" s="6979" t="e">
        <f>X80/X30</f>
        <v>#DIV/0!</v>
      </c>
      <c r="Y83" s="6980"/>
      <c r="Z83" s="6977" t="e">
        <f>Z80/Z30</f>
        <v>#DIV/0!</v>
      </c>
      <c r="AA83" s="8095"/>
      <c r="AB83" s="7623" t="e">
        <f>AB80/AB30</f>
        <v>#DIV/0!</v>
      </c>
      <c r="AC83" s="8096"/>
      <c r="AD83" s="6977" t="e">
        <f>AD80/AD30</f>
        <v>#DIV/0!</v>
      </c>
      <c r="AE83" s="8095"/>
      <c r="AF83" s="6979" t="e">
        <f>AF80/AF30</f>
        <v>#DIV/0!</v>
      </c>
      <c r="AG83" s="1924"/>
      <c r="AH83" s="1873"/>
    </row>
    <row r="84" spans="1:34" ht="15.25" customHeight="1" x14ac:dyDescent="0.35">
      <c r="A84" s="9168"/>
      <c r="B84" s="100" t="s">
        <v>556</v>
      </c>
      <c r="C84" s="1927"/>
      <c r="D84" s="585"/>
      <c r="E84" s="12"/>
      <c r="F84" s="1928"/>
      <c r="G84" s="1929"/>
      <c r="H84" s="1928"/>
      <c r="I84" s="1865"/>
      <c r="J84" s="1928"/>
      <c r="K84" s="1928"/>
      <c r="L84" s="1928"/>
      <c r="M84" s="1928"/>
      <c r="N84" s="1928"/>
      <c r="O84" s="1928"/>
      <c r="P84" s="1852"/>
      <c r="Q84" s="6981"/>
      <c r="R84" s="7625"/>
      <c r="S84" s="7626"/>
      <c r="T84" s="7598"/>
      <c r="U84" s="1865"/>
      <c r="V84" s="6981"/>
      <c r="W84" s="7625"/>
      <c r="X84" s="6982"/>
      <c r="Y84" s="1865"/>
      <c r="Z84" s="6981"/>
      <c r="AA84" s="7625"/>
      <c r="AB84" s="7626"/>
      <c r="AC84" s="8088"/>
      <c r="AD84" s="6981"/>
      <c r="AE84" s="7625"/>
      <c r="AF84" s="6982"/>
      <c r="AG84" s="1865"/>
      <c r="AH84" s="1852"/>
    </row>
    <row r="85" spans="1:34" x14ac:dyDescent="0.35">
      <c r="A85" s="9168"/>
      <c r="B85" s="1931"/>
      <c r="C85" s="1932" t="s">
        <v>532</v>
      </c>
      <c r="D85" s="1855"/>
      <c r="F85" s="1933"/>
      <c r="G85" s="1919"/>
      <c r="H85" s="1933"/>
      <c r="I85" s="1934"/>
      <c r="J85" s="1933"/>
      <c r="K85" s="1933"/>
      <c r="L85" s="1933"/>
      <c r="M85" s="1933"/>
      <c r="N85" s="1933"/>
      <c r="O85" s="1933"/>
      <c r="P85" s="1861"/>
      <c r="Q85" s="6983"/>
      <c r="R85" s="7627"/>
      <c r="S85" s="7628"/>
      <c r="T85" s="7629"/>
      <c r="U85" s="1934"/>
      <c r="V85" s="6983"/>
      <c r="W85" s="7627"/>
      <c r="X85" s="6985"/>
      <c r="Y85" s="1934"/>
      <c r="Z85" s="6983"/>
      <c r="AA85" s="7627"/>
      <c r="AB85" s="7628"/>
      <c r="AC85" s="8097"/>
      <c r="AD85" s="6983"/>
      <c r="AE85" s="7627"/>
      <c r="AF85" s="6985"/>
      <c r="AG85" s="1934"/>
      <c r="AH85" s="1861"/>
    </row>
    <row r="86" spans="1:34" x14ac:dyDescent="0.35">
      <c r="A86" s="9168"/>
      <c r="B86" s="1931"/>
      <c r="C86" s="1932" t="s">
        <v>533</v>
      </c>
      <c r="D86" s="1855"/>
      <c r="F86" s="1863"/>
      <c r="G86" s="1919"/>
      <c r="H86" s="1863"/>
      <c r="I86" s="1865"/>
      <c r="J86" s="1863"/>
      <c r="K86" s="1863"/>
      <c r="L86" s="1863"/>
      <c r="M86" s="1863"/>
      <c r="N86" s="1863"/>
      <c r="O86" s="1863"/>
      <c r="P86" s="1861"/>
      <c r="Q86" s="6957"/>
      <c r="R86" s="7604"/>
      <c r="S86" s="7589"/>
      <c r="T86" s="7592"/>
      <c r="U86" s="1865"/>
      <c r="V86" s="6957"/>
      <c r="W86" s="7604"/>
      <c r="X86" s="6952"/>
      <c r="Y86" s="1865"/>
      <c r="Z86" s="6957"/>
      <c r="AA86" s="7604"/>
      <c r="AB86" s="7589"/>
      <c r="AC86" s="8086"/>
      <c r="AD86" s="6957"/>
      <c r="AE86" s="7604"/>
      <c r="AF86" s="6952"/>
      <c r="AG86" s="1865"/>
      <c r="AH86" s="1861"/>
    </row>
    <row r="87" spans="1:34" x14ac:dyDescent="0.35">
      <c r="A87" s="9168"/>
      <c r="B87" s="1936"/>
      <c r="C87" s="1932" t="s">
        <v>534</v>
      </c>
      <c r="D87" s="1855"/>
      <c r="F87" s="1863"/>
      <c r="G87" s="1919"/>
      <c r="H87" s="1863"/>
      <c r="I87" s="1865"/>
      <c r="J87" s="1863"/>
      <c r="K87" s="1863"/>
      <c r="L87" s="1863"/>
      <c r="M87" s="1863"/>
      <c r="N87" s="1863"/>
      <c r="O87" s="1863"/>
      <c r="P87" s="1861"/>
      <c r="Q87" s="6957"/>
      <c r="R87" s="7604"/>
      <c r="S87" s="7589"/>
      <c r="T87" s="7592"/>
      <c r="U87" s="1865"/>
      <c r="V87" s="6957"/>
      <c r="W87" s="7604"/>
      <c r="X87" s="6952"/>
      <c r="Y87" s="1865"/>
      <c r="Z87" s="6957"/>
      <c r="AA87" s="7604"/>
      <c r="AB87" s="7589"/>
      <c r="AC87" s="8086"/>
      <c r="AD87" s="6957"/>
      <c r="AE87" s="7604"/>
      <c r="AF87" s="6952"/>
      <c r="AG87" s="1865"/>
      <c r="AH87" s="1861"/>
    </row>
    <row r="88" spans="1:34" x14ac:dyDescent="0.35">
      <c r="A88" s="9169"/>
      <c r="B88" s="1937"/>
      <c r="C88" s="1938" t="s">
        <v>536</v>
      </c>
      <c r="D88" s="1872"/>
      <c r="F88" s="1907"/>
      <c r="G88" s="1920"/>
      <c r="H88" s="1907"/>
      <c r="I88" s="1865"/>
      <c r="J88" s="1907"/>
      <c r="K88" s="1907"/>
      <c r="L88" s="1907"/>
      <c r="M88" s="1907"/>
      <c r="N88" s="1907"/>
      <c r="O88" s="1907"/>
      <c r="P88" s="1873"/>
      <c r="Q88" s="6964"/>
      <c r="R88" s="7594"/>
      <c r="S88" s="7618"/>
      <c r="T88" s="7596"/>
      <c r="U88" s="1865"/>
      <c r="V88" s="6964"/>
      <c r="W88" s="7594"/>
      <c r="X88" s="6965"/>
      <c r="Y88" s="1865"/>
      <c r="Z88" s="6964"/>
      <c r="AA88" s="7594"/>
      <c r="AB88" s="7618"/>
      <c r="AC88" s="8087"/>
      <c r="AD88" s="6964"/>
      <c r="AE88" s="7594"/>
      <c r="AF88" s="6965"/>
      <c r="AG88" s="1865"/>
      <c r="AH88" s="1873"/>
    </row>
    <row r="89" spans="1:34" x14ac:dyDescent="0.35">
      <c r="A89" s="310"/>
      <c r="B89" s="310"/>
      <c r="F89" s="1864"/>
      <c r="H89" s="1902"/>
      <c r="I89" s="1864"/>
      <c r="J89" s="1902"/>
      <c r="K89" s="1902"/>
      <c r="L89" s="1902"/>
      <c r="M89" s="1902"/>
      <c r="N89" s="1902"/>
      <c r="O89" s="1902"/>
      <c r="Q89" s="1864"/>
      <c r="R89" s="1864"/>
      <c r="S89" s="1864"/>
      <c r="T89" s="7613"/>
      <c r="U89" s="1864"/>
      <c r="V89" s="1902"/>
      <c r="W89" s="1902"/>
      <c r="X89" s="1902"/>
      <c r="Y89" s="1864"/>
      <c r="Z89" s="1864"/>
      <c r="AA89" s="1864"/>
      <c r="AB89" s="1864"/>
      <c r="AC89" s="4534"/>
      <c r="AD89" s="1902"/>
      <c r="AE89" s="1902"/>
      <c r="AF89" s="1902"/>
      <c r="AG89" s="1864"/>
    </row>
    <row r="90" spans="1:34" x14ac:dyDescent="0.35">
      <c r="A90" s="9167" t="s">
        <v>566</v>
      </c>
      <c r="B90" s="100" t="s">
        <v>567</v>
      </c>
      <c r="C90" s="1831"/>
      <c r="D90" s="1832"/>
      <c r="E90" s="43"/>
      <c r="F90" s="1875"/>
      <c r="G90" s="43"/>
      <c r="H90" s="1875"/>
      <c r="I90" s="1865"/>
      <c r="J90" s="1875"/>
      <c r="K90" s="1875"/>
      <c r="L90" s="1875"/>
      <c r="M90" s="1875"/>
      <c r="N90" s="1875"/>
      <c r="O90" s="1875"/>
      <c r="P90" s="1852"/>
      <c r="Q90" s="4264"/>
      <c r="R90" s="4360"/>
      <c r="S90" s="4360"/>
      <c r="T90" s="7598"/>
      <c r="U90" s="1865"/>
      <c r="V90" s="4264"/>
      <c r="W90" s="4360"/>
      <c r="X90" s="4471"/>
      <c r="Y90" s="1865"/>
      <c r="Z90" s="4264"/>
      <c r="AA90" s="4360"/>
      <c r="AB90" s="4360"/>
      <c r="AC90" s="8088"/>
      <c r="AD90" s="4264"/>
      <c r="AE90" s="4360"/>
      <c r="AF90" s="4471"/>
      <c r="AG90" s="1865"/>
      <c r="AH90" s="1852"/>
    </row>
    <row r="91" spans="1:34" x14ac:dyDescent="0.35">
      <c r="A91" s="9168"/>
      <c r="B91" s="6082"/>
      <c r="C91" s="1828"/>
      <c r="D91" s="33" t="s">
        <v>568</v>
      </c>
      <c r="F91" s="1939">
        <f>SUM(F36:F39)-SUM(F41:F43)</f>
        <v>195635</v>
      </c>
      <c r="G91" s="1940"/>
      <c r="H91" s="1939">
        <f>SUM(H36:H39)-SUM(H41:H43)</f>
        <v>0</v>
      </c>
      <c r="I91" s="1939"/>
      <c r="J91" s="1939">
        <f>SUM(J36:J39)-SUM(J41:J43)</f>
        <v>0</v>
      </c>
      <c r="K91" s="1939"/>
      <c r="L91" s="1939">
        <f>SUM(L36:L39)-SUM(L41:L43)</f>
        <v>230974</v>
      </c>
      <c r="M91" s="1939">
        <f>SUM(M36:M39)-SUM(M41:M43)</f>
        <v>229074</v>
      </c>
      <c r="N91" s="1939"/>
      <c r="O91" s="1939">
        <f>SUM(O36:O39)-SUM(O41:O43)</f>
        <v>230974</v>
      </c>
      <c r="P91" s="1861"/>
      <c r="Q91" s="4474">
        <f>SUM(Q36:Q39)-SUM(Q41:Q43)</f>
        <v>286412.8919534132</v>
      </c>
      <c r="R91" s="1940"/>
      <c r="S91" s="1940">
        <f>SUM(S36:S39)-SUM(S41:S43)</f>
        <v>288788.47580278711</v>
      </c>
      <c r="T91" s="7630"/>
      <c r="U91" s="1939"/>
      <c r="V91" s="4474">
        <f>SUM(V36:V39)-SUM(V41:V43)</f>
        <v>306118.98513761454</v>
      </c>
      <c r="W91" s="1940"/>
      <c r="X91" s="6986">
        <f>SUM(X36:X39)-SUM(X41:X43)</f>
        <v>306619.10805327224</v>
      </c>
      <c r="Y91" s="1939"/>
      <c r="Z91" s="4474">
        <f>SUM(Z36:Z39)-SUM(Z41:Z43)</f>
        <v>244835.00025656659</v>
      </c>
      <c r="AA91" s="1940"/>
      <c r="AB91" s="1940">
        <f>SUM(AB36:AB39)-SUM(AB41:AB43)</f>
        <v>245235.00025698575</v>
      </c>
      <c r="AC91" s="8098"/>
      <c r="AD91" s="4474">
        <f>SUM(AD36:AD39)-SUM(AD41:AD43)</f>
        <v>258750.00027114834</v>
      </c>
      <c r="AE91" s="1940"/>
      <c r="AF91" s="6986">
        <f>SUM(AF36:AF39)-SUM(AF41:AF43)</f>
        <v>248480.00026038624</v>
      </c>
      <c r="AG91" s="1939"/>
      <c r="AH91" s="1861"/>
    </row>
    <row r="92" spans="1:34" x14ac:dyDescent="0.35">
      <c r="A92" s="9168"/>
      <c r="B92" s="6082"/>
      <c r="C92" s="1828"/>
      <c r="D92" s="33" t="s">
        <v>569</v>
      </c>
      <c r="F92" s="1939">
        <f>SUM(F45:F66)</f>
        <v>0</v>
      </c>
      <c r="G92" s="1940"/>
      <c r="H92" s="1939">
        <f>SUM(H45:H66)</f>
        <v>0</v>
      </c>
      <c r="I92" s="1939"/>
      <c r="J92" s="1939">
        <f>SUM(J45:J66)</f>
        <v>0</v>
      </c>
      <c r="K92" s="1939"/>
      <c r="L92" s="1939">
        <f>SUM(L45:L66)</f>
        <v>0</v>
      </c>
      <c r="M92" s="1939">
        <f>SUM(M45:M66)</f>
        <v>0</v>
      </c>
      <c r="N92" s="1939"/>
      <c r="O92" s="1939">
        <f>SUM(O45:O66)</f>
        <v>0</v>
      </c>
      <c r="P92" s="1861"/>
      <c r="Q92" s="4474">
        <f>SUM(Q45:Q66)</f>
        <v>0</v>
      </c>
      <c r="R92" s="1940"/>
      <c r="S92" s="1940">
        <f>SUM(S45:S66)</f>
        <v>0</v>
      </c>
      <c r="T92" s="7630"/>
      <c r="U92" s="1939"/>
      <c r="V92" s="4474">
        <f>SUM(V45:V66)</f>
        <v>0</v>
      </c>
      <c r="W92" s="1940"/>
      <c r="X92" s="6986">
        <f>SUM(X45:X66)</f>
        <v>0</v>
      </c>
      <c r="Y92" s="1939"/>
      <c r="Z92" s="4474">
        <f>SUM(Z45:Z66)</f>
        <v>0</v>
      </c>
      <c r="AA92" s="1940"/>
      <c r="AB92" s="1940">
        <f>SUM(AB45:AB66)</f>
        <v>0</v>
      </c>
      <c r="AC92" s="8098"/>
      <c r="AD92" s="4474">
        <f>SUM(AD45:AD66)</f>
        <v>0</v>
      </c>
      <c r="AE92" s="1940"/>
      <c r="AF92" s="6986">
        <f>SUM(AF45:AF66)</f>
        <v>0</v>
      </c>
      <c r="AG92" s="1939"/>
      <c r="AH92" s="1861"/>
    </row>
    <row r="93" spans="1:34" x14ac:dyDescent="0.35">
      <c r="A93" s="9168"/>
      <c r="B93" s="6082"/>
      <c r="C93" s="1828"/>
      <c r="D93" s="33" t="s">
        <v>570</v>
      </c>
      <c r="F93" s="1939">
        <f>SUM(F68:F75)*F26</f>
        <v>0</v>
      </c>
      <c r="G93" s="1940"/>
      <c r="H93" s="1939">
        <f>SUM(H68:H75)*H26</f>
        <v>0</v>
      </c>
      <c r="I93" s="1939"/>
      <c r="J93" s="1939">
        <f>SUM(J68:J75)*J26</f>
        <v>0</v>
      </c>
      <c r="K93" s="1939"/>
      <c r="L93" s="1939">
        <f>SUM(L68:L75)*L26</f>
        <v>0</v>
      </c>
      <c r="M93" s="1939">
        <f>SUM(M68:M75)*M26</f>
        <v>0</v>
      </c>
      <c r="N93" s="1939"/>
      <c r="O93" s="1939">
        <f>SUM(O68:O75)*O26</f>
        <v>0</v>
      </c>
      <c r="P93" s="1861"/>
      <c r="Q93" s="4474">
        <f>SUM(Q68:Q75)*Q26</f>
        <v>0</v>
      </c>
      <c r="R93" s="1940"/>
      <c r="S93" s="1940">
        <f>SUM(S68:S75)*S26</f>
        <v>0</v>
      </c>
      <c r="T93" s="7630"/>
      <c r="U93" s="1939"/>
      <c r="V93" s="4474">
        <f>SUM(V68:V75)*V26</f>
        <v>0</v>
      </c>
      <c r="W93" s="1940"/>
      <c r="X93" s="6986">
        <f>SUM(X68:X75)*X26</f>
        <v>0</v>
      </c>
      <c r="Y93" s="1939"/>
      <c r="Z93" s="4474">
        <f>SUM(Z68:Z75)*Z26</f>
        <v>0</v>
      </c>
      <c r="AA93" s="1940"/>
      <c r="AB93" s="1940">
        <f>SUM(AB68:AB75)*AB26</f>
        <v>0</v>
      </c>
      <c r="AC93" s="8098"/>
      <c r="AD93" s="4474">
        <f>SUM(AD68:AD75)*AD26</f>
        <v>0</v>
      </c>
      <c r="AE93" s="1940"/>
      <c r="AF93" s="6986">
        <f>SUM(AF68:AF75)*AF26</f>
        <v>0</v>
      </c>
      <c r="AG93" s="1939"/>
      <c r="AH93" s="1861"/>
    </row>
    <row r="94" spans="1:34" x14ac:dyDescent="0.35">
      <c r="A94" s="9168"/>
      <c r="B94" s="6082"/>
      <c r="C94" s="1828"/>
      <c r="D94" s="33" t="s">
        <v>3236</v>
      </c>
      <c r="F94" s="1939">
        <f>F76</f>
        <v>0</v>
      </c>
      <c r="G94" s="1940"/>
      <c r="H94" s="1939">
        <f>H76</f>
        <v>0</v>
      </c>
      <c r="I94" s="1939"/>
      <c r="J94" s="1939">
        <f>J76</f>
        <v>0</v>
      </c>
      <c r="K94" s="1939"/>
      <c r="L94" s="1939">
        <f>L76</f>
        <v>0</v>
      </c>
      <c r="M94" s="1939">
        <f>M76</f>
        <v>0</v>
      </c>
      <c r="N94" s="1939"/>
      <c r="O94" s="1939">
        <f>O76</f>
        <v>0</v>
      </c>
      <c r="P94" s="1861"/>
      <c r="Q94" s="4474">
        <f>Q76</f>
        <v>0</v>
      </c>
      <c r="R94" s="1940"/>
      <c r="S94" s="1940">
        <f>S76</f>
        <v>0</v>
      </c>
      <c r="T94" s="7630"/>
      <c r="U94" s="1939"/>
      <c r="V94" s="4474">
        <f>V76</f>
        <v>0</v>
      </c>
      <c r="W94" s="1940"/>
      <c r="X94" s="6986">
        <f>X76</f>
        <v>0</v>
      </c>
      <c r="Y94" s="1939"/>
      <c r="Z94" s="4474">
        <f>Z76</f>
        <v>0</v>
      </c>
      <c r="AA94" s="1940"/>
      <c r="AB94" s="1940">
        <f>AB76</f>
        <v>0</v>
      </c>
      <c r="AC94" s="8098"/>
      <c r="AD94" s="4474">
        <f>AD76</f>
        <v>0</v>
      </c>
      <c r="AE94" s="1940"/>
      <c r="AF94" s="6986">
        <f>AF76</f>
        <v>0</v>
      </c>
      <c r="AG94" s="1939"/>
      <c r="AH94" s="1861"/>
    </row>
    <row r="95" spans="1:34" x14ac:dyDescent="0.35">
      <c r="A95" s="9168"/>
      <c r="B95" s="6082"/>
      <c r="C95" s="1828"/>
      <c r="D95" s="33" t="s">
        <v>552</v>
      </c>
      <c r="F95" s="1939">
        <f>F80</f>
        <v>0</v>
      </c>
      <c r="G95" s="1940"/>
      <c r="H95" s="1939">
        <f>H80</f>
        <v>0</v>
      </c>
      <c r="I95" s="1939"/>
      <c r="J95" s="1939">
        <f>J80</f>
        <v>0</v>
      </c>
      <c r="K95" s="1939"/>
      <c r="L95" s="1939">
        <f>L80</f>
        <v>0</v>
      </c>
      <c r="M95" s="1939">
        <f>M80</f>
        <v>0</v>
      </c>
      <c r="N95" s="1939"/>
      <c r="O95" s="1939">
        <f>O80</f>
        <v>0</v>
      </c>
      <c r="P95" s="1861"/>
      <c r="Q95" s="4474">
        <f>Q80</f>
        <v>0</v>
      </c>
      <c r="R95" s="1940"/>
      <c r="S95" s="1940">
        <f>S80</f>
        <v>0</v>
      </c>
      <c r="T95" s="7630"/>
      <c r="U95" s="1939"/>
      <c r="V95" s="4474">
        <f>V80</f>
        <v>0</v>
      </c>
      <c r="W95" s="1940"/>
      <c r="X95" s="6986">
        <f>X80</f>
        <v>0</v>
      </c>
      <c r="Y95" s="1939"/>
      <c r="Z95" s="4474">
        <f>Z80</f>
        <v>0</v>
      </c>
      <c r="AA95" s="1940"/>
      <c r="AB95" s="1940">
        <f>AB80</f>
        <v>0</v>
      </c>
      <c r="AC95" s="8098"/>
      <c r="AD95" s="4474">
        <f>AD80</f>
        <v>0</v>
      </c>
      <c r="AE95" s="1940"/>
      <c r="AF95" s="6986">
        <f>AF80</f>
        <v>0</v>
      </c>
      <c r="AG95" s="1939"/>
      <c r="AH95" s="1861"/>
    </row>
    <row r="96" spans="1:34" x14ac:dyDescent="0.35">
      <c r="A96" s="9168"/>
      <c r="B96" s="6082"/>
      <c r="C96" s="1828"/>
      <c r="D96" s="1942" t="s">
        <v>571</v>
      </c>
      <c r="E96" s="12"/>
      <c r="F96" s="1943">
        <f>SUM(F91:F95)</f>
        <v>195635</v>
      </c>
      <c r="G96" s="1944"/>
      <c r="H96" s="1943">
        <f t="shared" ref="H96:O96" si="9">SUM(H91:H95)</f>
        <v>0</v>
      </c>
      <c r="I96" s="1943"/>
      <c r="J96" s="1943">
        <f t="shared" ref="J96" si="10">SUM(J91:J95)</f>
        <v>0</v>
      </c>
      <c r="K96" s="1943"/>
      <c r="L96" s="1943">
        <f t="shared" ref="L96" si="11">SUM(L91:L95)</f>
        <v>230974</v>
      </c>
      <c r="M96" s="1943">
        <f t="shared" si="9"/>
        <v>229074</v>
      </c>
      <c r="N96" s="1943"/>
      <c r="O96" s="1943">
        <f t="shared" si="9"/>
        <v>230974</v>
      </c>
      <c r="P96" s="1861"/>
      <c r="Q96" s="4487">
        <f t="shared" ref="Q96" si="12">SUM(Q91:Q95)</f>
        <v>286412.8919534132</v>
      </c>
      <c r="R96" s="1940"/>
      <c r="S96" s="1944">
        <f t="shared" ref="S96:V96" si="13">SUM(S91:S95)</f>
        <v>288788.47580278711</v>
      </c>
      <c r="T96" s="7631"/>
      <c r="U96" s="1943"/>
      <c r="V96" s="4487">
        <f t="shared" si="13"/>
        <v>306118.98513761454</v>
      </c>
      <c r="W96" s="1944"/>
      <c r="X96" s="6989">
        <f t="shared" ref="X96" si="14">SUM(X91:X95)</f>
        <v>306619.10805327224</v>
      </c>
      <c r="Y96" s="1943"/>
      <c r="Z96" s="4487">
        <f t="shared" ref="Z96" si="15">SUM(Z91:Z95)</f>
        <v>244835.00025656659</v>
      </c>
      <c r="AA96" s="1940"/>
      <c r="AB96" s="1944">
        <f t="shared" ref="AB96" si="16">SUM(AB91:AB95)</f>
        <v>245235.00025698575</v>
      </c>
      <c r="AC96" s="8099"/>
      <c r="AD96" s="4487">
        <f t="shared" ref="AD96" si="17">SUM(AD91:AD95)</f>
        <v>258750.00027114834</v>
      </c>
      <c r="AE96" s="1944"/>
      <c r="AF96" s="6989">
        <f t="shared" ref="AF96" si="18">SUM(AF91:AF95)</f>
        <v>248480.00026038624</v>
      </c>
      <c r="AG96" s="1943"/>
      <c r="AH96" s="1861"/>
    </row>
    <row r="97" spans="1:34" ht="15.5" x14ac:dyDescent="0.35">
      <c r="A97" s="9168"/>
      <c r="B97" s="6082"/>
      <c r="C97" s="1828"/>
      <c r="D97" s="1942" t="s">
        <v>572</v>
      </c>
      <c r="F97" s="1945">
        <f>F96/(F17+F18)</f>
        <v>0.16220032301605464</v>
      </c>
      <c r="G97" s="1946"/>
      <c r="H97" s="1945">
        <f>H96/(H17+H18)</f>
        <v>0</v>
      </c>
      <c r="I97" s="1947"/>
      <c r="J97" s="1945">
        <f>J96/(J17+J18)</f>
        <v>0</v>
      </c>
      <c r="K97" s="1945"/>
      <c r="L97" s="1945">
        <f>L96/(L17+L18)</f>
        <v>0.1516373424369748</v>
      </c>
      <c r="M97" s="1945">
        <f>M96/(M17+M18)</f>
        <v>0.15362721421659001</v>
      </c>
      <c r="N97" s="1945"/>
      <c r="O97" s="1945">
        <f>O96/(O17+O18)</f>
        <v>0.1516373424369748</v>
      </c>
      <c r="P97" s="1861"/>
      <c r="Q97" s="6990">
        <f>Q96/(Q17+Q18)</f>
        <v>0.20303150671335793</v>
      </c>
      <c r="R97" s="1940"/>
      <c r="S97" s="1946">
        <f>S96/(S17+S18)</f>
        <v>0.19918067525687408</v>
      </c>
      <c r="T97" s="6991"/>
      <c r="U97" s="1945"/>
      <c r="V97" s="6990">
        <f>V96/(V17+V18)</f>
        <v>0.20294069085558264</v>
      </c>
      <c r="W97" s="7632"/>
      <c r="X97" s="6991">
        <f>X96/(X17+X18)</f>
        <v>0.1988559091761628</v>
      </c>
      <c r="Y97" s="1945"/>
      <c r="Z97" s="6990">
        <f>Z96/(Z17+Z18)</f>
        <v>0.16231265132202694</v>
      </c>
      <c r="AA97" s="1940"/>
      <c r="AB97" s="8033">
        <f>AB96/(AB17+AB18)</f>
        <v>0.14953326320560739</v>
      </c>
      <c r="AC97" s="4499"/>
      <c r="AD97" s="6990">
        <f>AD96/(AD17+AD18)</f>
        <v>0.15884875037211946</v>
      </c>
      <c r="AE97" s="7632"/>
      <c r="AF97" s="6991">
        <f>AF96/(AF17+AF18)</f>
        <v>0.18542591713770848</v>
      </c>
      <c r="AG97" s="1947"/>
      <c r="AH97" s="1861"/>
    </row>
    <row r="98" spans="1:34" s="1941" customFormat="1" x14ac:dyDescent="0.35">
      <c r="A98" s="9168"/>
      <c r="B98" s="1948"/>
      <c r="C98" s="1949"/>
      <c r="D98" s="1950" t="s">
        <v>573</v>
      </c>
      <c r="E98" s="1951"/>
      <c r="F98" s="1952"/>
      <c r="G98" s="1953"/>
      <c r="H98" s="1952"/>
      <c r="I98" s="1954"/>
      <c r="J98" s="1952"/>
      <c r="K98" s="1952"/>
      <c r="L98" s="1952"/>
      <c r="M98" s="1952"/>
      <c r="N98" s="1952"/>
      <c r="O98" s="1952"/>
      <c r="P98" s="1956"/>
      <c r="Q98" s="4516"/>
      <c r="R98" s="1940"/>
      <c r="S98" s="7633"/>
      <c r="T98" s="7634"/>
      <c r="U98" s="1955"/>
      <c r="V98" s="4516"/>
      <c r="W98" s="1944"/>
      <c r="X98" s="7635"/>
      <c r="Y98" s="1955"/>
      <c r="Z98" s="4516"/>
      <c r="AA98" s="1940"/>
      <c r="AB98" s="7633"/>
      <c r="AC98" s="8100"/>
      <c r="AD98" s="4516"/>
      <c r="AE98" s="1944"/>
      <c r="AF98" s="7635"/>
      <c r="AG98" s="1954"/>
      <c r="AH98" s="1956"/>
    </row>
    <row r="99" spans="1:34" s="1965" customFormat="1" x14ac:dyDescent="0.35">
      <c r="A99" s="9168"/>
      <c r="B99" s="1957"/>
      <c r="C99" s="1958"/>
      <c r="D99" s="1959" t="s">
        <v>575</v>
      </c>
      <c r="E99" s="1958"/>
      <c r="F99" s="1960"/>
      <c r="G99" s="1958"/>
      <c r="H99" s="1960"/>
      <c r="I99" s="1963"/>
      <c r="J99" s="1960"/>
      <c r="K99" s="1960"/>
      <c r="L99" s="1960"/>
      <c r="M99" s="1960"/>
      <c r="N99" s="1960"/>
      <c r="O99" s="1960"/>
      <c r="P99" s="1964"/>
      <c r="Q99" s="4532"/>
      <c r="R99" s="1940"/>
      <c r="S99" s="4525"/>
      <c r="T99" s="7636"/>
      <c r="U99" s="1964"/>
      <c r="V99" s="4532"/>
      <c r="W99" s="1944"/>
      <c r="X99" s="7637"/>
      <c r="Y99" s="1964"/>
      <c r="Z99" s="4532"/>
      <c r="AA99" s="1940"/>
      <c r="AB99" s="4525"/>
      <c r="AC99" s="4531"/>
      <c r="AD99" s="4532"/>
      <c r="AE99" s="1944"/>
      <c r="AF99" s="7637"/>
      <c r="AG99" s="1963"/>
      <c r="AH99" s="1964"/>
    </row>
    <row r="100" spans="1:34" s="1965" customFormat="1" x14ac:dyDescent="0.35">
      <c r="A100" s="9168"/>
      <c r="B100" s="1957"/>
      <c r="C100" s="1958"/>
      <c r="D100" s="1959" t="s">
        <v>576</v>
      </c>
      <c r="E100" s="1958"/>
      <c r="F100" s="1960"/>
      <c r="G100" s="1958"/>
      <c r="H100" s="1960"/>
      <c r="I100" s="1963"/>
      <c r="J100" s="1960"/>
      <c r="K100" s="1960"/>
      <c r="L100" s="1960"/>
      <c r="M100" s="1960"/>
      <c r="N100" s="1960"/>
      <c r="O100" s="1960"/>
      <c r="P100" s="1964"/>
      <c r="Q100" s="4532"/>
      <c r="R100" s="1940"/>
      <c r="S100" s="4525"/>
      <c r="T100" s="7636"/>
      <c r="U100" s="1964"/>
      <c r="V100" s="4532"/>
      <c r="W100" s="1944"/>
      <c r="X100" s="7637"/>
      <c r="Y100" s="1964"/>
      <c r="Z100" s="4532"/>
      <c r="AA100" s="1940"/>
      <c r="AB100" s="4525"/>
      <c r="AC100" s="4531"/>
      <c r="AD100" s="4532"/>
      <c r="AE100" s="1944"/>
      <c r="AF100" s="7637"/>
      <c r="AG100" s="1963"/>
      <c r="AH100" s="1964"/>
    </row>
    <row r="101" spans="1:34" s="1965" customFormat="1" x14ac:dyDescent="0.35">
      <c r="A101" s="9168"/>
      <c r="B101" s="1957"/>
      <c r="C101" s="1958"/>
      <c r="D101" s="1959"/>
      <c r="E101" s="1958"/>
      <c r="F101" s="1960"/>
      <c r="G101" s="1958"/>
      <c r="H101" s="1960"/>
      <c r="I101" s="1963"/>
      <c r="J101" s="1960"/>
      <c r="K101" s="1960"/>
      <c r="L101" s="1960"/>
      <c r="M101" s="1960"/>
      <c r="N101" s="1960"/>
      <c r="O101" s="1960"/>
      <c r="P101" s="1964"/>
      <c r="Q101" s="4532"/>
      <c r="R101" s="1940"/>
      <c r="S101" s="4525"/>
      <c r="T101" s="7636"/>
      <c r="U101" s="1964"/>
      <c r="V101" s="4532"/>
      <c r="W101" s="1944"/>
      <c r="X101" s="7637"/>
      <c r="Y101" s="1964"/>
      <c r="Z101" s="4532"/>
      <c r="AA101" s="1940"/>
      <c r="AB101" s="4525"/>
      <c r="AC101" s="4531"/>
      <c r="AD101" s="4532"/>
      <c r="AE101" s="1944"/>
      <c r="AF101" s="7637"/>
      <c r="AG101" s="1963"/>
      <c r="AH101" s="1964"/>
    </row>
    <row r="102" spans="1:34" s="1965" customFormat="1" x14ac:dyDescent="0.35">
      <c r="A102" s="9168"/>
      <c r="B102" s="1957"/>
      <c r="C102" s="1958"/>
      <c r="D102" s="1959" t="s">
        <v>3239</v>
      </c>
      <c r="E102" s="1958"/>
      <c r="F102" s="1960">
        <f>F96/F12</f>
        <v>0.17901227789886701</v>
      </c>
      <c r="G102" s="1958"/>
      <c r="H102" s="1960">
        <f>H96/H12</f>
        <v>0</v>
      </c>
      <c r="I102" s="1963"/>
      <c r="J102" s="1960">
        <f>J96/J12</f>
        <v>0</v>
      </c>
      <c r="K102" s="1960"/>
      <c r="L102" s="1960">
        <f>L96/L12</f>
        <v>0.17066203635288901</v>
      </c>
      <c r="M102" s="1960">
        <f>M96/M12</f>
        <v>0.17430680261756201</v>
      </c>
      <c r="N102" s="1960"/>
      <c r="O102" s="1960">
        <f>O96/O12</f>
        <v>0.17066203635288901</v>
      </c>
      <c r="P102" s="1964"/>
      <c r="Q102" s="4532">
        <f>Q96/Q12</f>
        <v>0.2179370658601531</v>
      </c>
      <c r="R102" s="1940"/>
      <c r="S102" s="4525">
        <f>S96/S12</f>
        <v>0.21337998803220565</v>
      </c>
      <c r="T102" s="7636"/>
      <c r="U102" s="1964"/>
      <c r="V102" s="4532">
        <f>V96/V12</f>
        <v>0.21752219508108758</v>
      </c>
      <c r="W102" s="1944"/>
      <c r="X102" s="7637">
        <f>X96/X12</f>
        <v>0.21098128951577255</v>
      </c>
      <c r="Y102" s="1964"/>
      <c r="Z102" s="4532">
        <f>Z96/Z12</f>
        <v>0.1739749877471517</v>
      </c>
      <c r="AA102" s="1940"/>
      <c r="AB102" s="4525">
        <f>AB96/AB12</f>
        <v>0.15879126090043924</v>
      </c>
      <c r="AC102" s="4531"/>
      <c r="AD102" s="4532">
        <f>AD96/AD12</f>
        <v>0.1716645659597614</v>
      </c>
      <c r="AE102" s="1944"/>
      <c r="AF102" s="7637">
        <f>AF96/AF12</f>
        <v>0.18588589821190021</v>
      </c>
      <c r="AG102" s="1963"/>
      <c r="AH102" s="1964"/>
    </row>
    <row r="103" spans="1:34" x14ac:dyDescent="0.35">
      <c r="A103" s="9168"/>
      <c r="B103" s="1853"/>
      <c r="C103" s="1966"/>
      <c r="D103" s="1967" t="s">
        <v>578</v>
      </c>
      <c r="E103" s="1966"/>
      <c r="F103" s="1968"/>
      <c r="G103" s="1966"/>
      <c r="H103" s="1968"/>
      <c r="I103" s="1861"/>
      <c r="J103" s="1968"/>
      <c r="K103" s="1968"/>
      <c r="L103" s="1968"/>
      <c r="M103" s="1968"/>
      <c r="N103" s="1968"/>
      <c r="O103" s="1968"/>
      <c r="P103" s="1861"/>
      <c r="Q103" s="4547"/>
      <c r="R103" s="1940"/>
      <c r="S103" s="4543"/>
      <c r="T103" s="7636"/>
      <c r="U103" s="1861"/>
      <c r="V103" s="4547"/>
      <c r="W103" s="1944"/>
      <c r="X103" s="7638"/>
      <c r="Y103" s="1861"/>
      <c r="Z103" s="4547"/>
      <c r="AA103" s="1940"/>
      <c r="AB103" s="4543"/>
      <c r="AC103" s="4531"/>
      <c r="AD103" s="4547"/>
      <c r="AE103" s="1944"/>
      <c r="AF103" s="7638"/>
      <c r="AG103" s="1861"/>
      <c r="AH103" s="1861"/>
    </row>
    <row r="104" spans="1:34" x14ac:dyDescent="0.35">
      <c r="A104" s="9168"/>
      <c r="B104" s="1853"/>
      <c r="C104" s="1966"/>
      <c r="D104" s="1971" t="s">
        <v>3240</v>
      </c>
      <c r="E104" s="1966"/>
      <c r="F104" s="1968"/>
      <c r="G104" s="1966"/>
      <c r="H104" s="1968"/>
      <c r="I104" s="1861"/>
      <c r="J104" s="1968"/>
      <c r="K104" s="1968"/>
      <c r="L104" s="1968"/>
      <c r="M104" s="1968"/>
      <c r="N104" s="1968"/>
      <c r="O104" s="1968"/>
      <c r="P104" s="1861"/>
      <c r="Q104" s="4547"/>
      <c r="R104" s="1940"/>
      <c r="S104" s="4543"/>
      <c r="T104" s="7636"/>
      <c r="U104" s="1861"/>
      <c r="V104" s="4547"/>
      <c r="W104" s="1944"/>
      <c r="X104" s="7638"/>
      <c r="Y104" s="1861"/>
      <c r="Z104" s="4547"/>
      <c r="AA104" s="1940"/>
      <c r="AB104" s="4543"/>
      <c r="AC104" s="4531"/>
      <c r="AD104" s="4547"/>
      <c r="AE104" s="1944"/>
      <c r="AF104" s="7638"/>
      <c r="AG104" s="1861"/>
      <c r="AH104" s="1861"/>
    </row>
    <row r="105" spans="1:34" x14ac:dyDescent="0.35">
      <c r="A105" s="9168"/>
      <c r="B105" s="1853"/>
      <c r="C105" s="1966"/>
      <c r="D105" s="921"/>
      <c r="E105" s="1966"/>
      <c r="F105" s="1968"/>
      <c r="G105" s="1966"/>
      <c r="H105" s="1968"/>
      <c r="I105" s="1861"/>
      <c r="J105" s="1968"/>
      <c r="K105" s="1968"/>
      <c r="L105" s="1968"/>
      <c r="M105" s="1968"/>
      <c r="N105" s="1968"/>
      <c r="O105" s="1968"/>
      <c r="P105" s="1861"/>
      <c r="Q105" s="4547"/>
      <c r="R105" s="1940"/>
      <c r="S105" s="4543"/>
      <c r="T105" s="7636"/>
      <c r="U105" s="1861"/>
      <c r="V105" s="4547"/>
      <c r="W105" s="1944"/>
      <c r="X105" s="7638"/>
      <c r="Y105" s="1861"/>
      <c r="Z105" s="4547"/>
      <c r="AA105" s="1940"/>
      <c r="AB105" s="4543"/>
      <c r="AC105" s="4531"/>
      <c r="AD105" s="4547"/>
      <c r="AE105" s="1944"/>
      <c r="AF105" s="7638"/>
      <c r="AG105" s="1861"/>
      <c r="AH105" s="1861"/>
    </row>
    <row r="106" spans="1:34" x14ac:dyDescent="0.35">
      <c r="A106" s="9168"/>
      <c r="B106" s="1853"/>
      <c r="C106" s="1966"/>
      <c r="D106" s="1971" t="s">
        <v>580</v>
      </c>
      <c r="E106" s="1972"/>
      <c r="F106" s="1973"/>
      <c r="G106" s="1974"/>
      <c r="H106" s="1973"/>
      <c r="I106" s="1975"/>
      <c r="J106" s="1973"/>
      <c r="K106" s="1973"/>
      <c r="L106" s="1973"/>
      <c r="M106" s="1973"/>
      <c r="N106" s="1973"/>
      <c r="O106" s="1973"/>
      <c r="P106" s="1861"/>
      <c r="Q106" s="4547"/>
      <c r="R106" s="1940"/>
      <c r="S106" s="4543"/>
      <c r="T106" s="7636"/>
      <c r="U106" s="1975"/>
      <c r="V106" s="4547"/>
      <c r="W106" s="1944"/>
      <c r="X106" s="7638"/>
      <c r="Y106" s="1975"/>
      <c r="Z106" s="4547"/>
      <c r="AA106" s="1940"/>
      <c r="AB106" s="4543"/>
      <c r="AC106" s="4531"/>
      <c r="AD106" s="4547"/>
      <c r="AE106" s="1944"/>
      <c r="AF106" s="7638"/>
      <c r="AG106" s="1975"/>
      <c r="AH106" s="1861"/>
    </row>
    <row r="107" spans="1:34" ht="1.5" customHeight="1" x14ac:dyDescent="0.35">
      <c r="A107" s="9169"/>
      <c r="B107" s="85"/>
      <c r="C107" s="1976"/>
      <c r="D107" s="1977" t="s">
        <v>581</v>
      </c>
      <c r="E107" s="1920"/>
      <c r="F107" s="1978"/>
      <c r="G107" s="1979"/>
      <c r="H107" s="1978"/>
      <c r="I107" s="1980"/>
      <c r="J107" s="1978"/>
      <c r="K107" s="1978"/>
      <c r="L107" s="1978"/>
      <c r="M107" s="1978"/>
      <c r="N107" s="1978"/>
      <c r="O107" s="1978"/>
      <c r="P107" s="1873"/>
      <c r="Q107" s="7639"/>
      <c r="R107" s="7640"/>
      <c r="S107" s="1976"/>
      <c r="T107" s="7641"/>
      <c r="U107" s="7007"/>
      <c r="V107" s="7639"/>
      <c r="W107" s="7642"/>
      <c r="X107" s="7643"/>
      <c r="Y107" s="7007"/>
      <c r="Z107" s="7639"/>
      <c r="AA107" s="7640"/>
      <c r="AB107" s="1976"/>
      <c r="AC107" s="8101"/>
      <c r="AD107" s="7639"/>
      <c r="AE107" s="7642"/>
      <c r="AF107" s="7643"/>
      <c r="AG107" s="1980"/>
      <c r="AH107" s="1873"/>
    </row>
    <row r="108" spans="1:34" s="1587" customFormat="1" ht="12" x14ac:dyDescent="0.35">
      <c r="C108" s="223"/>
      <c r="D108" s="1829"/>
      <c r="E108" s="223"/>
      <c r="F108" s="223"/>
      <c r="G108" s="223"/>
      <c r="H108" s="715"/>
      <c r="I108" s="715"/>
      <c r="J108" s="715"/>
      <c r="K108" s="715"/>
      <c r="L108" s="715"/>
      <c r="M108" s="715"/>
      <c r="N108" s="715"/>
      <c r="O108" s="715"/>
      <c r="Q108" s="715"/>
      <c r="R108" s="715"/>
      <c r="S108" s="715"/>
      <c r="T108" s="7644"/>
      <c r="U108" s="715"/>
      <c r="V108" s="715"/>
      <c r="W108" s="715"/>
      <c r="X108" s="715"/>
      <c r="Y108" s="715"/>
      <c r="Z108" s="715"/>
      <c r="AA108" s="715"/>
      <c r="AB108" s="715"/>
      <c r="AC108" s="8102"/>
      <c r="AD108" s="715"/>
      <c r="AE108" s="715"/>
      <c r="AF108" s="715"/>
      <c r="AG108" s="715"/>
    </row>
    <row r="109" spans="1:34" s="1587" customFormat="1" ht="12" x14ac:dyDescent="0.35">
      <c r="A109" s="1983" t="s">
        <v>582</v>
      </c>
      <c r="B109" s="1983"/>
      <c r="C109" s="223"/>
      <c r="D109" s="1829"/>
      <c r="E109" s="223"/>
      <c r="F109" s="223"/>
      <c r="G109" s="223"/>
      <c r="H109" s="715"/>
      <c r="I109" s="715"/>
      <c r="J109" s="715"/>
      <c r="K109" s="715"/>
      <c r="L109" s="715"/>
      <c r="M109" s="715"/>
      <c r="N109" s="715"/>
      <c r="O109" s="715"/>
      <c r="Q109" s="715"/>
      <c r="R109" s="715"/>
      <c r="S109" s="715"/>
      <c r="T109" s="7644"/>
      <c r="U109" s="715"/>
      <c r="V109" s="715"/>
      <c r="W109" s="715"/>
      <c r="X109" s="715"/>
      <c r="Y109" s="715"/>
      <c r="Z109" s="715"/>
      <c r="AA109" s="715"/>
      <c r="AB109" s="715"/>
      <c r="AC109" s="8102"/>
      <c r="AD109" s="715"/>
      <c r="AE109" s="715"/>
      <c r="AF109" s="715"/>
      <c r="AG109" s="715"/>
    </row>
    <row r="110" spans="1:34" s="1587" customFormat="1" ht="12" customHeight="1" x14ac:dyDescent="0.35">
      <c r="A110" s="223">
        <v>1</v>
      </c>
      <c r="B110" s="1984"/>
      <c r="D110" s="1829"/>
      <c r="T110" s="7645"/>
      <c r="AC110" s="8103"/>
    </row>
    <row r="111" spans="1:34" s="1587" customFormat="1" ht="12" x14ac:dyDescent="0.35">
      <c r="A111" s="223">
        <v>2</v>
      </c>
      <c r="B111" s="1984"/>
      <c r="D111" s="1829"/>
      <c r="E111" s="223"/>
      <c r="F111" s="223"/>
      <c r="G111" s="223"/>
      <c r="H111" s="715"/>
      <c r="I111" s="715"/>
      <c r="J111" s="715"/>
      <c r="K111" s="715"/>
      <c r="L111" s="715"/>
      <c r="M111" s="715"/>
      <c r="N111" s="715"/>
      <c r="O111" s="715"/>
      <c r="Q111" s="715"/>
      <c r="R111" s="715"/>
      <c r="S111" s="715"/>
      <c r="T111" s="7644"/>
      <c r="U111" s="715"/>
      <c r="V111" s="715"/>
      <c r="W111" s="715"/>
      <c r="X111" s="715"/>
      <c r="Y111" s="715"/>
      <c r="Z111" s="715"/>
      <c r="AA111" s="715"/>
      <c r="AB111" s="715"/>
      <c r="AC111" s="8102"/>
      <c r="AD111" s="715"/>
      <c r="AE111" s="715"/>
      <c r="AF111" s="715"/>
      <c r="AG111" s="715"/>
    </row>
    <row r="112" spans="1:34" s="1587" customFormat="1" ht="12" x14ac:dyDescent="0.35">
      <c r="A112" s="223">
        <v>3</v>
      </c>
      <c r="B112" s="1984"/>
      <c r="D112" s="1829"/>
      <c r="E112" s="223"/>
      <c r="F112" s="223"/>
      <c r="G112" s="223"/>
      <c r="H112" s="715"/>
      <c r="I112" s="715"/>
      <c r="J112" s="715"/>
      <c r="K112" s="715"/>
      <c r="L112" s="715"/>
      <c r="M112" s="715"/>
      <c r="N112" s="715"/>
      <c r="O112" s="715"/>
      <c r="Q112" s="715"/>
      <c r="R112" s="715"/>
      <c r="S112" s="715"/>
      <c r="T112" s="7644"/>
      <c r="U112" s="715"/>
      <c r="V112" s="715"/>
      <c r="W112" s="715"/>
      <c r="X112" s="715"/>
      <c r="Y112" s="715"/>
      <c r="Z112" s="715"/>
      <c r="AA112" s="715"/>
      <c r="AB112" s="715"/>
      <c r="AC112" s="8102"/>
      <c r="AD112" s="715"/>
      <c r="AE112" s="715"/>
      <c r="AF112" s="715"/>
      <c r="AG112" s="715"/>
    </row>
    <row r="113" spans="1:33" s="1587" customFormat="1" ht="12" x14ac:dyDescent="0.35">
      <c r="A113" s="223">
        <v>4</v>
      </c>
      <c r="B113" s="1984"/>
      <c r="D113" s="1829"/>
      <c r="E113" s="223"/>
      <c r="F113" s="223"/>
      <c r="G113" s="223"/>
      <c r="H113" s="715"/>
      <c r="I113" s="715"/>
      <c r="J113" s="715"/>
      <c r="K113" s="715"/>
      <c r="L113" s="715"/>
      <c r="M113" s="715"/>
      <c r="N113" s="715"/>
      <c r="O113" s="715"/>
      <c r="Q113" s="715"/>
      <c r="R113" s="715"/>
      <c r="S113" s="715"/>
      <c r="T113" s="7644"/>
      <c r="U113" s="715"/>
      <c r="V113" s="715"/>
      <c r="W113" s="715"/>
      <c r="X113" s="715"/>
      <c r="Y113" s="715"/>
      <c r="Z113" s="715"/>
      <c r="AA113" s="715"/>
      <c r="AB113" s="715"/>
      <c r="AC113" s="8102"/>
      <c r="AD113" s="715"/>
      <c r="AE113" s="715"/>
      <c r="AF113" s="715"/>
      <c r="AG113" s="715"/>
    </row>
    <row r="114" spans="1:33" s="1587" customFormat="1" ht="12" x14ac:dyDescent="0.35">
      <c r="A114" s="223">
        <v>5</v>
      </c>
      <c r="B114" s="1984"/>
      <c r="D114" s="1829"/>
      <c r="E114" s="223"/>
      <c r="F114" s="223"/>
      <c r="G114" s="223"/>
      <c r="H114" s="715"/>
      <c r="I114" s="715"/>
      <c r="J114" s="715"/>
      <c r="K114" s="715"/>
      <c r="L114" s="715"/>
      <c r="M114" s="715"/>
      <c r="N114" s="715"/>
      <c r="O114" s="715"/>
      <c r="Q114" s="715"/>
      <c r="R114" s="715"/>
      <c r="S114" s="715"/>
      <c r="T114" s="7644"/>
      <c r="U114" s="715"/>
      <c r="V114" s="715"/>
      <c r="W114" s="715"/>
      <c r="X114" s="715"/>
      <c r="Y114" s="715"/>
      <c r="Z114" s="715"/>
      <c r="AA114" s="715"/>
      <c r="AB114" s="715"/>
      <c r="AC114" s="8102"/>
      <c r="AD114" s="715"/>
      <c r="AE114" s="715"/>
      <c r="AF114" s="715"/>
      <c r="AG114" s="715"/>
    </row>
    <row r="115" spans="1:33" s="1587" customFormat="1" ht="12" x14ac:dyDescent="0.35">
      <c r="A115" s="223">
        <v>6</v>
      </c>
      <c r="B115" s="1984"/>
      <c r="D115" s="1829"/>
      <c r="E115" s="223"/>
      <c r="F115" s="223"/>
      <c r="G115" s="223"/>
      <c r="H115" s="715"/>
      <c r="I115" s="715"/>
      <c r="J115" s="715"/>
      <c r="K115" s="715"/>
      <c r="L115" s="715"/>
      <c r="M115" s="715"/>
      <c r="N115" s="715"/>
      <c r="O115" s="715"/>
      <c r="Q115" s="715"/>
      <c r="R115" s="715"/>
      <c r="S115" s="715"/>
      <c r="T115" s="7644"/>
      <c r="U115" s="715"/>
      <c r="V115" s="715"/>
      <c r="W115" s="715"/>
      <c r="X115" s="715"/>
      <c r="Y115" s="715"/>
      <c r="Z115" s="715"/>
      <c r="AA115" s="715"/>
      <c r="AB115" s="715"/>
      <c r="AC115" s="8102"/>
      <c r="AD115" s="715"/>
      <c r="AE115" s="715"/>
      <c r="AF115" s="715"/>
      <c r="AG115" s="715"/>
    </row>
    <row r="116" spans="1:33" s="1587" customFormat="1" ht="12" x14ac:dyDescent="0.35">
      <c r="A116" s="223">
        <v>7</v>
      </c>
      <c r="B116" s="1984"/>
      <c r="D116" s="1829"/>
      <c r="E116" s="223"/>
      <c r="F116" s="223"/>
      <c r="G116" s="223"/>
      <c r="H116" s="715"/>
      <c r="I116" s="715"/>
      <c r="J116" s="715"/>
      <c r="K116" s="715"/>
      <c r="L116" s="715"/>
      <c r="M116" s="715"/>
      <c r="N116" s="715"/>
      <c r="O116" s="715"/>
      <c r="Q116" s="715"/>
      <c r="R116" s="715"/>
      <c r="S116" s="715"/>
      <c r="T116" s="7644"/>
      <c r="U116" s="715"/>
      <c r="V116" s="715"/>
      <c r="W116" s="715"/>
      <c r="X116" s="715"/>
      <c r="Y116" s="715"/>
      <c r="Z116" s="715"/>
      <c r="AA116" s="715"/>
      <c r="AB116" s="715"/>
      <c r="AC116" s="8102"/>
      <c r="AD116" s="715"/>
      <c r="AE116" s="715"/>
      <c r="AF116" s="715"/>
      <c r="AG116" s="715"/>
    </row>
    <row r="117" spans="1:33" s="1587" customFormat="1" ht="12" x14ac:dyDescent="0.35">
      <c r="A117" s="223">
        <v>8</v>
      </c>
      <c r="B117" s="1984"/>
      <c r="D117" s="1829"/>
      <c r="E117" s="223"/>
      <c r="F117" s="223"/>
      <c r="G117" s="223"/>
      <c r="H117" s="715"/>
      <c r="I117" s="715"/>
      <c r="J117" s="715"/>
      <c r="K117" s="715"/>
      <c r="L117" s="715"/>
      <c r="M117" s="715"/>
      <c r="N117" s="715"/>
      <c r="O117" s="715"/>
      <c r="Q117" s="715"/>
      <c r="R117" s="715"/>
      <c r="S117" s="715"/>
      <c r="T117" s="7644"/>
      <c r="U117" s="715"/>
      <c r="V117" s="715"/>
      <c r="W117" s="715"/>
      <c r="X117" s="715"/>
      <c r="Y117" s="715"/>
      <c r="Z117" s="715"/>
      <c r="AA117" s="715"/>
      <c r="AB117" s="715"/>
      <c r="AC117" s="8102"/>
      <c r="AD117" s="715"/>
      <c r="AE117" s="715"/>
      <c r="AF117" s="715"/>
      <c r="AG117" s="715"/>
    </row>
    <row r="118" spans="1:33" s="1587" customFormat="1" ht="12" x14ac:dyDescent="0.35">
      <c r="A118" s="223">
        <v>9</v>
      </c>
      <c r="B118" s="1984"/>
      <c r="D118" s="1829"/>
      <c r="E118" s="223"/>
      <c r="F118" s="223"/>
      <c r="G118" s="223"/>
      <c r="H118" s="715"/>
      <c r="I118" s="715"/>
      <c r="J118" s="715"/>
      <c r="K118" s="715"/>
      <c r="L118" s="715"/>
      <c r="M118" s="715"/>
      <c r="N118" s="715"/>
      <c r="O118" s="715"/>
      <c r="Q118" s="715"/>
      <c r="R118" s="715"/>
      <c r="S118" s="715"/>
      <c r="T118" s="7644"/>
      <c r="U118" s="715"/>
      <c r="V118" s="715"/>
      <c r="W118" s="715"/>
      <c r="X118" s="715"/>
      <c r="Y118" s="715"/>
      <c r="Z118" s="715"/>
      <c r="AA118" s="715"/>
      <c r="AB118" s="715"/>
      <c r="AC118" s="8102"/>
      <c r="AD118" s="715"/>
      <c r="AE118" s="715"/>
      <c r="AF118" s="715"/>
      <c r="AG118" s="715"/>
    </row>
    <row r="119" spans="1:33" s="1587" customFormat="1" ht="12" x14ac:dyDescent="0.35">
      <c r="A119" s="223">
        <v>10</v>
      </c>
      <c r="B119" s="1984"/>
      <c r="D119" s="1829"/>
      <c r="E119" s="223"/>
      <c r="F119" s="223"/>
      <c r="G119" s="223"/>
      <c r="H119" s="715"/>
      <c r="I119" s="715"/>
      <c r="J119" s="715"/>
      <c r="K119" s="715"/>
      <c r="L119" s="715"/>
      <c r="M119" s="715"/>
      <c r="N119" s="715"/>
      <c r="O119" s="715"/>
      <c r="Q119" s="715"/>
      <c r="R119" s="715"/>
      <c r="S119" s="715"/>
      <c r="T119" s="7644"/>
      <c r="U119" s="715"/>
      <c r="V119" s="715"/>
      <c r="W119" s="715"/>
      <c r="X119" s="715"/>
      <c r="Y119" s="715"/>
      <c r="Z119" s="715"/>
      <c r="AA119" s="715"/>
      <c r="AB119" s="715"/>
      <c r="AC119" s="8102"/>
      <c r="AD119" s="715"/>
      <c r="AE119" s="715"/>
      <c r="AF119" s="715"/>
      <c r="AG119" s="715"/>
    </row>
    <row r="120" spans="1:33" s="1587" customFormat="1" ht="12" x14ac:dyDescent="0.35">
      <c r="A120" s="223"/>
      <c r="B120" s="1984"/>
      <c r="D120" s="1829"/>
      <c r="E120" s="223"/>
      <c r="F120" s="223"/>
      <c r="G120" s="223"/>
      <c r="H120" s="715"/>
      <c r="I120" s="715"/>
      <c r="J120" s="715"/>
      <c r="K120" s="715"/>
      <c r="L120" s="715"/>
      <c r="M120" s="715"/>
      <c r="N120" s="715"/>
      <c r="O120" s="715"/>
      <c r="Q120" s="715"/>
      <c r="R120" s="715"/>
      <c r="S120" s="715"/>
      <c r="T120" s="7644"/>
      <c r="U120" s="715"/>
      <c r="V120" s="715"/>
      <c r="W120" s="715"/>
      <c r="X120" s="715"/>
      <c r="Y120" s="715"/>
      <c r="Z120" s="715"/>
      <c r="AA120" s="715"/>
      <c r="AB120" s="715"/>
      <c r="AC120" s="8102"/>
      <c r="AD120" s="715"/>
      <c r="AE120" s="715"/>
      <c r="AF120" s="715"/>
      <c r="AG120" s="715"/>
    </row>
    <row r="121" spans="1:33" s="1587" customFormat="1" ht="12" x14ac:dyDescent="0.35">
      <c r="A121" s="1983" t="s">
        <v>3241</v>
      </c>
      <c r="B121" s="1983"/>
      <c r="C121" s="223"/>
      <c r="D121" s="1829"/>
      <c r="E121" s="223"/>
      <c r="F121" s="223"/>
      <c r="G121" s="223"/>
      <c r="H121" s="715"/>
      <c r="I121" s="715"/>
      <c r="J121" s="715"/>
      <c r="K121" s="715"/>
      <c r="L121" s="715"/>
      <c r="M121" s="715"/>
      <c r="N121" s="715"/>
      <c r="O121" s="715"/>
      <c r="Q121" s="715"/>
      <c r="R121" s="715"/>
      <c r="S121" s="715"/>
      <c r="T121" s="7644"/>
      <c r="U121" s="715"/>
      <c r="V121" s="715"/>
      <c r="W121" s="715"/>
      <c r="X121" s="715"/>
      <c r="Y121" s="715"/>
      <c r="Z121" s="715"/>
      <c r="AA121" s="715"/>
      <c r="AB121" s="715"/>
      <c r="AC121" s="8102"/>
      <c r="AD121" s="715"/>
      <c r="AE121" s="715"/>
      <c r="AF121" s="715"/>
      <c r="AG121" s="715"/>
    </row>
    <row r="122" spans="1:33" s="1587" customFormat="1" ht="93" customHeight="1" x14ac:dyDescent="0.35">
      <c r="A122" s="9367"/>
      <c r="B122" s="9368"/>
      <c r="C122" s="9368"/>
      <c r="D122" s="9368"/>
      <c r="E122" s="9368"/>
      <c r="F122" s="9368"/>
      <c r="G122" s="9368"/>
      <c r="H122" s="9368"/>
      <c r="I122" s="1985"/>
      <c r="J122" s="1986"/>
      <c r="K122" s="1986"/>
      <c r="L122" s="1986"/>
      <c r="M122" s="1986"/>
      <c r="N122" s="1986"/>
      <c r="O122" s="1986"/>
      <c r="Q122" s="1986"/>
      <c r="R122" s="1985"/>
      <c r="S122" s="1986"/>
      <c r="T122" s="7646"/>
      <c r="U122" s="1985"/>
      <c r="V122" s="1986"/>
      <c r="W122" s="1985"/>
      <c r="X122" s="1986"/>
      <c r="Y122" s="1985"/>
      <c r="Z122" s="1986"/>
      <c r="AA122" s="1985"/>
      <c r="AB122" s="1986"/>
      <c r="AC122" s="8104"/>
      <c r="AD122" s="1986"/>
      <c r="AE122" s="1985"/>
      <c r="AF122" s="1986"/>
      <c r="AG122" s="1985"/>
    </row>
  </sheetData>
  <mergeCells count="24">
    <mergeCell ref="Q2:X2"/>
    <mergeCell ref="Q4:S4"/>
    <mergeCell ref="V4:X4"/>
    <mergeCell ref="AH4:AH5"/>
    <mergeCell ref="Q5:S5"/>
    <mergeCell ref="V5:X5"/>
    <mergeCell ref="Z2:AF2"/>
    <mergeCell ref="Z4:AB4"/>
    <mergeCell ref="AD4:AF4"/>
    <mergeCell ref="Z5:AB5"/>
    <mergeCell ref="AD5:AF5"/>
    <mergeCell ref="A90:A107"/>
    <mergeCell ref="A122:H122"/>
    <mergeCell ref="F2:H2"/>
    <mergeCell ref="J2:O2"/>
    <mergeCell ref="J4:L4"/>
    <mergeCell ref="M4:O4"/>
    <mergeCell ref="J5:L5"/>
    <mergeCell ref="M5:O5"/>
    <mergeCell ref="Z9:AB9"/>
    <mergeCell ref="AD9:AF9"/>
    <mergeCell ref="P4:P5"/>
    <mergeCell ref="A10:A32"/>
    <mergeCell ref="A34:A88"/>
  </mergeCells>
  <hyperlinks>
    <hyperlink ref="O10" r:id="rId1" location="!%40%40%3F_afrLoop%3D28595251226288159%26dDocName%3DMOFUCM142926%26_adf.ctrl-state%3D96jf8kuia_4" xr:uid="{00000000-0004-0000-2E00-000004000000}"/>
    <hyperlink ref="F10" display="http://www.mof.gov.vn/webcenter/portal/mof/r/lvtc/nsnn/exstaticis/exstaticis_chitiet?dDocName=MOFUCM109256&amp;dID=105529&amp;_afrLoop=33517188438555255#!%40%40%3F_afrLoop%3D33517188438555255%26dDocName%3DMOFUCM109256%26dID%3D105529%26showFooter%3Dfalse%26showHea" xr:uid="{00000000-0004-0000-2E00-000001000000}"/>
    <hyperlink ref="H10" display="http://www.mof.gov.vn/webcenter/portal/mof/r/lvtc/nsnn/exstaticis/exstaticis_chitiet?dDocName=MOFUCM094413&amp;dID=11852&amp;_afrLoop=33516521341755600#!%40%40%3F_afrLoop%3D33516521341755600%26dDocName%3DMOFUCM094413%26dID%3D11852%26showFooter%3Dfalse%26showHeade" xr:uid="{00000000-0004-0000-2E00-000000000000}"/>
    <hyperlink ref="AJ8" r:id="rId2" xr:uid="{74926C05-6AF5-47C8-A58F-36461DB15346}"/>
    <hyperlink ref="AK13" display="http://www.mof.gov.vn/webcenter/portal/mof/r/k/statis/statis_chitiet?dDocName=MOFUCM092092&amp;showFooter=false&amp;showHeader=false&amp;_adf.ctrl-state=f1816818t_173&amp;_afrLoop=33519220605274462#!%40%40%3F_afrLoop%3D33519220605274462%26dDocName%3DMOFUCM092092%26showFo" xr:uid="{A721409F-7FB8-4DD9-BB81-E0B960B2ADB2}"/>
    <hyperlink ref="S9" r:id="rId3" location="!%40%40%3FdID%3D149140%26_afrLoop%3D63092613299646674%26dDocName%3DMOFUCM142926%26_adf.ctrl-state%3Ddbqiyhepd_45" xr:uid="{6E8B3D06-2D6F-4EA4-940B-D463164517EB}"/>
    <hyperlink ref="Q9" r:id="rId4" location="!%40%40%3FdID%3D128649%26_afrLoop%3D63092833716603596%26dDocName%3DUCMDR118236%26_adf.ctrl-state%3Ddbqiyhepd_86" xr:uid="{04347314-46C4-494C-810F-7E4F2B8F4C5D}"/>
    <hyperlink ref="X9" r:id="rId5" location="!%40%40%3F_afrLoop%3D63093548674916782%26dDocName%3DMOFUCM169811%26_adf.ctrl-state%3Ddbqiyhepd_337" xr:uid="{D7DD06A0-066E-4406-828D-353FB896B115}"/>
    <hyperlink ref="V9" r:id="rId6" location="!%40%40%3FdID%3D149149%26_afrLoop%3D63093757429791116%26dDocName%3DMOFUCM142934%26_adf.ctrl-state%3Ddbqiyhepd_378 " xr:uid="{EB44BE4D-6448-4019-B87B-12639AC38B8A}"/>
    <hyperlink ref="AD9" r:id="rId7" location="%40%3F_afrLoop%3D6356031478631445%26centerWidth%3D670px%26leftWidth%3D286px%26rightWidth%3D0%26showFooter%3Dfalse%26showHeader%3Dfalse%26_adf.ctrl-state%3Dlpu3zirg1_490" xr:uid="{FEA82CEC-F35B-4F0F-B7BB-DCB1246C2ABD}"/>
    <hyperlink ref="Z9" r:id="rId8" location="%40%3F_afrLoop%3D6356436075168609%26centerWidth%3D670px%26leftWidth%3D286px%26rightWidth%3D0%26showFooter%3Dfalse%26showHeader%3Dfalse%26_adf.ctrl-state%3Dlpu3zirg1_631" display="https://www.mof.gov.vn/webcenter/portal/mof/r/lvtc/nsnn/solieutrongnuoc/dutoan80?_afrLoop=6356436075168609#%40%3F_afrLoop%3D6356436075168609%26centerWidth%3D670px%26leftWidth%3D286px%26rightWidth%3D0%26showFooter%3Dfalse%26showHeader%3Dfalse%26_adf.ctrl-state%3Dlpu3zirg1_631" xr:uid="{D3DE7D97-DF79-42F8-8341-70B9631D9260}"/>
  </hyperlinks>
  <pageMargins left="0.7" right="0.7" top="0.75" bottom="0.75" header="0.3" footer="0.3"/>
  <pageSetup paperSize="9" orientation="portrait" horizontalDpi="4294967293" r:id="rId9"/>
  <drawing r:id="rId1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BW190"/>
  <sheetViews>
    <sheetView topLeftCell="A20" zoomScale="89" zoomScaleNormal="89" workbookViewId="0">
      <pane xSplit="4" topLeftCell="AL1" activePane="topRight" state="frozen"/>
      <selection pane="topRight" activeCell="AL21" sqref="AL21"/>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6" width="21.6328125" customWidth="1"/>
    <col min="17" max="17" width="1.6328125" style="1" customWidth="1"/>
    <col min="18" max="19" width="21.6328125" style="253" customWidth="1"/>
    <col min="20" max="20" width="21.6328125" style="6" customWidth="1"/>
    <col min="21" max="21" width="8.6328125" style="7" customWidth="1"/>
    <col min="22" max="22" width="1.6328125" style="1" customWidth="1"/>
    <col min="23" max="24" width="21.6328125" style="253" customWidth="1"/>
    <col min="25" max="25" width="21.6328125" style="6" customWidth="1"/>
    <col min="26" max="26" width="8.6328125" style="7" customWidth="1"/>
    <col min="27" max="27" width="1.6328125" style="1" customWidth="1"/>
    <col min="28" max="28" width="21.6328125" style="254" customWidth="1"/>
    <col min="29" max="29" width="23" customWidth="1"/>
    <col min="30" max="30" width="21.6328125" style="254" customWidth="1"/>
    <col min="31" max="31" width="23" customWidth="1"/>
    <col min="32" max="32" width="1.6328125" style="1" customWidth="1"/>
    <col min="33" max="34" width="21.6328125" style="253" customWidth="1"/>
    <col min="35" max="35" width="21.6328125" style="6" customWidth="1"/>
    <col min="36" max="36" width="8.6328125" style="7" customWidth="1"/>
    <col min="37" max="37" width="1.6328125" style="1" customWidth="1"/>
    <col min="38" max="39" width="21.6328125" style="253" customWidth="1"/>
    <col min="40" max="40" width="21.6328125" style="6" customWidth="1"/>
    <col min="41" max="41" width="8.6328125" style="7" customWidth="1"/>
    <col min="42" max="42" width="1.6328125" style="1" customWidth="1"/>
    <col min="43" max="43" width="21.6328125" style="254" customWidth="1"/>
    <col min="44" max="44" width="23" customWidth="1"/>
    <col min="45" max="45" width="21.6328125" style="254" customWidth="1"/>
    <col min="46" max="46" width="23" customWidth="1"/>
    <col min="47" max="47" width="1.6328125" style="1" customWidth="1"/>
    <col min="48" max="49" width="21.6328125" style="253" customWidth="1"/>
    <col min="50" max="50" width="21.6328125" style="6" customWidth="1"/>
    <col min="51" max="51" width="8.6328125" style="7" customWidth="1"/>
    <col min="52" max="52" width="1.6328125" style="1" customWidth="1"/>
    <col min="53" max="53" width="21.6328125" style="254" customWidth="1"/>
    <col min="54" max="54" width="23" customWidth="1"/>
    <col min="55" max="55" width="21.6328125" style="254" customWidth="1"/>
    <col min="56" max="56" width="23" customWidth="1"/>
    <col min="57" max="57" width="2" customWidth="1"/>
    <col min="58" max="59" width="21.6328125" style="253" customWidth="1"/>
    <col min="60" max="60" width="21.6328125" style="6" customWidth="1"/>
    <col min="61" max="61" width="8.6328125" style="7" customWidth="1"/>
    <col min="62" max="62" width="1.6328125" style="1" customWidth="1"/>
    <col min="63" max="63" width="21.6328125" style="254" customWidth="1"/>
    <col min="64" max="64" width="23" customWidth="1"/>
    <col min="65" max="65" width="21.6328125" style="254" customWidth="1"/>
    <col min="66" max="66" width="23" customWidth="1"/>
    <col min="67" max="68" width="1.6328125" style="1" customWidth="1"/>
    <col min="69" max="69" width="21.6328125" style="254" customWidth="1"/>
    <col min="70" max="70" width="23" customWidth="1"/>
    <col min="71" max="71" width="21.6328125" style="254" customWidth="1"/>
    <col min="72" max="72" width="23" customWidth="1"/>
    <col min="73" max="74" width="1.6328125" style="1" customWidth="1"/>
    <col min="75" max="75" width="89" bestFit="1" customWidth="1"/>
    <col min="76" max="76" width="2.453125" customWidth="1"/>
  </cols>
  <sheetData>
    <row r="1" spans="1:75" ht="31" x14ac:dyDescent="0.7">
      <c r="F1" s="9118" t="s">
        <v>394</v>
      </c>
      <c r="G1" s="9119"/>
      <c r="H1" s="9119"/>
      <c r="I1" s="9119"/>
      <c r="J1" s="9119"/>
      <c r="K1" s="9119"/>
      <c r="L1" s="9119"/>
      <c r="M1" s="9119"/>
      <c r="N1" s="9119"/>
      <c r="O1" s="9119"/>
      <c r="P1" s="9120"/>
      <c r="R1" s="9121" t="s">
        <v>395</v>
      </c>
      <c r="S1" s="9122"/>
      <c r="T1" s="9122"/>
      <c r="U1" s="9122"/>
      <c r="V1" s="9122"/>
      <c r="W1" s="9122"/>
      <c r="X1" s="9122"/>
      <c r="Y1" s="9122"/>
      <c r="Z1" s="9122"/>
      <c r="AA1" s="9122"/>
      <c r="AB1" s="9122"/>
      <c r="AC1" s="9122"/>
      <c r="AD1" s="9122"/>
      <c r="AE1" s="9123"/>
      <c r="AG1" s="9207" t="s">
        <v>396</v>
      </c>
      <c r="AH1" s="9208"/>
      <c r="AI1" s="9208"/>
      <c r="AJ1" s="9208"/>
      <c r="AK1" s="9208"/>
      <c r="AL1" s="9208"/>
      <c r="AM1" s="9208"/>
      <c r="AN1" s="9208"/>
      <c r="AO1" s="9208"/>
      <c r="AP1" s="9208"/>
      <c r="AQ1" s="9208"/>
      <c r="AR1" s="9208"/>
      <c r="AS1" s="9208"/>
      <c r="AT1" s="9209"/>
      <c r="AV1" s="9208" t="s">
        <v>397</v>
      </c>
      <c r="AW1" s="9208"/>
      <c r="AX1" s="9208"/>
      <c r="AY1" s="9208"/>
      <c r="AZ1" s="9208"/>
      <c r="BA1" s="9208"/>
      <c r="BB1" s="9208"/>
      <c r="BC1" s="9208"/>
      <c r="BD1" s="9209"/>
      <c r="BF1" s="9440" t="s">
        <v>398</v>
      </c>
      <c r="BG1" s="9441"/>
      <c r="BH1" s="9441"/>
      <c r="BI1" s="9441"/>
      <c r="BJ1" s="9441"/>
      <c r="BK1" s="9441"/>
      <c r="BL1" s="9441"/>
      <c r="BM1" s="9441"/>
      <c r="BN1" s="9595"/>
      <c r="BQ1" s="9115" t="s">
        <v>399</v>
      </c>
      <c r="BR1" s="9116"/>
      <c r="BS1" s="9116"/>
      <c r="BT1" s="9117"/>
      <c r="BW1" t="e">
        <f>+BF:BRBF:BUAV1BF:BV</f>
        <v>#REF!</v>
      </c>
    </row>
    <row r="2" spans="1:75" ht="21" x14ac:dyDescent="0.5">
      <c r="B2" s="1" t="s">
        <v>9</v>
      </c>
      <c r="C2" s="4" t="s">
        <v>74</v>
      </c>
      <c r="H2"/>
    </row>
    <row r="4" spans="1:75" s="8" customFormat="1" ht="15.25" customHeight="1" x14ac:dyDescent="0.35">
      <c r="D4" s="579"/>
      <c r="F4" s="8326" t="s">
        <v>400</v>
      </c>
      <c r="H4" s="9130" t="s">
        <v>401</v>
      </c>
      <c r="I4" s="9131"/>
      <c r="J4" s="9132"/>
      <c r="L4" s="9130" t="s">
        <v>402</v>
      </c>
      <c r="M4" s="9132"/>
      <c r="O4" s="9130" t="s">
        <v>402</v>
      </c>
      <c r="P4" s="9132"/>
      <c r="R4" s="9130" t="s">
        <v>403</v>
      </c>
      <c r="S4" s="9131"/>
      <c r="T4" s="9131"/>
      <c r="U4" s="9132"/>
      <c r="W4" s="9130" t="s">
        <v>403</v>
      </c>
      <c r="X4" s="9131"/>
      <c r="Y4" s="9131"/>
      <c r="Z4" s="9132"/>
      <c r="AB4" s="9130" t="s">
        <v>402</v>
      </c>
      <c r="AC4" s="9131"/>
      <c r="AD4" s="9132"/>
      <c r="AE4" s="10"/>
      <c r="AG4" s="9130" t="s">
        <v>403</v>
      </c>
      <c r="AH4" s="9131"/>
      <c r="AI4" s="9131"/>
      <c r="AJ4" s="9132"/>
      <c r="AL4" s="9130" t="s">
        <v>6318</v>
      </c>
      <c r="AM4" s="9131"/>
      <c r="AN4" s="9131"/>
      <c r="AO4" s="9132"/>
      <c r="AQ4" s="9130" t="s">
        <v>402</v>
      </c>
      <c r="AR4" s="9131"/>
      <c r="AS4" s="9132"/>
      <c r="AT4" s="10"/>
      <c r="AV4" s="9130" t="s">
        <v>6318</v>
      </c>
      <c r="AW4" s="9131"/>
      <c r="AX4" s="9131"/>
      <c r="AY4" s="9132"/>
      <c r="BA4" s="9130" t="s">
        <v>402</v>
      </c>
      <c r="BB4" s="9131"/>
      <c r="BC4" s="9132"/>
      <c r="BD4" s="10"/>
      <c r="BE4" s="9180" t="s">
        <v>404</v>
      </c>
      <c r="BF4" s="9130" t="s">
        <v>6318</v>
      </c>
      <c r="BG4" s="9131"/>
      <c r="BH4" s="9131"/>
      <c r="BI4" s="9132"/>
      <c r="BK4" s="9130" t="s">
        <v>402</v>
      </c>
      <c r="BL4" s="9131"/>
      <c r="BM4" s="9132"/>
      <c r="BN4" s="10"/>
      <c r="BQ4" s="9130" t="s">
        <v>402</v>
      </c>
      <c r="BR4" s="9131"/>
      <c r="BS4" s="9132"/>
      <c r="BT4" s="10"/>
      <c r="BW4" s="9180" t="s">
        <v>404</v>
      </c>
    </row>
    <row r="5" spans="1:75" x14ac:dyDescent="0.35">
      <c r="B5" s="1" t="s">
        <v>406</v>
      </c>
      <c r="C5" s="11">
        <v>2008</v>
      </c>
      <c r="F5" s="8324">
        <v>2011</v>
      </c>
      <c r="G5" s="12"/>
      <c r="H5" s="9138">
        <v>2013</v>
      </c>
      <c r="I5" s="9139"/>
      <c r="J5" s="9140"/>
      <c r="K5" s="12"/>
      <c r="L5" s="9138">
        <v>2014</v>
      </c>
      <c r="M5" s="9140"/>
      <c r="O5" s="9138">
        <v>2015</v>
      </c>
      <c r="P5" s="9140"/>
      <c r="R5" s="9138">
        <v>2014</v>
      </c>
      <c r="S5" s="9139"/>
      <c r="T5" s="9139"/>
      <c r="U5" s="9140"/>
      <c r="V5" s="12"/>
      <c r="W5" s="9138">
        <v>2015</v>
      </c>
      <c r="X5" s="9139"/>
      <c r="Y5" s="9139"/>
      <c r="Z5" s="9140"/>
      <c r="AA5" s="12"/>
      <c r="AB5" s="9138">
        <v>2016</v>
      </c>
      <c r="AC5" s="9139"/>
      <c r="AD5" s="9140"/>
      <c r="AE5" s="13"/>
      <c r="AG5" s="9138">
        <v>2015</v>
      </c>
      <c r="AH5" s="9139"/>
      <c r="AI5" s="9139"/>
      <c r="AJ5" s="9140"/>
      <c r="AK5" s="12"/>
      <c r="AL5" s="9138">
        <v>2016</v>
      </c>
      <c r="AM5" s="9139"/>
      <c r="AN5" s="9139"/>
      <c r="AO5" s="9140"/>
      <c r="AP5" s="12"/>
      <c r="AQ5" s="9138">
        <v>2017</v>
      </c>
      <c r="AR5" s="9139"/>
      <c r="AS5" s="9140"/>
      <c r="AT5" s="13"/>
      <c r="AV5" s="9138">
        <v>2017</v>
      </c>
      <c r="AW5" s="9139"/>
      <c r="AX5" s="9139"/>
      <c r="AY5" s="9140"/>
      <c r="AZ5" s="12"/>
      <c r="BA5" s="9138">
        <v>2018</v>
      </c>
      <c r="BB5" s="9139"/>
      <c r="BC5" s="9140"/>
      <c r="BD5" s="13"/>
      <c r="BE5" s="9181"/>
      <c r="BF5" s="9138">
        <v>2018</v>
      </c>
      <c r="BG5" s="9139"/>
      <c r="BH5" s="9139"/>
      <c r="BI5" s="9140"/>
      <c r="BJ5" s="12"/>
      <c r="BK5" s="9138">
        <v>2019</v>
      </c>
      <c r="BL5" s="9139"/>
      <c r="BM5" s="9140"/>
      <c r="BN5" s="13"/>
      <c r="BQ5" s="9138">
        <v>2020</v>
      </c>
      <c r="BR5" s="9139"/>
      <c r="BS5" s="9140"/>
      <c r="BT5" s="13"/>
      <c r="BW5" s="9181"/>
    </row>
    <row r="6" spans="1:75" x14ac:dyDescent="0.35">
      <c r="C6"/>
      <c r="F6" s="6"/>
      <c r="L6" s="14"/>
      <c r="O6" s="14"/>
      <c r="AB6" s="2669"/>
      <c r="AC6" s="14"/>
      <c r="AE6" s="14"/>
      <c r="AQ6" s="2669"/>
      <c r="AR6" s="14"/>
      <c r="AT6" s="14"/>
      <c r="BA6" s="2669"/>
      <c r="BB6" s="14"/>
      <c r="BD6" s="14"/>
      <c r="BE6" s="6"/>
      <c r="BK6" s="2669"/>
      <c r="BL6" s="14"/>
      <c r="BN6" s="14"/>
      <c r="BQ6" s="2669"/>
      <c r="BR6" s="14"/>
      <c r="BT6" s="14"/>
      <c r="BW6" s="6"/>
    </row>
    <row r="7" spans="1:75" ht="12.75" customHeight="1" x14ac:dyDescent="0.35">
      <c r="B7" s="1" t="s">
        <v>101</v>
      </c>
      <c r="C7" s="15" t="s">
        <v>3551</v>
      </c>
      <c r="D7" s="2" t="s">
        <v>417</v>
      </c>
      <c r="F7" s="8322" t="s">
        <v>6319</v>
      </c>
      <c r="H7" s="9173" t="s">
        <v>6320</v>
      </c>
      <c r="I7" s="9173"/>
      <c r="J7" s="9147" t="s">
        <v>419</v>
      </c>
      <c r="L7" s="9173" t="s">
        <v>6321</v>
      </c>
      <c r="M7" s="9173"/>
      <c r="O7" s="9173" t="s">
        <v>6321</v>
      </c>
      <c r="P7" s="9173"/>
      <c r="R7" s="9470" t="str">
        <f>O7</f>
        <v xml:space="preserve">ZMW </v>
      </c>
      <c r="S7" s="9470"/>
      <c r="T7" s="16"/>
      <c r="U7" s="9147" t="s">
        <v>419</v>
      </c>
      <c r="W7" s="9470" t="str">
        <f>R7</f>
        <v xml:space="preserve">ZMW </v>
      </c>
      <c r="X7" s="9470"/>
      <c r="Y7" s="16"/>
      <c r="Z7" s="9147" t="s">
        <v>419</v>
      </c>
      <c r="AB7" s="9149" t="str">
        <f>R7</f>
        <v xml:space="preserve">ZMW </v>
      </c>
      <c r="AC7" s="9150"/>
      <c r="AD7" s="9150"/>
      <c r="AE7" s="17"/>
      <c r="AG7" s="9470" t="s">
        <v>6322</v>
      </c>
      <c r="AH7" s="9470"/>
      <c r="AI7" s="16"/>
      <c r="AJ7" s="9147" t="s">
        <v>419</v>
      </c>
      <c r="AL7" s="9470" t="s">
        <v>6322</v>
      </c>
      <c r="AM7" s="9470"/>
      <c r="AN7" s="16"/>
      <c r="AO7" s="9147" t="s">
        <v>419</v>
      </c>
      <c r="AQ7" s="9149" t="s">
        <v>6322</v>
      </c>
      <c r="AR7" s="9150"/>
      <c r="AS7" s="9150"/>
      <c r="AT7" s="17"/>
      <c r="AV7" s="9470" t="s">
        <v>6322</v>
      </c>
      <c r="AW7" s="9470"/>
      <c r="AX7" s="16"/>
      <c r="AY7" s="9147" t="s">
        <v>419</v>
      </c>
      <c r="BA7" s="9149" t="s">
        <v>6322</v>
      </c>
      <c r="BB7" s="9150"/>
      <c r="BC7" s="9150"/>
      <c r="BD7" s="17"/>
      <c r="BE7" s="18"/>
      <c r="BF7" s="9470" t="s">
        <v>6322</v>
      </c>
      <c r="BG7" s="9470"/>
      <c r="BH7" s="16"/>
      <c r="BI7" s="9147" t="s">
        <v>419</v>
      </c>
      <c r="BK7" s="9149" t="s">
        <v>6322</v>
      </c>
      <c r="BL7" s="9150"/>
      <c r="BM7" s="9150"/>
      <c r="BN7" s="17"/>
      <c r="BQ7" s="9149" t="s">
        <v>6322</v>
      </c>
      <c r="BR7" s="9150"/>
      <c r="BS7" s="9150"/>
      <c r="BT7" s="17"/>
      <c r="BW7" s="18"/>
    </row>
    <row r="8" spans="1:75" x14ac:dyDescent="0.35">
      <c r="B8" s="1" t="s">
        <v>420</v>
      </c>
      <c r="C8" s="19" t="s">
        <v>589</v>
      </c>
      <c r="F8" s="20" t="s">
        <v>96</v>
      </c>
      <c r="H8" s="20" t="s">
        <v>423</v>
      </c>
      <c r="I8" s="20" t="s">
        <v>96</v>
      </c>
      <c r="J8" s="9148"/>
      <c r="L8" s="21" t="s">
        <v>1298</v>
      </c>
      <c r="M8" s="20" t="s">
        <v>96</v>
      </c>
      <c r="O8" s="21" t="s">
        <v>1298</v>
      </c>
      <c r="P8" s="20" t="s">
        <v>96</v>
      </c>
      <c r="R8" s="2671" t="s">
        <v>424</v>
      </c>
      <c r="S8" s="2671" t="s">
        <v>96</v>
      </c>
      <c r="T8" s="22" t="s">
        <v>425</v>
      </c>
      <c r="U8" s="9148"/>
      <c r="W8" s="2671" t="s">
        <v>424</v>
      </c>
      <c r="X8" s="2671" t="s">
        <v>96</v>
      </c>
      <c r="Y8" s="22" t="s">
        <v>425</v>
      </c>
      <c r="Z8" s="9148"/>
      <c r="AB8" s="2672" t="s">
        <v>424</v>
      </c>
      <c r="AC8" s="22" t="s">
        <v>425</v>
      </c>
      <c r="AD8" s="4044" t="s">
        <v>96</v>
      </c>
      <c r="AE8" s="22" t="s">
        <v>425</v>
      </c>
      <c r="AG8" s="2671" t="s">
        <v>424</v>
      </c>
      <c r="AH8" s="2671" t="s">
        <v>96</v>
      </c>
      <c r="AI8" s="22" t="s">
        <v>425</v>
      </c>
      <c r="AJ8" s="9148"/>
      <c r="AL8" s="2671" t="s">
        <v>424</v>
      </c>
      <c r="AM8" s="2671" t="s">
        <v>96</v>
      </c>
      <c r="AN8" s="22" t="s">
        <v>425</v>
      </c>
      <c r="AO8" s="9148"/>
      <c r="AQ8" s="2672" t="s">
        <v>424</v>
      </c>
      <c r="AR8" s="22" t="s">
        <v>425</v>
      </c>
      <c r="AS8" s="4044" t="s">
        <v>96</v>
      </c>
      <c r="AT8" s="22" t="s">
        <v>425</v>
      </c>
      <c r="AV8" s="2671" t="s">
        <v>424</v>
      </c>
      <c r="AW8" s="2671" t="s">
        <v>96</v>
      </c>
      <c r="AX8" s="22" t="s">
        <v>425</v>
      </c>
      <c r="AY8" s="9148"/>
      <c r="BA8" s="2672" t="s">
        <v>424</v>
      </c>
      <c r="BB8" s="22" t="s">
        <v>425</v>
      </c>
      <c r="BC8" s="4044" t="s">
        <v>96</v>
      </c>
      <c r="BD8" s="22" t="s">
        <v>425</v>
      </c>
      <c r="BE8" s="24"/>
      <c r="BF8" s="2671" t="s">
        <v>424</v>
      </c>
      <c r="BG8" s="2671" t="s">
        <v>96</v>
      </c>
      <c r="BH8" s="22" t="s">
        <v>425</v>
      </c>
      <c r="BI8" s="9148"/>
      <c r="BK8" s="2672" t="s">
        <v>424</v>
      </c>
      <c r="BL8" s="22" t="s">
        <v>425</v>
      </c>
      <c r="BM8" s="4044" t="s">
        <v>96</v>
      </c>
      <c r="BN8" s="22" t="s">
        <v>425</v>
      </c>
      <c r="BQ8" s="2672" t="s">
        <v>424</v>
      </c>
      <c r="BR8" s="22" t="s">
        <v>425</v>
      </c>
      <c r="BS8" s="4044" t="s">
        <v>96</v>
      </c>
      <c r="BT8" s="22" t="s">
        <v>425</v>
      </c>
      <c r="BW8" s="24"/>
    </row>
    <row r="9" spans="1:75" x14ac:dyDescent="0.35">
      <c r="C9"/>
      <c r="E9"/>
      <c r="F9"/>
      <c r="G9"/>
      <c r="H9"/>
      <c r="I9"/>
      <c r="J9" s="25"/>
      <c r="K9"/>
      <c r="N9"/>
      <c r="Q9"/>
      <c r="R9" s="254"/>
      <c r="S9" s="254"/>
      <c r="T9"/>
      <c r="U9" s="25"/>
      <c r="V9"/>
      <c r="W9" s="254"/>
      <c r="X9" s="254"/>
      <c r="Y9"/>
      <c r="Z9" s="25"/>
      <c r="AA9"/>
      <c r="AE9" s="26"/>
      <c r="AF9"/>
      <c r="AG9" s="254"/>
      <c r="AH9" s="254"/>
      <c r="AI9"/>
      <c r="AJ9" s="25"/>
      <c r="AK9"/>
      <c r="AL9" s="254"/>
      <c r="AM9" s="254"/>
      <c r="AN9"/>
      <c r="AO9" s="25"/>
      <c r="AP9"/>
      <c r="AT9" s="26"/>
      <c r="AU9"/>
      <c r="AV9" s="254"/>
      <c r="AW9" s="254"/>
      <c r="AX9"/>
      <c r="AY9" s="25"/>
      <c r="AZ9"/>
      <c r="BD9" s="26"/>
      <c r="BF9" s="254"/>
      <c r="BG9" s="254"/>
      <c r="BH9"/>
      <c r="BI9" s="25"/>
      <c r="BJ9"/>
      <c r="BN9" s="26"/>
      <c r="BO9"/>
      <c r="BP9"/>
      <c r="BT9" s="26"/>
      <c r="BU9"/>
      <c r="BV9"/>
    </row>
    <row r="10" spans="1:75" ht="33.25" customHeight="1" x14ac:dyDescent="0.35">
      <c r="A10" s="9167" t="s">
        <v>426</v>
      </c>
      <c r="B10" s="27"/>
      <c r="C10" s="28" t="s">
        <v>427</v>
      </c>
      <c r="D10" s="580" t="s">
        <v>428</v>
      </c>
      <c r="E10" s="30"/>
      <c r="F10" s="36" t="s">
        <v>6323</v>
      </c>
      <c r="G10"/>
      <c r="H10" s="36" t="s">
        <v>6324</v>
      </c>
      <c r="I10" s="36" t="s">
        <v>6325</v>
      </c>
      <c r="J10" s="32"/>
      <c r="K10" s="33"/>
      <c r="L10" s="31" t="s">
        <v>6326</v>
      </c>
      <c r="M10" s="34" t="s">
        <v>593</v>
      </c>
      <c r="N10" s="33"/>
      <c r="O10" s="31" t="s">
        <v>6327</v>
      </c>
      <c r="P10" s="34" t="s">
        <v>593</v>
      </c>
      <c r="Q10" s="33"/>
      <c r="R10" s="4045" t="s">
        <v>424</v>
      </c>
      <c r="S10" s="4045" t="s">
        <v>6328</v>
      </c>
      <c r="T10" s="35" t="s">
        <v>6329</v>
      </c>
      <c r="U10" s="32"/>
      <c r="V10" s="33"/>
      <c r="W10" s="31" t="s">
        <v>6327</v>
      </c>
      <c r="X10" s="34" t="s">
        <v>593</v>
      </c>
      <c r="Y10" s="35" t="s">
        <v>6330</v>
      </c>
      <c r="Z10" s="32"/>
      <c r="AA10" s="33"/>
      <c r="AB10" s="2687" t="s">
        <v>6331</v>
      </c>
      <c r="AC10" s="35" t="s">
        <v>6330</v>
      </c>
      <c r="AD10" s="4046"/>
      <c r="AE10" s="37"/>
      <c r="AF10" s="33"/>
      <c r="AG10" s="4045" t="s">
        <v>6327</v>
      </c>
      <c r="AH10" s="4045" t="s">
        <v>6332</v>
      </c>
      <c r="AI10" s="35" t="s">
        <v>6333</v>
      </c>
      <c r="AJ10" s="32"/>
      <c r="AK10" s="33"/>
      <c r="AL10" s="31"/>
      <c r="AM10" s="34" t="s">
        <v>593</v>
      </c>
      <c r="AN10" s="35" t="s">
        <v>6333</v>
      </c>
      <c r="AO10" s="32"/>
      <c r="AP10" s="33"/>
      <c r="AQ10" s="2687" t="s">
        <v>6334</v>
      </c>
      <c r="AR10" s="35" t="s">
        <v>6333</v>
      </c>
      <c r="AS10" s="4046"/>
      <c r="AT10" s="37"/>
      <c r="AU10" s="33"/>
      <c r="AV10" s="2687" t="s">
        <v>6334</v>
      </c>
      <c r="AW10" s="34" t="s">
        <v>6335</v>
      </c>
      <c r="AX10" s="35" t="s">
        <v>6333</v>
      </c>
      <c r="AY10" s="32"/>
      <c r="AZ10" s="33"/>
      <c r="BA10" s="2687" t="s">
        <v>6336</v>
      </c>
      <c r="BB10" s="35" t="s">
        <v>6337</v>
      </c>
      <c r="BC10" s="4047" t="s">
        <v>6338</v>
      </c>
      <c r="BD10" s="37"/>
      <c r="BE10" s="39"/>
      <c r="BF10" s="2687" t="s">
        <v>6339</v>
      </c>
      <c r="BG10" s="7648" t="s">
        <v>6340</v>
      </c>
      <c r="BH10" s="3375" t="s">
        <v>6341</v>
      </c>
      <c r="BI10" s="32"/>
      <c r="BJ10" s="33"/>
      <c r="BK10" s="2687" t="s">
        <v>6336</v>
      </c>
      <c r="BL10" s="3375"/>
      <c r="BM10" s="7649" t="s">
        <v>6342</v>
      </c>
      <c r="BN10" s="7090"/>
      <c r="BO10" s="33"/>
      <c r="BP10" s="33"/>
      <c r="BQ10" s="2687" t="s">
        <v>6343</v>
      </c>
      <c r="BR10" s="4047" t="s">
        <v>6342</v>
      </c>
      <c r="BS10" s="2687" t="s">
        <v>6343</v>
      </c>
      <c r="BT10" s="37"/>
      <c r="BU10" s="33"/>
      <c r="BV10" s="33"/>
      <c r="BW10" s="39"/>
    </row>
    <row r="11" spans="1:75" ht="12.75" customHeight="1" x14ac:dyDescent="0.35">
      <c r="A11" s="9168"/>
      <c r="B11" s="40" t="s">
        <v>451</v>
      </c>
      <c r="C11" s="41"/>
      <c r="D11" s="585"/>
      <c r="E11" s="43"/>
      <c r="F11" s="44"/>
      <c r="G11"/>
      <c r="H11" s="45"/>
      <c r="I11" s="46"/>
      <c r="J11" s="47"/>
      <c r="K11" s="48"/>
      <c r="L11" s="45"/>
      <c r="M11" s="49"/>
      <c r="N11" s="50"/>
      <c r="O11" s="45"/>
      <c r="P11" s="49"/>
      <c r="Q11" s="50"/>
      <c r="R11" s="4048"/>
      <c r="S11" s="4049"/>
      <c r="T11" s="53"/>
      <c r="U11" s="47"/>
      <c r="V11" s="48"/>
      <c r="W11" s="4048"/>
      <c r="X11" s="348"/>
      <c r="Y11" s="231"/>
      <c r="Z11" s="47"/>
      <c r="AA11" s="739"/>
      <c r="AB11" s="4050" t="s">
        <v>6344</v>
      </c>
      <c r="AC11" s="53" t="s">
        <v>6344</v>
      </c>
      <c r="AD11" s="4051"/>
      <c r="AE11" s="3377"/>
      <c r="AF11" s="50"/>
      <c r="AG11" s="4048"/>
      <c r="AH11" s="4049"/>
      <c r="AI11" s="53"/>
      <c r="AJ11" s="47"/>
      <c r="AK11" s="48"/>
      <c r="AL11" s="4048" t="s">
        <v>6344</v>
      </c>
      <c r="AM11" s="348"/>
      <c r="AN11" s="231" t="s">
        <v>6344</v>
      </c>
      <c r="AO11" s="47"/>
      <c r="AP11" s="739"/>
      <c r="AQ11" s="4052" t="s">
        <v>6345</v>
      </c>
      <c r="AR11" s="53"/>
      <c r="AS11" s="4051"/>
      <c r="AT11" s="3377"/>
      <c r="AU11" s="50"/>
      <c r="AV11" s="4052" t="s">
        <v>6345</v>
      </c>
      <c r="AW11" s="348"/>
      <c r="AX11"/>
      <c r="AY11" s="47"/>
      <c r="AZ11" s="739"/>
      <c r="BA11" s="4052" t="s">
        <v>6346</v>
      </c>
      <c r="BB11" s="53"/>
      <c r="BC11" s="4051"/>
      <c r="BD11" s="3377"/>
      <c r="BE11" s="18"/>
      <c r="BF11" s="7650" t="s">
        <v>6347</v>
      </c>
      <c r="BG11" s="7651"/>
      <c r="BH11" s="348" t="s">
        <v>6348</v>
      </c>
      <c r="BI11" s="47"/>
      <c r="BJ11" s="739"/>
      <c r="BK11" s="7650" t="s">
        <v>6349</v>
      </c>
      <c r="BL11" s="109"/>
      <c r="BM11" s="7651"/>
      <c r="BN11" s="3377"/>
      <c r="BO11" s="50"/>
      <c r="BP11" s="50"/>
      <c r="BQ11" s="8548"/>
      <c r="BR11" s="109" t="s">
        <v>6350</v>
      </c>
      <c r="BS11" s="7651"/>
      <c r="BT11" s="3377"/>
      <c r="BU11" s="50"/>
      <c r="BV11" s="50"/>
      <c r="BW11" s="18"/>
    </row>
    <row r="12" spans="1:75" x14ac:dyDescent="0.35">
      <c r="A12" s="9168"/>
      <c r="B12" s="58"/>
      <c r="C12" s="59" t="s">
        <v>456</v>
      </c>
      <c r="D12" s="197"/>
      <c r="F12" s="61">
        <f>18414001940665+1526071740720</f>
        <v>19940073681385</v>
      </c>
      <c r="G12"/>
      <c r="H12" s="62">
        <f>H16-H13</f>
        <v>24970796728</v>
      </c>
      <c r="I12" s="63">
        <f>22431705997+2163677593</f>
        <v>24595383590</v>
      </c>
      <c r="J12" s="64">
        <f>IF(H12=0,0,I12/H12)</f>
        <v>0.98496591269837031</v>
      </c>
      <c r="K12" s="65"/>
      <c r="L12" s="62">
        <v>30297130000</v>
      </c>
      <c r="M12" s="66">
        <f t="shared" ref="M12:M13" si="0">L12*J12</f>
        <v>29841640302.591175</v>
      </c>
      <c r="N12" s="67"/>
      <c r="O12" s="62">
        <v>33482327000</v>
      </c>
      <c r="P12" s="66">
        <f>O12*J12</f>
        <v>32978950772.820286</v>
      </c>
      <c r="Q12" s="67"/>
      <c r="R12" s="71">
        <f>L12</f>
        <v>30297130000</v>
      </c>
      <c r="S12" s="74">
        <f>26835426951+2814159918</f>
        <v>29649586869</v>
      </c>
      <c r="T12" s="70" t="s">
        <v>6351</v>
      </c>
      <c r="U12" s="64">
        <f>S12/R12</f>
        <v>0.97862691512364375</v>
      </c>
      <c r="V12" s="65"/>
      <c r="W12" s="71">
        <f>O12</f>
        <v>33482327000</v>
      </c>
      <c r="X12" s="106">
        <f>W12*U12</f>
        <v>32766706383.171085</v>
      </c>
      <c r="Y12" s="70"/>
      <c r="Z12" s="64">
        <f>IF(X12=0,1,X12/W12)</f>
        <v>0.97862691512364375</v>
      </c>
      <c r="AA12" s="65"/>
      <c r="AB12" s="71">
        <v>42109100000</v>
      </c>
      <c r="AC12" s="57"/>
      <c r="AD12" s="106">
        <f>AB12*Z12</f>
        <v>41209098631.633026</v>
      </c>
      <c r="AE12" s="237"/>
      <c r="AF12" s="67"/>
      <c r="AG12" s="71">
        <f>W12</f>
        <v>33482327000</v>
      </c>
      <c r="AH12" s="74"/>
      <c r="AI12" s="70" t="s">
        <v>6351</v>
      </c>
      <c r="AJ12" s="64">
        <f>AH12/AG12</f>
        <v>0</v>
      </c>
      <c r="AK12" s="65"/>
      <c r="AL12" s="71">
        <v>42109100000</v>
      </c>
      <c r="AM12" s="106">
        <f>AL12*AJ12</f>
        <v>0</v>
      </c>
      <c r="AN12" s="70"/>
      <c r="AO12" s="64">
        <f>IF(AM12=0,1,AM12/AL12)</f>
        <v>1</v>
      </c>
      <c r="AP12" s="65"/>
      <c r="AQ12" s="71">
        <v>42939787000</v>
      </c>
      <c r="AR12" s="57" t="s">
        <v>6352</v>
      </c>
      <c r="AS12" s="106"/>
      <c r="AT12" s="237"/>
      <c r="AU12" s="67"/>
      <c r="AV12" s="71">
        <v>42939787000</v>
      </c>
      <c r="AW12" s="4053">
        <v>42565564000</v>
      </c>
      <c r="AX12" s="4053"/>
      <c r="AY12" s="64">
        <f>IF(AW12=0,1,AW12/AV12)</f>
        <v>0.99128493581023125</v>
      </c>
      <c r="AZ12" s="65"/>
      <c r="BA12" s="71">
        <v>49087018000</v>
      </c>
      <c r="BB12" s="57" t="s">
        <v>4929</v>
      </c>
      <c r="BC12" s="106">
        <f>BA12*AY12</f>
        <v>48659221487.245667</v>
      </c>
      <c r="BD12" s="237"/>
      <c r="BE12" s="26"/>
      <c r="BF12" s="71">
        <v>49087018000</v>
      </c>
      <c r="BG12" s="74"/>
      <c r="BH12" s="57" t="s">
        <v>6353</v>
      </c>
      <c r="BI12" s="476"/>
      <c r="BJ12" s="65"/>
      <c r="BK12" s="71">
        <v>55844981000</v>
      </c>
      <c r="BL12" s="57"/>
      <c r="BM12" s="74"/>
      <c r="BN12" s="237"/>
      <c r="BO12" s="67"/>
      <c r="BP12" s="67"/>
      <c r="BQ12" s="71">
        <v>71927000000</v>
      </c>
      <c r="BR12" s="57" t="s">
        <v>6354</v>
      </c>
      <c r="BS12" s="74">
        <v>65722000000</v>
      </c>
      <c r="BT12" s="237"/>
      <c r="BU12" s="67"/>
      <c r="BV12" s="67"/>
      <c r="BW12" s="26"/>
    </row>
    <row r="13" spans="1:75" x14ac:dyDescent="0.35">
      <c r="A13" s="9168"/>
      <c r="B13" s="58"/>
      <c r="C13" s="59" t="s">
        <v>1041</v>
      </c>
      <c r="D13" s="197">
        <v>1</v>
      </c>
      <c r="F13" s="61">
        <v>680054400000</v>
      </c>
      <c r="G13"/>
      <c r="H13" s="62">
        <f>561658292+147217686</f>
        <v>708875978</v>
      </c>
      <c r="I13" s="63">
        <v>347242920</v>
      </c>
      <c r="J13" s="73">
        <f t="shared" ref="J13:J16" si="1">IF(H13=0,0,I13/H13)</f>
        <v>0.48985003128431587</v>
      </c>
      <c r="K13" s="65"/>
      <c r="L13" s="62">
        <v>279771000</v>
      </c>
      <c r="M13" s="66">
        <f t="shared" si="0"/>
        <v>137045833.10244432</v>
      </c>
      <c r="N13" s="67"/>
      <c r="O13" s="62">
        <v>1213592000</v>
      </c>
      <c r="P13" s="66">
        <f t="shared" ref="P13:P16" si="2">O13*J13</f>
        <v>594478079.16639543</v>
      </c>
      <c r="Q13" s="67"/>
      <c r="R13" s="71">
        <f>L13</f>
        <v>279771000</v>
      </c>
      <c r="S13" s="74">
        <v>291257226</v>
      </c>
      <c r="T13" s="70" t="s">
        <v>6355</v>
      </c>
      <c r="U13" s="64">
        <f t="shared" ref="U13:U16" si="3">S13/R13</f>
        <v>1.0410558135046162</v>
      </c>
      <c r="V13" s="65"/>
      <c r="W13" s="71">
        <f>O13</f>
        <v>1213592000</v>
      </c>
      <c r="X13" s="106">
        <f>W13*U13</f>
        <v>1263417006.8226941</v>
      </c>
      <c r="Y13" s="57"/>
      <c r="Z13" s="64">
        <f>IF(X13=0,1,X13/W13)</f>
        <v>1.0410558135046162</v>
      </c>
      <c r="AA13" s="65"/>
      <c r="AB13" s="62">
        <v>545900000</v>
      </c>
      <c r="AC13" s="57"/>
      <c r="AD13" s="106">
        <f t="shared" ref="AD13:AD15" si="4">AB13*Z13</f>
        <v>568312368.59217</v>
      </c>
      <c r="AE13" s="237"/>
      <c r="AF13" s="67"/>
      <c r="AG13" s="71">
        <f>W13</f>
        <v>1213592000</v>
      </c>
      <c r="AH13" s="74"/>
      <c r="AI13" s="70" t="s">
        <v>6355</v>
      </c>
      <c r="AJ13" s="64">
        <f t="shared" ref="AJ13" si="5">AH13/AG13</f>
        <v>0</v>
      </c>
      <c r="AK13" s="65"/>
      <c r="AL13" s="71">
        <v>545900000</v>
      </c>
      <c r="AM13" s="106">
        <f>AL13*AJ13</f>
        <v>0</v>
      </c>
      <c r="AN13" s="57"/>
      <c r="AO13" s="64">
        <f>IF(AM13=0,1,AM13/AL13)</f>
        <v>1</v>
      </c>
      <c r="AP13" s="65"/>
      <c r="AQ13" s="62">
        <v>2396469000</v>
      </c>
      <c r="AR13" s="57" t="s">
        <v>6352</v>
      </c>
      <c r="AS13" s="106"/>
      <c r="AT13" s="237"/>
      <c r="AU13" s="67"/>
      <c r="AV13" s="62">
        <v>2396469000</v>
      </c>
      <c r="AW13" s="235">
        <v>466621000</v>
      </c>
      <c r="AX13" s="235"/>
      <c r="AY13" s="64">
        <f>IF(AW13=0,1,AW13/AV13)</f>
        <v>0.19471188652972352</v>
      </c>
      <c r="AZ13" s="65"/>
      <c r="BA13" s="62">
        <v>2438301000</v>
      </c>
      <c r="BB13" s="57"/>
      <c r="BC13" s="106">
        <f t="shared" ref="BC13:BC15" si="6">BA13*AY13</f>
        <v>474766187.6373114</v>
      </c>
      <c r="BD13" s="237"/>
      <c r="BE13" s="26" t="s">
        <v>6356</v>
      </c>
      <c r="BF13" s="62">
        <v>2438301000</v>
      </c>
      <c r="BG13" s="74"/>
      <c r="BH13" s="57" t="s">
        <v>2501</v>
      </c>
      <c r="BI13" s="476"/>
      <c r="BJ13" s="65"/>
      <c r="BK13" s="62"/>
      <c r="BL13" s="57"/>
      <c r="BM13" s="74"/>
      <c r="BN13" s="237"/>
      <c r="BO13" s="67"/>
      <c r="BP13" s="67"/>
      <c r="BQ13" s="62">
        <v>3108000000</v>
      </c>
      <c r="BR13" s="57" t="s">
        <v>2501</v>
      </c>
      <c r="BS13" s="74">
        <v>1715000000</v>
      </c>
      <c r="BT13" s="237"/>
      <c r="BU13" s="67"/>
      <c r="BV13" s="67"/>
      <c r="BW13" s="26" t="s">
        <v>6356</v>
      </c>
    </row>
    <row r="14" spans="1:75" x14ac:dyDescent="0.35">
      <c r="A14" s="9168"/>
      <c r="B14" s="75"/>
      <c r="C14" s="76" t="s">
        <v>465</v>
      </c>
      <c r="D14" s="197"/>
      <c r="F14" s="77"/>
      <c r="G14"/>
      <c r="H14" s="78"/>
      <c r="I14" s="79"/>
      <c r="J14" s="73"/>
      <c r="K14" s="80"/>
      <c r="L14" s="78"/>
      <c r="M14" s="66"/>
      <c r="N14" s="67"/>
      <c r="O14" s="78"/>
      <c r="P14" s="66"/>
      <c r="Q14" s="67"/>
      <c r="R14" s="760"/>
      <c r="S14" s="84"/>
      <c r="T14" s="53"/>
      <c r="U14" s="64"/>
      <c r="V14" s="80"/>
      <c r="W14" s="760"/>
      <c r="X14" s="106"/>
      <c r="Y14" s="57"/>
      <c r="Z14" s="64">
        <f t="shared" ref="Z14:Z15" si="7">IF(X14=0,1,X14/W14)</f>
        <v>1</v>
      </c>
      <c r="AA14" s="80"/>
      <c r="AB14" s="78">
        <v>7971300000</v>
      </c>
      <c r="AC14" s="57"/>
      <c r="AD14" s="106">
        <f t="shared" si="4"/>
        <v>7971300000</v>
      </c>
      <c r="AE14" s="237"/>
      <c r="AF14" s="67"/>
      <c r="AG14" s="760"/>
      <c r="AH14" s="84"/>
      <c r="AI14" s="53"/>
      <c r="AJ14" s="64"/>
      <c r="AK14" s="80"/>
      <c r="AL14" s="760">
        <v>7971300000</v>
      </c>
      <c r="AM14" s="106"/>
      <c r="AN14" s="57"/>
      <c r="AO14" s="64">
        <f t="shared" ref="AO14:AO15" si="8">IF(AM14=0,1,AM14/AL14)</f>
        <v>1</v>
      </c>
      <c r="AP14" s="80"/>
      <c r="AQ14" s="78"/>
      <c r="AR14" s="57"/>
      <c r="AS14" s="106"/>
      <c r="AT14" s="237"/>
      <c r="AU14" s="67"/>
      <c r="AV14" s="78"/>
      <c r="AW14" s="57"/>
      <c r="AX14" s="57"/>
      <c r="AY14" s="64">
        <f t="shared" ref="AY14:AY15" si="9">IF(AW14=0,1,AW14/AV14)</f>
        <v>1</v>
      </c>
      <c r="AZ14" s="80"/>
      <c r="BA14" s="78">
        <f>1425000000+7558778000</f>
        <v>8983778000</v>
      </c>
      <c r="BB14" s="57" t="s">
        <v>6357</v>
      </c>
      <c r="BC14" s="106">
        <f t="shared" si="6"/>
        <v>8983778000</v>
      </c>
      <c r="BD14" s="237"/>
      <c r="BE14" s="26"/>
      <c r="BF14" s="78"/>
      <c r="BG14" s="84"/>
      <c r="BH14" s="57"/>
      <c r="BI14" s="476"/>
      <c r="BJ14" s="80"/>
      <c r="BK14" s="78"/>
      <c r="BL14" s="57"/>
      <c r="BM14" s="84"/>
      <c r="BN14" s="237"/>
      <c r="BO14" s="67"/>
      <c r="BP14" s="67"/>
      <c r="BQ14" s="78"/>
      <c r="BR14" s="57"/>
      <c r="BS14" s="84"/>
      <c r="BT14" s="237"/>
      <c r="BU14" s="67"/>
      <c r="BV14" s="67"/>
      <c r="BW14" s="26"/>
    </row>
    <row r="15" spans="1:75" x14ac:dyDescent="0.35">
      <c r="A15" s="9168"/>
      <c r="B15" s="75"/>
      <c r="C15" s="76" t="s">
        <v>6358</v>
      </c>
      <c r="D15" s="197"/>
      <c r="F15" s="77"/>
      <c r="G15"/>
      <c r="H15" s="78"/>
      <c r="I15" s="79"/>
      <c r="J15" s="73"/>
      <c r="K15" s="80"/>
      <c r="L15" s="78"/>
      <c r="M15" s="66"/>
      <c r="N15" s="67"/>
      <c r="O15" s="78"/>
      <c r="P15" s="66"/>
      <c r="Q15" s="67"/>
      <c r="R15" s="760"/>
      <c r="S15" s="84"/>
      <c r="T15" s="53"/>
      <c r="U15" s="64"/>
      <c r="V15" s="80"/>
      <c r="W15" s="760"/>
      <c r="X15" s="106"/>
      <c r="Y15" s="57"/>
      <c r="Z15" s="64">
        <f t="shared" si="7"/>
        <v>1</v>
      </c>
      <c r="AA15" s="80"/>
      <c r="AB15" s="78">
        <v>2509500000</v>
      </c>
      <c r="AC15" s="57"/>
      <c r="AD15" s="106">
        <f t="shared" si="4"/>
        <v>2509500000</v>
      </c>
      <c r="AE15" s="237"/>
      <c r="AF15" s="67"/>
      <c r="AG15" s="760"/>
      <c r="AH15" s="84"/>
      <c r="AI15" s="53"/>
      <c r="AJ15" s="64"/>
      <c r="AK15" s="80"/>
      <c r="AL15" s="760">
        <v>2509500000</v>
      </c>
      <c r="AM15" s="106"/>
      <c r="AN15" s="57"/>
      <c r="AO15" s="64">
        <f t="shared" si="8"/>
        <v>1</v>
      </c>
      <c r="AP15" s="80"/>
      <c r="AQ15" s="78"/>
      <c r="AR15" s="57"/>
      <c r="AS15" s="106"/>
      <c r="AT15" s="237"/>
      <c r="AU15" s="67"/>
      <c r="AV15" s="78"/>
      <c r="AW15" s="57"/>
      <c r="AX15" s="57"/>
      <c r="AY15" s="64">
        <f t="shared" si="9"/>
        <v>1</v>
      </c>
      <c r="AZ15" s="80"/>
      <c r="BA15" s="78">
        <v>11153290000</v>
      </c>
      <c r="BB15" s="57"/>
      <c r="BC15" s="106">
        <f t="shared" si="6"/>
        <v>11153290000</v>
      </c>
      <c r="BD15" s="237"/>
      <c r="BE15" s="26"/>
      <c r="BF15" s="78"/>
      <c r="BG15" s="84"/>
      <c r="BH15" s="57"/>
      <c r="BI15" s="476"/>
      <c r="BJ15" s="80"/>
      <c r="BK15" s="78"/>
      <c r="BL15" s="57"/>
      <c r="BM15" s="84"/>
      <c r="BN15" s="237"/>
      <c r="BO15" s="67"/>
      <c r="BP15" s="67"/>
      <c r="BQ15" s="78"/>
      <c r="BR15" s="57"/>
      <c r="BS15" s="84"/>
      <c r="BT15" s="237"/>
      <c r="BU15" s="67"/>
      <c r="BV15" s="67"/>
      <c r="BW15" s="26"/>
    </row>
    <row r="16" spans="1:75" x14ac:dyDescent="0.35">
      <c r="A16" s="9168"/>
      <c r="B16" s="85"/>
      <c r="C16" s="86" t="s">
        <v>466</v>
      </c>
      <c r="D16" s="209"/>
      <c r="F16" s="88">
        <f>SUM(F12:F13)</f>
        <v>20620128081385</v>
      </c>
      <c r="G16"/>
      <c r="H16" s="89">
        <f>32761329135-315757343-3902465086-2863434000</f>
        <v>25679672706</v>
      </c>
      <c r="I16" s="90">
        <f>SUM(I12:I13)</f>
        <v>24942626510</v>
      </c>
      <c r="J16" s="91">
        <f t="shared" si="1"/>
        <v>0.97129845833947137</v>
      </c>
      <c r="K16" s="80"/>
      <c r="L16" s="89">
        <f>SUM(L12:L13)</f>
        <v>30576901000</v>
      </c>
      <c r="M16" s="92">
        <f>SUM(M12:M13)</f>
        <v>29978686135.693619</v>
      </c>
      <c r="N16" s="67"/>
      <c r="O16" s="89">
        <f>SUM(O12:O13)</f>
        <v>34695919000</v>
      </c>
      <c r="P16" s="92">
        <f t="shared" si="2"/>
        <v>33700092635.371174</v>
      </c>
      <c r="Q16" s="67"/>
      <c r="R16" s="768">
        <f>SUM(R12:R14)</f>
        <v>30576901000</v>
      </c>
      <c r="S16" s="99">
        <f>SUM(S12:S14)</f>
        <v>29940844095</v>
      </c>
      <c r="T16" s="95" t="s">
        <v>6359</v>
      </c>
      <c r="U16" s="64">
        <f t="shared" si="3"/>
        <v>0.97919812393675865</v>
      </c>
      <c r="V16" s="80"/>
      <c r="W16" s="768">
        <f>SUM(W12:W14)</f>
        <v>34695919000</v>
      </c>
      <c r="X16" s="216">
        <f>SUM(X12:X14)</f>
        <v>34030123389.993778</v>
      </c>
      <c r="Y16" s="98"/>
      <c r="Z16" s="64">
        <f>IF(X16=0,1,X16/W16)</f>
        <v>0.98081054979387572</v>
      </c>
      <c r="AA16" s="80"/>
      <c r="AB16" s="89">
        <f>SUM(AB12:AB15)</f>
        <v>53135800000</v>
      </c>
      <c r="AC16" s="95"/>
      <c r="AD16" s="216">
        <f>SUM(AD12:AD15)</f>
        <v>52258211000.225197</v>
      </c>
      <c r="AE16" s="3354"/>
      <c r="AF16" s="67"/>
      <c r="AG16" s="768">
        <f>SUM(AG12:AG14)</f>
        <v>34695919000</v>
      </c>
      <c r="AH16" s="99">
        <f>SUM(AH12:AH14)</f>
        <v>0</v>
      </c>
      <c r="AI16" s="95" t="s">
        <v>6359</v>
      </c>
      <c r="AJ16" s="64">
        <f t="shared" ref="AJ16" si="10">AH16/AG16</f>
        <v>0</v>
      </c>
      <c r="AK16" s="80"/>
      <c r="AL16" s="768">
        <f>SUM(AL12:AL15)</f>
        <v>53135800000</v>
      </c>
      <c r="AM16" s="216">
        <f>SUM(AM12:AM14)</f>
        <v>0</v>
      </c>
      <c r="AN16" s="98"/>
      <c r="AO16" s="64">
        <f>IF(AM16=0,1,AM16/AL16)</f>
        <v>1</v>
      </c>
      <c r="AP16" s="80"/>
      <c r="AQ16" s="89">
        <f>SUM(AQ12:AQ15)</f>
        <v>45336256000</v>
      </c>
      <c r="AR16" s="95" t="s">
        <v>6352</v>
      </c>
      <c r="AS16" s="216"/>
      <c r="AT16" s="3354"/>
      <c r="AU16" s="67"/>
      <c r="AV16" s="89">
        <f>SUM(AV12:AV15)</f>
        <v>45336256000</v>
      </c>
      <c r="AW16" s="4054">
        <f>SUM(AW12:AW15)</f>
        <v>43032185000</v>
      </c>
      <c r="AX16" s="98"/>
      <c r="AY16" s="64">
        <f>IF(AW16=0,1,AW16/AV16)</f>
        <v>0.9491781809243357</v>
      </c>
      <c r="AZ16" s="80"/>
      <c r="BA16" s="89">
        <f>SUM(BA12:BA15)</f>
        <v>71662387000</v>
      </c>
      <c r="BB16" s="95"/>
      <c r="BC16" s="216">
        <f>SUM(BC12:BC15)</f>
        <v>69271055674.88298</v>
      </c>
      <c r="BD16" s="3354"/>
      <c r="BE16" s="24"/>
      <c r="BF16" s="89">
        <f>SUM(BF12:BF15)</f>
        <v>51525319000</v>
      </c>
      <c r="BG16" s="99">
        <f>SUM(BG12:BG15)</f>
        <v>0</v>
      </c>
      <c r="BH16" s="98"/>
      <c r="BI16" s="476"/>
      <c r="BJ16" s="80"/>
      <c r="BK16" s="89">
        <f>SUM(BK12:BK15)</f>
        <v>55844981000</v>
      </c>
      <c r="BL16" s="95"/>
      <c r="BM16" s="99"/>
      <c r="BN16" s="3354"/>
      <c r="BO16" s="67"/>
      <c r="BP16" s="67"/>
      <c r="BQ16" s="89">
        <f>SUM(BQ12:BQ15)</f>
        <v>75035000000</v>
      </c>
      <c r="BR16" s="95"/>
      <c r="BS16" s="99">
        <f>SUM(BS12:BS15)</f>
        <v>67437000000</v>
      </c>
      <c r="BT16" s="3354"/>
      <c r="BU16" s="67"/>
      <c r="BV16" s="67"/>
      <c r="BW16" s="24"/>
    </row>
    <row r="17" spans="1:75" x14ac:dyDescent="0.35">
      <c r="A17" s="9168"/>
      <c r="B17" s="100" t="s">
        <v>468</v>
      </c>
      <c r="C17" s="49"/>
      <c r="D17" s="585"/>
      <c r="E17" s="43"/>
      <c r="F17" s="101"/>
      <c r="G17"/>
      <c r="H17" s="102"/>
      <c r="I17" s="103"/>
      <c r="J17" s="104"/>
      <c r="K17" s="43"/>
      <c r="L17" s="102"/>
      <c r="M17" s="105"/>
      <c r="N17" s="43"/>
      <c r="O17" s="102"/>
      <c r="P17" s="105"/>
      <c r="Q17" s="43"/>
      <c r="R17" s="102"/>
      <c r="S17" s="106"/>
      <c r="T17" s="53"/>
      <c r="U17" s="104"/>
      <c r="V17" s="43"/>
      <c r="W17" s="102"/>
      <c r="X17" s="103"/>
      <c r="Y17" s="57"/>
      <c r="Z17" s="104"/>
      <c r="AA17" s="43"/>
      <c r="AB17" s="107"/>
      <c r="AC17" s="57"/>
      <c r="AD17" s="103"/>
      <c r="AE17" s="3352"/>
      <c r="AF17" s="43"/>
      <c r="AG17" s="102"/>
      <c r="AH17" s="106"/>
      <c r="AI17" s="53"/>
      <c r="AJ17" s="104"/>
      <c r="AK17" s="43"/>
      <c r="AL17" s="102"/>
      <c r="AM17" s="103"/>
      <c r="AN17" s="57"/>
      <c r="AO17" s="104"/>
      <c r="AP17" s="43"/>
      <c r="AQ17" s="107"/>
      <c r="AR17" s="57" t="s">
        <v>2427</v>
      </c>
      <c r="AS17" s="103"/>
      <c r="AT17" s="3352"/>
      <c r="AU17" s="43"/>
      <c r="AV17" s="107"/>
      <c r="AW17" s="103"/>
      <c r="AX17" s="57"/>
      <c r="AY17" s="104"/>
      <c r="AZ17" s="43"/>
      <c r="BA17" s="107" t="s">
        <v>6360</v>
      </c>
      <c r="BB17" s="57"/>
      <c r="BC17" s="103"/>
      <c r="BD17" s="3352"/>
      <c r="BE17" s="18"/>
      <c r="BF17" s="107"/>
      <c r="BG17" s="106"/>
      <c r="BH17" t="s">
        <v>6348</v>
      </c>
      <c r="BI17" s="104"/>
      <c r="BJ17" s="43"/>
      <c r="BK17" s="107"/>
      <c r="BL17" s="57"/>
      <c r="BM17" s="106"/>
      <c r="BN17" s="3352"/>
      <c r="BO17" s="43"/>
      <c r="BP17" s="43"/>
      <c r="BQ17" s="107"/>
      <c r="BR17" s="57" t="s">
        <v>6361</v>
      </c>
      <c r="BS17" s="106"/>
      <c r="BT17" s="3352"/>
      <c r="BU17" s="43"/>
      <c r="BV17" s="43"/>
      <c r="BW17" s="18"/>
    </row>
    <row r="18" spans="1:75" x14ac:dyDescent="0.35">
      <c r="A18" s="9168"/>
      <c r="B18" s="6082"/>
      <c r="C18" s="110" t="s">
        <v>470</v>
      </c>
      <c r="D18" s="197"/>
      <c r="F18" s="6083">
        <f>F23-F19-F22</f>
        <v>20260404139999</v>
      </c>
      <c r="G18"/>
      <c r="H18" s="1805">
        <f>H23-H19-H22</f>
        <v>36835802495</v>
      </c>
      <c r="I18" s="3081">
        <f>I23-I19-I22</f>
        <v>28691274851</v>
      </c>
      <c r="J18" s="64">
        <f t="shared" ref="J18:J23" si="11">IF(H18=0,0,I18/H18)</f>
        <v>0.77889642433864392</v>
      </c>
      <c r="L18" s="1805">
        <f>L23-L19-L22</f>
        <v>38009500000</v>
      </c>
      <c r="M18" s="66">
        <f>L18*J18</f>
        <v>29605463640.899685</v>
      </c>
      <c r="O18" s="1805">
        <f>O23-O19-O22</f>
        <v>41378720000</v>
      </c>
      <c r="P18" s="66">
        <f t="shared" ref="P18:P28" si="12">O18*J18</f>
        <v>32229737051.70993</v>
      </c>
      <c r="R18" s="6084">
        <f>42684134134-R21</f>
        <v>37384287487</v>
      </c>
      <c r="S18" s="3082">
        <f>39529236847-S21</f>
        <v>35094445608</v>
      </c>
      <c r="T18" s="116" t="s">
        <v>6362</v>
      </c>
      <c r="U18" s="64">
        <f>S18/R18</f>
        <v>0.93874854830933263</v>
      </c>
      <c r="W18" s="245">
        <f>O18</f>
        <v>41378720000</v>
      </c>
      <c r="X18" s="106">
        <f>W18*U18</f>
        <v>38844213330.898346</v>
      </c>
      <c r="Y18" s="57"/>
      <c r="Z18" s="64">
        <f t="shared" ref="Z18:Z23" si="13">IF(X18=0,1,X18/W18)</f>
        <v>0.93874854830933252</v>
      </c>
      <c r="AB18" s="6084">
        <f>AB23-AB21</f>
        <v>45970999517</v>
      </c>
      <c r="AC18" s="119" t="s">
        <v>6363</v>
      </c>
      <c r="AD18" s="106">
        <f>AB18*Z18</f>
        <v>43155209060.912773</v>
      </c>
      <c r="AE18" s="237"/>
      <c r="AG18" s="6084">
        <f>W18</f>
        <v>41378720000</v>
      </c>
      <c r="AH18" s="3082"/>
      <c r="AI18" s="116" t="s">
        <v>6362</v>
      </c>
      <c r="AJ18" s="64">
        <f>AH18/AG18</f>
        <v>0</v>
      </c>
      <c r="AL18" s="245">
        <f>AL23-AL21</f>
        <v>45970999517</v>
      </c>
      <c r="AM18" s="106">
        <f>AL18*AJ18</f>
        <v>0</v>
      </c>
      <c r="AN18" s="57" t="s">
        <v>6363</v>
      </c>
      <c r="AO18" s="64">
        <f t="shared" ref="AO18:AO23" si="14">IF(AM18=0,1,AM18/AL18)</f>
        <v>1</v>
      </c>
      <c r="AQ18" s="6084">
        <f>AQ23-AQ19-AQ20-AQ21-AQ22</f>
        <v>41592092000</v>
      </c>
      <c r="AR18" s="119"/>
      <c r="AS18" s="106"/>
      <c r="AT18" s="237"/>
      <c r="AV18" s="6084">
        <f>AV23-AV19-AV20-AV21-AV22</f>
        <v>41592092000</v>
      </c>
      <c r="AW18" s="106"/>
      <c r="AX18" s="57" t="s">
        <v>6363</v>
      </c>
      <c r="AY18" s="64">
        <f t="shared" ref="AY18:AY23" si="15">IF(AW18=0,1,AW18/AV18)</f>
        <v>1</v>
      </c>
      <c r="BA18" s="6084">
        <f>(23103744+7340225+8073388+1781730+1229598)*1000</f>
        <v>41528685000</v>
      </c>
      <c r="BB18" s="119"/>
      <c r="BC18" s="106">
        <f>BA18*AY18</f>
        <v>41528685000</v>
      </c>
      <c r="BD18" s="237"/>
      <c r="BE18" s="26"/>
      <c r="BF18" s="117">
        <f>52451962000-BF21</f>
        <v>41528685000</v>
      </c>
      <c r="BG18" s="115"/>
      <c r="BH18" s="57"/>
      <c r="BI18" s="476"/>
      <c r="BK18" s="117">
        <f>53272986000-BK21</f>
        <v>39089781000</v>
      </c>
      <c r="BL18" s="119"/>
      <c r="BM18" s="115"/>
      <c r="BN18" s="237"/>
      <c r="BQ18" s="117">
        <f>25627828000+6457567000+8306578000+1840222000</f>
        <v>42232195000</v>
      </c>
      <c r="BR18" s="119"/>
      <c r="BS18" s="115">
        <f>26880727000+9208260000+17656874000+228578000</f>
        <v>53974439000</v>
      </c>
      <c r="BT18" s="237"/>
      <c r="BW18" s="26"/>
    </row>
    <row r="19" spans="1:75" x14ac:dyDescent="0.35">
      <c r="A19" s="9168"/>
      <c r="B19" s="6082"/>
      <c r="C19" s="121" t="s">
        <v>6364</v>
      </c>
      <c r="D19" s="197"/>
      <c r="F19" s="122">
        <v>1692629437294</v>
      </c>
      <c r="G19"/>
      <c r="H19" s="114">
        <v>1168861108</v>
      </c>
      <c r="I19" s="123">
        <v>440178804</v>
      </c>
      <c r="J19" s="64">
        <f t="shared" si="11"/>
        <v>0.37658777504640867</v>
      </c>
      <c r="L19" s="114"/>
      <c r="M19" s="66">
        <f t="shared" ref="M19:M22" si="16">L19*J19</f>
        <v>0</v>
      </c>
      <c r="O19" s="114"/>
      <c r="P19" s="66"/>
      <c r="R19" s="117"/>
      <c r="S19" s="115"/>
      <c r="T19" s="116"/>
      <c r="U19" s="64"/>
      <c r="W19" s="198"/>
      <c r="X19" s="106"/>
      <c r="Y19" s="57"/>
      <c r="Z19" s="64">
        <f t="shared" si="13"/>
        <v>1</v>
      </c>
      <c r="AB19" s="117"/>
      <c r="AC19" s="119"/>
      <c r="AD19" s="106"/>
      <c r="AE19" s="237"/>
      <c r="AG19" s="117"/>
      <c r="AH19" s="115"/>
      <c r="AI19" s="116"/>
      <c r="AJ19" s="64"/>
      <c r="AL19" s="198"/>
      <c r="AM19" s="106"/>
      <c r="AN19" s="57"/>
      <c r="AO19" s="64">
        <f t="shared" si="14"/>
        <v>1</v>
      </c>
      <c r="AQ19" s="117">
        <f>11616643000-AQ20</f>
        <v>4147130000</v>
      </c>
      <c r="AR19" s="119" t="s">
        <v>6365</v>
      </c>
      <c r="AS19" s="106"/>
      <c r="AT19" s="237"/>
      <c r="AV19" s="117">
        <f>11616643000-AV20</f>
        <v>4147130000</v>
      </c>
      <c r="AW19" s="106"/>
      <c r="AX19" s="57"/>
      <c r="AY19" s="64">
        <f t="shared" si="15"/>
        <v>1</v>
      </c>
      <c r="BA19" s="117">
        <v>14201120000</v>
      </c>
      <c r="BB19" s="119" t="s">
        <v>6365</v>
      </c>
      <c r="BC19" s="106"/>
      <c r="BD19" s="237"/>
      <c r="BE19" s="26"/>
      <c r="BF19" s="117">
        <f>14662904000-BF20</f>
        <v>7104126000</v>
      </c>
      <c r="BG19" s="115"/>
      <c r="BH19" s="57" t="s">
        <v>6366</v>
      </c>
      <c r="BI19" s="476"/>
      <c r="BK19" s="117">
        <f>20850900000-BK20</f>
        <v>4043198000</v>
      </c>
      <c r="BL19" s="119"/>
      <c r="BM19" s="115"/>
      <c r="BN19" s="237"/>
      <c r="BQ19" s="117">
        <f>27104548000-BQ20</f>
        <v>10296846000</v>
      </c>
      <c r="BR19" s="119" t="s">
        <v>6367</v>
      </c>
      <c r="BS19" s="115">
        <f>27649447000-BS20</f>
        <v>6801736000</v>
      </c>
      <c r="BT19" s="237"/>
      <c r="BW19" s="26"/>
    </row>
    <row r="20" spans="1:75" x14ac:dyDescent="0.35">
      <c r="A20" s="9168"/>
      <c r="B20" s="6082"/>
      <c r="C20" s="121" t="s">
        <v>6368</v>
      </c>
      <c r="D20" s="197"/>
      <c r="F20" s="122"/>
      <c r="G20"/>
      <c r="H20" s="114"/>
      <c r="I20" s="123"/>
      <c r="J20" s="64"/>
      <c r="L20" s="114"/>
      <c r="M20" s="66"/>
      <c r="O20" s="114"/>
      <c r="P20" s="66"/>
      <c r="R20" s="117"/>
      <c r="S20" s="115"/>
      <c r="T20" s="53"/>
      <c r="U20" s="64"/>
      <c r="W20" s="198"/>
      <c r="X20" s="106"/>
      <c r="Y20" s="57"/>
      <c r="Z20" s="64">
        <f t="shared" si="13"/>
        <v>1</v>
      </c>
      <c r="AB20" s="117"/>
      <c r="AC20" s="57"/>
      <c r="AD20" s="106"/>
      <c r="AE20" s="237"/>
      <c r="AG20" s="117"/>
      <c r="AH20" s="115"/>
      <c r="AI20" s="53"/>
      <c r="AJ20" s="64"/>
      <c r="AL20" s="198"/>
      <c r="AM20" s="106"/>
      <c r="AN20" s="57"/>
      <c r="AO20" s="64">
        <f t="shared" si="14"/>
        <v>1</v>
      </c>
      <c r="AQ20" s="117">
        <v>7469513000</v>
      </c>
      <c r="AR20" s="57"/>
      <c r="AS20" s="106"/>
      <c r="AT20" s="237"/>
      <c r="AV20" s="117">
        <v>7469513000</v>
      </c>
      <c r="AW20" s="106"/>
      <c r="AX20" s="57"/>
      <c r="AY20" s="64">
        <f t="shared" si="15"/>
        <v>1</v>
      </c>
      <c r="BA20" s="117"/>
      <c r="BB20" s="57"/>
      <c r="BC20" s="106"/>
      <c r="BD20" s="237"/>
      <c r="BE20" s="26"/>
      <c r="BF20" s="117">
        <v>7558778000</v>
      </c>
      <c r="BG20" s="115"/>
      <c r="BH20" s="57" t="s">
        <v>6369</v>
      </c>
      <c r="BI20" s="476"/>
      <c r="BK20" s="117">
        <v>16807702000</v>
      </c>
      <c r="BL20" s="57"/>
      <c r="BM20" s="115"/>
      <c r="BN20" s="237"/>
      <c r="BQ20" s="117">
        <v>16807702000</v>
      </c>
      <c r="BR20" s="57" t="s">
        <v>2279</v>
      </c>
      <c r="BS20" s="115">
        <v>20847711000</v>
      </c>
      <c r="BT20" s="237"/>
      <c r="BW20" s="26"/>
    </row>
    <row r="21" spans="1:75" x14ac:dyDescent="0.35">
      <c r="A21" s="9168"/>
      <c r="B21" s="6082"/>
      <c r="C21" s="121" t="s">
        <v>3967</v>
      </c>
      <c r="D21" s="197"/>
      <c r="F21" s="122"/>
      <c r="G21"/>
      <c r="H21" s="114"/>
      <c r="I21" s="123"/>
      <c r="J21" s="64"/>
      <c r="L21" s="114"/>
      <c r="M21" s="66"/>
      <c r="O21" s="114"/>
      <c r="P21" s="66"/>
      <c r="R21" s="117">
        <v>5299846647</v>
      </c>
      <c r="S21" s="115">
        <v>4434791239</v>
      </c>
      <c r="T21" s="53" t="s">
        <v>6370</v>
      </c>
      <c r="U21" s="64">
        <f t="shared" ref="U21:U28" si="17">S21/R21</f>
        <v>0.83677727571803084</v>
      </c>
      <c r="W21" s="198">
        <f>O22</f>
        <v>5287840000</v>
      </c>
      <c r="X21" s="106">
        <f>W21*U21</f>
        <v>4424744349.6328325</v>
      </c>
      <c r="Y21" s="57"/>
      <c r="Z21" s="64">
        <f t="shared" si="13"/>
        <v>0.83677727571803096</v>
      </c>
      <c r="AB21" s="114">
        <f>3615559302+3549266545</f>
        <v>7164825847</v>
      </c>
      <c r="AC21" s="119" t="s">
        <v>6371</v>
      </c>
      <c r="AD21" s="106">
        <f>AB21*Z21</f>
        <v>5995363453.2467937</v>
      </c>
      <c r="AE21" s="237"/>
      <c r="AG21" s="117">
        <f>W21</f>
        <v>5287840000</v>
      </c>
      <c r="AH21" s="115"/>
      <c r="AI21" s="53" t="s">
        <v>6370</v>
      </c>
      <c r="AJ21" s="64">
        <f t="shared" ref="AJ21" si="18">AH21/AG21</f>
        <v>0</v>
      </c>
      <c r="AL21" s="198">
        <f>3615559302+3549266545</f>
        <v>7164825847</v>
      </c>
      <c r="AM21" s="106">
        <f>AL21*AJ21</f>
        <v>0</v>
      </c>
      <c r="AN21" s="57" t="s">
        <v>6371</v>
      </c>
      <c r="AO21" s="64">
        <f t="shared" si="14"/>
        <v>1</v>
      </c>
      <c r="AQ21" s="114">
        <v>8407567000</v>
      </c>
      <c r="AR21" s="119" t="s">
        <v>6372</v>
      </c>
      <c r="AS21" s="106"/>
      <c r="AT21" s="237"/>
      <c r="AV21" s="114">
        <v>8407567000</v>
      </c>
      <c r="AW21" s="106"/>
      <c r="AX21" s="57" t="s">
        <v>6371</v>
      </c>
      <c r="AY21" s="64">
        <f t="shared" si="15"/>
        <v>1</v>
      </c>
      <c r="BA21" s="114">
        <v>10923277000</v>
      </c>
      <c r="BB21" s="119" t="s">
        <v>6372</v>
      </c>
      <c r="BC21" s="106">
        <f>BA21*AY21</f>
        <v>10923277000</v>
      </c>
      <c r="BD21" s="237"/>
      <c r="BE21" s="26"/>
      <c r="BF21" s="114">
        <v>10923277000</v>
      </c>
      <c r="BG21" s="115"/>
      <c r="BH21" s="57" t="s">
        <v>6373</v>
      </c>
      <c r="BI21" s="476"/>
      <c r="BK21" s="114">
        <v>14183205000</v>
      </c>
      <c r="BL21" s="119"/>
      <c r="BM21" s="115"/>
      <c r="BN21" s="237"/>
      <c r="BQ21" s="114">
        <v>20798548000</v>
      </c>
      <c r="BR21" s="119"/>
      <c r="BS21" s="115">
        <v>19762189000</v>
      </c>
      <c r="BT21" s="237"/>
      <c r="BW21" s="26"/>
    </row>
    <row r="22" spans="1:75" x14ac:dyDescent="0.35">
      <c r="A22" s="9168"/>
      <c r="B22" s="6082"/>
      <c r="C22" s="121" t="s">
        <v>3285</v>
      </c>
      <c r="D22" s="197"/>
      <c r="F22" s="122">
        <v>1065208085407</v>
      </c>
      <c r="H22" s="114">
        <f>1933614304+1350157984</f>
        <v>3283772288</v>
      </c>
      <c r="I22" s="123">
        <f>1550711166+1171445191</f>
        <v>2722156357</v>
      </c>
      <c r="J22" s="64">
        <f t="shared" si="11"/>
        <v>0.82897232763296891</v>
      </c>
      <c r="L22" s="114">
        <f>(2850.2+1822.3)*1000000</f>
        <v>4672500000</v>
      </c>
      <c r="M22" s="66">
        <f t="shared" si="16"/>
        <v>3873373200.8650475</v>
      </c>
      <c r="O22" s="114">
        <f>(2896.16+2391.68)*1000000</f>
        <v>5287840000</v>
      </c>
      <c r="P22" s="66">
        <f t="shared" si="12"/>
        <v>4383473032.9507179</v>
      </c>
      <c r="R22" s="164"/>
      <c r="S22" s="123"/>
      <c r="T22" s="127"/>
      <c r="U22" s="64"/>
      <c r="W22" s="198"/>
      <c r="X22" s="106"/>
      <c r="Y22" s="106"/>
      <c r="Z22" s="64">
        <f t="shared" si="13"/>
        <v>1</v>
      </c>
      <c r="AB22" s="114"/>
      <c r="AC22" s="119"/>
      <c r="AD22" s="57"/>
      <c r="AE22" s="237"/>
      <c r="AG22" s="164"/>
      <c r="AH22" s="123"/>
      <c r="AI22" s="127"/>
      <c r="AJ22" s="64"/>
      <c r="AL22" s="198"/>
      <c r="AM22" s="106"/>
      <c r="AN22" s="106"/>
      <c r="AO22" s="64">
        <f t="shared" si="14"/>
        <v>1</v>
      </c>
      <c r="AQ22" s="114"/>
      <c r="AR22" s="119"/>
      <c r="AS22" s="57"/>
      <c r="AT22" s="237"/>
      <c r="AV22" s="114"/>
      <c r="AW22" s="106"/>
      <c r="AX22" s="106"/>
      <c r="AY22" s="64">
        <f t="shared" si="15"/>
        <v>1</v>
      </c>
      <c r="BA22" s="114"/>
      <c r="BB22" s="119"/>
      <c r="BC22" s="57"/>
      <c r="BD22" s="237"/>
      <c r="BE22" s="26"/>
      <c r="BF22" s="114">
        <v>1329734000</v>
      </c>
      <c r="BG22" s="123"/>
      <c r="BH22" s="57" t="s">
        <v>3400</v>
      </c>
      <c r="BI22" s="476"/>
      <c r="BK22" s="114">
        <v>1127854000</v>
      </c>
      <c r="BL22" s="119"/>
      <c r="BM22" s="123"/>
      <c r="BN22" s="237"/>
      <c r="BQ22" s="114"/>
      <c r="BR22" s="119"/>
      <c r="BS22" s="123"/>
      <c r="BT22" s="237"/>
      <c r="BW22" s="26"/>
    </row>
    <row r="23" spans="1:75" x14ac:dyDescent="0.35">
      <c r="A23" s="9168"/>
      <c r="B23" s="128"/>
      <c r="C23" s="129" t="s">
        <v>479</v>
      </c>
      <c r="D23" s="209"/>
      <c r="F23" s="130">
        <v>23018241662700</v>
      </c>
      <c r="H23" s="131">
        <v>41288435891</v>
      </c>
      <c r="I23" s="132">
        <v>31853610012</v>
      </c>
      <c r="J23" s="133">
        <f t="shared" si="11"/>
        <v>0.7714898693690504</v>
      </c>
      <c r="L23" s="131">
        <v>42682000000</v>
      </c>
      <c r="M23" s="92">
        <f>SUM(M18:M22)</f>
        <v>33478836841.764732</v>
      </c>
      <c r="O23" s="131">
        <v>46666560000</v>
      </c>
      <c r="P23" s="92">
        <f t="shared" si="12"/>
        <v>36002778278.302956</v>
      </c>
      <c r="R23" s="131">
        <f>SUM(R18:R22)</f>
        <v>42684134134</v>
      </c>
      <c r="S23" s="131">
        <f>SUM(S18:S22)</f>
        <v>39529236847</v>
      </c>
      <c r="T23" s="116" t="s">
        <v>6362</v>
      </c>
      <c r="U23" s="64">
        <f t="shared" si="17"/>
        <v>0.9260873542123238</v>
      </c>
      <c r="W23" s="214">
        <f>SUM(W18:W22)</f>
        <v>46666560000</v>
      </c>
      <c r="X23" s="216">
        <f>SUM(X18:X22)</f>
        <v>43268957680.531181</v>
      </c>
      <c r="Y23" s="57"/>
      <c r="Z23" s="64">
        <f t="shared" si="13"/>
        <v>0.92719406959782724</v>
      </c>
      <c r="AB23" s="131">
        <v>53135825364</v>
      </c>
      <c r="AC23" s="1001" t="s">
        <v>6371</v>
      </c>
      <c r="AD23" s="216">
        <f>SUM(AD17:AD22)</f>
        <v>49150572514.159569</v>
      </c>
      <c r="AE23" s="3354"/>
      <c r="AG23" s="131">
        <f>SUM(AG18:AG22)</f>
        <v>46666560000</v>
      </c>
      <c r="AH23" s="131">
        <f>SUM(AH18:AH22)</f>
        <v>0</v>
      </c>
      <c r="AI23" s="116" t="s">
        <v>6362</v>
      </c>
      <c r="AJ23" s="64">
        <f t="shared" ref="AJ23" si="19">AH23/AG23</f>
        <v>0</v>
      </c>
      <c r="AL23" s="214">
        <v>53135825364</v>
      </c>
      <c r="AM23" s="216">
        <f>SUM(AM18:AM22)</f>
        <v>0</v>
      </c>
      <c r="AN23" s="57" t="s">
        <v>6371</v>
      </c>
      <c r="AO23" s="64">
        <f t="shared" si="14"/>
        <v>1</v>
      </c>
      <c r="AQ23" s="131">
        <v>61616302000</v>
      </c>
      <c r="AR23" s="1001" t="s">
        <v>6374</v>
      </c>
      <c r="AS23" s="216"/>
      <c r="AT23" s="3354"/>
      <c r="AV23" s="131">
        <v>61616302000</v>
      </c>
      <c r="AW23" s="216"/>
      <c r="AX23" s="57" t="s">
        <v>6371</v>
      </c>
      <c r="AY23" s="64">
        <f t="shared" si="15"/>
        <v>1</v>
      </c>
      <c r="BA23" s="131">
        <f>SUM(BA18:BA22)</f>
        <v>66653082000</v>
      </c>
      <c r="BB23" s="1001" t="s">
        <v>6374</v>
      </c>
      <c r="BC23" s="216">
        <f>SUM(BC17:BC22)</f>
        <v>52451962000</v>
      </c>
      <c r="BD23" s="3354"/>
      <c r="BE23" s="24"/>
      <c r="BF23" s="131">
        <f>SUM(BF18:BF22)</f>
        <v>68444600000</v>
      </c>
      <c r="BG23" s="132"/>
      <c r="BH23" s="57"/>
      <c r="BI23" s="476"/>
      <c r="BK23" s="131">
        <f>SUM(BK18:BK22)</f>
        <v>75251740000</v>
      </c>
      <c r="BL23" s="1001"/>
      <c r="BM23" s="131"/>
      <c r="BN23" s="3354"/>
      <c r="BQ23" s="131">
        <f>SUM(BQ18:BQ22)</f>
        <v>90135291000</v>
      </c>
      <c r="BR23" s="1001"/>
      <c r="BS23" s="131">
        <f>SUM(BS18:BS22)</f>
        <v>101386075000</v>
      </c>
      <c r="BT23" s="3354"/>
      <c r="BW23" s="24"/>
    </row>
    <row r="24" spans="1:75" x14ac:dyDescent="0.35">
      <c r="A24" s="9168"/>
      <c r="B24" s="139" t="s">
        <v>480</v>
      </c>
      <c r="C24" s="49"/>
      <c r="D24" s="184"/>
      <c r="E24" s="141"/>
      <c r="F24" s="142"/>
      <c r="G24" s="143"/>
      <c r="H24" s="144"/>
      <c r="I24" s="145"/>
      <c r="J24" s="146"/>
      <c r="K24" s="141"/>
      <c r="L24" s="147"/>
      <c r="M24" s="148"/>
      <c r="N24" s="141"/>
      <c r="O24" s="147"/>
      <c r="P24" s="148"/>
      <c r="Q24" s="141"/>
      <c r="R24" s="149"/>
      <c r="S24" s="150"/>
      <c r="T24" s="145"/>
      <c r="U24" s="146"/>
      <c r="V24" s="141"/>
      <c r="W24" s="149"/>
      <c r="X24" s="152"/>
      <c r="Y24" s="145"/>
      <c r="Z24" s="146"/>
      <c r="AA24" s="141"/>
      <c r="AB24" s="4055"/>
      <c r="AC24" s="57"/>
      <c r="AD24" s="231"/>
      <c r="AE24" s="3036"/>
      <c r="AF24" s="141"/>
      <c r="AG24" s="149"/>
      <c r="AH24" s="150"/>
      <c r="AI24" s="145"/>
      <c r="AJ24" s="146"/>
      <c r="AK24" s="141"/>
      <c r="AL24" s="149"/>
      <c r="AM24" s="152"/>
      <c r="AN24" s="145"/>
      <c r="AO24" s="146"/>
      <c r="AP24" s="141"/>
      <c r="AQ24" s="4055"/>
      <c r="AR24" s="57"/>
      <c r="AS24" s="231"/>
      <c r="AT24" s="3036"/>
      <c r="AU24" s="141"/>
      <c r="AV24" s="4055"/>
      <c r="AW24" s="152"/>
      <c r="AX24" s="145"/>
      <c r="AY24" s="146"/>
      <c r="AZ24" s="141"/>
      <c r="BA24" s="4055"/>
      <c r="BB24" s="57"/>
      <c r="BC24" s="231"/>
      <c r="BD24" s="3036"/>
      <c r="BE24" s="18"/>
      <c r="BF24" s="4055"/>
      <c r="BG24" s="150"/>
      <c r="BH24" s="348" t="s">
        <v>6348</v>
      </c>
      <c r="BI24" s="486"/>
      <c r="BJ24" s="141"/>
      <c r="BK24" s="4055"/>
      <c r="BL24" s="57"/>
      <c r="BM24" s="150"/>
      <c r="BN24" s="3036"/>
      <c r="BO24" s="141"/>
      <c r="BP24" s="141"/>
      <c r="BQ24" s="4055"/>
      <c r="BR24" s="57"/>
      <c r="BS24" s="150"/>
      <c r="BT24" s="3036"/>
      <c r="BU24" s="141"/>
      <c r="BV24" s="141"/>
      <c r="BW24" s="18"/>
    </row>
    <row r="25" spans="1:75" x14ac:dyDescent="0.35">
      <c r="A25" s="9168"/>
      <c r="B25" s="6082"/>
      <c r="C25" s="110" t="s">
        <v>483</v>
      </c>
      <c r="D25" s="197"/>
      <c r="F25" s="155">
        <v>7127166780212</v>
      </c>
      <c r="H25" s="117">
        <v>12494507415</v>
      </c>
      <c r="I25" s="115">
        <v>11430621819</v>
      </c>
      <c r="J25" s="64">
        <f>IF(H25=0,0,I25/H25)</f>
        <v>0.91485173759449079</v>
      </c>
      <c r="L25" s="156">
        <v>15750329000</v>
      </c>
      <c r="M25" s="66">
        <f>L25*J25</f>
        <v>14409215853.334898</v>
      </c>
      <c r="O25" s="156">
        <v>16641748000</v>
      </c>
      <c r="P25" s="157">
        <f t="shared" si="12"/>
        <v>15224732074.409641</v>
      </c>
      <c r="R25" s="117">
        <v>16204003161</v>
      </c>
      <c r="S25" s="115">
        <v>15403584577</v>
      </c>
      <c r="T25" s="53" t="s">
        <v>6375</v>
      </c>
      <c r="U25" s="64">
        <f t="shared" si="17"/>
        <v>0.95060365169969496</v>
      </c>
      <c r="W25" s="198">
        <f>O25</f>
        <v>16641748000</v>
      </c>
      <c r="X25" s="106">
        <f>W25*U25</f>
        <v>15819706419.466095</v>
      </c>
      <c r="Y25" s="57"/>
      <c r="Z25" s="64">
        <f t="shared" ref="Z25:Z28" si="20">IF(X25=0,1,X25/W25)</f>
        <v>0.95060365169969496</v>
      </c>
      <c r="AB25" s="4056">
        <f>W25</f>
        <v>16641748000</v>
      </c>
      <c r="AC25" s="119" t="s">
        <v>6376</v>
      </c>
      <c r="AD25" s="106">
        <f t="shared" ref="AD25:AD28" si="21">AB25*Z25</f>
        <v>15819706419.466095</v>
      </c>
      <c r="AE25" s="237"/>
      <c r="AG25" s="117">
        <f>W25</f>
        <v>16641748000</v>
      </c>
      <c r="AH25" s="115"/>
      <c r="AI25" s="53" t="s">
        <v>6375</v>
      </c>
      <c r="AJ25" s="64">
        <f t="shared" ref="AJ25" si="22">AH25/AG25</f>
        <v>0</v>
      </c>
      <c r="AL25" s="198">
        <f>AG25</f>
        <v>16641748000</v>
      </c>
      <c r="AM25" s="106">
        <f>AL25*AJ25</f>
        <v>0</v>
      </c>
      <c r="AN25" s="57" t="s">
        <v>6376</v>
      </c>
      <c r="AO25" s="64">
        <f t="shared" ref="AO25:AO28" si="23">IF(AM25=0,1,AM25/AL25)</f>
        <v>1</v>
      </c>
      <c r="AQ25" s="156">
        <v>20047541000</v>
      </c>
      <c r="AR25" s="119" t="s">
        <v>2916</v>
      </c>
      <c r="AS25" s="106"/>
      <c r="AT25" s="237"/>
      <c r="AV25" s="156">
        <v>20047541000</v>
      </c>
      <c r="AW25" s="106"/>
      <c r="AX25" s="57" t="s">
        <v>6376</v>
      </c>
      <c r="AY25" s="64">
        <f t="shared" ref="AY25:AY28" si="24">IF(AW25=0,1,AW25/AV25)</f>
        <v>1</v>
      </c>
      <c r="BA25" s="156">
        <v>23103744000</v>
      </c>
      <c r="BB25" s="119" t="s">
        <v>6377</v>
      </c>
      <c r="BC25" s="106">
        <f t="shared" ref="BC25:BC28" si="25">BA25*AY25</f>
        <v>23103744000</v>
      </c>
      <c r="BD25" s="237"/>
      <c r="BE25" s="26"/>
      <c r="BF25" s="156">
        <v>23103744000</v>
      </c>
      <c r="BG25" s="115"/>
      <c r="BH25" s="57" t="s">
        <v>6378</v>
      </c>
      <c r="BI25" s="476"/>
      <c r="BK25" s="156">
        <v>25098805000</v>
      </c>
      <c r="BL25" s="119"/>
      <c r="BM25" s="115"/>
      <c r="BN25" s="237"/>
      <c r="BQ25" s="156">
        <v>25627828000</v>
      </c>
      <c r="BR25" s="119"/>
      <c r="BS25" s="115">
        <v>26880727000</v>
      </c>
      <c r="BT25" s="237"/>
      <c r="BW25" s="26"/>
    </row>
    <row r="26" spans="1:75" x14ac:dyDescent="0.35">
      <c r="A26" s="9168"/>
      <c r="B26" s="6082"/>
      <c r="C26" s="110" t="s">
        <v>489</v>
      </c>
      <c r="D26" s="197"/>
      <c r="F26" s="155"/>
      <c r="H26" s="117"/>
      <c r="I26" s="115"/>
      <c r="J26" s="64">
        <f t="shared" ref="J26:J29" si="26">IF(H26=0,0,I26/H26)</f>
        <v>0</v>
      </c>
      <c r="L26" s="156"/>
      <c r="M26" s="66">
        <f t="shared" ref="M26:M28" si="27">L26*J26</f>
        <v>0</v>
      </c>
      <c r="O26" s="156"/>
      <c r="P26" s="157">
        <f t="shared" si="12"/>
        <v>0</v>
      </c>
      <c r="R26" s="117"/>
      <c r="S26" s="115"/>
      <c r="T26" s="116"/>
      <c r="U26" s="64"/>
      <c r="W26" s="200"/>
      <c r="X26" s="312"/>
      <c r="Y26" s="57"/>
      <c r="Z26" s="64">
        <f t="shared" si="20"/>
        <v>1</v>
      </c>
      <c r="AB26" s="156"/>
      <c r="AC26" s="119"/>
      <c r="AD26" s="106">
        <f t="shared" si="21"/>
        <v>0</v>
      </c>
      <c r="AE26" s="237"/>
      <c r="AG26" s="117"/>
      <c r="AH26" s="115"/>
      <c r="AI26" s="116"/>
      <c r="AJ26" s="64"/>
      <c r="AL26" s="200"/>
      <c r="AM26" s="312"/>
      <c r="AN26" s="57"/>
      <c r="AO26" s="64">
        <f t="shared" si="23"/>
        <v>1</v>
      </c>
      <c r="AQ26" s="156">
        <v>18790863000</v>
      </c>
      <c r="AR26" s="119"/>
      <c r="AS26" s="106"/>
      <c r="AT26" s="237"/>
      <c r="AV26" s="156">
        <v>18790863000</v>
      </c>
      <c r="AW26" s="312"/>
      <c r="AX26" s="57"/>
      <c r="AY26" s="64">
        <f t="shared" si="24"/>
        <v>1</v>
      </c>
      <c r="BA26" s="156"/>
      <c r="BB26" s="119"/>
      <c r="BC26" s="106">
        <f t="shared" si="25"/>
        <v>0</v>
      </c>
      <c r="BD26" s="237"/>
      <c r="BE26" s="26"/>
      <c r="BF26" s="156">
        <v>19568444000</v>
      </c>
      <c r="BG26" s="115"/>
      <c r="BH26" s="57" t="s">
        <v>6379</v>
      </c>
      <c r="BI26" s="476"/>
      <c r="BK26" s="156">
        <v>22858255000</v>
      </c>
      <c r="BL26" s="119"/>
      <c r="BM26" s="115"/>
      <c r="BN26" s="237"/>
      <c r="BQ26" s="156"/>
      <c r="BR26" s="119"/>
      <c r="BS26" s="115"/>
      <c r="BT26" s="237"/>
      <c r="BW26" s="26"/>
    </row>
    <row r="27" spans="1:75" x14ac:dyDescent="0.35">
      <c r="A27" s="9168"/>
      <c r="B27" s="6082"/>
      <c r="C27" s="110" t="s">
        <v>490</v>
      </c>
      <c r="D27" s="197">
        <v>2</v>
      </c>
      <c r="F27" s="155"/>
      <c r="H27" s="117">
        <v>238567343.81999999</v>
      </c>
      <c r="I27" s="115"/>
      <c r="J27" s="1171">
        <f>J28</f>
        <v>0.97102773335897408</v>
      </c>
      <c r="L27" s="156">
        <v>254074221</v>
      </c>
      <c r="M27" s="66">
        <f t="shared" si="27"/>
        <v>246713114.92257705</v>
      </c>
      <c r="O27" s="156">
        <v>255000000</v>
      </c>
      <c r="P27" s="157">
        <f t="shared" si="12"/>
        <v>247612072.00653839</v>
      </c>
      <c r="R27" s="117">
        <v>254074221</v>
      </c>
      <c r="S27" s="115">
        <v>254074221</v>
      </c>
      <c r="T27" s="116" t="s">
        <v>6380</v>
      </c>
      <c r="U27" s="64">
        <f t="shared" si="17"/>
        <v>1</v>
      </c>
      <c r="W27" s="198">
        <f>O27</f>
        <v>255000000</v>
      </c>
      <c r="X27" s="106">
        <f>W27*U27</f>
        <v>255000000</v>
      </c>
      <c r="Y27" s="57"/>
      <c r="Z27" s="64">
        <f t="shared" si="20"/>
        <v>1</v>
      </c>
      <c r="AB27" s="156"/>
      <c r="AC27" s="119"/>
      <c r="AD27" s="106">
        <f t="shared" si="21"/>
        <v>0</v>
      </c>
      <c r="AE27" s="237"/>
      <c r="AG27" s="117">
        <f t="shared" ref="AG27:AG28" si="28">W27</f>
        <v>255000000</v>
      </c>
      <c r="AH27" s="115"/>
      <c r="AI27" s="116" t="s">
        <v>6380</v>
      </c>
      <c r="AJ27" s="64">
        <f t="shared" ref="AJ27:AJ28" si="29">AH27/AG27</f>
        <v>0</v>
      </c>
      <c r="AL27" s="198"/>
      <c r="AM27" s="106">
        <f>AL27*AJ27</f>
        <v>0</v>
      </c>
      <c r="AN27" s="57"/>
      <c r="AO27" s="64">
        <f t="shared" si="23"/>
        <v>1</v>
      </c>
      <c r="AQ27" s="156"/>
      <c r="AR27" s="119"/>
      <c r="AS27" s="106"/>
      <c r="AT27" s="237"/>
      <c r="AV27" s="156"/>
      <c r="AW27" s="106"/>
      <c r="AX27" s="57"/>
      <c r="AY27" s="64">
        <f t="shared" si="24"/>
        <v>1</v>
      </c>
      <c r="BA27" s="156"/>
      <c r="BB27" s="119"/>
      <c r="BC27" s="106">
        <f t="shared" si="25"/>
        <v>0</v>
      </c>
      <c r="BD27" s="237"/>
      <c r="BE27" s="26" t="s">
        <v>6381</v>
      </c>
      <c r="BF27" s="156"/>
      <c r="BG27" s="115"/>
      <c r="BH27" s="57"/>
      <c r="BI27" s="476"/>
      <c r="BK27" s="156"/>
      <c r="BL27" s="119"/>
      <c r="BM27" s="115"/>
      <c r="BN27" s="237"/>
      <c r="BQ27" s="156"/>
      <c r="BR27" s="119"/>
      <c r="BS27" s="115"/>
      <c r="BT27" s="237"/>
      <c r="BW27" s="26" t="s">
        <v>6381</v>
      </c>
    </row>
    <row r="28" spans="1:75" x14ac:dyDescent="0.35">
      <c r="A28" s="9168"/>
      <c r="B28" s="6082"/>
      <c r="C28" s="110"/>
      <c r="D28" s="197">
        <v>3</v>
      </c>
      <c r="F28" s="163">
        <v>556507415501</v>
      </c>
      <c r="H28" s="164">
        <v>378304841.62</v>
      </c>
      <c r="I28" s="165">
        <v>599000000</v>
      </c>
      <c r="J28" s="64">
        <f>I28/(H27+H28)</f>
        <v>0.97102773335897408</v>
      </c>
      <c r="L28" s="166">
        <v>500085000</v>
      </c>
      <c r="M28" s="66">
        <f t="shared" si="27"/>
        <v>485596404.03682256</v>
      </c>
      <c r="O28" s="166">
        <v>550000000</v>
      </c>
      <c r="P28" s="157">
        <f t="shared" si="12"/>
        <v>534065253.34743571</v>
      </c>
      <c r="R28" s="117">
        <v>500085000</v>
      </c>
      <c r="S28" s="115">
        <v>366716250</v>
      </c>
      <c r="T28" s="116" t="s">
        <v>6382</v>
      </c>
      <c r="U28" s="64">
        <f t="shared" si="17"/>
        <v>0.73330783766759655</v>
      </c>
      <c r="W28" s="198">
        <f>O28</f>
        <v>550000000</v>
      </c>
      <c r="X28" s="106">
        <f>W28*U28</f>
        <v>403319310.71717811</v>
      </c>
      <c r="Y28" s="57"/>
      <c r="Z28" s="64">
        <f t="shared" si="20"/>
        <v>0.73330783766759655</v>
      </c>
      <c r="AB28" s="159">
        <v>805000000</v>
      </c>
      <c r="AC28" s="119" t="s">
        <v>6371</v>
      </c>
      <c r="AD28" s="106">
        <f t="shared" si="21"/>
        <v>590312809.32241523</v>
      </c>
      <c r="AE28" s="229"/>
      <c r="AG28" s="117">
        <f t="shared" si="28"/>
        <v>550000000</v>
      </c>
      <c r="AH28" s="115"/>
      <c r="AI28" s="116" t="s">
        <v>6382</v>
      </c>
      <c r="AJ28" s="64">
        <f t="shared" si="29"/>
        <v>0</v>
      </c>
      <c r="AL28" s="198">
        <v>805000000</v>
      </c>
      <c r="AM28" s="106">
        <f>AL28*AJ28</f>
        <v>0</v>
      </c>
      <c r="AN28" s="57" t="s">
        <v>6371</v>
      </c>
      <c r="AO28" s="64">
        <f t="shared" si="23"/>
        <v>1</v>
      </c>
      <c r="AQ28" s="159">
        <v>1655000000</v>
      </c>
      <c r="AR28" s="119" t="s">
        <v>2916</v>
      </c>
      <c r="AS28" s="106"/>
      <c r="AT28" s="229"/>
      <c r="AV28" s="159">
        <v>1655000000</v>
      </c>
      <c r="AW28" s="106"/>
      <c r="AX28" s="57" t="s">
        <v>6371</v>
      </c>
      <c r="AY28" s="64">
        <f t="shared" si="24"/>
        <v>1</v>
      </c>
      <c r="BA28" s="159">
        <v>1781730000</v>
      </c>
      <c r="BB28" s="119" t="s">
        <v>6383</v>
      </c>
      <c r="BC28" s="106">
        <f t="shared" si="25"/>
        <v>1781730000</v>
      </c>
      <c r="BD28" s="229"/>
      <c r="BE28" s="26" t="s">
        <v>6384</v>
      </c>
      <c r="BF28" s="159">
        <v>1060550000</v>
      </c>
      <c r="BG28" s="115"/>
      <c r="BH28" s="57" t="s">
        <v>6385</v>
      </c>
      <c r="BI28" s="476"/>
      <c r="BK28" s="159">
        <v>1060550000</v>
      </c>
      <c r="BL28" s="119"/>
      <c r="BM28" s="115"/>
      <c r="BN28" s="229"/>
      <c r="BQ28" s="159">
        <f>227588000+792800000</f>
        <v>1020388000</v>
      </c>
      <c r="BR28" s="119" t="s">
        <v>6386</v>
      </c>
      <c r="BS28" s="115">
        <f>18966000+1481240000</f>
        <v>1500206000</v>
      </c>
      <c r="BT28" s="229"/>
      <c r="BW28" s="26" t="s">
        <v>6384</v>
      </c>
    </row>
    <row r="29" spans="1:75" x14ac:dyDescent="0.35">
      <c r="A29" s="9168"/>
      <c r="B29" s="6082"/>
      <c r="C29" s="161" t="s">
        <v>497</v>
      </c>
      <c r="D29" s="610"/>
      <c r="F29" s="163"/>
      <c r="H29" s="164"/>
      <c r="I29" s="165"/>
      <c r="J29" s="64">
        <f t="shared" si="26"/>
        <v>0</v>
      </c>
      <c r="L29" s="166"/>
      <c r="M29" s="157"/>
      <c r="O29" s="166"/>
      <c r="P29" s="157"/>
      <c r="R29" s="164"/>
      <c r="S29" s="165"/>
      <c r="T29" s="106"/>
      <c r="U29" s="64"/>
      <c r="W29" s="164"/>
      <c r="X29" s="312"/>
      <c r="Y29" s="106"/>
      <c r="Z29" s="64"/>
      <c r="AB29" s="156"/>
      <c r="AC29" s="106"/>
      <c r="AD29" s="106"/>
      <c r="AE29" s="66"/>
      <c r="AG29" s="164"/>
      <c r="AH29" s="165"/>
      <c r="AI29" s="106"/>
      <c r="AJ29" s="64"/>
      <c r="AL29" s="164"/>
      <c r="AM29" s="312"/>
      <c r="AN29" s="106"/>
      <c r="AO29" s="64"/>
      <c r="AQ29" s="156"/>
      <c r="AR29" s="106"/>
      <c r="AS29" s="106"/>
      <c r="AT29" s="66"/>
      <c r="AV29" s="156"/>
      <c r="AW29" s="312"/>
      <c r="AX29" s="106"/>
      <c r="AY29" s="64"/>
      <c r="BA29" s="156"/>
      <c r="BB29" s="106"/>
      <c r="BC29" s="106"/>
      <c r="BD29" s="66"/>
      <c r="BE29" s="26"/>
      <c r="BF29" s="156"/>
      <c r="BG29" s="165"/>
      <c r="BH29" s="106"/>
      <c r="BI29" s="476"/>
      <c r="BK29" s="156"/>
      <c r="BL29" s="106"/>
      <c r="BM29" s="165"/>
      <c r="BN29" s="66"/>
      <c r="BQ29" s="156"/>
      <c r="BR29" s="106"/>
      <c r="BS29" s="165"/>
      <c r="BT29" s="66"/>
      <c r="BW29" s="26"/>
    </row>
    <row r="30" spans="1:75" x14ac:dyDescent="0.35">
      <c r="A30" s="9168"/>
      <c r="B30" s="128"/>
      <c r="C30" s="129" t="s">
        <v>499</v>
      </c>
      <c r="D30" s="209"/>
      <c r="F30" s="169">
        <f>IF(F25=0,0,(F27+F28-F29)/F25)</f>
        <v>7.808255828193858E-2</v>
      </c>
      <c r="G30" s="170"/>
      <c r="H30" s="171">
        <f t="shared" ref="H30:I30" si="30">IF(H25=0,0,(H27+H28-H29)/H25)</f>
        <v>4.9371468994402132E-2</v>
      </c>
      <c r="I30" s="172">
        <f t="shared" si="30"/>
        <v>5.240309840400293E-2</v>
      </c>
      <c r="J30" s="173"/>
      <c r="K30" s="170"/>
      <c r="L30" s="4057">
        <f t="shared" ref="L30:M30" si="31">IF(L25=0,0,(L27+L28-L29)/L25)</f>
        <v>4.7882124938469536E-2</v>
      </c>
      <c r="M30" s="4058">
        <f t="shared" si="31"/>
        <v>5.0822301949894962E-2</v>
      </c>
      <c r="N30" s="176"/>
      <c r="O30" s="4057">
        <f t="shared" ref="O30:S30" si="32">IF(O25=0,0,(O27+O28-O29)/O25)</f>
        <v>4.8372322426706617E-2</v>
      </c>
      <c r="P30" s="4058">
        <f t="shared" si="32"/>
        <v>5.1342599760284102E-2</v>
      </c>
      <c r="Q30" s="176"/>
      <c r="R30" s="171">
        <f t="shared" si="32"/>
        <v>4.6541537514329788E-2</v>
      </c>
      <c r="S30" s="177">
        <f t="shared" si="32"/>
        <v>4.0301688733344498E-2</v>
      </c>
      <c r="T30" s="177"/>
      <c r="U30" s="173"/>
      <c r="V30" s="170"/>
      <c r="W30" s="171">
        <f t="shared" ref="W30:X30" si="33">IF(W25=0,0,(W27+W28-W29)/W25)</f>
        <v>4.8372322426706617E-2</v>
      </c>
      <c r="X30" s="177">
        <f t="shared" si="33"/>
        <v>4.1613876595530147E-2</v>
      </c>
      <c r="Y30" s="177"/>
      <c r="Z30" s="173"/>
      <c r="AA30" s="170"/>
      <c r="AB30" s="174">
        <f t="shared" ref="AB30:AD30" si="34">IF(AB25=0,0,(AB27+AB28-AB29)/AB25)</f>
        <v>4.8372322426706617E-2</v>
      </c>
      <c r="AC30" s="177"/>
      <c r="AD30" s="177">
        <f t="shared" si="34"/>
        <v>3.7315029348208212E-2</v>
      </c>
      <c r="AE30" s="173"/>
      <c r="AF30" s="176"/>
      <c r="AG30" s="171">
        <f t="shared" ref="AG30:AH30" si="35">IF(AG25=0,0,(AG27+AG28-AG29)/AG25)</f>
        <v>4.8372322426706617E-2</v>
      </c>
      <c r="AH30" s="177">
        <f t="shared" si="35"/>
        <v>0</v>
      </c>
      <c r="AI30" s="177"/>
      <c r="AJ30" s="173"/>
      <c r="AK30" s="170"/>
      <c r="AL30" s="171">
        <f t="shared" ref="AL30" si="36">IF(AL25=0,0,(AL27+AL28-AL29)/AL25)</f>
        <v>4.8372322426706617E-2</v>
      </c>
      <c r="AM30" s="177">
        <f>IF(AM25=0,0,(AM27+AM28-AM29)/AM25)</f>
        <v>0</v>
      </c>
      <c r="AN30" s="177"/>
      <c r="AO30" s="173"/>
      <c r="AP30" s="170"/>
      <c r="AQ30" s="174">
        <f>IF(AQ25=0,0,(AQ27+AQ28-AQ29)/AQ25)</f>
        <v>8.2553765571548157E-2</v>
      </c>
      <c r="AR30" s="177"/>
      <c r="AS30" s="177">
        <f t="shared" ref="AS30" si="37">IF(AS25=0,0,(AS27+AS28-AS29)/AS25)</f>
        <v>0</v>
      </c>
      <c r="AT30" s="173"/>
      <c r="AU30" s="176"/>
      <c r="AV30" s="174">
        <f>IF(AV25=0,0,(AV27+AV28-AV29)/AV25)</f>
        <v>8.2553765571548157E-2</v>
      </c>
      <c r="AW30" s="177"/>
      <c r="AX30" s="177"/>
      <c r="AY30" s="173"/>
      <c r="AZ30" s="170"/>
      <c r="BA30" s="174">
        <f>IF(BA25=0,0,(BA27+BA28-BA29)/BA25)</f>
        <v>7.7118669597447065E-2</v>
      </c>
      <c r="BB30" s="177"/>
      <c r="BC30" s="177">
        <f t="shared" ref="BC30" si="38">IF(BC25=0,0,(BC27+BC28-BC29)/BC25)</f>
        <v>7.7118669597447065E-2</v>
      </c>
      <c r="BD30" s="173"/>
      <c r="BE30" s="24"/>
      <c r="BF30" s="495">
        <f>IF(BF25=0,0,(BF27+BF28-BF29)/BF25)</f>
        <v>4.5903815416237302E-2</v>
      </c>
      <c r="BG30" s="497"/>
      <c r="BH30" s="497"/>
      <c r="BI30" s="494"/>
      <c r="BJ30" s="170"/>
      <c r="BK30" s="495">
        <f>IF(BK25=0,0,(BK27+BK28-BK29)/BK25)</f>
        <v>4.2254999789830633E-2</v>
      </c>
      <c r="BL30" s="497"/>
      <c r="BM30" s="497">
        <f t="shared" ref="BM30" si="39">IF(BM25=0,0,(BM27+BM28-BM29)/BM25)</f>
        <v>0</v>
      </c>
      <c r="BN30" s="494"/>
      <c r="BO30" s="176"/>
      <c r="BP30" s="176"/>
      <c r="BQ30" s="174">
        <f>IF(BQ25=0,0,(BQ27+BQ28-BQ29)/BQ25)</f>
        <v>3.9815625420929153E-2</v>
      </c>
      <c r="BR30" s="177"/>
      <c r="BS30" s="177">
        <f t="shared" ref="BS30" si="40">IF(BS25=0,0,(BS27+BS28-BS29)/BS25)</f>
        <v>5.580972568189841E-2</v>
      </c>
      <c r="BT30" s="173"/>
      <c r="BU30" s="176"/>
      <c r="BV30" s="176"/>
      <c r="BW30" s="24"/>
    </row>
    <row r="31" spans="1:75" x14ac:dyDescent="0.35">
      <c r="A31" s="9168"/>
      <c r="B31" s="139" t="s">
        <v>552</v>
      </c>
      <c r="C31" s="49"/>
      <c r="D31" s="184"/>
      <c r="F31" s="185"/>
      <c r="H31" s="186"/>
      <c r="I31" s="187"/>
      <c r="J31" s="188">
        <f>IF(H31=0,0,I31/H31)</f>
        <v>0</v>
      </c>
      <c r="L31" s="186"/>
      <c r="M31" s="148">
        <f t="shared" ref="M31" si="41">L31*G31</f>
        <v>0</v>
      </c>
      <c r="O31" s="186"/>
      <c r="P31" s="148">
        <f t="shared" ref="P31" si="42">O31*J31</f>
        <v>0</v>
      </c>
      <c r="R31" s="4059"/>
      <c r="S31" s="4060"/>
      <c r="T31" s="190"/>
      <c r="U31" s="191"/>
      <c r="V31" s="170"/>
      <c r="W31" s="4059"/>
      <c r="X31" s="152">
        <f t="shared" ref="X31" si="43">W31*R31</f>
        <v>0</v>
      </c>
      <c r="Y31" s="190"/>
      <c r="Z31" s="191"/>
      <c r="AA31" s="170"/>
      <c r="AB31" s="4061"/>
      <c r="AC31" s="190"/>
      <c r="AD31" s="4062"/>
      <c r="AE31" s="191"/>
      <c r="AG31" s="4059"/>
      <c r="AH31" s="4060"/>
      <c r="AI31" s="190"/>
      <c r="AJ31" s="191"/>
      <c r="AK31" s="170"/>
      <c r="AL31" s="4059"/>
      <c r="AM31" s="152">
        <f t="shared" ref="AM31" si="44">AL31*AG31</f>
        <v>0</v>
      </c>
      <c r="AN31" s="190"/>
      <c r="AO31" s="191"/>
      <c r="AP31" s="170"/>
      <c r="AQ31" s="4061"/>
      <c r="AR31" s="190"/>
      <c r="AS31" s="4062"/>
      <c r="AT31" s="191"/>
      <c r="AV31" s="4061"/>
      <c r="AW31" s="152"/>
      <c r="AX31" s="190"/>
      <c r="AY31" s="191"/>
      <c r="AZ31" s="170"/>
      <c r="BA31" s="4061"/>
      <c r="BB31" s="190"/>
      <c r="BC31" s="4062"/>
      <c r="BD31" s="191"/>
      <c r="BE31" s="3315"/>
      <c r="BF31" s="7652"/>
      <c r="BG31" s="7653"/>
      <c r="BH31" s="839"/>
      <c r="BI31" s="840"/>
      <c r="BJ31" s="170"/>
      <c r="BK31" s="7652"/>
      <c r="BL31" s="839"/>
      <c r="BM31" s="7653"/>
      <c r="BN31" s="840"/>
      <c r="BQ31" s="4061"/>
      <c r="BR31" s="190"/>
      <c r="BS31" s="4060"/>
      <c r="BT31" s="191"/>
      <c r="BW31" s="3315"/>
    </row>
    <row r="32" spans="1:75" x14ac:dyDescent="0.35">
      <c r="A32" s="9168"/>
      <c r="B32" s="196"/>
      <c r="C32" s="121" t="s">
        <v>470</v>
      </c>
      <c r="D32" s="197"/>
      <c r="F32" s="122"/>
      <c r="H32" s="198"/>
      <c r="I32" s="199"/>
      <c r="J32" s="64"/>
      <c r="L32" s="198"/>
      <c r="M32" s="157"/>
      <c r="O32" s="198"/>
      <c r="P32" s="157"/>
      <c r="R32" s="200"/>
      <c r="S32" s="201"/>
      <c r="T32" s="202"/>
      <c r="U32" s="203"/>
      <c r="V32" s="170"/>
      <c r="W32" s="200"/>
      <c r="X32" s="312"/>
      <c r="Y32" s="202"/>
      <c r="Z32" s="203"/>
      <c r="AA32" s="170"/>
      <c r="AB32" s="117"/>
      <c r="AC32" s="202"/>
      <c r="AD32" s="202"/>
      <c r="AE32" s="203"/>
      <c r="AG32" s="200"/>
      <c r="AH32" s="201"/>
      <c r="AI32" s="202"/>
      <c r="AJ32" s="203"/>
      <c r="AK32" s="170"/>
      <c r="AL32" s="200"/>
      <c r="AM32" s="312"/>
      <c r="AN32" s="202"/>
      <c r="AO32" s="203"/>
      <c r="AP32" s="170"/>
      <c r="AQ32" s="117"/>
      <c r="AR32" s="202"/>
      <c r="AS32" s="202"/>
      <c r="AT32" s="203"/>
      <c r="AV32" s="117"/>
      <c r="AW32" s="312"/>
      <c r="AX32" s="202"/>
      <c r="AY32" s="203"/>
      <c r="AZ32" s="170"/>
      <c r="BA32" s="117"/>
      <c r="BB32" s="202"/>
      <c r="BC32" s="202"/>
      <c r="BD32" s="203"/>
      <c r="BE32" s="1788"/>
      <c r="BF32" s="117"/>
      <c r="BG32" s="201"/>
      <c r="BH32" s="834"/>
      <c r="BI32" s="835"/>
      <c r="BJ32" s="170"/>
      <c r="BK32" s="117"/>
      <c r="BL32" s="834"/>
      <c r="BM32" s="201"/>
      <c r="BN32" s="835"/>
      <c r="BQ32" s="117"/>
      <c r="BR32" s="202"/>
      <c r="BS32" s="201"/>
      <c r="BT32" s="203"/>
      <c r="BW32" s="1788"/>
    </row>
    <row r="33" spans="1:75" x14ac:dyDescent="0.35">
      <c r="A33" s="9169"/>
      <c r="B33" s="207"/>
      <c r="C33" s="208" t="s">
        <v>1116</v>
      </c>
      <c r="D33" s="209"/>
      <c r="F33" s="210"/>
      <c r="H33" s="211"/>
      <c r="I33" s="212"/>
      <c r="J33" s="133"/>
      <c r="L33" s="211"/>
      <c r="M33" s="213"/>
      <c r="O33" s="211"/>
      <c r="P33" s="213"/>
      <c r="R33" s="214"/>
      <c r="S33" s="215"/>
      <c r="T33" s="216"/>
      <c r="U33" s="133"/>
      <c r="W33" s="214"/>
      <c r="X33" s="3054"/>
      <c r="Y33" s="216"/>
      <c r="Z33" s="133"/>
      <c r="AB33" s="217"/>
      <c r="AC33" s="216"/>
      <c r="AD33" s="216"/>
      <c r="AE33" s="92"/>
      <c r="AG33" s="214"/>
      <c r="AH33" s="215"/>
      <c r="AI33" s="216"/>
      <c r="AJ33" s="133"/>
      <c r="AL33" s="214"/>
      <c r="AM33" s="3054"/>
      <c r="AN33" s="216"/>
      <c r="AO33" s="133"/>
      <c r="AQ33" s="217"/>
      <c r="AR33" s="216"/>
      <c r="AS33" s="216"/>
      <c r="AT33" s="92"/>
      <c r="AV33" s="217"/>
      <c r="AW33" s="3054"/>
      <c r="AX33" s="216"/>
      <c r="AY33" s="133"/>
      <c r="BA33" s="217"/>
      <c r="BB33" s="216"/>
      <c r="BC33" s="216"/>
      <c r="BD33" s="92"/>
      <c r="BE33" s="1789"/>
      <c r="BF33" s="217"/>
      <c r="BG33" s="215"/>
      <c r="BH33" s="216"/>
      <c r="BI33" s="484"/>
      <c r="BK33" s="217"/>
      <c r="BL33" s="216"/>
      <c r="BM33" s="215"/>
      <c r="BN33" s="92"/>
      <c r="BQ33" s="217"/>
      <c r="BR33" s="216"/>
      <c r="BS33" s="215"/>
      <c r="BT33" s="92"/>
      <c r="BW33" s="1789"/>
    </row>
    <row r="34" spans="1:75" x14ac:dyDescent="0.35">
      <c r="A34" s="220"/>
      <c r="B34" s="220"/>
      <c r="F34" s="106"/>
      <c r="H34" s="106"/>
      <c r="I34" s="106"/>
      <c r="J34" s="221"/>
      <c r="L34" s="106"/>
      <c r="O34" s="106"/>
      <c r="R34" s="106"/>
      <c r="S34" s="106"/>
      <c r="T34" s="106"/>
      <c r="U34" s="221"/>
      <c r="W34" s="106"/>
      <c r="X34"/>
      <c r="Y34" s="106"/>
      <c r="Z34" s="221"/>
      <c r="AB34" s="106"/>
      <c r="AC34" s="106"/>
      <c r="AE34" s="106"/>
      <c r="AG34" s="106"/>
      <c r="AH34" s="106"/>
      <c r="AI34" s="106"/>
      <c r="AJ34" s="221"/>
      <c r="AL34" s="106"/>
      <c r="AM34"/>
      <c r="AN34" s="106"/>
      <c r="AO34" s="221"/>
      <c r="AQ34" s="106"/>
      <c r="AR34" s="106"/>
      <c r="AT34" s="106"/>
      <c r="AV34" s="106"/>
      <c r="AW34"/>
      <c r="AX34" s="106"/>
      <c r="AY34" s="221"/>
      <c r="BA34" s="106"/>
      <c r="BB34" s="106"/>
      <c r="BD34" s="106"/>
      <c r="BF34" s="106"/>
      <c r="BG34" s="106"/>
      <c r="BH34" s="106"/>
      <c r="BI34" s="221"/>
      <c r="BK34" s="106"/>
      <c r="BL34" s="106"/>
      <c r="BM34" s="106"/>
      <c r="BN34" s="106"/>
      <c r="BQ34" s="106"/>
      <c r="BR34" s="106"/>
      <c r="BS34" s="106"/>
      <c r="BT34" s="106"/>
    </row>
    <row r="35" spans="1:75" ht="27.75" customHeight="1" x14ac:dyDescent="0.35">
      <c r="A35" s="9167" t="s">
        <v>503</v>
      </c>
      <c r="B35" s="27"/>
      <c r="C35" s="28" t="s">
        <v>427</v>
      </c>
      <c r="D35" s="585"/>
      <c r="E35" s="30"/>
      <c r="F35" s="36" t="s">
        <v>6323</v>
      </c>
      <c r="G35" s="223"/>
      <c r="H35" s="222"/>
      <c r="I35" s="36" t="s">
        <v>6325</v>
      </c>
      <c r="J35" s="224"/>
      <c r="K35" s="223"/>
      <c r="L35" s="36" t="s">
        <v>6387</v>
      </c>
      <c r="M35" s="4063" t="s">
        <v>6388</v>
      </c>
      <c r="N35" s="30"/>
      <c r="O35" s="36" t="s">
        <v>6387</v>
      </c>
      <c r="P35" s="34" t="s">
        <v>593</v>
      </c>
      <c r="Q35" s="30"/>
      <c r="R35" s="4064"/>
      <c r="S35" s="4065"/>
      <c r="T35" s="35"/>
      <c r="U35" s="224"/>
      <c r="V35" s="223"/>
      <c r="W35" s="36" t="s">
        <v>6387</v>
      </c>
      <c r="X35" s="34" t="s">
        <v>593</v>
      </c>
      <c r="Y35" s="35"/>
      <c r="Z35" s="224"/>
      <c r="AA35" s="223"/>
      <c r="AB35" s="2687" t="s">
        <v>6389</v>
      </c>
      <c r="AC35" s="225" t="s">
        <v>6390</v>
      </c>
      <c r="AD35" s="4045"/>
      <c r="AE35" s="4066"/>
      <c r="AF35" s="30"/>
      <c r="AG35" s="4064" t="s">
        <v>6387</v>
      </c>
      <c r="AH35" s="4065"/>
      <c r="AI35" s="35"/>
      <c r="AJ35" s="224"/>
      <c r="AK35" s="223"/>
      <c r="AL35" s="36" t="s">
        <v>6389</v>
      </c>
      <c r="AM35" s="34" t="s">
        <v>6391</v>
      </c>
      <c r="AN35" s="35" t="s">
        <v>6390</v>
      </c>
      <c r="AO35" s="224"/>
      <c r="AP35" s="223"/>
      <c r="AQ35" s="2687"/>
      <c r="AR35" s="225" t="s">
        <v>6390</v>
      </c>
      <c r="AS35" s="4045"/>
      <c r="AT35" s="4066"/>
      <c r="AU35" s="30"/>
      <c r="AV35" s="2687"/>
      <c r="AW35" s="34"/>
      <c r="AX35" s="35" t="s">
        <v>6390</v>
      </c>
      <c r="AY35" s="224"/>
      <c r="AZ35" s="223"/>
      <c r="BA35" s="2687"/>
      <c r="BB35" s="225" t="s">
        <v>6390</v>
      </c>
      <c r="BC35" s="4045"/>
      <c r="BD35" s="4066"/>
      <c r="BE35" s="39"/>
      <c r="BF35" s="2687" t="s">
        <v>6339</v>
      </c>
      <c r="BG35" s="7648" t="s">
        <v>6340</v>
      </c>
      <c r="BH35" s="3375"/>
      <c r="BI35" s="224"/>
      <c r="BJ35" s="223"/>
      <c r="BK35" s="2687" t="s">
        <v>6339</v>
      </c>
      <c r="BL35" s="4645"/>
      <c r="BM35" s="4065"/>
      <c r="BN35" s="7654"/>
      <c r="BO35" s="30"/>
      <c r="BP35" s="30"/>
      <c r="BQ35" s="2687" t="s">
        <v>6392</v>
      </c>
      <c r="BR35" s="8549" t="s">
        <v>6393</v>
      </c>
      <c r="BS35" s="4065" t="s">
        <v>6340</v>
      </c>
      <c r="BT35" s="4066"/>
      <c r="BU35" s="30"/>
      <c r="BV35" s="30"/>
      <c r="BW35" s="39"/>
    </row>
    <row r="36" spans="1:75" x14ac:dyDescent="0.35">
      <c r="A36" s="9168"/>
      <c r="B36" s="141" t="s">
        <v>514</v>
      </c>
      <c r="C36"/>
      <c r="D36" s="184"/>
      <c r="E36" s="143"/>
      <c r="F36" s="227"/>
      <c r="G36" s="143"/>
      <c r="H36" s="102"/>
      <c r="I36" s="103"/>
      <c r="J36" s="228"/>
      <c r="K36" s="143"/>
      <c r="L36" s="102"/>
      <c r="M36" s="229"/>
      <c r="N36" s="143"/>
      <c r="O36" s="102"/>
      <c r="P36" s="229"/>
      <c r="Q36" s="143"/>
      <c r="R36" s="230"/>
      <c r="S36" s="103"/>
      <c r="T36" s="53"/>
      <c r="U36" s="228"/>
      <c r="V36" s="143"/>
      <c r="W36" s="230"/>
      <c r="X36" s="348"/>
      <c r="Y36" s="231"/>
      <c r="Z36" s="228"/>
      <c r="AA36" s="143"/>
      <c r="AB36" s="230"/>
      <c r="AC36" s="57" t="s">
        <v>6394</v>
      </c>
      <c r="AD36" s="2909"/>
      <c r="AE36" s="237"/>
      <c r="AF36" s="143"/>
      <c r="AG36" s="230"/>
      <c r="AH36" s="103"/>
      <c r="AI36" s="53"/>
      <c r="AJ36" s="228"/>
      <c r="AK36" s="143"/>
      <c r="AL36" s="230"/>
      <c r="AM36" s="348"/>
      <c r="AN36" s="231" t="s">
        <v>6394</v>
      </c>
      <c r="AO36" s="228"/>
      <c r="AP36" s="143"/>
      <c r="AQ36" s="230" t="s">
        <v>6395</v>
      </c>
      <c r="AR36" s="57" t="s">
        <v>6396</v>
      </c>
      <c r="AS36" s="2909"/>
      <c r="AT36" s="237"/>
      <c r="AU36" s="143"/>
      <c r="AV36" s="230" t="s">
        <v>6395</v>
      </c>
      <c r="AW36" s="348"/>
      <c r="AX36" s="231" t="s">
        <v>6394</v>
      </c>
      <c r="AY36" s="228"/>
      <c r="AZ36" s="143"/>
      <c r="BA36" s="230" t="s">
        <v>6397</v>
      </c>
      <c r="BB36" s="57"/>
      <c r="BC36" s="2909"/>
      <c r="BD36" s="237"/>
      <c r="BE36" s="18"/>
      <c r="BF36" s="230"/>
      <c r="BG36" s="103"/>
      <c r="BH36" s="231" t="s">
        <v>6398</v>
      </c>
      <c r="BI36" s="228"/>
      <c r="BJ36" s="143"/>
      <c r="BK36" s="230"/>
      <c r="BL36" s="231" t="s">
        <v>6398</v>
      </c>
      <c r="BM36" s="103"/>
      <c r="BN36" s="237"/>
      <c r="BO36" s="143"/>
      <c r="BP36" s="143"/>
      <c r="BQ36" s="230"/>
      <c r="BR36" s="231"/>
      <c r="BS36" s="103"/>
      <c r="BT36" s="237"/>
      <c r="BU36" s="143"/>
      <c r="BV36" s="143"/>
      <c r="BW36" s="18"/>
    </row>
    <row r="37" spans="1:75" x14ac:dyDescent="0.35">
      <c r="A37" s="9168"/>
      <c r="B37" s="240"/>
      <c r="C37" s="240" t="s">
        <v>6399</v>
      </c>
      <c r="D37" s="197"/>
      <c r="F37" s="111">
        <v>3379393817458</v>
      </c>
      <c r="H37" s="112">
        <v>5618390903</v>
      </c>
      <c r="I37" s="113">
        <v>5208941512</v>
      </c>
      <c r="J37" s="64">
        <f t="shared" ref="J37:J48" si="45">IF(H37=0,0,I37/H37)</f>
        <v>0.92712337071787398</v>
      </c>
      <c r="L37" s="112">
        <v>8599147755</v>
      </c>
      <c r="M37" s="611">
        <v>6176792006</v>
      </c>
      <c r="O37" s="112">
        <v>9415154444</v>
      </c>
      <c r="P37" s="66">
        <f>O37*M37/L37</f>
        <v>6762931904.6343765</v>
      </c>
      <c r="R37" s="112">
        <v>9036099795</v>
      </c>
      <c r="S37" s="233">
        <v>8060676530</v>
      </c>
      <c r="T37" s="57" t="s">
        <v>6400</v>
      </c>
      <c r="U37" s="64">
        <f t="shared" ref="U37" si="46">S37/R37</f>
        <v>0.89205262368397731</v>
      </c>
      <c r="V37" s="235"/>
      <c r="W37" s="198">
        <f>O37</f>
        <v>9415154444</v>
      </c>
      <c r="X37" s="3022">
        <v>8212192367</v>
      </c>
      <c r="Y37" s="57" t="s">
        <v>6401</v>
      </c>
      <c r="Z37" s="64">
        <f t="shared" ref="Z37:Z40" si="47">IF(X37=0,1,X37/W37)</f>
        <v>0.87223129645349451</v>
      </c>
      <c r="AA37" s="235"/>
      <c r="AB37" s="112">
        <v>7792494270</v>
      </c>
      <c r="AC37" s="57" t="s">
        <v>6402</v>
      </c>
      <c r="AD37" s="106">
        <f t="shared" ref="AD37:AD43" si="48">AB37*Z37</f>
        <v>6796857379.7285271</v>
      </c>
      <c r="AE37" s="237"/>
      <c r="AG37" s="112">
        <f>W37</f>
        <v>9415154444</v>
      </c>
      <c r="AH37" s="233"/>
      <c r="AI37" s="57" t="s">
        <v>6400</v>
      </c>
      <c r="AJ37" s="64">
        <f t="shared" ref="AJ37" si="49">AH37/AG37</f>
        <v>0</v>
      </c>
      <c r="AK37" s="235"/>
      <c r="AL37" s="198">
        <v>7792494270</v>
      </c>
      <c r="AM37" s="3022"/>
      <c r="AN37" s="57" t="s">
        <v>6402</v>
      </c>
      <c r="AO37" s="64">
        <f t="shared" ref="AO37" si="50">IF(AM37=0,1,AM37/AL37)</f>
        <v>1</v>
      </c>
      <c r="AP37" s="235"/>
      <c r="AQ37" s="112"/>
      <c r="AS37" s="106"/>
      <c r="AT37" s="237"/>
      <c r="AV37" s="112"/>
      <c r="AW37" s="3022"/>
      <c r="AX37" s="57" t="s">
        <v>6402</v>
      </c>
      <c r="AY37" s="64">
        <f t="shared" ref="AY37" si="51">IF(AW37=0,1,AW37/AV37)</f>
        <v>1</v>
      </c>
      <c r="AZ37" s="235"/>
      <c r="BA37" s="112"/>
      <c r="BC37" s="106">
        <f t="shared" ref="BC37" si="52">BA37*AY37</f>
        <v>0</v>
      </c>
      <c r="BD37" s="237"/>
      <c r="BE37" s="26"/>
      <c r="BF37" s="112"/>
      <c r="BG37" s="233"/>
      <c r="BH37" s="57"/>
      <c r="BI37" s="476"/>
      <c r="BJ37" s="235"/>
      <c r="BK37" s="112"/>
      <c r="BM37" s="233">
        <f t="shared" ref="BM37" si="53">BK37*BI37</f>
        <v>0</v>
      </c>
      <c r="BN37" s="237"/>
      <c r="BQ37" s="112"/>
      <c r="BR37" t="s">
        <v>6403</v>
      </c>
      <c r="BS37" s="233"/>
      <c r="BT37" s="237"/>
      <c r="BW37" s="26"/>
    </row>
    <row r="38" spans="1:75" x14ac:dyDescent="0.35">
      <c r="A38" s="9168"/>
      <c r="B38" s="240"/>
      <c r="C38" s="238" t="s">
        <v>11</v>
      </c>
      <c r="D38" s="197"/>
      <c r="F38" s="111"/>
      <c r="H38" s="114"/>
      <c r="I38" s="113"/>
      <c r="J38" s="64"/>
      <c r="L38" s="112"/>
      <c r="M38" s="611"/>
      <c r="O38" s="112"/>
      <c r="P38" s="66"/>
      <c r="R38" s="112"/>
      <c r="S38" s="233"/>
      <c r="T38" s="57" t="s">
        <v>6404</v>
      </c>
      <c r="U38" s="234"/>
      <c r="V38" s="235"/>
      <c r="W38" s="248"/>
      <c r="X38" s="647"/>
      <c r="Y38" s="57"/>
      <c r="Z38" s="64"/>
      <c r="AA38" s="235"/>
      <c r="AB38" s="112"/>
      <c r="AC38" s="57"/>
      <c r="AD38" s="106"/>
      <c r="AE38" s="237"/>
      <c r="AG38" s="112"/>
      <c r="AH38" s="233"/>
      <c r="AI38" s="57" t="s">
        <v>6404</v>
      </c>
      <c r="AJ38" s="234"/>
      <c r="AK38" s="235"/>
      <c r="AL38" s="248"/>
      <c r="AM38" s="647"/>
      <c r="AN38" s="57"/>
      <c r="AO38" s="64"/>
      <c r="AP38" s="235"/>
      <c r="AQ38" s="112">
        <f>10641930000-AQ39</f>
        <v>9635310000</v>
      </c>
      <c r="AR38" s="57" t="s">
        <v>6405</v>
      </c>
      <c r="AS38" s="106"/>
      <c r="AT38" s="237"/>
      <c r="AV38" s="112">
        <f>10641930000-AV39</f>
        <v>9635310000</v>
      </c>
      <c r="AW38" s="647"/>
      <c r="AX38" s="57"/>
      <c r="AY38" s="64"/>
      <c r="AZ38" s="235"/>
      <c r="BA38" s="112">
        <v>12415900992</v>
      </c>
      <c r="BB38" s="57" t="s">
        <v>6406</v>
      </c>
      <c r="BC38" s="106"/>
      <c r="BD38" s="237"/>
      <c r="BE38" s="26"/>
      <c r="BF38" s="112">
        <v>9501788885</v>
      </c>
      <c r="BG38" s="233"/>
      <c r="BH38" s="57"/>
      <c r="BI38" s="476"/>
      <c r="BJ38" s="235"/>
      <c r="BK38" s="112">
        <v>9927643145</v>
      </c>
      <c r="BL38" s="57"/>
      <c r="BM38" s="233"/>
      <c r="BN38" s="237"/>
      <c r="BQ38" s="112"/>
      <c r="BR38" s="57"/>
      <c r="BS38" s="233"/>
      <c r="BT38" s="237"/>
      <c r="BW38" s="26"/>
    </row>
    <row r="39" spans="1:75" x14ac:dyDescent="0.35">
      <c r="A39" s="9168"/>
      <c r="B39" s="240"/>
      <c r="C39" s="238" t="s">
        <v>1116</v>
      </c>
      <c r="D39" s="197"/>
      <c r="F39" s="111"/>
      <c r="H39" s="114"/>
      <c r="I39" s="113"/>
      <c r="J39" s="64"/>
      <c r="L39" s="112"/>
      <c r="M39" s="611"/>
      <c r="O39" s="112"/>
      <c r="P39" s="66"/>
      <c r="R39" s="112"/>
      <c r="S39" s="233"/>
      <c r="T39" s="57"/>
      <c r="U39" s="234"/>
      <c r="V39" s="235"/>
      <c r="W39" s="248"/>
      <c r="X39" s="647"/>
      <c r="Y39" s="57"/>
      <c r="Z39" s="64"/>
      <c r="AA39" s="235"/>
      <c r="AB39" s="112"/>
      <c r="AC39" s="57"/>
      <c r="AD39" s="106"/>
      <c r="AE39" s="237"/>
      <c r="AG39" s="112"/>
      <c r="AH39" s="233"/>
      <c r="AI39" s="57"/>
      <c r="AJ39" s="234"/>
      <c r="AK39" s="235"/>
      <c r="AL39" s="248"/>
      <c r="AM39" s="647"/>
      <c r="AN39" s="57"/>
      <c r="AO39" s="64"/>
      <c r="AP39" s="235"/>
      <c r="AQ39" s="112">
        <f>638040000+368580000</f>
        <v>1006620000</v>
      </c>
      <c r="AR39" s="57"/>
      <c r="AS39" s="106"/>
      <c r="AT39" s="237"/>
      <c r="AV39" s="112">
        <f>638040000+368580000</f>
        <v>1006620000</v>
      </c>
      <c r="AW39" s="647"/>
      <c r="AX39" s="57"/>
      <c r="AY39" s="64"/>
      <c r="AZ39" s="235"/>
      <c r="BA39" s="112"/>
      <c r="BB39" s="57"/>
      <c r="BC39" s="106"/>
      <c r="BD39" s="237"/>
      <c r="BE39" s="26"/>
      <c r="BF39" s="112"/>
      <c r="BG39" s="233"/>
      <c r="BH39" s="57"/>
      <c r="BI39" s="476"/>
      <c r="BJ39" s="235"/>
      <c r="BK39" s="112"/>
      <c r="BL39" s="57"/>
      <c r="BM39" s="233"/>
      <c r="BN39" s="237"/>
      <c r="BQ39" s="112"/>
      <c r="BR39" s="57"/>
      <c r="BS39" s="233"/>
      <c r="BT39" s="237"/>
      <c r="BW39" s="26"/>
    </row>
    <row r="40" spans="1:75" x14ac:dyDescent="0.35">
      <c r="A40" s="9168"/>
      <c r="B40" s="240"/>
      <c r="C40" s="240" t="s">
        <v>6407</v>
      </c>
      <c r="D40" s="197"/>
      <c r="F40" s="155">
        <v>4838321801</v>
      </c>
      <c r="H40" s="242">
        <v>5814066</v>
      </c>
      <c r="I40" s="115">
        <v>6121831</v>
      </c>
      <c r="J40" s="64">
        <f t="shared" si="45"/>
        <v>1.0529345556104799</v>
      </c>
      <c r="L40" s="112">
        <v>8167803</v>
      </c>
      <c r="M40" s="66">
        <f>L40*J40</f>
        <v>8600162.0221189447</v>
      </c>
      <c r="O40" s="112">
        <v>8267584</v>
      </c>
      <c r="P40" s="66">
        <f>O40*J40</f>
        <v>8705224.8850123137</v>
      </c>
      <c r="R40" s="112">
        <v>8167803</v>
      </c>
      <c r="S40" s="233">
        <v>7694892</v>
      </c>
      <c r="T40" s="57" t="s">
        <v>784</v>
      </c>
      <c r="U40" s="64">
        <f t="shared" ref="U40" si="54">S40/R40</f>
        <v>0.94210058690201026</v>
      </c>
      <c r="V40" s="235"/>
      <c r="W40" s="198">
        <f>O40</f>
        <v>8267584</v>
      </c>
      <c r="X40" s="3022">
        <v>7220627</v>
      </c>
      <c r="Y40" s="57" t="s">
        <v>6401</v>
      </c>
      <c r="Z40" s="64">
        <f t="shared" si="47"/>
        <v>0.87336602809236652</v>
      </c>
      <c r="AA40" s="235"/>
      <c r="AB40" s="112">
        <v>7558293</v>
      </c>
      <c r="AD40" s="106">
        <f t="shared" si="48"/>
        <v>6601156.3365683369</v>
      </c>
      <c r="AE40" s="237"/>
      <c r="AG40" s="112">
        <f>W40</f>
        <v>8267584</v>
      </c>
      <c r="AH40" s="233"/>
      <c r="AI40" s="57" t="s">
        <v>784</v>
      </c>
      <c r="AJ40" s="64">
        <f t="shared" ref="AJ40" si="55">AH40/AG40</f>
        <v>0</v>
      </c>
      <c r="AK40" s="235"/>
      <c r="AL40" s="198">
        <v>7558293</v>
      </c>
      <c r="AM40" s="3022"/>
      <c r="AN40" s="57"/>
      <c r="AO40" s="64">
        <f t="shared" ref="AO40" si="56">IF(AM40=0,1,AM40/AL40)</f>
        <v>1</v>
      </c>
      <c r="AP40" s="235"/>
      <c r="AQ40" s="112"/>
      <c r="AS40" s="106"/>
      <c r="AT40" s="237"/>
      <c r="AV40" s="112"/>
      <c r="AW40" s="3022"/>
      <c r="AX40" s="57"/>
      <c r="AY40" s="64">
        <f t="shared" ref="AY40" si="57">IF(AW40=0,1,AW40/AV40)</f>
        <v>1</v>
      </c>
      <c r="AZ40" s="235"/>
      <c r="BA40" s="112"/>
      <c r="BC40" s="106">
        <f t="shared" ref="BC40" si="58">BA40*AY40</f>
        <v>0</v>
      </c>
      <c r="BD40" s="237"/>
      <c r="BE40" s="26"/>
      <c r="BF40" s="112"/>
      <c r="BG40" s="233"/>
      <c r="BH40" s="57"/>
      <c r="BI40" s="476"/>
      <c r="BJ40" s="235"/>
      <c r="BK40" s="112"/>
      <c r="BM40" s="233">
        <f t="shared" ref="BM40" si="59">BK40*BI40</f>
        <v>0</v>
      </c>
      <c r="BN40" s="237"/>
      <c r="BQ40" s="112">
        <v>8497760</v>
      </c>
      <c r="BR40" t="s">
        <v>5083</v>
      </c>
      <c r="BS40" s="233"/>
      <c r="BT40" s="237"/>
      <c r="BW40" s="26"/>
    </row>
    <row r="41" spans="1:75" x14ac:dyDescent="0.35">
      <c r="A41" s="9168"/>
      <c r="B41" s="241"/>
      <c r="C41" s="238" t="s">
        <v>11</v>
      </c>
      <c r="D41" s="197"/>
      <c r="F41" s="163"/>
      <c r="H41" s="242"/>
      <c r="I41" s="243"/>
      <c r="J41" s="64"/>
      <c r="L41" s="114"/>
      <c r="M41" s="66"/>
      <c r="O41" s="114"/>
      <c r="P41" s="66"/>
      <c r="R41" s="112"/>
      <c r="S41" s="233"/>
      <c r="T41" s="106"/>
      <c r="U41" s="64"/>
      <c r="V41" s="235"/>
      <c r="W41" s="248"/>
      <c r="X41" s="647"/>
      <c r="Y41" s="106"/>
      <c r="Z41" s="64"/>
      <c r="AA41" s="235"/>
      <c r="AB41" s="112"/>
      <c r="AC41" s="57"/>
      <c r="AD41" s="106"/>
      <c r="AE41" s="66"/>
      <c r="AG41" s="112"/>
      <c r="AH41" s="233"/>
      <c r="AI41" s="106"/>
      <c r="AJ41" s="64"/>
      <c r="AK41" s="235"/>
      <c r="AL41" s="248"/>
      <c r="AM41" s="647"/>
      <c r="AN41" s="106"/>
      <c r="AO41" s="64"/>
      <c r="AP41" s="235"/>
      <c r="AQ41" s="112"/>
      <c r="AR41" s="57"/>
      <c r="AS41" s="106"/>
      <c r="AT41" s="66"/>
      <c r="AV41" s="112"/>
      <c r="AW41" s="647"/>
      <c r="AX41" s="106"/>
      <c r="AY41" s="64"/>
      <c r="AZ41" s="235"/>
      <c r="BA41" s="112"/>
      <c r="BB41" s="57"/>
      <c r="BC41" s="106"/>
      <c r="BD41" s="66"/>
      <c r="BE41" s="26"/>
      <c r="BF41" s="112">
        <v>9675940</v>
      </c>
      <c r="BG41" s="233"/>
      <c r="BH41" s="106"/>
      <c r="BI41" s="476"/>
      <c r="BJ41" s="235"/>
      <c r="BK41" s="112">
        <v>8297760</v>
      </c>
      <c r="BL41" s="57"/>
      <c r="BM41" s="233"/>
      <c r="BN41" s="66"/>
      <c r="BQ41" s="112"/>
      <c r="BR41" s="57"/>
      <c r="BS41" s="233"/>
      <c r="BT41" s="66"/>
      <c r="BW41" s="26"/>
    </row>
    <row r="42" spans="1:75" x14ac:dyDescent="0.35">
      <c r="A42" s="9168"/>
      <c r="B42" s="241"/>
      <c r="C42" s="238" t="s">
        <v>1116</v>
      </c>
      <c r="D42" s="197"/>
      <c r="F42" s="163"/>
      <c r="H42" s="242"/>
      <c r="I42" s="243"/>
      <c r="J42" s="64"/>
      <c r="L42" s="114"/>
      <c r="M42" s="66"/>
      <c r="O42" s="114"/>
      <c r="P42" s="66"/>
      <c r="R42" s="112"/>
      <c r="S42" s="201"/>
      <c r="T42" s="106"/>
      <c r="U42" s="64"/>
      <c r="V42" s="235"/>
      <c r="W42" s="248"/>
      <c r="X42" s="647"/>
      <c r="Y42" s="106"/>
      <c r="Z42" s="64"/>
      <c r="AA42" s="235"/>
      <c r="AB42" s="112"/>
      <c r="AC42" s="57"/>
      <c r="AD42" s="106"/>
      <c r="AE42" s="66"/>
      <c r="AG42" s="112"/>
      <c r="AH42" s="201"/>
      <c r="AI42" s="106"/>
      <c r="AJ42" s="64"/>
      <c r="AK42" s="235"/>
      <c r="AL42" s="248"/>
      <c r="AM42" s="647"/>
      <c r="AN42" s="106"/>
      <c r="AO42" s="64"/>
      <c r="AP42" s="235"/>
      <c r="AQ42" s="112"/>
      <c r="AR42" s="57"/>
      <c r="AS42" s="106"/>
      <c r="AT42" s="66"/>
      <c r="AV42" s="112"/>
      <c r="AW42" s="647"/>
      <c r="AX42" s="106"/>
      <c r="AY42" s="64"/>
      <c r="AZ42" s="235"/>
      <c r="BA42" s="112"/>
      <c r="BB42" s="57"/>
      <c r="BC42" s="106"/>
      <c r="BD42" s="66"/>
      <c r="BE42" s="26"/>
      <c r="BF42" s="112"/>
      <c r="BG42" s="201"/>
      <c r="BH42" s="106"/>
      <c r="BI42" s="476"/>
      <c r="BJ42" s="235"/>
      <c r="BK42" s="112"/>
      <c r="BL42" s="57"/>
      <c r="BM42" s="201"/>
      <c r="BN42" s="66"/>
      <c r="BQ42" s="112"/>
      <c r="BR42" s="57"/>
      <c r="BS42" s="201"/>
      <c r="BT42" s="66"/>
      <c r="BW42" s="26"/>
    </row>
    <row r="43" spans="1:75" x14ac:dyDescent="0.35">
      <c r="A43" s="9168"/>
      <c r="B43" s="241"/>
      <c r="C43" s="240" t="s">
        <v>548</v>
      </c>
      <c r="D43" s="197"/>
      <c r="F43" s="163"/>
      <c r="H43" s="242"/>
      <c r="I43" s="243"/>
      <c r="J43" s="64"/>
      <c r="L43" s="114"/>
      <c r="M43" s="66"/>
      <c r="O43" s="114"/>
      <c r="P43" s="66"/>
      <c r="R43" s="112"/>
      <c r="S43" s="233"/>
      <c r="T43" s="106"/>
      <c r="U43" s="64"/>
      <c r="V43" s="235"/>
      <c r="W43" s="248"/>
      <c r="X43" s="647"/>
      <c r="Y43" s="106"/>
      <c r="Z43" s="1171">
        <f>Z37</f>
        <v>0.87223129645349451</v>
      </c>
      <c r="AA43" s="235"/>
      <c r="AB43" s="117">
        <v>1155414293</v>
      </c>
      <c r="AC43" s="57"/>
      <c r="AD43" s="106">
        <f t="shared" si="48"/>
        <v>1007788506.7242877</v>
      </c>
      <c r="AE43" s="66"/>
      <c r="AG43" s="112"/>
      <c r="AH43" s="233"/>
      <c r="AI43" s="106"/>
      <c r="AJ43" s="64"/>
      <c r="AK43" s="235"/>
      <c r="AL43" s="248">
        <v>1155414293</v>
      </c>
      <c r="AM43" s="647"/>
      <c r="AN43" s="106"/>
      <c r="AO43" s="1171">
        <f>AO37</f>
        <v>1</v>
      </c>
      <c r="AP43" s="235"/>
      <c r="AQ43" s="117"/>
      <c r="AR43" s="57"/>
      <c r="AS43" s="106"/>
      <c r="AT43" s="66"/>
      <c r="AV43" s="117"/>
      <c r="AW43" s="647"/>
      <c r="AX43" s="106"/>
      <c r="AY43" s="1171">
        <f>AY37</f>
        <v>1</v>
      </c>
      <c r="AZ43" s="235"/>
      <c r="BA43" s="117"/>
      <c r="BB43" s="57"/>
      <c r="BC43" s="106">
        <f t="shared" ref="BC43" si="60">BA43*AY43</f>
        <v>0</v>
      </c>
      <c r="BD43" s="66"/>
      <c r="BE43" s="26"/>
      <c r="BF43" s="112"/>
      <c r="BG43" s="233"/>
      <c r="BH43" s="106"/>
      <c r="BI43" s="1628"/>
      <c r="BJ43" s="235"/>
      <c r="BK43" s="117"/>
      <c r="BL43" s="57"/>
      <c r="BM43" s="233">
        <f t="shared" ref="BM43" si="61">BK43*BI43</f>
        <v>0</v>
      </c>
      <c r="BN43" s="66"/>
      <c r="BQ43" s="117"/>
      <c r="BR43" s="57"/>
      <c r="BS43" s="233"/>
      <c r="BT43" s="66"/>
      <c r="BW43" s="26"/>
    </row>
    <row r="44" spans="1:75" x14ac:dyDescent="0.35">
      <c r="A44" s="9168"/>
      <c r="B44" s="241"/>
      <c r="C44" s="238" t="s">
        <v>11</v>
      </c>
      <c r="D44" s="197"/>
      <c r="F44" s="163"/>
      <c r="H44" s="242"/>
      <c r="I44" s="243"/>
      <c r="J44" s="64"/>
      <c r="L44" s="114"/>
      <c r="M44" s="66"/>
      <c r="O44" s="114"/>
      <c r="P44" s="66"/>
      <c r="R44" s="112"/>
      <c r="S44" s="233"/>
      <c r="T44" s="106"/>
      <c r="U44" s="64"/>
      <c r="V44" s="235"/>
      <c r="W44" s="248"/>
      <c r="X44" s="647"/>
      <c r="Y44" s="106"/>
      <c r="Z44" s="64"/>
      <c r="AA44" s="235"/>
      <c r="AB44" s="112"/>
      <c r="AC44" s="57"/>
      <c r="AD44" s="57"/>
      <c r="AE44" s="66"/>
      <c r="AG44" s="112"/>
      <c r="AH44" s="233"/>
      <c r="AI44" s="106"/>
      <c r="AJ44" s="64"/>
      <c r="AK44" s="235"/>
      <c r="AL44" s="248"/>
      <c r="AM44" s="647"/>
      <c r="AN44" s="106"/>
      <c r="AO44" s="64"/>
      <c r="AP44" s="235"/>
      <c r="AQ44" s="112"/>
      <c r="AR44" s="57"/>
      <c r="AS44" s="57"/>
      <c r="AT44" s="66"/>
      <c r="AV44" s="112"/>
      <c r="AW44" s="647"/>
      <c r="AX44" s="106"/>
      <c r="AY44" s="64"/>
      <c r="AZ44" s="235"/>
      <c r="BA44" s="112"/>
      <c r="BB44" s="57"/>
      <c r="BC44" s="57"/>
      <c r="BD44" s="66"/>
      <c r="BE44" s="26"/>
      <c r="BF44" s="112">
        <v>1950384455</v>
      </c>
      <c r="BG44" s="233"/>
      <c r="BH44" s="106"/>
      <c r="BI44" s="476"/>
      <c r="BJ44" s="235"/>
      <c r="BK44" s="112">
        <v>1519317839</v>
      </c>
      <c r="BL44" s="57"/>
      <c r="BM44" s="233"/>
      <c r="BN44" s="66"/>
      <c r="BQ44" s="112"/>
      <c r="BR44" s="57" t="s">
        <v>6408</v>
      </c>
      <c r="BS44" s="233"/>
      <c r="BT44" s="66"/>
      <c r="BW44" s="26"/>
    </row>
    <row r="45" spans="1:75" x14ac:dyDescent="0.35">
      <c r="A45" s="9168"/>
      <c r="B45" s="241"/>
      <c r="C45" s="238" t="s">
        <v>1116</v>
      </c>
      <c r="D45" s="197"/>
      <c r="F45" s="163"/>
      <c r="H45" s="242"/>
      <c r="I45" s="243"/>
      <c r="J45" s="64"/>
      <c r="L45" s="114"/>
      <c r="M45" s="66"/>
      <c r="O45" s="114"/>
      <c r="P45" s="66"/>
      <c r="R45" s="112"/>
      <c r="S45" s="233"/>
      <c r="T45" s="106"/>
      <c r="U45" s="64"/>
      <c r="V45" s="235"/>
      <c r="W45" s="248"/>
      <c r="X45" s="647"/>
      <c r="Y45" s="106"/>
      <c r="Z45" s="64"/>
      <c r="AA45" s="235"/>
      <c r="AB45" s="112"/>
      <c r="AC45" s="57"/>
      <c r="AD45" s="57"/>
      <c r="AE45" s="66"/>
      <c r="AG45" s="112"/>
      <c r="AH45" s="233"/>
      <c r="AI45" s="106"/>
      <c r="AJ45" s="64"/>
      <c r="AK45" s="235"/>
      <c r="AL45" s="248"/>
      <c r="AM45" s="647"/>
      <c r="AN45" s="106"/>
      <c r="AO45" s="64"/>
      <c r="AP45" s="235"/>
      <c r="AQ45" s="112"/>
      <c r="AR45" s="57"/>
      <c r="AS45" s="57"/>
      <c r="AT45" s="66"/>
      <c r="AV45" s="112"/>
      <c r="AW45" s="647"/>
      <c r="AX45" s="106"/>
      <c r="AY45" s="64"/>
      <c r="AZ45" s="235"/>
      <c r="BA45" s="112"/>
      <c r="BB45" s="57"/>
      <c r="BC45" s="57"/>
      <c r="BD45" s="66"/>
      <c r="BE45" s="26"/>
      <c r="BF45" s="112"/>
      <c r="BG45" s="233"/>
      <c r="BH45" s="106"/>
      <c r="BI45" s="476"/>
      <c r="BJ45" s="235"/>
      <c r="BK45" s="112"/>
      <c r="BL45" s="57"/>
      <c r="BM45" s="233"/>
      <c r="BN45" s="66"/>
      <c r="BQ45" s="112"/>
      <c r="BR45" s="57"/>
      <c r="BS45" s="233"/>
      <c r="BT45" s="66"/>
      <c r="BW45" s="26"/>
    </row>
    <row r="46" spans="1:75" x14ac:dyDescent="0.35">
      <c r="A46" s="9168"/>
      <c r="B46" s="241"/>
      <c r="C46" s="4067" t="s">
        <v>6409</v>
      </c>
      <c r="D46" s="197">
        <v>4</v>
      </c>
      <c r="F46" s="163">
        <v>15737441590</v>
      </c>
      <c r="H46" s="242"/>
      <c r="I46" s="243"/>
      <c r="J46" s="64">
        <f t="shared" si="45"/>
        <v>0</v>
      </c>
      <c r="L46" s="242"/>
      <c r="M46" s="66">
        <f>L46*J46</f>
        <v>0</v>
      </c>
      <c r="O46" s="242"/>
      <c r="P46" s="66">
        <f t="shared" ref="P46:P48" si="62">O46*J46</f>
        <v>0</v>
      </c>
      <c r="R46" s="117"/>
      <c r="S46" s="233"/>
      <c r="U46" s="64"/>
      <c r="V46" s="235"/>
      <c r="W46" s="200"/>
      <c r="X46" s="649"/>
      <c r="Z46" s="64"/>
      <c r="AA46" s="235"/>
      <c r="AB46" s="117"/>
      <c r="AC46" s="57"/>
      <c r="AD46" s="57"/>
      <c r="AE46" s="237"/>
      <c r="AG46" s="117"/>
      <c r="AH46" s="233"/>
      <c r="AJ46" s="64"/>
      <c r="AK46" s="235"/>
      <c r="AL46" s="200"/>
      <c r="AM46" s="649"/>
      <c r="AO46" s="64"/>
      <c r="AP46" s="235"/>
      <c r="AQ46" s="117"/>
      <c r="AR46" s="57"/>
      <c r="AS46" s="57"/>
      <c r="AT46" s="237"/>
      <c r="AV46" s="117"/>
      <c r="AW46" s="649"/>
      <c r="AY46" s="64"/>
      <c r="AZ46" s="235"/>
      <c r="BA46" s="117"/>
      <c r="BB46" s="57"/>
      <c r="BC46" s="57"/>
      <c r="BD46" s="237"/>
      <c r="BE46" s="26" t="s">
        <v>6410</v>
      </c>
      <c r="BF46" s="117"/>
      <c r="BG46" s="233"/>
      <c r="BI46" s="476"/>
      <c r="BJ46" s="235"/>
      <c r="BK46" s="117"/>
      <c r="BL46" s="57"/>
      <c r="BM46" s="233"/>
      <c r="BN46" s="237"/>
      <c r="BQ46" s="117"/>
      <c r="BR46" s="57"/>
      <c r="BS46" s="233"/>
      <c r="BT46" s="237"/>
      <c r="BW46" s="26" t="s">
        <v>6410</v>
      </c>
    </row>
    <row r="47" spans="1:75" x14ac:dyDescent="0.35">
      <c r="A47" s="9168"/>
      <c r="B47" s="241"/>
      <c r="C47" s="238" t="s">
        <v>11</v>
      </c>
      <c r="D47" s="197"/>
      <c r="F47" s="163"/>
      <c r="H47" s="242"/>
      <c r="I47" s="243"/>
      <c r="J47" s="64"/>
      <c r="L47" s="242"/>
      <c r="M47" s="66"/>
      <c r="O47" s="242"/>
      <c r="P47" s="66"/>
      <c r="R47" s="242"/>
      <c r="S47" s="233"/>
      <c r="T47" s="106"/>
      <c r="U47" s="64"/>
      <c r="V47" s="235"/>
      <c r="W47" s="164"/>
      <c r="X47" s="638"/>
      <c r="Y47" s="106"/>
      <c r="Z47" s="64"/>
      <c r="AA47" s="235"/>
      <c r="AB47" s="242"/>
      <c r="AC47" s="57"/>
      <c r="AD47" s="57"/>
      <c r="AE47" s="66"/>
      <c r="AG47" s="242"/>
      <c r="AH47" s="233"/>
      <c r="AI47" s="106"/>
      <c r="AJ47" s="64"/>
      <c r="AK47" s="235"/>
      <c r="AL47" s="164"/>
      <c r="AM47" s="638"/>
      <c r="AN47" s="106"/>
      <c r="AO47" s="64"/>
      <c r="AP47" s="235"/>
      <c r="AQ47" s="242"/>
      <c r="AR47" s="57"/>
      <c r="AS47" s="57"/>
      <c r="AT47" s="66"/>
      <c r="AV47" s="242"/>
      <c r="AW47" s="638"/>
      <c r="AX47" s="106"/>
      <c r="AY47" s="64"/>
      <c r="AZ47" s="235"/>
      <c r="BA47" s="242"/>
      <c r="BB47" s="57"/>
      <c r="BC47" s="57"/>
      <c r="BD47" s="66"/>
      <c r="BE47" s="26"/>
      <c r="BF47" s="242"/>
      <c r="BG47" s="233"/>
      <c r="BH47" s="106"/>
      <c r="BI47" s="476"/>
      <c r="BJ47" s="235"/>
      <c r="BK47" s="242"/>
      <c r="BL47" s="57"/>
      <c r="BM47" s="233"/>
      <c r="BN47" s="66"/>
      <c r="BQ47" s="242"/>
      <c r="BR47" s="57"/>
      <c r="BS47" s="233"/>
      <c r="BT47" s="66"/>
      <c r="BW47" s="26"/>
    </row>
    <row r="48" spans="1:75" x14ac:dyDescent="0.35">
      <c r="A48" s="9168"/>
      <c r="B48" s="241"/>
      <c r="C48" s="238" t="s">
        <v>1116</v>
      </c>
      <c r="D48" s="197"/>
      <c r="F48" s="163"/>
      <c r="H48" s="242"/>
      <c r="I48" s="243"/>
      <c r="J48" s="64">
        <f t="shared" si="45"/>
        <v>0</v>
      </c>
      <c r="L48" s="242"/>
      <c r="M48" s="157"/>
      <c r="O48" s="242"/>
      <c r="P48" s="66">
        <f t="shared" si="62"/>
        <v>0</v>
      </c>
      <c r="R48" s="242"/>
      <c r="S48" s="201"/>
      <c r="T48" s="106"/>
      <c r="U48" s="64"/>
      <c r="V48" s="235"/>
      <c r="W48" s="164"/>
      <c r="X48" s="638"/>
      <c r="Y48" s="106"/>
      <c r="Z48" s="64"/>
      <c r="AA48" s="235"/>
      <c r="AB48" s="242"/>
      <c r="AC48" s="106"/>
      <c r="AD48" s="106"/>
      <c r="AE48" s="66"/>
      <c r="AG48" s="242"/>
      <c r="AH48" s="201"/>
      <c r="AI48" s="106"/>
      <c r="AJ48" s="64"/>
      <c r="AK48" s="235"/>
      <c r="AL48" s="164"/>
      <c r="AM48" s="638"/>
      <c r="AN48" s="106"/>
      <c r="AO48" s="64"/>
      <c r="AP48" s="235"/>
      <c r="AQ48" s="242"/>
      <c r="AR48" s="106"/>
      <c r="AS48" s="106"/>
      <c r="AT48" s="66"/>
      <c r="AV48" s="242"/>
      <c r="AW48" s="638"/>
      <c r="AX48" s="106"/>
      <c r="AY48" s="64"/>
      <c r="AZ48" s="235"/>
      <c r="BA48" s="242"/>
      <c r="BB48" s="106"/>
      <c r="BC48" s="106"/>
      <c r="BD48" s="66"/>
      <c r="BE48" s="26"/>
      <c r="BF48" s="242"/>
      <c r="BG48" s="201"/>
      <c r="BH48" s="106"/>
      <c r="BI48" s="476"/>
      <c r="BJ48" s="235"/>
      <c r="BK48" s="242"/>
      <c r="BL48" s="106"/>
      <c r="BM48" s="201"/>
      <c r="BN48" s="66"/>
      <c r="BQ48" s="242"/>
      <c r="BR48" s="106"/>
      <c r="BS48" s="201"/>
      <c r="BT48" s="66"/>
      <c r="BW48" s="26"/>
    </row>
    <row r="49" spans="1:75" x14ac:dyDescent="0.35">
      <c r="A49" s="9168"/>
      <c r="B49" s="141" t="s">
        <v>531</v>
      </c>
      <c r="C49"/>
      <c r="D49" s="197"/>
      <c r="E49" s="143"/>
      <c r="F49" s="168"/>
      <c r="G49" s="143"/>
      <c r="H49" s="245"/>
      <c r="I49" s="106"/>
      <c r="J49" s="246"/>
      <c r="K49" s="143"/>
      <c r="L49" s="245"/>
      <c r="M49" s="247"/>
      <c r="N49" s="143"/>
      <c r="O49" s="245"/>
      <c r="P49" s="247"/>
      <c r="Q49" s="143"/>
      <c r="R49" s="245"/>
      <c r="S49" s="106"/>
      <c r="T49" s="106"/>
      <c r="U49" s="246"/>
      <c r="V49" s="143"/>
      <c r="W49" s="245"/>
      <c r="X49" s="789"/>
      <c r="Y49" s="106"/>
      <c r="Z49" s="246"/>
      <c r="AA49" s="143"/>
      <c r="AB49" s="245"/>
      <c r="AC49" s="106"/>
      <c r="AD49" s="106"/>
      <c r="AE49" s="66"/>
      <c r="AF49" s="143"/>
      <c r="AG49" s="245"/>
      <c r="AH49" s="106"/>
      <c r="AI49" s="106"/>
      <c r="AJ49" s="246"/>
      <c r="AK49" s="143"/>
      <c r="AL49" s="245"/>
      <c r="AM49" s="789"/>
      <c r="AN49" s="106"/>
      <c r="AO49" s="246"/>
      <c r="AP49" s="143"/>
      <c r="AQ49" s="245"/>
      <c r="AR49" s="106"/>
      <c r="AS49" s="106"/>
      <c r="AT49" s="66"/>
      <c r="AU49" s="143"/>
      <c r="AV49" s="245"/>
      <c r="AW49" s="789"/>
      <c r="AX49" s="106"/>
      <c r="AY49" s="246"/>
      <c r="AZ49" s="143"/>
      <c r="BA49" s="245"/>
      <c r="BB49" s="106"/>
      <c r="BC49" s="106"/>
      <c r="BD49" s="66"/>
      <c r="BE49" s="26"/>
      <c r="BF49" s="245"/>
      <c r="BG49" s="106"/>
      <c r="BH49" s="106"/>
      <c r="BI49" s="246"/>
      <c r="BJ49" s="143"/>
      <c r="BK49" s="245"/>
      <c r="BL49" s="106"/>
      <c r="BM49" s="106"/>
      <c r="BN49" s="66"/>
      <c r="BO49" s="143"/>
      <c r="BP49" s="143"/>
      <c r="BQ49" s="245"/>
      <c r="BR49" s="106"/>
      <c r="BS49" s="106"/>
      <c r="BT49" s="66"/>
      <c r="BU49" s="143"/>
      <c r="BV49" s="143"/>
      <c r="BW49" s="26"/>
    </row>
    <row r="50" spans="1:75" x14ac:dyDescent="0.35">
      <c r="A50" s="9168"/>
      <c r="B50" s="240"/>
      <c r="C50" s="240" t="s">
        <v>532</v>
      </c>
      <c r="D50" s="197"/>
      <c r="F50" s="111"/>
      <c r="H50" s="112"/>
      <c r="I50" s="113"/>
      <c r="J50" s="64"/>
      <c r="L50" s="112"/>
      <c r="M50" s="157"/>
      <c r="O50" s="112"/>
      <c r="P50" s="157"/>
      <c r="R50" s="248"/>
      <c r="S50" s="233"/>
      <c r="T50" s="106"/>
      <c r="U50" s="64"/>
      <c r="W50" s="248"/>
      <c r="X50" s="647"/>
      <c r="Y50" s="106"/>
      <c r="Z50" s="64"/>
      <c r="AB50" s="112"/>
      <c r="AC50" s="106"/>
      <c r="AD50" s="106"/>
      <c r="AE50" s="66"/>
      <c r="AG50" s="248"/>
      <c r="AH50" s="233"/>
      <c r="AI50" s="106"/>
      <c r="AJ50" s="64"/>
      <c r="AL50" s="248"/>
      <c r="AM50" s="647"/>
      <c r="AN50" s="106"/>
      <c r="AO50" s="64"/>
      <c r="AQ50" s="112"/>
      <c r="AR50" s="106"/>
      <c r="AS50" s="106"/>
      <c r="AT50" s="66"/>
      <c r="AV50" s="112"/>
      <c r="AW50" s="647"/>
      <c r="AX50" s="106"/>
      <c r="AY50" s="64"/>
      <c r="BA50" s="112"/>
      <c r="BB50" s="106"/>
      <c r="BC50" s="106"/>
      <c r="BD50" s="66"/>
      <c r="BE50" s="26"/>
      <c r="BF50" s="112"/>
      <c r="BG50" s="233"/>
      <c r="BH50" s="106"/>
      <c r="BI50" s="476"/>
      <c r="BK50" s="112"/>
      <c r="BL50" s="106"/>
      <c r="BM50" s="233"/>
      <c r="BN50" s="66"/>
      <c r="BQ50" s="112"/>
      <c r="BR50" s="106"/>
      <c r="BS50" s="233"/>
      <c r="BT50" s="66"/>
      <c r="BW50" s="26"/>
    </row>
    <row r="51" spans="1:75" x14ac:dyDescent="0.35">
      <c r="A51" s="9168"/>
      <c r="B51" s="240"/>
      <c r="C51" s="240" t="s">
        <v>533</v>
      </c>
      <c r="D51" s="197"/>
      <c r="F51" s="155"/>
      <c r="H51" s="117"/>
      <c r="I51" s="115"/>
      <c r="J51" s="64"/>
      <c r="L51" s="117"/>
      <c r="M51" s="157"/>
      <c r="O51" s="117"/>
      <c r="P51" s="157"/>
      <c r="R51" s="200"/>
      <c r="S51" s="201"/>
      <c r="T51" s="106"/>
      <c r="U51" s="64"/>
      <c r="W51" s="200"/>
      <c r="X51" s="649"/>
      <c r="Y51" s="106"/>
      <c r="Z51" s="64"/>
      <c r="AB51" s="117"/>
      <c r="AC51" s="106"/>
      <c r="AD51" s="106"/>
      <c r="AE51" s="66"/>
      <c r="AG51" s="200"/>
      <c r="AH51" s="201"/>
      <c r="AI51" s="106"/>
      <c r="AJ51" s="64"/>
      <c r="AL51" s="200"/>
      <c r="AM51" s="649"/>
      <c r="AN51" s="106"/>
      <c r="AO51" s="64"/>
      <c r="AQ51" s="117"/>
      <c r="AR51" s="106"/>
      <c r="AS51" s="106"/>
      <c r="AT51" s="66"/>
      <c r="AV51" s="117"/>
      <c r="AW51" s="649"/>
      <c r="AX51" s="106"/>
      <c r="AY51" s="64"/>
      <c r="BA51" s="117"/>
      <c r="BB51" s="106"/>
      <c r="BC51" s="106"/>
      <c r="BD51" s="66"/>
      <c r="BE51" s="26"/>
      <c r="BF51" s="117"/>
      <c r="BG51" s="201"/>
      <c r="BH51" s="106"/>
      <c r="BI51" s="476"/>
      <c r="BK51" s="117"/>
      <c r="BL51" s="106"/>
      <c r="BM51" s="201"/>
      <c r="BN51" s="66"/>
      <c r="BQ51" s="117"/>
      <c r="BR51" s="106"/>
      <c r="BS51" s="201"/>
      <c r="BT51" s="66"/>
      <c r="BW51" s="26"/>
    </row>
    <row r="52" spans="1:75" x14ac:dyDescent="0.35">
      <c r="A52" s="9168"/>
      <c r="B52" s="250"/>
      <c r="C52" s="250" t="s">
        <v>534</v>
      </c>
      <c r="D52" s="209"/>
      <c r="F52" s="130"/>
      <c r="H52" s="242"/>
      <c r="I52" s="243"/>
      <c r="J52" s="64"/>
      <c r="L52" s="131"/>
      <c r="M52" s="213"/>
      <c r="O52" s="131"/>
      <c r="P52" s="213"/>
      <c r="R52" s="164"/>
      <c r="S52" s="215"/>
      <c r="T52" s="216"/>
      <c r="U52" s="64"/>
      <c r="W52" s="164"/>
      <c r="X52" s="638"/>
      <c r="Y52" s="216"/>
      <c r="Z52" s="64"/>
      <c r="AB52" s="131"/>
      <c r="AC52" s="216"/>
      <c r="AD52" s="216"/>
      <c r="AE52" s="92"/>
      <c r="AG52" s="164"/>
      <c r="AH52" s="215"/>
      <c r="AI52" s="216"/>
      <c r="AJ52" s="64"/>
      <c r="AL52" s="164"/>
      <c r="AM52" s="638"/>
      <c r="AN52" s="216"/>
      <c r="AO52" s="64"/>
      <c r="AQ52" s="131"/>
      <c r="AR52" s="216"/>
      <c r="AS52" s="216"/>
      <c r="AT52" s="92"/>
      <c r="AV52" s="131"/>
      <c r="AW52" s="638"/>
      <c r="AX52" s="216"/>
      <c r="AY52" s="64"/>
      <c r="BA52" s="131"/>
      <c r="BB52" s="216"/>
      <c r="BC52" s="216"/>
      <c r="BD52" s="92"/>
      <c r="BE52" s="24"/>
      <c r="BF52" s="131"/>
      <c r="BG52" s="215"/>
      <c r="BH52" s="216"/>
      <c r="BI52" s="476"/>
      <c r="BK52" s="131"/>
      <c r="BL52" s="216"/>
      <c r="BM52" s="215"/>
      <c r="BN52" s="92"/>
      <c r="BQ52" s="131"/>
      <c r="BR52" s="216"/>
      <c r="BS52" s="215"/>
      <c r="BT52" s="92"/>
      <c r="BW52" s="24"/>
    </row>
    <row r="53" spans="1:75" ht="58" x14ac:dyDescent="0.35">
      <c r="A53" s="9168"/>
      <c r="B53" s="141" t="s">
        <v>535</v>
      </c>
      <c r="C53" s="141"/>
      <c r="D53" s="197"/>
      <c r="E53" s="143"/>
      <c r="F53" s="227"/>
      <c r="G53" s="143"/>
      <c r="H53" s="102"/>
      <c r="I53" s="103"/>
      <c r="J53" s="252"/>
      <c r="K53" s="143"/>
      <c r="L53" s="245"/>
      <c r="M53" s="247"/>
      <c r="N53" s="143"/>
      <c r="O53" s="245"/>
      <c r="P53" s="247"/>
      <c r="Q53" s="143"/>
      <c r="R53" s="517" t="s">
        <v>6411</v>
      </c>
      <c r="S53" s="103"/>
      <c r="T53" s="53"/>
      <c r="U53" s="252"/>
      <c r="V53" s="143"/>
      <c r="W53" s="102"/>
      <c r="X53" s="254"/>
      <c r="Y53" s="57"/>
      <c r="Z53" s="252"/>
      <c r="AA53" s="143"/>
      <c r="AB53" s="245"/>
      <c r="AC53" s="53" t="s">
        <v>6412</v>
      </c>
      <c r="AD53" s="57"/>
      <c r="AE53" s="237"/>
      <c r="AF53" s="143"/>
      <c r="AG53" s="517"/>
      <c r="AH53" s="103"/>
      <c r="AI53" s="53"/>
      <c r="AJ53" s="252"/>
      <c r="AK53" s="143"/>
      <c r="AL53" s="102"/>
      <c r="AM53" s="254"/>
      <c r="AN53" s="57" t="s">
        <v>6412</v>
      </c>
      <c r="AO53" s="252"/>
      <c r="AP53" s="143"/>
      <c r="AQ53" s="245"/>
      <c r="AR53" s="53" t="s">
        <v>6412</v>
      </c>
      <c r="AS53" s="57"/>
      <c r="AT53" s="237"/>
      <c r="AU53" s="143"/>
      <c r="AV53" s="245"/>
      <c r="AW53" s="254"/>
      <c r="AX53" s="57" t="s">
        <v>6412</v>
      </c>
      <c r="AY53" s="252"/>
      <c r="AZ53" s="143"/>
      <c r="BA53" s="245" t="s">
        <v>6413</v>
      </c>
      <c r="BB53" s="53" t="s">
        <v>6414</v>
      </c>
      <c r="BC53" s="57"/>
      <c r="BD53" s="237"/>
      <c r="BE53" s="26"/>
      <c r="BF53" s="654" t="s">
        <v>6415</v>
      </c>
      <c r="BG53" s="103"/>
      <c r="BH53" s="7342" t="s">
        <v>6416</v>
      </c>
      <c r="BI53" s="516"/>
      <c r="BJ53" s="143"/>
      <c r="BK53" s="654" t="s">
        <v>6415</v>
      </c>
      <c r="BL53" s="7342" t="s">
        <v>6416</v>
      </c>
      <c r="BM53" s="103"/>
      <c r="BN53" s="237"/>
      <c r="BO53" s="143"/>
      <c r="BP53" s="143"/>
      <c r="BQ53" s="654" t="s">
        <v>6417</v>
      </c>
      <c r="BR53" s="8550" t="s">
        <v>6418</v>
      </c>
      <c r="BS53" s="103"/>
      <c r="BT53" s="237"/>
      <c r="BU53" s="143"/>
      <c r="BV53" s="143"/>
      <c r="BW53" s="26"/>
    </row>
    <row r="54" spans="1:75" ht="24.75" customHeight="1" x14ac:dyDescent="0.35">
      <c r="A54" s="9168"/>
      <c r="B54" s="240"/>
      <c r="C54" s="240" t="s">
        <v>6419</v>
      </c>
      <c r="D54" s="197">
        <v>5</v>
      </c>
      <c r="F54" s="3966">
        <f>I54*F$37/I$37</f>
        <v>1441540274.0315681</v>
      </c>
      <c r="H54" s="112">
        <v>2850275</v>
      </c>
      <c r="I54" s="1351">
        <f>H54*SUM($I$55:$I$60)/SUM($H$55:$H$60)</f>
        <v>2221966.2401676313</v>
      </c>
      <c r="J54" s="64">
        <f>IF(H54=0,0,I54/H54)</f>
        <v>0.77956205635162623</v>
      </c>
      <c r="L54" s="112">
        <v>3350275</v>
      </c>
      <c r="M54" s="157">
        <f>L54*J54</f>
        <v>2611747.2683434444</v>
      </c>
      <c r="O54" s="112">
        <v>3350275</v>
      </c>
      <c r="P54" s="157">
        <f>O54*J54</f>
        <v>2611747.2683434444</v>
      </c>
      <c r="R54" s="117">
        <v>3350275</v>
      </c>
      <c r="S54" s="233">
        <v>3350275</v>
      </c>
      <c r="T54" s="1122" t="s">
        <v>6420</v>
      </c>
      <c r="U54" s="64">
        <f t="shared" ref="U54:U112" si="63">S54/R54</f>
        <v>1</v>
      </c>
      <c r="W54" s="198">
        <f t="shared" ref="W54:W101" si="64">O54</f>
        <v>3350275</v>
      </c>
      <c r="X54" s="106">
        <f t="shared" ref="X54:X112" si="65">W54*U54</f>
        <v>3350275</v>
      </c>
      <c r="Y54" s="106"/>
      <c r="Z54" s="64">
        <f>IF(X54=0,1,X54/W54)</f>
        <v>1</v>
      </c>
      <c r="AB54" s="112">
        <v>3330275</v>
      </c>
      <c r="AC54" s="57" t="s">
        <v>6421</v>
      </c>
      <c r="AD54" s="106">
        <f>AB54*Z54</f>
        <v>3330275</v>
      </c>
      <c r="AE54" s="66"/>
      <c r="AG54" s="117">
        <f>W54</f>
        <v>3350275</v>
      </c>
      <c r="AH54" s="233"/>
      <c r="AI54" s="1122" t="s">
        <v>6420</v>
      </c>
      <c r="AJ54" s="64">
        <f t="shared" ref="AJ54:AJ58" si="66">AH54/AG54</f>
        <v>0</v>
      </c>
      <c r="AL54" s="198">
        <v>3330275</v>
      </c>
      <c r="AM54" s="106"/>
      <c r="AN54" s="106" t="s">
        <v>6421</v>
      </c>
      <c r="AO54" s="64">
        <f>IF(AM54=0,1,AM54/AL54)</f>
        <v>1</v>
      </c>
      <c r="AQ54" s="112">
        <v>3350275</v>
      </c>
      <c r="AR54" s="57" t="s">
        <v>2730</v>
      </c>
      <c r="AS54" s="106"/>
      <c r="AT54" s="66"/>
      <c r="AV54" s="112">
        <v>3350275</v>
      </c>
      <c r="AW54" s="106"/>
      <c r="AX54" s="106" t="s">
        <v>6421</v>
      </c>
      <c r="AY54" s="64">
        <f>IF(AW54=0,1,AW54/AV54)</f>
        <v>1</v>
      </c>
      <c r="BA54" s="262">
        <f>AV54</f>
        <v>3350275</v>
      </c>
      <c r="BB54" s="57" t="s">
        <v>2730</v>
      </c>
      <c r="BC54" s="106"/>
      <c r="BD54" s="66"/>
      <c r="BE54" s="26" t="s">
        <v>6422</v>
      </c>
      <c r="BF54" s="112">
        <v>3517790</v>
      </c>
      <c r="BG54" s="233"/>
      <c r="BH54" s="57" t="s">
        <v>6423</v>
      </c>
      <c r="BI54" s="476"/>
      <c r="BK54" s="112">
        <v>3517790</v>
      </c>
      <c r="BL54" s="57" t="s">
        <v>6423</v>
      </c>
      <c r="BM54" s="233"/>
      <c r="BN54" s="66"/>
      <c r="BQ54" s="112">
        <v>2990122</v>
      </c>
      <c r="BR54" s="57" t="s">
        <v>6424</v>
      </c>
      <c r="BS54" s="233"/>
      <c r="BT54" s="66"/>
      <c r="BW54" s="26" t="s">
        <v>6422</v>
      </c>
    </row>
    <row r="55" spans="1:75" x14ac:dyDescent="0.35">
      <c r="A55" s="9168"/>
      <c r="B55" s="240"/>
      <c r="C55" s="240" t="s">
        <v>6425</v>
      </c>
      <c r="D55" s="197">
        <v>7</v>
      </c>
      <c r="F55" s="155">
        <v>350351318</v>
      </c>
      <c r="H55" s="117">
        <v>31928520</v>
      </c>
      <c r="I55" s="115">
        <v>30939232</v>
      </c>
      <c r="J55" s="64">
        <f t="shared" ref="J55:J101" si="67">IF(H55=0,0,I55/H55)</f>
        <v>0.96901553845903288</v>
      </c>
      <c r="L55" s="117">
        <v>1051305</v>
      </c>
      <c r="M55" s="157">
        <f t="shared" ref="M55:M101" si="68">L55*J55</f>
        <v>1018730.8806596736</v>
      </c>
      <c r="O55" s="117">
        <v>1067305</v>
      </c>
      <c r="P55" s="157">
        <f t="shared" ref="P55:P101" si="69">O55*J55</f>
        <v>1034235.1292750181</v>
      </c>
      <c r="R55" s="117">
        <v>1051305</v>
      </c>
      <c r="S55" s="201">
        <v>944645</v>
      </c>
      <c r="T55" s="1122" t="s">
        <v>6426</v>
      </c>
      <c r="U55" s="64">
        <f t="shared" si="63"/>
        <v>0.89854514151459375</v>
      </c>
      <c r="W55" s="198">
        <f t="shared" si="64"/>
        <v>1067305</v>
      </c>
      <c r="X55" s="106">
        <f t="shared" si="65"/>
        <v>959021.72226423351</v>
      </c>
      <c r="Y55" s="106"/>
      <c r="Z55" s="64">
        <f t="shared" ref="Z55:Z112" si="70">IF(X55=0,1,X55/W55)</f>
        <v>0.89854514151459375</v>
      </c>
      <c r="AB55" s="112">
        <v>522979</v>
      </c>
      <c r="AC55" s="57" t="s">
        <v>6427</v>
      </c>
      <c r="AD55" s="106">
        <f t="shared" ref="AD55:AD113" si="71">AB55*Z55</f>
        <v>469920.2395641607</v>
      </c>
      <c r="AE55" s="66"/>
      <c r="AG55" s="117">
        <f t="shared" ref="AG55:AG113" si="72">W55</f>
        <v>1067305</v>
      </c>
      <c r="AH55" s="201"/>
      <c r="AI55" s="1122" t="s">
        <v>6426</v>
      </c>
      <c r="AJ55" s="64">
        <f t="shared" si="66"/>
        <v>0</v>
      </c>
      <c r="AL55" s="198">
        <v>522979</v>
      </c>
      <c r="AM55" s="106"/>
      <c r="AN55" s="106" t="s">
        <v>6427</v>
      </c>
      <c r="AO55" s="64">
        <f t="shared" ref="AO55:AO113" si="73">IF(AM55=0,1,AM55/AL55)</f>
        <v>1</v>
      </c>
      <c r="AQ55" s="112"/>
      <c r="AR55" s="57" t="s">
        <v>6427</v>
      </c>
      <c r="AS55" s="106"/>
      <c r="AT55" s="66"/>
      <c r="AV55" s="112"/>
      <c r="AW55" s="106"/>
      <c r="AX55" s="106" t="s">
        <v>6427</v>
      </c>
      <c r="AY55" s="64">
        <f t="shared" ref="AY55:AY113" si="74">IF(AW55=0,1,AW55/AV55)</f>
        <v>1</v>
      </c>
      <c r="BA55" s="262">
        <f t="shared" ref="BA55:BA113" si="75">AV55</f>
        <v>0</v>
      </c>
      <c r="BB55" s="57" t="s">
        <v>6427</v>
      </c>
      <c r="BC55" s="106"/>
      <c r="BD55" s="66"/>
      <c r="BE55" s="26" t="s">
        <v>6428</v>
      </c>
      <c r="BF55" s="112">
        <v>521180</v>
      </c>
      <c r="BG55" s="201"/>
      <c r="BH55" s="57" t="s">
        <v>6427</v>
      </c>
      <c r="BI55" s="476"/>
      <c r="BK55" s="112">
        <v>464475</v>
      </c>
      <c r="BL55" s="57" t="s">
        <v>6427</v>
      </c>
      <c r="BM55" s="201"/>
      <c r="BN55" s="66"/>
      <c r="BQ55" s="112">
        <v>0</v>
      </c>
      <c r="BR55" s="57" t="s">
        <v>6429</v>
      </c>
      <c r="BS55" s="201"/>
      <c r="BT55" s="66"/>
      <c r="BW55" s="26" t="s">
        <v>6430</v>
      </c>
    </row>
    <row r="56" spans="1:75" x14ac:dyDescent="0.35">
      <c r="A56" s="9168"/>
      <c r="B56" s="240"/>
      <c r="C56" s="240"/>
      <c r="D56" s="197"/>
      <c r="F56" s="155"/>
      <c r="H56" s="117"/>
      <c r="I56" s="115"/>
      <c r="J56" s="64"/>
      <c r="L56" s="117"/>
      <c r="M56" s="157"/>
      <c r="O56" s="117"/>
      <c r="P56" s="157"/>
      <c r="R56" s="117">
        <v>32032567</v>
      </c>
      <c r="S56" s="201">
        <v>31346774</v>
      </c>
      <c r="T56" s="1122" t="s">
        <v>5772</v>
      </c>
      <c r="U56" s="64">
        <f t="shared" si="63"/>
        <v>0.97859075733768075</v>
      </c>
      <c r="W56" s="4068">
        <f>R56</f>
        <v>32032567</v>
      </c>
      <c r="X56" s="106">
        <f t="shared" si="65"/>
        <v>31346774</v>
      </c>
      <c r="Y56" s="106"/>
      <c r="Z56" s="64">
        <f t="shared" si="70"/>
        <v>0.97859075733768075</v>
      </c>
      <c r="AB56" s="112">
        <v>46919200</v>
      </c>
      <c r="AC56" s="57" t="s">
        <v>3744</v>
      </c>
      <c r="AD56" s="106">
        <f t="shared" si="71"/>
        <v>45914695.46167811</v>
      </c>
      <c r="AE56" s="66"/>
      <c r="AG56" s="117">
        <f t="shared" si="72"/>
        <v>32032567</v>
      </c>
      <c r="AH56" s="201"/>
      <c r="AI56" s="1122" t="s">
        <v>5772</v>
      </c>
      <c r="AJ56" s="64">
        <f t="shared" si="66"/>
        <v>0</v>
      </c>
      <c r="AL56" s="4068">
        <v>46919200</v>
      </c>
      <c r="AM56" s="106"/>
      <c r="AN56" s="106" t="s">
        <v>3744</v>
      </c>
      <c r="AO56" s="64">
        <f t="shared" si="73"/>
        <v>1</v>
      </c>
      <c r="AQ56" s="112">
        <v>46219421</v>
      </c>
      <c r="AR56" s="57" t="s">
        <v>6431</v>
      </c>
      <c r="AS56" s="106"/>
      <c r="AT56" s="66"/>
      <c r="AV56" s="112">
        <v>46219421</v>
      </c>
      <c r="AW56" s="106"/>
      <c r="AX56" s="106" t="s">
        <v>3744</v>
      </c>
      <c r="AY56" s="64">
        <f t="shared" si="74"/>
        <v>1</v>
      </c>
      <c r="BA56" s="262">
        <f t="shared" si="75"/>
        <v>46219421</v>
      </c>
      <c r="BB56" s="57" t="s">
        <v>6431</v>
      </c>
      <c r="BC56" s="106"/>
      <c r="BD56" s="66"/>
      <c r="BE56" s="26" t="s">
        <v>6432</v>
      </c>
      <c r="BF56" s="112">
        <v>46371720</v>
      </c>
      <c r="BG56" s="201"/>
      <c r="BH56" s="57" t="s">
        <v>6433</v>
      </c>
      <c r="BI56" s="476"/>
      <c r="BK56" s="112">
        <v>49754257</v>
      </c>
      <c r="BL56" s="57" t="s">
        <v>6433</v>
      </c>
      <c r="BM56" s="201"/>
      <c r="BN56" s="66"/>
      <c r="BQ56" s="112">
        <v>46659013</v>
      </c>
      <c r="BR56" s="57" t="s">
        <v>2727</v>
      </c>
      <c r="BS56" s="201"/>
      <c r="BT56" s="66"/>
      <c r="BW56" s="26" t="s">
        <v>6432</v>
      </c>
    </row>
    <row r="57" spans="1:75" x14ac:dyDescent="0.35">
      <c r="A57" s="9168"/>
      <c r="B57" s="240"/>
      <c r="C57" s="240"/>
      <c r="D57" s="197"/>
      <c r="F57" s="155"/>
      <c r="H57" s="117"/>
      <c r="I57" s="115"/>
      <c r="J57" s="64"/>
      <c r="L57" s="117"/>
      <c r="M57" s="157"/>
      <c r="O57" s="117"/>
      <c r="P57" s="157"/>
      <c r="R57" s="117">
        <v>5380544</v>
      </c>
      <c r="S57" s="201">
        <v>4133980</v>
      </c>
      <c r="T57" s="1122" t="s">
        <v>6434</v>
      </c>
      <c r="U57" s="64">
        <f t="shared" si="63"/>
        <v>0.76832008064612056</v>
      </c>
      <c r="W57" s="4068">
        <f>R57</f>
        <v>5380544</v>
      </c>
      <c r="X57" s="106">
        <f t="shared" si="65"/>
        <v>4133980</v>
      </c>
      <c r="Y57" s="106"/>
      <c r="Z57" s="64">
        <f t="shared" si="70"/>
        <v>0.76832008064612056</v>
      </c>
      <c r="AB57" s="112">
        <v>4192828</v>
      </c>
      <c r="AC57" s="57" t="s">
        <v>6435</v>
      </c>
      <c r="AD57" s="106">
        <f t="shared" si="71"/>
        <v>3221433.9470953122</v>
      </c>
      <c r="AE57" s="66"/>
      <c r="AG57" s="117">
        <f t="shared" si="72"/>
        <v>5380544</v>
      </c>
      <c r="AH57" s="201"/>
      <c r="AI57" s="1122" t="s">
        <v>6434</v>
      </c>
      <c r="AJ57" s="64">
        <f t="shared" si="66"/>
        <v>0</v>
      </c>
      <c r="AL57" s="4068">
        <v>4192828</v>
      </c>
      <c r="AM57" s="106"/>
      <c r="AN57" s="106" t="s">
        <v>6435</v>
      </c>
      <c r="AO57" s="64">
        <f t="shared" si="73"/>
        <v>1</v>
      </c>
      <c r="AQ57" s="112">
        <v>4728645</v>
      </c>
      <c r="AR57" s="57" t="s">
        <v>6436</v>
      </c>
      <c r="AS57" s="106"/>
      <c r="AT57" s="66"/>
      <c r="AV57" s="112">
        <v>4728645</v>
      </c>
      <c r="AW57" s="106"/>
      <c r="AX57" s="106" t="s">
        <v>6435</v>
      </c>
      <c r="AY57" s="64">
        <f t="shared" si="74"/>
        <v>1</v>
      </c>
      <c r="BA57" s="262">
        <f t="shared" si="75"/>
        <v>4728645</v>
      </c>
      <c r="BB57" s="57" t="s">
        <v>6436</v>
      </c>
      <c r="BC57" s="106"/>
      <c r="BD57" s="66"/>
      <c r="BE57" s="26" t="s">
        <v>6437</v>
      </c>
      <c r="BF57" s="112">
        <v>4974170</v>
      </c>
      <c r="BG57" s="201"/>
      <c r="BH57" s="57" t="s">
        <v>6438</v>
      </c>
      <c r="BI57" s="476"/>
      <c r="BK57" s="112">
        <v>5465592</v>
      </c>
      <c r="BL57" s="57" t="s">
        <v>6438</v>
      </c>
      <c r="BM57" s="201"/>
      <c r="BN57" s="66"/>
      <c r="BQ57" s="112">
        <v>0</v>
      </c>
      <c r="BR57" s="57" t="s">
        <v>6439</v>
      </c>
      <c r="BS57" s="201"/>
      <c r="BT57" s="66"/>
      <c r="BW57" s="26" t="s">
        <v>6437</v>
      </c>
    </row>
    <row r="58" spans="1:75" x14ac:dyDescent="0.35">
      <c r="A58" s="9168"/>
      <c r="B58" s="240"/>
      <c r="C58" s="240" t="s">
        <v>6440</v>
      </c>
      <c r="D58" s="197">
        <v>8</v>
      </c>
      <c r="F58" s="155">
        <v>4558271044</v>
      </c>
      <c r="H58" s="117">
        <v>8632659</v>
      </c>
      <c r="I58" s="115">
        <v>5171934</v>
      </c>
      <c r="J58" s="64">
        <f t="shared" si="67"/>
        <v>0.59911250983040099</v>
      </c>
      <c r="L58" s="117">
        <v>1500000</v>
      </c>
      <c r="M58" s="157">
        <f t="shared" si="68"/>
        <v>898668.76474560145</v>
      </c>
      <c r="O58" s="117">
        <v>1500000</v>
      </c>
      <c r="P58" s="157">
        <f t="shared" si="69"/>
        <v>898668.76474560145</v>
      </c>
      <c r="R58" s="117">
        <v>7282400</v>
      </c>
      <c r="S58" s="201">
        <v>5457314</v>
      </c>
      <c r="T58" s="1122" t="s">
        <v>6441</v>
      </c>
      <c r="U58" s="64">
        <f t="shared" si="63"/>
        <v>0.7493839942875975</v>
      </c>
      <c r="W58" s="198">
        <v>8723719</v>
      </c>
      <c r="X58" s="106">
        <f t="shared" si="65"/>
        <v>6537415.3892626055</v>
      </c>
      <c r="Y58" s="106"/>
      <c r="Z58" s="64">
        <f t="shared" si="70"/>
        <v>0.7493839942875975</v>
      </c>
      <c r="AB58" s="112">
        <v>5570969</v>
      </c>
      <c r="AC58" s="57" t="s">
        <v>6442</v>
      </c>
      <c r="AD58" s="106">
        <f t="shared" si="71"/>
        <v>4174795.0012723827</v>
      </c>
      <c r="AE58" s="66"/>
      <c r="AG58" s="117">
        <f t="shared" si="72"/>
        <v>8723719</v>
      </c>
      <c r="AH58" s="201"/>
      <c r="AI58" s="1122" t="s">
        <v>6441</v>
      </c>
      <c r="AJ58" s="64">
        <f t="shared" si="66"/>
        <v>0</v>
      </c>
      <c r="AL58" s="198">
        <v>5570969</v>
      </c>
      <c r="AM58" s="106"/>
      <c r="AN58" s="106" t="s">
        <v>6442</v>
      </c>
      <c r="AO58" s="64">
        <f t="shared" si="73"/>
        <v>1</v>
      </c>
      <c r="AQ58" s="112">
        <v>5370969</v>
      </c>
      <c r="AR58" s="57" t="s">
        <v>6442</v>
      </c>
      <c r="AS58" s="106"/>
      <c r="AT58" s="66"/>
      <c r="AV58" s="112">
        <v>5370969</v>
      </c>
      <c r="AW58" s="106"/>
      <c r="AX58" s="106" t="s">
        <v>6442</v>
      </c>
      <c r="AY58" s="64">
        <f t="shared" si="74"/>
        <v>1</v>
      </c>
      <c r="BA58" s="262">
        <f t="shared" si="75"/>
        <v>5370969</v>
      </c>
      <c r="BB58" s="57" t="s">
        <v>6442</v>
      </c>
      <c r="BC58" s="106"/>
      <c r="BD58" s="66"/>
      <c r="BE58" s="26" t="s">
        <v>6443</v>
      </c>
      <c r="BF58" s="112">
        <v>5970960</v>
      </c>
      <c r="BG58" s="201"/>
      <c r="BH58" s="57" t="s">
        <v>6444</v>
      </c>
      <c r="BI58" s="476"/>
      <c r="BK58" s="112">
        <v>0</v>
      </c>
      <c r="BL58" s="57" t="s">
        <v>6444</v>
      </c>
      <c r="BM58" s="201"/>
      <c r="BN58" s="66"/>
      <c r="BQ58" s="112"/>
      <c r="BR58" s="57"/>
      <c r="BS58" s="201"/>
      <c r="BT58" s="66"/>
      <c r="BW58" s="26" t="s">
        <v>6443</v>
      </c>
    </row>
    <row r="59" spans="1:75" x14ac:dyDescent="0.35">
      <c r="A59" s="9168"/>
      <c r="B59" s="240"/>
      <c r="C59" s="240" t="s">
        <v>6445</v>
      </c>
      <c r="D59" s="197">
        <v>9</v>
      </c>
      <c r="F59" s="155">
        <v>6793350293</v>
      </c>
      <c r="H59" s="117"/>
      <c r="I59" s="115"/>
      <c r="J59" s="64">
        <f t="shared" si="67"/>
        <v>0</v>
      </c>
      <c r="L59" s="117"/>
      <c r="M59" s="157">
        <f t="shared" si="68"/>
        <v>0</v>
      </c>
      <c r="O59" s="117"/>
      <c r="P59" s="157">
        <f t="shared" si="69"/>
        <v>0</v>
      </c>
      <c r="R59" s="117"/>
      <c r="S59" s="244"/>
      <c r="T59" s="1122"/>
      <c r="U59" s="64"/>
      <c r="W59" s="198"/>
      <c r="X59" s="106"/>
      <c r="Y59" s="106"/>
      <c r="Z59" s="64">
        <f t="shared" si="70"/>
        <v>1</v>
      </c>
      <c r="AB59" s="112"/>
      <c r="AC59" s="57"/>
      <c r="AD59" s="106">
        <f t="shared" si="71"/>
        <v>0</v>
      </c>
      <c r="AE59" s="66"/>
      <c r="AG59" s="117">
        <f t="shared" si="72"/>
        <v>0</v>
      </c>
      <c r="AH59" s="244"/>
      <c r="AI59" s="1122"/>
      <c r="AJ59" s="64"/>
      <c r="AL59" s="198"/>
      <c r="AM59" s="106"/>
      <c r="AN59" s="106"/>
      <c r="AO59" s="64">
        <f t="shared" si="73"/>
        <v>1</v>
      </c>
      <c r="AQ59" s="112">
        <v>412556</v>
      </c>
      <c r="AR59" s="57" t="s">
        <v>6446</v>
      </c>
      <c r="AS59" s="106"/>
      <c r="AT59" s="66"/>
      <c r="AV59" s="112">
        <v>412556</v>
      </c>
      <c r="AW59" s="106"/>
      <c r="AX59" s="106"/>
      <c r="AY59" s="64">
        <f t="shared" si="74"/>
        <v>1</v>
      </c>
      <c r="BA59" s="262">
        <f t="shared" si="75"/>
        <v>412556</v>
      </c>
      <c r="BB59" s="57" t="s">
        <v>6446</v>
      </c>
      <c r="BC59" s="106"/>
      <c r="BD59" s="66"/>
      <c r="BE59" s="26" t="s">
        <v>6447</v>
      </c>
      <c r="BF59" s="112">
        <v>7737370</v>
      </c>
      <c r="BG59" s="244"/>
      <c r="BH59" s="57" t="s">
        <v>6448</v>
      </c>
      <c r="BI59" s="476"/>
      <c r="BK59" s="112">
        <v>7925853</v>
      </c>
      <c r="BL59" s="57" t="s">
        <v>6448</v>
      </c>
      <c r="BM59" s="244"/>
      <c r="BN59" s="66"/>
      <c r="BQ59" s="112"/>
      <c r="BR59" s="57"/>
      <c r="BS59" s="244"/>
      <c r="BT59" s="66"/>
      <c r="BW59" s="26" t="s">
        <v>6447</v>
      </c>
    </row>
    <row r="60" spans="1:75" x14ac:dyDescent="0.35">
      <c r="A60" s="9168"/>
      <c r="B60" s="240"/>
      <c r="C60" s="240" t="s">
        <v>6449</v>
      </c>
      <c r="D60" s="197">
        <v>10</v>
      </c>
      <c r="F60" s="155">
        <v>13626230802</v>
      </c>
      <c r="H60" s="117">
        <v>37221705</v>
      </c>
      <c r="I60" s="115">
        <v>24525419</v>
      </c>
      <c r="J60" s="64">
        <f t="shared" si="67"/>
        <v>0.65890100950507235</v>
      </c>
      <c r="L60" s="117">
        <v>30399900</v>
      </c>
      <c r="M60" s="157">
        <f t="shared" si="68"/>
        <v>20030524.798853248</v>
      </c>
      <c r="O60" s="117">
        <v>27045084</v>
      </c>
      <c r="P60" s="157">
        <f t="shared" si="69"/>
        <v>17820033.14974948</v>
      </c>
      <c r="R60" s="117">
        <v>54501045</v>
      </c>
      <c r="S60" s="244">
        <v>32437220</v>
      </c>
      <c r="T60" s="1122" t="s">
        <v>6450</v>
      </c>
      <c r="U60" s="64">
        <f t="shared" si="63"/>
        <v>0.59516693670736043</v>
      </c>
      <c r="W60" s="198">
        <f t="shared" si="64"/>
        <v>27045084</v>
      </c>
      <c r="X60" s="106">
        <f t="shared" si="65"/>
        <v>16096339.797273247</v>
      </c>
      <c r="Y60" s="106"/>
      <c r="Z60" s="64">
        <f t="shared" si="70"/>
        <v>0.59516693670736043</v>
      </c>
      <c r="AB60" s="112">
        <v>17160958</v>
      </c>
      <c r="AC60" s="57" t="s">
        <v>6451</v>
      </c>
      <c r="AD60" s="106">
        <f t="shared" si="71"/>
        <v>10213634.80382367</v>
      </c>
      <c r="AE60" s="66"/>
      <c r="AG60" s="117">
        <f t="shared" si="72"/>
        <v>27045084</v>
      </c>
      <c r="AH60" s="244"/>
      <c r="AI60" s="1122" t="s">
        <v>6450</v>
      </c>
      <c r="AJ60" s="64">
        <f t="shared" ref="AJ60:AJ62" si="76">AH60/AG60</f>
        <v>0</v>
      </c>
      <c r="AL60" s="198">
        <v>17160958</v>
      </c>
      <c r="AM60" s="106"/>
      <c r="AN60" s="106" t="s">
        <v>6451</v>
      </c>
      <c r="AO60" s="64">
        <f t="shared" si="73"/>
        <v>1</v>
      </c>
      <c r="AQ60" s="112">
        <v>17160958</v>
      </c>
      <c r="AR60" s="57" t="s">
        <v>6452</v>
      </c>
      <c r="AS60" s="106"/>
      <c r="AT60" s="66"/>
      <c r="AV60" s="112">
        <v>17160958</v>
      </c>
      <c r="AW60" s="106"/>
      <c r="AX60" s="106" t="s">
        <v>6451</v>
      </c>
      <c r="AY60" s="64">
        <f t="shared" si="74"/>
        <v>1</v>
      </c>
      <c r="BA60" s="262">
        <f t="shared" si="75"/>
        <v>17160958</v>
      </c>
      <c r="BB60" s="57" t="s">
        <v>6452</v>
      </c>
      <c r="BC60" s="106"/>
      <c r="BD60" s="66"/>
      <c r="BE60" s="26" t="s">
        <v>6453</v>
      </c>
      <c r="BF60" s="112">
        <v>29403110</v>
      </c>
      <c r="BG60" s="244"/>
      <c r="BH60" s="57" t="s">
        <v>6454</v>
      </c>
      <c r="BI60" s="476"/>
      <c r="BK60" s="112">
        <v>28755802</v>
      </c>
      <c r="BL60" s="57" t="s">
        <v>6454</v>
      </c>
      <c r="BM60" s="244"/>
      <c r="BN60" s="66"/>
      <c r="BQ60" s="112">
        <v>0</v>
      </c>
      <c r="BR60" s="57" t="s">
        <v>6455</v>
      </c>
      <c r="BS60" s="244"/>
      <c r="BT60" s="66"/>
      <c r="BW60" s="26" t="s">
        <v>6453</v>
      </c>
    </row>
    <row r="61" spans="1:75" x14ac:dyDescent="0.35">
      <c r="A61" s="9168"/>
      <c r="B61" s="240"/>
      <c r="C61" s="240" t="s">
        <v>6456</v>
      </c>
      <c r="D61" s="197">
        <v>11</v>
      </c>
      <c r="F61" s="3966">
        <f t="shared" ref="F61:F66" si="77">I61*F$37/I$37</f>
        <v>423186791.98112333</v>
      </c>
      <c r="H61" s="117">
        <v>836743</v>
      </c>
      <c r="I61" s="1351">
        <f t="shared" ref="I61:I74" si="78">H61*SUM($I$55:$I$60)/SUM($H$55:$H$60)</f>
        <v>652293.09371782874</v>
      </c>
      <c r="J61" s="64">
        <f t="shared" si="67"/>
        <v>0.77956205635162623</v>
      </c>
      <c r="L61" s="117">
        <v>1000000</v>
      </c>
      <c r="M61" s="157">
        <f t="shared" si="68"/>
        <v>779562.05635162618</v>
      </c>
      <c r="O61" s="117">
        <v>1200000</v>
      </c>
      <c r="P61" s="157">
        <f t="shared" si="69"/>
        <v>935474.46762195148</v>
      </c>
      <c r="R61" s="117">
        <v>1000000</v>
      </c>
      <c r="S61" s="244">
        <v>999996</v>
      </c>
      <c r="T61" s="1122" t="s">
        <v>6457</v>
      </c>
      <c r="U61" s="64">
        <f t="shared" si="63"/>
        <v>0.999996</v>
      </c>
      <c r="W61" s="198">
        <f t="shared" si="64"/>
        <v>1200000</v>
      </c>
      <c r="X61" s="106">
        <f t="shared" si="65"/>
        <v>1199995.2</v>
      </c>
      <c r="Y61" s="106"/>
      <c r="Z61" s="64">
        <f t="shared" si="70"/>
        <v>0.999996</v>
      </c>
      <c r="AB61" s="112">
        <v>1250000</v>
      </c>
      <c r="AC61" s="57" t="s">
        <v>6458</v>
      </c>
      <c r="AD61" s="106">
        <f t="shared" si="71"/>
        <v>1249995</v>
      </c>
      <c r="AE61" s="66"/>
      <c r="AG61" s="117">
        <f t="shared" si="72"/>
        <v>1200000</v>
      </c>
      <c r="AH61" s="244"/>
      <c r="AI61" s="1122" t="s">
        <v>6457</v>
      </c>
      <c r="AJ61" s="64">
        <f t="shared" si="76"/>
        <v>0</v>
      </c>
      <c r="AL61" s="198">
        <v>1250000</v>
      </c>
      <c r="AM61" s="106"/>
      <c r="AN61" s="106" t="s">
        <v>6458</v>
      </c>
      <c r="AO61" s="64">
        <f t="shared" si="73"/>
        <v>1</v>
      </c>
      <c r="AQ61" s="112">
        <v>1250000</v>
      </c>
      <c r="AR61" s="57" t="s">
        <v>6459</v>
      </c>
      <c r="AS61" s="106"/>
      <c r="AT61" s="66"/>
      <c r="AV61" s="112">
        <v>1250000</v>
      </c>
      <c r="AW61" s="106"/>
      <c r="AX61" s="106" t="s">
        <v>6458</v>
      </c>
      <c r="AY61" s="64">
        <f t="shared" si="74"/>
        <v>1</v>
      </c>
      <c r="BA61" s="262">
        <f t="shared" si="75"/>
        <v>1250000</v>
      </c>
      <c r="BB61" s="57" t="s">
        <v>6459</v>
      </c>
      <c r="BC61" s="106"/>
      <c r="BD61" s="66"/>
      <c r="BE61" s="26" t="s">
        <v>6460</v>
      </c>
      <c r="BF61" s="112"/>
      <c r="BG61" s="244"/>
      <c r="BH61" s="57"/>
      <c r="BI61" s="476"/>
      <c r="BK61" s="112"/>
      <c r="BL61" s="57"/>
      <c r="BM61" s="244"/>
      <c r="BN61" s="66"/>
      <c r="BQ61" s="112"/>
      <c r="BR61" s="57"/>
      <c r="BS61" s="244"/>
      <c r="BT61" s="66"/>
      <c r="BW61" s="26" t="s">
        <v>6460</v>
      </c>
    </row>
    <row r="62" spans="1:75" x14ac:dyDescent="0.35">
      <c r="A62" s="9168"/>
      <c r="B62" s="240"/>
      <c r="C62" s="240"/>
      <c r="D62" s="197">
        <v>12</v>
      </c>
      <c r="F62" s="3966">
        <f t="shared" si="77"/>
        <v>423186791.98112333</v>
      </c>
      <c r="H62" s="117">
        <v>836743</v>
      </c>
      <c r="I62" s="1351">
        <f t="shared" si="78"/>
        <v>652293.09371782874</v>
      </c>
      <c r="J62" s="64">
        <f t="shared" si="67"/>
        <v>0.77956205635162623</v>
      </c>
      <c r="L62" s="117">
        <v>1000000</v>
      </c>
      <c r="M62" s="157">
        <f t="shared" si="68"/>
        <v>779562.05635162618</v>
      </c>
      <c r="O62" s="117">
        <v>1200000</v>
      </c>
      <c r="P62" s="157">
        <f t="shared" si="69"/>
        <v>935474.46762195148</v>
      </c>
      <c r="R62" s="117">
        <v>1000000</v>
      </c>
      <c r="S62" s="244">
        <v>999996</v>
      </c>
      <c r="T62" s="1122" t="s">
        <v>6457</v>
      </c>
      <c r="U62" s="64">
        <f t="shared" si="63"/>
        <v>0.999996</v>
      </c>
      <c r="W62" s="198">
        <f t="shared" si="64"/>
        <v>1200000</v>
      </c>
      <c r="X62" s="106">
        <f t="shared" si="65"/>
        <v>1199995.2</v>
      </c>
      <c r="Y62" s="106"/>
      <c r="Z62" s="64">
        <f t="shared" si="70"/>
        <v>0.999996</v>
      </c>
      <c r="AB62" s="112">
        <v>1250000</v>
      </c>
      <c r="AC62" s="57" t="s">
        <v>6458</v>
      </c>
      <c r="AD62" s="106">
        <f t="shared" si="71"/>
        <v>1249995</v>
      </c>
      <c r="AE62" s="66"/>
      <c r="AG62" s="117">
        <f t="shared" si="72"/>
        <v>1200000</v>
      </c>
      <c r="AH62" s="244"/>
      <c r="AI62" s="1122" t="s">
        <v>6457</v>
      </c>
      <c r="AJ62" s="64">
        <f t="shared" si="76"/>
        <v>0</v>
      </c>
      <c r="AL62" s="198">
        <v>1250000</v>
      </c>
      <c r="AM62" s="106"/>
      <c r="AN62" s="106" t="s">
        <v>6458</v>
      </c>
      <c r="AO62" s="64">
        <f t="shared" si="73"/>
        <v>1</v>
      </c>
      <c r="AQ62" s="112">
        <v>1250000</v>
      </c>
      <c r="AR62" s="57" t="s">
        <v>6459</v>
      </c>
      <c r="AS62" s="106"/>
      <c r="AT62" s="66"/>
      <c r="AV62" s="112">
        <v>1250000</v>
      </c>
      <c r="AW62" s="106"/>
      <c r="AX62" s="106" t="s">
        <v>6458</v>
      </c>
      <c r="AY62" s="64">
        <f t="shared" si="74"/>
        <v>1</v>
      </c>
      <c r="BA62" s="262">
        <f t="shared" si="75"/>
        <v>1250000</v>
      </c>
      <c r="BB62" s="57" t="s">
        <v>6459</v>
      </c>
      <c r="BC62" s="106"/>
      <c r="BD62" s="66"/>
      <c r="BE62" s="26" t="s">
        <v>6461</v>
      </c>
      <c r="BF62" s="112"/>
      <c r="BG62" s="244"/>
      <c r="BH62" s="57"/>
      <c r="BI62" s="476"/>
      <c r="BK62" s="112"/>
      <c r="BL62" s="57"/>
      <c r="BM62" s="244"/>
      <c r="BN62" s="66"/>
      <c r="BQ62" s="112"/>
      <c r="BR62" s="57"/>
      <c r="BS62" s="244"/>
      <c r="BT62" s="66"/>
      <c r="BW62" s="26" t="s">
        <v>6461</v>
      </c>
    </row>
    <row r="63" spans="1:75" x14ac:dyDescent="0.35">
      <c r="A63" s="9168"/>
      <c r="B63" s="240"/>
      <c r="C63" s="240"/>
      <c r="D63" s="197">
        <v>13</v>
      </c>
      <c r="F63" s="3966">
        <f t="shared" si="77"/>
        <v>719580798.96109951</v>
      </c>
      <c r="H63" s="117">
        <v>1422785.89</v>
      </c>
      <c r="I63" s="1351">
        <f t="shared" si="78"/>
        <v>1109149.8941564783</v>
      </c>
      <c r="J63" s="64">
        <f t="shared" si="67"/>
        <v>0.77956205635162601</v>
      </c>
      <c r="L63" s="117"/>
      <c r="M63" s="157">
        <f t="shared" si="68"/>
        <v>0</v>
      </c>
      <c r="O63" s="117"/>
      <c r="P63" s="157">
        <f t="shared" si="69"/>
        <v>0</v>
      </c>
      <c r="R63" s="117"/>
      <c r="S63" s="244"/>
      <c r="T63" s="1122"/>
      <c r="U63" s="64"/>
      <c r="W63" s="198"/>
      <c r="X63" s="106"/>
      <c r="Y63" s="106"/>
      <c r="Z63" s="64">
        <f t="shared" si="70"/>
        <v>1</v>
      </c>
      <c r="AB63" s="112"/>
      <c r="AC63" s="57"/>
      <c r="AD63" s="106">
        <f t="shared" si="71"/>
        <v>0</v>
      </c>
      <c r="AE63" s="66"/>
      <c r="AG63" s="117">
        <f t="shared" si="72"/>
        <v>0</v>
      </c>
      <c r="AH63" s="244"/>
      <c r="AI63" s="1122"/>
      <c r="AJ63" s="64"/>
      <c r="AL63" s="198"/>
      <c r="AM63" s="106"/>
      <c r="AN63" s="106"/>
      <c r="AO63" s="64">
        <f t="shared" si="73"/>
        <v>1</v>
      </c>
      <c r="AQ63" s="112">
        <v>900000</v>
      </c>
      <c r="AR63" s="57" t="s">
        <v>6462</v>
      </c>
      <c r="AS63" s="106"/>
      <c r="AT63" s="66"/>
      <c r="AV63" s="112">
        <v>900000</v>
      </c>
      <c r="AW63" s="106"/>
      <c r="AX63" s="106"/>
      <c r="AY63" s="64">
        <f t="shared" si="74"/>
        <v>1</v>
      </c>
      <c r="BA63" s="262">
        <f t="shared" si="75"/>
        <v>900000</v>
      </c>
      <c r="BB63" s="57" t="s">
        <v>6462</v>
      </c>
      <c r="BC63" s="106"/>
      <c r="BD63" s="66"/>
      <c r="BE63" s="26" t="s">
        <v>6463</v>
      </c>
      <c r="BF63" s="112">
        <v>36800</v>
      </c>
      <c r="BG63" s="244"/>
      <c r="BH63" s="57" t="s">
        <v>6464</v>
      </c>
      <c r="BI63" s="476"/>
      <c r="BK63" s="112">
        <v>2800</v>
      </c>
      <c r="BL63" s="57" t="s">
        <v>6464</v>
      </c>
      <c r="BM63" s="244"/>
      <c r="BN63" s="66"/>
      <c r="BQ63" s="112"/>
      <c r="BR63" s="57"/>
      <c r="BS63" s="244"/>
      <c r="BT63" s="66"/>
      <c r="BW63" s="26" t="s">
        <v>6463</v>
      </c>
    </row>
    <row r="64" spans="1:75" x14ac:dyDescent="0.35">
      <c r="A64" s="9168"/>
      <c r="B64" s="240"/>
      <c r="C64" s="240"/>
      <c r="D64" s="197">
        <v>14</v>
      </c>
      <c r="F64" s="3966">
        <f t="shared" si="77"/>
        <v>182071729.44763732</v>
      </c>
      <c r="H64" s="117">
        <v>360000</v>
      </c>
      <c r="I64" s="1351">
        <f t="shared" si="78"/>
        <v>280642.34028658539</v>
      </c>
      <c r="J64" s="64">
        <f t="shared" si="67"/>
        <v>0.77956205635162612</v>
      </c>
      <c r="L64" s="117">
        <v>360000</v>
      </c>
      <c r="M64" s="157">
        <f t="shared" si="68"/>
        <v>280642.34028658539</v>
      </c>
      <c r="O64" s="117">
        <v>380000</v>
      </c>
      <c r="P64" s="157">
        <f t="shared" si="69"/>
        <v>296233.58141361794</v>
      </c>
      <c r="R64" s="117">
        <v>360000</v>
      </c>
      <c r="S64" s="244">
        <v>360000</v>
      </c>
      <c r="T64" s="1122" t="s">
        <v>6465</v>
      </c>
      <c r="U64" s="64">
        <f t="shared" si="63"/>
        <v>1</v>
      </c>
      <c r="W64" s="198">
        <f t="shared" si="64"/>
        <v>380000</v>
      </c>
      <c r="X64" s="106">
        <f t="shared" si="65"/>
        <v>380000</v>
      </c>
      <c r="Y64" s="106"/>
      <c r="Z64" s="64">
        <f t="shared" si="70"/>
        <v>1</v>
      </c>
      <c r="AB64" s="112">
        <v>380000</v>
      </c>
      <c r="AC64" s="57" t="s">
        <v>6466</v>
      </c>
      <c r="AD64" s="106">
        <f t="shared" si="71"/>
        <v>380000</v>
      </c>
      <c r="AE64" s="66"/>
      <c r="AG64" s="117">
        <f t="shared" si="72"/>
        <v>380000</v>
      </c>
      <c r="AH64" s="244"/>
      <c r="AI64" s="1122" t="s">
        <v>6465</v>
      </c>
      <c r="AJ64" s="64">
        <f t="shared" ref="AJ64:AJ86" si="79">AH64/AG64</f>
        <v>0</v>
      </c>
      <c r="AL64" s="198">
        <v>380000</v>
      </c>
      <c r="AM64" s="106"/>
      <c r="AN64" s="106" t="s">
        <v>6466</v>
      </c>
      <c r="AO64" s="64">
        <f t="shared" si="73"/>
        <v>1</v>
      </c>
      <c r="AQ64" s="112">
        <v>380000</v>
      </c>
      <c r="AR64" s="57" t="s">
        <v>6467</v>
      </c>
      <c r="AS64" s="106"/>
      <c r="AT64" s="66"/>
      <c r="AV64" s="112">
        <v>380000</v>
      </c>
      <c r="AW64" s="106"/>
      <c r="AX64" s="106" t="s">
        <v>6466</v>
      </c>
      <c r="AY64" s="64">
        <f t="shared" si="74"/>
        <v>1</v>
      </c>
      <c r="BA64" s="262">
        <f t="shared" si="75"/>
        <v>380000</v>
      </c>
      <c r="BB64" s="57" t="s">
        <v>6467</v>
      </c>
      <c r="BC64" s="106"/>
      <c r="BD64" s="66"/>
      <c r="BE64" s="26" t="s">
        <v>6468</v>
      </c>
      <c r="BF64" s="112"/>
      <c r="BG64" s="244"/>
      <c r="BH64" s="57"/>
      <c r="BI64" s="476"/>
      <c r="BK64" s="112"/>
      <c r="BL64" s="57"/>
      <c r="BM64" s="244"/>
      <c r="BN64" s="66"/>
      <c r="BQ64" s="112"/>
      <c r="BR64" s="57"/>
      <c r="BS64" s="244"/>
      <c r="BT64" s="66"/>
      <c r="BW64" s="26" t="s">
        <v>6468</v>
      </c>
    </row>
    <row r="65" spans="1:75" x14ac:dyDescent="0.35">
      <c r="A65" s="9168"/>
      <c r="B65" s="241"/>
      <c r="C65" s="240" t="s">
        <v>3414</v>
      </c>
      <c r="D65" s="209">
        <v>18</v>
      </c>
      <c r="F65" s="3966">
        <f t="shared" si="77"/>
        <v>633129120.32707834</v>
      </c>
      <c r="H65" s="3951">
        <f t="shared" ref="H65" si="80">L65*H$37/L$37</f>
        <v>1251849.9385336943</v>
      </c>
      <c r="I65" s="1351">
        <f>H65*SUM($I$55:$I$60)/SUM($H$55:$H$60)</f>
        <v>975894.71232698346</v>
      </c>
      <c r="J65" s="64">
        <f t="shared" si="67"/>
        <v>0.77956205635162612</v>
      </c>
      <c r="L65" s="117">
        <v>1916001</v>
      </c>
      <c r="M65" s="157">
        <f t="shared" si="68"/>
        <v>1493641.6795317719</v>
      </c>
      <c r="O65" s="242">
        <v>1709599</v>
      </c>
      <c r="P65" s="157">
        <f t="shared" si="69"/>
        <v>1332738.5119766837</v>
      </c>
      <c r="R65" s="242">
        <v>1647199</v>
      </c>
      <c r="S65" s="4069">
        <v>1523199</v>
      </c>
      <c r="T65" s="4070" t="s">
        <v>6469</v>
      </c>
      <c r="U65" s="64">
        <f t="shared" si="63"/>
        <v>0.92472069252106148</v>
      </c>
      <c r="W65" s="198">
        <f t="shared" si="64"/>
        <v>1709599</v>
      </c>
      <c r="X65" s="106">
        <f t="shared" si="65"/>
        <v>1580901.5712133141</v>
      </c>
      <c r="Y65" s="106"/>
      <c r="Z65" s="64">
        <f t="shared" si="70"/>
        <v>0.92472069252106137</v>
      </c>
      <c r="AB65" s="242">
        <v>1298261</v>
      </c>
      <c r="AC65" s="57" t="s">
        <v>6470</v>
      </c>
      <c r="AD65" s="106">
        <f t="shared" si="71"/>
        <v>1200528.8109930856</v>
      </c>
      <c r="AE65" s="66"/>
      <c r="AG65" s="117">
        <f t="shared" si="72"/>
        <v>1709599</v>
      </c>
      <c r="AH65" s="4069"/>
      <c r="AI65" s="4070" t="s">
        <v>6469</v>
      </c>
      <c r="AJ65" s="64">
        <f t="shared" si="79"/>
        <v>0</v>
      </c>
      <c r="AL65" s="198">
        <v>1298261</v>
      </c>
      <c r="AM65" s="106"/>
      <c r="AN65" s="106" t="s">
        <v>6470</v>
      </c>
      <c r="AO65" s="64">
        <f t="shared" si="73"/>
        <v>1</v>
      </c>
      <c r="AQ65" s="242">
        <v>1298261</v>
      </c>
      <c r="AR65" s="57" t="s">
        <v>6471</v>
      </c>
      <c r="AS65" s="106"/>
      <c r="AT65" s="66"/>
      <c r="AV65" s="242">
        <v>1298261</v>
      </c>
      <c r="AW65" s="106"/>
      <c r="AX65" s="106" t="s">
        <v>6470</v>
      </c>
      <c r="AY65" s="64">
        <f t="shared" si="74"/>
        <v>1</v>
      </c>
      <c r="BA65" s="262">
        <f t="shared" si="75"/>
        <v>1298261</v>
      </c>
      <c r="BB65" s="57" t="s">
        <v>6471</v>
      </c>
      <c r="BC65" s="106"/>
      <c r="BD65" s="66"/>
      <c r="BE65" s="26" t="s">
        <v>6472</v>
      </c>
      <c r="BF65" s="242">
        <v>3394660</v>
      </c>
      <c r="BG65" s="4069"/>
      <c r="BH65" s="57" t="s">
        <v>6466</v>
      </c>
      <c r="BI65" s="476"/>
      <c r="BK65" s="112">
        <v>1487496</v>
      </c>
      <c r="BL65" s="57" t="s">
        <v>6466</v>
      </c>
      <c r="BM65" s="4069"/>
      <c r="BN65" s="66"/>
      <c r="BQ65" s="112">
        <v>0</v>
      </c>
      <c r="BR65" s="57" t="s">
        <v>6473</v>
      </c>
      <c r="BS65" s="4069"/>
      <c r="BT65" s="66"/>
      <c r="BW65" s="26" t="s">
        <v>6472</v>
      </c>
    </row>
    <row r="66" spans="1:75" x14ac:dyDescent="0.35">
      <c r="A66" s="9168"/>
      <c r="B66" s="241"/>
      <c r="C66" s="240"/>
      <c r="D66" s="197">
        <v>17</v>
      </c>
      <c r="F66" s="3966">
        <f t="shared" si="77"/>
        <v>1772983255.8293002</v>
      </c>
      <c r="H66" s="117">
        <v>3505618.22</v>
      </c>
      <c r="I66" s="1351">
        <f>H66*SUM($I$55:$I$60)/SUM($H$55:$H$60)</f>
        <v>2732846.9483669274</v>
      </c>
      <c r="J66" s="64">
        <f t="shared" si="67"/>
        <v>0.77956205635162612</v>
      </c>
      <c r="L66" s="117">
        <v>1916001</v>
      </c>
      <c r="M66" s="157">
        <f t="shared" si="68"/>
        <v>1493641.6795317719</v>
      </c>
      <c r="O66" s="242">
        <v>1988582</v>
      </c>
      <c r="P66" s="157">
        <f t="shared" si="69"/>
        <v>1550223.0731438294</v>
      </c>
      <c r="R66" s="117">
        <v>1916001</v>
      </c>
      <c r="S66" s="4071">
        <v>0</v>
      </c>
      <c r="T66" s="1122" t="s">
        <v>6474</v>
      </c>
      <c r="U66" s="64">
        <f t="shared" si="63"/>
        <v>0</v>
      </c>
      <c r="W66" s="198">
        <f t="shared" si="64"/>
        <v>1988582</v>
      </c>
      <c r="X66" s="106">
        <f t="shared" si="65"/>
        <v>0</v>
      </c>
      <c r="Y66" s="106"/>
      <c r="Z66" s="64">
        <f t="shared" si="70"/>
        <v>1</v>
      </c>
      <c r="AB66" s="262">
        <v>1510120</v>
      </c>
      <c r="AC66" s="57" t="s">
        <v>6475</v>
      </c>
      <c r="AD66" s="106">
        <f t="shared" si="71"/>
        <v>1510120</v>
      </c>
      <c r="AE66" s="66"/>
      <c r="AG66" s="117">
        <f t="shared" si="72"/>
        <v>1988582</v>
      </c>
      <c r="AH66" s="4071"/>
      <c r="AI66" s="1122" t="s">
        <v>6474</v>
      </c>
      <c r="AJ66" s="64">
        <f t="shared" si="79"/>
        <v>0</v>
      </c>
      <c r="AL66" s="198">
        <v>1510120</v>
      </c>
      <c r="AM66" s="106"/>
      <c r="AN66" s="106" t="s">
        <v>6475</v>
      </c>
      <c r="AO66" s="64">
        <f t="shared" si="73"/>
        <v>1</v>
      </c>
      <c r="AQ66" s="262">
        <v>1510120</v>
      </c>
      <c r="AR66" s="57" t="s">
        <v>6475</v>
      </c>
      <c r="AS66" s="106"/>
      <c r="AT66" s="66"/>
      <c r="AV66" s="262">
        <v>1510120</v>
      </c>
      <c r="AW66" s="106"/>
      <c r="AX66" s="106" t="s">
        <v>6475</v>
      </c>
      <c r="AY66" s="64">
        <f t="shared" si="74"/>
        <v>1</v>
      </c>
      <c r="BA66" s="262">
        <f t="shared" si="75"/>
        <v>1510120</v>
      </c>
      <c r="BB66" s="57" t="s">
        <v>6475</v>
      </c>
      <c r="BC66" s="106"/>
      <c r="BD66" s="66"/>
      <c r="BE66" s="26" t="s">
        <v>6476</v>
      </c>
      <c r="BF66" s="262">
        <v>1675120</v>
      </c>
      <c r="BG66" s="4071"/>
      <c r="BH66" s="57" t="s">
        <v>2610</v>
      </c>
      <c r="BI66" s="476"/>
      <c r="BK66" s="112">
        <v>1278409</v>
      </c>
      <c r="BL66" s="57" t="s">
        <v>2610</v>
      </c>
      <c r="BM66" s="4071"/>
      <c r="BN66" s="66"/>
      <c r="BQ66" s="112">
        <v>0</v>
      </c>
      <c r="BR66" s="57" t="s">
        <v>6477</v>
      </c>
      <c r="BS66" s="4071"/>
      <c r="BT66" s="66"/>
      <c r="BW66" s="26" t="s">
        <v>6476</v>
      </c>
    </row>
    <row r="67" spans="1:75" x14ac:dyDescent="0.35">
      <c r="A67" s="9168"/>
      <c r="B67" s="240"/>
      <c r="C67" s="240" t="s">
        <v>3414</v>
      </c>
      <c r="D67" s="197">
        <v>15</v>
      </c>
      <c r="F67" s="3966">
        <f>I67*F$37/I$37</f>
        <v>940210768.91251028</v>
      </c>
      <c r="H67" s="117">
        <v>1859024.89</v>
      </c>
      <c r="I67" s="1351">
        <f t="shared" si="78"/>
        <v>1449225.2660572554</v>
      </c>
      <c r="J67" s="64">
        <f t="shared" si="67"/>
        <v>0.77956205635162612</v>
      </c>
      <c r="L67" s="117">
        <v>889059</v>
      </c>
      <c r="M67" s="157">
        <f t="shared" si="68"/>
        <v>693076.66225792037</v>
      </c>
      <c r="O67" s="117">
        <v>922738</v>
      </c>
      <c r="P67" s="157">
        <f t="shared" si="69"/>
        <v>719331.53275378677</v>
      </c>
      <c r="R67" s="117">
        <v>3200602</v>
      </c>
      <c r="S67" s="244">
        <v>2479363</v>
      </c>
      <c r="T67" s="1122" t="s">
        <v>1278</v>
      </c>
      <c r="U67" s="64">
        <f t="shared" si="63"/>
        <v>0.77465520548946731</v>
      </c>
      <c r="W67" s="198">
        <f t="shared" si="64"/>
        <v>922738</v>
      </c>
      <c r="X67" s="106">
        <f t="shared" si="65"/>
        <v>714803.79500294011</v>
      </c>
      <c r="Y67" s="106"/>
      <c r="Z67" s="64">
        <f t="shared" si="70"/>
        <v>0.77465520548946731</v>
      </c>
      <c r="AB67" s="112">
        <v>2522595</v>
      </c>
      <c r="AC67" s="57" t="s">
        <v>6478</v>
      </c>
      <c r="AD67" s="106">
        <f t="shared" si="71"/>
        <v>1954141.3480917029</v>
      </c>
      <c r="AE67" s="66"/>
      <c r="AG67" s="117">
        <f t="shared" si="72"/>
        <v>922738</v>
      </c>
      <c r="AH67" s="244"/>
      <c r="AI67" s="1122" t="s">
        <v>1278</v>
      </c>
      <c r="AJ67" s="64">
        <f t="shared" si="79"/>
        <v>0</v>
      </c>
      <c r="AL67" s="198">
        <v>2522595</v>
      </c>
      <c r="AM67" s="106"/>
      <c r="AN67" s="106" t="s">
        <v>6478</v>
      </c>
      <c r="AO67" s="64">
        <f t="shared" si="73"/>
        <v>1</v>
      </c>
      <c r="AQ67" s="112">
        <v>417470</v>
      </c>
      <c r="AR67" s="57" t="s">
        <v>6479</v>
      </c>
      <c r="AS67" s="106"/>
      <c r="AT67" s="66"/>
      <c r="AV67" s="112">
        <v>417470</v>
      </c>
      <c r="AW67" s="106"/>
      <c r="AX67" s="106" t="s">
        <v>6478</v>
      </c>
      <c r="AY67" s="64">
        <f t="shared" si="74"/>
        <v>1</v>
      </c>
      <c r="BA67" s="262">
        <f t="shared" si="75"/>
        <v>417470</v>
      </c>
      <c r="BB67" s="57" t="s">
        <v>6479</v>
      </c>
      <c r="BC67" s="106"/>
      <c r="BD67" s="66"/>
      <c r="BE67" s="26" t="s">
        <v>6480</v>
      </c>
      <c r="BF67" s="112">
        <v>3306970</v>
      </c>
      <c r="BG67" s="244"/>
      <c r="BH67" s="57" t="s">
        <v>6481</v>
      </c>
      <c r="BI67" s="476"/>
      <c r="BK67" s="112">
        <v>2527949</v>
      </c>
      <c r="BL67" s="57" t="s">
        <v>6481</v>
      </c>
      <c r="BM67" s="244"/>
      <c r="BN67" s="66"/>
      <c r="BQ67" s="112">
        <v>0</v>
      </c>
      <c r="BR67" s="57" t="s">
        <v>6482</v>
      </c>
      <c r="BS67" s="244"/>
      <c r="BT67" s="66"/>
      <c r="BW67" s="26" t="s">
        <v>6480</v>
      </c>
    </row>
    <row r="68" spans="1:75" x14ac:dyDescent="0.35">
      <c r="A68" s="9168"/>
      <c r="B68" s="240"/>
      <c r="C68" s="240"/>
      <c r="D68" s="197"/>
      <c r="F68" s="3966">
        <f t="shared" ref="F68:F100" si="81">I68*F$37/I$37</f>
        <v>646321396.25533617</v>
      </c>
      <c r="H68" s="3951">
        <f>L68*H$37/L$37</f>
        <v>1277934.2699594505</v>
      </c>
      <c r="I68" s="1351">
        <f t="shared" si="78"/>
        <v>996229.06737180345</v>
      </c>
      <c r="J68" s="64">
        <f t="shared" si="67"/>
        <v>0.77956205635162623</v>
      </c>
      <c r="L68" s="117">
        <v>1955924</v>
      </c>
      <c r="M68" s="157">
        <f t="shared" si="68"/>
        <v>1524764.1355074982</v>
      </c>
      <c r="O68" s="117">
        <v>2030018</v>
      </c>
      <c r="P68" s="157">
        <f t="shared" si="69"/>
        <v>1582525.0065108156</v>
      </c>
      <c r="R68" s="117">
        <v>1955924</v>
      </c>
      <c r="S68" s="244">
        <v>1955920</v>
      </c>
      <c r="T68" s="1122" t="s">
        <v>6483</v>
      </c>
      <c r="U68" s="64">
        <f t="shared" si="63"/>
        <v>0.99999795493076415</v>
      </c>
      <c r="W68" s="198">
        <f t="shared" si="64"/>
        <v>2030018</v>
      </c>
      <c r="X68" s="106">
        <f t="shared" si="65"/>
        <v>2030013.8484726399</v>
      </c>
      <c r="Y68" s="106"/>
      <c r="Z68" s="64">
        <f t="shared" si="70"/>
        <v>0.99999795493076415</v>
      </c>
      <c r="AB68" s="112">
        <v>1541587</v>
      </c>
      <c r="AC68" s="57" t="s">
        <v>6484</v>
      </c>
      <c r="AD68" s="106">
        <f t="shared" si="71"/>
        <v>1541583.8473478518</v>
      </c>
      <c r="AE68" s="66"/>
      <c r="AG68" s="117">
        <f t="shared" si="72"/>
        <v>2030018</v>
      </c>
      <c r="AH68" s="244"/>
      <c r="AI68" s="1122" t="s">
        <v>6483</v>
      </c>
      <c r="AJ68" s="64">
        <f t="shared" si="79"/>
        <v>0</v>
      </c>
      <c r="AL68" s="198">
        <v>1541587</v>
      </c>
      <c r="AM68" s="106"/>
      <c r="AN68" s="106" t="s">
        <v>6484</v>
      </c>
      <c r="AO68" s="64">
        <f t="shared" si="73"/>
        <v>1</v>
      </c>
      <c r="AQ68" s="112">
        <v>1541587</v>
      </c>
      <c r="AR68" s="57" t="s">
        <v>6485</v>
      </c>
      <c r="AS68" s="106"/>
      <c r="AT68" s="66"/>
      <c r="AV68" s="112">
        <v>1541587</v>
      </c>
      <c r="AW68" s="106"/>
      <c r="AX68" s="106" t="s">
        <v>6484</v>
      </c>
      <c r="AY68" s="64">
        <f t="shared" si="74"/>
        <v>1</v>
      </c>
      <c r="BA68" s="262">
        <f t="shared" si="75"/>
        <v>1541587</v>
      </c>
      <c r="BB68" s="57" t="s">
        <v>6485</v>
      </c>
      <c r="BC68" s="106"/>
      <c r="BD68" s="66"/>
      <c r="BE68" s="26" t="s">
        <v>6486</v>
      </c>
      <c r="BF68" s="112">
        <v>2176380</v>
      </c>
      <c r="BG68" s="244"/>
      <c r="BH68" s="57" t="s">
        <v>6487</v>
      </c>
      <c r="BI68" s="476"/>
      <c r="BK68" s="112">
        <v>1736409</v>
      </c>
      <c r="BL68" s="57" t="s">
        <v>6487</v>
      </c>
      <c r="BM68" s="244"/>
      <c r="BN68" s="66"/>
      <c r="BQ68" s="112">
        <v>0</v>
      </c>
      <c r="BR68" s="57" t="s">
        <v>6488</v>
      </c>
      <c r="BS68" s="244"/>
      <c r="BT68" s="66"/>
      <c r="BW68" s="26" t="s">
        <v>6486</v>
      </c>
    </row>
    <row r="69" spans="1:75" x14ac:dyDescent="0.35">
      <c r="A69" s="9168"/>
      <c r="B69" s="240"/>
      <c r="C69" s="240"/>
      <c r="D69" s="197"/>
      <c r="F69" s="3966">
        <f t="shared" si="81"/>
        <v>609598935.11305666</v>
      </c>
      <c r="H69" s="3951">
        <f t="shared" ref="H69:H100" si="82">L69*H$37/L$37</f>
        <v>1205325.0513216795</v>
      </c>
      <c r="I69" s="1351">
        <f t="shared" si="78"/>
        <v>939625.67558045767</v>
      </c>
      <c r="J69" s="64">
        <f t="shared" si="67"/>
        <v>0.77956205635162601</v>
      </c>
      <c r="L69" s="117">
        <v>1844793</v>
      </c>
      <c r="M69" s="157">
        <f t="shared" si="68"/>
        <v>1438130.6246230851</v>
      </c>
      <c r="O69" s="117">
        <v>1914676</v>
      </c>
      <c r="P69" s="157">
        <f t="shared" si="69"/>
        <v>1492608.7598071059</v>
      </c>
      <c r="R69" s="117">
        <v>1844793</v>
      </c>
      <c r="S69" s="244">
        <v>1844793</v>
      </c>
      <c r="T69" s="1122" t="s">
        <v>6483</v>
      </c>
      <c r="U69" s="64">
        <f t="shared" si="63"/>
        <v>1</v>
      </c>
      <c r="W69" s="198">
        <f t="shared" si="64"/>
        <v>1914676</v>
      </c>
      <c r="X69" s="106">
        <f t="shared" si="65"/>
        <v>1914676</v>
      </c>
      <c r="Y69" s="106"/>
      <c r="Z69" s="64">
        <f t="shared" si="70"/>
        <v>1</v>
      </c>
      <c r="AB69" s="112">
        <v>1453996</v>
      </c>
      <c r="AC69" s="57" t="s">
        <v>6484</v>
      </c>
      <c r="AD69" s="106">
        <f t="shared" si="71"/>
        <v>1453996</v>
      </c>
      <c r="AE69" s="66"/>
      <c r="AG69" s="117">
        <f t="shared" si="72"/>
        <v>1914676</v>
      </c>
      <c r="AH69" s="244"/>
      <c r="AI69" s="1122" t="s">
        <v>6483</v>
      </c>
      <c r="AJ69" s="64">
        <f t="shared" si="79"/>
        <v>0</v>
      </c>
      <c r="AL69" s="198">
        <v>1453996</v>
      </c>
      <c r="AM69" s="106"/>
      <c r="AN69" s="106" t="s">
        <v>6484</v>
      </c>
      <c r="AO69" s="64">
        <f t="shared" si="73"/>
        <v>1</v>
      </c>
      <c r="AQ69" s="112">
        <v>1453996</v>
      </c>
      <c r="AR69" s="57" t="s">
        <v>6485</v>
      </c>
      <c r="AS69" s="106"/>
      <c r="AT69" s="66"/>
      <c r="AV69" s="112">
        <v>1453996</v>
      </c>
      <c r="AW69" s="106"/>
      <c r="AX69" s="106" t="s">
        <v>6484</v>
      </c>
      <c r="AY69" s="64">
        <f t="shared" si="74"/>
        <v>1</v>
      </c>
      <c r="BA69" s="262">
        <f t="shared" si="75"/>
        <v>1453996</v>
      </c>
      <c r="BB69" s="57" t="s">
        <v>6485</v>
      </c>
      <c r="BC69" s="106"/>
      <c r="BD69" s="66"/>
      <c r="BE69" s="26" t="s">
        <v>6489</v>
      </c>
      <c r="BF69" s="112">
        <v>1612860</v>
      </c>
      <c r="BG69" s="244"/>
      <c r="BH69" s="57" t="s">
        <v>6487</v>
      </c>
      <c r="BI69" s="476"/>
      <c r="BK69" s="112">
        <v>1274428</v>
      </c>
      <c r="BL69" s="57" t="s">
        <v>6487</v>
      </c>
      <c r="BM69" s="244"/>
      <c r="BN69" s="66"/>
      <c r="BQ69" s="112">
        <v>0</v>
      </c>
      <c r="BR69" s="57" t="s">
        <v>6488</v>
      </c>
      <c r="BS69" s="244"/>
      <c r="BT69" s="66"/>
      <c r="BW69" s="26" t="s">
        <v>6489</v>
      </c>
    </row>
    <row r="70" spans="1:75" x14ac:dyDescent="0.35">
      <c r="A70" s="9168"/>
      <c r="B70" s="240"/>
      <c r="C70" s="240"/>
      <c r="D70" s="197"/>
      <c r="F70" s="3966">
        <f t="shared" si="81"/>
        <v>800556658.29331255</v>
      </c>
      <c r="H70" s="3951">
        <f t="shared" si="82"/>
        <v>1582894.8176629315</v>
      </c>
      <c r="I70" s="1351">
        <f t="shared" si="78"/>
        <v>1233964.7390456472</v>
      </c>
      <c r="J70" s="64">
        <f t="shared" si="67"/>
        <v>0.77956205635162612</v>
      </c>
      <c r="L70" s="117">
        <v>2422677</v>
      </c>
      <c r="M70" s="157">
        <f t="shared" si="68"/>
        <v>1888627.0639957886</v>
      </c>
      <c r="O70" s="117">
        <v>2514453</v>
      </c>
      <c r="P70" s="157">
        <f t="shared" si="69"/>
        <v>1960172.1512795154</v>
      </c>
      <c r="R70" s="117">
        <v>2422677</v>
      </c>
      <c r="S70" s="244">
        <v>2422604</v>
      </c>
      <c r="T70" s="1122" t="s">
        <v>6474</v>
      </c>
      <c r="U70" s="64">
        <f t="shared" si="63"/>
        <v>0.99996986804266519</v>
      </c>
      <c r="W70" s="198">
        <f t="shared" si="64"/>
        <v>2514453</v>
      </c>
      <c r="X70" s="106">
        <f t="shared" si="65"/>
        <v>2514377.2346094837</v>
      </c>
      <c r="Y70" s="106"/>
      <c r="Z70" s="64">
        <f t="shared" si="70"/>
        <v>0.99996986804266519</v>
      </c>
      <c r="AB70" s="112">
        <v>1909465</v>
      </c>
      <c r="AC70" s="57" t="s">
        <v>6475</v>
      </c>
      <c r="AD70" s="106">
        <f t="shared" si="71"/>
        <v>1909407.4640820876</v>
      </c>
      <c r="AE70" s="66"/>
      <c r="AG70" s="117">
        <f t="shared" si="72"/>
        <v>2514453</v>
      </c>
      <c r="AH70" s="244"/>
      <c r="AI70" s="1122" t="s">
        <v>6474</v>
      </c>
      <c r="AJ70" s="64">
        <f t="shared" si="79"/>
        <v>0</v>
      </c>
      <c r="AL70" s="198">
        <v>1909465</v>
      </c>
      <c r="AM70" s="106"/>
      <c r="AN70" s="106" t="s">
        <v>6475</v>
      </c>
      <c r="AO70" s="64">
        <f t="shared" si="73"/>
        <v>1</v>
      </c>
      <c r="AQ70" s="112">
        <v>1909465</v>
      </c>
      <c r="AR70" s="57" t="s">
        <v>6490</v>
      </c>
      <c r="AS70" s="106"/>
      <c r="AT70" s="66"/>
      <c r="AV70" s="112">
        <v>1909465</v>
      </c>
      <c r="AW70" s="106"/>
      <c r="AX70" s="106" t="s">
        <v>6475</v>
      </c>
      <c r="AY70" s="64">
        <f t="shared" si="74"/>
        <v>1</v>
      </c>
      <c r="BA70" s="262">
        <f t="shared" si="75"/>
        <v>1909465</v>
      </c>
      <c r="BB70" s="57" t="s">
        <v>6490</v>
      </c>
      <c r="BC70" s="106"/>
      <c r="BD70" s="66"/>
      <c r="BE70" s="26" t="s">
        <v>6491</v>
      </c>
      <c r="BF70" s="112">
        <v>2118000</v>
      </c>
      <c r="BG70" s="244"/>
      <c r="BH70" s="57" t="s">
        <v>6490</v>
      </c>
      <c r="BI70" s="476"/>
      <c r="BK70" s="112">
        <v>1842945</v>
      </c>
      <c r="BL70" s="57" t="s">
        <v>6490</v>
      </c>
      <c r="BM70" s="244"/>
      <c r="BN70" s="66"/>
      <c r="BQ70" s="112">
        <v>0</v>
      </c>
      <c r="BR70" s="57" t="s">
        <v>6492</v>
      </c>
      <c r="BS70" s="244"/>
      <c r="BT70" s="66"/>
      <c r="BW70" s="26" t="s">
        <v>6491</v>
      </c>
    </row>
    <row r="71" spans="1:75" x14ac:dyDescent="0.35">
      <c r="A71" s="9168"/>
      <c r="B71" s="240"/>
      <c r="C71" s="240"/>
      <c r="D71" s="197"/>
      <c r="F71" s="3966">
        <f t="shared" si="81"/>
        <v>293783324.01124626</v>
      </c>
      <c r="H71" s="3951">
        <f t="shared" si="82"/>
        <v>580880.93612833577</v>
      </c>
      <c r="I71" s="1351">
        <f t="shared" si="78"/>
        <v>452832.73706366308</v>
      </c>
      <c r="J71" s="64">
        <f t="shared" si="67"/>
        <v>0.77956205635162623</v>
      </c>
      <c r="L71" s="117">
        <v>889059</v>
      </c>
      <c r="M71" s="157">
        <f t="shared" si="68"/>
        <v>693076.66225792048</v>
      </c>
      <c r="O71" s="117">
        <v>922738</v>
      </c>
      <c r="P71" s="157">
        <f t="shared" si="69"/>
        <v>719331.53275378689</v>
      </c>
      <c r="R71" s="117">
        <v>889059</v>
      </c>
      <c r="S71" s="244">
        <v>0</v>
      </c>
      <c r="T71" s="1122" t="s">
        <v>6474</v>
      </c>
      <c r="U71" s="64">
        <f t="shared" si="63"/>
        <v>0</v>
      </c>
      <c r="W71" s="198">
        <f t="shared" si="64"/>
        <v>922738</v>
      </c>
      <c r="X71" s="106">
        <f t="shared" si="65"/>
        <v>0</v>
      </c>
      <c r="Y71" s="106"/>
      <c r="Z71" s="64">
        <f t="shared" si="70"/>
        <v>1</v>
      </c>
      <c r="AB71" s="112">
        <v>700724</v>
      </c>
      <c r="AC71" s="57" t="s">
        <v>6475</v>
      </c>
      <c r="AD71" s="106">
        <f t="shared" si="71"/>
        <v>700724</v>
      </c>
      <c r="AE71" s="66"/>
      <c r="AG71" s="117">
        <f t="shared" si="72"/>
        <v>922738</v>
      </c>
      <c r="AH71" s="244"/>
      <c r="AI71" s="1122" t="s">
        <v>6474</v>
      </c>
      <c r="AJ71" s="64">
        <f t="shared" si="79"/>
        <v>0</v>
      </c>
      <c r="AL71" s="198">
        <v>700724</v>
      </c>
      <c r="AM71" s="106"/>
      <c r="AN71" s="106" t="s">
        <v>6475</v>
      </c>
      <c r="AO71" s="64">
        <f t="shared" si="73"/>
        <v>1</v>
      </c>
      <c r="AQ71" s="112">
        <v>700724</v>
      </c>
      <c r="AR71" s="57" t="s">
        <v>6490</v>
      </c>
      <c r="AS71" s="106"/>
      <c r="AT71" s="66"/>
      <c r="AV71" s="112">
        <v>700724</v>
      </c>
      <c r="AW71" s="106"/>
      <c r="AX71" s="106" t="s">
        <v>6475</v>
      </c>
      <c r="AY71" s="64">
        <f t="shared" si="74"/>
        <v>1</v>
      </c>
      <c r="BA71" s="262">
        <f t="shared" si="75"/>
        <v>700724</v>
      </c>
      <c r="BB71" s="57" t="s">
        <v>6490</v>
      </c>
      <c r="BC71" s="106"/>
      <c r="BD71" s="66"/>
      <c r="BE71" s="26" t="s">
        <v>6493</v>
      </c>
      <c r="BF71" s="112">
        <v>777290</v>
      </c>
      <c r="BG71" s="244"/>
      <c r="BH71" s="57" t="s">
        <v>6490</v>
      </c>
      <c r="BI71" s="476"/>
      <c r="BK71" s="112">
        <v>1783204</v>
      </c>
      <c r="BL71" s="57" t="s">
        <v>6490</v>
      </c>
      <c r="BM71" s="244"/>
      <c r="BN71" s="66"/>
      <c r="BQ71" s="112">
        <v>0</v>
      </c>
      <c r="BR71" s="57" t="s">
        <v>6494</v>
      </c>
      <c r="BS71" s="244"/>
      <c r="BT71" s="66"/>
      <c r="BW71" s="26" t="s">
        <v>6493</v>
      </c>
    </row>
    <row r="72" spans="1:75" x14ac:dyDescent="0.35">
      <c r="A72" s="9168"/>
      <c r="B72" s="240"/>
      <c r="C72" s="240"/>
      <c r="D72" s="197"/>
      <c r="F72" s="3966"/>
      <c r="H72" s="3951"/>
      <c r="I72" s="1351"/>
      <c r="J72" s="64"/>
      <c r="L72" s="117"/>
      <c r="M72" s="157"/>
      <c r="O72" s="117"/>
      <c r="P72" s="157"/>
      <c r="R72" s="117"/>
      <c r="S72" s="244"/>
      <c r="T72" s="1122"/>
      <c r="U72" s="64"/>
      <c r="W72" s="198"/>
      <c r="X72" s="106"/>
      <c r="Y72" s="106"/>
      <c r="Z72" s="64"/>
      <c r="AB72" s="112"/>
      <c r="AC72" s="57"/>
      <c r="AD72" s="106"/>
      <c r="AE72" s="66"/>
      <c r="AG72" s="117"/>
      <c r="AH72" s="244"/>
      <c r="AI72" s="1122"/>
      <c r="AJ72" s="64"/>
      <c r="AL72" s="198"/>
      <c r="AM72" s="106"/>
      <c r="AN72" s="106"/>
      <c r="AO72" s="64"/>
      <c r="AQ72" s="112"/>
      <c r="AR72" s="57"/>
      <c r="AS72" s="106"/>
      <c r="AT72" s="66"/>
      <c r="AV72" s="112"/>
      <c r="AW72" s="106"/>
      <c r="AX72" s="106"/>
      <c r="AY72" s="64"/>
      <c r="BA72" s="262"/>
      <c r="BB72" s="57"/>
      <c r="BC72" s="106"/>
      <c r="BD72" s="66"/>
      <c r="BE72" s="26"/>
      <c r="BF72" s="112">
        <v>374460</v>
      </c>
      <c r="BG72" s="244"/>
      <c r="BH72" s="57" t="s">
        <v>6495</v>
      </c>
      <c r="BI72" s="476"/>
      <c r="BK72" s="112">
        <v>319604</v>
      </c>
      <c r="BL72" s="57" t="s">
        <v>6495</v>
      </c>
      <c r="BM72" s="244"/>
      <c r="BN72" s="66"/>
      <c r="BQ72" s="112">
        <v>0</v>
      </c>
      <c r="BR72" s="57" t="s">
        <v>6496</v>
      </c>
      <c r="BS72" s="244"/>
      <c r="BT72" s="66"/>
      <c r="BW72" s="26" t="s">
        <v>6497</v>
      </c>
    </row>
    <row r="73" spans="1:75" x14ac:dyDescent="0.35">
      <c r="A73" s="9168"/>
      <c r="B73" s="240"/>
      <c r="C73" s="240"/>
      <c r="D73" s="197"/>
      <c r="F73" s="3966">
        <f t="shared" si="81"/>
        <v>294987788.74983054</v>
      </c>
      <c r="H73" s="3951">
        <f t="shared" si="82"/>
        <v>583262.45525382436</v>
      </c>
      <c r="I73" s="1351">
        <f t="shared" si="78"/>
        <v>454689.27901036968</v>
      </c>
      <c r="J73" s="64">
        <f t="shared" si="67"/>
        <v>0.77956205635162623</v>
      </c>
      <c r="L73" s="117">
        <v>892704</v>
      </c>
      <c r="M73" s="157">
        <f t="shared" si="68"/>
        <v>695918.1659533222</v>
      </c>
      <c r="O73" s="117">
        <v>926522</v>
      </c>
      <c r="P73" s="157">
        <f t="shared" si="69"/>
        <v>722281.39557502139</v>
      </c>
      <c r="R73" s="117">
        <v>892704</v>
      </c>
      <c r="S73" s="244">
        <v>0</v>
      </c>
      <c r="T73" s="1122" t="s">
        <v>6474</v>
      </c>
      <c r="U73" s="64">
        <f t="shared" si="63"/>
        <v>0</v>
      </c>
      <c r="W73" s="198">
        <f t="shared" si="64"/>
        <v>926522</v>
      </c>
      <c r="X73" s="106">
        <f t="shared" si="65"/>
        <v>0</v>
      </c>
      <c r="Y73" s="106"/>
      <c r="Z73" s="64">
        <f t="shared" si="70"/>
        <v>1</v>
      </c>
      <c r="AB73" s="112">
        <v>703595</v>
      </c>
      <c r="AC73" s="57" t="s">
        <v>6475</v>
      </c>
      <c r="AD73" s="106">
        <f t="shared" si="71"/>
        <v>703595</v>
      </c>
      <c r="AE73" s="66"/>
      <c r="AG73" s="117">
        <f t="shared" si="72"/>
        <v>926522</v>
      </c>
      <c r="AH73" s="244"/>
      <c r="AI73" s="1122" t="s">
        <v>6474</v>
      </c>
      <c r="AJ73" s="64">
        <f t="shared" si="79"/>
        <v>0</v>
      </c>
      <c r="AL73" s="198">
        <v>703595</v>
      </c>
      <c r="AM73" s="106"/>
      <c r="AN73" s="106" t="s">
        <v>6475</v>
      </c>
      <c r="AO73" s="64">
        <f t="shared" si="73"/>
        <v>1</v>
      </c>
      <c r="AQ73" s="112">
        <v>703596</v>
      </c>
      <c r="AR73" s="57" t="s">
        <v>6490</v>
      </c>
      <c r="AS73" s="106"/>
      <c r="AT73" s="66"/>
      <c r="AV73" s="112">
        <v>703596</v>
      </c>
      <c r="AW73" s="106"/>
      <c r="AX73" s="106" t="s">
        <v>6475</v>
      </c>
      <c r="AY73" s="64">
        <f t="shared" si="74"/>
        <v>1</v>
      </c>
      <c r="BA73" s="262">
        <f t="shared" si="75"/>
        <v>703596</v>
      </c>
      <c r="BB73" s="57" t="s">
        <v>6490</v>
      </c>
      <c r="BC73" s="106"/>
      <c r="BD73" s="66"/>
      <c r="BE73" s="26" t="s">
        <v>6498</v>
      </c>
      <c r="BF73" s="112">
        <v>922370</v>
      </c>
      <c r="BG73" s="244"/>
      <c r="BH73" s="57" t="s">
        <v>6490</v>
      </c>
      <c r="BI73" s="476"/>
      <c r="BK73" s="112">
        <v>982703</v>
      </c>
      <c r="BL73" s="57" t="s">
        <v>6490</v>
      </c>
      <c r="BM73" s="244"/>
      <c r="BN73" s="66"/>
      <c r="BQ73" s="112">
        <v>0</v>
      </c>
      <c r="BR73" s="57" t="s">
        <v>6499</v>
      </c>
      <c r="BS73" s="244"/>
      <c r="BT73" s="66"/>
      <c r="BW73" s="26" t="s">
        <v>6498</v>
      </c>
    </row>
    <row r="74" spans="1:75" x14ac:dyDescent="0.35">
      <c r="A74" s="9168"/>
      <c r="B74" s="240"/>
      <c r="C74" s="240"/>
      <c r="D74" s="197"/>
      <c r="F74" s="3966">
        <f t="shared" si="81"/>
        <v>377020263.74394441</v>
      </c>
      <c r="H74" s="3951">
        <f t="shared" si="82"/>
        <v>745460.56853298738</v>
      </c>
      <c r="I74" s="1351">
        <f t="shared" si="78"/>
        <v>581132.77373462799</v>
      </c>
      <c r="J74" s="64">
        <f t="shared" si="67"/>
        <v>0.77956205635162612</v>
      </c>
      <c r="L74" s="117">
        <v>1140954</v>
      </c>
      <c r="M74" s="157">
        <f t="shared" si="68"/>
        <v>889444.44644261326</v>
      </c>
      <c r="O74" s="117">
        <v>1184175</v>
      </c>
      <c r="P74" s="157">
        <f t="shared" si="69"/>
        <v>923137.89808018692</v>
      </c>
      <c r="R74" s="117">
        <v>1140954</v>
      </c>
      <c r="S74" s="244">
        <v>1140954</v>
      </c>
      <c r="T74" s="1122" t="s">
        <v>6474</v>
      </c>
      <c r="U74" s="64">
        <f t="shared" si="63"/>
        <v>1</v>
      </c>
      <c r="W74" s="198">
        <f t="shared" si="64"/>
        <v>1184175</v>
      </c>
      <c r="X74" s="106">
        <f t="shared" si="65"/>
        <v>1184175</v>
      </c>
      <c r="Y74" s="106"/>
      <c r="Z74" s="64">
        <f t="shared" si="70"/>
        <v>1</v>
      </c>
      <c r="AB74" s="112">
        <v>899259</v>
      </c>
      <c r="AC74" s="57" t="s">
        <v>6475</v>
      </c>
      <c r="AD74" s="106">
        <f t="shared" si="71"/>
        <v>899259</v>
      </c>
      <c r="AE74" s="66"/>
      <c r="AG74" s="117">
        <f t="shared" si="72"/>
        <v>1184175</v>
      </c>
      <c r="AH74" s="244"/>
      <c r="AI74" s="1122" t="s">
        <v>6474</v>
      </c>
      <c r="AJ74" s="64">
        <f t="shared" si="79"/>
        <v>0</v>
      </c>
      <c r="AL74" s="198">
        <v>899259</v>
      </c>
      <c r="AM74" s="106"/>
      <c r="AN74" s="106" t="s">
        <v>6475</v>
      </c>
      <c r="AO74" s="64">
        <f t="shared" si="73"/>
        <v>1</v>
      </c>
      <c r="AQ74" s="112">
        <v>899259</v>
      </c>
      <c r="AR74" s="57" t="s">
        <v>6490</v>
      </c>
      <c r="AS74" s="106"/>
      <c r="AT74" s="66"/>
      <c r="AV74" s="112">
        <v>899259</v>
      </c>
      <c r="AW74" s="106"/>
      <c r="AX74" s="106" t="s">
        <v>6475</v>
      </c>
      <c r="AY74" s="64">
        <f t="shared" si="74"/>
        <v>1</v>
      </c>
      <c r="BA74" s="262">
        <f t="shared" si="75"/>
        <v>899259</v>
      </c>
      <c r="BB74" s="57" t="s">
        <v>6490</v>
      </c>
      <c r="BC74" s="106"/>
      <c r="BD74" s="66"/>
      <c r="BE74" s="26" t="s">
        <v>6500</v>
      </c>
      <c r="BF74" s="112">
        <v>997500</v>
      </c>
      <c r="BG74" s="244"/>
      <c r="BH74" s="57" t="s">
        <v>2610</v>
      </c>
      <c r="BI74" s="476"/>
      <c r="BK74" s="112">
        <v>746735</v>
      </c>
      <c r="BL74" s="57" t="s">
        <v>2610</v>
      </c>
      <c r="BM74" s="244"/>
      <c r="BN74" s="66"/>
      <c r="BQ74" s="112">
        <v>0</v>
      </c>
      <c r="BR74" s="57"/>
      <c r="BS74" s="244"/>
      <c r="BT74" s="66"/>
      <c r="BW74" s="26" t="s">
        <v>6500</v>
      </c>
    </row>
    <row r="75" spans="1:75" x14ac:dyDescent="0.35">
      <c r="A75" s="9168"/>
      <c r="B75" s="240"/>
      <c r="C75" s="240"/>
      <c r="D75" s="197"/>
      <c r="F75" s="3966"/>
      <c r="H75" s="3951"/>
      <c r="I75" s="1351"/>
      <c r="J75" s="64"/>
      <c r="L75" s="117"/>
      <c r="M75" s="157"/>
      <c r="O75" s="117"/>
      <c r="P75" s="157"/>
      <c r="R75" s="117">
        <v>814967</v>
      </c>
      <c r="S75" s="244">
        <v>589199</v>
      </c>
      <c r="T75" s="1122" t="s">
        <v>6501</v>
      </c>
      <c r="U75" s="64">
        <f t="shared" si="63"/>
        <v>0.72297283202878149</v>
      </c>
      <c r="W75" s="4068">
        <f>R75</f>
        <v>814967</v>
      </c>
      <c r="X75" s="106">
        <f t="shared" si="65"/>
        <v>589199</v>
      </c>
      <c r="Y75" s="106"/>
      <c r="Z75" s="64">
        <f t="shared" si="70"/>
        <v>0.72297283202878149</v>
      </c>
      <c r="AB75" s="112">
        <v>749329</v>
      </c>
      <c r="AC75" s="57" t="s">
        <v>6502</v>
      </c>
      <c r="AD75" s="106">
        <f t="shared" si="71"/>
        <v>541744.50925129477</v>
      </c>
      <c r="AE75" s="66"/>
      <c r="AG75" s="117">
        <f t="shared" si="72"/>
        <v>814967</v>
      </c>
      <c r="AH75" s="244"/>
      <c r="AI75" s="1122" t="s">
        <v>6501</v>
      </c>
      <c r="AJ75" s="64">
        <f t="shared" si="79"/>
        <v>0</v>
      </c>
      <c r="AL75" s="4068">
        <v>749329</v>
      </c>
      <c r="AM75" s="106"/>
      <c r="AN75" s="106" t="s">
        <v>6502</v>
      </c>
      <c r="AO75" s="64">
        <f t="shared" si="73"/>
        <v>1</v>
      </c>
      <c r="AQ75" s="112">
        <v>742329</v>
      </c>
      <c r="AR75" s="57" t="s">
        <v>6503</v>
      </c>
      <c r="AS75" s="106"/>
      <c r="AT75" s="66"/>
      <c r="AV75" s="112">
        <v>742329</v>
      </c>
      <c r="AW75" s="106"/>
      <c r="AX75" s="106" t="s">
        <v>6502</v>
      </c>
      <c r="AY75" s="64">
        <f t="shared" si="74"/>
        <v>1</v>
      </c>
      <c r="BA75" s="262">
        <f t="shared" si="75"/>
        <v>742329</v>
      </c>
      <c r="BB75" s="57" t="s">
        <v>6503</v>
      </c>
      <c r="BC75" s="106"/>
      <c r="BD75" s="66"/>
      <c r="BE75" s="26" t="s">
        <v>6504</v>
      </c>
      <c r="BF75" s="112">
        <v>823420</v>
      </c>
      <c r="BG75" s="244"/>
      <c r="BH75" s="57" t="s">
        <v>6505</v>
      </c>
      <c r="BI75" s="476"/>
      <c r="BK75" s="112">
        <v>1050410</v>
      </c>
      <c r="BL75" s="57" t="s">
        <v>6505</v>
      </c>
      <c r="BM75" s="244"/>
      <c r="BN75" s="66"/>
      <c r="BQ75" s="112">
        <v>0</v>
      </c>
      <c r="BR75" s="57"/>
      <c r="BS75" s="244"/>
      <c r="BT75" s="66"/>
      <c r="BW75" s="26" t="s">
        <v>6504</v>
      </c>
    </row>
    <row r="76" spans="1:75" x14ac:dyDescent="0.35">
      <c r="A76" s="9168"/>
      <c r="B76" s="240"/>
      <c r="C76" s="240"/>
      <c r="D76" s="197"/>
      <c r="F76" s="3966">
        <f t="shared" si="81"/>
        <v>354986654.88137633</v>
      </c>
      <c r="H76" s="3951">
        <f t="shared" si="82"/>
        <v>701894.77600391861</v>
      </c>
      <c r="I76" s="1351">
        <f>H76*SUM($I$55:$I$60)/SUM($H$55:$H$60)</f>
        <v>547170.53492407885</v>
      </c>
      <c r="J76" s="64">
        <f t="shared" si="67"/>
        <v>0.77956205635162623</v>
      </c>
      <c r="L76" s="117">
        <v>1074275</v>
      </c>
      <c r="M76" s="157">
        <f t="shared" si="68"/>
        <v>837464.02808714332</v>
      </c>
      <c r="O76" s="117">
        <v>1114970</v>
      </c>
      <c r="P76" s="157">
        <f t="shared" si="69"/>
        <v>869188.30597037275</v>
      </c>
      <c r="R76" s="117">
        <v>1074275</v>
      </c>
      <c r="S76" s="244">
        <v>1027832</v>
      </c>
      <c r="T76" s="1122" t="s">
        <v>6501</v>
      </c>
      <c r="U76" s="64">
        <f t="shared" si="63"/>
        <v>0.9567680528728677</v>
      </c>
      <c r="W76" s="198">
        <f t="shared" si="64"/>
        <v>1114970</v>
      </c>
      <c r="X76" s="106">
        <f t="shared" si="65"/>
        <v>1066767.6759116612</v>
      </c>
      <c r="Y76" s="106"/>
      <c r="Z76" s="64">
        <f t="shared" si="70"/>
        <v>0.95676805287286759</v>
      </c>
      <c r="AB76" s="112">
        <v>847926</v>
      </c>
      <c r="AC76" s="57" t="s">
        <v>6502</v>
      </c>
      <c r="AD76" s="106">
        <f t="shared" si="71"/>
        <v>811268.50800027908</v>
      </c>
      <c r="AE76" s="66"/>
      <c r="AG76" s="117">
        <f t="shared" si="72"/>
        <v>1114970</v>
      </c>
      <c r="AH76" s="244"/>
      <c r="AI76" s="1122" t="s">
        <v>6501</v>
      </c>
      <c r="AJ76" s="64">
        <f t="shared" si="79"/>
        <v>0</v>
      </c>
      <c r="AL76" s="198">
        <v>847926</v>
      </c>
      <c r="AM76" s="106"/>
      <c r="AN76" s="106" t="s">
        <v>6502</v>
      </c>
      <c r="AO76" s="64">
        <f t="shared" si="73"/>
        <v>1</v>
      </c>
      <c r="AQ76" s="112">
        <v>847926</v>
      </c>
      <c r="AR76" s="57" t="s">
        <v>6503</v>
      </c>
      <c r="AS76" s="106"/>
      <c r="AT76" s="66"/>
      <c r="AV76" s="112">
        <v>847926</v>
      </c>
      <c r="AW76" s="106"/>
      <c r="AX76" s="106" t="s">
        <v>6502</v>
      </c>
      <c r="AY76" s="64">
        <f t="shared" si="74"/>
        <v>1</v>
      </c>
      <c r="BA76" s="262">
        <f t="shared" si="75"/>
        <v>847926</v>
      </c>
      <c r="BB76" s="57" t="s">
        <v>6503</v>
      </c>
      <c r="BC76" s="106"/>
      <c r="BD76" s="66"/>
      <c r="BE76" s="26" t="s">
        <v>6506</v>
      </c>
      <c r="BF76" s="112">
        <v>940570</v>
      </c>
      <c r="BG76" s="244"/>
      <c r="BH76" s="57" t="s">
        <v>6505</v>
      </c>
      <c r="BI76" s="476"/>
      <c r="BK76" s="112">
        <v>1132049</v>
      </c>
      <c r="BL76" s="57" t="s">
        <v>6505</v>
      </c>
      <c r="BM76" s="244"/>
      <c r="BN76" s="66"/>
      <c r="BQ76" s="112">
        <v>0</v>
      </c>
      <c r="BR76" s="57"/>
      <c r="BS76" s="244"/>
      <c r="BT76" s="66"/>
      <c r="BW76" s="26" t="s">
        <v>6506</v>
      </c>
    </row>
    <row r="77" spans="1:75" x14ac:dyDescent="0.35">
      <c r="A77" s="9168"/>
      <c r="B77" s="240"/>
      <c r="C77" s="240"/>
      <c r="D77" s="197"/>
      <c r="F77" s="3966"/>
      <c r="H77" s="3951"/>
      <c r="I77" s="1351"/>
      <c r="J77" s="64"/>
      <c r="L77" s="117"/>
      <c r="M77" s="157"/>
      <c r="O77" s="117"/>
      <c r="P77" s="157"/>
      <c r="R77" s="117">
        <v>1585482</v>
      </c>
      <c r="S77" s="244">
        <v>0</v>
      </c>
      <c r="T77" s="1122" t="s">
        <v>6501</v>
      </c>
      <c r="U77" s="64">
        <f t="shared" si="63"/>
        <v>0</v>
      </c>
      <c r="W77" s="4068">
        <f t="shared" ref="W77:W96" si="83">R77</f>
        <v>1585482</v>
      </c>
      <c r="X77" s="106">
        <f t="shared" si="65"/>
        <v>0</v>
      </c>
      <c r="Y77" s="106"/>
      <c r="Z77" s="64">
        <f t="shared" si="70"/>
        <v>1</v>
      </c>
      <c r="AB77" s="112">
        <v>1305216</v>
      </c>
      <c r="AC77" s="57" t="s">
        <v>6507</v>
      </c>
      <c r="AD77" s="106">
        <f t="shared" si="71"/>
        <v>1305216</v>
      </c>
      <c r="AE77" s="66"/>
      <c r="AG77" s="117">
        <f t="shared" si="72"/>
        <v>1585482</v>
      </c>
      <c r="AH77" s="244"/>
      <c r="AI77" s="1122" t="s">
        <v>6501</v>
      </c>
      <c r="AJ77" s="64">
        <f t="shared" si="79"/>
        <v>0</v>
      </c>
      <c r="AL77" s="4068">
        <v>1305216</v>
      </c>
      <c r="AM77" s="106"/>
      <c r="AN77" s="106" t="s">
        <v>6507</v>
      </c>
      <c r="AO77" s="64">
        <f t="shared" si="73"/>
        <v>1</v>
      </c>
      <c r="AQ77" s="112">
        <v>1305216</v>
      </c>
      <c r="AR77" s="57" t="s">
        <v>6508</v>
      </c>
      <c r="AS77" s="106"/>
      <c r="AT77" s="66"/>
      <c r="AV77" s="112">
        <v>1305216</v>
      </c>
      <c r="AW77" s="106"/>
      <c r="AX77" s="106" t="s">
        <v>6507</v>
      </c>
      <c r="AY77" s="64">
        <f t="shared" si="74"/>
        <v>1</v>
      </c>
      <c r="BA77" s="262">
        <f t="shared" si="75"/>
        <v>1305216</v>
      </c>
      <c r="BB77" s="57" t="s">
        <v>6508</v>
      </c>
      <c r="BC77" s="106"/>
      <c r="BD77" s="66"/>
      <c r="BE77" s="26" t="s">
        <v>6509</v>
      </c>
      <c r="BF77" s="112">
        <v>1447840</v>
      </c>
      <c r="BG77" s="244"/>
      <c r="BH77" s="57" t="s">
        <v>6510</v>
      </c>
      <c r="BI77" s="476"/>
      <c r="BK77" s="112">
        <v>1771256</v>
      </c>
      <c r="BL77" s="57" t="s">
        <v>6510</v>
      </c>
      <c r="BM77" s="244"/>
      <c r="BN77" s="66"/>
      <c r="BQ77" s="112">
        <v>0</v>
      </c>
      <c r="BR77" s="57"/>
      <c r="BS77" s="244"/>
      <c r="BT77" s="66"/>
      <c r="BW77" s="26" t="s">
        <v>6509</v>
      </c>
    </row>
    <row r="78" spans="1:75" x14ac:dyDescent="0.35">
      <c r="A78" s="9168"/>
      <c r="B78" s="240"/>
      <c r="C78" s="240"/>
      <c r="D78" s="197"/>
      <c r="F78" s="3966"/>
      <c r="H78" s="3951"/>
      <c r="I78" s="1351"/>
      <c r="J78" s="64"/>
      <c r="L78" s="117"/>
      <c r="M78" s="157"/>
      <c r="O78" s="117"/>
      <c r="P78" s="157"/>
      <c r="R78" s="117">
        <v>1133545</v>
      </c>
      <c r="S78" s="244">
        <v>1127091</v>
      </c>
      <c r="T78" s="1122" t="s">
        <v>6511</v>
      </c>
      <c r="U78" s="64">
        <f t="shared" si="63"/>
        <v>0.994306357489116</v>
      </c>
      <c r="W78" s="4068">
        <f t="shared" si="83"/>
        <v>1133545</v>
      </c>
      <c r="X78" s="106">
        <f t="shared" si="65"/>
        <v>1127091</v>
      </c>
      <c r="Y78" s="106"/>
      <c r="Z78" s="64">
        <f t="shared" si="70"/>
        <v>0.994306357489116</v>
      </c>
      <c r="AB78" s="112">
        <v>893416</v>
      </c>
      <c r="AC78" s="57" t="s">
        <v>6512</v>
      </c>
      <c r="AD78" s="106">
        <f t="shared" si="71"/>
        <v>888329.2086824961</v>
      </c>
      <c r="AE78" s="66"/>
      <c r="AG78" s="117">
        <f t="shared" si="72"/>
        <v>1133545</v>
      </c>
      <c r="AH78" s="244"/>
      <c r="AI78" s="1122" t="s">
        <v>6511</v>
      </c>
      <c r="AJ78" s="64">
        <f t="shared" si="79"/>
        <v>0</v>
      </c>
      <c r="AL78" s="4068">
        <v>893416</v>
      </c>
      <c r="AM78" s="106"/>
      <c r="AN78" s="106" t="s">
        <v>6512</v>
      </c>
      <c r="AO78" s="64">
        <f t="shared" si="73"/>
        <v>1</v>
      </c>
      <c r="AQ78" s="112">
        <v>893416</v>
      </c>
      <c r="AR78" s="57" t="s">
        <v>6505</v>
      </c>
      <c r="AS78" s="106"/>
      <c r="AT78" s="66"/>
      <c r="AV78" s="112">
        <v>893416</v>
      </c>
      <c r="AW78" s="106"/>
      <c r="AX78" s="106" t="s">
        <v>6512</v>
      </c>
      <c r="AY78" s="64">
        <f t="shared" si="74"/>
        <v>1</v>
      </c>
      <c r="BA78" s="262">
        <f t="shared" si="75"/>
        <v>893416</v>
      </c>
      <c r="BB78" s="57" t="s">
        <v>6505</v>
      </c>
      <c r="BC78" s="106"/>
      <c r="BD78" s="66"/>
      <c r="BE78" s="26" t="s">
        <v>6513</v>
      </c>
      <c r="BF78" s="112">
        <v>1553780</v>
      </c>
      <c r="BG78" s="244"/>
      <c r="BH78" s="57" t="s">
        <v>6514</v>
      </c>
      <c r="BI78" s="476"/>
      <c r="BK78" s="112">
        <v>2649416</v>
      </c>
      <c r="BL78" s="57" t="s">
        <v>6514</v>
      </c>
      <c r="BM78" s="244"/>
      <c r="BN78" s="66"/>
      <c r="BQ78" s="112">
        <v>0</v>
      </c>
      <c r="BR78" s="57"/>
      <c r="BS78" s="244"/>
      <c r="BT78" s="66"/>
      <c r="BW78" s="26" t="s">
        <v>6513</v>
      </c>
    </row>
    <row r="79" spans="1:75" x14ac:dyDescent="0.35">
      <c r="A79" s="9168"/>
      <c r="B79" s="240"/>
      <c r="C79" s="240"/>
      <c r="D79" s="197"/>
      <c r="F79" s="3966"/>
      <c r="H79" s="3951"/>
      <c r="I79" s="1351"/>
      <c r="J79" s="64"/>
      <c r="L79" s="117"/>
      <c r="M79" s="157"/>
      <c r="O79" s="117"/>
      <c r="P79" s="157"/>
      <c r="R79" s="117">
        <v>1074275</v>
      </c>
      <c r="S79" s="244">
        <v>1074275</v>
      </c>
      <c r="T79" s="1122" t="s">
        <v>6511</v>
      </c>
      <c r="U79" s="64">
        <f t="shared" si="63"/>
        <v>1</v>
      </c>
      <c r="W79" s="4068">
        <f t="shared" si="83"/>
        <v>1074275</v>
      </c>
      <c r="X79" s="106">
        <f t="shared" si="65"/>
        <v>1074275</v>
      </c>
      <c r="Y79" s="106"/>
      <c r="Z79" s="64">
        <f t="shared" si="70"/>
        <v>1</v>
      </c>
      <c r="AB79" s="112">
        <v>846699</v>
      </c>
      <c r="AC79" s="57" t="s">
        <v>6512</v>
      </c>
      <c r="AD79" s="106">
        <f t="shared" si="71"/>
        <v>846699</v>
      </c>
      <c r="AE79" s="66"/>
      <c r="AG79" s="117">
        <f t="shared" si="72"/>
        <v>1074275</v>
      </c>
      <c r="AH79" s="244"/>
      <c r="AI79" s="1122" t="s">
        <v>6511</v>
      </c>
      <c r="AJ79" s="64">
        <f t="shared" si="79"/>
        <v>0</v>
      </c>
      <c r="AL79" s="4068">
        <v>846699</v>
      </c>
      <c r="AM79" s="106"/>
      <c r="AN79" s="106" t="s">
        <v>6512</v>
      </c>
      <c r="AO79" s="64">
        <f t="shared" si="73"/>
        <v>1</v>
      </c>
      <c r="AQ79" s="112">
        <v>846699</v>
      </c>
      <c r="AR79" s="57" t="s">
        <v>6505</v>
      </c>
      <c r="AS79" s="106"/>
      <c r="AT79" s="66"/>
      <c r="AV79" s="112">
        <v>846699</v>
      </c>
      <c r="AW79" s="106"/>
      <c r="AX79" s="106" t="s">
        <v>6512</v>
      </c>
      <c r="AY79" s="64">
        <f t="shared" si="74"/>
        <v>1</v>
      </c>
      <c r="BA79" s="262">
        <f t="shared" si="75"/>
        <v>846699</v>
      </c>
      <c r="BB79" s="57" t="s">
        <v>6505</v>
      </c>
      <c r="BC79" s="106"/>
      <c r="BD79" s="66"/>
      <c r="BE79" s="26" t="s">
        <v>6515</v>
      </c>
      <c r="BF79" s="112">
        <v>1239210</v>
      </c>
      <c r="BG79" s="244"/>
      <c r="BH79" s="57" t="s">
        <v>6514</v>
      </c>
      <c r="BI79" s="476"/>
      <c r="BK79" s="112">
        <v>1209710</v>
      </c>
      <c r="BL79" s="57" t="s">
        <v>6514</v>
      </c>
      <c r="BM79" s="244"/>
      <c r="BN79" s="66"/>
      <c r="BQ79" s="112">
        <v>0</v>
      </c>
      <c r="BR79" s="57"/>
      <c r="BS79" s="244"/>
      <c r="BT79" s="66"/>
      <c r="BW79" s="26" t="s">
        <v>6515</v>
      </c>
    </row>
    <row r="80" spans="1:75" x14ac:dyDescent="0.35">
      <c r="A80" s="9168"/>
      <c r="B80" s="240"/>
      <c r="C80" s="240"/>
      <c r="D80" s="197"/>
      <c r="F80" s="3966"/>
      <c r="H80" s="3951"/>
      <c r="I80" s="1351"/>
      <c r="J80" s="64"/>
      <c r="L80" s="117"/>
      <c r="M80" s="157"/>
      <c r="O80" s="117"/>
      <c r="P80" s="157"/>
      <c r="R80" s="117"/>
      <c r="S80" s="244"/>
      <c r="T80" s="1122"/>
      <c r="U80" s="64"/>
      <c r="W80" s="4068"/>
      <c r="X80" s="106"/>
      <c r="Y80" s="106"/>
      <c r="Z80" s="64"/>
      <c r="AB80" s="112"/>
      <c r="AC80" s="57"/>
      <c r="AD80" s="106"/>
      <c r="AE80" s="66"/>
      <c r="AG80" s="117"/>
      <c r="AH80" s="244"/>
      <c r="AI80" s="1122"/>
      <c r="AJ80" s="64"/>
      <c r="AL80" s="4068"/>
      <c r="AM80" s="106"/>
      <c r="AN80" s="106"/>
      <c r="AO80" s="64"/>
      <c r="AQ80" s="112"/>
      <c r="AR80" s="57"/>
      <c r="AS80" s="106"/>
      <c r="AT80" s="66"/>
      <c r="AV80" s="112"/>
      <c r="AW80" s="106"/>
      <c r="AX80" s="106"/>
      <c r="AY80" s="64"/>
      <c r="BA80" s="262"/>
      <c r="BB80" s="57"/>
      <c r="BC80" s="106"/>
      <c r="BD80" s="66"/>
      <c r="BE80" s="26"/>
      <c r="BF80" s="112">
        <v>589360</v>
      </c>
      <c r="BG80" s="244"/>
      <c r="BH80" s="57" t="s">
        <v>6481</v>
      </c>
      <c r="BI80" s="476"/>
      <c r="BK80" s="112">
        <v>1126077</v>
      </c>
      <c r="BL80" s="57" t="s">
        <v>6481</v>
      </c>
      <c r="BM80" s="244"/>
      <c r="BN80" s="66"/>
      <c r="BQ80" s="112">
        <v>0</v>
      </c>
      <c r="BR80" s="57"/>
      <c r="BS80" s="244"/>
      <c r="BT80" s="66"/>
      <c r="BW80" s="26" t="s">
        <v>6516</v>
      </c>
    </row>
    <row r="81" spans="1:75" x14ac:dyDescent="0.35">
      <c r="A81" s="9168"/>
      <c r="B81" s="240"/>
      <c r="C81" s="240"/>
      <c r="D81" s="197"/>
      <c r="F81" s="3966"/>
      <c r="H81" s="3951"/>
      <c r="I81" s="1351"/>
      <c r="J81" s="64"/>
      <c r="L81" s="117"/>
      <c r="M81" s="157"/>
      <c r="O81" s="117"/>
      <c r="P81" s="157"/>
      <c r="R81" s="117"/>
      <c r="S81" s="244"/>
      <c r="T81" s="1122"/>
      <c r="U81" s="64"/>
      <c r="W81" s="4068"/>
      <c r="X81" s="106"/>
      <c r="Y81" s="106"/>
      <c r="Z81" s="64"/>
      <c r="AB81" s="112"/>
      <c r="AC81" s="57"/>
      <c r="AD81" s="106"/>
      <c r="AE81" s="66"/>
      <c r="AG81" s="117"/>
      <c r="AH81" s="244"/>
      <c r="AI81" s="1122"/>
      <c r="AJ81" s="64"/>
      <c r="AL81" s="4068"/>
      <c r="AM81" s="106"/>
      <c r="AN81" s="106"/>
      <c r="AO81" s="64"/>
      <c r="AQ81" s="112"/>
      <c r="AR81" s="57"/>
      <c r="AS81" s="106"/>
      <c r="AT81" s="66"/>
      <c r="AV81" s="112"/>
      <c r="AW81" s="106"/>
      <c r="AX81" s="106"/>
      <c r="AY81" s="64"/>
      <c r="BA81" s="262"/>
      <c r="BB81" s="57"/>
      <c r="BC81" s="106"/>
      <c r="BD81" s="66"/>
      <c r="BE81" s="26"/>
      <c r="BF81" s="112">
        <v>453040</v>
      </c>
      <c r="BG81" s="244"/>
      <c r="BH81" s="57" t="s">
        <v>6517</v>
      </c>
      <c r="BI81" s="476"/>
      <c r="BK81" s="112">
        <v>987682</v>
      </c>
      <c r="BL81" s="57" t="s">
        <v>6517</v>
      </c>
      <c r="BM81" s="244"/>
      <c r="BN81" s="66"/>
      <c r="BQ81" s="112">
        <v>0</v>
      </c>
      <c r="BR81" s="57"/>
      <c r="BS81" s="244"/>
      <c r="BT81" s="66"/>
      <c r="BW81" s="26" t="s">
        <v>6518</v>
      </c>
    </row>
    <row r="82" spans="1:75" x14ac:dyDescent="0.35">
      <c r="A82" s="9168"/>
      <c r="B82" s="240"/>
      <c r="C82" s="240"/>
      <c r="D82" s="197"/>
      <c r="F82" s="3966"/>
      <c r="H82" s="3951"/>
      <c r="I82" s="1351"/>
      <c r="J82" s="64"/>
      <c r="L82" s="117"/>
      <c r="M82" s="157"/>
      <c r="O82" s="117"/>
      <c r="P82" s="157"/>
      <c r="R82" s="117"/>
      <c r="S82" s="244"/>
      <c r="T82" s="1122"/>
      <c r="U82" s="64"/>
      <c r="W82" s="4068"/>
      <c r="X82" s="106"/>
      <c r="Y82" s="106"/>
      <c r="Z82" s="64"/>
      <c r="AB82" s="112"/>
      <c r="AC82" s="57"/>
      <c r="AD82" s="106"/>
      <c r="AE82" s="66"/>
      <c r="AG82" s="117"/>
      <c r="AH82" s="244"/>
      <c r="AI82" s="1122"/>
      <c r="AJ82" s="64"/>
      <c r="AL82" s="4068"/>
      <c r="AM82" s="106"/>
      <c r="AN82" s="106"/>
      <c r="AO82" s="64"/>
      <c r="AQ82" s="112"/>
      <c r="AR82" s="57"/>
      <c r="AS82" s="106"/>
      <c r="AT82" s="66"/>
      <c r="AV82" s="112"/>
      <c r="AW82" s="106"/>
      <c r="AX82" s="106"/>
      <c r="AY82" s="64"/>
      <c r="BA82" s="262"/>
      <c r="BB82" s="57"/>
      <c r="BC82" s="106"/>
      <c r="BD82" s="66"/>
      <c r="BE82" s="26"/>
      <c r="BF82" s="112">
        <v>0</v>
      </c>
      <c r="BG82" s="244"/>
      <c r="BH82" s="57" t="s">
        <v>6517</v>
      </c>
      <c r="BI82" s="476"/>
      <c r="BK82" s="112">
        <v>597388</v>
      </c>
      <c r="BL82" s="57" t="s">
        <v>6517</v>
      </c>
      <c r="BM82" s="244"/>
      <c r="BN82" s="66"/>
      <c r="BQ82" s="112">
        <v>0</v>
      </c>
      <c r="BR82" s="57"/>
      <c r="BS82" s="244"/>
      <c r="BT82" s="66"/>
      <c r="BW82" s="26" t="s">
        <v>6519</v>
      </c>
    </row>
    <row r="83" spans="1:75" x14ac:dyDescent="0.35">
      <c r="A83" s="9168"/>
      <c r="B83" s="240"/>
      <c r="C83" s="240"/>
      <c r="D83" s="197"/>
      <c r="F83" s="3966"/>
      <c r="H83" s="3951"/>
      <c r="I83" s="1351"/>
      <c r="J83" s="64"/>
      <c r="L83" s="117"/>
      <c r="M83" s="157"/>
      <c r="O83" s="117"/>
      <c r="P83" s="157"/>
      <c r="R83" s="117"/>
      <c r="S83" s="244"/>
      <c r="T83" s="1122"/>
      <c r="U83" s="64"/>
      <c r="W83" s="4068"/>
      <c r="X83" s="106"/>
      <c r="Y83" s="106"/>
      <c r="Z83" s="64"/>
      <c r="AB83" s="112"/>
      <c r="AC83" s="57"/>
      <c r="AD83" s="106"/>
      <c r="AE83" s="66"/>
      <c r="AG83" s="117"/>
      <c r="AH83" s="244"/>
      <c r="AI83" s="1122"/>
      <c r="AJ83" s="64"/>
      <c r="AL83" s="4068"/>
      <c r="AM83" s="106"/>
      <c r="AN83" s="106"/>
      <c r="AO83" s="64"/>
      <c r="AQ83" s="112"/>
      <c r="AR83" s="57"/>
      <c r="AS83" s="106"/>
      <c r="AT83" s="66"/>
      <c r="AV83" s="112"/>
      <c r="AW83" s="106"/>
      <c r="AX83" s="106"/>
      <c r="AY83" s="64"/>
      <c r="BA83" s="262"/>
      <c r="BB83" s="57"/>
      <c r="BC83" s="106"/>
      <c r="BD83" s="66"/>
      <c r="BE83" s="26"/>
      <c r="BF83" s="112">
        <v>0</v>
      </c>
      <c r="BG83" s="244"/>
      <c r="BH83" s="57" t="s">
        <v>6520</v>
      </c>
      <c r="BI83" s="476"/>
      <c r="BK83" s="112">
        <v>597388</v>
      </c>
      <c r="BL83" s="57" t="s">
        <v>6520</v>
      </c>
      <c r="BM83" s="244"/>
      <c r="BN83" s="66"/>
      <c r="BQ83" s="112">
        <v>0</v>
      </c>
      <c r="BR83" s="57"/>
      <c r="BS83" s="244"/>
      <c r="BT83" s="66"/>
      <c r="BW83" s="26" t="s">
        <v>6521</v>
      </c>
    </row>
    <row r="84" spans="1:75" x14ac:dyDescent="0.35">
      <c r="A84" s="9168"/>
      <c r="B84" s="240"/>
      <c r="C84" s="240"/>
      <c r="D84" s="197"/>
      <c r="F84" s="3966"/>
      <c r="H84" s="3951"/>
      <c r="I84" s="1351"/>
      <c r="J84" s="64"/>
      <c r="L84" s="117"/>
      <c r="M84" s="157"/>
      <c r="O84" s="117"/>
      <c r="P84" s="157"/>
      <c r="R84" s="117">
        <v>844603</v>
      </c>
      <c r="S84" s="244">
        <v>844597</v>
      </c>
      <c r="T84" s="1122" t="s">
        <v>6522</v>
      </c>
      <c r="U84" s="64">
        <f t="shared" si="63"/>
        <v>0.9999928960706983</v>
      </c>
      <c r="W84" s="4068">
        <f t="shared" si="83"/>
        <v>844603</v>
      </c>
      <c r="X84" s="106">
        <f t="shared" si="65"/>
        <v>844597</v>
      </c>
      <c r="Y84" s="106"/>
      <c r="Z84" s="64">
        <f t="shared" si="70"/>
        <v>0.9999928960706983</v>
      </c>
      <c r="AB84" s="112">
        <v>665685</v>
      </c>
      <c r="AC84" s="57" t="s">
        <v>6523</v>
      </c>
      <c r="AD84" s="106">
        <f t="shared" si="71"/>
        <v>665680.27102082281</v>
      </c>
      <c r="AE84" s="66"/>
      <c r="AG84" s="117">
        <f t="shared" si="72"/>
        <v>844603</v>
      </c>
      <c r="AH84" s="244"/>
      <c r="AI84" s="1122" t="s">
        <v>6522</v>
      </c>
      <c r="AJ84" s="64">
        <f t="shared" si="79"/>
        <v>0</v>
      </c>
      <c r="AL84" s="4068">
        <v>665685</v>
      </c>
      <c r="AM84" s="106"/>
      <c r="AN84" s="106" t="s">
        <v>6523</v>
      </c>
      <c r="AO84" s="64">
        <f t="shared" si="73"/>
        <v>1</v>
      </c>
      <c r="AQ84" s="112">
        <v>665685</v>
      </c>
      <c r="AR84" s="57" t="s">
        <v>6524</v>
      </c>
      <c r="AS84" s="106"/>
      <c r="AT84" s="66"/>
      <c r="AV84" s="112">
        <v>665685</v>
      </c>
      <c r="AW84" s="106"/>
      <c r="AX84" s="106" t="s">
        <v>6523</v>
      </c>
      <c r="AY84" s="64">
        <f t="shared" si="74"/>
        <v>1</v>
      </c>
      <c r="BA84" s="262">
        <f t="shared" si="75"/>
        <v>665685</v>
      </c>
      <c r="BB84" s="57" t="s">
        <v>6524</v>
      </c>
      <c r="BC84" s="106"/>
      <c r="BD84" s="66"/>
      <c r="BE84" s="26" t="s">
        <v>6525</v>
      </c>
      <c r="BF84" s="112">
        <v>738420</v>
      </c>
      <c r="BG84" s="244"/>
      <c r="BH84" s="57" t="s">
        <v>6526</v>
      </c>
      <c r="BI84" s="476"/>
      <c r="BK84" s="112">
        <v>118802</v>
      </c>
      <c r="BL84" s="57" t="s">
        <v>6526</v>
      </c>
      <c r="BM84" s="244"/>
      <c r="BN84" s="66"/>
      <c r="BQ84" s="112">
        <v>0</v>
      </c>
      <c r="BR84" s="57"/>
      <c r="BS84" s="244"/>
      <c r="BT84" s="66"/>
      <c r="BW84" s="26" t="s">
        <v>6525</v>
      </c>
    </row>
    <row r="85" spans="1:75" x14ac:dyDescent="0.35">
      <c r="A85" s="9168"/>
      <c r="B85" s="240"/>
      <c r="C85" s="240"/>
      <c r="D85" s="197"/>
      <c r="F85" s="3966"/>
      <c r="H85" s="3951"/>
      <c r="I85" s="1351"/>
      <c r="J85" s="64"/>
      <c r="L85" s="117"/>
      <c r="M85" s="157"/>
      <c r="O85" s="117"/>
      <c r="P85" s="157"/>
      <c r="R85" s="117">
        <v>1659572</v>
      </c>
      <c r="S85" s="244">
        <v>1643781</v>
      </c>
      <c r="T85" s="1122" t="s">
        <v>6522</v>
      </c>
      <c r="U85" s="64">
        <f t="shared" si="63"/>
        <v>0.99048489610574297</v>
      </c>
      <c r="W85" s="4068">
        <f t="shared" si="83"/>
        <v>1659572</v>
      </c>
      <c r="X85" s="106">
        <f t="shared" si="65"/>
        <v>1643781</v>
      </c>
      <c r="Y85" s="106"/>
      <c r="Z85" s="64">
        <f t="shared" si="70"/>
        <v>0.99048489610574297</v>
      </c>
      <c r="AB85" s="112">
        <v>1308013</v>
      </c>
      <c r="AC85" s="57" t="s">
        <v>6523</v>
      </c>
      <c r="AD85" s="106">
        <f t="shared" si="71"/>
        <v>1295567.1204099611</v>
      </c>
      <c r="AE85" s="66"/>
      <c r="AG85" s="117">
        <f t="shared" si="72"/>
        <v>1659572</v>
      </c>
      <c r="AH85" s="244"/>
      <c r="AI85" s="1122" t="s">
        <v>6522</v>
      </c>
      <c r="AJ85" s="64">
        <f t="shared" si="79"/>
        <v>0</v>
      </c>
      <c r="AL85" s="4068">
        <v>1308013</v>
      </c>
      <c r="AM85" s="106"/>
      <c r="AN85" s="106" t="s">
        <v>6523</v>
      </c>
      <c r="AO85" s="64">
        <f t="shared" si="73"/>
        <v>1</v>
      </c>
      <c r="AQ85" s="112">
        <v>1308013</v>
      </c>
      <c r="AR85" s="57" t="s">
        <v>6524</v>
      </c>
      <c r="AS85" s="106"/>
      <c r="AT85" s="66"/>
      <c r="AV85" s="112">
        <v>1308013</v>
      </c>
      <c r="AW85" s="106"/>
      <c r="AX85" s="106" t="s">
        <v>6523</v>
      </c>
      <c r="AY85" s="64">
        <f t="shared" si="74"/>
        <v>1</v>
      </c>
      <c r="BA85" s="262">
        <f t="shared" si="75"/>
        <v>1308013</v>
      </c>
      <c r="BB85" s="57" t="s">
        <v>6524</v>
      </c>
      <c r="BC85" s="106"/>
      <c r="BD85" s="66"/>
      <c r="BE85" s="26" t="s">
        <v>6527</v>
      </c>
      <c r="BF85" s="112">
        <v>1450920</v>
      </c>
      <c r="BG85" s="244"/>
      <c r="BH85" s="57" t="s">
        <v>6526</v>
      </c>
      <c r="BI85" s="476"/>
      <c r="BK85" s="112">
        <v>1705541</v>
      </c>
      <c r="BL85" s="57" t="s">
        <v>6526</v>
      </c>
      <c r="BM85" s="244"/>
      <c r="BN85" s="66"/>
      <c r="BQ85" s="112">
        <v>0</v>
      </c>
      <c r="BR85" s="57"/>
      <c r="BS85" s="244"/>
      <c r="BT85" s="66"/>
      <c r="BW85" s="26" t="s">
        <v>6527</v>
      </c>
    </row>
    <row r="86" spans="1:75" x14ac:dyDescent="0.35">
      <c r="A86" s="9168"/>
      <c r="B86" s="240"/>
      <c r="C86" s="240"/>
      <c r="D86" s="197"/>
      <c r="F86" s="3966"/>
      <c r="H86" s="3951"/>
      <c r="I86" s="1351"/>
      <c r="J86" s="64"/>
      <c r="L86" s="117"/>
      <c r="M86" s="157"/>
      <c r="O86" s="117"/>
      <c r="P86" s="157"/>
      <c r="R86" s="117">
        <v>722302</v>
      </c>
      <c r="S86" s="244">
        <v>722300</v>
      </c>
      <c r="T86" s="1122" t="s">
        <v>6522</v>
      </c>
      <c r="U86" s="64">
        <f t="shared" si="63"/>
        <v>0.99999723107509042</v>
      </c>
      <c r="W86" s="4068">
        <f t="shared" si="83"/>
        <v>722302</v>
      </c>
      <c r="X86" s="106">
        <f t="shared" si="65"/>
        <v>722300</v>
      </c>
      <c r="Y86" s="106"/>
      <c r="Z86" s="64">
        <f t="shared" si="70"/>
        <v>0.99999723107509042</v>
      </c>
      <c r="AB86" s="112">
        <v>569291</v>
      </c>
      <c r="AC86" s="57" t="s">
        <v>6528</v>
      </c>
      <c r="AD86" s="106">
        <f t="shared" si="71"/>
        <v>569289.42367596924</v>
      </c>
      <c r="AE86" s="66"/>
      <c r="AG86" s="117">
        <f t="shared" si="72"/>
        <v>722302</v>
      </c>
      <c r="AH86" s="244"/>
      <c r="AI86" s="1122" t="s">
        <v>6522</v>
      </c>
      <c r="AJ86" s="64">
        <f t="shared" si="79"/>
        <v>0</v>
      </c>
      <c r="AL86" s="4068">
        <v>569291</v>
      </c>
      <c r="AM86" s="106"/>
      <c r="AN86" s="106" t="s">
        <v>6528</v>
      </c>
      <c r="AO86" s="64">
        <f t="shared" si="73"/>
        <v>1</v>
      </c>
      <c r="AQ86" s="112">
        <v>569291</v>
      </c>
      <c r="AR86" s="57" t="s">
        <v>6529</v>
      </c>
      <c r="AS86" s="106"/>
      <c r="AT86" s="66"/>
      <c r="AV86" s="112">
        <v>569291</v>
      </c>
      <c r="AW86" s="106"/>
      <c r="AX86" s="106" t="s">
        <v>6528</v>
      </c>
      <c r="AY86" s="64">
        <f t="shared" si="74"/>
        <v>1</v>
      </c>
      <c r="BA86" s="262">
        <f t="shared" si="75"/>
        <v>569291</v>
      </c>
      <c r="BB86" s="57" t="s">
        <v>6529</v>
      </c>
      <c r="BC86" s="106"/>
      <c r="BD86" s="66"/>
      <c r="BE86" s="26" t="s">
        <v>6530</v>
      </c>
      <c r="BF86" s="112">
        <v>631490</v>
      </c>
      <c r="BG86" s="244"/>
      <c r="BH86" s="57" t="s">
        <v>6531</v>
      </c>
      <c r="BI86" s="476"/>
      <c r="BK86" s="112">
        <v>890108</v>
      </c>
      <c r="BL86" s="57" t="s">
        <v>6531</v>
      </c>
      <c r="BM86" s="244"/>
      <c r="BN86" s="66"/>
      <c r="BQ86" s="112">
        <v>0</v>
      </c>
      <c r="BR86" s="57"/>
      <c r="BS86" s="244"/>
      <c r="BT86" s="66"/>
      <c r="BW86" s="26" t="s">
        <v>6530</v>
      </c>
    </row>
    <row r="87" spans="1:75" x14ac:dyDescent="0.35">
      <c r="A87" s="9168"/>
      <c r="B87" s="240"/>
      <c r="C87" s="240"/>
      <c r="D87" s="197"/>
      <c r="F87" s="3966"/>
      <c r="H87" s="3951"/>
      <c r="I87" s="1351"/>
      <c r="J87" s="64"/>
      <c r="L87" s="117"/>
      <c r="M87" s="157"/>
      <c r="O87" s="117"/>
      <c r="P87" s="157"/>
      <c r="R87" s="117">
        <v>0</v>
      </c>
      <c r="S87" s="244">
        <v>0</v>
      </c>
      <c r="T87" s="1122" t="s">
        <v>6532</v>
      </c>
      <c r="U87" s="64"/>
      <c r="W87" s="4068">
        <f t="shared" si="83"/>
        <v>0</v>
      </c>
      <c r="X87" s="106">
        <f t="shared" si="65"/>
        <v>0</v>
      </c>
      <c r="Y87" s="106"/>
      <c r="Z87" s="64">
        <f t="shared" si="70"/>
        <v>1</v>
      </c>
      <c r="AB87" s="112">
        <v>1212157</v>
      </c>
      <c r="AC87" s="57" t="s">
        <v>6533</v>
      </c>
      <c r="AD87" s="106">
        <f t="shared" si="71"/>
        <v>1212157</v>
      </c>
      <c r="AE87" s="66"/>
      <c r="AG87" s="117">
        <f t="shared" si="72"/>
        <v>0</v>
      </c>
      <c r="AH87" s="244"/>
      <c r="AI87" s="1122" t="s">
        <v>6532</v>
      </c>
      <c r="AJ87" s="64"/>
      <c r="AL87" s="4068">
        <v>1212157</v>
      </c>
      <c r="AM87" s="106"/>
      <c r="AN87" s="106" t="s">
        <v>6533</v>
      </c>
      <c r="AO87" s="64">
        <f t="shared" si="73"/>
        <v>1</v>
      </c>
      <c r="AQ87" s="112">
        <v>1121157</v>
      </c>
      <c r="AR87" s="57" t="s">
        <v>6534</v>
      </c>
      <c r="AS87" s="106"/>
      <c r="AT87" s="66"/>
      <c r="AV87" s="112">
        <v>1121157</v>
      </c>
      <c r="AW87" s="106"/>
      <c r="AX87" s="106" t="s">
        <v>6533</v>
      </c>
      <c r="AY87" s="64">
        <f t="shared" si="74"/>
        <v>1</v>
      </c>
      <c r="BA87" s="262">
        <f t="shared" si="75"/>
        <v>1121157</v>
      </c>
      <c r="BB87" s="57" t="s">
        <v>6534</v>
      </c>
      <c r="BC87" s="106"/>
      <c r="BD87" s="66"/>
      <c r="BE87" s="26" t="s">
        <v>6535</v>
      </c>
      <c r="BF87" s="112">
        <v>1656690</v>
      </c>
      <c r="BG87" s="244"/>
      <c r="BH87" s="57" t="s">
        <v>6536</v>
      </c>
      <c r="BI87" s="476"/>
      <c r="BK87" s="112">
        <v>2440333</v>
      </c>
      <c r="BL87" s="57" t="s">
        <v>6536</v>
      </c>
      <c r="BM87" s="244"/>
      <c r="BN87" s="66"/>
      <c r="BQ87" s="112">
        <v>0</v>
      </c>
      <c r="BR87" s="57"/>
      <c r="BS87" s="244"/>
      <c r="BT87" s="66"/>
      <c r="BW87" s="26" t="s">
        <v>6535</v>
      </c>
    </row>
    <row r="88" spans="1:75" x14ac:dyDescent="0.35">
      <c r="A88" s="9168"/>
      <c r="B88" s="240"/>
      <c r="C88" s="240"/>
      <c r="D88" s="197"/>
      <c r="F88" s="3966"/>
      <c r="H88" s="3951"/>
      <c r="I88" s="1351"/>
      <c r="J88" s="64"/>
      <c r="L88" s="117"/>
      <c r="M88" s="157"/>
      <c r="O88" s="117"/>
      <c r="P88" s="157"/>
      <c r="R88" s="117"/>
      <c r="S88" s="244"/>
      <c r="T88" s="1122"/>
      <c r="U88" s="64"/>
      <c r="W88" s="4068"/>
      <c r="X88" s="106"/>
      <c r="Y88" s="106"/>
      <c r="Z88" s="64"/>
      <c r="AB88" s="112"/>
      <c r="AC88" s="57"/>
      <c r="AD88" s="106"/>
      <c r="AE88" s="66"/>
      <c r="AG88" s="117"/>
      <c r="AH88" s="244"/>
      <c r="AI88" s="1122"/>
      <c r="AJ88" s="64"/>
      <c r="AL88" s="4068"/>
      <c r="AM88" s="106"/>
      <c r="AN88" s="106"/>
      <c r="AO88" s="64"/>
      <c r="AQ88" s="112"/>
      <c r="AR88" s="57"/>
      <c r="AS88" s="106"/>
      <c r="AT88" s="66"/>
      <c r="AV88" s="112"/>
      <c r="AW88" s="106"/>
      <c r="AX88" s="106"/>
      <c r="AY88" s="64"/>
      <c r="BA88" s="262"/>
      <c r="BB88" s="57"/>
      <c r="BC88" s="106"/>
      <c r="BD88" s="66"/>
      <c r="BE88" s="26"/>
      <c r="BF88" s="112">
        <v>1906840</v>
      </c>
      <c r="BG88" s="244"/>
      <c r="BH88" s="57" t="s">
        <v>6536</v>
      </c>
      <c r="BI88" s="476"/>
      <c r="BK88" s="112">
        <v>2133673</v>
      </c>
      <c r="BL88" s="57" t="s">
        <v>6536</v>
      </c>
      <c r="BM88" s="244"/>
      <c r="BN88" s="66"/>
      <c r="BQ88" s="112">
        <v>0</v>
      </c>
      <c r="BR88" s="57"/>
      <c r="BS88" s="244"/>
      <c r="BT88" s="66"/>
      <c r="BW88" s="26" t="s">
        <v>6537</v>
      </c>
    </row>
    <row r="89" spans="1:75" x14ac:dyDescent="0.35">
      <c r="A89" s="9168"/>
      <c r="B89" s="240"/>
      <c r="C89" s="240"/>
      <c r="D89" s="197"/>
      <c r="F89" s="3966"/>
      <c r="H89" s="3951"/>
      <c r="I89" s="1351"/>
      <c r="J89" s="64"/>
      <c r="L89" s="117"/>
      <c r="M89" s="157"/>
      <c r="O89" s="117"/>
      <c r="P89" s="157"/>
      <c r="R89" s="117">
        <v>1466942</v>
      </c>
      <c r="S89" s="244">
        <v>990195</v>
      </c>
      <c r="T89" s="1122" t="s">
        <v>6538</v>
      </c>
      <c r="U89" s="64">
        <f t="shared" si="63"/>
        <v>0.67500623746542121</v>
      </c>
      <c r="W89" s="4068">
        <f t="shared" si="83"/>
        <v>1466942</v>
      </c>
      <c r="X89" s="106">
        <f t="shared" si="65"/>
        <v>990194.99999999988</v>
      </c>
      <c r="Y89" s="106"/>
      <c r="Z89" s="64">
        <f t="shared" si="70"/>
        <v>0.67500623746542121</v>
      </c>
      <c r="AB89" s="112">
        <v>1243576</v>
      </c>
      <c r="AC89" s="57" t="s">
        <v>6539</v>
      </c>
      <c r="AD89" s="106">
        <f t="shared" si="71"/>
        <v>839421.55676229869</v>
      </c>
      <c r="AE89" s="66"/>
      <c r="AG89" s="117">
        <f t="shared" si="72"/>
        <v>1466942</v>
      </c>
      <c r="AH89" s="244"/>
      <c r="AI89" s="1122" t="s">
        <v>6538</v>
      </c>
      <c r="AJ89" s="64">
        <f t="shared" ref="AJ89:AJ98" si="84">AH89/AG89</f>
        <v>0</v>
      </c>
      <c r="AL89" s="4068">
        <v>1243576</v>
      </c>
      <c r="AM89" s="106"/>
      <c r="AN89" s="106" t="s">
        <v>6539</v>
      </c>
      <c r="AO89" s="64">
        <f t="shared" si="73"/>
        <v>1</v>
      </c>
      <c r="AQ89" s="112">
        <v>1243676</v>
      </c>
      <c r="AR89" s="57" t="s">
        <v>6540</v>
      </c>
      <c r="AS89" s="106"/>
      <c r="AT89" s="66"/>
      <c r="AV89" s="112">
        <v>1243676</v>
      </c>
      <c r="AW89" s="106"/>
      <c r="AX89" s="106" t="s">
        <v>6539</v>
      </c>
      <c r="AY89" s="64">
        <f t="shared" si="74"/>
        <v>1</v>
      </c>
      <c r="BA89" s="262">
        <f t="shared" si="75"/>
        <v>1243676</v>
      </c>
      <c r="BB89" s="57" t="s">
        <v>6540</v>
      </c>
      <c r="BC89" s="106"/>
      <c r="BD89" s="66"/>
      <c r="BE89" s="26" t="s">
        <v>6541</v>
      </c>
      <c r="BF89" s="112">
        <v>1379460</v>
      </c>
      <c r="BG89" s="244"/>
      <c r="BH89" s="57" t="s">
        <v>6542</v>
      </c>
      <c r="BI89" s="476"/>
      <c r="BK89" s="112">
        <v>916677</v>
      </c>
      <c r="BL89" s="57" t="s">
        <v>6542</v>
      </c>
      <c r="BM89" s="244"/>
      <c r="BN89" s="66"/>
      <c r="BQ89" s="112">
        <v>0</v>
      </c>
      <c r="BR89" s="57"/>
      <c r="BS89" s="244"/>
      <c r="BT89" s="66"/>
      <c r="BW89" s="26" t="s">
        <v>6541</v>
      </c>
    </row>
    <row r="90" spans="1:75" x14ac:dyDescent="0.35">
      <c r="A90" s="9168"/>
      <c r="B90" s="240"/>
      <c r="C90" s="240"/>
      <c r="D90" s="197"/>
      <c r="F90" s="3966"/>
      <c r="H90" s="3951"/>
      <c r="I90" s="1351"/>
      <c r="J90" s="64"/>
      <c r="L90" s="117"/>
      <c r="M90" s="157"/>
      <c r="O90" s="117"/>
      <c r="P90" s="157"/>
      <c r="R90" s="117">
        <v>1585485</v>
      </c>
      <c r="S90" s="244">
        <v>721189</v>
      </c>
      <c r="T90" s="1122" t="s">
        <v>6543</v>
      </c>
      <c r="U90" s="64">
        <f t="shared" si="63"/>
        <v>0.45486964556586784</v>
      </c>
      <c r="W90" s="4068">
        <f t="shared" si="83"/>
        <v>1585485</v>
      </c>
      <c r="X90" s="106">
        <f t="shared" si="65"/>
        <v>721189</v>
      </c>
      <c r="Y90" s="106"/>
      <c r="Z90" s="64">
        <f t="shared" si="70"/>
        <v>0.45486964556586784</v>
      </c>
      <c r="AB90" s="112">
        <v>1257216</v>
      </c>
      <c r="AC90" s="57" t="s">
        <v>6539</v>
      </c>
      <c r="AD90" s="106">
        <f t="shared" si="71"/>
        <v>571869.39631973812</v>
      </c>
      <c r="AE90" s="66"/>
      <c r="AG90" s="117">
        <f t="shared" si="72"/>
        <v>1585485</v>
      </c>
      <c r="AH90" s="244"/>
      <c r="AI90" s="1122" t="s">
        <v>6543</v>
      </c>
      <c r="AJ90" s="64">
        <f t="shared" si="84"/>
        <v>0</v>
      </c>
      <c r="AL90" s="4068">
        <v>1257216</v>
      </c>
      <c r="AM90" s="106"/>
      <c r="AN90" s="106" t="s">
        <v>6539</v>
      </c>
      <c r="AO90" s="64">
        <f t="shared" si="73"/>
        <v>1</v>
      </c>
      <c r="AQ90" s="112">
        <v>1257216</v>
      </c>
      <c r="AR90" s="57" t="s">
        <v>6540</v>
      </c>
      <c r="AS90" s="106"/>
      <c r="AT90" s="66"/>
      <c r="AV90" s="112">
        <v>1257216</v>
      </c>
      <c r="AW90" s="106"/>
      <c r="AX90" s="106" t="s">
        <v>6539</v>
      </c>
      <c r="AY90" s="64">
        <f t="shared" si="74"/>
        <v>1</v>
      </c>
      <c r="BA90" s="262">
        <f t="shared" si="75"/>
        <v>1257216</v>
      </c>
      <c r="BB90" s="57" t="s">
        <v>6540</v>
      </c>
      <c r="BC90" s="106"/>
      <c r="BD90" s="66"/>
      <c r="BE90" s="26" t="s">
        <v>6544</v>
      </c>
      <c r="BF90" s="112">
        <v>1551340</v>
      </c>
      <c r="BG90" s="244"/>
      <c r="BH90" s="57" t="s">
        <v>6542</v>
      </c>
      <c r="BI90" s="476"/>
      <c r="BK90" s="112">
        <v>1764288</v>
      </c>
      <c r="BL90" s="57" t="s">
        <v>6542</v>
      </c>
      <c r="BM90" s="244"/>
      <c r="BN90" s="66"/>
      <c r="BQ90" s="112">
        <v>0</v>
      </c>
      <c r="BR90" s="57"/>
      <c r="BS90" s="244"/>
      <c r="BT90" s="66"/>
      <c r="BW90" s="26" t="s">
        <v>6544</v>
      </c>
    </row>
    <row r="91" spans="1:75" x14ac:dyDescent="0.35">
      <c r="A91" s="9168"/>
      <c r="B91" s="240"/>
      <c r="C91" s="240"/>
      <c r="D91" s="197"/>
      <c r="F91" s="3966"/>
      <c r="H91" s="3951"/>
      <c r="I91" s="1351"/>
      <c r="J91" s="64"/>
      <c r="L91" s="117"/>
      <c r="M91" s="157"/>
      <c r="O91" s="117"/>
      <c r="P91" s="157"/>
      <c r="R91" s="117">
        <v>777925</v>
      </c>
      <c r="S91" s="244">
        <v>437732</v>
      </c>
      <c r="T91" s="1122" t="s">
        <v>6543</v>
      </c>
      <c r="U91" s="64">
        <f t="shared" si="63"/>
        <v>0.56269177619950506</v>
      </c>
      <c r="W91" s="4068">
        <f t="shared" si="83"/>
        <v>777925</v>
      </c>
      <c r="X91" s="106">
        <f t="shared" si="65"/>
        <v>437731.99999999994</v>
      </c>
      <c r="Y91" s="106"/>
      <c r="Z91" s="64">
        <f t="shared" si="70"/>
        <v>0.56269177619950506</v>
      </c>
      <c r="AB91" s="112">
        <v>613133</v>
      </c>
      <c r="AC91" s="57" t="s">
        <v>6545</v>
      </c>
      <c r="AD91" s="106">
        <f t="shared" si="71"/>
        <v>345004.89681653114</v>
      </c>
      <c r="AE91" s="66"/>
      <c r="AG91" s="117">
        <f t="shared" si="72"/>
        <v>777925</v>
      </c>
      <c r="AH91" s="244"/>
      <c r="AI91" s="1122" t="s">
        <v>6543</v>
      </c>
      <c r="AJ91" s="64">
        <f t="shared" si="84"/>
        <v>0</v>
      </c>
      <c r="AL91" s="4068">
        <v>613133</v>
      </c>
      <c r="AM91" s="106"/>
      <c r="AN91" s="106" t="s">
        <v>6545</v>
      </c>
      <c r="AO91" s="64">
        <f t="shared" si="73"/>
        <v>1</v>
      </c>
      <c r="AQ91" s="112">
        <v>613133</v>
      </c>
      <c r="AR91" s="57" t="s">
        <v>6546</v>
      </c>
      <c r="AS91" s="106"/>
      <c r="AT91" s="66"/>
      <c r="AV91" s="112">
        <v>613133</v>
      </c>
      <c r="AW91" s="106"/>
      <c r="AX91" s="106" t="s">
        <v>6545</v>
      </c>
      <c r="AY91" s="64">
        <f t="shared" si="74"/>
        <v>1</v>
      </c>
      <c r="BA91" s="262">
        <f t="shared" si="75"/>
        <v>613133</v>
      </c>
      <c r="BB91" s="57" t="s">
        <v>6546</v>
      </c>
      <c r="BC91" s="106"/>
      <c r="BD91" s="66"/>
      <c r="BE91" s="26" t="s">
        <v>6547</v>
      </c>
      <c r="BF91" s="112">
        <v>680120</v>
      </c>
      <c r="BG91" s="244"/>
      <c r="BH91" s="57" t="s">
        <v>6548</v>
      </c>
      <c r="BI91" s="476"/>
      <c r="BK91" s="112">
        <v>854266</v>
      </c>
      <c r="BL91" s="57" t="s">
        <v>6548</v>
      </c>
      <c r="BM91" s="244"/>
      <c r="BN91" s="66"/>
      <c r="BQ91" s="112">
        <v>0</v>
      </c>
      <c r="BR91" s="57"/>
      <c r="BS91" s="244"/>
      <c r="BT91" s="66"/>
      <c r="BW91" s="26" t="s">
        <v>6547</v>
      </c>
    </row>
    <row r="92" spans="1:75" x14ac:dyDescent="0.35">
      <c r="A92" s="9168"/>
      <c r="B92" s="240"/>
      <c r="C92" s="240"/>
      <c r="D92" s="197"/>
      <c r="F92" s="3966"/>
      <c r="H92" s="3951"/>
      <c r="I92" s="1351"/>
      <c r="J92" s="64"/>
      <c r="L92" s="117"/>
      <c r="M92" s="157"/>
      <c r="O92" s="117"/>
      <c r="P92" s="157"/>
      <c r="R92" s="117">
        <v>1081684</v>
      </c>
      <c r="S92" s="244">
        <v>18923</v>
      </c>
      <c r="T92" s="1122" t="s">
        <v>6543</v>
      </c>
      <c r="U92" s="64">
        <f t="shared" si="63"/>
        <v>1.7494018585834679E-2</v>
      </c>
      <c r="W92" s="4068">
        <f t="shared" si="83"/>
        <v>1081684</v>
      </c>
      <c r="X92" s="106">
        <f t="shared" si="65"/>
        <v>18923</v>
      </c>
      <c r="Y92" s="106"/>
      <c r="Z92" s="64">
        <f t="shared" si="70"/>
        <v>1.7494018585834679E-2</v>
      </c>
      <c r="AB92" s="112">
        <v>852543</v>
      </c>
      <c r="AC92" s="57" t="s">
        <v>6545</v>
      </c>
      <c r="AD92" s="106">
        <f t="shared" si="71"/>
        <v>14914.403087223254</v>
      </c>
      <c r="AE92" s="66"/>
      <c r="AG92" s="117">
        <f t="shared" si="72"/>
        <v>1081684</v>
      </c>
      <c r="AH92" s="244"/>
      <c r="AI92" s="1122" t="s">
        <v>6543</v>
      </c>
      <c r="AJ92" s="64">
        <f t="shared" si="84"/>
        <v>0</v>
      </c>
      <c r="AL92" s="4068">
        <v>852543</v>
      </c>
      <c r="AM92" s="106"/>
      <c r="AN92" s="106" t="s">
        <v>6545</v>
      </c>
      <c r="AO92" s="64">
        <f t="shared" si="73"/>
        <v>1</v>
      </c>
      <c r="AQ92" s="112">
        <v>852543</v>
      </c>
      <c r="AR92" s="57" t="s">
        <v>6546</v>
      </c>
      <c r="AS92" s="106"/>
      <c r="AT92" s="66"/>
      <c r="AV92" s="112">
        <v>852543</v>
      </c>
      <c r="AW92" s="106"/>
      <c r="AX92" s="106" t="s">
        <v>6545</v>
      </c>
      <c r="AY92" s="64">
        <f t="shared" si="74"/>
        <v>1</v>
      </c>
      <c r="BA92" s="262">
        <f t="shared" si="75"/>
        <v>852543</v>
      </c>
      <c r="BB92" s="57" t="s">
        <v>6546</v>
      </c>
      <c r="BC92" s="106"/>
      <c r="BD92" s="66"/>
      <c r="BE92" s="26" t="s">
        <v>6549</v>
      </c>
      <c r="BF92" s="112">
        <v>945670</v>
      </c>
      <c r="BG92" s="244"/>
      <c r="BH92" s="57" t="s">
        <v>6548</v>
      </c>
      <c r="BI92" s="476"/>
      <c r="BK92" s="112">
        <v>704918</v>
      </c>
      <c r="BL92" s="57" t="s">
        <v>6548</v>
      </c>
      <c r="BM92" s="244"/>
      <c r="BN92" s="66"/>
      <c r="BQ92" s="112">
        <v>0</v>
      </c>
      <c r="BR92" s="57"/>
      <c r="BS92" s="244"/>
      <c r="BT92" s="66"/>
      <c r="BW92" s="26" t="s">
        <v>6549</v>
      </c>
    </row>
    <row r="93" spans="1:75" x14ac:dyDescent="0.35">
      <c r="A93" s="9168"/>
      <c r="B93" s="240"/>
      <c r="C93" s="240"/>
      <c r="D93" s="197"/>
      <c r="F93" s="3966"/>
      <c r="H93" s="3951"/>
      <c r="I93" s="1351"/>
      <c r="J93" s="64"/>
      <c r="L93" s="117"/>
      <c r="M93" s="157"/>
      <c r="O93" s="117"/>
      <c r="P93" s="157"/>
      <c r="R93" s="117"/>
      <c r="S93" s="244"/>
      <c r="T93" s="1122"/>
      <c r="U93" s="64"/>
      <c r="W93" s="4068"/>
      <c r="X93" s="106"/>
      <c r="Y93" s="106"/>
      <c r="Z93" s="64"/>
      <c r="AB93" s="112"/>
      <c r="AC93" s="57"/>
      <c r="AD93" s="106"/>
      <c r="AE93" s="66"/>
      <c r="AG93" s="117"/>
      <c r="AH93" s="244"/>
      <c r="AI93" s="1122"/>
      <c r="AJ93" s="64"/>
      <c r="AL93" s="4068"/>
      <c r="AM93" s="106"/>
      <c r="AN93" s="106"/>
      <c r="AO93" s="64"/>
      <c r="AQ93" s="112"/>
      <c r="AR93" s="57"/>
      <c r="AS93" s="106"/>
      <c r="AT93" s="66"/>
      <c r="AV93" s="112"/>
      <c r="AW93" s="106"/>
      <c r="AX93" s="106"/>
      <c r="AY93" s="64"/>
      <c r="BA93" s="262"/>
      <c r="BB93" s="57"/>
      <c r="BC93" s="106"/>
      <c r="BD93" s="66"/>
      <c r="BE93" s="26"/>
      <c r="BF93" s="112">
        <v>0</v>
      </c>
      <c r="BG93" s="244"/>
      <c r="BH93" s="57" t="s">
        <v>6550</v>
      </c>
      <c r="BI93" s="476"/>
      <c r="BK93" s="112">
        <v>597388</v>
      </c>
      <c r="BL93" s="57" t="s">
        <v>6550</v>
      </c>
      <c r="BM93" s="244"/>
      <c r="BN93" s="66"/>
      <c r="BQ93" s="112">
        <v>0</v>
      </c>
      <c r="BR93" s="57"/>
      <c r="BS93" s="244"/>
      <c r="BT93" s="66"/>
      <c r="BW93" s="26" t="s">
        <v>6551</v>
      </c>
    </row>
    <row r="94" spans="1:75" x14ac:dyDescent="0.35">
      <c r="A94" s="9168"/>
      <c r="B94" s="240"/>
      <c r="C94" s="240"/>
      <c r="D94" s="197"/>
      <c r="F94" s="3966"/>
      <c r="H94" s="3951"/>
      <c r="I94" s="1351"/>
      <c r="J94" s="64"/>
      <c r="L94" s="117"/>
      <c r="M94" s="157"/>
      <c r="O94" s="117"/>
      <c r="P94" s="157"/>
      <c r="R94" s="117">
        <v>1222454</v>
      </c>
      <c r="S94" s="244">
        <v>1217153</v>
      </c>
      <c r="T94" s="1122" t="s">
        <v>6552</v>
      </c>
      <c r="U94" s="64">
        <f t="shared" si="63"/>
        <v>0.99566364051326262</v>
      </c>
      <c r="W94" s="4068">
        <f t="shared" si="83"/>
        <v>1222454</v>
      </c>
      <c r="X94" s="106">
        <f t="shared" si="65"/>
        <v>1217153</v>
      </c>
      <c r="Y94" s="106"/>
      <c r="Z94" s="64">
        <f t="shared" si="70"/>
        <v>0.99566364051326262</v>
      </c>
      <c r="AB94" s="112">
        <v>978690</v>
      </c>
      <c r="AC94" s="57" t="s">
        <v>6553</v>
      </c>
      <c r="AD94" s="106">
        <f t="shared" si="71"/>
        <v>974446.04833392496</v>
      </c>
      <c r="AE94" s="66"/>
      <c r="AG94" s="117">
        <f t="shared" si="72"/>
        <v>1222454</v>
      </c>
      <c r="AH94" s="244"/>
      <c r="AI94" s="1122" t="s">
        <v>6552</v>
      </c>
      <c r="AJ94" s="64">
        <f t="shared" si="84"/>
        <v>0</v>
      </c>
      <c r="AL94" s="4068">
        <v>978690</v>
      </c>
      <c r="AM94" s="106"/>
      <c r="AN94" s="106" t="s">
        <v>6553</v>
      </c>
      <c r="AO94" s="64">
        <f t="shared" si="73"/>
        <v>1</v>
      </c>
      <c r="AQ94" s="112">
        <v>978690</v>
      </c>
      <c r="AR94" s="57" t="s">
        <v>6554</v>
      </c>
      <c r="AS94" s="106"/>
      <c r="AT94" s="66"/>
      <c r="AV94" s="112">
        <v>978690</v>
      </c>
      <c r="AW94" s="106"/>
      <c r="AX94" s="106" t="s">
        <v>6553</v>
      </c>
      <c r="AY94" s="64">
        <f t="shared" si="74"/>
        <v>1</v>
      </c>
      <c r="BA94" s="262">
        <f t="shared" si="75"/>
        <v>978690</v>
      </c>
      <c r="BB94" s="57" t="s">
        <v>6554</v>
      </c>
      <c r="BC94" s="106"/>
      <c r="BD94" s="66"/>
      <c r="BE94" s="26" t="s">
        <v>6555</v>
      </c>
      <c r="BF94" s="112">
        <v>1085610</v>
      </c>
      <c r="BG94" s="244"/>
      <c r="BH94" s="57" t="s">
        <v>6554</v>
      </c>
      <c r="BI94" s="476"/>
      <c r="BK94" s="112">
        <v>1430744</v>
      </c>
      <c r="BL94" s="57" t="s">
        <v>6554</v>
      </c>
      <c r="BM94" s="244"/>
      <c r="BN94" s="66"/>
      <c r="BQ94" s="112">
        <v>0</v>
      </c>
      <c r="BR94" s="57"/>
      <c r="BS94" s="244"/>
      <c r="BT94" s="66"/>
      <c r="BW94" s="26" t="s">
        <v>6555</v>
      </c>
    </row>
    <row r="95" spans="1:75" x14ac:dyDescent="0.35">
      <c r="A95" s="9168"/>
      <c r="B95" s="240"/>
      <c r="C95" s="240"/>
      <c r="D95" s="197"/>
      <c r="F95" s="3966"/>
      <c r="H95" s="3951"/>
      <c r="I95" s="1351"/>
      <c r="J95" s="64"/>
      <c r="L95" s="117"/>
      <c r="M95" s="157"/>
      <c r="O95" s="117"/>
      <c r="P95" s="157"/>
      <c r="R95" s="117"/>
      <c r="S95" s="244"/>
      <c r="T95" s="1122"/>
      <c r="U95" s="64"/>
      <c r="W95" s="4068"/>
      <c r="X95" s="106"/>
      <c r="Y95" s="106"/>
      <c r="Z95" s="64"/>
      <c r="AB95" s="112"/>
      <c r="AC95" s="57"/>
      <c r="AD95" s="106"/>
      <c r="AE95" s="66"/>
      <c r="AG95" s="117"/>
      <c r="AH95" s="244"/>
      <c r="AI95" s="1122"/>
      <c r="AJ95" s="64"/>
      <c r="AL95" s="4068"/>
      <c r="AM95" s="106"/>
      <c r="AN95" s="106"/>
      <c r="AO95" s="64"/>
      <c r="AQ95" s="112"/>
      <c r="AR95" s="57"/>
      <c r="AS95" s="106"/>
      <c r="AT95" s="66"/>
      <c r="AV95" s="112"/>
      <c r="AW95" s="106"/>
      <c r="AX95" s="106"/>
      <c r="AY95" s="64"/>
      <c r="BA95" s="262"/>
      <c r="BB95" s="57"/>
      <c r="BC95" s="106"/>
      <c r="BD95" s="66"/>
      <c r="BE95" s="26"/>
      <c r="BF95" s="112">
        <v>453040</v>
      </c>
      <c r="BG95" s="244"/>
      <c r="BH95" s="57" t="s">
        <v>6556</v>
      </c>
      <c r="BI95" s="476"/>
      <c r="BK95" s="112">
        <v>495833</v>
      </c>
      <c r="BL95" s="57" t="s">
        <v>6556</v>
      </c>
      <c r="BM95" s="244"/>
      <c r="BN95" s="66"/>
      <c r="BQ95" s="112">
        <v>0</v>
      </c>
      <c r="BR95" s="57"/>
      <c r="BS95" s="244"/>
      <c r="BT95" s="66"/>
      <c r="BW95" s="26" t="s">
        <v>6557</v>
      </c>
    </row>
    <row r="96" spans="1:75" x14ac:dyDescent="0.35">
      <c r="A96" s="9168"/>
      <c r="B96" s="240"/>
      <c r="C96" s="240"/>
      <c r="D96" s="197"/>
      <c r="F96" s="3966"/>
      <c r="H96" s="3951"/>
      <c r="I96" s="1351"/>
      <c r="J96" s="64"/>
      <c r="L96" s="117"/>
      <c r="M96" s="157"/>
      <c r="O96" s="117"/>
      <c r="P96" s="157"/>
      <c r="R96" s="117">
        <v>881645</v>
      </c>
      <c r="S96" s="244">
        <v>590849</v>
      </c>
      <c r="T96" s="1122" t="s">
        <v>6558</v>
      </c>
      <c r="U96" s="64">
        <f t="shared" si="63"/>
        <v>0.67016656363956018</v>
      </c>
      <c r="W96" s="4068">
        <f t="shared" si="83"/>
        <v>881645</v>
      </c>
      <c r="X96" s="106">
        <f t="shared" si="65"/>
        <v>590849</v>
      </c>
      <c r="Y96" s="106"/>
      <c r="Z96" s="64">
        <f t="shared" si="70"/>
        <v>0.67016656363956018</v>
      </c>
      <c r="AB96" s="112">
        <v>694877</v>
      </c>
      <c r="AC96" s="57" t="s">
        <v>6559</v>
      </c>
      <c r="AD96" s="106">
        <f t="shared" si="71"/>
        <v>465683.33124216663</v>
      </c>
      <c r="AE96" s="66"/>
      <c r="AG96" s="117">
        <f t="shared" si="72"/>
        <v>881645</v>
      </c>
      <c r="AH96" s="244"/>
      <c r="AI96" s="1122" t="s">
        <v>6558</v>
      </c>
      <c r="AJ96" s="64">
        <f t="shared" si="84"/>
        <v>0</v>
      </c>
      <c r="AL96" s="4068">
        <v>694877</v>
      </c>
      <c r="AM96" s="106"/>
      <c r="AN96" s="106" t="s">
        <v>6559</v>
      </c>
      <c r="AO96" s="64">
        <f t="shared" si="73"/>
        <v>1</v>
      </c>
      <c r="AQ96" s="112">
        <v>694877</v>
      </c>
      <c r="AR96" s="57" t="s">
        <v>6560</v>
      </c>
      <c r="AS96" s="106"/>
      <c r="AT96" s="66"/>
      <c r="AV96" s="112">
        <v>694877</v>
      </c>
      <c r="AW96" s="106"/>
      <c r="AX96" s="106" t="s">
        <v>6559</v>
      </c>
      <c r="AY96" s="64">
        <f t="shared" si="74"/>
        <v>1</v>
      </c>
      <c r="BA96" s="262">
        <f t="shared" si="75"/>
        <v>694877</v>
      </c>
      <c r="BB96" s="57" t="s">
        <v>6560</v>
      </c>
      <c r="BC96" s="106"/>
      <c r="BD96" s="66"/>
      <c r="BE96" s="26" t="s">
        <v>6561</v>
      </c>
      <c r="BF96" s="112">
        <v>770800</v>
      </c>
      <c r="BG96" s="244"/>
      <c r="BH96" s="57" t="s">
        <v>6562</v>
      </c>
      <c r="BI96" s="476"/>
      <c r="BK96" s="112">
        <v>1362043</v>
      </c>
      <c r="BL96" s="57" t="s">
        <v>6562</v>
      </c>
      <c r="BM96" s="244"/>
      <c r="BN96" s="66"/>
      <c r="BQ96" s="112">
        <v>0</v>
      </c>
      <c r="BR96" s="57"/>
      <c r="BS96" s="244"/>
      <c r="BT96" s="66"/>
      <c r="BW96" s="26" t="s">
        <v>6561</v>
      </c>
    </row>
    <row r="97" spans="1:75" x14ac:dyDescent="0.35">
      <c r="A97" s="9168"/>
      <c r="B97" s="240"/>
      <c r="C97" s="240"/>
      <c r="D97" s="197">
        <v>16</v>
      </c>
      <c r="F97" s="3966">
        <f t="shared" si="81"/>
        <v>1170233817.6694052</v>
      </c>
      <c r="H97" s="3951">
        <f t="shared" si="82"/>
        <v>2313836.2866056287</v>
      </c>
      <c r="I97" s="1351">
        <f>H97*SUM($I$55:$I$60)/SUM($H$55:$H$60)</f>
        <v>1803778.9736472946</v>
      </c>
      <c r="J97" s="64">
        <f t="shared" si="67"/>
        <v>0.77956205635162623</v>
      </c>
      <c r="L97" s="117">
        <v>3541409</v>
      </c>
      <c r="M97" s="157">
        <f t="shared" si="68"/>
        <v>2760748.0824221564</v>
      </c>
      <c r="O97" s="117">
        <v>4175562</v>
      </c>
      <c r="P97" s="157">
        <f t="shared" si="69"/>
        <v>3255109.6991437091</v>
      </c>
      <c r="R97" s="117">
        <v>3541409</v>
      </c>
      <c r="S97" s="4072">
        <v>2967627</v>
      </c>
      <c r="T97" s="1122" t="s">
        <v>1278</v>
      </c>
      <c r="U97" s="64">
        <f t="shared" si="63"/>
        <v>0.83797917721449289</v>
      </c>
      <c r="W97" s="198">
        <f t="shared" si="64"/>
        <v>4175562</v>
      </c>
      <c r="X97" s="106">
        <f t="shared" si="65"/>
        <v>3499034.0091681024</v>
      </c>
      <c r="Y97" s="57"/>
      <c r="Z97" s="64">
        <f t="shared" si="70"/>
        <v>0.83797917721449289</v>
      </c>
      <c r="AB97" s="112">
        <v>3170905</v>
      </c>
      <c r="AC97" s="57" t="s">
        <v>6478</v>
      </c>
      <c r="AD97" s="106">
        <f t="shared" si="71"/>
        <v>2657152.3629253218</v>
      </c>
      <c r="AE97" s="237"/>
      <c r="AG97" s="117">
        <f t="shared" si="72"/>
        <v>4175562</v>
      </c>
      <c r="AH97" s="4072"/>
      <c r="AI97" s="1122" t="s">
        <v>1278</v>
      </c>
      <c r="AJ97" s="64">
        <f t="shared" si="84"/>
        <v>0</v>
      </c>
      <c r="AL97" s="198">
        <v>3170905</v>
      </c>
      <c r="AM97" s="106"/>
      <c r="AN97" s="57" t="s">
        <v>6478</v>
      </c>
      <c r="AO97" s="64">
        <f t="shared" si="73"/>
        <v>1</v>
      </c>
      <c r="AQ97" s="112">
        <v>3170905</v>
      </c>
      <c r="AR97" s="57" t="s">
        <v>6479</v>
      </c>
      <c r="AS97" s="106"/>
      <c r="AT97" s="237"/>
      <c r="AV97" s="112">
        <v>3170905</v>
      </c>
      <c r="AW97" s="106"/>
      <c r="AX97" s="57" t="s">
        <v>6478</v>
      </c>
      <c r="AY97" s="64">
        <f t="shared" si="74"/>
        <v>1</v>
      </c>
      <c r="BA97" s="262">
        <f t="shared" si="75"/>
        <v>3170905</v>
      </c>
      <c r="BB97" s="57" t="s">
        <v>6479</v>
      </c>
      <c r="BC97" s="106"/>
      <c r="BD97" s="237"/>
      <c r="BE97" s="26" t="s">
        <v>6563</v>
      </c>
      <c r="BF97" s="112">
        <v>3517360</v>
      </c>
      <c r="BG97" s="244"/>
      <c r="BH97" s="57" t="s">
        <v>6481</v>
      </c>
      <c r="BI97" s="476"/>
      <c r="BK97" s="112">
        <v>5728058</v>
      </c>
      <c r="BL97" s="57" t="s">
        <v>6481</v>
      </c>
      <c r="BM97" s="244"/>
      <c r="BN97" s="237"/>
      <c r="BQ97" s="112">
        <v>0</v>
      </c>
      <c r="BR97" s="57" t="s">
        <v>6482</v>
      </c>
      <c r="BS97" s="244"/>
      <c r="BT97" s="237"/>
      <c r="BW97" s="26" t="s">
        <v>6563</v>
      </c>
    </row>
    <row r="98" spans="1:75" x14ac:dyDescent="0.35">
      <c r="A98" s="9168"/>
      <c r="B98" s="241"/>
      <c r="C98" s="240"/>
      <c r="D98" s="197"/>
      <c r="F98" s="3966"/>
      <c r="H98" s="3951"/>
      <c r="I98" s="1351"/>
      <c r="J98" s="64"/>
      <c r="L98" s="117"/>
      <c r="M98" s="157"/>
      <c r="O98" s="242"/>
      <c r="P98" s="157"/>
      <c r="R98" s="117">
        <v>895556</v>
      </c>
      <c r="S98" s="4069">
        <v>846551</v>
      </c>
      <c r="T98" s="1122" t="s">
        <v>1278</v>
      </c>
      <c r="U98" s="64">
        <f t="shared" si="63"/>
        <v>0.9452798038313629</v>
      </c>
      <c r="W98" s="198"/>
      <c r="X98" s="106"/>
      <c r="Y98" s="57"/>
      <c r="Z98" s="64">
        <f t="shared" si="70"/>
        <v>1</v>
      </c>
      <c r="AB98" s="112">
        <v>705844</v>
      </c>
      <c r="AC98" s="57" t="s">
        <v>6478</v>
      </c>
      <c r="AD98" s="106">
        <f t="shared" si="71"/>
        <v>705844</v>
      </c>
      <c r="AE98" s="237"/>
      <c r="AG98" s="117">
        <f t="shared" si="72"/>
        <v>0</v>
      </c>
      <c r="AH98" s="4069"/>
      <c r="AI98" s="1122" t="s">
        <v>1278</v>
      </c>
      <c r="AJ98" s="64" t="e">
        <f t="shared" si="84"/>
        <v>#DIV/0!</v>
      </c>
      <c r="AL98" s="198">
        <v>705844</v>
      </c>
      <c r="AM98" s="106"/>
      <c r="AN98" s="57" t="s">
        <v>6478</v>
      </c>
      <c r="AO98" s="64">
        <f t="shared" si="73"/>
        <v>1</v>
      </c>
      <c r="AQ98" s="112">
        <v>705844</v>
      </c>
      <c r="AR98" s="57" t="s">
        <v>6479</v>
      </c>
      <c r="AS98" s="106"/>
      <c r="AT98" s="237"/>
      <c r="AV98" s="112">
        <v>705844</v>
      </c>
      <c r="AW98" s="106"/>
      <c r="AX98" s="57" t="s">
        <v>6478</v>
      </c>
      <c r="AY98" s="64">
        <f t="shared" si="74"/>
        <v>1</v>
      </c>
      <c r="BA98" s="262">
        <f t="shared" si="75"/>
        <v>705844</v>
      </c>
      <c r="BB98" s="57" t="s">
        <v>6479</v>
      </c>
      <c r="BC98" s="106"/>
      <c r="BD98" s="237"/>
      <c r="BE98" s="26" t="s">
        <v>6564</v>
      </c>
      <c r="BF98" s="112">
        <v>782960</v>
      </c>
      <c r="BG98" s="244"/>
      <c r="BH98" s="57" t="s">
        <v>6481</v>
      </c>
      <c r="BI98" s="476"/>
      <c r="BK98" s="112">
        <v>701934</v>
      </c>
      <c r="BL98" s="57" t="s">
        <v>6481</v>
      </c>
      <c r="BM98" s="244"/>
      <c r="BN98" s="237"/>
      <c r="BQ98" s="112">
        <v>0</v>
      </c>
      <c r="BR98" s="57"/>
      <c r="BS98" s="244"/>
      <c r="BT98" s="237"/>
      <c r="BW98" s="26" t="s">
        <v>6564</v>
      </c>
    </row>
    <row r="99" spans="1:75" x14ac:dyDescent="0.35">
      <c r="A99" s="9168"/>
      <c r="B99" s="4073" t="s">
        <v>933</v>
      </c>
      <c r="C99" s="240"/>
      <c r="D99" s="197"/>
      <c r="F99" s="3966"/>
      <c r="H99" s="3951"/>
      <c r="I99" s="1351"/>
      <c r="J99" s="64"/>
      <c r="L99" s="117"/>
      <c r="M99" s="157"/>
      <c r="O99" s="242"/>
      <c r="P99" s="157"/>
      <c r="R99" s="117"/>
      <c r="S99" s="4069"/>
      <c r="T99" s="1122"/>
      <c r="U99" s="64"/>
      <c r="W99" s="198"/>
      <c r="X99" s="106"/>
      <c r="Y99" s="57"/>
      <c r="Z99" s="64">
        <f t="shared" si="70"/>
        <v>1</v>
      </c>
      <c r="AB99" s="112"/>
      <c r="AC99" s="57"/>
      <c r="AD99" s="106">
        <f t="shared" si="71"/>
        <v>0</v>
      </c>
      <c r="AE99" s="237"/>
      <c r="AG99" s="117">
        <f t="shared" si="72"/>
        <v>0</v>
      </c>
      <c r="AH99" s="4069"/>
      <c r="AI99" s="1122"/>
      <c r="AJ99" s="64"/>
      <c r="AL99" s="198"/>
      <c r="AM99" s="106"/>
      <c r="AN99" s="57"/>
      <c r="AO99" s="64">
        <f t="shared" si="73"/>
        <v>1</v>
      </c>
      <c r="AQ99" s="112"/>
      <c r="AR99" s="57"/>
      <c r="AS99" s="106"/>
      <c r="AT99" s="237"/>
      <c r="AV99" s="112"/>
      <c r="AW99" s="106"/>
      <c r="AX99" s="57"/>
      <c r="AY99" s="64">
        <f t="shared" si="74"/>
        <v>1</v>
      </c>
      <c r="BA99" s="262"/>
      <c r="BB99" s="57"/>
      <c r="BC99" s="106"/>
      <c r="BD99" s="237"/>
      <c r="BE99" s="26"/>
      <c r="BF99" s="112"/>
      <c r="BG99" s="244"/>
      <c r="BH99" s="57"/>
      <c r="BI99" s="476"/>
      <c r="BK99" s="112"/>
      <c r="BL99" s="57"/>
      <c r="BM99" s="244"/>
      <c r="BN99" s="237"/>
      <c r="BQ99" s="112"/>
      <c r="BR99" s="57"/>
      <c r="BS99" s="244"/>
      <c r="BT99" s="237"/>
      <c r="BW99" s="26"/>
    </row>
    <row r="100" spans="1:75" x14ac:dyDescent="0.35">
      <c r="A100" s="9168"/>
      <c r="B100" s="241"/>
      <c r="C100" s="240"/>
      <c r="D100" s="197"/>
      <c r="F100" s="3966">
        <f t="shared" si="81"/>
        <v>8172347113.5034323</v>
      </c>
      <c r="H100" s="3951">
        <f t="shared" si="82"/>
        <v>16158713.765100744</v>
      </c>
      <c r="I100" s="1351">
        <f>H100*SUM($I$55:$I$60)/SUM($H$55:$H$60)</f>
        <v>12596720.130719263</v>
      </c>
      <c r="J100" s="64">
        <f t="shared" si="67"/>
        <v>0.77956205635162612</v>
      </c>
      <c r="L100" s="117">
        <v>24731488</v>
      </c>
      <c r="M100" s="157">
        <f t="shared" si="68"/>
        <v>19279729.641915563</v>
      </c>
      <c r="O100" s="242">
        <v>35468575</v>
      </c>
      <c r="P100" s="157">
        <f t="shared" si="69"/>
        <v>27649955.262861878</v>
      </c>
      <c r="R100" s="117"/>
      <c r="S100" s="4069"/>
      <c r="T100" s="1122"/>
      <c r="U100" s="64"/>
      <c r="W100" s="198">
        <f t="shared" si="64"/>
        <v>35468575</v>
      </c>
      <c r="X100" s="106">
        <f t="shared" si="65"/>
        <v>0</v>
      </c>
      <c r="Y100"/>
      <c r="Z100" s="64">
        <f t="shared" si="70"/>
        <v>1</v>
      </c>
      <c r="AB100" s="112">
        <v>39984494</v>
      </c>
      <c r="AC100" s="57" t="s">
        <v>6531</v>
      </c>
      <c r="AD100" s="106">
        <f t="shared" si="71"/>
        <v>39984494</v>
      </c>
      <c r="AE100" s="229"/>
      <c r="AG100" s="117">
        <f t="shared" si="72"/>
        <v>35468575</v>
      </c>
      <c r="AH100" s="4069"/>
      <c r="AI100" s="1122"/>
      <c r="AJ100" s="64"/>
      <c r="AL100" s="198">
        <v>39984494</v>
      </c>
      <c r="AM100" s="106"/>
      <c r="AN100" t="s">
        <v>6531</v>
      </c>
      <c r="AO100" s="64">
        <f t="shared" si="73"/>
        <v>1</v>
      </c>
      <c r="AQ100" s="112">
        <v>18773109</v>
      </c>
      <c r="AR100" s="57" t="s">
        <v>6565</v>
      </c>
      <c r="AS100" s="106"/>
      <c r="AT100" s="229"/>
      <c r="AV100" s="112">
        <v>18773109</v>
      </c>
      <c r="AW100" s="106"/>
      <c r="AX100" t="s">
        <v>6531</v>
      </c>
      <c r="AY100" s="64">
        <f t="shared" si="74"/>
        <v>1</v>
      </c>
      <c r="BA100" s="262">
        <f t="shared" si="75"/>
        <v>18773109</v>
      </c>
      <c r="BB100" s="57" t="s">
        <v>6565</v>
      </c>
      <c r="BC100" s="106"/>
      <c r="BD100" s="229"/>
      <c r="BE100" s="26" t="s">
        <v>6566</v>
      </c>
      <c r="BF100" s="112">
        <v>22262500</v>
      </c>
      <c r="BG100" s="244"/>
      <c r="BH100" s="57" t="s">
        <v>6567</v>
      </c>
      <c r="BI100" s="476"/>
      <c r="BK100" s="112">
        <v>0</v>
      </c>
      <c r="BL100" s="57" t="s">
        <v>6567</v>
      </c>
      <c r="BM100" s="244"/>
      <c r="BN100" s="229"/>
      <c r="BQ100" s="112"/>
      <c r="BR100" s="57"/>
      <c r="BS100" s="244"/>
      <c r="BT100" s="229"/>
      <c r="BW100" s="26" t="s">
        <v>6566</v>
      </c>
    </row>
    <row r="101" spans="1:75" x14ac:dyDescent="0.35">
      <c r="A101" s="9168"/>
      <c r="B101" s="240"/>
      <c r="C101" s="240"/>
      <c r="D101" s="197">
        <v>6</v>
      </c>
      <c r="F101" s="155"/>
      <c r="H101" s="117">
        <v>2537110</v>
      </c>
      <c r="I101" s="1351">
        <f>H101*SUM($I$55:$I$60)/SUM($H$55:$H$60)</f>
        <v>1977834.6887902743</v>
      </c>
      <c r="J101" s="64">
        <f t="shared" si="67"/>
        <v>0.77956205635162623</v>
      </c>
      <c r="L101" s="117">
        <v>2537110</v>
      </c>
      <c r="M101" s="157">
        <f t="shared" si="68"/>
        <v>1977834.6887902743</v>
      </c>
      <c r="O101" s="117">
        <v>2537110</v>
      </c>
      <c r="P101" s="157">
        <f t="shared" si="69"/>
        <v>1977834.6887902743</v>
      </c>
      <c r="R101" s="117">
        <v>2537110</v>
      </c>
      <c r="S101" s="201">
        <v>634278</v>
      </c>
      <c r="T101" s="1122" t="s">
        <v>6420</v>
      </c>
      <c r="U101" s="64">
        <f t="shared" ref="U101" si="85">S101/R101</f>
        <v>0.25000019707462429</v>
      </c>
      <c r="W101" s="198">
        <f t="shared" si="64"/>
        <v>2537110</v>
      </c>
      <c r="X101" s="106">
        <f t="shared" si="65"/>
        <v>634278</v>
      </c>
      <c r="Y101" s="57"/>
      <c r="Z101" s="64">
        <f t="shared" si="70"/>
        <v>0.25000019707462429</v>
      </c>
      <c r="AB101" s="112">
        <v>2517</v>
      </c>
      <c r="AC101" s="57" t="s">
        <v>6421</v>
      </c>
      <c r="AD101" s="106">
        <f t="shared" si="71"/>
        <v>629.2504960368293</v>
      </c>
      <c r="AE101" s="237"/>
      <c r="AG101" s="117">
        <f t="shared" si="72"/>
        <v>2537110</v>
      </c>
      <c r="AH101" s="201"/>
      <c r="AI101" s="1122" t="s">
        <v>6420</v>
      </c>
      <c r="AJ101" s="64">
        <f t="shared" ref="AJ101:AJ112" si="86">AH101/AG101</f>
        <v>0</v>
      </c>
      <c r="AL101" s="198">
        <v>2517</v>
      </c>
      <c r="AM101" s="106"/>
      <c r="AN101" s="57" t="s">
        <v>6421</v>
      </c>
      <c r="AO101" s="64">
        <f t="shared" si="73"/>
        <v>1</v>
      </c>
      <c r="AQ101" s="112">
        <v>2537110</v>
      </c>
      <c r="AR101" s="57" t="s">
        <v>2730</v>
      </c>
      <c r="AS101" s="106"/>
      <c r="AT101" s="237"/>
      <c r="AV101" s="112">
        <v>2537110</v>
      </c>
      <c r="AW101" s="106"/>
      <c r="AX101" s="57" t="s">
        <v>6421</v>
      </c>
      <c r="AY101" s="64">
        <f t="shared" si="74"/>
        <v>1</v>
      </c>
      <c r="BA101" s="262">
        <f t="shared" si="75"/>
        <v>2537110</v>
      </c>
      <c r="BB101" s="57" t="s">
        <v>2730</v>
      </c>
      <c r="BC101" s="106"/>
      <c r="BD101" s="237"/>
      <c r="BE101" s="26" t="s">
        <v>6568</v>
      </c>
      <c r="BF101" s="112">
        <v>2663970</v>
      </c>
      <c r="BG101" s="244"/>
      <c r="BH101" s="57" t="s">
        <v>6423</v>
      </c>
      <c r="BI101" s="476"/>
      <c r="BK101" s="112">
        <v>2663970</v>
      </c>
      <c r="BL101" s="57" t="s">
        <v>6423</v>
      </c>
      <c r="BM101" s="244"/>
      <c r="BN101" s="237"/>
      <c r="BQ101" s="112"/>
      <c r="BR101" s="57"/>
      <c r="BS101" s="244"/>
      <c r="BT101" s="237"/>
      <c r="BW101" s="26" t="s">
        <v>6568</v>
      </c>
    </row>
    <row r="102" spans="1:75" x14ac:dyDescent="0.35">
      <c r="A102" s="9168"/>
      <c r="B102" s="1654"/>
      <c r="C102"/>
      <c r="D102" s="197"/>
      <c r="F102" s="4074"/>
      <c r="H102" s="4075"/>
      <c r="I102" s="3389"/>
      <c r="J102" s="64"/>
      <c r="L102" s="198"/>
      <c r="M102" s="157"/>
      <c r="O102" s="198"/>
      <c r="P102" s="157"/>
      <c r="R102" s="198">
        <v>634186</v>
      </c>
      <c r="S102" s="656">
        <v>52848</v>
      </c>
      <c r="T102" s="1122" t="s">
        <v>6569</v>
      </c>
      <c r="U102" s="64">
        <f t="shared" si="63"/>
        <v>8.3332019312946037E-2</v>
      </c>
      <c r="W102" s="4068">
        <f t="shared" ref="W102:W112" si="87">R102</f>
        <v>634186</v>
      </c>
      <c r="X102" s="106">
        <f t="shared" si="65"/>
        <v>52847.999999999993</v>
      </c>
      <c r="Y102" s="106"/>
      <c r="Z102" s="64">
        <f t="shared" si="70"/>
        <v>8.3332019312946037E-2</v>
      </c>
      <c r="AB102" s="198">
        <v>708642</v>
      </c>
      <c r="AC102" s="57" t="s">
        <v>6470</v>
      </c>
      <c r="AD102" s="106">
        <f t="shared" si="71"/>
        <v>59052.568829964708</v>
      </c>
      <c r="AE102" s="66"/>
      <c r="AG102" s="117">
        <f t="shared" si="72"/>
        <v>634186</v>
      </c>
      <c r="AH102" s="656"/>
      <c r="AI102" s="1122" t="s">
        <v>6569</v>
      </c>
      <c r="AJ102" s="64">
        <f t="shared" si="86"/>
        <v>0</v>
      </c>
      <c r="AL102" s="4068">
        <v>708642</v>
      </c>
      <c r="AM102" s="106"/>
      <c r="AN102" s="106" t="s">
        <v>6470</v>
      </c>
      <c r="AO102" s="64">
        <f t="shared" si="73"/>
        <v>1</v>
      </c>
      <c r="AQ102" s="198">
        <v>708642</v>
      </c>
      <c r="AR102" s="57" t="s">
        <v>6471</v>
      </c>
      <c r="AS102" s="106"/>
      <c r="AT102" s="66"/>
      <c r="AV102" s="198">
        <v>708642</v>
      </c>
      <c r="AW102" s="106"/>
      <c r="AX102" s="106" t="s">
        <v>6470</v>
      </c>
      <c r="AY102" s="64">
        <f t="shared" si="74"/>
        <v>1</v>
      </c>
      <c r="BA102" s="262">
        <f t="shared" si="75"/>
        <v>708642</v>
      </c>
      <c r="BB102" s="57" t="s">
        <v>6471</v>
      </c>
      <c r="BC102" s="106"/>
      <c r="BD102" s="66"/>
      <c r="BE102" s="26" t="s">
        <v>6570</v>
      </c>
      <c r="BF102" s="112">
        <v>640660</v>
      </c>
      <c r="BG102" s="244"/>
      <c r="BH102" s="57" t="s">
        <v>6571</v>
      </c>
      <c r="BI102" s="476"/>
      <c r="BK102" s="112">
        <v>0</v>
      </c>
      <c r="BL102" s="57" t="s">
        <v>6571</v>
      </c>
      <c r="BM102" s="244"/>
      <c r="BN102" s="66"/>
      <c r="BQ102" s="112"/>
      <c r="BR102" s="57"/>
      <c r="BS102" s="244"/>
      <c r="BT102" s="66"/>
      <c r="BW102" s="26" t="s">
        <v>6570</v>
      </c>
    </row>
    <row r="103" spans="1:75" x14ac:dyDescent="0.35">
      <c r="A103" s="9168"/>
      <c r="B103" s="1654"/>
      <c r="C103" s="1654"/>
      <c r="D103" s="197"/>
      <c r="F103" s="4074"/>
      <c r="H103" s="4075"/>
      <c r="I103" s="3389"/>
      <c r="J103" s="64"/>
      <c r="L103" s="198"/>
      <c r="M103" s="157"/>
      <c r="O103" s="198"/>
      <c r="P103" s="157"/>
      <c r="R103" s="198">
        <v>1200000</v>
      </c>
      <c r="S103" s="656">
        <v>1200000</v>
      </c>
      <c r="T103" s="1122" t="s">
        <v>6572</v>
      </c>
      <c r="U103" s="64">
        <f t="shared" si="63"/>
        <v>1</v>
      </c>
      <c r="W103" s="4068">
        <f t="shared" si="87"/>
        <v>1200000</v>
      </c>
      <c r="X103" s="106">
        <f t="shared" si="65"/>
        <v>1200000</v>
      </c>
      <c r="Y103" s="106"/>
      <c r="Z103" s="64">
        <f t="shared" si="70"/>
        <v>1</v>
      </c>
      <c r="AB103" s="198">
        <v>1209534</v>
      </c>
      <c r="AC103" s="57" t="s">
        <v>6573</v>
      </c>
      <c r="AD103" s="106">
        <f t="shared" si="71"/>
        <v>1209534</v>
      </c>
      <c r="AE103" s="66"/>
      <c r="AG103" s="117">
        <f t="shared" si="72"/>
        <v>1200000</v>
      </c>
      <c r="AH103" s="656"/>
      <c r="AI103" s="1122" t="s">
        <v>6572</v>
      </c>
      <c r="AJ103" s="64">
        <f t="shared" si="86"/>
        <v>0</v>
      </c>
      <c r="AL103" s="4068">
        <v>1209534</v>
      </c>
      <c r="AM103" s="106"/>
      <c r="AN103" s="106" t="s">
        <v>6573</v>
      </c>
      <c r="AO103" s="64">
        <f t="shared" si="73"/>
        <v>1</v>
      </c>
      <c r="AQ103" s="198">
        <v>1209534</v>
      </c>
      <c r="AR103" s="57" t="s">
        <v>6574</v>
      </c>
      <c r="AS103" s="106"/>
      <c r="AT103" s="66"/>
      <c r="AV103" s="198">
        <v>1209534</v>
      </c>
      <c r="AW103" s="106"/>
      <c r="AX103" s="106" t="s">
        <v>6573</v>
      </c>
      <c r="AY103" s="64">
        <f t="shared" si="74"/>
        <v>1</v>
      </c>
      <c r="BA103" s="262">
        <f t="shared" si="75"/>
        <v>1209534</v>
      </c>
      <c r="BB103" s="57" t="s">
        <v>6574</v>
      </c>
      <c r="BC103" s="106"/>
      <c r="BD103" s="66"/>
      <c r="BE103" s="26" t="s">
        <v>6575</v>
      </c>
      <c r="BF103" s="112">
        <v>1093400</v>
      </c>
      <c r="BG103" s="244"/>
      <c r="BH103" s="57" t="s">
        <v>6576</v>
      </c>
      <c r="BI103" s="476"/>
      <c r="BK103" s="112">
        <v>0</v>
      </c>
      <c r="BL103" s="57" t="s">
        <v>6576</v>
      </c>
      <c r="BM103" s="244"/>
      <c r="BN103" s="66"/>
      <c r="BQ103" s="112"/>
      <c r="BR103" s="57"/>
      <c r="BS103" s="244"/>
      <c r="BT103" s="66"/>
      <c r="BW103" s="26" t="s">
        <v>6575</v>
      </c>
    </row>
    <row r="104" spans="1:75" x14ac:dyDescent="0.35">
      <c r="A104" s="9168"/>
      <c r="B104" s="1654"/>
      <c r="C104" s="1654"/>
      <c r="D104" s="197"/>
      <c r="F104" s="4074"/>
      <c r="H104" s="4075"/>
      <c r="I104" s="3389"/>
      <c r="J104" s="64"/>
      <c r="L104" s="198"/>
      <c r="M104" s="157"/>
      <c r="O104" s="198"/>
      <c r="P104" s="157"/>
      <c r="R104" s="198">
        <v>1087176</v>
      </c>
      <c r="S104" s="656">
        <v>1087176</v>
      </c>
      <c r="T104" s="1122" t="s">
        <v>6577</v>
      </c>
      <c r="U104" s="64">
        <f t="shared" si="63"/>
        <v>1</v>
      </c>
      <c r="W104" s="4068">
        <f t="shared" si="87"/>
        <v>1087176</v>
      </c>
      <c r="X104" s="106">
        <f t="shared" si="65"/>
        <v>1087176</v>
      </c>
      <c r="Y104" s="106"/>
      <c r="Z104" s="64">
        <f t="shared" si="70"/>
        <v>1</v>
      </c>
      <c r="AB104" s="198">
        <v>701546</v>
      </c>
      <c r="AC104" s="57" t="s">
        <v>6507</v>
      </c>
      <c r="AD104" s="106">
        <f t="shared" si="71"/>
        <v>701546</v>
      </c>
      <c r="AE104" s="66"/>
      <c r="AG104" s="117">
        <f t="shared" si="72"/>
        <v>1087176</v>
      </c>
      <c r="AH104" s="656"/>
      <c r="AI104" s="1122" t="s">
        <v>6577</v>
      </c>
      <c r="AJ104" s="64">
        <f t="shared" si="86"/>
        <v>0</v>
      </c>
      <c r="AL104" s="4068">
        <v>701546</v>
      </c>
      <c r="AM104" s="106"/>
      <c r="AN104" s="106" t="s">
        <v>6507</v>
      </c>
      <c r="AO104" s="64">
        <f t="shared" si="73"/>
        <v>1</v>
      </c>
      <c r="AQ104" s="198">
        <v>701546</v>
      </c>
      <c r="AR104" s="57" t="s">
        <v>6508</v>
      </c>
      <c r="AS104" s="106"/>
      <c r="AT104" s="66"/>
      <c r="AV104" s="198">
        <v>701546</v>
      </c>
      <c r="AW104" s="106"/>
      <c r="AX104" s="106" t="s">
        <v>6507</v>
      </c>
      <c r="AY104" s="64">
        <f t="shared" si="74"/>
        <v>1</v>
      </c>
      <c r="BA104" s="262">
        <f t="shared" si="75"/>
        <v>701546</v>
      </c>
      <c r="BB104" s="57" t="s">
        <v>6508</v>
      </c>
      <c r="BC104" s="106"/>
      <c r="BD104" s="66"/>
      <c r="BE104" s="26" t="s">
        <v>6578</v>
      </c>
      <c r="BF104" s="112">
        <v>1558300</v>
      </c>
      <c r="BG104" s="244"/>
      <c r="BH104" s="57" t="s">
        <v>6579</v>
      </c>
      <c r="BI104" s="476"/>
      <c r="BK104" s="112">
        <v>0</v>
      </c>
      <c r="BL104" s="57" t="s">
        <v>6579</v>
      </c>
      <c r="BM104" s="244"/>
      <c r="BN104" s="66"/>
      <c r="BQ104" s="112"/>
      <c r="BR104" s="57"/>
      <c r="BS104" s="244"/>
      <c r="BT104" s="66"/>
      <c r="BW104" s="26" t="s">
        <v>6578</v>
      </c>
    </row>
    <row r="105" spans="1:75" x14ac:dyDescent="0.35">
      <c r="A105" s="9168"/>
      <c r="B105" s="1654"/>
      <c r="C105" s="1654"/>
      <c r="D105" s="197"/>
      <c r="F105" s="4074"/>
      <c r="H105" s="4075"/>
      <c r="I105" s="3389"/>
      <c r="J105" s="64"/>
      <c r="L105" s="198"/>
      <c r="M105" s="157"/>
      <c r="O105" s="198"/>
      <c r="P105" s="157"/>
      <c r="R105" s="198">
        <v>1177774</v>
      </c>
      <c r="S105" s="656">
        <v>0</v>
      </c>
      <c r="T105" s="1122" t="s">
        <v>6580</v>
      </c>
      <c r="U105" s="64">
        <f t="shared" si="63"/>
        <v>0</v>
      </c>
      <c r="W105" s="4068">
        <f t="shared" si="87"/>
        <v>1177774</v>
      </c>
      <c r="X105" s="106">
        <f t="shared" si="65"/>
        <v>0</v>
      </c>
      <c r="Y105" s="106"/>
      <c r="Z105" s="64">
        <f t="shared" si="70"/>
        <v>1</v>
      </c>
      <c r="AB105" s="198">
        <v>846040</v>
      </c>
      <c r="AC105" s="57" t="s">
        <v>6581</v>
      </c>
      <c r="AD105" s="106">
        <f t="shared" si="71"/>
        <v>846040</v>
      </c>
      <c r="AE105" s="66"/>
      <c r="AG105" s="117">
        <f t="shared" si="72"/>
        <v>1177774</v>
      </c>
      <c r="AH105" s="656"/>
      <c r="AI105" s="1122" t="s">
        <v>6580</v>
      </c>
      <c r="AJ105" s="64">
        <f t="shared" si="86"/>
        <v>0</v>
      </c>
      <c r="AL105" s="4068">
        <v>846040</v>
      </c>
      <c r="AM105" s="106"/>
      <c r="AN105" s="106" t="s">
        <v>6581</v>
      </c>
      <c r="AO105" s="64">
        <f t="shared" si="73"/>
        <v>1</v>
      </c>
      <c r="AQ105" s="198">
        <v>846040</v>
      </c>
      <c r="AR105" s="57" t="s">
        <v>6579</v>
      </c>
      <c r="AS105" s="106"/>
      <c r="AT105" s="66"/>
      <c r="AV105" s="198">
        <v>846040</v>
      </c>
      <c r="AW105" s="106"/>
      <c r="AX105" s="106" t="s">
        <v>6581</v>
      </c>
      <c r="AY105" s="64">
        <f t="shared" si="74"/>
        <v>1</v>
      </c>
      <c r="BA105" s="262">
        <f t="shared" si="75"/>
        <v>846040</v>
      </c>
      <c r="BB105" s="57" t="s">
        <v>6579</v>
      </c>
      <c r="BC105" s="106"/>
      <c r="BD105" s="66"/>
      <c r="BE105" s="26" t="s">
        <v>6582</v>
      </c>
      <c r="BF105" s="112">
        <v>1668940</v>
      </c>
      <c r="BG105" s="244"/>
      <c r="BH105" s="57" t="s">
        <v>6583</v>
      </c>
      <c r="BI105" s="476"/>
      <c r="BK105" s="112">
        <v>0</v>
      </c>
      <c r="BL105" s="57" t="s">
        <v>6583</v>
      </c>
      <c r="BM105" s="244"/>
      <c r="BN105" s="66"/>
      <c r="BQ105" s="112"/>
      <c r="BR105" s="57"/>
      <c r="BS105" s="244"/>
      <c r="BT105" s="66"/>
      <c r="BW105" s="26" t="s">
        <v>6582</v>
      </c>
    </row>
    <row r="106" spans="1:75" x14ac:dyDescent="0.35">
      <c r="A106" s="9168"/>
      <c r="B106" s="1654"/>
      <c r="C106" s="1654"/>
      <c r="D106" s="197"/>
      <c r="F106" s="4074"/>
      <c r="H106" s="4075"/>
      <c r="I106" s="3389"/>
      <c r="J106" s="64"/>
      <c r="L106" s="198"/>
      <c r="M106" s="157"/>
      <c r="O106" s="198"/>
      <c r="P106" s="157"/>
      <c r="R106" s="198">
        <v>1358970</v>
      </c>
      <c r="S106" s="656">
        <v>113248</v>
      </c>
      <c r="T106" s="1122" t="s">
        <v>6584</v>
      </c>
      <c r="U106" s="64">
        <f t="shared" si="63"/>
        <v>8.333370125904177E-2</v>
      </c>
      <c r="W106" s="4068">
        <f t="shared" si="87"/>
        <v>1358970</v>
      </c>
      <c r="X106" s="106">
        <f t="shared" si="65"/>
        <v>113248</v>
      </c>
      <c r="Y106" s="106"/>
      <c r="Z106" s="64">
        <f t="shared" si="70"/>
        <v>8.333370125904177E-2</v>
      </c>
      <c r="AB106" s="198">
        <v>942025</v>
      </c>
      <c r="AC106" s="57" t="s">
        <v>6585</v>
      </c>
      <c r="AD106" s="106">
        <f t="shared" si="71"/>
        <v>78502.429928548823</v>
      </c>
      <c r="AE106" s="66"/>
      <c r="AG106" s="117">
        <f t="shared" si="72"/>
        <v>1358970</v>
      </c>
      <c r="AH106" s="656"/>
      <c r="AI106" s="1122" t="s">
        <v>6584</v>
      </c>
      <c r="AJ106" s="64">
        <f t="shared" si="86"/>
        <v>0</v>
      </c>
      <c r="AL106" s="4068">
        <v>942025</v>
      </c>
      <c r="AM106" s="106"/>
      <c r="AN106" s="106" t="s">
        <v>6585</v>
      </c>
      <c r="AO106" s="64">
        <f t="shared" si="73"/>
        <v>1</v>
      </c>
      <c r="AQ106" s="198">
        <v>942025</v>
      </c>
      <c r="AR106" s="57" t="s">
        <v>6586</v>
      </c>
      <c r="AS106" s="106"/>
      <c r="AT106" s="66"/>
      <c r="AV106" s="198">
        <v>942025</v>
      </c>
      <c r="AW106" s="106"/>
      <c r="AX106" s="106" t="s">
        <v>6585</v>
      </c>
      <c r="AY106" s="64">
        <f t="shared" si="74"/>
        <v>1</v>
      </c>
      <c r="BA106" s="262">
        <f t="shared" si="75"/>
        <v>942025</v>
      </c>
      <c r="BB106" s="57" t="s">
        <v>6586</v>
      </c>
      <c r="BC106" s="106"/>
      <c r="BD106" s="66"/>
      <c r="BE106" s="26" t="s">
        <v>6587</v>
      </c>
      <c r="BF106" s="112">
        <v>2298130</v>
      </c>
      <c r="BG106" s="244"/>
      <c r="BH106" s="57" t="s">
        <v>6588</v>
      </c>
      <c r="BI106" s="476"/>
      <c r="BK106" s="112">
        <v>0</v>
      </c>
      <c r="BL106" s="57" t="s">
        <v>6588</v>
      </c>
      <c r="BM106" s="244"/>
      <c r="BN106" s="66"/>
      <c r="BQ106" s="112"/>
      <c r="BR106" s="57"/>
      <c r="BS106" s="244"/>
      <c r="BT106" s="66"/>
      <c r="BW106" s="26" t="s">
        <v>6587</v>
      </c>
    </row>
    <row r="107" spans="1:75" x14ac:dyDescent="0.35">
      <c r="A107" s="9168"/>
      <c r="B107" s="1654"/>
      <c r="C107" s="1654"/>
      <c r="D107" s="197"/>
      <c r="F107" s="4074"/>
      <c r="H107" s="4075"/>
      <c r="I107" s="3389"/>
      <c r="J107" s="64"/>
      <c r="L107" s="198"/>
      <c r="M107" s="157"/>
      <c r="O107" s="198"/>
      <c r="P107" s="157"/>
      <c r="R107" s="198">
        <v>1087176</v>
      </c>
      <c r="S107" s="656">
        <v>80000</v>
      </c>
      <c r="T107" s="1122" t="s">
        <v>6522</v>
      </c>
      <c r="U107" s="64">
        <f t="shared" si="63"/>
        <v>7.3585141688190317E-2</v>
      </c>
      <c r="W107" s="4068">
        <f t="shared" si="87"/>
        <v>1087176</v>
      </c>
      <c r="X107" s="106">
        <f t="shared" si="65"/>
        <v>80000</v>
      </c>
      <c r="Y107" s="106"/>
      <c r="Z107" s="64">
        <f t="shared" si="70"/>
        <v>7.3585141688190317E-2</v>
      </c>
      <c r="AB107" s="198">
        <v>957469</v>
      </c>
      <c r="AC107" s="57" t="s">
        <v>6528</v>
      </c>
      <c r="AD107" s="106">
        <f t="shared" si="71"/>
        <v>70455.492027049899</v>
      </c>
      <c r="AE107" s="66"/>
      <c r="AG107" s="117">
        <f t="shared" si="72"/>
        <v>1087176</v>
      </c>
      <c r="AH107" s="656"/>
      <c r="AI107" s="1122" t="s">
        <v>6522</v>
      </c>
      <c r="AJ107" s="64">
        <f t="shared" si="86"/>
        <v>0</v>
      </c>
      <c r="AL107" s="4068">
        <v>957469</v>
      </c>
      <c r="AM107" s="106"/>
      <c r="AN107" s="106" t="s">
        <v>6528</v>
      </c>
      <c r="AO107" s="64">
        <f t="shared" si="73"/>
        <v>1</v>
      </c>
      <c r="AQ107" s="198">
        <v>957469</v>
      </c>
      <c r="AR107" s="57" t="s">
        <v>6529</v>
      </c>
      <c r="AS107" s="106"/>
      <c r="AT107" s="66"/>
      <c r="AV107" s="198">
        <v>957469</v>
      </c>
      <c r="AW107" s="106"/>
      <c r="AX107" s="106" t="s">
        <v>6528</v>
      </c>
      <c r="AY107" s="64">
        <f t="shared" si="74"/>
        <v>1</v>
      </c>
      <c r="BA107" s="262">
        <f t="shared" si="75"/>
        <v>957469</v>
      </c>
      <c r="BB107" s="57" t="s">
        <v>6529</v>
      </c>
      <c r="BC107" s="106"/>
      <c r="BD107" s="66"/>
      <c r="BE107" s="26" t="s">
        <v>6589</v>
      </c>
      <c r="BF107" s="112">
        <v>1317640</v>
      </c>
      <c r="BG107" s="244"/>
      <c r="BH107" s="57" t="s">
        <v>6590</v>
      </c>
      <c r="BI107" s="476"/>
      <c r="BK107" s="112">
        <v>0</v>
      </c>
      <c r="BL107" s="57" t="s">
        <v>6590</v>
      </c>
      <c r="BM107" s="244"/>
      <c r="BN107" s="66"/>
      <c r="BQ107" s="112"/>
      <c r="BR107" s="57"/>
      <c r="BS107" s="244"/>
      <c r="BT107" s="66"/>
      <c r="BW107" s="26" t="s">
        <v>6589</v>
      </c>
    </row>
    <row r="108" spans="1:75" x14ac:dyDescent="0.35">
      <c r="A108" s="9168"/>
      <c r="B108" s="1654"/>
      <c r="C108" s="1654"/>
      <c r="D108" s="197"/>
      <c r="F108" s="4074"/>
      <c r="H108" s="4075"/>
      <c r="I108" s="3389"/>
      <c r="J108" s="64"/>
      <c r="L108" s="198"/>
      <c r="M108" s="157"/>
      <c r="O108" s="198"/>
      <c r="P108" s="157"/>
      <c r="R108" s="198">
        <v>724784</v>
      </c>
      <c r="S108" s="656">
        <v>66303</v>
      </c>
      <c r="T108" s="1122" t="s">
        <v>6591</v>
      </c>
      <c r="U108" s="64">
        <f t="shared" si="63"/>
        <v>9.147966842535156E-2</v>
      </c>
      <c r="W108" s="4068">
        <f t="shared" si="87"/>
        <v>724784</v>
      </c>
      <c r="X108" s="106">
        <f t="shared" si="65"/>
        <v>66303</v>
      </c>
      <c r="Y108" s="106"/>
      <c r="Z108" s="64">
        <f t="shared" si="70"/>
        <v>9.147966842535156E-2</v>
      </c>
      <c r="AB108" s="198">
        <v>643345</v>
      </c>
      <c r="AC108" s="57" t="s">
        <v>6592</v>
      </c>
      <c r="AD108" s="106">
        <f t="shared" si="71"/>
        <v>58852.987283107796</v>
      </c>
      <c r="AE108" s="66"/>
      <c r="AG108" s="117">
        <f t="shared" si="72"/>
        <v>724784</v>
      </c>
      <c r="AH108" s="656"/>
      <c r="AI108" s="1122" t="s">
        <v>6591</v>
      </c>
      <c r="AJ108" s="64">
        <f t="shared" si="86"/>
        <v>0</v>
      </c>
      <c r="AL108" s="4068">
        <v>643345</v>
      </c>
      <c r="AM108" s="106"/>
      <c r="AN108" s="106" t="s">
        <v>6592</v>
      </c>
      <c r="AO108" s="64">
        <f t="shared" si="73"/>
        <v>1</v>
      </c>
      <c r="AQ108" s="198">
        <v>643245</v>
      </c>
      <c r="AR108" s="57" t="s">
        <v>6593</v>
      </c>
      <c r="AS108" s="106"/>
      <c r="AT108" s="66"/>
      <c r="AV108" s="198">
        <v>643245</v>
      </c>
      <c r="AW108" s="106"/>
      <c r="AX108" s="106" t="s">
        <v>6592</v>
      </c>
      <c r="AY108" s="64">
        <f t="shared" si="74"/>
        <v>1</v>
      </c>
      <c r="BA108" s="262">
        <f t="shared" si="75"/>
        <v>643245</v>
      </c>
      <c r="BB108" s="57" t="s">
        <v>6593</v>
      </c>
      <c r="BC108" s="106"/>
      <c r="BD108" s="66"/>
      <c r="BE108" s="26" t="s">
        <v>6594</v>
      </c>
      <c r="BF108" s="112">
        <v>1485600</v>
      </c>
      <c r="BG108" s="244"/>
      <c r="BH108" s="57" t="s">
        <v>6595</v>
      </c>
      <c r="BI108" s="476"/>
      <c r="BK108" s="112">
        <v>0</v>
      </c>
      <c r="BL108" s="57" t="s">
        <v>6595</v>
      </c>
      <c r="BM108" s="244"/>
      <c r="BN108" s="66"/>
      <c r="BQ108" s="112"/>
      <c r="BR108" s="57"/>
      <c r="BS108" s="244"/>
      <c r="BT108" s="66"/>
      <c r="BW108" s="26" t="s">
        <v>6594</v>
      </c>
    </row>
    <row r="109" spans="1:75" x14ac:dyDescent="0.35">
      <c r="A109" s="9168"/>
      <c r="B109" s="1654"/>
      <c r="C109" s="1654"/>
      <c r="D109" s="197"/>
      <c r="F109" s="4074"/>
      <c r="H109" s="4075"/>
      <c r="I109" s="3389"/>
      <c r="J109" s="64"/>
      <c r="L109" s="198"/>
      <c r="M109" s="157"/>
      <c r="O109" s="198"/>
      <c r="P109" s="157"/>
      <c r="R109" s="198">
        <v>1223073</v>
      </c>
      <c r="S109" s="656">
        <v>210156</v>
      </c>
      <c r="T109" s="1122" t="s">
        <v>6596</v>
      </c>
      <c r="U109" s="64">
        <f t="shared" si="63"/>
        <v>0.17182621151803695</v>
      </c>
      <c r="W109" s="4068">
        <f t="shared" si="87"/>
        <v>1223073</v>
      </c>
      <c r="X109" s="106">
        <f t="shared" si="65"/>
        <v>210156</v>
      </c>
      <c r="Y109" s="106"/>
      <c r="Z109" s="64">
        <f t="shared" si="70"/>
        <v>0.17182621151803695</v>
      </c>
      <c r="AB109" s="198">
        <v>941024</v>
      </c>
      <c r="AC109" s="57" t="s">
        <v>6597</v>
      </c>
      <c r="AD109" s="106">
        <f t="shared" si="71"/>
        <v>161692.5888675492</v>
      </c>
      <c r="AE109" s="66"/>
      <c r="AG109" s="117">
        <f t="shared" si="72"/>
        <v>1223073</v>
      </c>
      <c r="AH109" s="656"/>
      <c r="AI109" s="1122" t="s">
        <v>6596</v>
      </c>
      <c r="AJ109" s="64">
        <f t="shared" si="86"/>
        <v>0</v>
      </c>
      <c r="AL109" s="4068">
        <v>941024</v>
      </c>
      <c r="AM109" s="106"/>
      <c r="AN109" s="106" t="s">
        <v>6597</v>
      </c>
      <c r="AO109" s="64">
        <f t="shared" si="73"/>
        <v>1</v>
      </c>
      <c r="AQ109" s="198">
        <v>914024</v>
      </c>
      <c r="AR109" s="57" t="s">
        <v>6595</v>
      </c>
      <c r="AS109" s="106"/>
      <c r="AT109" s="66"/>
      <c r="AV109" s="198">
        <v>914024</v>
      </c>
      <c r="AW109" s="106"/>
      <c r="AX109" s="106" t="s">
        <v>6597</v>
      </c>
      <c r="AY109" s="64">
        <f t="shared" si="74"/>
        <v>1</v>
      </c>
      <c r="BA109" s="262">
        <f t="shared" si="75"/>
        <v>914024</v>
      </c>
      <c r="BB109" s="57" t="s">
        <v>6595</v>
      </c>
      <c r="BC109" s="106"/>
      <c r="BD109" s="66"/>
      <c r="BE109" s="26" t="s">
        <v>6598</v>
      </c>
      <c r="BF109" s="112">
        <v>1754810</v>
      </c>
      <c r="BG109" s="244"/>
      <c r="BH109" s="57" t="s">
        <v>6599</v>
      </c>
      <c r="BI109" s="476"/>
      <c r="BK109" s="112">
        <v>0</v>
      </c>
      <c r="BL109" s="57" t="s">
        <v>6599</v>
      </c>
      <c r="BM109" s="244"/>
      <c r="BN109" s="66"/>
      <c r="BQ109" s="112"/>
      <c r="BR109" s="57"/>
      <c r="BS109" s="244"/>
      <c r="BT109" s="66"/>
      <c r="BW109" s="26" t="s">
        <v>6598</v>
      </c>
    </row>
    <row r="110" spans="1:75" x14ac:dyDescent="0.35">
      <c r="A110" s="9168"/>
      <c r="B110" s="1654"/>
      <c r="C110" s="1654"/>
      <c r="D110" s="197"/>
      <c r="F110" s="4074"/>
      <c r="H110" s="4075"/>
      <c r="I110" s="3389"/>
      <c r="J110" s="64"/>
      <c r="L110" s="198"/>
      <c r="M110" s="157"/>
      <c r="O110" s="198"/>
      <c r="P110" s="157"/>
      <c r="R110" s="198">
        <v>1087176</v>
      </c>
      <c r="S110" s="656">
        <v>815382</v>
      </c>
      <c r="T110" s="1122" t="s">
        <v>6600</v>
      </c>
      <c r="U110" s="64">
        <f t="shared" si="63"/>
        <v>0.75</v>
      </c>
      <c r="W110" s="4068">
        <f t="shared" si="87"/>
        <v>1087176</v>
      </c>
      <c r="X110" s="106">
        <f t="shared" si="65"/>
        <v>815382</v>
      </c>
      <c r="Y110" s="106"/>
      <c r="Z110" s="64">
        <f t="shared" si="70"/>
        <v>0.75</v>
      </c>
      <c r="AB110" s="198">
        <v>894304</v>
      </c>
      <c r="AC110" s="57" t="s">
        <v>6601</v>
      </c>
      <c r="AD110" s="106">
        <f t="shared" si="71"/>
        <v>670728</v>
      </c>
      <c r="AE110" s="66"/>
      <c r="AG110" s="117">
        <f t="shared" si="72"/>
        <v>1087176</v>
      </c>
      <c r="AH110" s="656"/>
      <c r="AI110" s="1122" t="s">
        <v>6600</v>
      </c>
      <c r="AJ110" s="64">
        <f t="shared" si="86"/>
        <v>0</v>
      </c>
      <c r="AL110" s="4068">
        <v>894304</v>
      </c>
      <c r="AM110" s="106"/>
      <c r="AN110" s="106" t="s">
        <v>6601</v>
      </c>
      <c r="AO110" s="64">
        <f t="shared" si="73"/>
        <v>1</v>
      </c>
      <c r="AQ110" s="198">
        <v>894304</v>
      </c>
      <c r="AR110" s="57" t="s">
        <v>6484</v>
      </c>
      <c r="AS110" s="106"/>
      <c r="AT110" s="66"/>
      <c r="AV110" s="198">
        <v>894304</v>
      </c>
      <c r="AW110" s="106"/>
      <c r="AX110" s="106" t="s">
        <v>6601</v>
      </c>
      <c r="AY110" s="64">
        <f t="shared" si="74"/>
        <v>1</v>
      </c>
      <c r="BA110" s="262">
        <f t="shared" si="75"/>
        <v>894304</v>
      </c>
      <c r="BB110" s="57" t="s">
        <v>6484</v>
      </c>
      <c r="BC110" s="106"/>
      <c r="BD110" s="66"/>
      <c r="BE110" s="26" t="s">
        <v>6602</v>
      </c>
      <c r="BF110" s="112">
        <v>933840</v>
      </c>
      <c r="BG110" s="244"/>
      <c r="BH110" s="57" t="s">
        <v>6603</v>
      </c>
      <c r="BI110" s="476"/>
      <c r="BK110" s="112">
        <v>0</v>
      </c>
      <c r="BL110" s="57" t="s">
        <v>6603</v>
      </c>
      <c r="BM110" s="244"/>
      <c r="BN110" s="66"/>
      <c r="BQ110" s="112"/>
      <c r="BR110" s="57"/>
      <c r="BS110" s="244"/>
      <c r="BT110" s="66"/>
      <c r="BW110" s="26" t="s">
        <v>6602</v>
      </c>
    </row>
    <row r="111" spans="1:75" x14ac:dyDescent="0.35">
      <c r="A111" s="9168"/>
      <c r="B111" s="1654"/>
      <c r="C111" s="1654"/>
      <c r="D111" s="197"/>
      <c r="F111" s="4074"/>
      <c r="H111" s="4075"/>
      <c r="I111" s="3389"/>
      <c r="J111" s="64"/>
      <c r="L111" s="198"/>
      <c r="M111" s="157"/>
      <c r="O111" s="198"/>
      <c r="P111" s="157"/>
      <c r="R111" s="198">
        <v>815382</v>
      </c>
      <c r="S111" s="656">
        <v>0</v>
      </c>
      <c r="T111" s="1122" t="s">
        <v>6604</v>
      </c>
      <c r="U111" s="64">
        <f t="shared" si="63"/>
        <v>0</v>
      </c>
      <c r="W111" s="4068">
        <f t="shared" si="87"/>
        <v>815382</v>
      </c>
      <c r="X111" s="106">
        <f t="shared" si="65"/>
        <v>0</v>
      </c>
      <c r="Y111" s="106"/>
      <c r="Z111" s="64">
        <f t="shared" si="70"/>
        <v>1</v>
      </c>
      <c r="AB111" s="198">
        <v>877550</v>
      </c>
      <c r="AC111" s="57" t="s">
        <v>6605</v>
      </c>
      <c r="AD111" s="106">
        <f t="shared" si="71"/>
        <v>877550</v>
      </c>
      <c r="AE111" s="66"/>
      <c r="AG111" s="117">
        <f t="shared" si="72"/>
        <v>815382</v>
      </c>
      <c r="AH111" s="656"/>
      <c r="AI111" s="1122" t="s">
        <v>6604</v>
      </c>
      <c r="AJ111" s="64">
        <f t="shared" si="86"/>
        <v>0</v>
      </c>
      <c r="AL111" s="4068">
        <v>877550</v>
      </c>
      <c r="AM111" s="106"/>
      <c r="AN111" s="106" t="s">
        <v>6605</v>
      </c>
      <c r="AO111" s="64">
        <f t="shared" si="73"/>
        <v>1</v>
      </c>
      <c r="AQ111" s="198">
        <v>1229288</v>
      </c>
      <c r="AR111" s="57" t="s">
        <v>6581</v>
      </c>
      <c r="AS111" s="106"/>
      <c r="AT111" s="66"/>
      <c r="AV111" s="198">
        <v>1229288</v>
      </c>
      <c r="AW111" s="106"/>
      <c r="AX111" s="106" t="s">
        <v>6605</v>
      </c>
      <c r="AY111" s="64">
        <f t="shared" si="74"/>
        <v>1</v>
      </c>
      <c r="BA111" s="262">
        <f t="shared" si="75"/>
        <v>1229288</v>
      </c>
      <c r="BB111" s="57" t="s">
        <v>6581</v>
      </c>
      <c r="BC111" s="106"/>
      <c r="BD111" s="66"/>
      <c r="BE111" s="26" t="s">
        <v>6606</v>
      </c>
      <c r="BF111" s="112">
        <v>1697420</v>
      </c>
      <c r="BG111" s="244"/>
      <c r="BH111" s="57" t="s">
        <v>6585</v>
      </c>
      <c r="BI111" s="476"/>
      <c r="BK111" s="112">
        <v>0</v>
      </c>
      <c r="BL111" s="57" t="s">
        <v>6585</v>
      </c>
      <c r="BM111" s="244"/>
      <c r="BN111" s="66"/>
      <c r="BQ111" s="112"/>
      <c r="BR111" s="57"/>
      <c r="BS111" s="244"/>
      <c r="BT111" s="66"/>
      <c r="BW111" s="26" t="s">
        <v>6606</v>
      </c>
    </row>
    <row r="112" spans="1:75" x14ac:dyDescent="0.35">
      <c r="A112" s="9168"/>
      <c r="B112" s="1654"/>
      <c r="C112" s="1654"/>
      <c r="D112" s="197"/>
      <c r="F112" s="4074"/>
      <c r="H112" s="4075"/>
      <c r="I112" s="3389"/>
      <c r="J112" s="64"/>
      <c r="L112" s="198"/>
      <c r="M112" s="157"/>
      <c r="O112" s="198"/>
      <c r="P112" s="157"/>
      <c r="R112" s="198">
        <v>1500000</v>
      </c>
      <c r="S112" s="656">
        <v>702677</v>
      </c>
      <c r="T112" s="1122" t="s">
        <v>6607</v>
      </c>
      <c r="U112" s="64">
        <f t="shared" si="63"/>
        <v>0.46845133333333333</v>
      </c>
      <c r="W112" s="4068">
        <f t="shared" si="87"/>
        <v>1500000</v>
      </c>
      <c r="X112" s="106">
        <f t="shared" si="65"/>
        <v>702677</v>
      </c>
      <c r="Y112" s="106"/>
      <c r="Z112" s="64">
        <f t="shared" si="70"/>
        <v>0.46845133333333333</v>
      </c>
      <c r="AB112" s="198">
        <v>500000</v>
      </c>
      <c r="AC112" s="57" t="s">
        <v>6608</v>
      </c>
      <c r="AD112" s="106">
        <f t="shared" si="71"/>
        <v>234225.66666666666</v>
      </c>
      <c r="AE112" s="66"/>
      <c r="AG112" s="117">
        <f t="shared" si="72"/>
        <v>1500000</v>
      </c>
      <c r="AH112" s="656"/>
      <c r="AI112" s="1122" t="s">
        <v>6607</v>
      </c>
      <c r="AJ112" s="64">
        <f t="shared" si="86"/>
        <v>0</v>
      </c>
      <c r="AL112" s="4068">
        <v>500000</v>
      </c>
      <c r="AM112" s="106"/>
      <c r="AN112" s="106" t="s">
        <v>6608</v>
      </c>
      <c r="AO112" s="64">
        <f t="shared" si="73"/>
        <v>1</v>
      </c>
      <c r="AQ112" s="198">
        <v>500000</v>
      </c>
      <c r="AR112" s="57" t="s">
        <v>6609</v>
      </c>
      <c r="AS112" s="106"/>
      <c r="AT112" s="66"/>
      <c r="AV112" s="198">
        <v>500000</v>
      </c>
      <c r="AW112" s="106"/>
      <c r="AX112" s="106" t="s">
        <v>6608</v>
      </c>
      <c r="AY112" s="64">
        <f t="shared" si="74"/>
        <v>1</v>
      </c>
      <c r="BA112" s="262">
        <f t="shared" si="75"/>
        <v>500000</v>
      </c>
      <c r="BB112" s="57" t="s">
        <v>6609</v>
      </c>
      <c r="BC112" s="106"/>
      <c r="BD112" s="66"/>
      <c r="BE112" s="26" t="s">
        <v>3179</v>
      </c>
      <c r="BF112" s="112">
        <v>416600</v>
      </c>
      <c r="BG112" s="244"/>
      <c r="BH112" s="57" t="s">
        <v>6610</v>
      </c>
      <c r="BI112" s="476"/>
      <c r="BK112" s="112">
        <v>0</v>
      </c>
      <c r="BL112" s="57" t="s">
        <v>6610</v>
      </c>
      <c r="BM112" s="244"/>
      <c r="BN112" s="66"/>
      <c r="BQ112" s="112"/>
      <c r="BR112" s="57"/>
      <c r="BS112" s="244"/>
      <c r="BT112" s="66"/>
      <c r="BW112" s="26" t="s">
        <v>6611</v>
      </c>
    </row>
    <row r="113" spans="1:75" x14ac:dyDescent="0.35">
      <c r="A113" s="9168"/>
      <c r="B113" s="1654"/>
      <c r="C113" s="1654"/>
      <c r="D113" s="197"/>
      <c r="F113" s="4074"/>
      <c r="H113" s="4075"/>
      <c r="I113" s="3389"/>
      <c r="J113" s="64"/>
      <c r="L113" s="198"/>
      <c r="M113" s="157"/>
      <c r="O113" s="198"/>
      <c r="P113" s="157"/>
      <c r="R113" s="198"/>
      <c r="S113" s="656"/>
      <c r="T113" s="1122"/>
      <c r="U113" s="64"/>
      <c r="W113" s="198"/>
      <c r="X113" s="312"/>
      <c r="Y113" s="106"/>
      <c r="Z113" s="64"/>
      <c r="AB113" s="198">
        <v>1315662</v>
      </c>
      <c r="AC113" s="57" t="s">
        <v>6531</v>
      </c>
      <c r="AD113" s="106">
        <f t="shared" si="71"/>
        <v>0</v>
      </c>
      <c r="AE113" s="66"/>
      <c r="AG113" s="117">
        <f t="shared" si="72"/>
        <v>0</v>
      </c>
      <c r="AH113" s="656"/>
      <c r="AI113" s="1122"/>
      <c r="AJ113" s="64"/>
      <c r="AL113" s="198">
        <v>1315662</v>
      </c>
      <c r="AM113" s="312"/>
      <c r="AN113" s="106" t="s">
        <v>6531</v>
      </c>
      <c r="AO113" s="64">
        <f t="shared" si="73"/>
        <v>1</v>
      </c>
      <c r="AQ113" s="198">
        <v>1315662</v>
      </c>
      <c r="AR113" s="57" t="s">
        <v>6565</v>
      </c>
      <c r="AS113" s="106"/>
      <c r="AT113" s="66"/>
      <c r="AV113" s="198">
        <v>1315662</v>
      </c>
      <c r="AW113" s="312"/>
      <c r="AX113" s="106" t="s">
        <v>6531</v>
      </c>
      <c r="AY113" s="64">
        <f t="shared" si="74"/>
        <v>1</v>
      </c>
      <c r="BA113" s="262">
        <f t="shared" si="75"/>
        <v>1315662</v>
      </c>
      <c r="BB113" s="57" t="s">
        <v>6565</v>
      </c>
      <c r="BC113" s="106"/>
      <c r="BD113" s="66"/>
      <c r="BE113" s="26" t="s">
        <v>6612</v>
      </c>
      <c r="BF113" s="112"/>
      <c r="BG113" s="244"/>
      <c r="BH113" s="57"/>
      <c r="BI113" s="476"/>
      <c r="BK113" s="112"/>
      <c r="BL113" s="57"/>
      <c r="BM113" s="244"/>
      <c r="BN113" s="66"/>
      <c r="BQ113" s="112"/>
      <c r="BR113" s="57"/>
      <c r="BS113" s="244"/>
      <c r="BT113" s="66"/>
      <c r="BW113" s="26" t="s">
        <v>6612</v>
      </c>
    </row>
    <row r="114" spans="1:75" x14ac:dyDescent="0.35">
      <c r="A114" s="9168"/>
      <c r="B114" s="1654"/>
      <c r="C114" s="1654"/>
      <c r="D114" s="197"/>
      <c r="F114" s="4074"/>
      <c r="H114" s="4075"/>
      <c r="I114" s="3389"/>
      <c r="J114" s="64"/>
      <c r="L114" s="198"/>
      <c r="M114" s="157"/>
      <c r="O114" s="198"/>
      <c r="P114" s="157"/>
      <c r="R114" s="198"/>
      <c r="S114" s="656"/>
      <c r="T114" s="1122"/>
      <c r="U114" s="64"/>
      <c r="W114" s="198"/>
      <c r="X114" s="312"/>
      <c r="Y114" s="106"/>
      <c r="Z114" s="64"/>
      <c r="AB114" s="198"/>
      <c r="AC114" s="106"/>
      <c r="AD114" s="106"/>
      <c r="AE114" s="66"/>
      <c r="AG114" s="198"/>
      <c r="AH114" s="656"/>
      <c r="AI114" s="1122"/>
      <c r="AJ114" s="64"/>
      <c r="AL114" s="198"/>
      <c r="AM114" s="312"/>
      <c r="AN114" s="106"/>
      <c r="AO114" s="64"/>
      <c r="AQ114" s="198"/>
      <c r="AR114" s="106"/>
      <c r="AS114" s="106"/>
      <c r="AT114" s="66"/>
      <c r="AV114" s="198"/>
      <c r="AW114" s="312"/>
      <c r="AX114" s="106"/>
      <c r="AY114" s="64"/>
      <c r="BA114" s="198"/>
      <c r="BB114" s="106"/>
      <c r="BC114" s="106"/>
      <c r="BD114" s="66"/>
      <c r="BE114" s="26"/>
      <c r="BF114" s="112"/>
      <c r="BG114" s="244"/>
      <c r="BH114" s="106"/>
      <c r="BI114" s="476"/>
      <c r="BK114" s="112"/>
      <c r="BL114" s="106"/>
      <c r="BM114" s="244"/>
      <c r="BN114" s="66"/>
      <c r="BQ114" s="112"/>
      <c r="BR114" s="106"/>
      <c r="BS114" s="244"/>
      <c r="BT114" s="66"/>
      <c r="BW114" s="26"/>
    </row>
    <row r="115" spans="1:75" x14ac:dyDescent="0.35">
      <c r="A115" s="9168"/>
      <c r="B115" s="1654"/>
      <c r="C115" s="1654"/>
      <c r="D115" s="197"/>
      <c r="F115" s="4074"/>
      <c r="H115" s="4075"/>
      <c r="I115" s="3389"/>
      <c r="J115" s="64"/>
      <c r="L115" s="198"/>
      <c r="M115" s="157"/>
      <c r="O115" s="198"/>
      <c r="P115" s="157"/>
      <c r="R115" s="198"/>
      <c r="S115" s="656"/>
      <c r="T115" s="1122"/>
      <c r="U115" s="64"/>
      <c r="W115" s="198"/>
      <c r="X115" s="312"/>
      <c r="Y115" s="106"/>
      <c r="Z115" s="64"/>
      <c r="AB115" s="198"/>
      <c r="AC115" s="106"/>
      <c r="AD115" s="106"/>
      <c r="AE115" s="66"/>
      <c r="AG115" s="198"/>
      <c r="AH115" s="656"/>
      <c r="AI115" s="1122"/>
      <c r="AJ115" s="64"/>
      <c r="AL115" s="198"/>
      <c r="AM115" s="312"/>
      <c r="AN115" s="106"/>
      <c r="AO115" s="64"/>
      <c r="AQ115" s="198"/>
      <c r="AR115" s="106"/>
      <c r="AS115" s="106"/>
      <c r="AT115" s="66"/>
      <c r="AV115" s="198"/>
      <c r="AW115" s="312"/>
      <c r="AX115" s="106"/>
      <c r="AY115" s="64"/>
      <c r="BA115" s="198"/>
      <c r="BB115" s="106"/>
      <c r="BC115" s="106"/>
      <c r="BD115" s="66"/>
      <c r="BE115" s="26"/>
      <c r="BF115" s="112"/>
      <c r="BG115" s="244"/>
      <c r="BH115" s="106"/>
      <c r="BI115" s="476"/>
      <c r="BK115" s="112"/>
      <c r="BL115" s="106"/>
      <c r="BM115" s="244"/>
      <c r="BN115" s="66"/>
      <c r="BQ115" s="112"/>
      <c r="BR115" s="106"/>
      <c r="BS115" s="244"/>
      <c r="BT115" s="66"/>
      <c r="BW115" s="26"/>
    </row>
    <row r="116" spans="1:75" x14ac:dyDescent="0.35">
      <c r="A116" s="9168"/>
      <c r="B116" s="1654"/>
      <c r="C116" s="1654"/>
      <c r="D116" s="197"/>
      <c r="F116" s="4074"/>
      <c r="H116" s="4075"/>
      <c r="I116" s="3389"/>
      <c r="J116" s="64"/>
      <c r="L116" s="198"/>
      <c r="M116" s="157"/>
      <c r="O116" s="198"/>
      <c r="P116" s="157"/>
      <c r="R116" s="198"/>
      <c r="S116" s="656"/>
      <c r="T116" s="1122"/>
      <c r="U116" s="64"/>
      <c r="W116" s="198"/>
      <c r="X116" s="312"/>
      <c r="Y116" s="106"/>
      <c r="Z116" s="64"/>
      <c r="AB116" s="198"/>
      <c r="AC116" s="106"/>
      <c r="AD116" s="106"/>
      <c r="AE116" s="66"/>
      <c r="AG116" s="198"/>
      <c r="AH116" s="656"/>
      <c r="AI116" s="1122"/>
      <c r="AJ116" s="64"/>
      <c r="AL116" s="198"/>
      <c r="AM116" s="312"/>
      <c r="AN116" s="106"/>
      <c r="AO116" s="64"/>
      <c r="AQ116" s="198"/>
      <c r="AR116" s="106"/>
      <c r="AS116" s="106"/>
      <c r="AT116" s="66"/>
      <c r="AV116" s="198"/>
      <c r="AW116" s="312"/>
      <c r="AX116" s="106"/>
      <c r="AY116" s="64"/>
      <c r="BA116" s="198"/>
      <c r="BB116" s="106"/>
      <c r="BC116" s="106"/>
      <c r="BD116" s="66"/>
      <c r="BE116" s="26"/>
      <c r="BF116" s="112"/>
      <c r="BG116" s="244"/>
      <c r="BH116" s="106"/>
      <c r="BI116" s="476"/>
      <c r="BK116" s="112"/>
      <c r="BL116" s="106"/>
      <c r="BM116" s="244"/>
      <c r="BN116" s="66"/>
      <c r="BQ116" s="112"/>
      <c r="BR116" s="106"/>
      <c r="BS116" s="244"/>
      <c r="BT116" s="66"/>
      <c r="BW116" s="26"/>
    </row>
    <row r="117" spans="1:75" x14ac:dyDescent="0.35">
      <c r="A117" s="9168"/>
      <c r="B117" s="1654"/>
      <c r="C117" s="1654"/>
      <c r="D117" s="197"/>
      <c r="F117" s="4074"/>
      <c r="H117" s="4075"/>
      <c r="I117" s="3389"/>
      <c r="J117" s="64"/>
      <c r="L117" s="198"/>
      <c r="M117" s="157"/>
      <c r="O117" s="198"/>
      <c r="P117" s="157"/>
      <c r="R117" s="198"/>
      <c r="S117" s="656"/>
      <c r="T117" s="1122"/>
      <c r="U117" s="64"/>
      <c r="W117" s="198"/>
      <c r="X117" s="312"/>
      <c r="Y117" s="106"/>
      <c r="Z117" s="64"/>
      <c r="AB117" s="198"/>
      <c r="AC117" s="106"/>
      <c r="AD117" s="106"/>
      <c r="AE117" s="66"/>
      <c r="AG117" s="198"/>
      <c r="AH117" s="656"/>
      <c r="AI117" s="1122"/>
      <c r="AJ117" s="64"/>
      <c r="AL117" s="198"/>
      <c r="AM117" s="312"/>
      <c r="AN117" s="106"/>
      <c r="AO117" s="64"/>
      <c r="AQ117" s="198"/>
      <c r="AR117" s="106"/>
      <c r="AS117" s="106"/>
      <c r="AT117" s="66"/>
      <c r="AV117" s="198"/>
      <c r="AW117" s="312"/>
      <c r="AX117" s="106"/>
      <c r="AY117" s="64"/>
      <c r="BA117" s="198"/>
      <c r="BB117" s="106"/>
      <c r="BC117" s="106"/>
      <c r="BD117" s="66"/>
      <c r="BE117" s="26"/>
      <c r="BF117" s="112"/>
      <c r="BG117" s="244"/>
      <c r="BH117" s="106"/>
      <c r="BI117" s="476"/>
      <c r="BK117" s="112"/>
      <c r="BL117" s="106"/>
      <c r="BM117" s="244"/>
      <c r="BN117" s="66"/>
      <c r="BQ117" s="112"/>
      <c r="BR117" s="106"/>
      <c r="BS117" s="244"/>
      <c r="BT117" s="66"/>
      <c r="BW117" s="26"/>
    </row>
    <row r="118" spans="1:75" x14ac:dyDescent="0.35">
      <c r="A118" s="9168"/>
      <c r="B118" s="1654"/>
      <c r="C118" s="1654"/>
      <c r="D118" s="197"/>
      <c r="F118" s="4074"/>
      <c r="H118" s="4075"/>
      <c r="I118" s="3389"/>
      <c r="J118" s="64"/>
      <c r="L118" s="198"/>
      <c r="M118" s="157"/>
      <c r="O118" s="198"/>
      <c r="P118" s="157"/>
      <c r="R118" s="211"/>
      <c r="S118" s="4076"/>
      <c r="T118" s="4077"/>
      <c r="U118" s="133"/>
      <c r="W118" s="211"/>
      <c r="X118" s="312"/>
      <c r="Y118" s="216"/>
      <c r="Z118" s="133"/>
      <c r="AB118" s="211"/>
      <c r="AC118" s="216"/>
      <c r="AD118" s="216"/>
      <c r="AE118" s="92"/>
      <c r="AG118" s="211"/>
      <c r="AH118" s="4076"/>
      <c r="AI118" s="4077"/>
      <c r="AJ118" s="133"/>
      <c r="AL118" s="211"/>
      <c r="AM118" s="312"/>
      <c r="AN118" s="216"/>
      <c r="AO118" s="133"/>
      <c r="AQ118" s="211"/>
      <c r="AR118" s="216"/>
      <c r="AS118" s="216"/>
      <c r="AT118" s="92"/>
      <c r="AV118" s="211"/>
      <c r="AW118" s="312"/>
      <c r="AX118" s="216"/>
      <c r="AY118" s="133"/>
      <c r="BA118" s="211"/>
      <c r="BB118" s="216"/>
      <c r="BC118" s="216"/>
      <c r="BD118" s="92"/>
      <c r="BE118" s="26"/>
      <c r="BF118" s="131"/>
      <c r="BG118" s="215"/>
      <c r="BH118" s="216"/>
      <c r="BI118" s="484"/>
      <c r="BK118" s="217"/>
      <c r="BL118" s="216"/>
      <c r="BM118" s="215"/>
      <c r="BN118" s="92"/>
      <c r="BQ118" s="217"/>
      <c r="BR118" s="216"/>
      <c r="BS118" s="215"/>
      <c r="BT118" s="92"/>
      <c r="BW118" s="26"/>
    </row>
    <row r="119" spans="1:75" x14ac:dyDescent="0.35">
      <c r="A119" s="9168"/>
      <c r="B119" s="271" t="s">
        <v>540</v>
      </c>
      <c r="C119" s="271"/>
      <c r="D119" s="184"/>
      <c r="E119" s="141"/>
      <c r="F119" s="4078">
        <f>$O119</f>
        <v>0.6819552753159277</v>
      </c>
      <c r="G119" s="141"/>
      <c r="H119" s="4078">
        <f t="shared" ref="H119:I119" si="88">$O119</f>
        <v>0.6819552753159277</v>
      </c>
      <c r="I119" s="4078">
        <f t="shared" si="88"/>
        <v>0.6819552753159277</v>
      </c>
      <c r="J119" s="267"/>
      <c r="K119" s="141"/>
      <c r="L119" s="4078">
        <f t="shared" ref="L119:M119" si="89">$O119</f>
        <v>0.6819552753159277</v>
      </c>
      <c r="M119" s="4078">
        <f t="shared" si="89"/>
        <v>0.6819552753159277</v>
      </c>
      <c r="N119" s="141"/>
      <c r="O119" s="4079">
        <f>O120/O37</f>
        <v>0.6819552753159277</v>
      </c>
      <c r="P119" s="268"/>
      <c r="Q119" s="141"/>
      <c r="R119" s="245"/>
      <c r="S119" s="106"/>
      <c r="T119" s="53"/>
      <c r="U119" s="267"/>
      <c r="V119" s="141"/>
      <c r="W119" s="245"/>
      <c r="X119" s="2909"/>
      <c r="Y119" s="57"/>
      <c r="Z119" s="267"/>
      <c r="AA119" s="141"/>
      <c r="AB119" s="245"/>
      <c r="AC119" s="57"/>
      <c r="AD119" s="57"/>
      <c r="AE119" s="237"/>
      <c r="AF119" s="141"/>
      <c r="AG119" s="245"/>
      <c r="AH119" s="106"/>
      <c r="AI119" s="53"/>
      <c r="AJ119" s="267"/>
      <c r="AK119" s="141"/>
      <c r="AL119" s="245"/>
      <c r="AM119" s="2909"/>
      <c r="AN119" s="57"/>
      <c r="AO119" s="267"/>
      <c r="AP119" s="141"/>
      <c r="AQ119" s="245"/>
      <c r="AR119" s="57"/>
      <c r="AS119" s="57"/>
      <c r="AT119" s="237"/>
      <c r="AU119" s="141"/>
      <c r="AV119" s="245"/>
      <c r="AW119" s="2909"/>
      <c r="AX119" s="57"/>
      <c r="AY119" s="267"/>
      <c r="AZ119" s="141"/>
      <c r="BA119" s="245" t="s">
        <v>6613</v>
      </c>
      <c r="BB119" s="57"/>
      <c r="BC119" s="57"/>
      <c r="BD119" s="237"/>
      <c r="BE119" s="18"/>
      <c r="BF119" s="245"/>
      <c r="BG119" s="106"/>
      <c r="BH119" s="57" t="s">
        <v>6614</v>
      </c>
      <c r="BI119" s="518"/>
      <c r="BJ119" s="141"/>
      <c r="BK119" s="245"/>
      <c r="BL119" s="57" t="s">
        <v>6614</v>
      </c>
      <c r="BM119" s="106"/>
      <c r="BN119" s="237"/>
      <c r="BO119" s="141"/>
      <c r="BP119" s="141"/>
      <c r="BQ119" s="245"/>
      <c r="BR119" s="2669" t="s">
        <v>6615</v>
      </c>
      <c r="BS119" s="106"/>
      <c r="BT119" s="237"/>
      <c r="BU119" s="141"/>
      <c r="BV119" s="141"/>
      <c r="BW119" s="18"/>
    </row>
    <row r="120" spans="1:75" x14ac:dyDescent="0.35">
      <c r="A120" s="9168"/>
      <c r="B120" s="240"/>
      <c r="C120" s="240"/>
      <c r="D120" s="197"/>
      <c r="F120" s="111">
        <f>F37*F119</f>
        <v>2304595441185.5142</v>
      </c>
      <c r="H120" s="112">
        <f>H37*H119</f>
        <v>3831491315.0878687</v>
      </c>
      <c r="I120" s="113">
        <f>I37*I119</f>
        <v>3552265142.9205246</v>
      </c>
      <c r="J120" s="64">
        <f t="shared" ref="J120:J124" si="90">IF(H120=0,0,I120/H120)</f>
        <v>0.92712337071787398</v>
      </c>
      <c r="L120" s="112">
        <f>L37*L119</f>
        <v>5864234174.7433662</v>
      </c>
      <c r="M120" s="157">
        <f>L120*J120</f>
        <v>5436868554.7670202</v>
      </c>
      <c r="O120" s="112">
        <v>6420714241</v>
      </c>
      <c r="P120" s="157">
        <f t="shared" ref="P120:P124" si="91">O120*J120</f>
        <v>5952794229.532176</v>
      </c>
      <c r="R120" s="112">
        <f>L120</f>
        <v>5864234174.7433662</v>
      </c>
      <c r="S120" s="263">
        <f>L120</f>
        <v>5864234174.7433662</v>
      </c>
      <c r="T120" s="106"/>
      <c r="U120" s="64"/>
      <c r="W120" s="248">
        <f>O120</f>
        <v>6420714241</v>
      </c>
      <c r="X120" s="4080">
        <f>P120</f>
        <v>5952794229.532176</v>
      </c>
      <c r="Y120" s="106"/>
      <c r="Z120" s="64"/>
      <c r="AB120" s="919">
        <f>W120*SUM(AB37:AB48)/SUM(W37:W48)</f>
        <v>6101869724.8483982</v>
      </c>
      <c r="AC120" s="254"/>
      <c r="AD120" s="106">
        <f>X120*SUM(AD37:AD48)/SUM(X37:X48)</f>
        <v>5657185781.4797764</v>
      </c>
      <c r="AE120" s="66"/>
      <c r="AG120" s="112">
        <f>W120</f>
        <v>6420714241</v>
      </c>
      <c r="AH120" s="263"/>
      <c r="AI120" s="106"/>
      <c r="AJ120" s="64"/>
      <c r="AL120" s="248">
        <f>AG120*SUM(AL37:AL48)/SUM(AG37:AG48)</f>
        <v>6101869724.8483982</v>
      </c>
      <c r="AM120" s="4080">
        <f>AE120</f>
        <v>0</v>
      </c>
      <c r="AN120" s="106"/>
      <c r="AO120" s="64"/>
      <c r="AQ120" s="919">
        <f>AL120*SUM(AQ37:AQ48)/SUM(AL37:AL48)</f>
        <v>7250953135.6760254</v>
      </c>
      <c r="AR120" s="254"/>
      <c r="AS120" s="106"/>
      <c r="AT120" s="66"/>
      <c r="AV120" s="919">
        <f>AQ120*SUM(AV37:AV48)/SUM(AQ37:AQ48)</f>
        <v>7250953135.6760244</v>
      </c>
      <c r="AW120" s="4080"/>
      <c r="AX120" s="106"/>
      <c r="AY120" s="64"/>
      <c r="BA120" s="919">
        <f>8115546801</f>
        <v>8115546801</v>
      </c>
      <c r="BB120" s="254" t="s">
        <v>6616</v>
      </c>
      <c r="BC120" s="106" t="e">
        <f>AW120*SUM(BC37:BC48)/SUM(AW37:AW48)</f>
        <v>#DIV/0!</v>
      </c>
      <c r="BD120" s="66"/>
      <c r="BE120" s="26"/>
      <c r="BF120" s="117">
        <v>5056950</v>
      </c>
      <c r="BG120" s="263"/>
      <c r="BH120" s="1941" t="s">
        <v>2544</v>
      </c>
      <c r="BI120" s="476"/>
      <c r="BK120" s="114">
        <v>5057730</v>
      </c>
      <c r="BL120" s="1941" t="s">
        <v>2544</v>
      </c>
      <c r="BM120" s="263"/>
      <c r="BN120" s="66"/>
      <c r="BQ120" s="112">
        <f>BJ120</f>
        <v>0</v>
      </c>
      <c r="BS120" s="263"/>
      <c r="BT120" s="66"/>
      <c r="BW120" s="26"/>
    </row>
    <row r="121" spans="1:75" x14ac:dyDescent="0.35">
      <c r="A121" s="9168"/>
      <c r="B121" s="240"/>
      <c r="C121" s="240"/>
      <c r="D121" s="197"/>
      <c r="F121" s="155"/>
      <c r="H121" s="117"/>
      <c r="I121" s="115"/>
      <c r="J121" s="64">
        <f t="shared" si="90"/>
        <v>0</v>
      </c>
      <c r="L121" s="117"/>
      <c r="M121" s="157">
        <f t="shared" ref="M121" si="92">L121*G121</f>
        <v>0</v>
      </c>
      <c r="O121" s="117"/>
      <c r="P121" s="157">
        <f t="shared" si="91"/>
        <v>0</v>
      </c>
      <c r="R121" s="117"/>
      <c r="S121" s="201"/>
      <c r="T121" s="106"/>
      <c r="U121" s="64"/>
      <c r="W121" s="200"/>
      <c r="X121" s="312"/>
      <c r="Y121" s="106"/>
      <c r="Z121" s="64"/>
      <c r="AB121" s="919"/>
      <c r="AC121" s="254"/>
      <c r="AD121" s="106"/>
      <c r="AE121" s="66"/>
      <c r="AG121" s="117"/>
      <c r="AH121" s="201"/>
      <c r="AI121" s="106"/>
      <c r="AJ121" s="64"/>
      <c r="AL121" s="200"/>
      <c r="AM121" s="312"/>
      <c r="AN121" s="106"/>
      <c r="AO121" s="64"/>
      <c r="AQ121" s="919"/>
      <c r="AR121" s="254"/>
      <c r="AS121" s="106"/>
      <c r="AT121" s="66"/>
      <c r="AV121" s="919"/>
      <c r="AW121" s="312"/>
      <c r="AX121" s="106"/>
      <c r="AY121" s="64"/>
      <c r="BA121" s="919">
        <f>10614497</f>
        <v>10614497</v>
      </c>
      <c r="BB121" s="254" t="s">
        <v>6617</v>
      </c>
      <c r="BC121" s="106"/>
      <c r="BD121" s="66"/>
      <c r="BE121" s="26"/>
      <c r="BF121" s="117">
        <v>10614497</v>
      </c>
      <c r="BG121" s="201"/>
      <c r="BH121" s="1941" t="s">
        <v>548</v>
      </c>
      <c r="BI121" s="476"/>
      <c r="BK121" s="114">
        <v>11251776</v>
      </c>
      <c r="BL121" s="1941" t="s">
        <v>548</v>
      </c>
      <c r="BM121" s="201"/>
      <c r="BN121" s="66"/>
      <c r="BQ121" s="112">
        <f t="shared" ref="BQ121:BQ122" si="93">BJ121</f>
        <v>0</v>
      </c>
      <c r="BR121" s="1941"/>
      <c r="BS121" s="201"/>
      <c r="BT121" s="66"/>
      <c r="BW121" s="26"/>
    </row>
    <row r="122" spans="1:75" x14ac:dyDescent="0.35">
      <c r="A122" s="9168"/>
      <c r="B122" s="240"/>
      <c r="C122" s="240"/>
      <c r="D122" s="197"/>
      <c r="F122" s="163"/>
      <c r="H122" s="242"/>
      <c r="I122" s="243"/>
      <c r="J122" s="64">
        <f t="shared" si="90"/>
        <v>0</v>
      </c>
      <c r="L122" s="242"/>
      <c r="M122" s="157"/>
      <c r="O122" s="242"/>
      <c r="P122" s="157"/>
      <c r="R122" s="242"/>
      <c r="S122" s="201"/>
      <c r="T122" s="106"/>
      <c r="U122" s="64"/>
      <c r="W122" s="164"/>
      <c r="X122" s="312"/>
      <c r="Y122" s="106"/>
      <c r="Z122" s="64"/>
      <c r="AB122" s="919"/>
      <c r="AC122" s="106"/>
      <c r="AD122" s="259"/>
      <c r="AE122" s="66"/>
      <c r="AG122" s="242"/>
      <c r="AH122" s="201"/>
      <c r="AI122" s="106"/>
      <c r="AJ122" s="64"/>
      <c r="AL122" s="164"/>
      <c r="AM122" s="312"/>
      <c r="AN122" s="106"/>
      <c r="AO122" s="64"/>
      <c r="AQ122" s="919"/>
      <c r="AR122" s="106"/>
      <c r="AS122" s="259"/>
      <c r="AT122" s="66"/>
      <c r="AV122" s="919"/>
      <c r="AW122" s="312"/>
      <c r="AX122" s="106"/>
      <c r="AY122" s="64"/>
      <c r="BA122" s="919"/>
      <c r="BB122" s="106"/>
      <c r="BC122" s="259"/>
      <c r="BD122" s="66"/>
      <c r="BE122" s="26"/>
      <c r="BF122" s="117">
        <v>8115546801</v>
      </c>
      <c r="BG122" s="233"/>
      <c r="BH122" s="1941" t="s">
        <v>6402</v>
      </c>
      <c r="BI122" s="476"/>
      <c r="BK122" s="114">
        <v>9120878789</v>
      </c>
      <c r="BL122" s="1941" t="s">
        <v>6402</v>
      </c>
      <c r="BM122" s="233"/>
      <c r="BN122" s="66"/>
      <c r="BQ122" s="112">
        <f t="shared" si="93"/>
        <v>0</v>
      </c>
      <c r="BR122" s="1941"/>
      <c r="BS122" s="233"/>
      <c r="BT122" s="66"/>
      <c r="BW122" s="26"/>
    </row>
    <row r="123" spans="1:75" x14ac:dyDescent="0.35">
      <c r="A123" s="9168"/>
      <c r="B123" s="240"/>
      <c r="C123" s="240"/>
      <c r="D123" s="197"/>
      <c r="F123" s="163"/>
      <c r="H123" s="242"/>
      <c r="I123" s="243"/>
      <c r="J123" s="64">
        <f t="shared" si="90"/>
        <v>0</v>
      </c>
      <c r="L123" s="242"/>
      <c r="M123" s="157">
        <f t="shared" ref="M123:M124" si="94">L123*G123</f>
        <v>0</v>
      </c>
      <c r="O123" s="242"/>
      <c r="P123" s="157">
        <f t="shared" si="91"/>
        <v>0</v>
      </c>
      <c r="R123" s="242"/>
      <c r="S123" s="201"/>
      <c r="T123" s="106"/>
      <c r="U123" s="64"/>
      <c r="W123" s="164"/>
      <c r="X123" s="312"/>
      <c r="Y123" s="106"/>
      <c r="Z123" s="64"/>
      <c r="AB123" s="919"/>
      <c r="AC123" s="106"/>
      <c r="AD123" s="106"/>
      <c r="AE123" s="66"/>
      <c r="AG123" s="242"/>
      <c r="AH123" s="201"/>
      <c r="AI123" s="106"/>
      <c r="AJ123" s="64"/>
      <c r="AL123" s="164"/>
      <c r="AM123" s="312"/>
      <c r="AN123" s="106"/>
      <c r="AO123" s="64"/>
      <c r="AQ123" s="919"/>
      <c r="AR123" s="106"/>
      <c r="AS123" s="106"/>
      <c r="AT123" s="66"/>
      <c r="AV123" s="919"/>
      <c r="AW123" s="312"/>
      <c r="AX123" s="106"/>
      <c r="AY123" s="64"/>
      <c r="BA123" s="919"/>
      <c r="BB123" s="106"/>
      <c r="BC123" s="106"/>
      <c r="BD123" s="66"/>
      <c r="BE123" s="26"/>
      <c r="BF123" s="117"/>
      <c r="BG123" s="201"/>
      <c r="BI123" s="476"/>
      <c r="BK123" s="919"/>
      <c r="BL123" s="106"/>
      <c r="BM123" s="201"/>
      <c r="BN123" s="66"/>
      <c r="BQ123" s="919"/>
      <c r="BR123" s="106"/>
      <c r="BS123" s="201"/>
      <c r="BT123" s="66"/>
      <c r="BW123" s="26"/>
    </row>
    <row r="124" spans="1:75" x14ac:dyDescent="0.35">
      <c r="A124" s="9168"/>
      <c r="B124" s="250"/>
      <c r="C124" s="240" t="s">
        <v>704</v>
      </c>
      <c r="D124" s="209"/>
      <c r="F124" s="130"/>
      <c r="H124" s="242"/>
      <c r="I124" s="243"/>
      <c r="J124" s="64">
        <f t="shared" si="90"/>
        <v>0</v>
      </c>
      <c r="L124" s="242"/>
      <c r="M124" s="157">
        <f t="shared" si="94"/>
        <v>0</v>
      </c>
      <c r="O124" s="242"/>
      <c r="P124" s="157">
        <f t="shared" si="91"/>
        <v>0</v>
      </c>
      <c r="R124" s="242"/>
      <c r="S124" s="201"/>
      <c r="T124" s="216"/>
      <c r="U124" s="64"/>
      <c r="W124" s="164"/>
      <c r="X124" s="312"/>
      <c r="Y124" s="216"/>
      <c r="Z124" s="64"/>
      <c r="AB124" s="4081"/>
      <c r="AC124" s="216"/>
      <c r="AD124" s="216"/>
      <c r="AE124" s="92"/>
      <c r="AG124" s="242"/>
      <c r="AH124" s="201"/>
      <c r="AI124" s="216"/>
      <c r="AJ124" s="64"/>
      <c r="AL124" s="164"/>
      <c r="AM124" s="312"/>
      <c r="AN124" s="216"/>
      <c r="AO124" s="64"/>
      <c r="AQ124" s="4081"/>
      <c r="AR124" s="216"/>
      <c r="AS124" s="216"/>
      <c r="AT124" s="92"/>
      <c r="AV124" s="4081"/>
      <c r="AW124" s="312"/>
      <c r="AX124" s="216"/>
      <c r="AY124" s="64"/>
      <c r="BA124" s="4081"/>
      <c r="BB124" s="216"/>
      <c r="BC124" s="216"/>
      <c r="BD124" s="92"/>
      <c r="BE124" s="24"/>
      <c r="BF124" s="4082"/>
      <c r="BG124" s="201"/>
      <c r="BH124" s="216"/>
      <c r="BI124" s="476"/>
      <c r="BK124" s="4081"/>
      <c r="BL124" s="216"/>
      <c r="BM124" s="201"/>
      <c r="BN124" s="92"/>
      <c r="BQ124" s="4081"/>
      <c r="BR124" s="216"/>
      <c r="BS124" s="201"/>
      <c r="BT124" s="92"/>
      <c r="BW124" s="24"/>
    </row>
    <row r="125" spans="1:75" x14ac:dyDescent="0.35">
      <c r="A125" s="9168"/>
      <c r="B125" s="271" t="s">
        <v>2230</v>
      </c>
      <c r="C125" s="271"/>
      <c r="D125" s="184"/>
      <c r="E125" s="143"/>
      <c r="F125" s="227"/>
      <c r="G125" s="143"/>
      <c r="H125" s="102"/>
      <c r="I125" s="103"/>
      <c r="J125" s="228"/>
      <c r="K125" s="143"/>
      <c r="L125" s="102"/>
      <c r="M125" s="268"/>
      <c r="N125" s="143"/>
      <c r="O125" s="102"/>
      <c r="P125" s="268"/>
      <c r="Q125" s="143"/>
      <c r="R125" s="102"/>
      <c r="S125" s="103"/>
      <c r="T125" s="106"/>
      <c r="U125" s="228"/>
      <c r="V125" s="143"/>
      <c r="W125" s="102"/>
      <c r="X125" s="2909"/>
      <c r="Y125" s="106"/>
      <c r="Z125" s="228"/>
      <c r="AA125" s="143"/>
      <c r="AB125" s="102"/>
      <c r="AC125" s="106"/>
      <c r="AD125" s="103"/>
      <c r="AE125" s="66"/>
      <c r="AF125" s="143"/>
      <c r="AG125" s="102"/>
      <c r="AH125" s="103"/>
      <c r="AI125" s="106"/>
      <c r="AJ125" s="228"/>
      <c r="AK125" s="143"/>
      <c r="AL125" s="102"/>
      <c r="AM125" s="2909"/>
      <c r="AN125" s="106"/>
      <c r="AO125" s="228"/>
      <c r="AP125" s="143"/>
      <c r="AQ125" s="102"/>
      <c r="AR125" s="106"/>
      <c r="AS125" s="103"/>
      <c r="AT125" s="66"/>
      <c r="AU125" s="143"/>
      <c r="AV125" s="102"/>
      <c r="AW125" s="2909"/>
      <c r="AX125" s="106"/>
      <c r="AY125" s="228"/>
      <c r="AZ125" s="143"/>
      <c r="BA125" s="102"/>
      <c r="BB125" s="106"/>
      <c r="BC125" s="103"/>
      <c r="BD125" s="66"/>
      <c r="BE125" s="18"/>
      <c r="BF125" s="102"/>
      <c r="BG125" s="103"/>
      <c r="BH125" s="106"/>
      <c r="BI125" s="228"/>
      <c r="BJ125" s="143"/>
      <c r="BK125" s="102"/>
      <c r="BL125" s="106"/>
      <c r="BM125" s="103"/>
      <c r="BN125" s="66"/>
      <c r="BO125" s="143"/>
      <c r="BP125" s="143"/>
      <c r="BQ125" s="102"/>
      <c r="BR125" s="106"/>
      <c r="BS125" s="103"/>
      <c r="BT125" s="66"/>
      <c r="BU125" s="143"/>
      <c r="BV125" s="143"/>
      <c r="BW125" s="18"/>
    </row>
    <row r="126" spans="1:75" x14ac:dyDescent="0.35">
      <c r="A126" s="9168"/>
      <c r="B126" s="272"/>
      <c r="C126" s="272" t="s">
        <v>980</v>
      </c>
      <c r="D126" s="197"/>
      <c r="F126" s="155"/>
      <c r="H126" s="117"/>
      <c r="I126" s="115"/>
      <c r="J126" s="64">
        <f t="shared" ref="J126" si="95">IF(H126=0,0,I126/H126)</f>
        <v>0</v>
      </c>
      <c r="L126" s="117"/>
      <c r="M126" s="157">
        <f>M31*M129</f>
        <v>0</v>
      </c>
      <c r="O126" s="117"/>
      <c r="P126" s="157">
        <f>P31*P129</f>
        <v>0</v>
      </c>
      <c r="R126" s="117"/>
      <c r="S126" s="201"/>
      <c r="T126" s="106"/>
      <c r="U126" s="64"/>
      <c r="W126" s="200"/>
      <c r="X126" s="312"/>
      <c r="Y126" s="106"/>
      <c r="Z126" s="64"/>
      <c r="AB126" s="117"/>
      <c r="AC126" s="106"/>
      <c r="AD126" s="204"/>
      <c r="AE126" s="66"/>
      <c r="AG126" s="117"/>
      <c r="AH126" s="201"/>
      <c r="AI126" s="106"/>
      <c r="AJ126" s="64"/>
      <c r="AL126" s="200"/>
      <c r="AM126" s="312"/>
      <c r="AN126" s="106"/>
      <c r="AO126" s="64"/>
      <c r="AQ126" s="117"/>
      <c r="AR126" s="106"/>
      <c r="AS126" s="204"/>
      <c r="AT126" s="66"/>
      <c r="AV126" s="117"/>
      <c r="AW126" s="312"/>
      <c r="AX126" s="106"/>
      <c r="AY126" s="64"/>
      <c r="BA126" s="117"/>
      <c r="BB126" s="106"/>
      <c r="BC126" s="204"/>
      <c r="BD126" s="66"/>
      <c r="BE126" s="26"/>
      <c r="BF126" s="117"/>
      <c r="BG126" s="201"/>
      <c r="BH126" s="106"/>
      <c r="BI126" s="476"/>
      <c r="BK126" s="117"/>
      <c r="BL126" s="106"/>
      <c r="BM126" s="201"/>
      <c r="BN126" s="66"/>
      <c r="BQ126" s="117"/>
      <c r="BR126" s="106"/>
      <c r="BS126" s="201"/>
      <c r="BT126" s="66"/>
      <c r="BW126" s="26"/>
    </row>
    <row r="127" spans="1:75" x14ac:dyDescent="0.35">
      <c r="A127" s="9168"/>
      <c r="B127" s="274"/>
      <c r="C127" s="961" t="s">
        <v>11</v>
      </c>
      <c r="D127" s="197"/>
      <c r="F127" s="163"/>
      <c r="H127" s="242"/>
      <c r="I127" s="243"/>
      <c r="J127" s="64"/>
      <c r="L127" s="242"/>
      <c r="M127" s="157"/>
      <c r="O127" s="242"/>
      <c r="P127" s="157"/>
      <c r="R127" s="117"/>
      <c r="S127" s="201"/>
      <c r="T127" s="106"/>
      <c r="U127" s="64"/>
      <c r="W127" s="200"/>
      <c r="X127" s="312"/>
      <c r="Y127" s="106"/>
      <c r="Z127" s="64"/>
      <c r="AB127" s="117"/>
      <c r="AC127" s="106"/>
      <c r="AD127" s="165"/>
      <c r="AE127" s="66"/>
      <c r="AG127" s="117"/>
      <c r="AH127" s="201"/>
      <c r="AI127" s="106"/>
      <c r="AJ127" s="64"/>
      <c r="AL127" s="200"/>
      <c r="AM127" s="312"/>
      <c r="AN127" s="106"/>
      <c r="AO127" s="64"/>
      <c r="AQ127" s="117"/>
      <c r="AR127" s="106"/>
      <c r="AS127" s="165"/>
      <c r="AT127" s="66"/>
      <c r="AV127" s="117"/>
      <c r="AW127" s="312"/>
      <c r="AX127" s="106"/>
      <c r="AY127" s="64"/>
      <c r="BA127" s="117"/>
      <c r="BB127" s="106"/>
      <c r="BC127" s="165"/>
      <c r="BD127" s="66"/>
      <c r="BE127" s="26"/>
      <c r="BF127" s="117"/>
      <c r="BG127" s="201"/>
      <c r="BH127" s="106"/>
      <c r="BI127" s="476"/>
      <c r="BK127" s="117"/>
      <c r="BL127" s="106"/>
      <c r="BM127" s="201"/>
      <c r="BN127" s="66"/>
      <c r="BQ127" s="117"/>
      <c r="BR127" s="106"/>
      <c r="BS127" s="201"/>
      <c r="BT127" s="66"/>
      <c r="BW127" s="26"/>
    </row>
    <row r="128" spans="1:75" x14ac:dyDescent="0.35">
      <c r="A128" s="9168"/>
      <c r="B128" s="274"/>
      <c r="C128" s="961" t="s">
        <v>1116</v>
      </c>
      <c r="D128" s="197"/>
      <c r="F128" s="163"/>
      <c r="H128" s="242"/>
      <c r="I128" s="243"/>
      <c r="J128" s="64"/>
      <c r="L128" s="242"/>
      <c r="M128" s="157"/>
      <c r="O128" s="242"/>
      <c r="P128" s="157"/>
      <c r="R128" s="117"/>
      <c r="S128" s="201"/>
      <c r="T128" s="106"/>
      <c r="U128" s="64"/>
      <c r="W128" s="200"/>
      <c r="X128" s="312"/>
      <c r="Y128" s="106"/>
      <c r="Z128" s="64"/>
      <c r="AB128" s="117"/>
      <c r="AC128" s="106"/>
      <c r="AD128" s="165"/>
      <c r="AE128" s="66"/>
      <c r="AG128" s="117"/>
      <c r="AH128" s="201"/>
      <c r="AI128" s="106"/>
      <c r="AJ128" s="64"/>
      <c r="AL128" s="200"/>
      <c r="AM128" s="312"/>
      <c r="AN128" s="106"/>
      <c r="AO128" s="64"/>
      <c r="AQ128" s="117"/>
      <c r="AR128" s="106"/>
      <c r="AS128" s="165"/>
      <c r="AT128" s="66"/>
      <c r="AV128" s="117"/>
      <c r="AW128" s="312"/>
      <c r="AX128" s="106"/>
      <c r="AY128" s="64"/>
      <c r="BA128" s="117"/>
      <c r="BB128" s="106"/>
      <c r="BC128" s="165"/>
      <c r="BD128" s="66"/>
      <c r="BE128" s="26"/>
      <c r="BF128" s="117"/>
      <c r="BG128" s="201"/>
      <c r="BH128" s="106"/>
      <c r="BI128" s="476"/>
      <c r="BK128" s="117"/>
      <c r="BL128" s="106"/>
      <c r="BM128" s="201"/>
      <c r="BN128" s="66"/>
      <c r="BQ128" s="117"/>
      <c r="BR128" s="106"/>
      <c r="BS128" s="201"/>
      <c r="BT128" s="66"/>
      <c r="BW128" s="26"/>
    </row>
    <row r="129" spans="1:75" x14ac:dyDescent="0.35">
      <c r="A129" s="9168"/>
      <c r="B129" s="277"/>
      <c r="C129" s="277" t="s">
        <v>555</v>
      </c>
      <c r="D129" s="209"/>
      <c r="F129" s="665" t="e">
        <f>F126/F31</f>
        <v>#DIV/0!</v>
      </c>
      <c r="G129" s="666"/>
      <c r="H129" s="283" t="e">
        <f>H126/H31</f>
        <v>#DIV/0!</v>
      </c>
      <c r="I129" s="667" t="e">
        <f>I126/I31</f>
        <v>#DIV/0!</v>
      </c>
      <c r="J129" s="133"/>
      <c r="L129" s="283"/>
      <c r="M129" s="668"/>
      <c r="O129" s="283"/>
      <c r="P129" s="668"/>
      <c r="R129" s="4082"/>
      <c r="S129" s="132"/>
      <c r="T129" s="284"/>
      <c r="U129" s="133"/>
      <c r="W129" s="4083"/>
      <c r="X129" s="4084"/>
      <c r="Y129" s="284"/>
      <c r="Z129" s="133"/>
      <c r="AB129" s="4082"/>
      <c r="AC129" s="284"/>
      <c r="AD129" s="4085"/>
      <c r="AE129" s="1800"/>
      <c r="AG129" s="4082"/>
      <c r="AH129" s="132"/>
      <c r="AI129" s="284"/>
      <c r="AJ129" s="133"/>
      <c r="AL129" s="4083"/>
      <c r="AM129" s="4084"/>
      <c r="AN129" s="284"/>
      <c r="AO129" s="133"/>
      <c r="AQ129" s="4082"/>
      <c r="AR129" s="284"/>
      <c r="AS129" s="4085"/>
      <c r="AT129" s="1800"/>
      <c r="AV129" s="4082"/>
      <c r="AW129" s="4084"/>
      <c r="AX129" s="284"/>
      <c r="AY129" s="133"/>
      <c r="BA129" s="4082"/>
      <c r="BB129" s="284"/>
      <c r="BC129" s="4085"/>
      <c r="BD129" s="1800"/>
      <c r="BE129" s="24"/>
      <c r="BF129" s="4082"/>
      <c r="BG129" s="132"/>
      <c r="BH129" s="3329"/>
      <c r="BI129" s="484"/>
      <c r="BK129" s="4082"/>
      <c r="BL129" s="3329"/>
      <c r="BM129" s="132"/>
      <c r="BN129" s="3395"/>
      <c r="BQ129" s="4082"/>
      <c r="BR129" s="284"/>
      <c r="BS129" s="132"/>
      <c r="BT129" s="1800"/>
      <c r="BW129" s="24"/>
    </row>
    <row r="130" spans="1:75" x14ac:dyDescent="0.35">
      <c r="A130" s="9168"/>
      <c r="B130" s="141" t="s">
        <v>6618</v>
      </c>
      <c r="D130" s="197"/>
      <c r="F130" s="4086"/>
      <c r="G130" s="666"/>
      <c r="H130" s="4087"/>
      <c r="I130" s="4088"/>
      <c r="J130" s="64"/>
      <c r="L130" s="4087"/>
      <c r="M130" s="3558"/>
      <c r="O130" s="4087"/>
      <c r="P130" s="3558"/>
      <c r="R130" s="4089"/>
      <c r="S130" s="4090"/>
      <c r="T130" s="4091"/>
      <c r="U130" s="188"/>
      <c r="W130" s="4089"/>
      <c r="X130" s="4092"/>
      <c r="Y130" s="4091"/>
      <c r="Z130" s="188"/>
      <c r="AB130" s="4093"/>
      <c r="AC130" s="4094"/>
      <c r="AD130" s="4095"/>
      <c r="AE130" s="4096"/>
      <c r="AG130" s="4089"/>
      <c r="AH130" s="4090"/>
      <c r="AI130" s="4091"/>
      <c r="AJ130" s="188"/>
      <c r="AL130" s="4089"/>
      <c r="AM130" s="4092"/>
      <c r="AN130" s="4091"/>
      <c r="AO130" s="188"/>
      <c r="AQ130" s="4093"/>
      <c r="AR130" s="4094"/>
      <c r="AS130" s="4095"/>
      <c r="AT130" s="4096"/>
      <c r="AV130" s="4093"/>
      <c r="AW130" s="4092"/>
      <c r="AX130" s="4091"/>
      <c r="AY130" s="188"/>
      <c r="BA130" s="4093"/>
      <c r="BB130" s="4094"/>
      <c r="BC130" s="4095"/>
      <c r="BD130" s="4096"/>
      <c r="BE130" s="26"/>
      <c r="BF130" s="7655">
        <f>SUM(BF37:BF48)-SUM(BF50:BF52)+SUM(BF54:BF118)</f>
        <v>11642127740</v>
      </c>
      <c r="BG130" s="7656"/>
      <c r="BH130" s="7657" t="s">
        <v>6619</v>
      </c>
      <c r="BI130" s="7658"/>
      <c r="BJ130" s="7659"/>
      <c r="BK130" s="7655">
        <f>SUM(BK37:BK48)-SUM(BK50:BK52)+SUM(BK54:BK118)</f>
        <v>11600755147</v>
      </c>
      <c r="BL130" s="7660" t="s">
        <v>6619</v>
      </c>
      <c r="BM130" s="7656"/>
      <c r="BN130" s="7561"/>
      <c r="BQ130" s="8551">
        <f>SUM(BQ37:BQ48)-SUM(BQ50:BQ52)+SUM(BQ54:BQ118)</f>
        <v>58146895</v>
      </c>
      <c r="BR130" s="348"/>
      <c r="BS130" s="7656"/>
      <c r="BT130" s="4096"/>
      <c r="BW130" s="26"/>
    </row>
    <row r="131" spans="1:75" x14ac:dyDescent="0.35">
      <c r="A131" s="9168"/>
      <c r="B131" s="1"/>
      <c r="C131" s="1" t="s">
        <v>4825</v>
      </c>
      <c r="D131" s="197"/>
      <c r="F131" s="4086"/>
      <c r="G131" s="666"/>
      <c r="H131" s="4087"/>
      <c r="I131" s="4088"/>
      <c r="J131" s="64"/>
      <c r="L131" s="4087"/>
      <c r="M131" s="3558"/>
      <c r="O131" s="4087"/>
      <c r="P131" s="3558"/>
      <c r="R131" s="4093">
        <v>9384506123</v>
      </c>
      <c r="S131" s="1033">
        <v>8952688703</v>
      </c>
      <c r="T131" s="4094" t="s">
        <v>3833</v>
      </c>
      <c r="U131" s="64">
        <f t="shared" ref="U131" si="96">S131/R131</f>
        <v>0.95398613263817034</v>
      </c>
      <c r="W131" s="4093"/>
      <c r="X131" s="3655"/>
      <c r="Y131" s="4094"/>
      <c r="Z131" s="64"/>
      <c r="AB131" s="4093">
        <v>9143215926</v>
      </c>
      <c r="AC131" s="4094"/>
      <c r="AD131" s="4095"/>
      <c r="AE131" s="4096"/>
      <c r="AG131" s="4093"/>
      <c r="AH131" s="1033"/>
      <c r="AI131" s="4094" t="s">
        <v>3833</v>
      </c>
      <c r="AJ131" s="64" t="e">
        <f t="shared" ref="AJ131" si="97">AH131/AG131</f>
        <v>#DIV/0!</v>
      </c>
      <c r="AL131" s="4093">
        <v>9143215926</v>
      </c>
      <c r="AM131" s="3655"/>
      <c r="AN131" s="4094"/>
      <c r="AO131" s="64"/>
      <c r="AQ131" s="4093">
        <v>10641930000</v>
      </c>
      <c r="AR131" s="4094"/>
      <c r="AS131" s="4095"/>
      <c r="AT131" s="4096"/>
      <c r="AV131" s="4093">
        <f>AV38+AV39</f>
        <v>10641930000</v>
      </c>
      <c r="AW131" s="3655"/>
      <c r="AX131" s="4094"/>
      <c r="AY131" s="64"/>
      <c r="BA131" s="4093">
        <f>BA38</f>
        <v>12415900992</v>
      </c>
      <c r="BB131" s="4094"/>
      <c r="BC131" s="4095"/>
      <c r="BD131" s="4096"/>
      <c r="BE131" s="26"/>
      <c r="BF131" s="117">
        <v>12415900992</v>
      </c>
      <c r="BG131" s="7661"/>
      <c r="BH131" s="7662" t="s">
        <v>6620</v>
      </c>
      <c r="BI131" s="476"/>
      <c r="BJ131" s="143"/>
      <c r="BK131" s="117">
        <v>13912270665</v>
      </c>
      <c r="BL131" s="7662" t="s">
        <v>6620</v>
      </c>
      <c r="BM131" s="1033"/>
      <c r="BN131" s="7561"/>
      <c r="BQ131" s="117">
        <v>13121648466</v>
      </c>
      <c r="BR131" s="8552" t="s">
        <v>6621</v>
      </c>
      <c r="BS131" s="1033"/>
      <c r="BT131" s="4096"/>
      <c r="BW131" s="26"/>
    </row>
    <row r="132" spans="1:75" x14ac:dyDescent="0.35">
      <c r="A132" s="9168"/>
      <c r="B132" s="1"/>
      <c r="D132" s="197"/>
      <c r="F132" s="4086"/>
      <c r="G132" s="666"/>
      <c r="H132" s="4087"/>
      <c r="I132" s="4088"/>
      <c r="J132" s="64"/>
      <c r="L132" s="4087"/>
      <c r="M132" s="3558"/>
      <c r="O132" s="4087"/>
      <c r="P132" s="3558"/>
      <c r="R132" s="4093"/>
      <c r="S132" s="1033"/>
      <c r="T132" s="4094"/>
      <c r="U132" s="64"/>
      <c r="W132" s="4093"/>
      <c r="X132" s="3655"/>
      <c r="Y132" s="4094"/>
      <c r="Z132" s="64"/>
      <c r="AB132" s="4093"/>
      <c r="AC132" s="4094"/>
      <c r="AD132" s="4095"/>
      <c r="AE132" s="4096"/>
      <c r="AG132" s="4093"/>
      <c r="AH132" s="1033"/>
      <c r="AI132" s="4094"/>
      <c r="AJ132" s="64"/>
      <c r="AL132" s="4093"/>
      <c r="AM132" s="3655"/>
      <c r="AN132" s="4094"/>
      <c r="AO132" s="64"/>
      <c r="AQ132" s="4093"/>
      <c r="AR132" s="4094"/>
      <c r="AS132" s="4095"/>
      <c r="AT132" s="4096"/>
      <c r="AV132" s="4093"/>
      <c r="AW132" s="3655"/>
      <c r="AX132" s="4094"/>
      <c r="AY132" s="64"/>
      <c r="BA132" s="4093"/>
      <c r="BB132" s="4094"/>
      <c r="BC132" s="4095"/>
      <c r="BD132" s="4096"/>
      <c r="BE132" s="26"/>
      <c r="BF132" s="117"/>
      <c r="BG132" s="1033"/>
      <c r="BH132" s="3557"/>
      <c r="BI132" s="476"/>
      <c r="BK132" s="117"/>
      <c r="BL132" s="3557"/>
      <c r="BM132" s="1033"/>
      <c r="BN132" s="7561"/>
      <c r="BQ132" s="117"/>
      <c r="BR132" s="4094"/>
      <c r="BS132" s="1033"/>
      <c r="BT132" s="4096"/>
      <c r="BW132" s="26"/>
    </row>
    <row r="133" spans="1:75" x14ac:dyDescent="0.35">
      <c r="A133" s="9168"/>
      <c r="B133" s="1"/>
      <c r="D133" s="197"/>
      <c r="F133" s="4086"/>
      <c r="G133" s="666"/>
      <c r="H133" s="4087"/>
      <c r="I133" s="4088"/>
      <c r="J133" s="64"/>
      <c r="L133" s="4087"/>
      <c r="M133" s="3558"/>
      <c r="O133" s="4087"/>
      <c r="P133" s="3558"/>
      <c r="R133" s="4097"/>
      <c r="S133" s="212"/>
      <c r="T133" s="284"/>
      <c r="U133" s="133"/>
      <c r="W133" s="4097"/>
      <c r="X133" s="4084"/>
      <c r="Y133" s="284"/>
      <c r="Z133" s="133"/>
      <c r="AB133" s="4093"/>
      <c r="AC133" s="4094"/>
      <c r="AD133" s="4095"/>
      <c r="AE133" s="4096"/>
      <c r="AG133" s="4097"/>
      <c r="AH133" s="212"/>
      <c r="AI133" s="284"/>
      <c r="AJ133" s="133"/>
      <c r="AL133" s="4097"/>
      <c r="AM133" s="4084"/>
      <c r="AN133" s="284"/>
      <c r="AO133" s="133"/>
      <c r="AQ133" s="4093"/>
      <c r="AR133" s="4094"/>
      <c r="AS133" s="4095"/>
      <c r="AT133" s="4096"/>
      <c r="AV133" s="4093"/>
      <c r="AW133" s="4084"/>
      <c r="AX133" s="284"/>
      <c r="AY133" s="133"/>
      <c r="BA133" s="4093"/>
      <c r="BB133" s="4094"/>
      <c r="BC133" s="4095"/>
      <c r="BD133" s="4096"/>
      <c r="BE133" s="26"/>
      <c r="BF133" s="4082"/>
      <c r="BG133" s="212"/>
      <c r="BH133" s="3329"/>
      <c r="BI133" s="484"/>
      <c r="BK133" s="4082"/>
      <c r="BL133" s="3557"/>
      <c r="BM133" s="212"/>
      <c r="BN133" s="7561"/>
      <c r="BQ133" s="4082"/>
      <c r="BR133" s="4094"/>
      <c r="BS133" s="212"/>
      <c r="BT133" s="4096"/>
      <c r="BW133" s="26"/>
    </row>
    <row r="134" spans="1:75" ht="15.25" customHeight="1" x14ac:dyDescent="0.35">
      <c r="A134" s="9168"/>
      <c r="B134" s="287" t="s">
        <v>556</v>
      </c>
      <c r="C134" s="288"/>
      <c r="D134" s="184"/>
      <c r="E134" s="143"/>
      <c r="F134" s="289"/>
      <c r="G134" s="290"/>
      <c r="H134" s="291"/>
      <c r="I134" s="292"/>
      <c r="J134" s="293"/>
      <c r="L134" s="291"/>
      <c r="M134" s="268"/>
      <c r="N134" s="143"/>
      <c r="O134" s="291"/>
      <c r="P134" s="268"/>
      <c r="R134" s="1192"/>
      <c r="S134" s="1194"/>
      <c r="T134" s="106"/>
      <c r="U134" s="1195"/>
      <c r="W134" s="1192"/>
      <c r="X134" s="254"/>
      <c r="Y134" s="106"/>
      <c r="Z134" s="1195"/>
      <c r="AB134" s="291"/>
      <c r="AC134" s="106"/>
      <c r="AD134" s="292"/>
      <c r="AE134" s="66"/>
      <c r="AG134" s="1192"/>
      <c r="AH134" s="1194"/>
      <c r="AI134" s="106"/>
      <c r="AJ134" s="1195"/>
      <c r="AL134" s="1192"/>
      <c r="AM134" s="254"/>
      <c r="AN134" s="106"/>
      <c r="AO134" s="1195"/>
      <c r="AQ134" s="291"/>
      <c r="AR134" s="106"/>
      <c r="AS134" s="292"/>
      <c r="AT134" s="66"/>
      <c r="AV134" s="291"/>
      <c r="AW134" s="254"/>
      <c r="AX134" s="106"/>
      <c r="AY134" s="1195"/>
      <c r="BA134" s="291"/>
      <c r="BB134" s="106"/>
      <c r="BC134" s="292"/>
      <c r="BD134" s="66"/>
      <c r="BE134" s="18"/>
      <c r="BF134" s="291"/>
      <c r="BG134" s="1194"/>
      <c r="BH134" s="106"/>
      <c r="BI134" s="1195"/>
      <c r="BK134" s="291"/>
      <c r="BL134" s="106"/>
      <c r="BM134" s="1194"/>
      <c r="BN134" s="66"/>
      <c r="BQ134" s="291"/>
      <c r="BR134" s="106"/>
      <c r="BS134" s="1194"/>
      <c r="BT134" s="66"/>
      <c r="BW134" s="18"/>
    </row>
    <row r="135" spans="1:75" x14ac:dyDescent="0.35">
      <c r="A135" s="9168"/>
      <c r="B135" s="302"/>
      <c r="C135" s="59" t="s">
        <v>532</v>
      </c>
      <c r="D135" s="197"/>
      <c r="F135" s="521"/>
      <c r="G135" s="272"/>
      <c r="H135" s="304"/>
      <c r="I135" s="522"/>
      <c r="J135" s="297">
        <f t="shared" ref="J135:J138" si="98">IF(H135=0,0,I135/H135)</f>
        <v>0</v>
      </c>
      <c r="L135" s="304"/>
      <c r="M135" s="157">
        <f t="shared" ref="M135:M138" si="99">L135*G135</f>
        <v>0</v>
      </c>
      <c r="O135" s="304"/>
      <c r="P135" s="157">
        <f t="shared" ref="P135:P138" si="100">O135*J135</f>
        <v>0</v>
      </c>
      <c r="R135" s="62"/>
      <c r="S135" s="72"/>
      <c r="T135" s="57"/>
      <c r="U135" s="300"/>
      <c r="W135" s="71"/>
      <c r="X135" s="312">
        <f t="shared" ref="X135:X138" si="101">W135*R135</f>
        <v>0</v>
      </c>
      <c r="Y135" s="57"/>
      <c r="Z135" s="300"/>
      <c r="AB135" s="62"/>
      <c r="AC135" s="57"/>
      <c r="AD135" s="671"/>
      <c r="AE135" s="237"/>
      <c r="AG135" s="62"/>
      <c r="AH135" s="72"/>
      <c r="AI135" s="57"/>
      <c r="AJ135" s="300"/>
      <c r="AL135" s="71"/>
      <c r="AM135" s="312">
        <f t="shared" ref="AM135:AM138" si="102">AL135*AG135</f>
        <v>0</v>
      </c>
      <c r="AN135" s="57"/>
      <c r="AO135" s="300"/>
      <c r="AQ135" s="62"/>
      <c r="AR135" s="57"/>
      <c r="AS135" s="671"/>
      <c r="AT135" s="237"/>
      <c r="AV135" s="62"/>
      <c r="AW135" s="312"/>
      <c r="AX135" s="57"/>
      <c r="AY135" s="300"/>
      <c r="BA135" s="62"/>
      <c r="BB135" s="57"/>
      <c r="BC135" s="671"/>
      <c r="BD135" s="237"/>
      <c r="BE135" s="26"/>
      <c r="BF135" s="62"/>
      <c r="BG135" s="72"/>
      <c r="BH135" s="57"/>
      <c r="BI135" s="5605"/>
      <c r="BK135" s="62"/>
      <c r="BL135" s="57"/>
      <c r="BM135" s="72"/>
      <c r="BN135" s="237"/>
      <c r="BQ135" s="62"/>
      <c r="BR135" s="57"/>
      <c r="BS135" s="72"/>
      <c r="BT135" s="237"/>
      <c r="BW135" s="26"/>
    </row>
    <row r="136" spans="1:75" x14ac:dyDescent="0.35">
      <c r="A136" s="9168"/>
      <c r="B136" s="302"/>
      <c r="C136" s="59" t="s">
        <v>533</v>
      </c>
      <c r="D136" s="197"/>
      <c r="F136" s="61"/>
      <c r="G136" s="272"/>
      <c r="H136" s="62"/>
      <c r="I136" s="63"/>
      <c r="J136" s="297">
        <f t="shared" si="98"/>
        <v>0</v>
      </c>
      <c r="L136" s="62"/>
      <c r="M136" s="157">
        <f t="shared" si="99"/>
        <v>0</v>
      </c>
      <c r="O136" s="62"/>
      <c r="P136" s="157">
        <f t="shared" si="100"/>
        <v>0</v>
      </c>
      <c r="R136" s="62"/>
      <c r="S136" s="303"/>
      <c r="T136" s="57"/>
      <c r="U136" s="297"/>
      <c r="W136" s="71"/>
      <c r="X136" s="312">
        <f t="shared" si="101"/>
        <v>0</v>
      </c>
      <c r="Y136" s="57"/>
      <c r="Z136" s="297"/>
      <c r="AB136" s="304"/>
      <c r="AC136" s="57"/>
      <c r="AD136" s="671"/>
      <c r="AE136" s="237"/>
      <c r="AG136" s="62"/>
      <c r="AH136" s="303"/>
      <c r="AI136" s="57"/>
      <c r="AJ136" s="297"/>
      <c r="AL136" s="71"/>
      <c r="AM136" s="312">
        <f t="shared" si="102"/>
        <v>0</v>
      </c>
      <c r="AN136" s="57"/>
      <c r="AO136" s="297"/>
      <c r="AQ136" s="304"/>
      <c r="AR136" s="57"/>
      <c r="AS136" s="671"/>
      <c r="AT136" s="237"/>
      <c r="AV136" s="304"/>
      <c r="AW136" s="312"/>
      <c r="AX136" s="57"/>
      <c r="AY136" s="297"/>
      <c r="BA136" s="304"/>
      <c r="BB136" s="57"/>
      <c r="BC136" s="671"/>
      <c r="BD136" s="237"/>
      <c r="BE136" s="26"/>
      <c r="BF136" s="304"/>
      <c r="BG136" s="303"/>
      <c r="BH136" s="57"/>
      <c r="BI136" s="523"/>
      <c r="BK136" s="304"/>
      <c r="BL136" s="57"/>
      <c r="BM136" s="303"/>
      <c r="BN136" s="237"/>
      <c r="BQ136" s="304"/>
      <c r="BR136" s="57"/>
      <c r="BS136" s="303"/>
      <c r="BT136" s="237"/>
      <c r="BW136" s="26"/>
    </row>
    <row r="137" spans="1:75" x14ac:dyDescent="0.35">
      <c r="A137" s="9168"/>
      <c r="B137" s="305"/>
      <c r="C137" s="59" t="s">
        <v>534</v>
      </c>
      <c r="D137" s="197"/>
      <c r="F137" s="61"/>
      <c r="G137" s="272"/>
      <c r="H137" s="62"/>
      <c r="I137" s="63"/>
      <c r="J137" s="297">
        <f t="shared" si="98"/>
        <v>0</v>
      </c>
      <c r="L137" s="62"/>
      <c r="M137" s="157">
        <f t="shared" si="99"/>
        <v>0</v>
      </c>
      <c r="O137" s="62"/>
      <c r="P137" s="157">
        <f t="shared" si="100"/>
        <v>0</v>
      </c>
      <c r="R137" s="62"/>
      <c r="S137" s="72"/>
      <c r="T137" s="57"/>
      <c r="U137" s="297"/>
      <c r="W137" s="71"/>
      <c r="X137" s="312">
        <f t="shared" si="101"/>
        <v>0</v>
      </c>
      <c r="Y137" s="57"/>
      <c r="Z137" s="297"/>
      <c r="AB137" s="62"/>
      <c r="AC137" s="57"/>
      <c r="AD137" s="671"/>
      <c r="AE137" s="237"/>
      <c r="AG137" s="62"/>
      <c r="AH137" s="72"/>
      <c r="AI137" s="57"/>
      <c r="AJ137" s="297"/>
      <c r="AL137" s="71"/>
      <c r="AM137" s="312">
        <f t="shared" si="102"/>
        <v>0</v>
      </c>
      <c r="AN137" s="57"/>
      <c r="AO137" s="297"/>
      <c r="AQ137" s="62"/>
      <c r="AR137" s="57"/>
      <c r="AS137" s="671"/>
      <c r="AT137" s="237"/>
      <c r="AV137" s="62"/>
      <c r="AW137" s="312"/>
      <c r="AX137" s="57"/>
      <c r="AY137" s="297"/>
      <c r="BA137" s="62"/>
      <c r="BB137" s="57"/>
      <c r="BC137" s="671"/>
      <c r="BD137" s="237"/>
      <c r="BE137" s="26"/>
      <c r="BF137" s="62"/>
      <c r="BG137" s="72"/>
      <c r="BH137" s="57"/>
      <c r="BI137" s="523"/>
      <c r="BK137" s="62"/>
      <c r="BL137" s="57"/>
      <c r="BM137" s="72"/>
      <c r="BN137" s="237"/>
      <c r="BQ137" s="62"/>
      <c r="BR137" s="57"/>
      <c r="BS137" s="72"/>
      <c r="BT137" s="237"/>
      <c r="BW137" s="26"/>
    </row>
    <row r="138" spans="1:75" x14ac:dyDescent="0.35">
      <c r="A138" s="9169"/>
      <c r="B138" s="306"/>
      <c r="C138" s="86" t="s">
        <v>536</v>
      </c>
      <c r="D138" s="209"/>
      <c r="F138" s="88"/>
      <c r="G138" s="274"/>
      <c r="H138" s="89"/>
      <c r="I138" s="90"/>
      <c r="J138" s="307">
        <f t="shared" si="98"/>
        <v>0</v>
      </c>
      <c r="L138" s="89"/>
      <c r="M138" s="213">
        <f t="shared" si="99"/>
        <v>0</v>
      </c>
      <c r="O138" s="89"/>
      <c r="P138" s="213">
        <f t="shared" si="100"/>
        <v>0</v>
      </c>
      <c r="R138" s="89"/>
      <c r="S138" s="308"/>
      <c r="T138" s="216"/>
      <c r="U138" s="307"/>
      <c r="W138" s="768"/>
      <c r="X138" s="3054">
        <f t="shared" si="101"/>
        <v>0</v>
      </c>
      <c r="Y138" s="216"/>
      <c r="Z138" s="307"/>
      <c r="AB138" s="89"/>
      <c r="AC138" s="216"/>
      <c r="AD138" s="672"/>
      <c r="AE138" s="92"/>
      <c r="AG138" s="89"/>
      <c r="AH138" s="308"/>
      <c r="AI138" s="216"/>
      <c r="AJ138" s="307"/>
      <c r="AL138" s="768"/>
      <c r="AM138" s="3054">
        <f t="shared" si="102"/>
        <v>0</v>
      </c>
      <c r="AN138" s="216"/>
      <c r="AO138" s="307"/>
      <c r="AQ138" s="89"/>
      <c r="AR138" s="216"/>
      <c r="AS138" s="672"/>
      <c r="AT138" s="92"/>
      <c r="AV138" s="89"/>
      <c r="AW138" s="3054"/>
      <c r="AX138" s="216"/>
      <c r="AY138" s="307"/>
      <c r="BA138" s="89"/>
      <c r="BB138" s="216"/>
      <c r="BC138" s="672"/>
      <c r="BD138" s="92"/>
      <c r="BE138" s="24"/>
      <c r="BF138" s="89"/>
      <c r="BG138" s="308"/>
      <c r="BH138" s="216"/>
      <c r="BI138" s="527"/>
      <c r="BK138" s="89"/>
      <c r="BL138" s="216"/>
      <c r="BM138" s="308"/>
      <c r="BN138" s="92"/>
      <c r="BQ138" s="89"/>
      <c r="BR138" s="216"/>
      <c r="BS138" s="308"/>
      <c r="BT138" s="92"/>
      <c r="BW138" s="24"/>
    </row>
    <row r="139" spans="1:75" x14ac:dyDescent="0.35">
      <c r="A139" s="310"/>
      <c r="B139" s="310"/>
      <c r="F139" s="106"/>
      <c r="H139" s="106"/>
      <c r="I139" s="106"/>
      <c r="J139" s="311"/>
      <c r="L139" s="106"/>
      <c r="M139" s="312"/>
      <c r="O139" s="106"/>
      <c r="P139" s="312"/>
      <c r="R139" s="106"/>
      <c r="S139" s="106"/>
      <c r="T139" s="106"/>
      <c r="U139" s="311"/>
      <c r="W139" s="106"/>
      <c r="X139" s="312"/>
      <c r="Y139" s="106"/>
      <c r="Z139" s="311"/>
      <c r="AB139" s="106"/>
      <c r="AC139" s="106"/>
      <c r="AD139" s="312"/>
      <c r="AE139" s="106"/>
      <c r="AG139" s="106"/>
      <c r="AH139" s="106"/>
      <c r="AI139" s="106"/>
      <c r="AJ139" s="311"/>
      <c r="AL139" s="106"/>
      <c r="AM139" s="312"/>
      <c r="AN139" s="106"/>
      <c r="AO139" s="311"/>
      <c r="AQ139" s="106"/>
      <c r="AR139" s="106"/>
      <c r="AS139" s="312"/>
      <c r="AT139" s="106"/>
      <c r="AV139" s="106"/>
      <c r="AW139" s="312"/>
      <c r="AX139" s="106"/>
      <c r="AY139" s="311"/>
      <c r="BA139" s="106"/>
      <c r="BB139" s="106"/>
      <c r="BC139" s="312"/>
      <c r="BD139" s="106"/>
      <c r="BF139" s="106"/>
      <c r="BG139" s="106"/>
      <c r="BH139" s="106"/>
      <c r="BI139" s="558"/>
      <c r="BK139" s="106"/>
      <c r="BL139" s="106"/>
      <c r="BM139" s="106"/>
      <c r="BN139" s="106"/>
      <c r="BQ139" s="106"/>
      <c r="BR139" s="106"/>
      <c r="BS139" s="106"/>
      <c r="BT139" s="106"/>
    </row>
    <row r="140" spans="1:75" x14ac:dyDescent="0.35">
      <c r="A140" s="9226" t="s">
        <v>1114</v>
      </c>
      <c r="B140" s="314" t="s">
        <v>6622</v>
      </c>
      <c r="C140" s="315"/>
      <c r="D140" s="184"/>
      <c r="F140" s="316"/>
      <c r="H140" s="317"/>
      <c r="I140" s="318"/>
      <c r="J140" s="319"/>
      <c r="L140" s="317"/>
      <c r="M140" s="318"/>
      <c r="O140" s="320"/>
      <c r="P140" s="1426"/>
      <c r="R140" s="317"/>
      <c r="S140" s="1687"/>
      <c r="T140" s="322" t="s">
        <v>6623</v>
      </c>
      <c r="U140" s="188"/>
      <c r="W140" s="317"/>
      <c r="X140" s="321"/>
      <c r="Y140" s="322" t="s">
        <v>6624</v>
      </c>
      <c r="Z140" s="188"/>
      <c r="AB140" s="317"/>
      <c r="AC140" s="109"/>
      <c r="AD140" s="4098"/>
      <c r="AE140" s="3377"/>
      <c r="AG140" s="317"/>
      <c r="AH140" s="1687"/>
      <c r="AI140" s="322" t="s">
        <v>6623</v>
      </c>
      <c r="AJ140" s="188"/>
      <c r="AL140" s="317"/>
      <c r="AM140" s="321"/>
      <c r="AN140" s="322"/>
      <c r="AO140" s="188"/>
      <c r="AQ140" s="317"/>
      <c r="AR140" s="109"/>
      <c r="AS140" s="4098"/>
      <c r="AT140" s="3377"/>
      <c r="AV140" s="317"/>
      <c r="AW140" s="321"/>
      <c r="AX140" s="322"/>
      <c r="AY140" s="188"/>
      <c r="BA140" s="317"/>
      <c r="BB140" s="109"/>
      <c r="BC140" s="4098"/>
      <c r="BD140" s="3377"/>
      <c r="BE140" s="319"/>
      <c r="BF140" s="317"/>
      <c r="BG140" s="1687"/>
      <c r="BH140" s="322"/>
      <c r="BI140" s="869"/>
      <c r="BK140" s="317"/>
      <c r="BL140" s="109"/>
      <c r="BM140" s="1687"/>
      <c r="BN140" s="3377"/>
      <c r="BQ140" s="317"/>
      <c r="BR140" s="109"/>
      <c r="BS140" s="1687"/>
      <c r="BT140" s="3377"/>
      <c r="BW140" s="3332"/>
    </row>
    <row r="141" spans="1:75" x14ac:dyDescent="0.35">
      <c r="A141" s="9227"/>
      <c r="B141" s="325"/>
      <c r="C141" s="326" t="s">
        <v>11</v>
      </c>
      <c r="D141" s="197"/>
      <c r="F141" s="327"/>
      <c r="H141" s="325"/>
      <c r="I141" s="328"/>
      <c r="J141" s="329"/>
      <c r="L141" s="325"/>
      <c r="M141" s="328"/>
      <c r="O141" s="330"/>
      <c r="P141" s="337"/>
      <c r="R141" s="330"/>
      <c r="S141" s="331"/>
      <c r="U141" s="64"/>
      <c r="W141" s="750">
        <f>46587001-W142</f>
        <v>4271775</v>
      </c>
      <c r="X141" s="331"/>
      <c r="Y141" s="6" t="s">
        <v>6625</v>
      </c>
      <c r="Z141" s="64"/>
      <c r="AB141" s="330"/>
      <c r="AC141" s="332"/>
      <c r="AD141" s="4099"/>
      <c r="AE141" s="1801"/>
      <c r="AG141" s="330">
        <f>46587001-AG142</f>
        <v>4271775</v>
      </c>
      <c r="AH141" s="331"/>
      <c r="AJ141" s="64"/>
      <c r="AL141" s="750"/>
      <c r="AM141" s="331"/>
      <c r="AO141" s="64"/>
      <c r="AQ141" s="330"/>
      <c r="AR141" s="332"/>
      <c r="AS141" s="4099"/>
      <c r="AT141" s="1801"/>
      <c r="AV141" s="330"/>
      <c r="AW141" s="331"/>
      <c r="AY141" s="64"/>
      <c r="BA141" s="330"/>
      <c r="BB141" s="332"/>
      <c r="BC141" s="4099"/>
      <c r="BD141" s="1801"/>
      <c r="BE141" s="329"/>
      <c r="BF141" s="330"/>
      <c r="BG141" s="331"/>
      <c r="BI141" s="476"/>
      <c r="BK141" s="330"/>
      <c r="BL141" s="332"/>
      <c r="BM141" s="331"/>
      <c r="BN141" s="1801"/>
      <c r="BQ141" s="330"/>
      <c r="BR141" s="332"/>
      <c r="BS141" s="331"/>
      <c r="BT141" s="1801"/>
      <c r="BW141" s="3333"/>
    </row>
    <row r="142" spans="1:75" x14ac:dyDescent="0.35">
      <c r="A142" s="9227"/>
      <c r="B142" s="335"/>
      <c r="C142" s="326" t="s">
        <v>1116</v>
      </c>
      <c r="D142" s="197"/>
      <c r="F142" s="336"/>
      <c r="H142" s="330"/>
      <c r="I142" s="337"/>
      <c r="J142" s="329"/>
      <c r="L142" s="330"/>
      <c r="M142" s="337"/>
      <c r="O142" s="330"/>
      <c r="P142" s="337"/>
      <c r="R142" s="330"/>
      <c r="S142" s="331"/>
      <c r="T142" s="106"/>
      <c r="U142" s="64"/>
      <c r="W142" s="750">
        <v>42315226</v>
      </c>
      <c r="X142" s="331"/>
      <c r="Y142" s="6" t="s">
        <v>6625</v>
      </c>
      <c r="Z142" s="64"/>
      <c r="AB142" s="330"/>
      <c r="AC142" s="106"/>
      <c r="AD142" s="4099"/>
      <c r="AE142" s="66"/>
      <c r="AG142" s="330">
        <v>42315226</v>
      </c>
      <c r="AH142" s="331"/>
      <c r="AI142" s="106"/>
      <c r="AJ142" s="64"/>
      <c r="AL142" s="750"/>
      <c r="AM142" s="331"/>
      <c r="AO142" s="64"/>
      <c r="AQ142" s="330"/>
      <c r="AR142" s="106"/>
      <c r="AS142" s="4099"/>
      <c r="AT142" s="66"/>
      <c r="AV142" s="330"/>
      <c r="AW142" s="331"/>
      <c r="AY142" s="64"/>
      <c r="BA142" s="330"/>
      <c r="BB142" s="106"/>
      <c r="BC142" s="4099"/>
      <c r="BD142" s="66"/>
      <c r="BE142" s="329"/>
      <c r="BF142" s="330"/>
      <c r="BG142" s="331"/>
      <c r="BI142" s="476"/>
      <c r="BK142" s="330"/>
      <c r="BL142" s="106"/>
      <c r="BM142" s="331"/>
      <c r="BN142" s="66"/>
      <c r="BQ142" s="330"/>
      <c r="BR142" s="106"/>
      <c r="BS142" s="331"/>
      <c r="BT142" s="66"/>
      <c r="BW142" s="3333"/>
    </row>
    <row r="143" spans="1:75" x14ac:dyDescent="0.35">
      <c r="A143" s="9227"/>
      <c r="B143" s="330" t="s">
        <v>6626</v>
      </c>
      <c r="C143" s="326"/>
      <c r="D143" s="197"/>
      <c r="F143" s="336"/>
      <c r="H143" s="330"/>
      <c r="I143" s="337"/>
      <c r="J143" s="329"/>
      <c r="L143" s="330"/>
      <c r="M143" s="337"/>
      <c r="O143" s="330"/>
      <c r="P143" s="337"/>
      <c r="R143" s="330"/>
      <c r="S143" s="331"/>
      <c r="T143" s="106"/>
      <c r="U143" s="64"/>
      <c r="W143" s="750"/>
      <c r="X143" s="331"/>
      <c r="Z143" s="64"/>
      <c r="AB143" s="330"/>
      <c r="AC143" s="106"/>
      <c r="AD143" s="4099"/>
      <c r="AE143" s="66"/>
      <c r="AG143" s="330"/>
      <c r="AH143" s="331"/>
      <c r="AI143" s="106"/>
      <c r="AJ143" s="64"/>
      <c r="AL143" s="750"/>
      <c r="AM143" s="331"/>
      <c r="AO143" s="64"/>
      <c r="AQ143" s="330"/>
      <c r="AR143" s="106"/>
      <c r="AS143" s="4099"/>
      <c r="AT143" s="66"/>
      <c r="AV143" s="330"/>
      <c r="AW143" s="331"/>
      <c r="AY143" s="64"/>
      <c r="BA143" s="330"/>
      <c r="BB143" s="106"/>
      <c r="BC143" s="4099"/>
      <c r="BD143" s="66"/>
      <c r="BE143" s="329"/>
      <c r="BF143" s="330"/>
      <c r="BG143" s="331"/>
      <c r="BI143" s="476"/>
      <c r="BK143" s="330"/>
      <c r="BL143" s="106"/>
      <c r="BM143" s="331"/>
      <c r="BN143" s="66"/>
      <c r="BQ143" s="330"/>
      <c r="BR143" s="106"/>
      <c r="BS143" s="331"/>
      <c r="BT143" s="66"/>
      <c r="BW143" s="3333"/>
    </row>
    <row r="144" spans="1:75" x14ac:dyDescent="0.35">
      <c r="A144" s="9227"/>
      <c r="B144" s="330"/>
      <c r="C144" s="326" t="s">
        <v>11</v>
      </c>
      <c r="D144" s="197"/>
      <c r="F144" s="336"/>
      <c r="H144" s="330"/>
      <c r="I144" s="337"/>
      <c r="J144" s="329"/>
      <c r="L144" s="330"/>
      <c r="M144" s="337"/>
      <c r="O144" s="330"/>
      <c r="P144" s="337"/>
      <c r="R144" s="330"/>
      <c r="S144" s="331"/>
      <c r="T144" s="106"/>
      <c r="U144" s="64"/>
      <c r="W144" s="750">
        <f>5318203379-W145</f>
        <v>5104592352</v>
      </c>
      <c r="X144" s="331"/>
      <c r="Y144" s="6" t="s">
        <v>6625</v>
      </c>
      <c r="Z144" s="64"/>
      <c r="AB144" s="330"/>
      <c r="AC144" s="106"/>
      <c r="AD144" s="4099"/>
      <c r="AE144" s="66"/>
      <c r="AG144" s="330">
        <f>5318203379-AG145</f>
        <v>5104592352</v>
      </c>
      <c r="AH144" s="331"/>
      <c r="AI144" s="106"/>
      <c r="AJ144" s="64"/>
      <c r="AL144" s="750"/>
      <c r="AM144" s="331"/>
      <c r="AO144" s="64"/>
      <c r="AQ144" s="330"/>
      <c r="AR144" s="106"/>
      <c r="AS144" s="4099"/>
      <c r="AT144" s="66"/>
      <c r="AV144" s="330"/>
      <c r="AW144" s="331"/>
      <c r="AY144" s="64"/>
      <c r="BA144" s="330"/>
      <c r="BB144" s="106"/>
      <c r="BC144" s="4099"/>
      <c r="BD144" s="66"/>
      <c r="BE144" s="329"/>
      <c r="BF144" s="330"/>
      <c r="BG144" s="331"/>
      <c r="BI144" s="476"/>
      <c r="BK144" s="330"/>
      <c r="BL144" s="106"/>
      <c r="BM144" s="331"/>
      <c r="BN144" s="66"/>
      <c r="BQ144" s="330"/>
      <c r="BR144" s="106"/>
      <c r="BS144" s="331"/>
      <c r="BT144" s="66"/>
      <c r="BW144" s="3333"/>
    </row>
    <row r="145" spans="1:75" x14ac:dyDescent="0.35">
      <c r="A145" s="9227"/>
      <c r="B145" s="330"/>
      <c r="C145" s="326" t="s">
        <v>1116</v>
      </c>
      <c r="D145" s="197"/>
      <c r="F145" s="336"/>
      <c r="H145" s="330"/>
      <c r="I145" s="337"/>
      <c r="J145" s="329"/>
      <c r="L145" s="330"/>
      <c r="M145" s="337"/>
      <c r="O145" s="330"/>
      <c r="P145" s="4100"/>
      <c r="R145" s="330"/>
      <c r="S145" s="338"/>
      <c r="T145" s="106"/>
      <c r="U145" s="64"/>
      <c r="W145" s="750">
        <v>213611027</v>
      </c>
      <c r="X145" s="338"/>
      <c r="Y145" s="6" t="s">
        <v>6625</v>
      </c>
      <c r="Z145" s="64"/>
      <c r="AB145" s="330"/>
      <c r="AC145" s="106"/>
      <c r="AD145" s="4099"/>
      <c r="AE145" s="66"/>
      <c r="AG145" s="330">
        <v>213611027</v>
      </c>
      <c r="AH145" s="338"/>
      <c r="AI145" s="106"/>
      <c r="AJ145" s="64"/>
      <c r="AL145" s="750"/>
      <c r="AM145" s="338"/>
      <c r="AO145" s="64"/>
      <c r="AQ145" s="330"/>
      <c r="AR145" s="106"/>
      <c r="AS145" s="4099"/>
      <c r="AT145" s="66"/>
      <c r="AV145" s="330"/>
      <c r="AW145" s="338"/>
      <c r="AY145" s="64"/>
      <c r="BA145" s="330"/>
      <c r="BB145" s="106"/>
      <c r="BC145" s="4099"/>
      <c r="BD145" s="66"/>
      <c r="BE145" s="329"/>
      <c r="BF145" s="330"/>
      <c r="BG145" s="338"/>
      <c r="BI145" s="476"/>
      <c r="BK145" s="330"/>
      <c r="BL145" s="106"/>
      <c r="BM145" s="338"/>
      <c r="BN145" s="66"/>
      <c r="BQ145" s="330"/>
      <c r="BR145" s="106"/>
      <c r="BS145" s="338"/>
      <c r="BT145" s="66"/>
      <c r="BW145" s="3333"/>
    </row>
    <row r="146" spans="1:75" x14ac:dyDescent="0.35">
      <c r="A146" s="9227"/>
      <c r="B146" s="330"/>
      <c r="C146" s="326"/>
      <c r="D146" s="197"/>
      <c r="F146" s="336"/>
      <c r="H146" s="330"/>
      <c r="I146" s="337"/>
      <c r="J146" s="329"/>
      <c r="L146" s="330"/>
      <c r="M146" s="337"/>
      <c r="O146" s="339"/>
      <c r="P146" s="1437"/>
      <c r="R146" s="330"/>
      <c r="S146" s="331"/>
      <c r="T146" s="106"/>
      <c r="U146" s="64"/>
      <c r="W146" s="750"/>
      <c r="X146" s="340"/>
      <c r="Y146" s="106"/>
      <c r="Z146" s="64"/>
      <c r="AB146" s="330"/>
      <c r="AC146" s="106"/>
      <c r="AD146" s="4099"/>
      <c r="AE146" s="66"/>
      <c r="AG146" s="330"/>
      <c r="AH146" s="331"/>
      <c r="AI146" s="106"/>
      <c r="AJ146" s="64"/>
      <c r="AL146" s="750"/>
      <c r="AM146" s="340"/>
      <c r="AN146" s="106"/>
      <c r="AO146" s="64"/>
      <c r="AQ146" s="330"/>
      <c r="AR146" s="106"/>
      <c r="AS146" s="4099"/>
      <c r="AT146" s="66"/>
      <c r="AV146" s="330"/>
      <c r="AW146" s="340"/>
      <c r="AX146" s="106"/>
      <c r="AY146" s="64"/>
      <c r="BA146" s="330"/>
      <c r="BB146" s="106"/>
      <c r="BC146" s="4099"/>
      <c r="BD146" s="66"/>
      <c r="BE146" s="329"/>
      <c r="BF146" s="330"/>
      <c r="BG146" s="331"/>
      <c r="BH146" s="106"/>
      <c r="BI146" s="476"/>
      <c r="BK146" s="330"/>
      <c r="BL146" s="106"/>
      <c r="BM146" s="331"/>
      <c r="BN146" s="66"/>
      <c r="BQ146" s="330"/>
      <c r="BR146" s="106"/>
      <c r="BS146" s="331"/>
      <c r="BT146" s="66"/>
      <c r="BW146" s="3333"/>
    </row>
    <row r="147" spans="1:75" x14ac:dyDescent="0.35">
      <c r="A147" s="9227"/>
      <c r="B147" s="330"/>
      <c r="C147" s="326"/>
      <c r="D147" s="197"/>
      <c r="F147" s="336"/>
      <c r="H147" s="330"/>
      <c r="I147" s="337"/>
      <c r="J147" s="329"/>
      <c r="L147" s="330"/>
      <c r="M147" s="337"/>
      <c r="O147" s="339"/>
      <c r="P147" s="1437"/>
      <c r="R147" s="330"/>
      <c r="S147" s="331"/>
      <c r="T147" s="106"/>
      <c r="U147" s="64"/>
      <c r="W147" s="750"/>
      <c r="X147" s="340"/>
      <c r="Y147" s="106"/>
      <c r="Z147" s="64"/>
      <c r="AB147" s="330"/>
      <c r="AC147" s="106"/>
      <c r="AD147" s="4099"/>
      <c r="AE147" s="66"/>
      <c r="AG147" s="330"/>
      <c r="AH147" s="331"/>
      <c r="AI147" s="106"/>
      <c r="AJ147" s="64"/>
      <c r="AL147" s="750"/>
      <c r="AM147" s="340"/>
      <c r="AN147" s="106"/>
      <c r="AO147" s="64"/>
      <c r="AQ147" s="330"/>
      <c r="AR147" s="106"/>
      <c r="AS147" s="4099"/>
      <c r="AT147" s="66"/>
      <c r="AV147" s="330"/>
      <c r="AW147" s="340"/>
      <c r="AX147" s="106"/>
      <c r="AY147" s="64"/>
      <c r="BA147" s="330"/>
      <c r="BB147" s="106"/>
      <c r="BC147" s="4099"/>
      <c r="BD147" s="66"/>
      <c r="BE147" s="329"/>
      <c r="BF147" s="330"/>
      <c r="BG147" s="331"/>
      <c r="BH147" s="106"/>
      <c r="BI147" s="476"/>
      <c r="BK147" s="330"/>
      <c r="BL147" s="106"/>
      <c r="BM147" s="331"/>
      <c r="BN147" s="66"/>
      <c r="BQ147" s="330"/>
      <c r="BR147" s="106"/>
      <c r="BS147" s="331"/>
      <c r="BT147" s="66"/>
      <c r="BW147" s="3333"/>
    </row>
    <row r="148" spans="1:75" x14ac:dyDescent="0.35">
      <c r="A148" s="9227"/>
      <c r="B148" s="330"/>
      <c r="C148" s="337"/>
      <c r="D148" s="197"/>
      <c r="F148" s="336"/>
      <c r="H148" s="330"/>
      <c r="I148" s="337"/>
      <c r="J148" s="329"/>
      <c r="L148" s="330"/>
      <c r="M148" s="337"/>
      <c r="O148" s="339"/>
      <c r="P148" s="1437"/>
      <c r="R148" s="330"/>
      <c r="S148" s="331"/>
      <c r="T148" s="106"/>
      <c r="U148" s="64"/>
      <c r="W148" s="750"/>
      <c r="X148" s="340"/>
      <c r="Y148" s="106"/>
      <c r="Z148" s="64"/>
      <c r="AB148" s="330"/>
      <c r="AC148" s="106"/>
      <c r="AD148" s="4099"/>
      <c r="AE148" s="66"/>
      <c r="AG148" s="330"/>
      <c r="AH148" s="331"/>
      <c r="AI148" s="106"/>
      <c r="AJ148" s="64"/>
      <c r="AL148" s="750"/>
      <c r="AM148" s="340"/>
      <c r="AN148" s="106"/>
      <c r="AO148" s="64"/>
      <c r="AQ148" s="330"/>
      <c r="AR148" s="106"/>
      <c r="AS148" s="4099"/>
      <c r="AT148" s="66"/>
      <c r="AV148" s="330"/>
      <c r="AW148" s="340"/>
      <c r="AX148" s="106"/>
      <c r="AY148" s="64"/>
      <c r="BA148" s="330"/>
      <c r="BB148" s="106"/>
      <c r="BC148" s="4099"/>
      <c r="BD148" s="66"/>
      <c r="BE148" s="329"/>
      <c r="BF148" s="330"/>
      <c r="BG148" s="331"/>
      <c r="BH148" s="106"/>
      <c r="BI148" s="476"/>
      <c r="BK148" s="330"/>
      <c r="BL148" s="106"/>
      <c r="BM148" s="331"/>
      <c r="BN148" s="66"/>
      <c r="BQ148" s="330"/>
      <c r="BR148" s="106"/>
      <c r="BS148" s="331"/>
      <c r="BT148" s="66"/>
      <c r="BW148" s="3333"/>
    </row>
    <row r="149" spans="1:75" x14ac:dyDescent="0.35">
      <c r="A149" s="9228"/>
      <c r="B149" s="341"/>
      <c r="C149" s="342"/>
      <c r="D149" s="209"/>
      <c r="F149" s="343"/>
      <c r="H149" s="341"/>
      <c r="I149" s="342"/>
      <c r="J149" s="344"/>
      <c r="L149" s="341"/>
      <c r="M149" s="342"/>
      <c r="O149" s="345"/>
      <c r="P149" s="1442"/>
      <c r="R149" s="341"/>
      <c r="S149" s="952"/>
      <c r="T149" s="216"/>
      <c r="U149" s="133"/>
      <c r="W149" s="769"/>
      <c r="X149" s="346"/>
      <c r="Y149" s="216"/>
      <c r="Z149" s="133"/>
      <c r="AB149" s="341"/>
      <c r="AC149" s="216"/>
      <c r="AD149" s="4101"/>
      <c r="AE149" s="92"/>
      <c r="AG149" s="341"/>
      <c r="AH149" s="952"/>
      <c r="AI149" s="216"/>
      <c r="AJ149" s="133"/>
      <c r="AL149" s="769"/>
      <c r="AM149" s="346"/>
      <c r="AN149" s="216"/>
      <c r="AO149" s="133"/>
      <c r="AQ149" s="341"/>
      <c r="AR149" s="216"/>
      <c r="AS149" s="4101"/>
      <c r="AT149" s="92"/>
      <c r="AV149" s="341"/>
      <c r="AW149" s="346"/>
      <c r="AX149" s="216"/>
      <c r="AY149" s="133"/>
      <c r="BA149" s="341"/>
      <c r="BB149" s="216"/>
      <c r="BC149" s="4101"/>
      <c r="BD149" s="92"/>
      <c r="BE149" s="344"/>
      <c r="BF149" s="341"/>
      <c r="BG149" s="952"/>
      <c r="BH149" s="216"/>
      <c r="BI149" s="484"/>
      <c r="BK149" s="341"/>
      <c r="BL149" s="216"/>
      <c r="BM149" s="952"/>
      <c r="BN149" s="92"/>
      <c r="BQ149" s="341"/>
      <c r="BR149" s="216"/>
      <c r="BS149" s="952"/>
      <c r="BT149" s="92"/>
      <c r="BW149" s="3334"/>
    </row>
    <row r="150" spans="1:75" x14ac:dyDescent="0.35">
      <c r="A150" s="310"/>
      <c r="B150" s="310"/>
      <c r="F150" s="106"/>
      <c r="H150" s="106"/>
      <c r="I150" s="106"/>
      <c r="J150" s="311"/>
      <c r="L150" s="106"/>
      <c r="M150" s="312"/>
      <c r="O150" s="106"/>
      <c r="P150" s="312"/>
      <c r="R150" s="106"/>
      <c r="S150" s="106"/>
      <c r="T150" s="106"/>
      <c r="U150" s="311"/>
      <c r="W150" s="106"/>
      <c r="X150" s="312"/>
      <c r="Y150" s="106"/>
      <c r="Z150" s="311"/>
      <c r="AB150" s="106"/>
      <c r="AC150" s="106"/>
      <c r="AD150" s="312"/>
      <c r="AE150" s="106"/>
      <c r="AG150" s="106"/>
      <c r="AH150" s="106"/>
      <c r="AI150" s="106"/>
      <c r="AJ150" s="311"/>
      <c r="AL150" s="106"/>
      <c r="AM150" s="312"/>
      <c r="AN150" s="106"/>
      <c r="AO150" s="311"/>
      <c r="AQ150" s="106"/>
      <c r="AR150" s="106"/>
      <c r="AS150" s="312"/>
      <c r="AT150" s="106"/>
      <c r="AV150" s="106"/>
      <c r="AW150" s="312"/>
      <c r="AX150" s="106"/>
      <c r="AY150" s="311"/>
      <c r="BA150" s="106"/>
      <c r="BB150" s="106"/>
      <c r="BC150" s="312"/>
      <c r="BD150" s="106"/>
      <c r="BF150" s="106"/>
      <c r="BG150" s="312"/>
      <c r="BH150" s="106"/>
      <c r="BI150" s="558"/>
      <c r="BK150" s="106"/>
      <c r="BL150" s="106"/>
      <c r="BM150" s="312"/>
      <c r="BN150" s="106"/>
      <c r="BQ150" s="106"/>
      <c r="BR150" s="106"/>
      <c r="BS150" s="312"/>
      <c r="BT150" s="106"/>
    </row>
    <row r="151" spans="1:75" x14ac:dyDescent="0.35">
      <c r="A151" s="9167" t="s">
        <v>566</v>
      </c>
      <c r="B151" s="139" t="s">
        <v>567</v>
      </c>
      <c r="C151" s="348"/>
      <c r="D151" s="49"/>
      <c r="E151" s="141"/>
      <c r="F151" s="227"/>
      <c r="G151" s="141"/>
      <c r="H151" s="102"/>
      <c r="I151" s="105"/>
      <c r="J151" s="228"/>
      <c r="K151" s="141"/>
      <c r="L151" s="102"/>
      <c r="M151" s="268"/>
      <c r="N151" s="141"/>
      <c r="O151" s="102"/>
      <c r="P151" s="268"/>
      <c r="R151" s="102"/>
      <c r="S151" s="103"/>
      <c r="T151" s="103"/>
      <c r="U151" s="228"/>
      <c r="V151" s="141"/>
      <c r="W151" s="102"/>
      <c r="X151" s="2909"/>
      <c r="Y151" s="103"/>
      <c r="Z151" s="228"/>
      <c r="AA151" s="141"/>
      <c r="AB151" s="102"/>
      <c r="AC151" s="103"/>
      <c r="AD151" s="2909"/>
      <c r="AE151" s="105"/>
      <c r="AG151" s="102"/>
      <c r="AH151" s="103"/>
      <c r="AI151" s="103"/>
      <c r="AJ151" s="228"/>
      <c r="AK151" s="141"/>
      <c r="AL151" s="102"/>
      <c r="AM151" s="2909"/>
      <c r="AN151" s="103"/>
      <c r="AO151" s="228"/>
      <c r="AP151" s="141"/>
      <c r="AQ151" s="102"/>
      <c r="AR151" s="103"/>
      <c r="AS151" s="2909"/>
      <c r="AT151" s="105"/>
      <c r="AV151" s="102"/>
      <c r="AW151" s="2909"/>
      <c r="AX151" s="103"/>
      <c r="AY151" s="228"/>
      <c r="AZ151" s="141"/>
      <c r="BA151" s="102"/>
      <c r="BB151" s="103"/>
      <c r="BC151" s="2909"/>
      <c r="BD151" s="105"/>
      <c r="BF151" s="230" t="s">
        <v>6627</v>
      </c>
      <c r="BG151" s="2909"/>
      <c r="BH151" s="103"/>
      <c r="BI151" s="228"/>
      <c r="BJ151" s="141"/>
      <c r="BK151" s="230" t="s">
        <v>6627</v>
      </c>
      <c r="BL151" s="103"/>
      <c r="BM151" s="2909"/>
      <c r="BN151" s="105"/>
      <c r="BQ151" s="230" t="s">
        <v>6627</v>
      </c>
      <c r="BR151" s="103"/>
      <c r="BS151" s="2909"/>
      <c r="BT151" s="105"/>
    </row>
    <row r="152" spans="1:75" x14ac:dyDescent="0.35">
      <c r="A152" s="9168"/>
      <c r="B152" s="6082"/>
      <c r="C152"/>
      <c r="D152" s="110" t="s">
        <v>568</v>
      </c>
      <c r="F152" s="349">
        <f>SUM(F37:F48)-SUM(F50:F52)</f>
        <v>3399969580849</v>
      </c>
      <c r="G152" s="350"/>
      <c r="H152" s="351">
        <f>SUM(H37:H48)-SUM(H50:H52)</f>
        <v>5624204969</v>
      </c>
      <c r="I152" s="353">
        <f>SUM(I37:I48)-SUM(I50:I52)</f>
        <v>5215063343</v>
      </c>
      <c r="J152" s="246"/>
      <c r="K152" s="350"/>
      <c r="L152" s="351">
        <f>SUM(L37:L48)-SUM(L50:L52)</f>
        <v>8607315558</v>
      </c>
      <c r="M152" s="353">
        <f>SUM(M37:M48)-SUM(M50:M52)</f>
        <v>6185392168.0221186</v>
      </c>
      <c r="O152" s="351">
        <f>SUM(O37:O48)-SUM(O50:O52)</f>
        <v>9423422028</v>
      </c>
      <c r="P152" s="353">
        <f>SUM(P37:P48)-SUM(P50:P52)</f>
        <v>6771637129.5193892</v>
      </c>
      <c r="R152" s="351">
        <f>SUM(R37:R48)-SUM(R50:R52)</f>
        <v>9044267598</v>
      </c>
      <c r="S152" s="352">
        <f>SUM(S37:S48)-SUM(S50:S52)</f>
        <v>8068371422</v>
      </c>
      <c r="T152" s="352"/>
      <c r="U152" s="246"/>
      <c r="V152" s="350"/>
      <c r="W152" s="351">
        <f>SUM(W37:W48)-SUM(W50:W52)</f>
        <v>9423422028</v>
      </c>
      <c r="X152" s="352">
        <f>SUM(X37:X48)-SUM(X50:X52)</f>
        <v>8219412994</v>
      </c>
      <c r="Y152" s="352"/>
      <c r="Z152" s="246"/>
      <c r="AA152" s="350"/>
      <c r="AB152" s="351">
        <f>SUM(AB37:AB48)-SUM(AB50:AB52)</f>
        <v>8955466856</v>
      </c>
      <c r="AC152" s="352"/>
      <c r="AD152" s="352">
        <f>SUM(AD37:AD48)-SUM(AD50:AD52)</f>
        <v>7811247042.7893829</v>
      </c>
      <c r="AE152" s="353"/>
      <c r="AG152" s="351">
        <f>SUM(AG37:AG48)-SUM(AG50:AG52)</f>
        <v>9423422028</v>
      </c>
      <c r="AH152" s="352">
        <f>SUM(AH37:AH48)-SUM(AH50:AH52)</f>
        <v>0</v>
      </c>
      <c r="AI152" s="352"/>
      <c r="AJ152" s="246"/>
      <c r="AK152" s="350"/>
      <c r="AL152" s="351">
        <f>SUM(AL37:AL48)-SUM(AL50:AL52)</f>
        <v>8955466856</v>
      </c>
      <c r="AM152" s="352">
        <f>SUM(AM37:AM48)-SUM(AM50:AM52)</f>
        <v>0</v>
      </c>
      <c r="AN152" s="352"/>
      <c r="AO152" s="246"/>
      <c r="AP152" s="350"/>
      <c r="AQ152" s="351">
        <f>SUM(AQ37:AQ48)-SUM(AQ50:AQ52)</f>
        <v>10641930000</v>
      </c>
      <c r="AR152" s="4102" t="s">
        <v>4825</v>
      </c>
      <c r="AS152" s="352">
        <f>SUM(AS37:AS48)-SUM(AS50:AS52)</f>
        <v>0</v>
      </c>
      <c r="AT152" s="353"/>
      <c r="AV152" s="351">
        <f>SUM(AV37:AV48)-SUM(AV50:AV52)</f>
        <v>10641930000</v>
      </c>
      <c r="AW152" s="352">
        <f>SUM(AW37:AW48)-SUM(AW50:AW52)</f>
        <v>0</v>
      </c>
      <c r="AX152" s="352"/>
      <c r="AY152" s="246"/>
      <c r="AZ152" s="350"/>
      <c r="BA152" s="351">
        <f>SUM(BA37:BA48)-SUM(BA50:BA52)</f>
        <v>12415900992</v>
      </c>
      <c r="BB152" s="4102" t="s">
        <v>4825</v>
      </c>
      <c r="BC152" s="352">
        <f>SUM(BC37:BC48)-SUM(BC50:BC52)</f>
        <v>0</v>
      </c>
      <c r="BD152" s="353"/>
      <c r="BF152" s="351">
        <f>IF(BF131&gt;BF130,BF131,SUM(BF37:BF48)-SUM(BF50:BF52))</f>
        <v>12415900992</v>
      </c>
      <c r="BG152" s="352">
        <f>IF(BG131&gt;BG130,BG131,SUM(BG37:BG48)-SUM(BG50:BG52))</f>
        <v>0</v>
      </c>
      <c r="BH152" s="4102" t="str">
        <f>IF(BF131&gt;BF130,"Education Function","Ministries of education")</f>
        <v>Education Function</v>
      </c>
      <c r="BI152" s="246"/>
      <c r="BJ152" s="350"/>
      <c r="BK152" s="351">
        <f>IF(BK131&gt;BK130,BK131,SUM(BK37:BK48)-SUM(BK50:BK52))</f>
        <v>13912270665</v>
      </c>
      <c r="BL152" s="4102" t="str">
        <f>IF(BK131&gt;BK130,"Education Function","Ministries of education")</f>
        <v>Education Function</v>
      </c>
      <c r="BM152" s="352">
        <f>IF(BM131&gt;BM130,BM131,SUM(BM37:BM48)-SUM(BM50:BM52))</f>
        <v>0</v>
      </c>
      <c r="BN152" s="353"/>
      <c r="BQ152" s="351">
        <f>IF(BQ131&gt;BQ130,BQ131,SUM(BQ37:BQ48)-SUM(BQ50:BQ52))</f>
        <v>13121648466</v>
      </c>
      <c r="BR152" s="4102" t="str">
        <f>IF(BQ131&gt;BQ130,"Education Function","Ministries of education")</f>
        <v>Education Function</v>
      </c>
      <c r="BS152" s="352">
        <f>IF(BS131&gt;BS130,BS131,SUM(BS37:BS48)-SUM(BS50:BS52))</f>
        <v>0</v>
      </c>
      <c r="BT152" s="353"/>
    </row>
    <row r="153" spans="1:75" x14ac:dyDescent="0.35">
      <c r="A153" s="9168"/>
      <c r="B153" s="6082"/>
      <c r="C153"/>
      <c r="D153" s="110" t="s">
        <v>569</v>
      </c>
      <c r="F153" s="349">
        <f>SUM(F54:F118)</f>
        <v>44583928940.692383</v>
      </c>
      <c r="G153" s="350"/>
      <c r="H153" s="351">
        <f>SUM(H54:H118)</f>
        <v>118393236.86510319</v>
      </c>
      <c r="I153" s="353">
        <f>SUM(I54:I118)</f>
        <v>92294875.188684985</v>
      </c>
      <c r="J153" s="246"/>
      <c r="K153" s="350"/>
      <c r="L153" s="351">
        <f>SUM(L54:L118)</f>
        <v>84412934</v>
      </c>
      <c r="M153" s="353">
        <f>SUM(M54:M118)</f>
        <v>62065535.726908639</v>
      </c>
      <c r="O153" s="351">
        <f>SUM(O54:O118)</f>
        <v>93152382</v>
      </c>
      <c r="P153" s="353">
        <f>SUM(P54:P118)</f>
        <v>69286304.647418037</v>
      </c>
      <c r="R153" s="351">
        <f>SUM(R54:R118)</f>
        <v>156662977</v>
      </c>
      <c r="S153" s="352">
        <f>SUM(S54:S118)</f>
        <v>111178395</v>
      </c>
      <c r="T153" s="352"/>
      <c r="U153" s="246"/>
      <c r="V153" s="350"/>
      <c r="W153" s="351">
        <f>SUM(W54:W118)</f>
        <v>164535790</v>
      </c>
      <c r="X153" s="352">
        <f>SUM(X54:X118)</f>
        <v>94647897.443178236</v>
      </c>
      <c r="Y153" s="352"/>
      <c r="Z153" s="246"/>
      <c r="AA153" s="350"/>
      <c r="AB153" s="351">
        <f>SUM(AB54:AB118)</f>
        <v>161555479</v>
      </c>
      <c r="AC153" s="352"/>
      <c r="AD153" s="352">
        <f>SUM(AD54:AD118)</f>
        <v>141741689.94457531</v>
      </c>
      <c r="AE153" s="353"/>
      <c r="AG153" s="351">
        <f>SUM(AG54:AG118)</f>
        <v>164535790</v>
      </c>
      <c r="AH153" s="352">
        <f>SUM(AH54:AH118)</f>
        <v>0</v>
      </c>
      <c r="AI153" s="352"/>
      <c r="AJ153" s="246"/>
      <c r="AK153" s="350"/>
      <c r="AL153" s="351">
        <f>SUM(AL54:AL118)</f>
        <v>161555479</v>
      </c>
      <c r="AM153" s="352">
        <f>SUM(AM54:AM118)</f>
        <v>0</v>
      </c>
      <c r="AN153" s="352"/>
      <c r="AO153" s="246"/>
      <c r="AP153" s="350"/>
      <c r="AQ153" s="351"/>
      <c r="AR153" s="4102" t="s">
        <v>6628</v>
      </c>
      <c r="AS153" s="352"/>
      <c r="AT153" s="353"/>
      <c r="AV153" s="351"/>
      <c r="AW153" s="352">
        <f>SUM(AW54:AW118)</f>
        <v>0</v>
      </c>
      <c r="AX153" s="352"/>
      <c r="AY153" s="246"/>
      <c r="AZ153" s="350"/>
      <c r="BA153" s="351"/>
      <c r="BB153" s="4102" t="s">
        <v>6628</v>
      </c>
      <c r="BC153" s="352"/>
      <c r="BD153" s="353"/>
      <c r="BF153" s="351">
        <f>IF(BF131&gt;BF130,0,SUM(BF54:BF118))</f>
        <v>0</v>
      </c>
      <c r="BG153" s="352">
        <f>IF(BG131&gt;BG130,0,SUM(BG54:BG118))</f>
        <v>0</v>
      </c>
      <c r="BH153" s="4102" t="str">
        <f>IF(BF131&gt;BF130,"included in education function","Other ministries")</f>
        <v>included in education function</v>
      </c>
      <c r="BI153" s="246"/>
      <c r="BJ153" s="350"/>
      <c r="BK153" s="351">
        <f>IF(BK131&gt;BK130,0,SUM(BK54:BK118))</f>
        <v>0</v>
      </c>
      <c r="BL153" s="4102" t="str">
        <f>IF(BK131&gt;BK130,"included in education function","Other ministries")</f>
        <v>included in education function</v>
      </c>
      <c r="BM153" s="352">
        <f>IF(BM131&gt;BM130,0,SUM(BM54:BM118))</f>
        <v>0</v>
      </c>
      <c r="BN153" s="353"/>
      <c r="BQ153" s="351">
        <f>IF(BQ131&gt;BQ130,0,SUM(BQ54:BQ118))</f>
        <v>0</v>
      </c>
      <c r="BR153" s="4102" t="str">
        <f>IF(BQ131&gt;BQ130,"included in education function","Other ministries")</f>
        <v>included in education function</v>
      </c>
      <c r="BS153" s="352">
        <f>IF(BS131&gt;BS130,0,SUM(BS54:BS118))</f>
        <v>0</v>
      </c>
      <c r="BT153" s="353"/>
    </row>
    <row r="154" spans="1:75" x14ac:dyDescent="0.35">
      <c r="A154" s="9168"/>
      <c r="B154" s="6082"/>
      <c r="C154"/>
      <c r="D154" s="110" t="s">
        <v>570</v>
      </c>
      <c r="F154" s="349">
        <f>SUM(F120:F124)*F30</f>
        <v>179948707852.65787</v>
      </c>
      <c r="G154" s="350"/>
      <c r="H154" s="351">
        <f>SUM(H120:H124)*H30</f>
        <v>189166354.66518176</v>
      </c>
      <c r="I154" s="353">
        <f>SUM(I120:I124)*I30</f>
        <v>186149699.84157377</v>
      </c>
      <c r="J154" s="246"/>
      <c r="K154" s="350"/>
      <c r="L154" s="351">
        <f>SUM(L120:L124)*L30</f>
        <v>280791993.42350465</v>
      </c>
      <c r="M154" s="353">
        <f>SUM(M120:M124)*M30</f>
        <v>276314175.35225856</v>
      </c>
      <c r="O154" s="351">
        <f>SUM(O120:O124)*O30</f>
        <v>310584859.47539884</v>
      </c>
      <c r="P154" s="353">
        <f>SUM(P120:P124)*P30</f>
        <v>305631931.58219928</v>
      </c>
      <c r="R154" s="351">
        <f>SUM(R120:R124)*R30</f>
        <v>272930474.83663315</v>
      </c>
      <c r="S154" s="352">
        <f>SUM(S120:S124)*S30</f>
        <v>236338540.36994851</v>
      </c>
      <c r="T154" s="352"/>
      <c r="U154" s="246"/>
      <c r="V154" s="350"/>
      <c r="W154" s="351">
        <f>SUM(W120:W124)*W30</f>
        <v>310584859.47539884</v>
      </c>
      <c r="X154" s="352">
        <f>SUM(X120:X124)*X30</f>
        <v>247718844.46633592</v>
      </c>
      <c r="Y154" s="352"/>
      <c r="Z154" s="246"/>
      <c r="AA154" s="350"/>
      <c r="AB154" s="351">
        <f>SUM(AB120:AB124)*AB30</f>
        <v>295161609.7361263</v>
      </c>
      <c r="AC154" s="352"/>
      <c r="AD154" s="352">
        <f>SUM(AD120:AD124)*AD30</f>
        <v>211098053.46418408</v>
      </c>
      <c r="AE154" s="353"/>
      <c r="AG154" s="351">
        <f>SUM(AG120:AG124)*AG30</f>
        <v>310584859.47539884</v>
      </c>
      <c r="AH154" s="352">
        <f>SUM(AH120:AH124)*AH30</f>
        <v>0</v>
      </c>
      <c r="AI154" s="352"/>
      <c r="AJ154" s="246"/>
      <c r="AK154" s="350"/>
      <c r="AL154" s="351">
        <f>SUM(AL120:AL124)*AL30</f>
        <v>295161609.7361263</v>
      </c>
      <c r="AM154" s="352">
        <f>SUM(AM120:AM124)*AM30</f>
        <v>0</v>
      </c>
      <c r="AN154" s="352"/>
      <c r="AO154" s="246"/>
      <c r="AP154" s="350"/>
      <c r="AQ154" s="351">
        <f>SUM(AQ120:AQ124)*AQ30</f>
        <v>598593485.33288062</v>
      </c>
      <c r="AR154" s="352"/>
      <c r="AS154" s="352">
        <f>SUM(AS120:AS124)*AS30</f>
        <v>0</v>
      </c>
      <c r="AT154" s="353"/>
      <c r="AV154" s="351">
        <f>SUM(AV120:AV124)*AV30</f>
        <v>598593485.3328805</v>
      </c>
      <c r="AW154" s="352">
        <f>SUM(AW120:AW124)*AW30</f>
        <v>0</v>
      </c>
      <c r="AX154" s="352"/>
      <c r="AY154" s="246"/>
      <c r="AZ154" s="350"/>
      <c r="BA154" s="351">
        <f>SUM(BA120:BA124)*BA30</f>
        <v>626678748.23602355</v>
      </c>
      <c r="BB154" s="352"/>
      <c r="BC154" s="352" t="e">
        <f>SUM(BC120:BC124)*BC30</f>
        <v>#DIV/0!</v>
      </c>
      <c r="BD154" s="353"/>
      <c r="BF154" s="351">
        <f>SUM(BF120:BF124)*BF30</f>
        <v>373253941.56533247</v>
      </c>
      <c r="BG154" s="352">
        <f>SUM(BG120:BG124)*BG30</f>
        <v>0</v>
      </c>
      <c r="BH154" s="352"/>
      <c r="BI154" s="246"/>
      <c r="BJ154" s="350"/>
      <c r="BK154" s="351">
        <f>SUM(BK120:BK124)*BK30</f>
        <v>386091889.48486793</v>
      </c>
      <c r="BL154" s="352"/>
      <c r="BM154" s="352">
        <f>SUM(BM120:BM124)*BM30</f>
        <v>0</v>
      </c>
      <c r="BN154" s="353"/>
      <c r="BQ154" s="351">
        <f>SUM(BQ120:BQ124)*BQ30</f>
        <v>0</v>
      </c>
      <c r="BR154" s="352"/>
      <c r="BS154" s="352">
        <f>SUM(BS120:BS124)*BS30</f>
        <v>0</v>
      </c>
      <c r="BT154" s="353"/>
    </row>
    <row r="155" spans="1:75" x14ac:dyDescent="0.35">
      <c r="A155" s="9168"/>
      <c r="B155" s="6082"/>
      <c r="C155"/>
      <c r="D155" s="110" t="s">
        <v>552</v>
      </c>
      <c r="F155" s="349">
        <f>F126</f>
        <v>0</v>
      </c>
      <c r="G155" s="350"/>
      <c r="H155" s="351">
        <f t="shared" ref="H155:I155" si="103">H126</f>
        <v>0</v>
      </c>
      <c r="I155" s="353">
        <f t="shared" si="103"/>
        <v>0</v>
      </c>
      <c r="J155" s="246"/>
      <c r="K155" s="350"/>
      <c r="L155" s="351">
        <f t="shared" ref="L155:M155" si="104">L126</f>
        <v>0</v>
      </c>
      <c r="M155" s="353">
        <f t="shared" si="104"/>
        <v>0</v>
      </c>
      <c r="O155" s="351">
        <f t="shared" ref="O155:P155" si="105">O126</f>
        <v>0</v>
      </c>
      <c r="P155" s="353">
        <f t="shared" si="105"/>
        <v>0</v>
      </c>
      <c r="R155" s="351">
        <f t="shared" ref="R155:S155" si="106">R126</f>
        <v>0</v>
      </c>
      <c r="S155" s="352">
        <f t="shared" si="106"/>
        <v>0</v>
      </c>
      <c r="T155" s="352"/>
      <c r="U155" s="246"/>
      <c r="V155" s="350"/>
      <c r="W155" s="351">
        <f>W126</f>
        <v>0</v>
      </c>
      <c r="X155" s="352">
        <f>X126</f>
        <v>0</v>
      </c>
      <c r="Y155" s="352"/>
      <c r="Z155" s="246"/>
      <c r="AA155" s="350"/>
      <c r="AB155" s="351">
        <f>AB126</f>
        <v>0</v>
      </c>
      <c r="AC155" s="352"/>
      <c r="AD155" s="352">
        <f>AD126</f>
        <v>0</v>
      </c>
      <c r="AE155" s="353"/>
      <c r="AG155" s="351">
        <f>AG126</f>
        <v>0</v>
      </c>
      <c r="AH155" s="352">
        <f t="shared" ref="AH155" si="107">AH126</f>
        <v>0</v>
      </c>
      <c r="AI155" s="352"/>
      <c r="AJ155" s="246"/>
      <c r="AK155" s="350"/>
      <c r="AL155" s="351">
        <f>AL126</f>
        <v>0</v>
      </c>
      <c r="AM155" s="352">
        <f>AM126</f>
        <v>0</v>
      </c>
      <c r="AN155" s="352"/>
      <c r="AO155" s="246"/>
      <c r="AP155" s="350"/>
      <c r="AQ155" s="351">
        <f>AQ126</f>
        <v>0</v>
      </c>
      <c r="AR155" s="352"/>
      <c r="AS155" s="352">
        <f>AS126</f>
        <v>0</v>
      </c>
      <c r="AT155" s="353"/>
      <c r="AV155" s="351">
        <f>AV126</f>
        <v>0</v>
      </c>
      <c r="AW155" s="352">
        <f>AW126</f>
        <v>0</v>
      </c>
      <c r="AX155" s="352"/>
      <c r="AY155" s="246"/>
      <c r="AZ155" s="350"/>
      <c r="BA155" s="351">
        <f>BA126</f>
        <v>0</v>
      </c>
      <c r="BB155" s="352"/>
      <c r="BC155" s="352">
        <f>BC126</f>
        <v>0</v>
      </c>
      <c r="BD155" s="353"/>
      <c r="BF155" s="351">
        <f>BF126</f>
        <v>0</v>
      </c>
      <c r="BG155" s="352">
        <f>BG126</f>
        <v>0</v>
      </c>
      <c r="BH155" s="352"/>
      <c r="BI155" s="246"/>
      <c r="BJ155" s="350"/>
      <c r="BK155" s="351">
        <f>BK126</f>
        <v>0</v>
      </c>
      <c r="BL155" s="352"/>
      <c r="BM155" s="352">
        <f>BM126</f>
        <v>0</v>
      </c>
      <c r="BN155" s="353"/>
      <c r="BQ155" s="351">
        <f>BQ126</f>
        <v>0</v>
      </c>
      <c r="BR155" s="352"/>
      <c r="BS155" s="352">
        <f>BS126</f>
        <v>0</v>
      </c>
      <c r="BT155" s="353"/>
    </row>
    <row r="156" spans="1:75" x14ac:dyDescent="0.35">
      <c r="A156" s="9168"/>
      <c r="B156" s="6082"/>
      <c r="C156"/>
      <c r="D156" s="356" t="s">
        <v>571</v>
      </c>
      <c r="E156" s="143"/>
      <c r="F156" s="357">
        <f>SUM(F152:F155)</f>
        <v>3624502217642.3501</v>
      </c>
      <c r="G156" s="358"/>
      <c r="H156" s="359">
        <f t="shared" ref="H156:I156" si="108">SUM(H152:H155)</f>
        <v>5931764560.5302849</v>
      </c>
      <c r="I156" s="362">
        <f t="shared" si="108"/>
        <v>5493507918.0302591</v>
      </c>
      <c r="J156" s="361"/>
      <c r="K156" s="358"/>
      <c r="L156" s="359">
        <f t="shared" ref="L156:M156" si="109">SUM(L152:L155)</f>
        <v>8972520485.4235039</v>
      </c>
      <c r="M156" s="362">
        <f t="shared" si="109"/>
        <v>6523771879.1012859</v>
      </c>
      <c r="N156" s="143"/>
      <c r="O156" s="359">
        <f t="shared" ref="O156:P156" si="110">SUM(O152:O155)</f>
        <v>9827159269.475399</v>
      </c>
      <c r="P156" s="362">
        <f t="shared" si="110"/>
        <v>7146555365.7490063</v>
      </c>
      <c r="Q156" s="143"/>
      <c r="R156" s="359">
        <f t="shared" ref="R156:S156" si="111">SUM(R152:R155)</f>
        <v>9473861049.8366337</v>
      </c>
      <c r="S156" s="360">
        <f t="shared" si="111"/>
        <v>8415888357.3699484</v>
      </c>
      <c r="T156" s="360"/>
      <c r="U156" s="361"/>
      <c r="V156" s="358"/>
      <c r="W156" s="359">
        <f>SUM(W152:W155)</f>
        <v>9898542677.475399</v>
      </c>
      <c r="X156" s="360">
        <f>SUM(X152:X155)</f>
        <v>8561779735.9095144</v>
      </c>
      <c r="Y156" s="360"/>
      <c r="Z156" s="361"/>
      <c r="AA156" s="358"/>
      <c r="AB156" s="359">
        <f>SUM(AB152:AB155)</f>
        <v>9412183944.7361259</v>
      </c>
      <c r="AC156" s="360"/>
      <c r="AD156" s="360">
        <f>SUM(AD152:AD155)</f>
        <v>8164086786.1981421</v>
      </c>
      <c r="AE156" s="362"/>
      <c r="AF156" s="143"/>
      <c r="AG156" s="359">
        <f>SUM(AG152:AG155)</f>
        <v>9898542677.475399</v>
      </c>
      <c r="AH156" s="360">
        <f t="shared" ref="AH156" si="112">SUM(AH152:AH155)</f>
        <v>0</v>
      </c>
      <c r="AI156" s="360"/>
      <c r="AJ156" s="361"/>
      <c r="AK156" s="358"/>
      <c r="AL156" s="359">
        <f>SUM(AL152:AL155)</f>
        <v>9412183944.7361259</v>
      </c>
      <c r="AM156" s="360">
        <f>SUM(AM152:AM155)</f>
        <v>0</v>
      </c>
      <c r="AN156" s="360"/>
      <c r="AO156" s="361"/>
      <c r="AP156" s="358"/>
      <c r="AQ156" s="359">
        <f>SUM(AQ152:AQ155)</f>
        <v>11240523485.33288</v>
      </c>
      <c r="AR156" s="360"/>
      <c r="AS156" s="360">
        <f>SUM(AS152:AS155)</f>
        <v>0</v>
      </c>
      <c r="AT156" s="362"/>
      <c r="AU156" s="143"/>
      <c r="AV156" s="359">
        <f>SUM(AV152:AV155)</f>
        <v>11240523485.33288</v>
      </c>
      <c r="AW156" s="360">
        <f>SUM(AW152:AW155)</f>
        <v>0</v>
      </c>
      <c r="AX156" s="360"/>
      <c r="AY156" s="361"/>
      <c r="AZ156" s="358"/>
      <c r="BA156" s="359">
        <f>SUM(BA152:BA155)</f>
        <v>13042579740.236023</v>
      </c>
      <c r="BB156" s="360"/>
      <c r="BC156" s="360" t="e">
        <f>SUM(BC152:BC155)</f>
        <v>#DIV/0!</v>
      </c>
      <c r="BD156" s="362"/>
      <c r="BF156" s="359">
        <f>SUM(BF152:BF155)</f>
        <v>12789154933.565332</v>
      </c>
      <c r="BG156" s="360">
        <f>SUM(BG152:BG155)</f>
        <v>0</v>
      </c>
      <c r="BH156" s="360"/>
      <c r="BI156" s="361"/>
      <c r="BJ156" s="358"/>
      <c r="BK156" s="359">
        <f>SUM(BK152:BK155)</f>
        <v>14298362554.484867</v>
      </c>
      <c r="BL156" s="360"/>
      <c r="BM156" s="360">
        <f>SUM(BM152:BM155)</f>
        <v>0</v>
      </c>
      <c r="BN156" s="362"/>
      <c r="BO156" s="143"/>
      <c r="BP156" s="143"/>
      <c r="BQ156" s="359">
        <f>SUM(BQ152:BQ155)</f>
        <v>13121648466</v>
      </c>
      <c r="BR156" s="360"/>
      <c r="BS156" s="360">
        <f>SUM(BS152:BS155)</f>
        <v>0</v>
      </c>
      <c r="BT156" s="362"/>
      <c r="BU156" s="143"/>
      <c r="BV156" s="143"/>
    </row>
    <row r="157" spans="1:75" ht="15.5" x14ac:dyDescent="0.35">
      <c r="A157" s="9168"/>
      <c r="B157" s="6082"/>
      <c r="C157"/>
      <c r="D157" s="356" t="s">
        <v>572</v>
      </c>
      <c r="F157" s="366">
        <f>F156/(F18+F19+F20)</f>
        <v>0.16510256793809736</v>
      </c>
      <c r="G157" s="367"/>
      <c r="H157" s="368">
        <f>H156/(H18+H19+H20)</f>
        <v>0.15607991225745371</v>
      </c>
      <c r="I157" s="370">
        <f>I156/(I18+I19+I20)</f>
        <v>0.18857651194098157</v>
      </c>
      <c r="J157" s="370"/>
      <c r="K157" s="367"/>
      <c r="L157" s="368">
        <f>L156/(L18+L19+L20)</f>
        <v>0.23605994515643466</v>
      </c>
      <c r="M157" s="370">
        <f>M156/(M18+M19+M20)</f>
        <v>0.22035702457598919</v>
      </c>
      <c r="O157" s="368">
        <f>O156/(O18+O19+O20)</f>
        <v>0.23749307058012908</v>
      </c>
      <c r="P157" s="370">
        <f>P156/(P18+P19+P20)</f>
        <v>0.22173793581632245</v>
      </c>
      <c r="R157" s="368">
        <f>R156/(R18+R19+R20)</f>
        <v>0.25341825902475928</v>
      </c>
      <c r="S157" s="369">
        <f>S156/(S18+S19+S20)</f>
        <v>0.23980684725367177</v>
      </c>
      <c r="T157" s="369"/>
      <c r="U157" s="370"/>
      <c r="V157" s="367"/>
      <c r="W157" s="368">
        <f>W156/(W18+W19+W20)</f>
        <v>0.23921819421855967</v>
      </c>
      <c r="X157" s="369">
        <f>X156/(X18+X19+X20)</f>
        <v>0.22041326112013471</v>
      </c>
      <c r="Y157" s="369"/>
      <c r="Z157" s="370"/>
      <c r="AA157" s="367"/>
      <c r="AB157" s="368">
        <f>AB156/(AB18+AB19+AB20)</f>
        <v>0.2047417729356856</v>
      </c>
      <c r="AC157" s="369"/>
      <c r="AD157" s="369">
        <f>AD156/(AD18+AD19+AD20)</f>
        <v>0.18917963703233798</v>
      </c>
      <c r="AE157" s="370"/>
      <c r="AG157" s="368">
        <f>AG156/(AG18+AG19+AG20)</f>
        <v>0.23921819421855967</v>
      </c>
      <c r="AH157" s="369" t="e">
        <f>AH156/(AH18+AH19+AH20)</f>
        <v>#DIV/0!</v>
      </c>
      <c r="AI157" s="369"/>
      <c r="AJ157" s="370"/>
      <c r="AK157" s="367"/>
      <c r="AL157" s="368">
        <f>AL156/(AL18+AL19+AL20)</f>
        <v>0.2047417729356856</v>
      </c>
      <c r="AM157" s="369" t="e">
        <f>AM156/(AM18+AM19+AM20)</f>
        <v>#DIV/0!</v>
      </c>
      <c r="AN157" s="369"/>
      <c r="AO157" s="370"/>
      <c r="AP157" s="367"/>
      <c r="AQ157" s="368">
        <f>AQ156/(AQ18+AQ19+AQ20)</f>
        <v>0.21125334938582696</v>
      </c>
      <c r="AR157" s="369"/>
      <c r="AS157" s="369" t="e">
        <f>AS156/(AS18+AS19+AS20)</f>
        <v>#DIV/0!</v>
      </c>
      <c r="AT157" s="370"/>
      <c r="AV157" s="368">
        <f>AV156/(AV18+AV19+AV20)</f>
        <v>0.21125334938582696</v>
      </c>
      <c r="AW157" s="369" t="e">
        <f>AW156/(AW18+AW19+AW20)</f>
        <v>#DIV/0!</v>
      </c>
      <c r="AX157" s="369"/>
      <c r="AY157" s="370"/>
      <c r="AZ157" s="367"/>
      <c r="BA157" s="368">
        <f>BA156/(BA18+BA19+BA20)</f>
        <v>0.23403239505747458</v>
      </c>
      <c r="BB157" s="369"/>
      <c r="BC157" s="369" t="e">
        <f>BC156/(BC18+BC19+BC20)</f>
        <v>#DIV/0!</v>
      </c>
      <c r="BD157" s="370"/>
      <c r="BF157" s="561">
        <f>BF156/(BF18+BF19+BF20)</f>
        <v>0.22759909732336156</v>
      </c>
      <c r="BG157" s="562" t="e">
        <f>BG156/(BG18+BG19+BG20)</f>
        <v>#DIV/0!</v>
      </c>
      <c r="BH157" s="562"/>
      <c r="BI157" s="563"/>
      <c r="BJ157" s="560"/>
      <c r="BK157" s="561">
        <f>BK156/(BK18+BK19+BK20)</f>
        <v>0.23854187700144527</v>
      </c>
      <c r="BL157" s="562"/>
      <c r="BM157" s="562" t="e">
        <f>BM156/(BM18+BM19+BM20)</f>
        <v>#DIV/0!</v>
      </c>
      <c r="BN157" s="563"/>
      <c r="BQ157" s="368">
        <f>BQ156/(BQ18+BQ19+BQ20)</f>
        <v>0.18924523850218924</v>
      </c>
      <c r="BR157" s="369"/>
      <c r="BS157" s="369">
        <f>BS156/(BS18+BS19+BS20)</f>
        <v>0</v>
      </c>
      <c r="BT157" s="370"/>
    </row>
    <row r="158" spans="1:75" x14ac:dyDescent="0.35">
      <c r="A158" s="9168"/>
      <c r="B158" s="371"/>
      <c r="C158" s="372"/>
      <c r="D158" s="373" t="s">
        <v>573</v>
      </c>
      <c r="E158" s="374"/>
      <c r="F158" s="679"/>
      <c r="G158" s="1055"/>
      <c r="H158" s="386"/>
      <c r="I158" s="388"/>
      <c r="J158" s="1057"/>
      <c r="K158" s="1055"/>
      <c r="L158" s="386"/>
      <c r="M158" s="1057"/>
      <c r="O158" s="386"/>
      <c r="P158" s="1057"/>
      <c r="R158" s="386"/>
      <c r="S158" s="4103"/>
      <c r="T158" s="383"/>
      <c r="U158" s="384"/>
      <c r="V158" s="385"/>
      <c r="W158" s="386"/>
      <c r="X158" s="1820"/>
      <c r="Y158" s="383"/>
      <c r="Z158" s="384"/>
      <c r="AA158" s="385"/>
      <c r="AB158" s="386"/>
      <c r="AC158" s="383"/>
      <c r="AD158" s="4103"/>
      <c r="AE158" s="384"/>
      <c r="AG158" s="386"/>
      <c r="AH158" s="4103"/>
      <c r="AI158" s="383"/>
      <c r="AJ158" s="384"/>
      <c r="AK158" s="385"/>
      <c r="AL158" s="386"/>
      <c r="AM158" s="1820"/>
      <c r="AN158" s="383"/>
      <c r="AO158" s="384"/>
      <c r="AP158" s="385"/>
      <c r="AQ158" s="386"/>
      <c r="AR158" s="383"/>
      <c r="AS158" s="4103"/>
      <c r="AT158" s="384"/>
      <c r="AV158" s="386"/>
      <c r="AW158" s="1820"/>
      <c r="AX158" s="383"/>
      <c r="AY158" s="384"/>
      <c r="AZ158" s="385"/>
      <c r="BA158" s="386"/>
      <c r="BB158" s="383"/>
      <c r="BC158" s="4103"/>
      <c r="BD158" s="384"/>
      <c r="BF158" s="381"/>
      <c r="BG158" s="382"/>
      <c r="BH158" s="956"/>
      <c r="BI158" s="955"/>
      <c r="BJ158" s="954"/>
      <c r="BK158" s="386"/>
      <c r="BL158" s="956"/>
      <c r="BM158" s="4103"/>
      <c r="BN158" s="955"/>
      <c r="BQ158" s="386"/>
      <c r="BR158" s="383"/>
      <c r="BS158" s="4103"/>
      <c r="BT158" s="384"/>
    </row>
    <row r="159" spans="1:75" x14ac:dyDescent="0.35">
      <c r="A159" s="9168"/>
      <c r="B159" s="58"/>
      <c r="C159" s="390"/>
      <c r="D159" s="391" t="s">
        <v>575</v>
      </c>
      <c r="E159" s="392"/>
      <c r="F159" s="688"/>
      <c r="G159" s="392"/>
      <c r="H159" s="420"/>
      <c r="I159" s="422"/>
      <c r="J159" s="229"/>
      <c r="K159" s="392"/>
      <c r="L159" s="420"/>
      <c r="M159" s="229"/>
      <c r="O159" s="420"/>
      <c r="P159" s="229"/>
      <c r="R159" s="420"/>
      <c r="S159" s="4104"/>
      <c r="T159" s="399"/>
      <c r="U159" s="400"/>
      <c r="V159" s="401"/>
      <c r="W159" s="420"/>
      <c r="X159"/>
      <c r="Y159" s="399"/>
      <c r="Z159" s="400"/>
      <c r="AA159" s="401"/>
      <c r="AB159" s="420"/>
      <c r="AC159" s="399"/>
      <c r="AD159" s="4104"/>
      <c r="AE159" s="400"/>
      <c r="AG159" s="420"/>
      <c r="AH159" s="4104"/>
      <c r="AI159" s="399"/>
      <c r="AJ159" s="400"/>
      <c r="AK159" s="401"/>
      <c r="AL159" s="420"/>
      <c r="AM159"/>
      <c r="AN159" s="399"/>
      <c r="AO159" s="400"/>
      <c r="AP159" s="401"/>
      <c r="AQ159" s="420"/>
      <c r="AR159" s="399"/>
      <c r="AS159" s="4104"/>
      <c r="AT159" s="400"/>
      <c r="AV159" s="420"/>
      <c r="AW159"/>
      <c r="AX159" s="399"/>
      <c r="AY159" s="400"/>
      <c r="AZ159" s="401"/>
      <c r="BA159" s="420"/>
      <c r="BB159" s="399"/>
      <c r="BC159" s="4104"/>
      <c r="BD159" s="400"/>
      <c r="BF159" s="415"/>
      <c r="BG159" s="416"/>
      <c r="BH159" s="975"/>
      <c r="BI159" s="974"/>
      <c r="BJ159" s="973"/>
      <c r="BK159" s="420"/>
      <c r="BL159" s="975"/>
      <c r="BM159" s="4104"/>
      <c r="BN159" s="974"/>
      <c r="BQ159" s="420"/>
      <c r="BR159" s="399"/>
      <c r="BS159" s="4104"/>
      <c r="BT159" s="400"/>
    </row>
    <row r="160" spans="1:75" x14ac:dyDescent="0.35">
      <c r="A160" s="9168"/>
      <c r="B160" s="58"/>
      <c r="C160" s="390"/>
      <c r="D160" s="391" t="s">
        <v>576</v>
      </c>
      <c r="E160" s="392"/>
      <c r="F160" s="688"/>
      <c r="G160" s="392"/>
      <c r="H160" s="420"/>
      <c r="I160" s="422"/>
      <c r="J160" s="229"/>
      <c r="K160" s="392"/>
      <c r="L160" s="420"/>
      <c r="M160" s="229"/>
      <c r="O160" s="420"/>
      <c r="P160" s="229"/>
      <c r="R160" s="420"/>
      <c r="S160" s="4104"/>
      <c r="T160" s="399"/>
      <c r="U160" s="400"/>
      <c r="V160" s="401"/>
      <c r="W160" s="420"/>
      <c r="X160"/>
      <c r="Y160" s="399"/>
      <c r="Z160" s="400"/>
      <c r="AA160" s="401"/>
      <c r="AB160" s="420"/>
      <c r="AC160" s="399"/>
      <c r="AD160" s="4104"/>
      <c r="AE160" s="400"/>
      <c r="AG160" s="420"/>
      <c r="AH160" s="4104"/>
      <c r="AI160" s="399"/>
      <c r="AJ160" s="400"/>
      <c r="AK160" s="401"/>
      <c r="AL160" s="420"/>
      <c r="AM160"/>
      <c r="AN160" s="399"/>
      <c r="AO160" s="400"/>
      <c r="AP160" s="401"/>
      <c r="AQ160" s="420"/>
      <c r="AR160" s="399"/>
      <c r="AS160" s="4104"/>
      <c r="AT160" s="400"/>
      <c r="AV160" s="420"/>
      <c r="AW160"/>
      <c r="AX160" s="399"/>
      <c r="AY160" s="400"/>
      <c r="AZ160" s="401"/>
      <c r="BA160" s="420"/>
      <c r="BB160" s="399"/>
      <c r="BC160" s="4104"/>
      <c r="BD160" s="400"/>
      <c r="BF160" s="415"/>
      <c r="BG160" s="416"/>
      <c r="BH160" s="975"/>
      <c r="BI160" s="974"/>
      <c r="BJ160" s="973"/>
      <c r="BK160" s="420"/>
      <c r="BL160" s="975"/>
      <c r="BM160" s="4104"/>
      <c r="BN160" s="974"/>
      <c r="BQ160" s="420"/>
      <c r="BR160" s="399"/>
      <c r="BS160" s="4104"/>
      <c r="BT160" s="400"/>
    </row>
    <row r="161" spans="1:75" x14ac:dyDescent="0.35">
      <c r="A161" s="9168"/>
      <c r="B161" s="58"/>
      <c r="C161" s="390"/>
      <c r="D161" s="391"/>
      <c r="E161" s="392"/>
      <c r="F161" s="3428"/>
      <c r="G161" s="392"/>
      <c r="H161" s="3433"/>
      <c r="I161" s="4105"/>
      <c r="J161" s="229"/>
      <c r="K161" s="392"/>
      <c r="L161" s="3433"/>
      <c r="M161" s="229"/>
      <c r="O161" s="3433"/>
      <c r="P161" s="229"/>
      <c r="R161" s="3433"/>
      <c r="S161" s="686"/>
      <c r="T161" s="407"/>
      <c r="U161" s="408"/>
      <c r="V161" s="409"/>
      <c r="W161" s="3433"/>
      <c r="X161"/>
      <c r="Y161" s="407"/>
      <c r="Z161" s="408"/>
      <c r="AA161" s="409"/>
      <c r="AB161" s="3433"/>
      <c r="AC161" s="407"/>
      <c r="AD161" s="686"/>
      <c r="AE161" s="408"/>
      <c r="AG161" s="3433"/>
      <c r="AH161" s="686"/>
      <c r="AI161" s="407"/>
      <c r="AJ161" s="408"/>
      <c r="AK161" s="409"/>
      <c r="AL161" s="3433"/>
      <c r="AM161"/>
      <c r="AN161" s="407"/>
      <c r="AO161" s="408"/>
      <c r="AP161" s="409"/>
      <c r="AQ161" s="3433"/>
      <c r="AR161" s="407"/>
      <c r="AS161" s="686"/>
      <c r="AT161" s="408"/>
      <c r="AV161" s="3433"/>
      <c r="AW161"/>
      <c r="AX161" s="407"/>
      <c r="AY161" s="408"/>
      <c r="AZ161" s="409"/>
      <c r="BA161" s="3433"/>
      <c r="BB161" s="407"/>
      <c r="BC161" s="686"/>
      <c r="BD161" s="408"/>
      <c r="BF161" s="3430"/>
      <c r="BG161" s="3431"/>
      <c r="BH161" s="3341"/>
      <c r="BI161" s="3339"/>
      <c r="BJ161" s="3338"/>
      <c r="BK161" s="3433"/>
      <c r="BL161" s="3341"/>
      <c r="BM161" s="686"/>
      <c r="BN161" s="3339"/>
      <c r="BQ161" s="3433"/>
      <c r="BR161" s="407"/>
      <c r="BS161" s="686"/>
      <c r="BT161" s="408"/>
    </row>
    <row r="162" spans="1:75" x14ac:dyDescent="0.35">
      <c r="A162" s="9168"/>
      <c r="B162" s="58"/>
      <c r="C162" s="390"/>
      <c r="D162" s="391" t="s">
        <v>577</v>
      </c>
      <c r="E162" s="392"/>
      <c r="F162" s="3990">
        <f>F156/F12</f>
        <v>0.18176975048121283</v>
      </c>
      <c r="G162" s="392"/>
      <c r="H162" s="3995">
        <f>H156/H12</f>
        <v>0.23754806965686195</v>
      </c>
      <c r="I162" s="4000">
        <f>I156/I12</f>
        <v>0.2233552446103671</v>
      </c>
      <c r="J162" s="229"/>
      <c r="K162" s="392"/>
      <c r="L162" s="3995">
        <f>L156/L12</f>
        <v>0.29615083954894422</v>
      </c>
      <c r="M162" s="4106">
        <f>M156/M12</f>
        <v>0.21861304582961619</v>
      </c>
      <c r="O162" s="3995">
        <f>O156/O12</f>
        <v>0.29350287599411473</v>
      </c>
      <c r="P162" s="4106">
        <f>P156/P12</f>
        <v>0.21670050739269922</v>
      </c>
      <c r="R162" s="3995">
        <f>R156/R12</f>
        <v>0.31269830013062733</v>
      </c>
      <c r="S162" s="4107">
        <f>S156/S12</f>
        <v>0.28384504629199891</v>
      </c>
      <c r="T162" s="399"/>
      <c r="U162" s="400"/>
      <c r="V162" s="401"/>
      <c r="W162" s="3995">
        <f>W156/W12</f>
        <v>0.29563484872109991</v>
      </c>
      <c r="X162" s="4108">
        <f>X156/X12</f>
        <v>0.26129509740127033</v>
      </c>
      <c r="Y162" s="399"/>
      <c r="Z162" s="400"/>
      <c r="AA162" s="401"/>
      <c r="AB162" s="3995">
        <f>AB156/AB12</f>
        <v>0.22351900051856075</v>
      </c>
      <c r="AC162" s="399"/>
      <c r="AD162" s="4107">
        <f>AD156/AD12</f>
        <v>0.19811369472496074</v>
      </c>
      <c r="AE162" s="400"/>
      <c r="AG162" s="3995">
        <f>AG156/AG12</f>
        <v>0.29563484872109991</v>
      </c>
      <c r="AH162" s="4107" t="e">
        <f>AH156/AH12</f>
        <v>#DIV/0!</v>
      </c>
      <c r="AI162" s="399"/>
      <c r="AJ162" s="400"/>
      <c r="AK162" s="401"/>
      <c r="AL162" s="3995">
        <f>AL156/AL12</f>
        <v>0.22351900051856075</v>
      </c>
      <c r="AM162" s="4108" t="e">
        <f>AM156/AM12</f>
        <v>#DIV/0!</v>
      </c>
      <c r="AN162" s="399"/>
      <c r="AO162" s="400"/>
      <c r="AP162" s="401"/>
      <c r="AQ162" s="3995">
        <f>AQ156/AQ12</f>
        <v>0.26177408577580696</v>
      </c>
      <c r="AR162" s="399"/>
      <c r="AS162" s="4107" t="e">
        <f>AS156/AS12</f>
        <v>#DIV/0!</v>
      </c>
      <c r="AT162" s="400"/>
      <c r="AV162" s="3995">
        <f>AV156/AV12</f>
        <v>0.26177408577580696</v>
      </c>
      <c r="AW162" s="4108">
        <f>AW156/AW12</f>
        <v>0</v>
      </c>
      <c r="AX162" s="399"/>
      <c r="AY162" s="400"/>
      <c r="AZ162" s="401"/>
      <c r="BA162" s="3995">
        <f>BA156/BA12</f>
        <v>0.26570324031979337</v>
      </c>
      <c r="BB162" s="399"/>
      <c r="BC162" s="4107" t="e">
        <f>BC156/BC12</f>
        <v>#DIV/0!</v>
      </c>
      <c r="BD162" s="400"/>
      <c r="BF162" s="3992">
        <f>BF156/BF12</f>
        <v>0.26054047393071084</v>
      </c>
      <c r="BG162" s="3993" t="e">
        <f>BG156/BG12</f>
        <v>#DIV/0!</v>
      </c>
      <c r="BH162" s="975"/>
      <c r="BI162" s="974"/>
      <c r="BJ162" s="973"/>
      <c r="BK162" s="3995">
        <f>BK156/BK12</f>
        <v>0.25603666253346685</v>
      </c>
      <c r="BL162" s="975"/>
      <c r="BM162" s="4107" t="e">
        <f>BM156/BM12</f>
        <v>#DIV/0!</v>
      </c>
      <c r="BN162" s="974"/>
      <c r="BQ162" s="3995">
        <f>BQ156/BQ12</f>
        <v>0.18243008141587999</v>
      </c>
      <c r="BR162" s="399"/>
      <c r="BS162" s="4107">
        <f>BS156/BS12</f>
        <v>0</v>
      </c>
      <c r="BT162" s="400"/>
    </row>
    <row r="163" spans="1:75" x14ac:dyDescent="0.35">
      <c r="A163" s="9168"/>
      <c r="B163" s="58"/>
      <c r="C163" s="390"/>
      <c r="D163" s="414" t="s">
        <v>578</v>
      </c>
      <c r="E163" s="392"/>
      <c r="F163" s="688">
        <f>F156-SUM(F134:F138)</f>
        <v>3624502217642.3501</v>
      </c>
      <c r="G163" s="392"/>
      <c r="H163" s="420">
        <f>H156-SUM(H134:H138)</f>
        <v>5931764560.5302849</v>
      </c>
      <c r="I163" s="422">
        <f>I156-SUM(I134:I138)</f>
        <v>5493507918.0302591</v>
      </c>
      <c r="J163" s="229"/>
      <c r="K163" s="392"/>
      <c r="L163" s="420">
        <f>L156-SUM(L134:L138)</f>
        <v>8972520485.4235039</v>
      </c>
      <c r="M163" s="4109">
        <f t="shared" ref="M163" si="113">M156-SUM(M134:M138)</f>
        <v>6523771879.1012859</v>
      </c>
      <c r="O163" s="420">
        <f>O156-SUM(O134:O138)</f>
        <v>9827159269.475399</v>
      </c>
      <c r="P163" s="4109">
        <f t="shared" ref="P163" si="114">P156-SUM(P134:P138)</f>
        <v>7146555365.7490063</v>
      </c>
      <c r="R163" s="420">
        <f t="shared" ref="R163:S163" si="115">R156-SUM(R134:R138)</f>
        <v>9473861049.8366337</v>
      </c>
      <c r="S163" s="4104">
        <f t="shared" si="115"/>
        <v>8415888357.3699484</v>
      </c>
      <c r="T163" s="417"/>
      <c r="U163" s="418"/>
      <c r="V163" s="419"/>
      <c r="W163" s="420">
        <f>W156-SUM(W134:W138)</f>
        <v>9898542677.475399</v>
      </c>
      <c r="X163" s="4110">
        <f>X156-SUM(X134:X138)</f>
        <v>8561779735.9095144</v>
      </c>
      <c r="Y163" s="417"/>
      <c r="Z163" s="418"/>
      <c r="AA163" s="419"/>
      <c r="AB163" s="420">
        <f>AB156-SUM(AB134:AB138)</f>
        <v>9412183944.7361259</v>
      </c>
      <c r="AC163" s="417"/>
      <c r="AD163" s="4104">
        <f>AD156-SUM(AD134:AD138)</f>
        <v>8164086786.1981421</v>
      </c>
      <c r="AE163" s="418"/>
      <c r="AG163" s="420">
        <f>AG156-SUM(AG134:AG138)</f>
        <v>9898542677.475399</v>
      </c>
      <c r="AH163" s="4104">
        <f t="shared" ref="AH163" si="116">AH156-SUM(AH134:AH138)</f>
        <v>0</v>
      </c>
      <c r="AI163" s="417"/>
      <c r="AJ163" s="418"/>
      <c r="AK163" s="419"/>
      <c r="AL163" s="420"/>
      <c r="AM163" s="4110"/>
      <c r="AN163" s="417"/>
      <c r="AO163" s="418"/>
      <c r="AP163" s="419"/>
      <c r="AQ163" s="420"/>
      <c r="AR163" s="417"/>
      <c r="AS163" s="4104"/>
      <c r="AT163" s="418"/>
      <c r="AV163" s="420"/>
      <c r="AW163" s="4110"/>
      <c r="AX163" s="417"/>
      <c r="AY163" s="418"/>
      <c r="AZ163" s="419"/>
      <c r="BA163" s="420"/>
      <c r="BB163" s="417"/>
      <c r="BC163" s="4104"/>
      <c r="BD163" s="418"/>
      <c r="BF163" s="415"/>
      <c r="BG163" s="416"/>
      <c r="BH163" s="4724"/>
      <c r="BI163" s="5647"/>
      <c r="BJ163" s="4723"/>
      <c r="BK163" s="420"/>
      <c r="BL163" s="4724"/>
      <c r="BM163" s="4104"/>
      <c r="BN163" s="5647"/>
      <c r="BQ163" s="420"/>
      <c r="BR163" s="417"/>
      <c r="BS163" s="4104"/>
      <c r="BT163" s="418"/>
    </row>
    <row r="164" spans="1:75" x14ac:dyDescent="0.35">
      <c r="A164" s="9168"/>
      <c r="B164" s="58"/>
      <c r="C164" s="390"/>
      <c r="D164" s="391" t="s">
        <v>579</v>
      </c>
      <c r="E164" s="392"/>
      <c r="F164" s="683">
        <f>F163/F12</f>
        <v>0.18176975048121283</v>
      </c>
      <c r="G164" s="392"/>
      <c r="H164" s="402">
        <f>H163/H12</f>
        <v>0.23754806965686195</v>
      </c>
      <c r="I164" s="404">
        <f>I163/I12</f>
        <v>0.2233552446103671</v>
      </c>
      <c r="J164" s="229"/>
      <c r="K164" s="392"/>
      <c r="L164" s="402">
        <f>L163/L12</f>
        <v>0.29615083954894422</v>
      </c>
      <c r="M164" s="4106">
        <f>M163/M12</f>
        <v>0.21861304582961619</v>
      </c>
      <c r="O164" s="402">
        <f>O163/O12</f>
        <v>0.29350287599411473</v>
      </c>
      <c r="P164" s="4106">
        <f>P163/P12</f>
        <v>0.21670050739269922</v>
      </c>
      <c r="R164" s="402">
        <f>R163/R12</f>
        <v>0.31269830013062733</v>
      </c>
      <c r="S164" s="4111">
        <f>S163/S12</f>
        <v>0.28384504629199891</v>
      </c>
      <c r="T164" s="399"/>
      <c r="U164" s="400"/>
      <c r="V164" s="401"/>
      <c r="W164" s="402">
        <f>W163/W12</f>
        <v>0.29563484872109991</v>
      </c>
      <c r="X164" s="4108">
        <f>X163/X12</f>
        <v>0.26129509740127033</v>
      </c>
      <c r="Y164" s="399"/>
      <c r="Z164" s="400"/>
      <c r="AA164" s="401"/>
      <c r="AB164" s="402">
        <f>AB163/AB12</f>
        <v>0.22351900051856075</v>
      </c>
      <c r="AC164" s="399"/>
      <c r="AD164" s="4111">
        <f>AD163/AD12</f>
        <v>0.19811369472496074</v>
      </c>
      <c r="AE164" s="400"/>
      <c r="AG164" s="402">
        <f>AG163/AG12</f>
        <v>0.29563484872109991</v>
      </c>
      <c r="AH164" s="4111" t="e">
        <f>AH163/AH12</f>
        <v>#DIV/0!</v>
      </c>
      <c r="AI164" s="399"/>
      <c r="AJ164" s="400"/>
      <c r="AK164" s="401"/>
      <c r="AL164" s="402"/>
      <c r="AM164" s="4108"/>
      <c r="AN164" s="399"/>
      <c r="AO164" s="400"/>
      <c r="AP164" s="401"/>
      <c r="AQ164" s="402"/>
      <c r="AR164" s="399"/>
      <c r="AS164" s="4111"/>
      <c r="AT164" s="400"/>
      <c r="AV164" s="402"/>
      <c r="AW164" s="4108"/>
      <c r="AX164" s="399"/>
      <c r="AY164" s="400"/>
      <c r="AZ164" s="401"/>
      <c r="BA164" s="402"/>
      <c r="BB164" s="399"/>
      <c r="BC164" s="4111"/>
      <c r="BD164" s="400"/>
      <c r="BF164" s="397"/>
      <c r="BG164" s="398"/>
      <c r="BH164" s="975"/>
      <c r="BI164" s="974"/>
      <c r="BJ164" s="973"/>
      <c r="BK164" s="402"/>
      <c r="BL164" s="975"/>
      <c r="BM164" s="4111"/>
      <c r="BN164" s="974"/>
      <c r="BQ164" s="402"/>
      <c r="BR164" s="399"/>
      <c r="BS164" s="4111"/>
      <c r="BT164" s="400"/>
    </row>
    <row r="165" spans="1:75" x14ac:dyDescent="0.35">
      <c r="A165" s="9168"/>
      <c r="B165" s="58"/>
      <c r="C165" s="390"/>
      <c r="D165" s="391"/>
      <c r="E165" s="392"/>
      <c r="F165" s="688"/>
      <c r="G165" s="392"/>
      <c r="H165" s="420"/>
      <c r="I165" s="422"/>
      <c r="J165" s="229"/>
      <c r="K165" s="392"/>
      <c r="L165" s="420"/>
      <c r="M165" s="229"/>
      <c r="O165" s="420"/>
      <c r="P165" s="229"/>
      <c r="R165" s="420"/>
      <c r="S165" s="4104"/>
      <c r="T165" s="399"/>
      <c r="U165" s="400"/>
      <c r="V165" s="401"/>
      <c r="W165" s="420"/>
      <c r="X165"/>
      <c r="Y165" s="399"/>
      <c r="Z165" s="400"/>
      <c r="AA165" s="401"/>
      <c r="AB165" s="420"/>
      <c r="AC165" s="399"/>
      <c r="AD165" s="4104"/>
      <c r="AE165" s="400"/>
      <c r="AG165" s="420"/>
      <c r="AH165" s="4104"/>
      <c r="AI165" s="399"/>
      <c r="AJ165" s="400"/>
      <c r="AK165" s="401"/>
      <c r="AL165" s="420"/>
      <c r="AM165"/>
      <c r="AN165" s="399"/>
      <c r="AO165" s="400"/>
      <c r="AP165" s="401"/>
      <c r="AQ165" s="420"/>
      <c r="AR165" s="399"/>
      <c r="AS165" s="4104"/>
      <c r="AT165" s="400"/>
      <c r="AV165" s="420"/>
      <c r="AW165"/>
      <c r="AX165" s="399"/>
      <c r="AY165" s="400"/>
      <c r="AZ165" s="401"/>
      <c r="BA165" s="420"/>
      <c r="BB165" s="399"/>
      <c r="BC165" s="4104"/>
      <c r="BD165" s="400"/>
      <c r="BF165" s="415"/>
      <c r="BG165" s="416"/>
      <c r="BH165" s="975"/>
      <c r="BI165" s="974"/>
      <c r="BJ165" s="973"/>
      <c r="BK165" s="420"/>
      <c r="BL165" s="975"/>
      <c r="BM165" s="4104"/>
      <c r="BN165" s="974"/>
      <c r="BQ165" s="420"/>
      <c r="BR165" s="399"/>
      <c r="BS165" s="4104"/>
      <c r="BT165" s="400"/>
    </row>
    <row r="166" spans="1:75" x14ac:dyDescent="0.35">
      <c r="A166" s="9168"/>
      <c r="B166" s="58"/>
      <c r="C166" s="390"/>
      <c r="D166" s="423" t="s">
        <v>580</v>
      </c>
      <c r="E166" s="424"/>
      <c r="F166" s="4112">
        <f>SUM(F140:F149)/F156</f>
        <v>0</v>
      </c>
      <c r="G166" s="982"/>
      <c r="H166" s="4113">
        <f>SUM(H140:H149)/H156</f>
        <v>0</v>
      </c>
      <c r="I166" s="4114">
        <f>SUM(I140:I149)/I156</f>
        <v>0</v>
      </c>
      <c r="J166" s="246"/>
      <c r="K166" s="982"/>
      <c r="L166" s="4113">
        <f>SUM(L140:L149)/L156</f>
        <v>0</v>
      </c>
      <c r="M166" s="1233">
        <f t="shared" ref="M166" si="117">SUM(M140:M149)/M156</f>
        <v>0</v>
      </c>
      <c r="O166" s="4113">
        <f>SUM(O140:O149)/O156</f>
        <v>0</v>
      </c>
      <c r="P166" s="1233">
        <f t="shared" ref="P166" si="118">SUM(P140:P149)/P156</f>
        <v>0</v>
      </c>
      <c r="R166" s="4113">
        <f t="shared" ref="R166:S166" si="119">SUM(R140:R149)/R156</f>
        <v>0</v>
      </c>
      <c r="S166" s="4115">
        <f t="shared" si="119"/>
        <v>0</v>
      </c>
      <c r="T166" s="399"/>
      <c r="U166" s="400"/>
      <c r="V166" s="401"/>
      <c r="W166" s="4113">
        <f>SUM(W140:W149)/W156</f>
        <v>0.54197779964194459</v>
      </c>
      <c r="X166" s="985">
        <f>SUM(X140:X149)/X156</f>
        <v>0</v>
      </c>
      <c r="Y166" s="399"/>
      <c r="Z166" s="400"/>
      <c r="AA166" s="401"/>
      <c r="AB166" s="4113">
        <f>SUM(AB140:AB149)/AB156</f>
        <v>0</v>
      </c>
      <c r="AC166" s="399"/>
      <c r="AD166" s="4115">
        <f>SUM(AD140:AD149)/AD156</f>
        <v>0</v>
      </c>
      <c r="AE166" s="400"/>
      <c r="AG166" s="4113">
        <f>SUM(AG140:AG149)/AG156</f>
        <v>0.54197779964194459</v>
      </c>
      <c r="AH166" s="4115" t="e">
        <f t="shared" ref="AH166" si="120">SUM(AH140:AH149)/AH156</f>
        <v>#DIV/0!</v>
      </c>
      <c r="AI166" s="399"/>
      <c r="AJ166" s="400"/>
      <c r="AK166" s="401"/>
      <c r="AL166" s="4113"/>
      <c r="AM166" s="985"/>
      <c r="AN166" s="399"/>
      <c r="AO166" s="400"/>
      <c r="AP166" s="401"/>
      <c r="AQ166" s="4113"/>
      <c r="AR166" s="399"/>
      <c r="AS166" s="4115"/>
      <c r="AT166" s="400"/>
      <c r="AV166" s="4113"/>
      <c r="AW166" s="985"/>
      <c r="AX166" s="399"/>
      <c r="AY166" s="400"/>
      <c r="AZ166" s="401"/>
      <c r="BA166" s="4113"/>
      <c r="BB166" s="399"/>
      <c r="BC166" s="4115"/>
      <c r="BD166" s="400"/>
      <c r="BF166" s="7663"/>
      <c r="BG166" s="7664"/>
      <c r="BH166" s="975"/>
      <c r="BI166" s="974"/>
      <c r="BJ166" s="973"/>
      <c r="BK166" s="4113"/>
      <c r="BL166" s="975"/>
      <c r="BM166" s="4115"/>
      <c r="BN166" s="974"/>
      <c r="BQ166" s="4113"/>
      <c r="BR166" s="399"/>
      <c r="BS166" s="4115"/>
      <c r="BT166" s="400"/>
    </row>
    <row r="167" spans="1:75" x14ac:dyDescent="0.35">
      <c r="A167" s="9169"/>
      <c r="B167" s="85"/>
      <c r="C167" s="432"/>
      <c r="D167" s="433" t="s">
        <v>581</v>
      </c>
      <c r="E167" s="274"/>
      <c r="F167" s="4116"/>
      <c r="G167" s="460"/>
      <c r="H167" s="4117"/>
      <c r="I167" s="4118"/>
      <c r="J167" s="706"/>
      <c r="K167" s="460"/>
      <c r="L167" s="4117"/>
      <c r="M167" s="1241"/>
      <c r="O167" s="4117"/>
      <c r="P167" s="1241"/>
      <c r="R167" s="4117"/>
      <c r="S167" s="4119"/>
      <c r="T167" s="443"/>
      <c r="U167" s="444"/>
      <c r="V167" s="445"/>
      <c r="W167" s="4117"/>
      <c r="X167" s="1826"/>
      <c r="Y167" s="443"/>
      <c r="Z167" s="444"/>
      <c r="AA167" s="1083"/>
      <c r="AB167" s="4117"/>
      <c r="AC167" s="443"/>
      <c r="AD167" s="4119"/>
      <c r="AE167" s="444"/>
      <c r="AG167" s="4117"/>
      <c r="AH167" s="4119"/>
      <c r="AI167" s="443"/>
      <c r="AJ167" s="444"/>
      <c r="AK167" s="445"/>
      <c r="AL167" s="4117"/>
      <c r="AM167" s="1826"/>
      <c r="AN167" s="443"/>
      <c r="AO167" s="444"/>
      <c r="AP167" s="1083"/>
      <c r="AQ167" s="4117"/>
      <c r="AR167" s="443"/>
      <c r="AS167" s="4119"/>
      <c r="AT167" s="444"/>
      <c r="AV167" s="4117"/>
      <c r="AW167" s="1826"/>
      <c r="AX167" s="443"/>
      <c r="AY167" s="444"/>
      <c r="AZ167" s="1083"/>
      <c r="BA167" s="4117"/>
      <c r="BB167" s="443"/>
      <c r="BC167" s="4119"/>
      <c r="BD167" s="444"/>
      <c r="BF167" s="7665"/>
      <c r="BG167" s="7666"/>
      <c r="BH167" s="4741"/>
      <c r="BI167" s="5660"/>
      <c r="BJ167" s="7485"/>
      <c r="BK167" s="4117"/>
      <c r="BL167" s="4741"/>
      <c r="BM167" s="4119"/>
      <c r="BN167" s="5660"/>
      <c r="BQ167" s="4117"/>
      <c r="BR167" s="443"/>
      <c r="BS167" s="4119"/>
      <c r="BT167" s="444"/>
    </row>
    <row r="168" spans="1:75" s="462" customFormat="1" ht="12" x14ac:dyDescent="0.3">
      <c r="C168" s="456"/>
      <c r="D168" s="2"/>
      <c r="E168" s="456"/>
      <c r="F168" s="456"/>
      <c r="G168" s="456"/>
      <c r="H168" s="459"/>
      <c r="I168" s="459"/>
      <c r="J168" s="7"/>
      <c r="K168" s="456"/>
      <c r="N168" s="456"/>
      <c r="Q168" s="456"/>
      <c r="R168" s="3927"/>
      <c r="S168" s="3927"/>
      <c r="T168" s="459"/>
      <c r="U168" s="7"/>
      <c r="V168" s="456"/>
      <c r="W168" s="3927"/>
      <c r="X168" s="3927"/>
      <c r="Y168" s="459"/>
      <c r="Z168" s="7"/>
      <c r="AA168" s="456"/>
      <c r="AB168" s="892"/>
      <c r="AD168" s="892"/>
      <c r="AF168" s="456"/>
      <c r="AG168" s="3927"/>
      <c r="AH168" s="3927"/>
      <c r="AI168" s="459"/>
      <c r="AJ168" s="7"/>
      <c r="AK168" s="456"/>
      <c r="AL168" s="3927"/>
      <c r="AM168" s="3927"/>
      <c r="AN168" s="459"/>
      <c r="AO168" s="7"/>
      <c r="AP168" s="456"/>
      <c r="AQ168" s="892"/>
      <c r="AS168" s="892"/>
      <c r="AU168" s="456"/>
      <c r="AV168" s="3927"/>
      <c r="AW168" s="3927"/>
      <c r="AX168" s="459"/>
      <c r="AY168" s="7"/>
      <c r="AZ168" s="456"/>
      <c r="BA168" s="892"/>
      <c r="BC168" s="892"/>
      <c r="BF168" s="3927"/>
      <c r="BG168" s="3927"/>
      <c r="BH168" s="459"/>
      <c r="BI168" s="7"/>
      <c r="BJ168" s="456"/>
      <c r="BK168" s="892"/>
      <c r="BM168" s="892"/>
      <c r="BO168" s="456"/>
      <c r="BP168" s="456"/>
      <c r="BQ168" s="892"/>
      <c r="BS168" s="892"/>
      <c r="BU168" s="456"/>
      <c r="BV168" s="456"/>
    </row>
    <row r="169" spans="1:75" s="462" customFormat="1" ht="12" x14ac:dyDescent="0.3">
      <c r="A169" s="455" t="s">
        <v>582</v>
      </c>
      <c r="B169" s="455"/>
      <c r="C169" s="456"/>
      <c r="D169" s="2"/>
      <c r="E169" s="456"/>
      <c r="F169" s="456"/>
      <c r="G169" s="456"/>
      <c r="H169" s="459"/>
      <c r="I169" s="459"/>
      <c r="J169" s="7"/>
      <c r="K169" s="456"/>
      <c r="N169" s="456"/>
      <c r="Q169" s="456"/>
      <c r="R169" s="3927"/>
      <c r="S169" s="3927"/>
      <c r="T169" s="459"/>
      <c r="U169" s="7"/>
      <c r="V169" s="456"/>
      <c r="W169" s="3927"/>
      <c r="X169" s="3927"/>
      <c r="Y169" s="459"/>
      <c r="Z169" s="7"/>
      <c r="AA169" s="456"/>
      <c r="AB169" s="892"/>
      <c r="AD169" s="892"/>
      <c r="AF169" s="456"/>
      <c r="AG169" s="3927"/>
      <c r="AH169" s="3927"/>
      <c r="AI169" s="459"/>
      <c r="AJ169" s="7"/>
      <c r="AK169" s="456"/>
      <c r="AL169" s="3927"/>
      <c r="AM169" s="3927"/>
      <c r="AN169" s="459"/>
      <c r="AO169" s="7"/>
      <c r="AP169" s="456"/>
      <c r="AQ169" s="892"/>
      <c r="AS169" s="892"/>
      <c r="AU169" s="456"/>
      <c r="AV169" s="3927"/>
      <c r="AW169" s="3927"/>
      <c r="AX169" s="459"/>
      <c r="AY169" s="7"/>
      <c r="AZ169" s="456"/>
      <c r="BA169" s="892"/>
      <c r="BC169" s="892"/>
      <c r="BF169" s="3927"/>
      <c r="BG169" s="3927"/>
      <c r="BH169" s="459"/>
      <c r="BI169" s="7"/>
      <c r="BJ169" s="456"/>
      <c r="BK169" s="892"/>
      <c r="BM169" s="892"/>
      <c r="BO169" s="456"/>
      <c r="BP169" s="456"/>
      <c r="BQ169" s="892"/>
      <c r="BS169" s="892"/>
      <c r="BU169" s="456"/>
      <c r="BV169" s="456"/>
    </row>
    <row r="170" spans="1:75" s="462" customFormat="1" ht="12" customHeight="1" x14ac:dyDescent="0.3">
      <c r="A170" s="463">
        <v>1</v>
      </c>
      <c r="B170" s="464" t="str">
        <f>BE13</f>
        <v>controlled by Government only</v>
      </c>
      <c r="D170" s="709"/>
      <c r="E170" s="466"/>
      <c r="F170" s="466"/>
      <c r="G170" s="466"/>
      <c r="H170" s="466"/>
      <c r="I170" s="466"/>
      <c r="J170" s="467"/>
      <c r="K170" s="466"/>
      <c r="L170" s="466"/>
      <c r="M170" s="466"/>
      <c r="N170" s="456"/>
      <c r="O170" s="466"/>
      <c r="P170" s="466"/>
      <c r="Q170" s="456"/>
      <c r="R170" s="2976"/>
      <c r="S170" s="2976"/>
      <c r="T170" s="466"/>
      <c r="U170" s="467"/>
      <c r="V170" s="466"/>
      <c r="W170" s="2976"/>
      <c r="X170" s="2976"/>
      <c r="Y170" s="466"/>
      <c r="Z170" s="467"/>
      <c r="AA170" s="466"/>
      <c r="AB170" s="2976"/>
      <c r="AC170" s="466"/>
      <c r="AD170" s="2976"/>
      <c r="AE170" s="466"/>
      <c r="AF170" s="456"/>
      <c r="AG170" s="2976"/>
      <c r="AH170" s="2976"/>
      <c r="AI170" s="466"/>
      <c r="AJ170" s="467"/>
      <c r="AK170" s="466"/>
      <c r="AL170" s="2976"/>
      <c r="AM170" s="2976"/>
      <c r="AN170" s="466"/>
      <c r="AO170" s="467"/>
      <c r="AP170" s="466"/>
      <c r="AQ170" s="2976"/>
      <c r="AR170" s="466"/>
      <c r="AS170" s="2976"/>
      <c r="AT170" s="466"/>
      <c r="AU170" s="456"/>
      <c r="AV170" s="2976"/>
      <c r="AW170" s="2976"/>
      <c r="AX170" s="466"/>
      <c r="AY170" s="467"/>
      <c r="AZ170" s="466"/>
      <c r="BA170" s="2976"/>
      <c r="BB170" s="466"/>
      <c r="BC170" s="2976"/>
      <c r="BD170" s="466"/>
      <c r="BE170" s="577"/>
      <c r="BF170" s="2976"/>
      <c r="BG170" s="2976"/>
      <c r="BH170" s="466"/>
      <c r="BI170" s="467"/>
      <c r="BJ170" s="466"/>
      <c r="BK170" s="2976"/>
      <c r="BL170" s="466"/>
      <c r="BM170" s="2976"/>
      <c r="BN170" s="466"/>
      <c r="BO170" s="456"/>
      <c r="BP170" s="456"/>
      <c r="BQ170" s="2976"/>
      <c r="BR170" s="466"/>
      <c r="BS170" s="2976"/>
      <c r="BT170" s="466"/>
      <c r="BU170" s="456"/>
      <c r="BV170" s="456"/>
      <c r="BW170" s="577"/>
    </row>
    <row r="171" spans="1:75" s="462" customFormat="1" ht="12" x14ac:dyDescent="0.3">
      <c r="A171" s="468">
        <v>2</v>
      </c>
      <c r="B171" s="464" t="str">
        <f>BE27</f>
        <v>27/01 PUBLIC SERVICE MANAGEMENT DIVISION - ADMINISTRATION ; 018 Public Service Pension Fund</v>
      </c>
      <c r="D171" s="2"/>
      <c r="E171" s="456"/>
      <c r="F171" s="456"/>
      <c r="G171" s="456"/>
      <c r="H171" s="459"/>
      <c r="I171" s="459"/>
      <c r="J171" s="7"/>
      <c r="K171" s="456"/>
      <c r="N171" s="456"/>
      <c r="Q171" s="456"/>
      <c r="R171" s="3927"/>
      <c r="S171" s="3927"/>
      <c r="T171" s="459"/>
      <c r="U171" s="7"/>
      <c r="V171" s="456"/>
      <c r="W171" s="3927"/>
      <c r="X171" s="3927"/>
      <c r="Y171" s="459"/>
      <c r="Z171" s="7"/>
      <c r="AA171" s="456"/>
      <c r="AB171" s="892"/>
      <c r="AD171" s="892"/>
      <c r="AF171" s="456"/>
      <c r="AG171" s="3927"/>
      <c r="AH171" s="3927"/>
      <c r="AI171" s="459"/>
      <c r="AJ171" s="7"/>
      <c r="AK171" s="456"/>
      <c r="AL171" s="3927"/>
      <c r="AM171" s="3927"/>
      <c r="AN171" s="459"/>
      <c r="AO171" s="7"/>
      <c r="AP171" s="456"/>
      <c r="AQ171" s="892"/>
      <c r="AS171" s="892"/>
      <c r="AU171" s="456"/>
      <c r="AV171" s="3927"/>
      <c r="AW171" s="3927"/>
      <c r="AX171" s="459"/>
      <c r="AY171" s="7"/>
      <c r="AZ171" s="456"/>
      <c r="BA171" s="892"/>
      <c r="BC171" s="892"/>
      <c r="BE171" s="577"/>
      <c r="BF171" s="3927"/>
      <c r="BG171" s="3927"/>
      <c r="BH171" s="459"/>
      <c r="BI171" s="7"/>
      <c r="BJ171" s="456"/>
      <c r="BK171" s="892"/>
      <c r="BM171" s="892"/>
      <c r="BO171" s="456"/>
      <c r="BP171" s="456"/>
      <c r="BQ171" s="892"/>
      <c r="BS171" s="892"/>
      <c r="BU171" s="456"/>
      <c r="BV171" s="456"/>
      <c r="BW171" s="577"/>
    </row>
    <row r="172" spans="1:75" s="462" customFormat="1" ht="12" x14ac:dyDescent="0.3">
      <c r="A172" s="463">
        <v>3</v>
      </c>
      <c r="B172" s="464" t="str">
        <f>BE28</f>
        <v>010 Public Service Pension Fund -</v>
      </c>
      <c r="D172" s="2"/>
      <c r="E172" s="456"/>
      <c r="F172" s="456"/>
      <c r="G172" s="456"/>
      <c r="H172" s="459"/>
      <c r="I172" s="459"/>
      <c r="J172" s="7"/>
      <c r="K172" s="456"/>
      <c r="N172" s="456"/>
      <c r="Q172" s="456"/>
      <c r="R172" s="3927"/>
      <c r="S172" s="3927"/>
      <c r="T172" s="459"/>
      <c r="U172" s="7"/>
      <c r="V172" s="456"/>
      <c r="W172" s="3927"/>
      <c r="X172" s="3927"/>
      <c r="Y172" s="459"/>
      <c r="Z172" s="7"/>
      <c r="AA172" s="456"/>
      <c r="AB172" s="892"/>
      <c r="AD172" s="892"/>
      <c r="AF172" s="456"/>
      <c r="AG172" s="3927"/>
      <c r="AH172" s="3927"/>
      <c r="AI172" s="459"/>
      <c r="AJ172" s="7"/>
      <c r="AK172" s="456"/>
      <c r="AL172" s="3927"/>
      <c r="AM172" s="3927"/>
      <c r="AN172" s="459"/>
      <c r="AO172" s="7"/>
      <c r="AP172" s="456"/>
      <c r="AQ172" s="892"/>
      <c r="AS172" s="892"/>
      <c r="AU172" s="456"/>
      <c r="AV172" s="3927"/>
      <c r="AW172" s="3927"/>
      <c r="AX172" s="459"/>
      <c r="AY172" s="7"/>
      <c r="AZ172" s="456"/>
      <c r="BA172" s="892"/>
      <c r="BC172" s="892"/>
      <c r="BE172" s="577"/>
      <c r="BF172" s="3927"/>
      <c r="BG172" s="3927"/>
      <c r="BH172" s="459"/>
      <c r="BI172" s="7"/>
      <c r="BJ172" s="456"/>
      <c r="BK172" s="892"/>
      <c r="BM172" s="892"/>
      <c r="BO172" s="456"/>
      <c r="BP172" s="456"/>
      <c r="BQ172" s="892"/>
      <c r="BS172" s="892"/>
      <c r="BU172" s="456"/>
      <c r="BV172" s="456"/>
      <c r="BW172" s="577"/>
    </row>
    <row r="173" spans="1:75" s="462" customFormat="1" ht="12" x14ac:dyDescent="0.3">
      <c r="A173" s="468">
        <v>4</v>
      </c>
      <c r="B173" s="464" t="str">
        <f>BE46</f>
        <v>DEPARTMENT OF VOCATIONAL EDUCATION AND TRAINING</v>
      </c>
      <c r="D173" s="2"/>
      <c r="E173" s="456"/>
      <c r="F173" s="456"/>
      <c r="G173" s="456"/>
      <c r="H173" s="459"/>
      <c r="I173" s="459"/>
      <c r="J173" s="7"/>
      <c r="K173" s="456"/>
      <c r="N173" s="456"/>
      <c r="Q173" s="456"/>
      <c r="R173" s="3927"/>
      <c r="S173" s="3927"/>
      <c r="T173" s="459"/>
      <c r="U173" s="7"/>
      <c r="V173" s="456"/>
      <c r="W173" s="3927"/>
      <c r="X173" s="3927"/>
      <c r="Y173" s="459"/>
      <c r="Z173" s="7"/>
      <c r="AA173" s="456"/>
      <c r="AB173" s="892"/>
      <c r="AD173" s="892"/>
      <c r="AF173" s="456"/>
      <c r="AG173" s="3927"/>
      <c r="AH173" s="3927"/>
      <c r="AI173" s="459"/>
      <c r="AJ173" s="7"/>
      <c r="AK173" s="456"/>
      <c r="AL173" s="3927"/>
      <c r="AM173" s="3927"/>
      <c r="AN173" s="459"/>
      <c r="AO173" s="7"/>
      <c r="AP173" s="456"/>
      <c r="AQ173" s="892"/>
      <c r="AS173" s="892"/>
      <c r="AU173" s="456"/>
      <c r="AV173" s="3927"/>
      <c r="AW173" s="3927"/>
      <c r="AX173" s="459"/>
      <c r="AY173" s="7"/>
      <c r="AZ173" s="456"/>
      <c r="BA173" s="892"/>
      <c r="BC173" s="892"/>
      <c r="BE173" s="577"/>
      <c r="BF173" s="3927"/>
      <c r="BG173" s="3927"/>
      <c r="BH173" s="459"/>
      <c r="BI173" s="7"/>
      <c r="BJ173" s="456"/>
      <c r="BK173" s="892"/>
      <c r="BM173" s="892"/>
      <c r="BO173" s="456"/>
      <c r="BP173" s="456"/>
      <c r="BQ173" s="892"/>
      <c r="BS173" s="892"/>
      <c r="BU173" s="456"/>
      <c r="BV173" s="456"/>
      <c r="BW173" s="577"/>
    </row>
    <row r="174" spans="1:75" s="462" customFormat="1" ht="12" x14ac:dyDescent="0.3">
      <c r="A174" s="463">
        <v>5</v>
      </c>
      <c r="B174" s="464" t="str">
        <f>BE54</f>
        <v>016 Zambia Institute of Advanced Legal Education</v>
      </c>
      <c r="D174" s="2"/>
      <c r="E174" s="456"/>
      <c r="F174" s="456"/>
      <c r="G174" s="456"/>
      <c r="H174" s="459"/>
      <c r="I174" s="459"/>
      <c r="J174" s="7"/>
      <c r="K174" s="456"/>
      <c r="N174" s="456"/>
      <c r="Q174" s="456"/>
      <c r="R174" s="892"/>
      <c r="S174" s="892"/>
      <c r="W174" s="892"/>
      <c r="X174" s="892"/>
      <c r="AB174" s="892"/>
      <c r="AD174" s="892"/>
      <c r="AF174" s="456"/>
      <c r="AG174" s="892"/>
      <c r="AH174" s="892"/>
      <c r="AL174" s="892"/>
      <c r="AM174" s="892"/>
      <c r="AQ174" s="892"/>
      <c r="AS174" s="892"/>
      <c r="AU174" s="456"/>
      <c r="AV174" s="892"/>
      <c r="AW174" s="892"/>
      <c r="BA174" s="892"/>
      <c r="BC174" s="892"/>
      <c r="BE174" s="577"/>
      <c r="BF174" s="892"/>
      <c r="BG174" s="892"/>
      <c r="BK174" s="892"/>
      <c r="BM174" s="892"/>
      <c r="BO174" s="456"/>
      <c r="BP174" s="456"/>
      <c r="BQ174" s="892"/>
      <c r="BS174" s="892"/>
      <c r="BU174" s="456"/>
      <c r="BV174" s="456"/>
      <c r="BW174" s="577"/>
    </row>
    <row r="175" spans="1:75" s="462" customFormat="1" ht="12" x14ac:dyDescent="0.3">
      <c r="A175" s="468">
        <v>6</v>
      </c>
      <c r="B175" s="464" t="e">
        <f>#REF!</f>
        <v>#REF!</v>
      </c>
      <c r="D175" s="2"/>
      <c r="E175" s="456"/>
      <c r="F175" s="456"/>
      <c r="G175" s="456"/>
      <c r="H175" s="459"/>
      <c r="I175" s="459"/>
      <c r="J175" s="7"/>
      <c r="K175" s="456"/>
      <c r="N175" s="456"/>
      <c r="Q175" s="456"/>
      <c r="R175" s="892"/>
      <c r="S175" s="892"/>
      <c r="W175" s="892"/>
      <c r="X175" s="892"/>
      <c r="AB175" s="892"/>
      <c r="AD175" s="892"/>
      <c r="AF175" s="456"/>
      <c r="AG175" s="892"/>
      <c r="AH175" s="892"/>
      <c r="AL175" s="892"/>
      <c r="AM175" s="892"/>
      <c r="AQ175" s="892"/>
      <c r="AS175" s="892"/>
      <c r="AU175" s="456"/>
      <c r="AV175" s="892"/>
      <c r="AW175" s="892"/>
      <c r="BA175" s="892"/>
      <c r="BC175" s="892"/>
      <c r="BE175" s="577"/>
      <c r="BF175" s="892"/>
      <c r="BG175" s="892"/>
      <c r="BK175" s="892"/>
      <c r="BM175" s="892"/>
      <c r="BO175" s="456"/>
      <c r="BP175" s="456"/>
      <c r="BQ175" s="892"/>
      <c r="BS175" s="892"/>
      <c r="BU175" s="456"/>
      <c r="BV175" s="456"/>
      <c r="BW175" s="577"/>
    </row>
    <row r="176" spans="1:75" s="462" customFormat="1" ht="12" x14ac:dyDescent="0.3">
      <c r="A176" s="463">
        <v>7</v>
      </c>
      <c r="B176" s="464" t="str">
        <f>BE55</f>
        <v>TRAINING SCHOOL</v>
      </c>
      <c r="D176" s="2"/>
      <c r="E176" s="456"/>
      <c r="F176" s="456"/>
      <c r="G176" s="456"/>
      <c r="H176" s="459"/>
      <c r="I176" s="459"/>
      <c r="J176" s="7"/>
      <c r="K176" s="456"/>
      <c r="N176" s="456"/>
      <c r="Q176" s="456"/>
      <c r="R176" s="892"/>
      <c r="S176" s="892"/>
      <c r="W176" s="892"/>
      <c r="X176" s="892"/>
      <c r="AB176" s="892"/>
      <c r="AD176" s="892"/>
      <c r="AF176" s="456"/>
      <c r="AG176" s="892"/>
      <c r="AH176" s="892"/>
      <c r="AL176" s="892"/>
      <c r="AM176" s="892"/>
      <c r="AQ176" s="892"/>
      <c r="AS176" s="892"/>
      <c r="AU176" s="456"/>
      <c r="AV176" s="892"/>
      <c r="AW176" s="892"/>
      <c r="BA176" s="892"/>
      <c r="BC176" s="892"/>
      <c r="BE176" s="577"/>
      <c r="BF176" s="892"/>
      <c r="BG176" s="892"/>
      <c r="BK176" s="892"/>
      <c r="BM176" s="892"/>
      <c r="BO176" s="456"/>
      <c r="BP176" s="456"/>
      <c r="BQ176" s="892"/>
      <c r="BS176" s="892"/>
      <c r="BU176" s="456"/>
      <c r="BV176" s="456"/>
      <c r="BW176" s="577"/>
    </row>
    <row r="177" spans="1:75" s="462" customFormat="1" ht="12" x14ac:dyDescent="0.3">
      <c r="A177" s="468">
        <v>8</v>
      </c>
      <c r="B177" s="464" t="str">
        <f t="shared" ref="B177:B183" si="121">BE58</f>
        <v>ZAMBIA FORESTRY COLLEGE</v>
      </c>
      <c r="D177" s="2"/>
      <c r="E177" s="456"/>
      <c r="F177" s="456"/>
      <c r="G177" s="456"/>
      <c r="H177" s="459"/>
      <c r="I177" s="459"/>
      <c r="J177" s="7"/>
      <c r="K177" s="456"/>
      <c r="N177" s="456"/>
      <c r="Q177" s="456"/>
      <c r="R177" s="892"/>
      <c r="S177" s="892"/>
      <c r="W177" s="892"/>
      <c r="X177" s="892"/>
      <c r="AB177" s="892"/>
      <c r="AD177" s="892"/>
      <c r="AF177" s="456"/>
      <c r="AG177" s="892"/>
      <c r="AH177" s="892"/>
      <c r="AL177" s="892"/>
      <c r="AM177" s="892"/>
      <c r="AQ177" s="892"/>
      <c r="AS177" s="892"/>
      <c r="AU177" s="456"/>
      <c r="AV177" s="892"/>
      <c r="AW177" s="892"/>
      <c r="BA177" s="892"/>
      <c r="BC177" s="892"/>
      <c r="BE177" s="577"/>
      <c r="BF177" s="892"/>
      <c r="BG177" s="892"/>
      <c r="BK177" s="892"/>
      <c r="BM177" s="892"/>
      <c r="BO177" s="456"/>
      <c r="BP177" s="456"/>
      <c r="BQ177" s="892"/>
      <c r="BS177" s="892"/>
      <c r="BU177" s="456"/>
      <c r="BV177" s="456"/>
      <c r="BW177" s="577"/>
    </row>
    <row r="178" spans="1:75" s="462" customFormat="1" ht="12" x14ac:dyDescent="0.3">
      <c r="A178" s="463">
        <v>9</v>
      </c>
      <c r="B178" s="464" t="str">
        <f t="shared" si="121"/>
        <v>TRAINING INSTITUTIONS</v>
      </c>
      <c r="D178" s="2"/>
      <c r="E178" s="456"/>
      <c r="F178" s="456"/>
      <c r="G178" s="456"/>
      <c r="H178" s="459"/>
      <c r="I178" s="459"/>
      <c r="J178" s="7"/>
      <c r="K178" s="456"/>
      <c r="N178" s="456"/>
      <c r="Q178" s="456"/>
      <c r="R178" s="892"/>
      <c r="S178" s="892"/>
      <c r="W178" s="892"/>
      <c r="X178" s="892"/>
      <c r="AB178" s="892"/>
      <c r="AD178" s="892"/>
      <c r="AF178" s="456"/>
      <c r="AG178" s="892"/>
      <c r="AH178" s="892"/>
      <c r="AL178" s="892"/>
      <c r="AM178" s="892"/>
      <c r="AQ178" s="892"/>
      <c r="AS178" s="892"/>
      <c r="AU178" s="456"/>
      <c r="AV178" s="892"/>
      <c r="AW178" s="892"/>
      <c r="BA178" s="892"/>
      <c r="BC178" s="892"/>
      <c r="BE178" s="577"/>
      <c r="BF178" s="892"/>
      <c r="BG178" s="892"/>
      <c r="BK178" s="892"/>
      <c r="BM178" s="892"/>
      <c r="BO178" s="456"/>
      <c r="BP178" s="456"/>
      <c r="BQ178" s="892"/>
      <c r="BS178" s="892"/>
      <c r="BU178" s="456"/>
      <c r="BV178" s="456"/>
      <c r="BW178" s="577"/>
    </row>
    <row r="179" spans="1:75" s="462" customFormat="1" ht="12" x14ac:dyDescent="0.3">
      <c r="A179" s="468">
        <v>10</v>
      </c>
      <c r="B179" s="464" t="str">
        <f t="shared" si="121"/>
        <v>AGRICULTURAL TRAINING INSTITUTIONS</v>
      </c>
      <c r="D179" s="2"/>
      <c r="E179" s="456"/>
      <c r="F179" s="456"/>
      <c r="G179" s="456"/>
      <c r="H179" s="459"/>
      <c r="I179" s="459"/>
      <c r="J179" s="7"/>
      <c r="K179" s="456"/>
      <c r="N179" s="456"/>
      <c r="Q179" s="456"/>
      <c r="R179" s="892"/>
      <c r="S179" s="892"/>
      <c r="W179" s="892"/>
      <c r="X179" s="892"/>
      <c r="AB179" s="892"/>
      <c r="AD179" s="892"/>
      <c r="AF179" s="456"/>
      <c r="AG179" s="892"/>
      <c r="AH179" s="892"/>
      <c r="AL179" s="892"/>
      <c r="AM179" s="892"/>
      <c r="AQ179" s="892"/>
      <c r="AS179" s="892"/>
      <c r="AU179" s="456"/>
      <c r="AV179" s="892"/>
      <c r="AW179" s="892"/>
      <c r="BA179" s="892"/>
      <c r="BC179" s="892"/>
      <c r="BE179" s="577"/>
      <c r="BF179" s="892"/>
      <c r="BG179" s="892"/>
      <c r="BK179" s="892"/>
      <c r="BM179" s="892"/>
      <c r="BO179" s="456"/>
      <c r="BP179" s="456"/>
      <c r="BQ179" s="892"/>
      <c r="BS179" s="892"/>
      <c r="BU179" s="456"/>
      <c r="BV179" s="456"/>
      <c r="BW179" s="577"/>
    </row>
    <row r="180" spans="1:75" s="462" customFormat="1" ht="12" x14ac:dyDescent="0.3">
      <c r="A180" s="463">
        <v>11</v>
      </c>
      <c r="B180" s="464" t="str">
        <f t="shared" si="121"/>
        <v>Kitwe community college</v>
      </c>
      <c r="D180" s="2"/>
      <c r="E180" s="456"/>
      <c r="F180" s="456"/>
      <c r="G180" s="456"/>
      <c r="H180" s="459"/>
      <c r="I180" s="459"/>
      <c r="J180" s="7"/>
      <c r="K180" s="456"/>
      <c r="N180" s="456"/>
      <c r="Q180" s="456"/>
      <c r="R180" s="892"/>
      <c r="S180" s="892"/>
      <c r="W180" s="892"/>
      <c r="X180" s="892"/>
      <c r="AB180" s="892"/>
      <c r="AD180" s="892"/>
      <c r="AF180" s="456"/>
      <c r="AG180" s="892"/>
      <c r="AH180" s="892"/>
      <c r="AL180" s="892"/>
      <c r="AM180" s="892"/>
      <c r="AQ180" s="892"/>
      <c r="AS180" s="892"/>
      <c r="AU180" s="456"/>
      <c r="AV180" s="892"/>
      <c r="AW180" s="892"/>
      <c r="BA180" s="892"/>
      <c r="BC180" s="892"/>
      <c r="BE180" s="577"/>
      <c r="BF180" s="892"/>
      <c r="BG180" s="892"/>
      <c r="BK180" s="892"/>
      <c r="BM180" s="892"/>
      <c r="BO180" s="456"/>
      <c r="BP180" s="456"/>
      <c r="BQ180" s="892"/>
      <c r="BS180" s="892"/>
      <c r="BU180" s="456"/>
      <c r="BV180" s="456"/>
      <c r="BW180" s="577"/>
    </row>
    <row r="181" spans="1:75" s="462" customFormat="1" ht="12" x14ac:dyDescent="0.3">
      <c r="A181" s="468">
        <v>12</v>
      </c>
      <c r="B181" s="464" t="str">
        <f t="shared" si="121"/>
        <v>Monze community college</v>
      </c>
      <c r="D181" s="2"/>
      <c r="E181" s="456"/>
      <c r="F181" s="456"/>
      <c r="G181" s="456"/>
      <c r="H181" s="459"/>
      <c r="I181" s="459"/>
      <c r="J181" s="7"/>
      <c r="K181" s="456"/>
      <c r="N181" s="456"/>
      <c r="Q181" s="456"/>
      <c r="R181" s="3927"/>
      <c r="S181" s="3927"/>
      <c r="T181" s="459"/>
      <c r="U181" s="7"/>
      <c r="V181" s="456"/>
      <c r="W181" s="3927"/>
      <c r="X181" s="3927"/>
      <c r="Y181" s="459"/>
      <c r="Z181" s="7"/>
      <c r="AA181" s="456"/>
      <c r="AB181" s="892"/>
      <c r="AD181" s="892"/>
      <c r="AF181" s="456"/>
      <c r="AG181" s="3927"/>
      <c r="AH181" s="3927"/>
      <c r="AI181" s="459"/>
      <c r="AJ181" s="7"/>
      <c r="AK181" s="456"/>
      <c r="AL181" s="3927"/>
      <c r="AM181" s="3927"/>
      <c r="AN181" s="459"/>
      <c r="AO181" s="7"/>
      <c r="AP181" s="456"/>
      <c r="AQ181" s="892"/>
      <c r="AS181" s="892"/>
      <c r="AU181" s="456"/>
      <c r="AV181" s="3927"/>
      <c r="AW181" s="3927"/>
      <c r="AX181" s="459"/>
      <c r="AY181" s="7"/>
      <c r="AZ181" s="456"/>
      <c r="BA181" s="892"/>
      <c r="BC181" s="892"/>
      <c r="BE181" s="577"/>
      <c r="BF181" s="3927"/>
      <c r="BG181" s="3927"/>
      <c r="BH181" s="459"/>
      <c r="BI181" s="7"/>
      <c r="BJ181" s="456"/>
      <c r="BK181" s="892"/>
      <c r="BM181" s="892"/>
      <c r="BO181" s="456"/>
      <c r="BP181" s="456"/>
      <c r="BQ181" s="892"/>
      <c r="BS181" s="892"/>
      <c r="BU181" s="456"/>
      <c r="BV181" s="456"/>
      <c r="BW181" s="577"/>
    </row>
    <row r="182" spans="1:75" s="462" customFormat="1" ht="12" x14ac:dyDescent="0.3">
      <c r="A182" s="468">
        <v>13</v>
      </c>
      <c r="B182" s="464" t="str">
        <f t="shared" si="121"/>
        <v>Rehabilitation of school / college infrastructure</v>
      </c>
      <c r="D182" s="2"/>
      <c r="E182" s="456"/>
      <c r="F182" s="456"/>
      <c r="G182" s="456"/>
      <c r="H182" s="459"/>
      <c r="I182" s="459"/>
      <c r="J182" s="7"/>
      <c r="K182" s="456"/>
      <c r="N182" s="456"/>
      <c r="Q182" s="456"/>
      <c r="R182" s="3927"/>
      <c r="S182" s="3927"/>
      <c r="T182" s="459"/>
      <c r="U182" s="7"/>
      <c r="V182" s="456"/>
      <c r="W182" s="3927"/>
      <c r="X182" s="3927"/>
      <c r="Y182" s="459"/>
      <c r="Z182" s="7"/>
      <c r="AA182" s="456"/>
      <c r="AB182" s="892"/>
      <c r="AD182" s="892"/>
      <c r="AF182" s="456"/>
      <c r="AG182" s="3927"/>
      <c r="AH182" s="3927"/>
      <c r="AI182" s="459"/>
      <c r="AJ182" s="7"/>
      <c r="AK182" s="456"/>
      <c r="AL182" s="3927"/>
      <c r="AM182" s="3927"/>
      <c r="AN182" s="459"/>
      <c r="AO182" s="7"/>
      <c r="AP182" s="456"/>
      <c r="AQ182" s="892"/>
      <c r="AS182" s="892"/>
      <c r="AU182" s="456"/>
      <c r="AV182" s="3927"/>
      <c r="AW182" s="3927"/>
      <c r="AX182" s="459"/>
      <c r="AY182" s="7"/>
      <c r="AZ182" s="456"/>
      <c r="BA182" s="892"/>
      <c r="BC182" s="892"/>
      <c r="BE182" s="577"/>
      <c r="BF182" s="3927"/>
      <c r="BG182" s="3927"/>
      <c r="BH182" s="459"/>
      <c r="BI182" s="7"/>
      <c r="BJ182" s="456"/>
      <c r="BK182" s="892"/>
      <c r="BM182" s="892"/>
      <c r="BO182" s="456"/>
      <c r="BP182" s="456"/>
      <c r="BQ182" s="892"/>
      <c r="BS182" s="892"/>
      <c r="BU182" s="456"/>
      <c r="BV182" s="456"/>
      <c r="BW182" s="577"/>
    </row>
    <row r="183" spans="1:75" s="462" customFormat="1" ht="12" x14ac:dyDescent="0.3">
      <c r="A183" s="468">
        <v>14</v>
      </c>
      <c r="B183" s="464" t="str">
        <f t="shared" si="121"/>
        <v>Nakambala Training School</v>
      </c>
      <c r="D183" s="2"/>
      <c r="E183" s="456"/>
      <c r="F183" s="456"/>
      <c r="G183" s="456"/>
      <c r="H183" s="459"/>
      <c r="I183" s="459"/>
      <c r="J183" s="7"/>
      <c r="K183" s="456"/>
      <c r="N183" s="456"/>
      <c r="Q183" s="456"/>
      <c r="R183" s="3927"/>
      <c r="S183" s="3927"/>
      <c r="T183" s="459"/>
      <c r="U183" s="7"/>
      <c r="V183" s="456"/>
      <c r="W183" s="3927"/>
      <c r="X183" s="3927"/>
      <c r="Y183" s="459"/>
      <c r="Z183" s="7"/>
      <c r="AA183" s="456"/>
      <c r="AB183" s="892"/>
      <c r="AD183" s="892"/>
      <c r="AF183" s="456"/>
      <c r="AG183" s="3927"/>
      <c r="AH183" s="3927"/>
      <c r="AI183" s="459"/>
      <c r="AJ183" s="7"/>
      <c r="AK183" s="456"/>
      <c r="AL183" s="3927"/>
      <c r="AM183" s="3927"/>
      <c r="AN183" s="459"/>
      <c r="AO183" s="7"/>
      <c r="AP183" s="456"/>
      <c r="AQ183" s="892"/>
      <c r="AS183" s="892"/>
      <c r="AU183" s="456"/>
      <c r="AV183" s="3927"/>
      <c r="AW183" s="3927"/>
      <c r="AX183" s="459"/>
      <c r="AY183" s="7"/>
      <c r="AZ183" s="456"/>
      <c r="BA183" s="892"/>
      <c r="BC183" s="892"/>
      <c r="BE183" s="577"/>
      <c r="BF183" s="3927"/>
      <c r="BG183" s="3927"/>
      <c r="BH183" s="459"/>
      <c r="BI183" s="7"/>
      <c r="BJ183" s="456"/>
      <c r="BK183" s="892"/>
      <c r="BM183" s="892"/>
      <c r="BO183" s="456"/>
      <c r="BP183" s="456"/>
      <c r="BQ183" s="892"/>
      <c r="BS183" s="892"/>
      <c r="BU183" s="456"/>
      <c r="BV183" s="456"/>
      <c r="BW183" s="577"/>
    </row>
    <row r="184" spans="1:75" s="462" customFormat="1" x14ac:dyDescent="0.35">
      <c r="A184" s="468">
        <v>15</v>
      </c>
      <c r="B184" s="464" t="str">
        <f>BE67</f>
        <v>UTH School of Nursing</v>
      </c>
      <c r="D184" s="2"/>
      <c r="E184" s="456"/>
      <c r="F184" s="456"/>
      <c r="G184" s="456"/>
      <c r="H184" s="459"/>
      <c r="I184" s="459"/>
      <c r="J184" s="7"/>
      <c r="K184" s="456"/>
      <c r="N184" s="456"/>
      <c r="Q184" s="456"/>
      <c r="R184" s="253"/>
      <c r="S184" s="253"/>
      <c r="T184" s="6"/>
      <c r="U184" s="7"/>
      <c r="V184" s="1"/>
      <c r="W184" s="253"/>
      <c r="X184" s="253"/>
      <c r="Y184" s="6"/>
      <c r="Z184" s="7"/>
      <c r="AA184" s="1"/>
      <c r="AB184" s="254"/>
      <c r="AC184"/>
      <c r="AD184" s="254"/>
      <c r="AE184"/>
      <c r="AF184" s="456"/>
      <c r="AG184" s="253"/>
      <c r="AH184" s="253"/>
      <c r="AI184" s="6"/>
      <c r="AJ184" s="7"/>
      <c r="AK184" s="1"/>
      <c r="AL184" s="253"/>
      <c r="AM184" s="253"/>
      <c r="AN184" s="6"/>
      <c r="AO184" s="7"/>
      <c r="AP184" s="1"/>
      <c r="AQ184" s="254"/>
      <c r="AR184"/>
      <c r="AS184" s="254"/>
      <c r="AT184"/>
      <c r="AU184" s="456"/>
      <c r="AV184" s="253"/>
      <c r="AW184" s="253"/>
      <c r="AX184" s="6"/>
      <c r="AY184" s="7"/>
      <c r="AZ184" s="1"/>
      <c r="BA184" s="254"/>
      <c r="BB184"/>
      <c r="BC184" s="254"/>
      <c r="BD184"/>
      <c r="BE184" s="577"/>
      <c r="BF184" s="253"/>
      <c r="BG184" s="253"/>
      <c r="BH184" s="6"/>
      <c r="BI184" s="7"/>
      <c r="BJ184" s="1"/>
      <c r="BK184" s="254"/>
      <c r="BL184"/>
      <c r="BM184" s="254"/>
      <c r="BN184"/>
      <c r="BO184" s="456"/>
      <c r="BP184" s="456"/>
      <c r="BQ184" s="254"/>
      <c r="BR184"/>
      <c r="BS184" s="254"/>
      <c r="BT184"/>
      <c r="BU184" s="456"/>
      <c r="BV184" s="456"/>
      <c r="BW184" s="577"/>
    </row>
    <row r="185" spans="1:75" s="462" customFormat="1" x14ac:dyDescent="0.35">
      <c r="A185" s="468">
        <v>16</v>
      </c>
      <c r="B185" s="464" t="str">
        <f>BE68</f>
        <v>Kitwe School of Nursing</v>
      </c>
      <c r="D185" s="2"/>
      <c r="E185" s="456"/>
      <c r="F185" s="456"/>
      <c r="G185" s="456"/>
      <c r="H185" s="459"/>
      <c r="I185" s="459"/>
      <c r="J185" s="7"/>
      <c r="K185" s="456"/>
      <c r="N185" s="456"/>
      <c r="Q185" s="456"/>
      <c r="R185" s="253"/>
      <c r="S185" s="253"/>
      <c r="T185" s="6"/>
      <c r="U185" s="7"/>
      <c r="V185" s="1"/>
      <c r="W185" s="253"/>
      <c r="X185" s="253"/>
      <c r="Y185" s="6"/>
      <c r="Z185" s="7"/>
      <c r="AA185" s="1"/>
      <c r="AB185" s="254"/>
      <c r="AC185"/>
      <c r="AD185" s="254"/>
      <c r="AE185"/>
      <c r="AF185" s="456"/>
      <c r="AG185" s="253"/>
      <c r="AH185" s="253"/>
      <c r="AI185" s="6"/>
      <c r="AJ185" s="7"/>
      <c r="AK185" s="1"/>
      <c r="AL185" s="253"/>
      <c r="AM185" s="253"/>
      <c r="AN185" s="6"/>
      <c r="AO185" s="7"/>
      <c r="AP185" s="1"/>
      <c r="AQ185" s="254"/>
      <c r="AR185"/>
      <c r="AS185" s="254"/>
      <c r="AT185"/>
      <c r="AU185" s="456"/>
      <c r="AV185" s="253"/>
      <c r="AW185" s="253"/>
      <c r="AX185" s="6"/>
      <c r="AY185" s="7"/>
      <c r="AZ185" s="1"/>
      <c r="BA185" s="254"/>
      <c r="BB185"/>
      <c r="BC185" s="254"/>
      <c r="BD185"/>
      <c r="BE185" s="577"/>
      <c r="BF185" s="253"/>
      <c r="BG185" s="253"/>
      <c r="BH185" s="6"/>
      <c r="BI185" s="7"/>
      <c r="BJ185" s="1"/>
      <c r="BK185" s="254"/>
      <c r="BL185"/>
      <c r="BM185" s="254"/>
      <c r="BN185"/>
      <c r="BO185" s="456"/>
      <c r="BP185" s="456"/>
      <c r="BQ185" s="254"/>
      <c r="BR185"/>
      <c r="BS185" s="254"/>
      <c r="BT185"/>
      <c r="BU185" s="456"/>
      <c r="BV185" s="456"/>
      <c r="BW185" s="577"/>
    </row>
    <row r="186" spans="1:75" s="462" customFormat="1" x14ac:dyDescent="0.35">
      <c r="A186" s="468">
        <v>17</v>
      </c>
      <c r="B186" s="464" t="str">
        <f>BE69</f>
        <v>Mufulira School of Nursing</v>
      </c>
      <c r="D186" s="2"/>
      <c r="E186" s="456"/>
      <c r="F186" s="456"/>
      <c r="G186" s="456"/>
      <c r="H186" s="459"/>
      <c r="I186" s="459"/>
      <c r="J186" s="7"/>
      <c r="K186" s="456"/>
      <c r="N186" s="456"/>
      <c r="Q186" s="456"/>
      <c r="R186" s="253"/>
      <c r="S186" s="253"/>
      <c r="T186" s="6"/>
      <c r="U186" s="7"/>
      <c r="V186" s="1"/>
      <c r="W186" s="253"/>
      <c r="X186" s="253"/>
      <c r="Y186" s="6"/>
      <c r="Z186" s="7"/>
      <c r="AA186" s="1"/>
      <c r="AB186" s="254"/>
      <c r="AC186"/>
      <c r="AD186" s="254"/>
      <c r="AE186"/>
      <c r="AF186" s="456"/>
      <c r="AG186" s="253"/>
      <c r="AH186" s="253"/>
      <c r="AI186" s="6"/>
      <c r="AJ186" s="7"/>
      <c r="AK186" s="1"/>
      <c r="AL186" s="253"/>
      <c r="AM186" s="253"/>
      <c r="AN186" s="6"/>
      <c r="AO186" s="7"/>
      <c r="AP186" s="1"/>
      <c r="AQ186" s="254"/>
      <c r="AR186"/>
      <c r="AS186" s="254"/>
      <c r="AT186"/>
      <c r="AU186" s="456"/>
      <c r="AV186" s="253"/>
      <c r="AW186" s="253"/>
      <c r="AX186" s="6"/>
      <c r="AY186" s="7"/>
      <c r="AZ186" s="1"/>
      <c r="BA186" s="254"/>
      <c r="BB186"/>
      <c r="BC186" s="254"/>
      <c r="BD186"/>
      <c r="BE186" s="577"/>
      <c r="BF186" s="253"/>
      <c r="BG186" s="253"/>
      <c r="BH186" s="6"/>
      <c r="BI186" s="7"/>
      <c r="BJ186" s="1"/>
      <c r="BK186" s="254"/>
      <c r="BL186"/>
      <c r="BM186" s="254"/>
      <c r="BN186"/>
      <c r="BO186" s="456"/>
      <c r="BP186" s="456"/>
      <c r="BQ186" s="254"/>
      <c r="BR186"/>
      <c r="BS186" s="254"/>
      <c r="BT186"/>
      <c r="BU186" s="456"/>
      <c r="BV186" s="456"/>
      <c r="BW186" s="577"/>
    </row>
    <row r="187" spans="1:75" s="462" customFormat="1" x14ac:dyDescent="0.35">
      <c r="A187" s="468">
        <v>18</v>
      </c>
      <c r="B187" s="464" t="str">
        <f>BE70</f>
        <v>Ndola School of Nursing</v>
      </c>
      <c r="D187" s="2"/>
      <c r="E187" s="456"/>
      <c r="F187" s="456"/>
      <c r="G187" s="456"/>
      <c r="H187" s="459"/>
      <c r="I187" s="459"/>
      <c r="J187" s="7"/>
      <c r="K187" s="456"/>
      <c r="N187" s="456"/>
      <c r="Q187" s="456"/>
      <c r="R187" s="253"/>
      <c r="S187" s="253"/>
      <c r="T187" s="6"/>
      <c r="U187" s="7"/>
      <c r="V187" s="1"/>
      <c r="W187" s="253"/>
      <c r="X187" s="253"/>
      <c r="Y187" s="6"/>
      <c r="Z187" s="7"/>
      <c r="AA187" s="1"/>
      <c r="AB187" s="254"/>
      <c r="AC187"/>
      <c r="AD187" s="254"/>
      <c r="AE187"/>
      <c r="AF187" s="456"/>
      <c r="AG187" s="253"/>
      <c r="AH187" s="253"/>
      <c r="AI187" s="6"/>
      <c r="AJ187" s="7"/>
      <c r="AK187" s="1"/>
      <c r="AL187" s="253"/>
      <c r="AM187" s="253"/>
      <c r="AN187" s="6"/>
      <c r="AO187" s="7"/>
      <c r="AP187" s="1"/>
      <c r="AQ187" s="254"/>
      <c r="AR187"/>
      <c r="AS187" s="254"/>
      <c r="AT187"/>
      <c r="AU187" s="456"/>
      <c r="AV187" s="253"/>
      <c r="AW187" s="253"/>
      <c r="AX187" s="6"/>
      <c r="AY187" s="7"/>
      <c r="AZ187" s="1"/>
      <c r="BA187" s="254"/>
      <c r="BB187"/>
      <c r="BC187" s="254"/>
      <c r="BD187"/>
      <c r="BE187" s="577"/>
      <c r="BF187" s="253"/>
      <c r="BG187" s="253"/>
      <c r="BH187" s="6"/>
      <c r="BI187" s="7"/>
      <c r="BJ187" s="1"/>
      <c r="BK187" s="254"/>
      <c r="BL187"/>
      <c r="BM187" s="254"/>
      <c r="BN187"/>
      <c r="BO187" s="456"/>
      <c r="BP187" s="456"/>
      <c r="BQ187" s="254"/>
      <c r="BR187"/>
      <c r="BS187" s="254"/>
      <c r="BT187"/>
      <c r="BU187" s="456"/>
      <c r="BV187" s="456"/>
      <c r="BW187" s="577"/>
    </row>
    <row r="188" spans="1:75" s="462" customFormat="1" x14ac:dyDescent="0.35">
      <c r="A188" s="468"/>
      <c r="B188" s="469"/>
      <c r="D188" s="2"/>
      <c r="E188" s="456"/>
      <c r="F188" s="456"/>
      <c r="G188" s="456"/>
      <c r="H188" s="459"/>
      <c r="I188" s="459"/>
      <c r="J188" s="7"/>
      <c r="K188" s="456"/>
      <c r="N188" s="456"/>
      <c r="Q188" s="456"/>
      <c r="R188" s="253"/>
      <c r="S188" s="253"/>
      <c r="T188" s="6"/>
      <c r="U188" s="7"/>
      <c r="V188" s="1"/>
      <c r="W188" s="253"/>
      <c r="X188" s="253"/>
      <c r="Y188" s="6"/>
      <c r="Z188" s="7"/>
      <c r="AA188" s="1"/>
      <c r="AB188" s="254"/>
      <c r="AC188"/>
      <c r="AD188" s="254"/>
      <c r="AE188"/>
      <c r="AF188" s="456"/>
      <c r="AG188" s="253"/>
      <c r="AH188" s="253"/>
      <c r="AI188" s="6"/>
      <c r="AJ188" s="7"/>
      <c r="AK188" s="1"/>
      <c r="AL188" s="253"/>
      <c r="AM188" s="253"/>
      <c r="AN188" s="6"/>
      <c r="AO188" s="7"/>
      <c r="AP188" s="1"/>
      <c r="AQ188" s="254"/>
      <c r="AR188"/>
      <c r="AS188" s="254"/>
      <c r="AT188"/>
      <c r="AU188" s="456"/>
      <c r="AV188" s="253"/>
      <c r="AW188" s="253"/>
      <c r="AX188" s="6"/>
      <c r="AY188" s="7"/>
      <c r="AZ188" s="1"/>
      <c r="BA188" s="254"/>
      <c r="BB188"/>
      <c r="BC188" s="254"/>
      <c r="BD188"/>
      <c r="BE188" s="577"/>
      <c r="BF188" s="253"/>
      <c r="BG188" s="253"/>
      <c r="BH188" s="6"/>
      <c r="BI188" s="7"/>
      <c r="BJ188" s="1"/>
      <c r="BK188" s="254"/>
      <c r="BL188"/>
      <c r="BM188" s="254"/>
      <c r="BN188"/>
      <c r="BO188" s="456"/>
      <c r="BP188" s="456"/>
      <c r="BQ188" s="254"/>
      <c r="BR188"/>
      <c r="BS188" s="254"/>
      <c r="BT188"/>
      <c r="BU188" s="456"/>
      <c r="BV188" s="456"/>
      <c r="BW188" s="577"/>
    </row>
    <row r="189" spans="1:75" s="462" customFormat="1" x14ac:dyDescent="0.35">
      <c r="A189" s="455" t="s">
        <v>583</v>
      </c>
      <c r="B189" s="455"/>
      <c r="C189" s="456"/>
      <c r="D189" s="2"/>
      <c r="E189" s="456"/>
      <c r="F189" s="456"/>
      <c r="G189" s="456"/>
      <c r="H189" s="459"/>
      <c r="I189" s="459"/>
      <c r="J189" s="7"/>
      <c r="K189" s="456"/>
      <c r="N189" s="456"/>
      <c r="Q189" s="456"/>
      <c r="R189" s="253"/>
      <c r="S189" s="253"/>
      <c r="T189" s="6"/>
      <c r="U189" s="7"/>
      <c r="V189" s="1"/>
      <c r="W189" s="253"/>
      <c r="X189" s="253"/>
      <c r="Y189" s="6"/>
      <c r="Z189" s="7"/>
      <c r="AA189" s="1"/>
      <c r="AB189" s="254"/>
      <c r="AC189"/>
      <c r="AD189" s="254"/>
      <c r="AE189"/>
      <c r="AF189" s="456"/>
      <c r="AG189" s="253"/>
      <c r="AH189" s="253"/>
      <c r="AI189" s="6"/>
      <c r="AJ189" s="7"/>
      <c r="AK189" s="1"/>
      <c r="AL189" s="253"/>
      <c r="AM189" s="253"/>
      <c r="AN189" s="6"/>
      <c r="AO189" s="7"/>
      <c r="AP189" s="1"/>
      <c r="AQ189" s="254"/>
      <c r="AR189"/>
      <c r="AS189" s="254"/>
      <c r="AT189"/>
      <c r="AU189" s="456"/>
      <c r="AV189" s="253"/>
      <c r="AW189" s="253"/>
      <c r="AX189" s="6"/>
      <c r="AY189" s="7"/>
      <c r="AZ189" s="1"/>
      <c r="BA189" s="254"/>
      <c r="BB189"/>
      <c r="BC189" s="254"/>
      <c r="BD189"/>
      <c r="BE189" s="577"/>
      <c r="BF189" s="253"/>
      <c r="BG189" s="253"/>
      <c r="BH189" s="6"/>
      <c r="BI189" s="7"/>
      <c r="BJ189" s="1"/>
      <c r="BK189" s="254"/>
      <c r="BL189"/>
      <c r="BM189" s="254"/>
      <c r="BN189"/>
      <c r="BO189" s="456"/>
      <c r="BP189" s="456"/>
      <c r="BQ189" s="254"/>
      <c r="BR189"/>
      <c r="BS189" s="254"/>
      <c r="BT189"/>
      <c r="BU189" s="456"/>
      <c r="BV189" s="456"/>
      <c r="BW189" s="577"/>
    </row>
    <row r="190" spans="1:75" s="462" customFormat="1" ht="93" customHeight="1" x14ac:dyDescent="0.35">
      <c r="A190" s="9596" t="s">
        <v>6629</v>
      </c>
      <c r="B190" s="9597"/>
      <c r="C190" s="9597"/>
      <c r="D190" s="9597"/>
      <c r="E190" s="9597"/>
      <c r="F190" s="9597"/>
      <c r="G190" s="9597"/>
      <c r="H190" s="9597"/>
      <c r="I190" s="9597"/>
      <c r="J190" s="9597"/>
      <c r="K190" s="9597"/>
      <c r="L190" s="9597"/>
      <c r="M190" s="9597"/>
      <c r="N190" s="9597"/>
      <c r="O190" s="9597"/>
      <c r="P190" s="9598"/>
      <c r="Q190" s="456"/>
      <c r="R190" s="253"/>
      <c r="S190" s="253"/>
      <c r="T190" s="6"/>
      <c r="U190" s="7"/>
      <c r="V190" s="1"/>
      <c r="W190" s="253"/>
      <c r="X190" s="253"/>
      <c r="Y190" s="6"/>
      <c r="Z190" s="7"/>
      <c r="AA190" s="1"/>
      <c r="AB190" s="254"/>
      <c r="AC190"/>
      <c r="AD190" s="254"/>
      <c r="AE190"/>
      <c r="AF190" s="456"/>
      <c r="AG190" s="253"/>
      <c r="AH190" s="253"/>
      <c r="AI190" s="6"/>
      <c r="AJ190" s="7"/>
      <c r="AK190" s="1"/>
      <c r="AL190" s="253"/>
      <c r="AM190" s="253"/>
      <c r="AN190" s="6"/>
      <c r="AO190" s="7"/>
      <c r="AP190" s="1"/>
      <c r="AQ190" s="254"/>
      <c r="AR190"/>
      <c r="AS190" s="254"/>
      <c r="AT190"/>
      <c r="AU190" s="456"/>
      <c r="AV190" s="253"/>
      <c r="AW190" s="253"/>
      <c r="AX190" s="6"/>
      <c r="AY190" s="7"/>
      <c r="AZ190" s="1"/>
      <c r="BA190" s="254"/>
      <c r="BB190"/>
      <c r="BC190" s="254"/>
      <c r="BD190"/>
      <c r="BE190" s="577"/>
      <c r="BF190" s="253"/>
      <c r="BG190" s="253"/>
      <c r="BH190" s="6"/>
      <c r="BI190" s="7"/>
      <c r="BJ190" s="1"/>
      <c r="BK190" s="254"/>
      <c r="BL190"/>
      <c r="BM190" s="254"/>
      <c r="BN190"/>
      <c r="BO190" s="456"/>
      <c r="BP190" s="456"/>
      <c r="BQ190" s="254"/>
      <c r="BR190"/>
      <c r="BS190" s="254"/>
      <c r="BT190"/>
      <c r="BU190" s="456"/>
      <c r="BV190" s="456"/>
      <c r="BW190" s="577"/>
    </row>
  </sheetData>
  <mergeCells count="62">
    <mergeCell ref="BQ1:BT1"/>
    <mergeCell ref="BQ4:BS4"/>
    <mergeCell ref="BQ5:BS5"/>
    <mergeCell ref="BQ7:BS7"/>
    <mergeCell ref="F1:P1"/>
    <mergeCell ref="R1:AE1"/>
    <mergeCell ref="AG1:AT1"/>
    <mergeCell ref="AV1:BD1"/>
    <mergeCell ref="H4:J4"/>
    <mergeCell ref="L4:M4"/>
    <mergeCell ref="O4:P4"/>
    <mergeCell ref="R4:U4"/>
    <mergeCell ref="W4:Z4"/>
    <mergeCell ref="AB4:AD4"/>
    <mergeCell ref="BE4:BE5"/>
    <mergeCell ref="AG5:AJ5"/>
    <mergeCell ref="BA4:BC4"/>
    <mergeCell ref="BA5:BC5"/>
    <mergeCell ref="U7:U8"/>
    <mergeCell ref="W7:X7"/>
    <mergeCell ref="Z7:Z8"/>
    <mergeCell ref="AB7:AD7"/>
    <mergeCell ref="AB5:AD5"/>
    <mergeCell ref="AL5:AO5"/>
    <mergeCell ref="AQ5:AS5"/>
    <mergeCell ref="AV5:AY5"/>
    <mergeCell ref="AG4:AJ4"/>
    <mergeCell ref="AL4:AO4"/>
    <mergeCell ref="AQ4:AS4"/>
    <mergeCell ref="AV4:AY4"/>
    <mergeCell ref="H5:J5"/>
    <mergeCell ref="L5:M5"/>
    <mergeCell ref="O5:P5"/>
    <mergeCell ref="R5:U5"/>
    <mergeCell ref="W5:Z5"/>
    <mergeCell ref="H7:I7"/>
    <mergeCell ref="J7:J8"/>
    <mergeCell ref="L7:M7"/>
    <mergeCell ref="O7:P7"/>
    <mergeCell ref="R7:S7"/>
    <mergeCell ref="BW4:BW5"/>
    <mergeCell ref="BF5:BI5"/>
    <mergeCell ref="BK5:BM5"/>
    <mergeCell ref="A190:P190"/>
    <mergeCell ref="AY7:AY8"/>
    <mergeCell ref="BA7:BC7"/>
    <mergeCell ref="A10:A33"/>
    <mergeCell ref="A35:A138"/>
    <mergeCell ref="A140:A149"/>
    <mergeCell ref="A151:A167"/>
    <mergeCell ref="AG7:AH7"/>
    <mergeCell ref="AJ7:AJ8"/>
    <mergeCell ref="AL7:AM7"/>
    <mergeCell ref="AO7:AO8"/>
    <mergeCell ref="AQ7:AS7"/>
    <mergeCell ref="AV7:AW7"/>
    <mergeCell ref="BF7:BG7"/>
    <mergeCell ref="BI7:BI8"/>
    <mergeCell ref="BK7:BM7"/>
    <mergeCell ref="BF1:BN1"/>
    <mergeCell ref="BF4:BI4"/>
    <mergeCell ref="BK4:BM4"/>
  </mergeCells>
  <hyperlinks>
    <hyperlink ref="T10" r:id="rId1" xr:uid="{00000000-0004-0000-2F00-000000000000}"/>
    <hyperlink ref="AC10" r:id="rId2" xr:uid="{00000000-0004-0000-2F00-000001000000}"/>
    <hyperlink ref="Y10" r:id="rId3" xr:uid="{00000000-0004-0000-2F00-000002000000}"/>
    <hyperlink ref="AN35" r:id="rId4" xr:uid="{00000000-0004-0000-2F00-000003000000}"/>
    <hyperlink ref="AI10" r:id="rId5" xr:uid="{00000000-0004-0000-2F00-000004000000}"/>
    <hyperlink ref="AN10" r:id="rId6" xr:uid="{00000000-0004-0000-2F00-000005000000}"/>
    <hyperlink ref="AR10" r:id="rId7" xr:uid="{00000000-0004-0000-2F00-000006000000}"/>
    <hyperlink ref="AX35" r:id="rId8" xr:uid="{00000000-0004-0000-2F00-000007000000}"/>
    <hyperlink ref="AX10" r:id="rId9" xr:uid="{00000000-0004-0000-2F00-000008000000}"/>
    <hyperlink ref="BB10" r:id="rId10" xr:uid="{00000000-0004-0000-2F00-000009000000}"/>
    <hyperlink ref="BC10" r:id="rId11" xr:uid="{00000000-0004-0000-2F00-00000A000000}"/>
    <hyperlink ref="BM10" r:id="rId12" xr:uid="{26FEF8E6-5492-4C83-AAB3-4576B28F3EB2}"/>
    <hyperlink ref="BH10" r:id="rId13" xr:uid="{B32FC545-E056-40C6-B8FB-E970F174B670}"/>
    <hyperlink ref="BH53" r:id="rId14" xr:uid="{065154EB-FEC4-4EA2-8AEF-4B29766A4B3F}"/>
    <hyperlink ref="BL53" r:id="rId15" xr:uid="{BA8FFDB5-09E9-48EA-A0C2-86BC7E993538}"/>
    <hyperlink ref="BR10" r:id="rId16" xr:uid="{E14B0F25-4B90-4E1C-85EE-A2EAB090E1DA}"/>
  </hyperlinks>
  <pageMargins left="0.23622047244094491" right="0.23622047244094491" top="0.35433070866141736" bottom="0.35433070866141736" header="0.31496062992125984" footer="0.31496062992125984"/>
  <pageSetup paperSize="9" scale="56" orientation="portrait" horizontalDpi="4294967293" r:id="rId17"/>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BG125"/>
  <sheetViews>
    <sheetView topLeftCell="A72" zoomScale="87" zoomScaleNormal="81" workbookViewId="0">
      <pane xSplit="4" topLeftCell="Z1" activePane="topRight" state="frozen"/>
      <selection pane="topRight" activeCell="Z95" sqref="Z95"/>
    </sheetView>
  </sheetViews>
  <sheetFormatPr defaultColWidth="9.1796875" defaultRowHeight="14.5" x14ac:dyDescent="0.35"/>
  <cols>
    <col min="1" max="1" width="6.6328125" customWidth="1"/>
    <col min="2" max="2" width="19.453125" customWidth="1"/>
    <col min="3" max="3" width="19.453125" style="1" customWidth="1"/>
    <col min="4" max="4" width="4.6328125" style="5"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 customWidth="1"/>
    <col min="22" max="22" width="21.6328125" customWidth="1"/>
    <col min="23" max="23" width="23" customWidth="1"/>
    <col min="24" max="24" width="1.6328125" style="1" customWidth="1"/>
    <col min="25" max="27" width="21.6328125" style="6" customWidth="1"/>
    <col min="28" max="28" width="8.6328125" style="7" customWidth="1"/>
    <col min="29" max="29" width="1.6328125" style="1" customWidth="1"/>
    <col min="30" max="30" width="21.6328125" customWidth="1"/>
    <col min="31" max="31" width="23" customWidth="1"/>
    <col min="32" max="32" width="21.6328125" customWidth="1"/>
    <col min="33" max="33" width="1.6328125" style="1" customWidth="1"/>
    <col min="34" max="36" width="21.6328125" style="6" customWidth="1"/>
    <col min="37" max="37" width="8.6328125" style="7" customWidth="1"/>
    <col min="38" max="38" width="1.6328125" style="1" customWidth="1"/>
    <col min="39" max="39" width="21.6328125" customWidth="1"/>
    <col min="40" max="40" width="23" customWidth="1"/>
    <col min="41" max="41" width="21.6328125" customWidth="1"/>
    <col min="42" max="42" width="1.6328125" style="1" customWidth="1"/>
    <col min="43" max="45" width="21.6328125" style="6" customWidth="1"/>
    <col min="46" max="46" width="8.6328125" style="7" customWidth="1"/>
    <col min="47" max="47" width="1.6328125" style="1" customWidth="1"/>
    <col min="48" max="48" width="21.6328125" customWidth="1"/>
    <col min="49" max="49" width="23" customWidth="1"/>
    <col min="50" max="50" width="21.6328125" customWidth="1"/>
    <col min="51" max="51" width="1.6328125" style="1" customWidth="1"/>
    <col min="52" max="52" width="55" customWidth="1"/>
    <col min="54" max="54" width="1.6328125" style="1" customWidth="1"/>
    <col min="55" max="55" width="21.6328125" customWidth="1"/>
    <col min="56" max="56" width="23" customWidth="1"/>
    <col min="57" max="57" width="21.6328125" customWidth="1"/>
    <col min="58" max="58" width="1.6328125" style="1" customWidth="1"/>
    <col min="59" max="59" width="4.453125" customWidth="1"/>
  </cols>
  <sheetData>
    <row r="1" spans="1:59" ht="31" x14ac:dyDescent="0.7">
      <c r="D1" s="2"/>
      <c r="F1" s="9118" t="s">
        <v>394</v>
      </c>
      <c r="G1" s="9119"/>
      <c r="H1" s="9119"/>
      <c r="I1" s="9119"/>
      <c r="J1" s="9119"/>
      <c r="K1" s="9119"/>
      <c r="L1" s="9119"/>
      <c r="M1" s="9120"/>
      <c r="N1"/>
      <c r="O1" s="9121" t="s">
        <v>395</v>
      </c>
      <c r="P1" s="9122"/>
      <c r="Q1" s="9122"/>
      <c r="R1" s="9122"/>
      <c r="S1" s="9122"/>
      <c r="T1" s="9122"/>
      <c r="U1" s="9122"/>
      <c r="V1" s="9123"/>
      <c r="W1" s="3"/>
      <c r="X1"/>
      <c r="Y1" s="9312" t="s">
        <v>396</v>
      </c>
      <c r="Z1" s="9313"/>
      <c r="AA1" s="9313"/>
      <c r="AB1" s="9313"/>
      <c r="AC1" s="9313"/>
      <c r="AD1" s="9313"/>
      <c r="AE1" s="9313"/>
      <c r="AF1" s="9317"/>
      <c r="AG1"/>
      <c r="AH1" s="9187" t="s">
        <v>397</v>
      </c>
      <c r="AI1" s="9188"/>
      <c r="AJ1" s="9188"/>
      <c r="AK1" s="9188"/>
      <c r="AL1" s="9188"/>
      <c r="AM1" s="9188"/>
      <c r="AN1" s="9188"/>
      <c r="AO1" s="9189"/>
      <c r="AP1"/>
      <c r="AQ1" s="9195" t="s">
        <v>398</v>
      </c>
      <c r="AR1" s="9196"/>
      <c r="AS1" s="9196"/>
      <c r="AT1" s="9196"/>
      <c r="AU1" s="9196"/>
      <c r="AV1" s="9196"/>
      <c r="AW1" s="9196"/>
      <c r="AX1" s="9197"/>
      <c r="AY1"/>
      <c r="BB1" s="9211" t="s">
        <v>399</v>
      </c>
      <c r="BC1" s="9211"/>
      <c r="BD1" s="9211"/>
      <c r="BE1" s="9212"/>
      <c r="BF1"/>
    </row>
    <row r="2" spans="1:59" ht="21" x14ac:dyDescent="0.5">
      <c r="B2" s="1" t="s">
        <v>9</v>
      </c>
      <c r="C2" s="4" t="s">
        <v>75</v>
      </c>
      <c r="H2"/>
    </row>
    <row r="3" spans="1:59" x14ac:dyDescent="0.35">
      <c r="BC3" s="1144" t="s">
        <v>6630</v>
      </c>
    </row>
    <row r="4" spans="1:59" s="8" customFormat="1" ht="15.25" customHeight="1" x14ac:dyDescent="0.35">
      <c r="D4" s="9"/>
      <c r="F4" s="8326" t="s">
        <v>400</v>
      </c>
      <c r="H4" s="9130" t="s">
        <v>401</v>
      </c>
      <c r="I4" s="9131"/>
      <c r="J4" s="9132"/>
      <c r="L4" s="9130" t="s">
        <v>402</v>
      </c>
      <c r="M4" s="9132"/>
      <c r="O4" s="9130" t="s">
        <v>403</v>
      </c>
      <c r="P4" s="9131"/>
      <c r="Q4" s="9131"/>
      <c r="R4" s="9132"/>
      <c r="T4" s="9130" t="s">
        <v>402</v>
      </c>
      <c r="U4" s="9131"/>
      <c r="V4" s="9132"/>
      <c r="W4" s="10"/>
      <c r="Y4" s="9130" t="s">
        <v>403</v>
      </c>
      <c r="Z4" s="9131"/>
      <c r="AA4" s="9131"/>
      <c r="AB4" s="9132"/>
      <c r="AD4" s="9130" t="s">
        <v>402</v>
      </c>
      <c r="AE4" s="9131"/>
      <c r="AF4" s="9132"/>
      <c r="AH4" s="9130" t="s">
        <v>403</v>
      </c>
      <c r="AI4" s="9131"/>
      <c r="AJ4" s="9131"/>
      <c r="AK4" s="9132"/>
      <c r="AM4" s="9130" t="s">
        <v>402</v>
      </c>
      <c r="AN4" s="9131"/>
      <c r="AO4" s="9132"/>
      <c r="AQ4" s="9130" t="s">
        <v>403</v>
      </c>
      <c r="AR4" s="9131"/>
      <c r="AS4" s="9131"/>
      <c r="AT4" s="9132"/>
      <c r="AV4" s="9130" t="s">
        <v>402</v>
      </c>
      <c r="AW4" s="9131"/>
      <c r="AX4" s="9132"/>
      <c r="AZ4" s="9180" t="s">
        <v>404</v>
      </c>
      <c r="BC4" s="9130" t="s">
        <v>402</v>
      </c>
      <c r="BD4" s="9131"/>
      <c r="BE4" s="9132"/>
      <c r="BG4" s="9180" t="s">
        <v>404</v>
      </c>
    </row>
    <row r="5" spans="1:59" x14ac:dyDescent="0.35">
      <c r="B5" s="1" t="s">
        <v>406</v>
      </c>
      <c r="C5" s="11">
        <v>2013</v>
      </c>
      <c r="F5" s="8324">
        <v>2013</v>
      </c>
      <c r="G5" s="12"/>
      <c r="H5" s="9138">
        <v>2014</v>
      </c>
      <c r="I5" s="9139"/>
      <c r="J5" s="9140"/>
      <c r="K5" s="12"/>
      <c r="L5" s="9138">
        <v>2015</v>
      </c>
      <c r="M5" s="9140"/>
      <c r="O5" s="9138">
        <v>2015</v>
      </c>
      <c r="P5" s="9139"/>
      <c r="Q5" s="9139"/>
      <c r="R5" s="9140"/>
      <c r="S5" s="12"/>
      <c r="T5" s="9138">
        <v>2016</v>
      </c>
      <c r="U5" s="9139"/>
      <c r="V5" s="9140"/>
      <c r="W5" s="13"/>
      <c r="Y5" s="9138">
        <v>2016</v>
      </c>
      <c r="Z5" s="9139"/>
      <c r="AA5" s="9139"/>
      <c r="AB5" s="9140"/>
      <c r="AC5" s="12"/>
      <c r="AD5" s="9138">
        <v>2017</v>
      </c>
      <c r="AE5" s="9139"/>
      <c r="AF5" s="9140"/>
      <c r="AH5" s="9138">
        <v>2017</v>
      </c>
      <c r="AI5" s="9139"/>
      <c r="AJ5" s="9139"/>
      <c r="AK5" s="9140"/>
      <c r="AL5" s="12"/>
      <c r="AM5" s="9138">
        <v>2018</v>
      </c>
      <c r="AN5" s="9139"/>
      <c r="AO5" s="9140"/>
      <c r="AQ5" s="9138">
        <v>2018</v>
      </c>
      <c r="AR5" s="9139"/>
      <c r="AS5" s="9139"/>
      <c r="AT5" s="9140"/>
      <c r="AU5" s="12"/>
      <c r="AV5" s="9138">
        <v>2019</v>
      </c>
      <c r="AW5" s="9139"/>
      <c r="AX5" s="9140"/>
      <c r="AZ5" s="9181"/>
      <c r="BB5" s="12"/>
      <c r="BC5" s="9138">
        <v>2020</v>
      </c>
      <c r="BD5" s="9139"/>
      <c r="BE5" s="9140"/>
      <c r="BG5" s="9181"/>
    </row>
    <row r="6" spans="1:59" x14ac:dyDescent="0.35">
      <c r="C6"/>
      <c r="F6" s="6"/>
      <c r="L6" s="14"/>
      <c r="T6" s="14"/>
      <c r="U6" s="14"/>
      <c r="W6" s="14"/>
      <c r="AD6" s="14"/>
      <c r="AE6" s="14"/>
      <c r="AM6" s="14"/>
      <c r="AN6" s="14"/>
      <c r="AV6" s="14"/>
      <c r="AW6" s="14"/>
      <c r="AZ6" s="6"/>
      <c r="BC6" s="14"/>
      <c r="BD6" s="14"/>
      <c r="BG6" s="6"/>
    </row>
    <row r="7" spans="1:59" ht="12.75" customHeight="1" x14ac:dyDescent="0.35">
      <c r="B7" s="1" t="s">
        <v>101</v>
      </c>
      <c r="C7" s="15" t="s">
        <v>5912</v>
      </c>
      <c r="D7" s="5" t="s">
        <v>417</v>
      </c>
      <c r="F7" s="8322" t="s">
        <v>5911</v>
      </c>
      <c r="H7" s="9173" t="s">
        <v>5911</v>
      </c>
      <c r="I7" s="9173"/>
      <c r="J7" s="9147" t="s">
        <v>419</v>
      </c>
      <c r="L7" s="9149" t="s">
        <v>5911</v>
      </c>
      <c r="M7" s="9151"/>
      <c r="O7" s="9149" t="s">
        <v>5911</v>
      </c>
      <c r="P7" s="9151"/>
      <c r="Q7" s="16"/>
      <c r="R7" s="9147" t="s">
        <v>419</v>
      </c>
      <c r="T7" s="9149" t="s">
        <v>5911</v>
      </c>
      <c r="U7" s="9150"/>
      <c r="V7" s="9150"/>
      <c r="W7" s="17"/>
      <c r="Y7" s="9149" t="s">
        <v>5911</v>
      </c>
      <c r="Z7" s="9151"/>
      <c r="AA7" s="16"/>
      <c r="AB7" s="9147" t="s">
        <v>419</v>
      </c>
      <c r="AD7" s="9149" t="s">
        <v>5911</v>
      </c>
      <c r="AE7" s="9150"/>
      <c r="AF7" s="9150"/>
      <c r="AH7" s="9149" t="s">
        <v>5911</v>
      </c>
      <c r="AI7" s="9151"/>
      <c r="AJ7" s="16"/>
      <c r="AK7" s="9147" t="s">
        <v>419</v>
      </c>
      <c r="AM7" s="9149" t="s">
        <v>5911</v>
      </c>
      <c r="AN7" s="9150"/>
      <c r="AO7" s="9150"/>
      <c r="AQ7" s="9149" t="s">
        <v>5911</v>
      </c>
      <c r="AR7" s="9151"/>
      <c r="AS7" s="16"/>
      <c r="AT7" s="9147" t="s">
        <v>419</v>
      </c>
      <c r="AV7" s="9149" t="s">
        <v>5911</v>
      </c>
      <c r="AW7" s="9150"/>
      <c r="AX7" s="9150"/>
      <c r="AZ7" s="18"/>
      <c r="BC7" s="9149" t="s">
        <v>116</v>
      </c>
      <c r="BD7" s="9150"/>
      <c r="BE7" s="9150"/>
      <c r="BG7" s="18"/>
    </row>
    <row r="8" spans="1:59" x14ac:dyDescent="0.35">
      <c r="B8" s="1" t="s">
        <v>420</v>
      </c>
      <c r="C8" s="19" t="s">
        <v>589</v>
      </c>
      <c r="F8" s="20" t="s">
        <v>96</v>
      </c>
      <c r="H8" s="20" t="s">
        <v>423</v>
      </c>
      <c r="I8" s="20" t="s">
        <v>96</v>
      </c>
      <c r="J8" s="9148"/>
      <c r="L8" s="21" t="s">
        <v>423</v>
      </c>
      <c r="M8" s="20" t="s">
        <v>96</v>
      </c>
      <c r="O8" s="20" t="s">
        <v>424</v>
      </c>
      <c r="P8" s="20" t="s">
        <v>96</v>
      </c>
      <c r="Q8" s="22" t="s">
        <v>425</v>
      </c>
      <c r="R8" s="9148"/>
      <c r="T8" s="21" t="s">
        <v>424</v>
      </c>
      <c r="U8" s="22" t="s">
        <v>425</v>
      </c>
      <c r="V8" s="23" t="s">
        <v>96</v>
      </c>
      <c r="W8" s="22" t="s">
        <v>425</v>
      </c>
      <c r="Y8" s="20" t="s">
        <v>424</v>
      </c>
      <c r="Z8" s="20" t="s">
        <v>96</v>
      </c>
      <c r="AA8" s="22" t="s">
        <v>425</v>
      </c>
      <c r="AB8" s="9148"/>
      <c r="AD8" s="21" t="s">
        <v>424</v>
      </c>
      <c r="AE8" s="22" t="s">
        <v>425</v>
      </c>
      <c r="AF8" s="23" t="s">
        <v>96</v>
      </c>
      <c r="AH8" s="20" t="s">
        <v>424</v>
      </c>
      <c r="AI8" s="20" t="s">
        <v>96</v>
      </c>
      <c r="AJ8" s="22" t="s">
        <v>425</v>
      </c>
      <c r="AK8" s="9148"/>
      <c r="AM8" s="21" t="s">
        <v>424</v>
      </c>
      <c r="AN8" s="22" t="s">
        <v>425</v>
      </c>
      <c r="AO8" s="23" t="s">
        <v>96</v>
      </c>
      <c r="AQ8" s="20" t="s">
        <v>424</v>
      </c>
      <c r="AR8" s="20" t="s">
        <v>96</v>
      </c>
      <c r="AS8" s="22" t="s">
        <v>425</v>
      </c>
      <c r="AT8" s="9148"/>
      <c r="AV8" s="21" t="s">
        <v>424</v>
      </c>
      <c r="AW8" s="22" t="s">
        <v>425</v>
      </c>
      <c r="AX8" s="23" t="s">
        <v>96</v>
      </c>
      <c r="AZ8" s="24"/>
      <c r="BC8" s="21" t="s">
        <v>424</v>
      </c>
      <c r="BD8" s="22" t="s">
        <v>425</v>
      </c>
      <c r="BE8" s="23" t="s">
        <v>96</v>
      </c>
      <c r="BG8" s="24"/>
    </row>
    <row r="9" spans="1:59" x14ac:dyDescent="0.35">
      <c r="C9"/>
      <c r="E9"/>
      <c r="F9"/>
      <c r="G9"/>
      <c r="H9"/>
      <c r="I9"/>
      <c r="J9" s="25"/>
      <c r="K9"/>
      <c r="N9"/>
      <c r="O9"/>
      <c r="P9"/>
      <c r="Q9"/>
      <c r="R9" s="25"/>
      <c r="S9"/>
      <c r="W9" s="26"/>
      <c r="X9"/>
      <c r="Y9"/>
      <c r="Z9"/>
      <c r="AA9"/>
      <c r="AB9" s="25"/>
      <c r="AC9"/>
      <c r="AG9"/>
      <c r="AH9"/>
      <c r="AI9"/>
      <c r="AJ9"/>
      <c r="AK9" s="25"/>
      <c r="AL9"/>
      <c r="AP9"/>
      <c r="AQ9"/>
      <c r="AR9"/>
      <c r="AS9"/>
      <c r="AT9" s="25"/>
      <c r="AU9"/>
      <c r="AY9"/>
      <c r="BB9"/>
      <c r="BF9"/>
    </row>
    <row r="10" spans="1:59" ht="33.25" customHeight="1" x14ac:dyDescent="0.35">
      <c r="A10" s="9167" t="s">
        <v>426</v>
      </c>
      <c r="B10" s="27"/>
      <c r="C10" s="28" t="s">
        <v>427</v>
      </c>
      <c r="D10" s="29" t="s">
        <v>428</v>
      </c>
      <c r="E10" s="30"/>
      <c r="F10" s="31" t="s">
        <v>6631</v>
      </c>
      <c r="G10"/>
      <c r="H10" s="31" t="s">
        <v>6632</v>
      </c>
      <c r="I10" s="31" t="s">
        <v>6633</v>
      </c>
      <c r="J10" s="32"/>
      <c r="K10" s="33"/>
      <c r="L10" s="31" t="s">
        <v>6632</v>
      </c>
      <c r="M10" s="34" t="s">
        <v>3096</v>
      </c>
      <c r="N10" s="33"/>
      <c r="O10" s="9548" t="s">
        <v>6634</v>
      </c>
      <c r="P10" s="9549"/>
      <c r="Q10" s="35" t="s">
        <v>6635</v>
      </c>
      <c r="R10" s="32"/>
      <c r="S10" s="33"/>
      <c r="T10" s="36" t="str">
        <f>O10</f>
        <v xml:space="preserve">2016 Budget Statement </v>
      </c>
      <c r="U10" s="35"/>
      <c r="V10" s="8339" t="s">
        <v>6636</v>
      </c>
      <c r="W10" s="37" t="s">
        <v>6637</v>
      </c>
      <c r="X10" s="33"/>
      <c r="Y10" s="9548" t="s">
        <v>6638</v>
      </c>
      <c r="Z10" s="9549"/>
      <c r="AA10" s="35" t="s">
        <v>6635</v>
      </c>
      <c r="AB10" s="32"/>
      <c r="AC10" s="33"/>
      <c r="AD10" s="36" t="s">
        <v>6637</v>
      </c>
      <c r="AE10" s="35"/>
      <c r="AF10" s="8339" t="s">
        <v>6639</v>
      </c>
      <c r="AG10" s="33"/>
      <c r="AH10" s="36" t="s">
        <v>6640</v>
      </c>
      <c r="AI10" s="38" t="s">
        <v>6641</v>
      </c>
      <c r="AJ10" s="35" t="s">
        <v>6642</v>
      </c>
      <c r="AK10" s="32"/>
      <c r="AL10" s="33"/>
      <c r="AM10" s="36" t="s">
        <v>6643</v>
      </c>
      <c r="AN10" s="35"/>
      <c r="AO10" s="8339" t="s">
        <v>6644</v>
      </c>
      <c r="AP10" s="33"/>
      <c r="AQ10" s="36" t="s">
        <v>6645</v>
      </c>
      <c r="AR10" s="7667" t="s">
        <v>6646</v>
      </c>
      <c r="AS10" s="7089" t="str">
        <f>AO10</f>
        <v>2019 National Budget Statement estimates based on 9months</v>
      </c>
      <c r="AT10" s="32"/>
      <c r="AU10" s="33"/>
      <c r="AV10" s="36" t="s">
        <v>6645</v>
      </c>
      <c r="AW10" s="3375"/>
      <c r="AX10" s="8339" t="s">
        <v>6647</v>
      </c>
      <c r="AY10" s="33"/>
      <c r="AZ10" s="39"/>
      <c r="BB10" s="33"/>
      <c r="BC10" s="36" t="s">
        <v>6648</v>
      </c>
      <c r="BD10" s="35" t="s">
        <v>6649</v>
      </c>
      <c r="BE10" s="8339"/>
      <c r="BF10" s="33"/>
      <c r="BG10" s="8244"/>
    </row>
    <row r="11" spans="1:59" ht="12.75" customHeight="1" x14ac:dyDescent="0.35">
      <c r="A11" s="9168"/>
      <c r="B11" s="40" t="s">
        <v>451</v>
      </c>
      <c r="C11" s="41"/>
      <c r="D11" s="42"/>
      <c r="E11" s="43"/>
      <c r="F11" s="44"/>
      <c r="G11"/>
      <c r="H11" s="45"/>
      <c r="I11" s="46"/>
      <c r="J11" s="47"/>
      <c r="K11" s="48"/>
      <c r="L11" s="45"/>
      <c r="M11" s="49"/>
      <c r="N11" s="50"/>
      <c r="O11" s="51"/>
      <c r="P11" s="52" t="s">
        <v>6650</v>
      </c>
      <c r="Q11" s="53" t="s">
        <v>6651</v>
      </c>
      <c r="R11" s="47"/>
      <c r="S11" s="48"/>
      <c r="T11" s="52"/>
      <c r="U11" s="53"/>
      <c r="V11" s="54"/>
      <c r="W11" s="55"/>
      <c r="X11" s="43"/>
      <c r="Y11" s="51"/>
      <c r="Z11" s="52"/>
      <c r="AA11" s="53"/>
      <c r="AB11" s="47"/>
      <c r="AC11" s="48"/>
      <c r="AD11" s="56" t="s">
        <v>6652</v>
      </c>
      <c r="AE11" s="57"/>
      <c r="AF11" s="52" t="s">
        <v>3784</v>
      </c>
      <c r="AG11" s="43"/>
      <c r="AH11" s="56" t="s">
        <v>6653</v>
      </c>
      <c r="AI11" s="52"/>
      <c r="AJ11" s="53"/>
      <c r="AK11" s="47"/>
      <c r="AL11" s="48"/>
      <c r="AM11" s="56" t="s">
        <v>6652</v>
      </c>
      <c r="AN11" s="57"/>
      <c r="AO11" s="52"/>
      <c r="AP11" s="43"/>
      <c r="AQ11" s="56" t="s">
        <v>2114</v>
      </c>
      <c r="AR11" s="3929"/>
      <c r="AS11" s="53"/>
      <c r="AT11" s="47"/>
      <c r="AU11" s="48"/>
      <c r="AV11" s="56" t="s">
        <v>2114</v>
      </c>
      <c r="AW11" s="231"/>
      <c r="AX11" s="7668"/>
      <c r="AY11" s="43"/>
      <c r="AZ11" s="18"/>
      <c r="BB11" s="48"/>
      <c r="BC11" s="56"/>
      <c r="BD11" s="57"/>
      <c r="BE11" s="8245"/>
      <c r="BF11" s="43"/>
      <c r="BG11" s="18"/>
    </row>
    <row r="12" spans="1:59" x14ac:dyDescent="0.35">
      <c r="A12" s="9168"/>
      <c r="B12" s="58"/>
      <c r="C12" s="59" t="s">
        <v>456</v>
      </c>
      <c r="D12" s="60"/>
      <c r="F12" s="61">
        <v>3856484570</v>
      </c>
      <c r="G12"/>
      <c r="H12" s="62"/>
      <c r="I12" s="63"/>
      <c r="J12" s="64">
        <f>IF(H12=0,0,I12/H12)</f>
        <v>0</v>
      </c>
      <c r="K12" s="65"/>
      <c r="L12" s="62"/>
      <c r="M12" s="66">
        <f>L12*J12</f>
        <v>0</v>
      </c>
      <c r="N12" s="67"/>
      <c r="O12" s="68">
        <v>3990000000</v>
      </c>
      <c r="P12" s="69">
        <v>3592800000</v>
      </c>
      <c r="Q12" s="70"/>
      <c r="R12" s="64"/>
      <c r="S12" s="65"/>
      <c r="T12" s="71">
        <v>3850000000</v>
      </c>
      <c r="U12" s="53"/>
      <c r="V12" s="72">
        <f>2875880000*12/10</f>
        <v>3451056000</v>
      </c>
      <c r="W12" s="55" t="s">
        <v>6654</v>
      </c>
      <c r="Y12" s="68">
        <v>3850000000</v>
      </c>
      <c r="Z12" s="69">
        <v>3502000000</v>
      </c>
      <c r="AA12" s="70" t="s">
        <v>6655</v>
      </c>
      <c r="AB12" s="64"/>
      <c r="AC12" s="65"/>
      <c r="AD12" s="71">
        <v>4338500000</v>
      </c>
      <c r="AE12" s="57"/>
      <c r="AF12" s="72">
        <f>2812000000*12/9</f>
        <v>3749333333.3333335</v>
      </c>
      <c r="AH12" s="71">
        <v>4338500000</v>
      </c>
      <c r="AI12" s="69"/>
      <c r="AJ12" s="70" t="s">
        <v>6655</v>
      </c>
      <c r="AK12" s="64"/>
      <c r="AL12" s="65"/>
      <c r="AM12" s="71">
        <f>5071200000-AM13</f>
        <v>4971200000</v>
      </c>
      <c r="AN12" s="57"/>
      <c r="AO12" s="72"/>
      <c r="AQ12" s="71">
        <v>5296062200</v>
      </c>
      <c r="AR12" s="74">
        <v>5296800000</v>
      </c>
      <c r="AS12" s="70"/>
      <c r="AT12" s="476"/>
      <c r="AU12" s="65"/>
      <c r="AV12" s="71">
        <v>6199393100</v>
      </c>
      <c r="AW12" s="57"/>
      <c r="AX12" s="998"/>
      <c r="AZ12" s="26"/>
      <c r="BB12" s="65"/>
      <c r="BC12" s="71">
        <v>60747836563.508911</v>
      </c>
      <c r="BD12" s="57" t="s">
        <v>6656</v>
      </c>
      <c r="BE12" s="72"/>
      <c r="BG12" s="4761"/>
    </row>
    <row r="13" spans="1:59" x14ac:dyDescent="0.35">
      <c r="A13" s="9168"/>
      <c r="B13" s="58"/>
      <c r="C13" s="59" t="s">
        <v>1041</v>
      </c>
      <c r="D13" s="60"/>
      <c r="F13" s="61"/>
      <c r="G13"/>
      <c r="H13" s="62"/>
      <c r="I13" s="63"/>
      <c r="J13" s="73">
        <f>IF(H13=0,0,I13/H13)</f>
        <v>0</v>
      </c>
      <c r="K13" s="65"/>
      <c r="L13" s="62"/>
      <c r="M13" s="66">
        <f>L13*J13</f>
        <v>0</v>
      </c>
      <c r="N13" s="67"/>
      <c r="O13" s="68"/>
      <c r="P13" s="69"/>
      <c r="Q13" s="53"/>
      <c r="R13" s="64"/>
      <c r="S13" s="65"/>
      <c r="T13" s="62"/>
      <c r="U13" s="53"/>
      <c r="V13" s="72"/>
      <c r="W13" s="55"/>
      <c r="Y13" s="68"/>
      <c r="Z13" s="69"/>
      <c r="AA13" s="53"/>
      <c r="AB13" s="64"/>
      <c r="AC13" s="65"/>
      <c r="AD13" s="62"/>
      <c r="AE13" s="57"/>
      <c r="AF13" s="74"/>
      <c r="AH13" s="62"/>
      <c r="AI13" s="69"/>
      <c r="AJ13" s="53"/>
      <c r="AK13" s="64"/>
      <c r="AL13" s="65"/>
      <c r="AM13" s="62">
        <v>100000000</v>
      </c>
      <c r="AN13" s="57"/>
      <c r="AO13" s="74"/>
      <c r="AQ13" s="62"/>
      <c r="AR13" s="74"/>
      <c r="AS13" s="53"/>
      <c r="AT13" s="476"/>
      <c r="AU13" s="65"/>
      <c r="AV13" s="62"/>
      <c r="AW13" s="57"/>
      <c r="AX13" s="998"/>
      <c r="AZ13" s="26"/>
      <c r="BB13" s="65"/>
      <c r="BC13" s="62"/>
      <c r="BD13" s="57"/>
      <c r="BE13" s="74"/>
      <c r="BG13" s="26"/>
    </row>
    <row r="14" spans="1:59" x14ac:dyDescent="0.35">
      <c r="A14" s="9168"/>
      <c r="B14" s="75"/>
      <c r="C14" s="76" t="s">
        <v>465</v>
      </c>
      <c r="D14" s="60"/>
      <c r="F14" s="77"/>
      <c r="G14"/>
      <c r="H14" s="78"/>
      <c r="I14" s="79"/>
      <c r="J14" s="73"/>
      <c r="K14" s="80"/>
      <c r="L14" s="78"/>
      <c r="M14" s="66"/>
      <c r="N14" s="67"/>
      <c r="O14" s="81"/>
      <c r="P14" s="82"/>
      <c r="Q14" s="53"/>
      <c r="R14" s="64"/>
      <c r="S14" s="80"/>
      <c r="T14" s="78"/>
      <c r="U14" s="53"/>
      <c r="V14" s="83"/>
      <c r="W14" s="55"/>
      <c r="Y14" s="81"/>
      <c r="Z14" s="82"/>
      <c r="AA14" s="53"/>
      <c r="AB14" s="64"/>
      <c r="AC14" s="80"/>
      <c r="AD14" s="78"/>
      <c r="AE14" s="57"/>
      <c r="AF14" s="84"/>
      <c r="AH14" s="78"/>
      <c r="AI14" s="82"/>
      <c r="AJ14" s="53"/>
      <c r="AK14" s="64"/>
      <c r="AL14" s="80"/>
      <c r="AM14" s="78"/>
      <c r="AN14" s="57"/>
      <c r="AO14" s="84"/>
      <c r="AQ14" s="78"/>
      <c r="AR14" s="84"/>
      <c r="AS14" s="53"/>
      <c r="AT14" s="476"/>
      <c r="AU14" s="80"/>
      <c r="AV14" s="78"/>
      <c r="AW14" s="57"/>
      <c r="AX14" s="999"/>
      <c r="AZ14" s="26"/>
      <c r="BB14" s="80"/>
      <c r="BC14" s="78">
        <v>9800307436</v>
      </c>
      <c r="BD14" s="57"/>
      <c r="BE14" s="84"/>
      <c r="BG14" s="26"/>
    </row>
    <row r="15" spans="1:59" x14ac:dyDescent="0.35">
      <c r="A15" s="9168"/>
      <c r="B15" s="85"/>
      <c r="C15" s="86" t="s">
        <v>466</v>
      </c>
      <c r="D15" s="87"/>
      <c r="F15" s="88"/>
      <c r="G15"/>
      <c r="H15" s="89"/>
      <c r="I15" s="90"/>
      <c r="J15" s="91">
        <f>IF(H15=0,0,I15/H15)</f>
        <v>0</v>
      </c>
      <c r="K15" s="80"/>
      <c r="L15" s="89"/>
      <c r="M15" s="92">
        <f>L15*J15</f>
        <v>0</v>
      </c>
      <c r="N15" s="67"/>
      <c r="O15" s="93">
        <v>3990000000</v>
      </c>
      <c r="P15" s="94">
        <f>P12</f>
        <v>3592800000</v>
      </c>
      <c r="Q15" s="95"/>
      <c r="R15" s="64"/>
      <c r="S15" s="80"/>
      <c r="T15" s="89">
        <v>3850000000</v>
      </c>
      <c r="U15" s="95"/>
      <c r="V15" s="96">
        <f>V12</f>
        <v>3451056000</v>
      </c>
      <c r="W15" s="97"/>
      <c r="Y15" s="93">
        <v>3850000000</v>
      </c>
      <c r="Z15" s="94">
        <f>Z12</f>
        <v>3502000000</v>
      </c>
      <c r="AA15" s="95"/>
      <c r="AB15" s="64"/>
      <c r="AC15" s="80"/>
      <c r="AD15" s="89">
        <f>AD12</f>
        <v>4338500000</v>
      </c>
      <c r="AE15" s="98"/>
      <c r="AF15" s="99">
        <f>AF12</f>
        <v>3749333333.3333335</v>
      </c>
      <c r="AH15" s="89">
        <f>AH12</f>
        <v>4338500000</v>
      </c>
      <c r="AI15" s="94">
        <f>AI12</f>
        <v>0</v>
      </c>
      <c r="AJ15" s="95"/>
      <c r="AK15" s="64"/>
      <c r="AL15" s="80"/>
      <c r="AM15" s="89">
        <f>SUM(AM12:AM14)</f>
        <v>5071200000</v>
      </c>
      <c r="AN15" s="98"/>
      <c r="AO15" s="99">
        <f>AO12</f>
        <v>0</v>
      </c>
      <c r="AQ15" s="89">
        <f>SUM(AQ12:AQ14)</f>
        <v>5296062200</v>
      </c>
      <c r="AR15" s="99">
        <f>SUM(AR12:AR14)</f>
        <v>5296800000</v>
      </c>
      <c r="AS15" s="95"/>
      <c r="AT15" s="476"/>
      <c r="AU15" s="80"/>
      <c r="AV15" s="89">
        <f>SUM(AV12:AV14)</f>
        <v>6199393100</v>
      </c>
      <c r="AW15" s="98"/>
      <c r="AX15" s="1002">
        <f>AX12</f>
        <v>0</v>
      </c>
      <c r="AZ15" s="24"/>
      <c r="BB15" s="80"/>
      <c r="BC15" s="89">
        <f>SUM(BC12:BC14)</f>
        <v>70548143999.508911</v>
      </c>
      <c r="BD15" s="98"/>
      <c r="BE15" s="99">
        <f>BE12</f>
        <v>0</v>
      </c>
      <c r="BG15" s="24"/>
    </row>
    <row r="16" spans="1:59" ht="29" x14ac:dyDescent="0.35">
      <c r="A16" s="9168"/>
      <c r="B16" s="100" t="s">
        <v>468</v>
      </c>
      <c r="C16" s="49"/>
      <c r="D16" s="42"/>
      <c r="E16" s="43"/>
      <c r="F16" s="101"/>
      <c r="G16"/>
      <c r="H16" s="102"/>
      <c r="I16" s="103"/>
      <c r="J16" s="104"/>
      <c r="K16" s="43"/>
      <c r="L16" s="102"/>
      <c r="M16" s="105"/>
      <c r="N16" s="43"/>
      <c r="O16" s="102"/>
      <c r="P16" s="106"/>
      <c r="Q16" s="53" t="s">
        <v>6651</v>
      </c>
      <c r="R16" s="104"/>
      <c r="S16" s="43"/>
      <c r="T16" s="107"/>
      <c r="U16" s="53" t="s">
        <v>6651</v>
      </c>
      <c r="V16" s="103"/>
      <c r="W16" s="108"/>
      <c r="X16" s="43"/>
      <c r="Y16" s="102"/>
      <c r="Z16" s="106"/>
      <c r="AA16" s="53" t="s">
        <v>6657</v>
      </c>
      <c r="AB16" s="104"/>
      <c r="AC16" s="43"/>
      <c r="AD16" s="56" t="s">
        <v>6658</v>
      </c>
      <c r="AE16" s="57"/>
      <c r="AF16" s="109" t="s">
        <v>6659</v>
      </c>
      <c r="AG16" s="43"/>
      <c r="AH16" s="56" t="s">
        <v>6660</v>
      </c>
      <c r="AI16" s="106"/>
      <c r="AJ16" s="53"/>
      <c r="AK16" s="104"/>
      <c r="AL16" s="43"/>
      <c r="AM16" s="56" t="s">
        <v>6658</v>
      </c>
      <c r="AN16" s="57"/>
      <c r="AO16" s="109" t="s">
        <v>6659</v>
      </c>
      <c r="AP16" s="43"/>
      <c r="AQ16" s="56" t="str">
        <f t="shared" ref="AQ16:AQ29" si="0">AM16</f>
        <v>2018 budget estimates</v>
      </c>
      <c r="AR16" s="106"/>
      <c r="AS16" s="53"/>
      <c r="AT16" s="104"/>
      <c r="AU16" s="43"/>
      <c r="AV16" s="56" t="s">
        <v>6661</v>
      </c>
      <c r="AW16" s="57"/>
      <c r="AX16" s="1659" t="s">
        <v>6659</v>
      </c>
      <c r="AY16" s="43"/>
      <c r="AZ16" s="18"/>
      <c r="BB16" s="43"/>
      <c r="BC16" s="8246" t="s">
        <v>6662</v>
      </c>
      <c r="BD16" s="57"/>
      <c r="BE16" s="109" t="s">
        <v>6662</v>
      </c>
      <c r="BF16" s="43"/>
      <c r="BG16" s="18"/>
    </row>
    <row r="17" spans="1:59" x14ac:dyDescent="0.35">
      <c r="A17" s="9168"/>
      <c r="B17" s="6082"/>
      <c r="C17" s="110" t="s">
        <v>470</v>
      </c>
      <c r="D17" s="60">
        <v>1</v>
      </c>
      <c r="F17" s="111">
        <f>3569529286</f>
        <v>3569529286</v>
      </c>
      <c r="G17"/>
      <c r="H17" s="112">
        <v>4587858000</v>
      </c>
      <c r="I17" s="113">
        <f>3129100037*12/10</f>
        <v>3754920044.4000001</v>
      </c>
      <c r="J17" s="64">
        <f>IF(H17=0,0,I17/H17)</f>
        <v>0.81844731122890035</v>
      </c>
      <c r="L17" s="112">
        <v>4578400000</v>
      </c>
      <c r="M17" s="66">
        <f>L17*J17</f>
        <v>3747179169.7303972</v>
      </c>
      <c r="O17" s="114">
        <f>3317000000+384700000</f>
        <v>3701700000</v>
      </c>
      <c r="P17" s="115">
        <f>3105900000+361400000</f>
        <v>3467300000</v>
      </c>
      <c r="Q17" s="116"/>
      <c r="R17" s="64"/>
      <c r="T17" s="117">
        <v>3685000000</v>
      </c>
      <c r="U17" s="116"/>
      <c r="V17" s="118">
        <f>P17*V$22/P$22</f>
        <v>3618807739.5200734</v>
      </c>
      <c r="W17" s="55"/>
      <c r="Y17" s="114">
        <v>3685000000</v>
      </c>
      <c r="Z17" s="115">
        <f>3209800000+604800000</f>
        <v>3814600000</v>
      </c>
      <c r="AA17" s="116"/>
      <c r="AB17" s="64"/>
      <c r="AD17" s="117">
        <f>AD22-AD18-AD19-AD20-AD21</f>
        <v>3602897001</v>
      </c>
      <c r="AE17" s="119" t="s">
        <v>6663</v>
      </c>
      <c r="AF17" s="120">
        <f>AD17*Z17/Y17</f>
        <v>3729609470.8316417</v>
      </c>
      <c r="AH17" s="117">
        <v>4515000000</v>
      </c>
      <c r="AI17" s="115">
        <f>AI22-AI21-AI20-AI19-AI18</f>
        <v>6001469732</v>
      </c>
      <c r="AJ17" s="116"/>
      <c r="AK17" s="64">
        <f>AI17/(AH17+AH18)</f>
        <v>0.99279896311000826</v>
      </c>
      <c r="AM17" s="117">
        <v>4581000000</v>
      </c>
      <c r="AN17" s="119" t="s">
        <v>6663</v>
      </c>
      <c r="AO17" s="120">
        <f>AM17*AI17/AH17</f>
        <v>6089198857.6504984</v>
      </c>
      <c r="AQ17" s="117">
        <f>4305734972-AQ20</f>
        <v>4076634972</v>
      </c>
      <c r="AR17" s="115">
        <f>3921800000+869200000-AR20</f>
        <v>4561900000</v>
      </c>
      <c r="AS17" s="116"/>
      <c r="AT17" s="7353">
        <f t="shared" ref="AT17:AT22" si="1">AR17/AQ17</f>
        <v>1.119035682942672</v>
      </c>
      <c r="AV17" s="117">
        <f>5747223000-AV20</f>
        <v>5396109000</v>
      </c>
      <c r="AW17" s="119"/>
      <c r="AX17" s="66">
        <f t="shared" ref="AX17:AX18" si="2">AV17*AR17/AQ17</f>
        <v>6038438520.0480976</v>
      </c>
      <c r="AZ17" s="26" t="s">
        <v>6664</v>
      </c>
      <c r="BC17" s="117">
        <v>39795752000</v>
      </c>
      <c r="BD17" s="9599" t="s">
        <v>6665</v>
      </c>
      <c r="BE17" s="120">
        <v>54131739044.248726</v>
      </c>
      <c r="BG17" s="26"/>
    </row>
    <row r="18" spans="1:59" x14ac:dyDescent="0.35">
      <c r="A18" s="9168"/>
      <c r="B18" s="6082"/>
      <c r="C18" s="121" t="s">
        <v>630</v>
      </c>
      <c r="D18" s="60"/>
      <c r="F18" s="122">
        <v>385958539</v>
      </c>
      <c r="G18"/>
      <c r="H18" s="114"/>
      <c r="I18" s="123"/>
      <c r="J18" s="64"/>
      <c r="L18" s="114"/>
      <c r="M18" s="66"/>
      <c r="O18" s="114">
        <v>341000000</v>
      </c>
      <c r="P18" s="115">
        <v>265400000</v>
      </c>
      <c r="Q18" s="116"/>
      <c r="R18" s="64"/>
      <c r="T18" s="117">
        <v>315000000</v>
      </c>
      <c r="U18" s="116"/>
      <c r="V18" s="118">
        <f>P18*V$22/P$22</f>
        <v>276996964.22825468</v>
      </c>
      <c r="W18" s="55"/>
      <c r="Y18" s="114">
        <v>315000000</v>
      </c>
      <c r="Z18" s="115">
        <v>967500000</v>
      </c>
      <c r="AA18" s="116"/>
      <c r="AB18" s="64"/>
      <c r="AD18" s="124">
        <f>Y18</f>
        <v>315000000</v>
      </c>
      <c r="AE18" s="119" t="s">
        <v>6666</v>
      </c>
      <c r="AF18" s="125">
        <f>AD18</f>
        <v>315000000</v>
      </c>
      <c r="AH18" s="117">
        <v>1530000000</v>
      </c>
      <c r="AI18" s="115"/>
      <c r="AJ18" s="116"/>
      <c r="AK18" s="64"/>
      <c r="AM18" s="117">
        <v>1162000000</v>
      </c>
      <c r="AN18" s="119"/>
      <c r="AO18" s="125"/>
      <c r="AQ18" s="117">
        <v>824529808</v>
      </c>
      <c r="AR18" s="810">
        <f>AQ18</f>
        <v>824529808</v>
      </c>
      <c r="AS18" s="116"/>
      <c r="AT18" s="7353">
        <f t="shared" si="1"/>
        <v>1</v>
      </c>
      <c r="AV18" s="117">
        <v>1897525000</v>
      </c>
      <c r="AW18" s="119"/>
      <c r="AX18" s="66">
        <f t="shared" si="2"/>
        <v>1897524999.9999998</v>
      </c>
      <c r="AZ18" s="26"/>
      <c r="BC18" s="117">
        <v>21878539000</v>
      </c>
      <c r="BD18" s="9599"/>
      <c r="BE18" s="120">
        <v>23480105871.77</v>
      </c>
      <c r="BG18" s="26"/>
    </row>
    <row r="19" spans="1:59" x14ac:dyDescent="0.35">
      <c r="A19" s="9168"/>
      <c r="B19" s="6082"/>
      <c r="C19" s="121" t="s">
        <v>632</v>
      </c>
      <c r="D19" s="60"/>
      <c r="F19" s="122"/>
      <c r="G19"/>
      <c r="H19" s="114"/>
      <c r="I19" s="123"/>
      <c r="J19" s="64"/>
      <c r="L19" s="114"/>
      <c r="M19" s="66"/>
      <c r="O19" s="114"/>
      <c r="P19" s="115"/>
      <c r="Q19" s="53"/>
      <c r="R19" s="64"/>
      <c r="T19" s="117"/>
      <c r="U19" s="53"/>
      <c r="V19" s="118"/>
      <c r="W19" s="55"/>
      <c r="Y19" s="114"/>
      <c r="Z19" s="115"/>
      <c r="AA19" s="53"/>
      <c r="AB19" s="64"/>
      <c r="AD19" s="117"/>
      <c r="AE19" s="57"/>
      <c r="AF19" s="120"/>
      <c r="AH19" s="117"/>
      <c r="AI19" s="115"/>
      <c r="AJ19" s="53"/>
      <c r="AK19" s="64"/>
      <c r="AM19" s="117"/>
      <c r="AN19" s="57"/>
      <c r="AO19" s="120"/>
      <c r="AQ19" s="117"/>
      <c r="AR19" s="115"/>
      <c r="AS19" s="53"/>
      <c r="AT19" s="7353" t="e">
        <f t="shared" si="1"/>
        <v>#DIV/0!</v>
      </c>
      <c r="AV19" s="117"/>
      <c r="AW19" s="57"/>
      <c r="AX19" s="66"/>
      <c r="AZ19" s="26"/>
      <c r="BC19" s="117"/>
      <c r="BD19" s="9599"/>
      <c r="BE19" s="120"/>
      <c r="BG19" s="26"/>
    </row>
    <row r="20" spans="1:59" x14ac:dyDescent="0.35">
      <c r="A20" s="9168"/>
      <c r="B20" s="6082"/>
      <c r="C20" s="121" t="s">
        <v>3967</v>
      </c>
      <c r="D20" s="60"/>
      <c r="F20" s="122">
        <f>F22-F17-F18</f>
        <v>164567429</v>
      </c>
      <c r="H20" s="114"/>
      <c r="I20" s="123"/>
      <c r="J20" s="64">
        <f>IF(H20=0,0,I20/H20)</f>
        <v>0</v>
      </c>
      <c r="L20" s="114"/>
      <c r="M20" s="66">
        <f>L20*J20</f>
        <v>0</v>
      </c>
      <c r="O20" s="114">
        <v>72300000</v>
      </c>
      <c r="P20" s="123">
        <v>91800000</v>
      </c>
      <c r="Q20" s="116"/>
      <c r="R20" s="64"/>
      <c r="T20" s="114">
        <v>110000000</v>
      </c>
      <c r="U20" s="116"/>
      <c r="V20" s="118">
        <f>P20*V$22/P$22</f>
        <v>95811308.65167211</v>
      </c>
      <c r="W20" s="55"/>
      <c r="Y20" s="114">
        <v>110000000</v>
      </c>
      <c r="Z20" s="123">
        <v>120200000</v>
      </c>
      <c r="AA20" s="116"/>
      <c r="AB20" s="64"/>
      <c r="AD20" s="114">
        <v>180000000</v>
      </c>
      <c r="AE20" s="119" t="s">
        <v>6667</v>
      </c>
      <c r="AF20" s="120">
        <f t="shared" ref="AF20" si="3">AD20*Z20/Y20</f>
        <v>196690909.09090909</v>
      </c>
      <c r="AH20" s="117">
        <v>180000000</v>
      </c>
      <c r="AI20" s="123">
        <f>145020198*12/9</f>
        <v>193360264</v>
      </c>
      <c r="AJ20" s="116" t="s">
        <v>6668</v>
      </c>
      <c r="AK20" s="126">
        <f t="shared" ref="AK20:AK22" si="4">AI20/AH20</f>
        <v>1.074223688888889</v>
      </c>
      <c r="AM20" s="117">
        <v>229100000</v>
      </c>
      <c r="AN20" s="116" t="s">
        <v>6668</v>
      </c>
      <c r="AO20" s="120">
        <f t="shared" ref="AO20" si="5">AM20*AI20/AH20</f>
        <v>246104647.12444445</v>
      </c>
      <c r="AQ20" s="117">
        <f>184000000+45100000</f>
        <v>229100000</v>
      </c>
      <c r="AR20" s="813">
        <f>AQ20</f>
        <v>229100000</v>
      </c>
      <c r="AS20" s="116" t="s">
        <v>1327</v>
      </c>
      <c r="AT20" s="7353">
        <f t="shared" si="1"/>
        <v>1</v>
      </c>
      <c r="AV20" s="117">
        <f>322254000+28860000</f>
        <v>351114000</v>
      </c>
      <c r="AW20" s="116"/>
      <c r="AX20" s="66">
        <f t="shared" ref="AX20" si="6">AV20*AR20/AQ20</f>
        <v>351114000</v>
      </c>
      <c r="AZ20" s="26"/>
      <c r="BC20" s="117">
        <v>8873853000</v>
      </c>
      <c r="BD20" s="9599"/>
      <c r="BE20" s="120">
        <v>9926530620</v>
      </c>
      <c r="BG20" s="26"/>
    </row>
    <row r="21" spans="1:59" x14ac:dyDescent="0.35">
      <c r="A21" s="9168"/>
      <c r="B21" s="6082"/>
      <c r="C21" s="121" t="s">
        <v>3285</v>
      </c>
      <c r="D21" s="60"/>
      <c r="F21" s="122"/>
      <c r="H21" s="114"/>
      <c r="I21" s="123"/>
      <c r="J21" s="64"/>
      <c r="L21" s="114"/>
      <c r="M21" s="66"/>
      <c r="O21" s="114"/>
      <c r="P21" s="123"/>
      <c r="Q21" s="127"/>
      <c r="R21" s="64"/>
      <c r="T21" s="114"/>
      <c r="U21" s="116"/>
      <c r="V21" s="118"/>
      <c r="W21" s="55"/>
      <c r="Y21" s="114"/>
      <c r="Z21" s="123"/>
      <c r="AA21" s="127"/>
      <c r="AB21" s="64"/>
      <c r="AD21" s="114">
        <v>909000000</v>
      </c>
      <c r="AE21" s="119" t="s">
        <v>6669</v>
      </c>
      <c r="AF21" s="120">
        <f>AD21</f>
        <v>909000000</v>
      </c>
      <c r="AH21" s="114">
        <v>909000000</v>
      </c>
      <c r="AI21" s="123">
        <f>638601818*12/9</f>
        <v>851469090.66666663</v>
      </c>
      <c r="AJ21" s="116" t="s">
        <v>6668</v>
      </c>
      <c r="AK21" s="64">
        <f t="shared" si="4"/>
        <v>0.93670967070040334</v>
      </c>
      <c r="AM21" s="114">
        <v>1669600000</v>
      </c>
      <c r="AN21" s="116" t="s">
        <v>6668</v>
      </c>
      <c r="AO21" s="120">
        <f>AM21</f>
        <v>1669600000</v>
      </c>
      <c r="AQ21" s="114"/>
      <c r="AR21" s="123"/>
      <c r="AS21" s="116"/>
      <c r="AT21" s="476" t="e">
        <f t="shared" si="1"/>
        <v>#DIV/0!</v>
      </c>
      <c r="AV21" s="114"/>
      <c r="AW21" s="116"/>
      <c r="AX21" s="66">
        <f>AV21</f>
        <v>0</v>
      </c>
      <c r="AZ21" s="26"/>
      <c r="BC21" s="114"/>
      <c r="BD21" s="9599"/>
      <c r="BE21" s="120"/>
      <c r="BG21" s="26"/>
    </row>
    <row r="22" spans="1:59" x14ac:dyDescent="0.35">
      <c r="A22" s="9168"/>
      <c r="B22" s="128"/>
      <c r="C22" s="129" t="s">
        <v>479</v>
      </c>
      <c r="D22" s="87"/>
      <c r="F22" s="130">
        <v>4120055254</v>
      </c>
      <c r="H22" s="131"/>
      <c r="I22" s="132"/>
      <c r="J22" s="133">
        <f>IF(H22=0,0,I22/H22)</f>
        <v>0</v>
      </c>
      <c r="L22" s="131"/>
      <c r="M22" s="92">
        <f>L22*J22</f>
        <v>0</v>
      </c>
      <c r="O22" s="131">
        <v>4115000000</v>
      </c>
      <c r="P22" s="131">
        <v>3824500000</v>
      </c>
      <c r="Q22" s="116" t="s">
        <v>6670</v>
      </c>
      <c r="R22" s="64"/>
      <c r="T22" s="131">
        <v>4948000000</v>
      </c>
      <c r="U22" s="134"/>
      <c r="V22" s="135">
        <f>3326346677*12/10</f>
        <v>3991616012.4000001</v>
      </c>
      <c r="W22" s="136"/>
      <c r="Y22" s="131">
        <v>4948000000</v>
      </c>
      <c r="Z22" s="131">
        <v>4902200000</v>
      </c>
      <c r="AA22" s="116" t="s">
        <v>6670</v>
      </c>
      <c r="AB22" s="64"/>
      <c r="AD22" s="131">
        <v>5006897001</v>
      </c>
      <c r="AE22" s="137" t="s">
        <v>6671</v>
      </c>
      <c r="AF22" s="138">
        <f>SUM(AF17:AF21)</f>
        <v>5150300379.9225502</v>
      </c>
      <c r="AH22" s="131">
        <v>6045000000</v>
      </c>
      <c r="AI22" s="131">
        <f>(5284724315)*12/9</f>
        <v>7046299086.666667</v>
      </c>
      <c r="AJ22" s="116" t="s">
        <v>4208</v>
      </c>
      <c r="AK22" s="64">
        <f t="shared" si="4"/>
        <v>1.1656408745519713</v>
      </c>
      <c r="AM22" s="131">
        <v>7479068000</v>
      </c>
      <c r="AN22" s="137" t="s">
        <v>4208</v>
      </c>
      <c r="AO22" s="138">
        <f>SUM(AO17:AO21)</f>
        <v>8004903504.7749424</v>
      </c>
      <c r="AQ22" s="131">
        <f>SUM(AQ17:AQ21)</f>
        <v>5130264780</v>
      </c>
      <c r="AR22" s="131">
        <f>SUM(AR17:AR21)</f>
        <v>5615529808</v>
      </c>
      <c r="AS22" s="116"/>
      <c r="AT22" s="476">
        <f t="shared" si="1"/>
        <v>1.0945886906055557</v>
      </c>
      <c r="AV22" s="131">
        <f>SUM(AV17:AV21)</f>
        <v>7644748000</v>
      </c>
      <c r="AW22" s="137"/>
      <c r="AX22" s="92">
        <f>SUM(AX17:AX21)</f>
        <v>8287077520.0480976</v>
      </c>
      <c r="AZ22" s="24"/>
      <c r="BC22" s="131">
        <f>SUM(BC17:BC21)</f>
        <v>70548144000</v>
      </c>
      <c r="BD22" s="9600"/>
      <c r="BE22" s="138">
        <f>SUM(BE17:BE21)</f>
        <v>87538375536.018723</v>
      </c>
      <c r="BG22" s="24"/>
    </row>
    <row r="23" spans="1:59" ht="29" x14ac:dyDescent="0.35">
      <c r="A23" s="9168"/>
      <c r="B23" s="139" t="s">
        <v>480</v>
      </c>
      <c r="C23" s="49"/>
      <c r="D23" s="140"/>
      <c r="E23" s="141"/>
      <c r="F23" s="142"/>
      <c r="G23" s="143"/>
      <c r="H23" s="144"/>
      <c r="I23" s="145"/>
      <c r="J23" s="146"/>
      <c r="K23" s="141"/>
      <c r="L23" s="147"/>
      <c r="M23" s="148"/>
      <c r="N23" s="141"/>
      <c r="O23" s="149"/>
      <c r="P23" s="150"/>
      <c r="Q23" s="145"/>
      <c r="R23" s="146"/>
      <c r="S23" s="141"/>
      <c r="T23" s="151"/>
      <c r="U23" s="53" t="s">
        <v>6651</v>
      </c>
      <c r="V23" s="152"/>
      <c r="W23" s="142"/>
      <c r="X23" s="141"/>
      <c r="Y23" s="149"/>
      <c r="Z23" s="150"/>
      <c r="AA23" s="145" t="s">
        <v>6672</v>
      </c>
      <c r="AB23" s="146"/>
      <c r="AC23" s="141"/>
      <c r="AD23" s="56" t="s">
        <v>6652</v>
      </c>
      <c r="AE23" s="57"/>
      <c r="AF23" s="153" t="s">
        <v>3848</v>
      </c>
      <c r="AG23" s="141"/>
      <c r="AH23" s="154" t="s">
        <v>6673</v>
      </c>
      <c r="AI23" s="54" t="s">
        <v>6674</v>
      </c>
      <c r="AJ23" s="145" t="s">
        <v>6672</v>
      </c>
      <c r="AK23" s="146"/>
      <c r="AL23" s="141"/>
      <c r="AM23" s="56" t="s">
        <v>6652</v>
      </c>
      <c r="AN23" s="57"/>
      <c r="AO23" s="153" t="s">
        <v>3848</v>
      </c>
      <c r="AP23" s="141"/>
      <c r="AQ23" s="154" t="s">
        <v>1328</v>
      </c>
      <c r="AR23" s="54"/>
      <c r="AS23" s="145"/>
      <c r="AT23" s="486"/>
      <c r="AU23" s="141"/>
      <c r="AV23" s="56" t="s">
        <v>1328</v>
      </c>
      <c r="AW23" s="57"/>
      <c r="AX23" s="3010" t="s">
        <v>6647</v>
      </c>
      <c r="AY23" s="141"/>
      <c r="AZ23" s="18"/>
      <c r="BB23" s="141"/>
      <c r="BC23" s="56" t="s">
        <v>6662</v>
      </c>
      <c r="BD23" s="57"/>
      <c r="BE23" s="153" t="s">
        <v>6662</v>
      </c>
      <c r="BF23" s="141"/>
      <c r="BG23" s="18"/>
    </row>
    <row r="24" spans="1:59" x14ac:dyDescent="0.35">
      <c r="A24" s="9168"/>
      <c r="B24" s="6082"/>
      <c r="C24" s="110" t="s">
        <v>5854</v>
      </c>
      <c r="D24" s="60"/>
      <c r="F24" s="155">
        <v>1925745687</v>
      </c>
      <c r="H24" s="117"/>
      <c r="I24" s="115"/>
      <c r="J24" s="64">
        <f>IF(H24=0,0,I24/H24)</f>
        <v>0</v>
      </c>
      <c r="L24" s="156"/>
      <c r="M24" s="157">
        <f>L24*J24</f>
        <v>0</v>
      </c>
      <c r="O24" s="117">
        <f>3317000000-O26</f>
        <v>2839400000</v>
      </c>
      <c r="P24" s="115">
        <f>3105900000-P26</f>
        <v>2668100000</v>
      </c>
      <c r="Q24" s="116" t="s">
        <v>6675</v>
      </c>
      <c r="R24" s="64">
        <f>P24/O24</f>
        <v>0.93967035289145595</v>
      </c>
      <c r="T24" s="156">
        <f>3191000000-T26</f>
        <v>2713400000</v>
      </c>
      <c r="U24" s="119" t="s">
        <v>6675</v>
      </c>
      <c r="V24" s="106">
        <f>T24*R24</f>
        <v>2549701535.5356765</v>
      </c>
      <c r="W24" s="55"/>
      <c r="Y24" s="117">
        <f>3191000000-Y26</f>
        <v>2713400000</v>
      </c>
      <c r="Z24" s="115">
        <f>3209800000-Z26</f>
        <v>2732200000</v>
      </c>
      <c r="AA24" s="116" t="s">
        <v>6675</v>
      </c>
      <c r="AB24" s="64">
        <f>Z24/Y24</f>
        <v>1.0069285766934473</v>
      </c>
      <c r="AD24" s="156">
        <f>3191000000-AD26</f>
        <v>2713400000</v>
      </c>
      <c r="AE24" s="119"/>
      <c r="AF24" s="158">
        <f>2567100000*12/9-AF26</f>
        <v>2945200000</v>
      </c>
      <c r="AH24" s="156">
        <f>3394800000-AH26</f>
        <v>2917200000</v>
      </c>
      <c r="AI24" s="115">
        <f>2495535580-AI26</f>
        <v>2495535580</v>
      </c>
      <c r="AJ24" s="116" t="s">
        <v>6675</v>
      </c>
      <c r="AK24" s="64">
        <f>AI24/AH24</f>
        <v>0.85545577265871386</v>
      </c>
      <c r="AM24" s="156">
        <f>3239400000-AM26</f>
        <v>3239400000</v>
      </c>
      <c r="AN24" s="119"/>
      <c r="AO24" s="158"/>
      <c r="AQ24" s="156">
        <v>2299755000</v>
      </c>
      <c r="AR24" s="115">
        <f t="shared" ref="AR24:AR29" si="7">AO24</f>
        <v>0</v>
      </c>
      <c r="AS24" s="53"/>
      <c r="AT24" s="476">
        <f>AR24/AQ24</f>
        <v>0</v>
      </c>
      <c r="AV24" s="156">
        <v>2865504000</v>
      </c>
      <c r="AW24" s="119"/>
      <c r="AX24" s="1009">
        <f>2520127600*12/9</f>
        <v>3360170133.3333335</v>
      </c>
      <c r="AZ24" s="26"/>
      <c r="BC24" s="156">
        <v>12207939000</v>
      </c>
      <c r="BD24" s="119"/>
      <c r="BE24" s="158">
        <v>20559850116.578735</v>
      </c>
      <c r="BG24" s="26"/>
    </row>
    <row r="25" spans="1:59" x14ac:dyDescent="0.35">
      <c r="A25" s="9168"/>
      <c r="B25" s="6082"/>
      <c r="C25" s="110" t="s">
        <v>489</v>
      </c>
      <c r="D25" s="60"/>
      <c r="F25" s="155"/>
      <c r="H25" s="117"/>
      <c r="I25" s="115"/>
      <c r="J25" s="64">
        <f>IF(H25=0,0,I25/H25)</f>
        <v>0</v>
      </c>
      <c r="L25" s="156"/>
      <c r="M25" s="157">
        <f>L25*J25</f>
        <v>0</v>
      </c>
      <c r="O25" s="117"/>
      <c r="P25" s="115"/>
      <c r="Q25" s="116"/>
      <c r="R25" s="64"/>
      <c r="T25" s="156"/>
      <c r="U25" s="116"/>
      <c r="V25" s="106"/>
      <c r="W25" s="55"/>
      <c r="Y25" s="117"/>
      <c r="Z25" s="115"/>
      <c r="AA25" s="116"/>
      <c r="AB25" s="64"/>
      <c r="AD25" s="156"/>
      <c r="AE25" s="119"/>
      <c r="AF25" s="158"/>
      <c r="AH25" s="156"/>
      <c r="AI25" s="115"/>
      <c r="AJ25" s="116"/>
      <c r="AK25" s="64"/>
      <c r="AM25" s="156"/>
      <c r="AN25" s="119"/>
      <c r="AO25" s="158"/>
      <c r="AQ25" s="156">
        <f t="shared" si="0"/>
        <v>0</v>
      </c>
      <c r="AR25" s="115">
        <f t="shared" si="7"/>
        <v>0</v>
      </c>
      <c r="AS25" s="53"/>
      <c r="AT25" s="476"/>
      <c r="AV25" s="156"/>
      <c r="AW25" s="119"/>
      <c r="AX25" s="1009"/>
      <c r="AZ25" s="26"/>
      <c r="BC25" s="156"/>
      <c r="BD25" s="119"/>
      <c r="BE25" s="158"/>
      <c r="BG25" s="26"/>
    </row>
    <row r="26" spans="1:59" x14ac:dyDescent="0.35">
      <c r="A26" s="9168"/>
      <c r="B26" s="6082"/>
      <c r="C26" s="110" t="s">
        <v>490</v>
      </c>
      <c r="D26" s="60"/>
      <c r="F26" s="155">
        <v>305532285.70755297</v>
      </c>
      <c r="H26" s="117"/>
      <c r="I26" s="115"/>
      <c r="J26" s="64">
        <f>IF(H26=0,0,I26/H26)</f>
        <v>0</v>
      </c>
      <c r="L26" s="156">
        <f>284279000+10192+44846000+2000+4473000+5000</f>
        <v>333615192</v>
      </c>
      <c r="M26" s="157">
        <f>L26*J26</f>
        <v>0</v>
      </c>
      <c r="O26" s="117">
        <v>477600000</v>
      </c>
      <c r="P26" s="115">
        <v>437800000</v>
      </c>
      <c r="Q26" s="116" t="s">
        <v>6676</v>
      </c>
      <c r="R26" s="64">
        <f>P26/O26</f>
        <v>0.91666666666666663</v>
      </c>
      <c r="T26" s="159">
        <v>477600000</v>
      </c>
      <c r="U26" s="116" t="s">
        <v>6676</v>
      </c>
      <c r="V26" s="106">
        <f>T26*R26</f>
        <v>437800000</v>
      </c>
      <c r="W26" s="26"/>
      <c r="Y26" s="117">
        <v>477600000</v>
      </c>
      <c r="Z26" s="115">
        <v>477600000</v>
      </c>
      <c r="AA26" s="116" t="s">
        <v>6676</v>
      </c>
      <c r="AB26" s="64">
        <f>Z26/Y26</f>
        <v>1</v>
      </c>
      <c r="AD26" s="159">
        <v>477600000</v>
      </c>
      <c r="AE26" s="119" t="s">
        <v>6676</v>
      </c>
      <c r="AF26" s="160">
        <f>358200000*12/9</f>
        <v>477600000</v>
      </c>
      <c r="AH26" s="159">
        <v>477600000</v>
      </c>
      <c r="AI26" s="115"/>
      <c r="AJ26" s="116" t="s">
        <v>6677</v>
      </c>
      <c r="AK26" s="64">
        <f>AI26/AH26</f>
        <v>0</v>
      </c>
      <c r="AM26" s="159"/>
      <c r="AN26" s="119" t="s">
        <v>6676</v>
      </c>
      <c r="AO26" s="160"/>
      <c r="AQ26" s="159">
        <v>477600000</v>
      </c>
      <c r="AR26" s="115">
        <f t="shared" si="7"/>
        <v>0</v>
      </c>
      <c r="AS26" s="53"/>
      <c r="AT26" s="476">
        <f>AR26/AQ26</f>
        <v>0</v>
      </c>
      <c r="AV26" s="159">
        <v>594100000</v>
      </c>
      <c r="AW26" s="119" t="s">
        <v>6676</v>
      </c>
      <c r="AX26" s="1009">
        <f>534966400*12/9</f>
        <v>713288533.33333337</v>
      </c>
      <c r="AZ26" s="26"/>
      <c r="BC26" s="159">
        <v>2210525000</v>
      </c>
      <c r="BD26" s="119"/>
      <c r="BE26" s="158">
        <v>3661389160</v>
      </c>
      <c r="BG26" s="26"/>
    </row>
    <row r="27" spans="1:59" x14ac:dyDescent="0.35">
      <c r="A27" s="9168"/>
      <c r="B27" s="6082"/>
      <c r="C27" s="161" t="s">
        <v>5857</v>
      </c>
      <c r="D27" s="162"/>
      <c r="F27" s="163">
        <v>10265933.9</v>
      </c>
      <c r="H27" s="164"/>
      <c r="I27" s="165"/>
      <c r="J27" s="64">
        <f>IF(H27=0,0,I27/H27)</f>
        <v>0</v>
      </c>
      <c r="L27" s="166"/>
      <c r="M27" s="157">
        <f>L27*J27</f>
        <v>0</v>
      </c>
      <c r="O27" s="164"/>
      <c r="P27" s="165"/>
      <c r="Q27" s="106"/>
      <c r="R27" s="64"/>
      <c r="T27" s="156"/>
      <c r="U27" s="106"/>
      <c r="V27" s="167"/>
      <c r="W27" s="168"/>
      <c r="Y27" s="164"/>
      <c r="Z27" s="165"/>
      <c r="AA27" s="106"/>
      <c r="AB27" s="64"/>
      <c r="AD27" s="156"/>
      <c r="AE27" s="106"/>
      <c r="AF27" s="158"/>
      <c r="AH27" s="156"/>
      <c r="AI27" s="165"/>
      <c r="AJ27" s="106"/>
      <c r="AK27" s="64"/>
      <c r="AM27" s="156"/>
      <c r="AN27" s="106"/>
      <c r="AO27" s="158"/>
      <c r="AQ27" s="156">
        <v>161500000</v>
      </c>
      <c r="AR27" s="165">
        <f t="shared" si="7"/>
        <v>0</v>
      </c>
      <c r="AS27" s="106" t="s">
        <v>1328</v>
      </c>
      <c r="AT27" s="476"/>
      <c r="AV27" s="816">
        <f>AQ27*AV24/AQ24</f>
        <v>201229650.98456141</v>
      </c>
      <c r="AW27" s="106" t="s">
        <v>1328</v>
      </c>
      <c r="AX27" s="1009">
        <f>AV27</f>
        <v>201229650.98456141</v>
      </c>
      <c r="AZ27" s="26"/>
      <c r="BC27" s="159"/>
      <c r="BD27" s="106"/>
      <c r="BE27" s="158"/>
      <c r="BG27" s="26"/>
    </row>
    <row r="28" spans="1:59" x14ac:dyDescent="0.35">
      <c r="A28" s="9168"/>
      <c r="B28" s="128"/>
      <c r="C28" s="129" t="s">
        <v>499</v>
      </c>
      <c r="D28" s="87">
        <v>2</v>
      </c>
      <c r="F28" s="169">
        <f>IF(F24=0,0,(F26-F27)/F24)</f>
        <v>0.15332572405629019</v>
      </c>
      <c r="G28" s="170"/>
      <c r="H28" s="171">
        <f>$F28</f>
        <v>0.15332572405629019</v>
      </c>
      <c r="I28" s="172">
        <f>$F28</f>
        <v>0.15332572405629019</v>
      </c>
      <c r="J28" s="173"/>
      <c r="K28" s="170"/>
      <c r="L28" s="174">
        <f>$F28</f>
        <v>0.15332572405629019</v>
      </c>
      <c r="M28" s="175">
        <f>$F28</f>
        <v>0.15332572405629019</v>
      </c>
      <c r="N28" s="176"/>
      <c r="O28" s="171">
        <f>O26/O24</f>
        <v>0.16820455025709657</v>
      </c>
      <c r="P28" s="177">
        <f>P26/P24</f>
        <v>0.16408680334320302</v>
      </c>
      <c r="Q28" s="177"/>
      <c r="R28" s="173"/>
      <c r="S28" s="170"/>
      <c r="T28" s="174">
        <f>T26/T24</f>
        <v>0.17601533131864083</v>
      </c>
      <c r="U28" s="177"/>
      <c r="V28" s="178">
        <f>T28</f>
        <v>0.17601533131864083</v>
      </c>
      <c r="W28" s="179"/>
      <c r="X28" s="176"/>
      <c r="Y28" s="171">
        <f>Y26/Y24</f>
        <v>0.17601533131864083</v>
      </c>
      <c r="Z28" s="177">
        <f>Z26/Z24</f>
        <v>0.1748041871019691</v>
      </c>
      <c r="AA28" s="177"/>
      <c r="AB28" s="173"/>
      <c r="AC28" s="170"/>
      <c r="AD28" s="174">
        <f>AD26/AD24</f>
        <v>0.17601533131864083</v>
      </c>
      <c r="AE28" s="177"/>
      <c r="AF28" s="180">
        <f>AF26/AF24</f>
        <v>0.16216216216216217</v>
      </c>
      <c r="AG28" s="176"/>
      <c r="AH28" s="174">
        <f>AH26/AH24</f>
        <v>0.16371863430686961</v>
      </c>
      <c r="AI28" s="181">
        <f>AH28</f>
        <v>0.16371863430686961</v>
      </c>
      <c r="AJ28" s="177"/>
      <c r="AK28" s="173"/>
      <c r="AL28" s="170"/>
      <c r="AM28" s="182">
        <f>AH28</f>
        <v>0.16371863430686961</v>
      </c>
      <c r="AN28" s="177"/>
      <c r="AO28" s="183">
        <f>AH28</f>
        <v>0.16371863430686961</v>
      </c>
      <c r="AP28" s="176"/>
      <c r="AQ28" s="495">
        <f>(AQ26-AQ27)/AQ24</f>
        <v>0.13744942396037838</v>
      </c>
      <c r="AR28" s="181">
        <f>AQ28</f>
        <v>0.13744942396037838</v>
      </c>
      <c r="AS28" s="497">
        <f t="shared" ref="AS28:AS31" si="8">AO28</f>
        <v>0.16371863430686961</v>
      </c>
      <c r="AT28" s="494"/>
      <c r="AU28" s="170"/>
      <c r="AV28" s="495">
        <f>(AV26-AV27)/AV24</f>
        <v>0.13710340275757374</v>
      </c>
      <c r="AW28" s="497"/>
      <c r="AX28" s="7049">
        <f>AX26/AX24</f>
        <v>0.21227750531361983</v>
      </c>
      <c r="AY28" s="176"/>
      <c r="AZ28" s="24"/>
      <c r="BB28" s="170"/>
      <c r="BC28" s="174">
        <f>BC26/BC24</f>
        <v>0.18107274290934777</v>
      </c>
      <c r="BD28" s="177"/>
      <c r="BE28" s="180">
        <f>BE26/BE24</f>
        <v>0.17808442859452489</v>
      </c>
      <c r="BF28" s="176"/>
      <c r="BG28" s="8247"/>
    </row>
    <row r="29" spans="1:59" x14ac:dyDescent="0.35">
      <c r="A29" s="9168"/>
      <c r="B29" s="139" t="s">
        <v>552</v>
      </c>
      <c r="C29" s="49"/>
      <c r="D29" s="184"/>
      <c r="F29" s="185"/>
      <c r="H29" s="186"/>
      <c r="I29" s="187"/>
      <c r="J29" s="188"/>
      <c r="L29" s="186"/>
      <c r="M29" s="148">
        <f>L29*J29</f>
        <v>0</v>
      </c>
      <c r="O29" s="189"/>
      <c r="P29" s="190"/>
      <c r="Q29" s="190"/>
      <c r="R29" s="191"/>
      <c r="S29" s="170"/>
      <c r="T29" s="192"/>
      <c r="U29" s="190"/>
      <c r="V29" s="193"/>
      <c r="W29" s="194"/>
      <c r="Y29" s="189"/>
      <c r="Z29" s="190"/>
      <c r="AA29" s="190"/>
      <c r="AB29" s="191"/>
      <c r="AC29" s="170"/>
      <c r="AD29" s="192"/>
      <c r="AE29" s="190"/>
      <c r="AF29" s="193"/>
      <c r="AH29" s="192"/>
      <c r="AI29" s="190"/>
      <c r="AJ29" s="190"/>
      <c r="AK29" s="191"/>
      <c r="AL29" s="170"/>
      <c r="AM29" s="192"/>
      <c r="AN29" s="190"/>
      <c r="AO29" s="193"/>
      <c r="AQ29" s="3364">
        <f t="shared" si="0"/>
        <v>0</v>
      </c>
      <c r="AR29" s="839">
        <f t="shared" si="7"/>
        <v>0</v>
      </c>
      <c r="AS29" s="839">
        <f t="shared" si="8"/>
        <v>0</v>
      </c>
      <c r="AT29" s="840"/>
      <c r="AU29" s="170"/>
      <c r="AV29" s="3364"/>
      <c r="AW29" s="839"/>
      <c r="AX29" s="3482"/>
      <c r="AZ29" s="195"/>
      <c r="BB29" s="170"/>
      <c r="BC29" s="192"/>
      <c r="BD29" s="190"/>
      <c r="BE29" s="193"/>
      <c r="BG29" s="195"/>
    </row>
    <row r="30" spans="1:59" x14ac:dyDescent="0.35">
      <c r="A30" s="9168"/>
      <c r="B30" s="196"/>
      <c r="C30" s="121" t="s">
        <v>470</v>
      </c>
      <c r="D30" s="197"/>
      <c r="F30" s="122"/>
      <c r="H30" s="198"/>
      <c r="I30" s="199"/>
      <c r="J30" s="64"/>
      <c r="L30" s="198"/>
      <c r="M30" s="157"/>
      <c r="O30" s="200"/>
      <c r="P30" s="201"/>
      <c r="Q30" s="202"/>
      <c r="R30" s="203"/>
      <c r="S30" s="170"/>
      <c r="T30" s="117"/>
      <c r="U30" s="202"/>
      <c r="V30" s="204"/>
      <c r="W30" s="205"/>
      <c r="Y30" s="200"/>
      <c r="Z30" s="201"/>
      <c r="AA30" s="202"/>
      <c r="AB30" s="203"/>
      <c r="AC30" s="170"/>
      <c r="AD30" s="117"/>
      <c r="AE30" s="202"/>
      <c r="AF30" s="204"/>
      <c r="AH30" s="117"/>
      <c r="AI30" s="201"/>
      <c r="AJ30" s="202"/>
      <c r="AK30" s="203"/>
      <c r="AL30" s="170"/>
      <c r="AM30" s="117"/>
      <c r="AN30" s="202"/>
      <c r="AO30" s="204"/>
      <c r="AQ30" s="117"/>
      <c r="AR30" s="201"/>
      <c r="AS30" s="834">
        <f t="shared" si="8"/>
        <v>0</v>
      </c>
      <c r="AT30" s="835"/>
      <c r="AU30" s="170"/>
      <c r="AV30" s="117"/>
      <c r="AW30" s="834"/>
      <c r="AX30" s="273"/>
      <c r="AZ30" s="206"/>
      <c r="BB30" s="170"/>
      <c r="BC30" s="117"/>
      <c r="BD30" s="202"/>
      <c r="BE30" s="204"/>
      <c r="BG30" s="206"/>
    </row>
    <row r="31" spans="1:59" x14ac:dyDescent="0.35">
      <c r="A31" s="9169"/>
      <c r="B31" s="207"/>
      <c r="C31" s="208" t="s">
        <v>1116</v>
      </c>
      <c r="D31" s="209"/>
      <c r="F31" s="210"/>
      <c r="H31" s="211"/>
      <c r="I31" s="212"/>
      <c r="J31" s="133"/>
      <c r="L31" s="211"/>
      <c r="M31" s="213"/>
      <c r="O31" s="214"/>
      <c r="P31" s="215"/>
      <c r="Q31" s="216"/>
      <c r="R31" s="133"/>
      <c r="T31" s="217"/>
      <c r="U31" s="216"/>
      <c r="V31" s="135"/>
      <c r="W31" s="218"/>
      <c r="Y31" s="214"/>
      <c r="Z31" s="215"/>
      <c r="AA31" s="216"/>
      <c r="AB31" s="133"/>
      <c r="AD31" s="217"/>
      <c r="AE31" s="216"/>
      <c r="AF31" s="135"/>
      <c r="AH31" s="217"/>
      <c r="AI31" s="215"/>
      <c r="AJ31" s="216"/>
      <c r="AK31" s="133"/>
      <c r="AM31" s="217"/>
      <c r="AN31" s="216"/>
      <c r="AO31" s="135"/>
      <c r="AQ31" s="217"/>
      <c r="AR31" s="215"/>
      <c r="AS31" s="216">
        <f t="shared" si="8"/>
        <v>0</v>
      </c>
      <c r="AT31" s="484"/>
      <c r="AV31" s="217"/>
      <c r="AW31" s="216"/>
      <c r="AX31" s="658"/>
      <c r="AZ31" s="219"/>
      <c r="BC31" s="217"/>
      <c r="BD31" s="216"/>
      <c r="BE31" s="135"/>
      <c r="BG31" s="219"/>
    </row>
    <row r="32" spans="1:59" x14ac:dyDescent="0.35">
      <c r="A32" s="220"/>
      <c r="B32" s="220"/>
      <c r="F32" s="106"/>
      <c r="H32" s="106"/>
      <c r="I32" s="106"/>
      <c r="J32" s="221"/>
      <c r="L32" s="106"/>
      <c r="O32" s="106"/>
      <c r="P32" s="106"/>
      <c r="Q32" s="106"/>
      <c r="R32" s="221"/>
      <c r="T32" s="106"/>
      <c r="U32" s="106"/>
      <c r="W32" s="106"/>
      <c r="Y32" s="106"/>
      <c r="Z32" s="106"/>
      <c r="AA32" s="106"/>
      <c r="AB32" s="221"/>
      <c r="AD32" s="106"/>
      <c r="AE32" s="106"/>
      <c r="AH32" s="106"/>
      <c r="AI32" s="106"/>
      <c r="AJ32" s="106"/>
      <c r="AK32" s="221"/>
      <c r="AM32" s="106"/>
      <c r="AN32" s="106"/>
      <c r="AQ32" s="106"/>
      <c r="AR32" s="106"/>
      <c r="AS32" s="106"/>
      <c r="AT32" s="221"/>
      <c r="AV32" s="106"/>
      <c r="AW32" s="106"/>
      <c r="BC32" s="106"/>
      <c r="BD32" s="106"/>
    </row>
    <row r="33" spans="1:59" ht="27.75" customHeight="1" x14ac:dyDescent="0.35">
      <c r="A33" s="9167" t="s">
        <v>503</v>
      </c>
      <c r="B33" s="27"/>
      <c r="C33" s="28" t="s">
        <v>427</v>
      </c>
      <c r="D33" s="42" t="s">
        <v>428</v>
      </c>
      <c r="E33" s="30"/>
      <c r="F33" s="222" t="s">
        <v>6678</v>
      </c>
      <c r="G33" s="223"/>
      <c r="H33" s="222" t="s">
        <v>6679</v>
      </c>
      <c r="I33" s="222" t="s">
        <v>6680</v>
      </c>
      <c r="J33" s="224"/>
      <c r="K33" s="223"/>
      <c r="L33" s="31" t="s">
        <v>6632</v>
      </c>
      <c r="M33" s="36" t="s">
        <v>5859</v>
      </c>
      <c r="N33" s="30"/>
      <c r="O33" s="8343"/>
      <c r="P33" s="8340" t="s">
        <v>6681</v>
      </c>
      <c r="Q33" s="35" t="s">
        <v>6682</v>
      </c>
      <c r="R33" s="224"/>
      <c r="S33" s="223"/>
      <c r="T33" s="36" t="s">
        <v>6683</v>
      </c>
      <c r="U33" s="225" t="s">
        <v>6682</v>
      </c>
      <c r="V33" s="226" t="s">
        <v>6636</v>
      </c>
      <c r="W33" s="225"/>
      <c r="X33" s="30"/>
      <c r="Y33" s="9548" t="s">
        <v>6638</v>
      </c>
      <c r="Z33" s="9549"/>
      <c r="AA33" s="35"/>
      <c r="AB33" s="224"/>
      <c r="AC33" s="223"/>
      <c r="AD33" s="36" t="s">
        <v>6684</v>
      </c>
      <c r="AE33" s="225" t="s">
        <v>6682</v>
      </c>
      <c r="AF33" s="226" t="s">
        <v>6685</v>
      </c>
      <c r="AG33" s="30"/>
      <c r="AH33" s="9548" t="s">
        <v>6686</v>
      </c>
      <c r="AI33" s="9549"/>
      <c r="AJ33" s="35"/>
      <c r="AK33" s="224"/>
      <c r="AL33" s="223"/>
      <c r="AM33" s="36" t="s">
        <v>6687</v>
      </c>
      <c r="AN33" s="225" t="s">
        <v>6682</v>
      </c>
      <c r="AO33" s="226" t="s">
        <v>6688</v>
      </c>
      <c r="AP33" s="30"/>
      <c r="AQ33" s="9548" t="s">
        <v>6686</v>
      </c>
      <c r="AR33" s="9549"/>
      <c r="AS33" s="3375"/>
      <c r="AT33" s="224"/>
      <c r="AU33" s="223"/>
      <c r="AV33" s="36" t="s">
        <v>6689</v>
      </c>
      <c r="AW33" s="4645" t="s">
        <v>6649</v>
      </c>
      <c r="AX33" s="226" t="s">
        <v>6688</v>
      </c>
      <c r="AY33" s="30"/>
      <c r="AZ33" s="39"/>
      <c r="BB33" s="223"/>
      <c r="BC33" s="36" t="s">
        <v>6690</v>
      </c>
      <c r="BD33" s="8248" t="s">
        <v>6691</v>
      </c>
      <c r="BE33" s="226" t="s">
        <v>6690</v>
      </c>
      <c r="BF33" s="30"/>
      <c r="BG33" s="39"/>
    </row>
    <row r="34" spans="1:59" x14ac:dyDescent="0.35">
      <c r="A34" s="9168"/>
      <c r="B34" s="141" t="s">
        <v>514</v>
      </c>
      <c r="C34"/>
      <c r="D34" s="140"/>
      <c r="E34" s="143"/>
      <c r="F34" s="227"/>
      <c r="G34" s="143"/>
      <c r="H34" s="102"/>
      <c r="I34" s="103"/>
      <c r="J34" s="228"/>
      <c r="K34" s="143"/>
      <c r="L34" s="102"/>
      <c r="M34" s="229"/>
      <c r="N34" s="143"/>
      <c r="O34" s="230"/>
      <c r="P34" s="103"/>
      <c r="Q34" s="53"/>
      <c r="R34" s="228"/>
      <c r="S34" s="143"/>
      <c r="T34" s="230"/>
      <c r="U34" s="53"/>
      <c r="V34" s="49"/>
      <c r="W34" s="55"/>
      <c r="X34" s="143"/>
      <c r="Y34" s="230"/>
      <c r="Z34" s="103"/>
      <c r="AA34" s="53"/>
      <c r="AB34" s="228"/>
      <c r="AC34" s="143"/>
      <c r="AD34" s="230"/>
      <c r="AE34" s="231" t="s">
        <v>6692</v>
      </c>
      <c r="AF34" s="231"/>
      <c r="AG34" s="143"/>
      <c r="AH34" s="230"/>
      <c r="AI34" s="103"/>
      <c r="AJ34" s="53"/>
      <c r="AK34" s="228"/>
      <c r="AL34" s="143"/>
      <c r="AM34" s="230"/>
      <c r="AN34" s="231" t="s">
        <v>6693</v>
      </c>
      <c r="AO34" s="231"/>
      <c r="AP34" s="143"/>
      <c r="AQ34" s="230"/>
      <c r="AR34" s="103"/>
      <c r="AS34" s="53"/>
      <c r="AT34" s="228"/>
      <c r="AU34" s="143"/>
      <c r="AV34" s="230"/>
      <c r="AW34" s="231" t="s">
        <v>6694</v>
      </c>
      <c r="AX34" s="231"/>
      <c r="AY34" s="143"/>
      <c r="AZ34" s="18"/>
      <c r="BB34" s="143"/>
      <c r="BC34" s="230"/>
      <c r="BD34" s="231"/>
      <c r="BE34" s="231"/>
      <c r="BF34" s="143"/>
      <c r="BG34" s="18"/>
    </row>
    <row r="35" spans="1:59" x14ac:dyDescent="0.35">
      <c r="A35" s="9168"/>
      <c r="B35" s="232"/>
      <c r="C35" s="232" t="s">
        <v>5892</v>
      </c>
      <c r="D35" s="60"/>
      <c r="F35" s="111">
        <v>751676855</v>
      </c>
      <c r="H35" s="112">
        <v>876669000</v>
      </c>
      <c r="I35" s="113">
        <v>796466175</v>
      </c>
      <c r="J35" s="64">
        <f>IF(H35=0,0,I35/H35)</f>
        <v>0.9085141313312094</v>
      </c>
      <c r="L35" s="112">
        <v>890137000</v>
      </c>
      <c r="M35" s="157">
        <f>L35*J35</f>
        <v>808702043.32076871</v>
      </c>
      <c r="O35" s="112"/>
      <c r="P35" s="233"/>
      <c r="Q35" s="57"/>
      <c r="R35" s="234"/>
      <c r="S35" s="235"/>
      <c r="T35" s="112"/>
      <c r="U35" s="57"/>
      <c r="V35" s="236"/>
      <c r="W35" s="237" t="s">
        <v>6695</v>
      </c>
      <c r="Y35" s="112"/>
      <c r="Z35" s="233"/>
      <c r="AA35" s="57"/>
      <c r="AB35" s="234"/>
      <c r="AC35" s="235"/>
      <c r="AD35" s="112"/>
      <c r="AE35" s="57"/>
      <c r="AF35" s="233"/>
      <c r="AH35" s="112"/>
      <c r="AI35" s="233"/>
      <c r="AJ35" s="57"/>
      <c r="AK35" s="234"/>
      <c r="AL35" s="235"/>
      <c r="AM35" s="112"/>
      <c r="AN35" s="57"/>
      <c r="AO35" s="233"/>
      <c r="AQ35" s="112"/>
      <c r="AR35" s="233"/>
      <c r="AS35" s="57"/>
      <c r="AT35" s="543"/>
      <c r="AU35" s="235"/>
      <c r="AV35" s="112"/>
      <c r="AW35" s="57"/>
      <c r="AX35" s="233"/>
      <c r="AZ35" s="26"/>
      <c r="BB35" s="235"/>
      <c r="BC35" s="112"/>
      <c r="BD35" s="57"/>
      <c r="BE35" s="233"/>
      <c r="BG35" s="26"/>
    </row>
    <row r="36" spans="1:59" x14ac:dyDescent="0.35">
      <c r="A36" s="9168"/>
      <c r="B36" s="232"/>
      <c r="C36" s="238" t="s">
        <v>11</v>
      </c>
      <c r="D36" s="60"/>
      <c r="F36" s="111"/>
      <c r="H36" s="112"/>
      <c r="I36" s="113"/>
      <c r="J36" s="64"/>
      <c r="L36" s="112"/>
      <c r="M36" s="157"/>
      <c r="O36" s="112">
        <f>880074000+2063000</f>
        <v>882137000</v>
      </c>
      <c r="P36" s="233">
        <f>(665776473+1170000)*12/9</f>
        <v>889261964</v>
      </c>
      <c r="Q36" s="106" t="s">
        <v>6696</v>
      </c>
      <c r="R36" s="64">
        <f>P36/O36</f>
        <v>1.0080769358954449</v>
      </c>
      <c r="S36" s="235"/>
      <c r="T36" s="112">
        <f>803226000+1326000</f>
        <v>804552000</v>
      </c>
      <c r="U36" s="57" t="s">
        <v>6696</v>
      </c>
      <c r="V36" s="239">
        <f>(653021146*12/10)*T36/(T36+T37)</f>
        <v>777939867.70995021</v>
      </c>
      <c r="W36" s="66"/>
      <c r="Y36" s="112">
        <f>803226000+1326000</f>
        <v>804552000</v>
      </c>
      <c r="Z36" s="233">
        <v>850699476</v>
      </c>
      <c r="AA36" s="57" t="s">
        <v>6697</v>
      </c>
      <c r="AB36" s="64">
        <f>Z36/Y36</f>
        <v>1.057357978104585</v>
      </c>
      <c r="AC36" s="235"/>
      <c r="AD36" s="112">
        <v>796946000</v>
      </c>
      <c r="AE36" s="57" t="s">
        <v>6698</v>
      </c>
      <c r="AF36" s="233">
        <f>642693901*12/9</f>
        <v>856925201.33333337</v>
      </c>
      <c r="AH36" s="112">
        <v>796946000</v>
      </c>
      <c r="AI36" s="233">
        <f>642693901*12/9</f>
        <v>856925201.33333337</v>
      </c>
      <c r="AJ36" s="57" t="s">
        <v>4656</v>
      </c>
      <c r="AK36" s="64">
        <f>AI36/AH36</f>
        <v>1.0752613117241738</v>
      </c>
      <c r="AL36" s="235"/>
      <c r="AM36" s="112">
        <v>888753000</v>
      </c>
      <c r="AN36" s="57" t="s">
        <v>6699</v>
      </c>
      <c r="AO36" s="233">
        <f>703804380*12/9</f>
        <v>938405840</v>
      </c>
      <c r="AQ36" s="112">
        <f>AM36</f>
        <v>888753000</v>
      </c>
      <c r="AR36" s="233">
        <f>AO36</f>
        <v>938405840</v>
      </c>
      <c r="AS36" s="57" t="str">
        <f>AN36</f>
        <v>page163</v>
      </c>
      <c r="AT36" s="476">
        <f>AR36/AQ36</f>
        <v>1.055867985818332</v>
      </c>
      <c r="AU36" s="235"/>
      <c r="AV36" s="112">
        <v>1449534000</v>
      </c>
      <c r="AW36" s="57" t="s">
        <v>6700</v>
      </c>
      <c r="AX36" s="233">
        <f>1099942951*12/9</f>
        <v>1466590601.3333333</v>
      </c>
      <c r="AZ36" s="26" t="s">
        <v>6701</v>
      </c>
      <c r="BB36" s="235"/>
      <c r="BC36" s="112">
        <v>6995760000</v>
      </c>
      <c r="BD36" s="57" t="s">
        <v>6702</v>
      </c>
      <c r="BE36" s="233">
        <f>7593032858.5*12/9</f>
        <v>10124043811.333334</v>
      </c>
      <c r="BG36" s="26"/>
    </row>
    <row r="37" spans="1:59" x14ac:dyDescent="0.35">
      <c r="A37" s="9168"/>
      <c r="B37" s="232"/>
      <c r="C37" s="238" t="s">
        <v>1116</v>
      </c>
      <c r="D37" s="60"/>
      <c r="F37" s="111"/>
      <c r="H37" s="112"/>
      <c r="I37" s="113"/>
      <c r="J37" s="64"/>
      <c r="L37" s="112"/>
      <c r="M37" s="157"/>
      <c r="O37" s="112">
        <v>8000000</v>
      </c>
      <c r="P37" s="201">
        <f>2625272*12/9</f>
        <v>3500362.6666666665</v>
      </c>
      <c r="Q37" s="106"/>
      <c r="R37" s="64">
        <f>P37/O37</f>
        <v>0.43754533333333334</v>
      </c>
      <c r="S37" s="235"/>
      <c r="T37" s="112">
        <f>5880000</f>
        <v>5880000</v>
      </c>
      <c r="U37" s="57"/>
      <c r="V37" s="239">
        <f>(653021146*12/10)*T37/(T36+T37)</f>
        <v>5685507.4900497515</v>
      </c>
      <c r="W37" s="66"/>
      <c r="Y37" s="112">
        <f>5880000</f>
        <v>5880000</v>
      </c>
      <c r="Z37" s="201"/>
      <c r="AA37" s="106"/>
      <c r="AB37" s="64">
        <f>Z37/Y37</f>
        <v>0</v>
      </c>
      <c r="AC37" s="235"/>
      <c r="AD37" s="112">
        <v>6825000</v>
      </c>
      <c r="AE37" s="57" t="s">
        <v>6703</v>
      </c>
      <c r="AF37" s="233">
        <f>1711001*12/9</f>
        <v>2281334.6666666665</v>
      </c>
      <c r="AH37" s="112">
        <v>6825000</v>
      </c>
      <c r="AI37" s="201">
        <f>1711001*12/9</f>
        <v>2281334.6666666665</v>
      </c>
      <c r="AJ37" s="57" t="s">
        <v>4656</v>
      </c>
      <c r="AK37" s="64">
        <f>AI37/AH37</f>
        <v>0.3342614896214896</v>
      </c>
      <c r="AL37" s="235"/>
      <c r="AM37" s="112">
        <v>17324000</v>
      </c>
      <c r="AN37" s="57" t="s">
        <v>6699</v>
      </c>
      <c r="AO37" s="233">
        <f>3390670*12/9</f>
        <v>4520893.333333333</v>
      </c>
      <c r="AQ37" s="112">
        <f t="shared" ref="AQ37:AQ40" si="9">AM37</f>
        <v>17324000</v>
      </c>
      <c r="AR37" s="201">
        <f t="shared" ref="AR37:AR40" si="10">AO37</f>
        <v>4520893.333333333</v>
      </c>
      <c r="AS37" s="57" t="str">
        <f t="shared" ref="AS37:AS40" si="11">AN37</f>
        <v>page163</v>
      </c>
      <c r="AT37" s="476">
        <f>AR37/AQ37</f>
        <v>0.26096128684676362</v>
      </c>
      <c r="AU37" s="235"/>
      <c r="AV37" s="112">
        <v>75352000</v>
      </c>
      <c r="AW37" s="57" t="s">
        <v>6700</v>
      </c>
      <c r="AX37" s="233">
        <f>9593051*12/9</f>
        <v>12790734.666666666</v>
      </c>
      <c r="AZ37" s="26"/>
      <c r="BB37" s="235"/>
      <c r="BC37" s="112">
        <v>1680463000</v>
      </c>
      <c r="BD37" s="57" t="s">
        <v>6704</v>
      </c>
      <c r="BE37" s="233">
        <f>103655167*12/9</f>
        <v>138206889.33333334</v>
      </c>
      <c r="BG37" s="26"/>
    </row>
    <row r="38" spans="1:59" x14ac:dyDescent="0.35">
      <c r="A38" s="9168"/>
      <c r="B38" s="240"/>
      <c r="C38" s="240" t="s">
        <v>548</v>
      </c>
      <c r="D38" s="60"/>
      <c r="F38" s="155">
        <v>270882214</v>
      </c>
      <c r="H38" s="117">
        <v>332731000</v>
      </c>
      <c r="I38" s="115">
        <v>267166412.97</v>
      </c>
      <c r="J38" s="64">
        <f>IF(H38=0,0,I38/H38)</f>
        <v>0.80295016986694956</v>
      </c>
      <c r="L38" s="117">
        <v>315916000</v>
      </c>
      <c r="M38" s="157">
        <f>L38*J38</f>
        <v>253664805.86368725</v>
      </c>
      <c r="O38" s="117"/>
      <c r="P38" s="233"/>
      <c r="R38" s="64"/>
      <c r="S38" s="235"/>
      <c r="T38" s="117"/>
      <c r="U38" s="57"/>
      <c r="V38" s="239"/>
      <c r="W38" s="237" t="s">
        <v>6705</v>
      </c>
      <c r="Y38" s="117"/>
      <c r="Z38" s="233"/>
      <c r="AB38" s="64"/>
      <c r="AC38" s="235"/>
      <c r="AD38" s="117"/>
      <c r="AE38" s="57"/>
      <c r="AF38" s="201"/>
      <c r="AH38" s="117"/>
      <c r="AI38" s="233"/>
      <c r="AK38" s="64"/>
      <c r="AL38" s="235"/>
      <c r="AM38" s="117"/>
      <c r="AN38" s="57"/>
      <c r="AO38" s="201"/>
      <c r="AQ38" s="117">
        <f t="shared" si="9"/>
        <v>0</v>
      </c>
      <c r="AR38" s="233">
        <f t="shared" si="10"/>
        <v>0</v>
      </c>
      <c r="AS38" s="6">
        <f t="shared" si="11"/>
        <v>0</v>
      </c>
      <c r="AT38" s="476"/>
      <c r="AU38" s="235"/>
      <c r="AV38" s="117"/>
      <c r="AW38" s="57"/>
      <c r="AX38" s="201"/>
      <c r="AZ38" s="26"/>
      <c r="BB38" s="235"/>
      <c r="BC38" s="117"/>
      <c r="BD38" s="57"/>
      <c r="BE38" s="201"/>
      <c r="BG38" s="26"/>
    </row>
    <row r="39" spans="1:59" x14ac:dyDescent="0.35">
      <c r="A39" s="9168"/>
      <c r="B39" s="241"/>
      <c r="C39" s="238" t="s">
        <v>11</v>
      </c>
      <c r="D39" s="60"/>
      <c r="F39" s="163"/>
      <c r="H39" s="242"/>
      <c r="I39" s="243"/>
      <c r="J39" s="64">
        <f>IF(H39=0,0,I39/H39)</f>
        <v>0</v>
      </c>
      <c r="L39" s="242"/>
      <c r="M39" s="157">
        <f>L39*J39</f>
        <v>0</v>
      </c>
      <c r="O39" s="242">
        <f>78832898+211389400</f>
        <v>290222298</v>
      </c>
      <c r="P39" s="233">
        <f>(57311984+132371575)*12/9</f>
        <v>252911412</v>
      </c>
      <c r="Q39" s="106" t="s">
        <v>6706</v>
      </c>
      <c r="R39" s="64">
        <f>P39/O39</f>
        <v>0.8714403191721678</v>
      </c>
      <c r="S39" s="235"/>
      <c r="T39" s="242">
        <f>61425000+221610000</f>
        <v>283035000</v>
      </c>
      <c r="U39" s="57" t="s">
        <v>6707</v>
      </c>
      <c r="V39" s="239">
        <f>(229056942*12/10)*T39/(T39+T40)</f>
        <v>252880293.5031091</v>
      </c>
      <c r="W39" s="66"/>
      <c r="Y39" s="242">
        <f>61425000+221610000</f>
        <v>283035000</v>
      </c>
      <c r="Z39" s="233">
        <v>273850823</v>
      </c>
      <c r="AA39" s="57" t="s">
        <v>6697</v>
      </c>
      <c r="AB39" s="64">
        <f>Z39/Y39</f>
        <v>0.96755109085448798</v>
      </c>
      <c r="AC39" s="235"/>
      <c r="AD39" s="242">
        <v>241174000</v>
      </c>
      <c r="AE39" s="57" t="s">
        <v>6708</v>
      </c>
      <c r="AF39" s="244">
        <f>197321211*12/9</f>
        <v>263094948</v>
      </c>
      <c r="AH39" s="242">
        <v>241174000</v>
      </c>
      <c r="AI39" s="233">
        <f>197321211*12/9</f>
        <v>263094948</v>
      </c>
      <c r="AJ39" s="57" t="s">
        <v>6709</v>
      </c>
      <c r="AK39" s="64">
        <f>AI39/AH39</f>
        <v>1.0908926667053662</v>
      </c>
      <c r="AL39" s="235"/>
      <c r="AM39" s="242">
        <v>273839000</v>
      </c>
      <c r="AN39" s="57" t="s">
        <v>6710</v>
      </c>
      <c r="AO39" s="244">
        <f>206876278*12/9</f>
        <v>275835037.33333331</v>
      </c>
      <c r="AQ39" s="242">
        <f t="shared" si="9"/>
        <v>273839000</v>
      </c>
      <c r="AR39" s="233">
        <f t="shared" si="10"/>
        <v>275835037.33333331</v>
      </c>
      <c r="AS39" s="57" t="str">
        <f t="shared" si="11"/>
        <v>page 180</v>
      </c>
      <c r="AT39" s="476">
        <f>AR39/AQ39</f>
        <v>1.0072890907917913</v>
      </c>
      <c r="AU39" s="235"/>
      <c r="AV39" s="242">
        <f>531926000-AV40</f>
        <v>441628000</v>
      </c>
      <c r="AW39" s="57" t="s">
        <v>6711</v>
      </c>
      <c r="AX39" s="244">
        <f>389659689*12/9-AX40</f>
        <v>467567728</v>
      </c>
      <c r="AZ39" s="26" t="s">
        <v>6712</v>
      </c>
      <c r="BB39" s="235"/>
      <c r="BC39" s="242">
        <v>2392798000</v>
      </c>
      <c r="BD39" s="57" t="s">
        <v>6713</v>
      </c>
      <c r="BE39" s="244">
        <f>1846757864*12/9</f>
        <v>2462343818.6666665</v>
      </c>
      <c r="BG39" s="26"/>
    </row>
    <row r="40" spans="1:59" x14ac:dyDescent="0.35">
      <c r="A40" s="9168"/>
      <c r="B40" s="241"/>
      <c r="C40" s="238" t="s">
        <v>1116</v>
      </c>
      <c r="D40" s="60"/>
      <c r="F40" s="163"/>
      <c r="H40" s="242"/>
      <c r="I40" s="243"/>
      <c r="J40" s="64">
        <f>IF(H40=0,0,I40/H40)</f>
        <v>0</v>
      </c>
      <c r="L40" s="242"/>
      <c r="M40" s="157">
        <f>L40*J40</f>
        <v>0</v>
      </c>
      <c r="O40" s="242">
        <v>26520000</v>
      </c>
      <c r="P40" s="201">
        <f>3099377*12/9</f>
        <v>4132502.6666666665</v>
      </c>
      <c r="Q40" s="106"/>
      <c r="R40" s="64">
        <f>P40/O40</f>
        <v>0.15582589240824535</v>
      </c>
      <c r="S40" s="235"/>
      <c r="T40" s="242">
        <v>24610000</v>
      </c>
      <c r="U40" s="106"/>
      <c r="V40" s="239">
        <f>(229056942*12/10)*T40/(T39+T40)</f>
        <v>21988036.896890894</v>
      </c>
      <c r="W40" s="66"/>
      <c r="Y40" s="242">
        <v>24610000</v>
      </c>
      <c r="Z40" s="201"/>
      <c r="AA40" s="106"/>
      <c r="AB40" s="64">
        <f>Z40/Y40</f>
        <v>0</v>
      </c>
      <c r="AC40" s="235"/>
      <c r="AD40" s="242">
        <v>23887000</v>
      </c>
      <c r="AE40" s="57" t="s">
        <v>6714</v>
      </c>
      <c r="AF40" s="244">
        <f>3937136*12/9</f>
        <v>5249514.666666667</v>
      </c>
      <c r="AH40" s="242">
        <v>23887000</v>
      </c>
      <c r="AI40" s="201">
        <f>3937136*12/9</f>
        <v>5249514.666666667</v>
      </c>
      <c r="AJ40" s="57" t="s">
        <v>6709</v>
      </c>
      <c r="AK40" s="64">
        <f>AI40/AH40</f>
        <v>0.21976450230948494</v>
      </c>
      <c r="AL40" s="235"/>
      <c r="AM40" s="242">
        <v>43115000</v>
      </c>
      <c r="AN40" s="57" t="s">
        <v>6710</v>
      </c>
      <c r="AO40" s="244">
        <f>23069530*12/9</f>
        <v>30759373.333333332</v>
      </c>
      <c r="AQ40" s="242">
        <f t="shared" si="9"/>
        <v>43115000</v>
      </c>
      <c r="AR40" s="201">
        <f t="shared" si="10"/>
        <v>30759373.333333332</v>
      </c>
      <c r="AS40" s="57" t="str">
        <f t="shared" si="11"/>
        <v>page 180</v>
      </c>
      <c r="AT40" s="476">
        <f>AR40/AQ40</f>
        <v>0.71342626309482393</v>
      </c>
      <c r="AU40" s="235"/>
      <c r="AV40" s="242">
        <v>90298000</v>
      </c>
      <c r="AW40" s="57" t="s">
        <v>6711</v>
      </c>
      <c r="AX40" s="244">
        <f>38983893*12/9</f>
        <v>51978524</v>
      </c>
      <c r="AZ40" s="26"/>
      <c r="BB40" s="235"/>
      <c r="BC40" s="242">
        <v>498091000</v>
      </c>
      <c r="BD40" s="57" t="s">
        <v>6715</v>
      </c>
      <c r="BE40" s="244">
        <f>141680106*12/9</f>
        <v>188906808</v>
      </c>
      <c r="BG40" s="26"/>
    </row>
    <row r="41" spans="1:59" x14ac:dyDescent="0.35">
      <c r="A41" s="9168"/>
      <c r="B41" s="141" t="s">
        <v>531</v>
      </c>
      <c r="C41"/>
      <c r="D41" s="60"/>
      <c r="E41" s="143"/>
      <c r="F41" s="168"/>
      <c r="G41" s="143"/>
      <c r="H41" s="245"/>
      <c r="I41" s="106"/>
      <c r="J41" s="246"/>
      <c r="K41" s="143"/>
      <c r="L41" s="245"/>
      <c r="M41" s="247"/>
      <c r="N41" s="143"/>
      <c r="O41" s="245"/>
      <c r="P41" s="106"/>
      <c r="Q41" s="106"/>
      <c r="R41" s="246"/>
      <c r="S41" s="143"/>
      <c r="T41" s="245"/>
      <c r="U41" s="106"/>
      <c r="V41" s="236"/>
      <c r="W41" s="66"/>
      <c r="X41" s="143"/>
      <c r="Y41" s="245"/>
      <c r="Z41" s="106"/>
      <c r="AA41" s="106"/>
      <c r="AB41" s="246"/>
      <c r="AC41" s="143"/>
      <c r="AD41" s="245"/>
      <c r="AE41" s="106"/>
      <c r="AF41" s="106"/>
      <c r="AG41" s="143"/>
      <c r="AH41" s="245"/>
      <c r="AI41" s="106"/>
      <c r="AJ41" s="106"/>
      <c r="AK41" s="246"/>
      <c r="AL41" s="143"/>
      <c r="AM41" s="245"/>
      <c r="AN41" s="106"/>
      <c r="AO41" s="106"/>
      <c r="AP41" s="143"/>
      <c r="AQ41" s="245"/>
      <c r="AR41" s="106"/>
      <c r="AS41" s="106"/>
      <c r="AT41" s="246"/>
      <c r="AU41" s="143"/>
      <c r="AV41" s="245"/>
      <c r="AW41" s="106"/>
      <c r="AX41" s="106"/>
      <c r="AY41" s="143"/>
      <c r="AZ41" s="26"/>
      <c r="BB41" s="143"/>
      <c r="BC41" s="245"/>
      <c r="BD41" s="106"/>
      <c r="BE41" s="106"/>
      <c r="BF41" s="143"/>
      <c r="BG41" s="26"/>
    </row>
    <row r="42" spans="1:59" x14ac:dyDescent="0.35">
      <c r="A42" s="9168"/>
      <c r="B42" s="232"/>
      <c r="C42" s="232" t="s">
        <v>5892</v>
      </c>
      <c r="D42" s="60">
        <v>3</v>
      </c>
      <c r="F42" s="111">
        <v>3535559</v>
      </c>
      <c r="H42" s="112">
        <v>0</v>
      </c>
      <c r="I42" s="113">
        <v>0</v>
      </c>
      <c r="J42" s="64">
        <f>IF(H42=0,0,I42/H42)</f>
        <v>0</v>
      </c>
      <c r="L42" s="112">
        <v>0</v>
      </c>
      <c r="M42" s="157">
        <f>L42*J42</f>
        <v>0</v>
      </c>
      <c r="O42" s="248"/>
      <c r="P42" s="233"/>
      <c r="Q42" s="106"/>
      <c r="R42" s="64"/>
      <c r="T42" s="112"/>
      <c r="U42" s="106"/>
      <c r="V42" s="106"/>
      <c r="W42" s="168"/>
      <c r="Y42" s="248"/>
      <c r="Z42" s="233"/>
      <c r="AA42" s="106"/>
      <c r="AB42" s="64"/>
      <c r="AD42" s="112"/>
      <c r="AE42" s="106"/>
      <c r="AF42" s="233"/>
      <c r="AH42" s="112"/>
      <c r="AI42" s="233"/>
      <c r="AJ42" s="106"/>
      <c r="AK42" s="64"/>
      <c r="AM42" s="112"/>
      <c r="AN42" s="106"/>
      <c r="AO42" s="233"/>
      <c r="AQ42" s="112"/>
      <c r="AR42" s="233"/>
      <c r="AS42" s="106"/>
      <c r="AT42" s="476"/>
      <c r="AV42" s="112"/>
      <c r="AW42" s="106"/>
      <c r="AX42" s="233"/>
      <c r="AZ42" s="26" t="s">
        <v>6716</v>
      </c>
      <c r="BC42" s="112"/>
      <c r="BD42" s="106"/>
      <c r="BE42" s="233"/>
      <c r="BG42" s="26"/>
    </row>
    <row r="43" spans="1:59" x14ac:dyDescent="0.35">
      <c r="A43" s="9168"/>
      <c r="B43" s="232"/>
      <c r="C43" s="238" t="s">
        <v>11</v>
      </c>
      <c r="D43" s="60"/>
      <c r="F43" s="111"/>
      <c r="H43" s="112"/>
      <c r="I43" s="113"/>
      <c r="J43" s="64"/>
      <c r="L43" s="112"/>
      <c r="M43" s="157"/>
      <c r="O43" s="248"/>
      <c r="P43" s="233"/>
      <c r="Q43" s="106"/>
      <c r="R43" s="64"/>
      <c r="T43" s="112"/>
      <c r="U43" s="106"/>
      <c r="V43" s="106"/>
      <c r="W43" s="168"/>
      <c r="Y43" s="248"/>
      <c r="Z43" s="233"/>
      <c r="AA43" s="106"/>
      <c r="AB43" s="64"/>
      <c r="AD43" s="112"/>
      <c r="AE43" s="106"/>
      <c r="AF43" s="233"/>
      <c r="AH43" s="112"/>
      <c r="AI43" s="233"/>
      <c r="AJ43" s="106"/>
      <c r="AK43" s="64"/>
      <c r="AM43" s="112"/>
      <c r="AN43" s="106"/>
      <c r="AO43" s="233"/>
      <c r="AQ43" s="112"/>
      <c r="AR43" s="233"/>
      <c r="AS43" s="106"/>
      <c r="AT43" s="476"/>
      <c r="AV43" s="112"/>
      <c r="AW43" s="106"/>
      <c r="AX43" s="233"/>
      <c r="AZ43" s="26"/>
      <c r="BC43" s="112"/>
      <c r="BD43" s="106"/>
      <c r="BE43" s="233"/>
      <c r="BG43" s="26"/>
    </row>
    <row r="44" spans="1:59" x14ac:dyDescent="0.35">
      <c r="A44" s="9168"/>
      <c r="B44" s="232"/>
      <c r="C44" s="238" t="s">
        <v>1116</v>
      </c>
      <c r="D44" s="60"/>
      <c r="F44" s="111"/>
      <c r="H44" s="112"/>
      <c r="I44" s="113"/>
      <c r="J44" s="64"/>
      <c r="L44" s="112"/>
      <c r="M44" s="157"/>
      <c r="O44" s="248"/>
      <c r="P44" s="233"/>
      <c r="Q44" s="106"/>
      <c r="R44" s="64"/>
      <c r="T44" s="112"/>
      <c r="U44" s="106"/>
      <c r="V44" s="106"/>
      <c r="W44" s="168"/>
      <c r="Y44" s="248"/>
      <c r="Z44" s="233"/>
      <c r="AA44" s="106"/>
      <c r="AB44" s="64"/>
      <c r="AD44" s="112"/>
      <c r="AE44" s="106"/>
      <c r="AF44" s="233"/>
      <c r="AH44" s="112"/>
      <c r="AI44" s="233"/>
      <c r="AJ44" s="106"/>
      <c r="AK44" s="64"/>
      <c r="AM44" s="112"/>
      <c r="AN44" s="106"/>
      <c r="AO44" s="233"/>
      <c r="AQ44" s="112"/>
      <c r="AR44" s="233"/>
      <c r="AS44" s="106"/>
      <c r="AT44" s="476"/>
      <c r="AV44" s="112"/>
      <c r="AW44" s="106"/>
      <c r="AX44" s="233"/>
      <c r="AZ44" s="26"/>
      <c r="BC44" s="112"/>
      <c r="BD44" s="106"/>
      <c r="BE44" s="233"/>
      <c r="BG44" s="26"/>
    </row>
    <row r="45" spans="1:59" x14ac:dyDescent="0.35">
      <c r="A45" s="9168"/>
      <c r="B45" s="240"/>
      <c r="C45" s="240" t="s">
        <v>548</v>
      </c>
      <c r="D45" s="60">
        <v>4</v>
      </c>
      <c r="F45" s="155">
        <v>797867</v>
      </c>
      <c r="H45" s="117">
        <v>0</v>
      </c>
      <c r="I45" s="115">
        <v>0</v>
      </c>
      <c r="J45" s="64">
        <f>IF(H45=0,0,I45/H45)</f>
        <v>0</v>
      </c>
      <c r="L45" s="117">
        <v>0</v>
      </c>
      <c r="M45" s="157">
        <f>L45*J45</f>
        <v>0</v>
      </c>
      <c r="O45" s="248"/>
      <c r="P45" s="233"/>
      <c r="Q45" s="106"/>
      <c r="R45" s="64"/>
      <c r="T45" s="112"/>
      <c r="U45" s="106"/>
      <c r="V45" s="106"/>
      <c r="W45" s="168"/>
      <c r="Y45" s="248"/>
      <c r="Z45" s="233"/>
      <c r="AA45" s="106"/>
      <c r="AB45" s="64"/>
      <c r="AD45" s="112"/>
      <c r="AE45" s="106"/>
      <c r="AF45" s="233"/>
      <c r="AH45" s="112"/>
      <c r="AI45" s="233"/>
      <c r="AJ45" s="106"/>
      <c r="AK45" s="64"/>
      <c r="AM45" s="112"/>
      <c r="AN45" s="106"/>
      <c r="AO45" s="233"/>
      <c r="AQ45" s="112"/>
      <c r="AR45" s="233"/>
      <c r="AS45" s="106"/>
      <c r="AT45" s="476"/>
      <c r="AV45" s="112"/>
      <c r="AW45" s="106"/>
      <c r="AX45" s="233"/>
      <c r="AZ45" s="26" t="s">
        <v>6717</v>
      </c>
      <c r="BC45" s="112"/>
      <c r="BD45" s="106"/>
      <c r="BE45" s="233"/>
      <c r="BG45" s="26"/>
    </row>
    <row r="46" spans="1:59" x14ac:dyDescent="0.35">
      <c r="A46" s="9168"/>
      <c r="B46" s="241"/>
      <c r="C46" s="249" t="s">
        <v>11</v>
      </c>
      <c r="D46" s="60"/>
      <c r="F46" s="163"/>
      <c r="H46" s="242"/>
      <c r="I46" s="243"/>
      <c r="J46" s="64"/>
      <c r="L46" s="242"/>
      <c r="M46" s="157"/>
      <c r="O46" s="200"/>
      <c r="P46" s="201"/>
      <c r="Q46" s="106"/>
      <c r="R46" s="64"/>
      <c r="T46" s="117"/>
      <c r="U46" s="106"/>
      <c r="V46" s="106"/>
      <c r="W46" s="168"/>
      <c r="Y46" s="200"/>
      <c r="Z46" s="201"/>
      <c r="AA46" s="106"/>
      <c r="AB46" s="64"/>
      <c r="AD46" s="117"/>
      <c r="AE46" s="106"/>
      <c r="AF46" s="201"/>
      <c r="AH46" s="117"/>
      <c r="AI46" s="201"/>
      <c r="AJ46" s="106"/>
      <c r="AK46" s="64"/>
      <c r="AM46" s="117"/>
      <c r="AN46" s="106"/>
      <c r="AO46" s="201"/>
      <c r="AQ46" s="117"/>
      <c r="AR46" s="201"/>
      <c r="AS46" s="106"/>
      <c r="AT46" s="476"/>
      <c r="AV46" s="117"/>
      <c r="AW46" s="106"/>
      <c r="AX46" s="201"/>
      <c r="AZ46" s="26"/>
      <c r="BC46" s="117"/>
      <c r="BD46" s="106"/>
      <c r="BE46" s="201"/>
      <c r="BG46" s="26"/>
    </row>
    <row r="47" spans="1:59" x14ac:dyDescent="0.35">
      <c r="A47" s="9168"/>
      <c r="B47" s="250"/>
      <c r="C47" s="251" t="s">
        <v>1116</v>
      </c>
      <c r="D47" s="87"/>
      <c r="F47" s="130"/>
      <c r="H47" s="242"/>
      <c r="I47" s="243"/>
      <c r="J47" s="64">
        <f>IF(H47=0,0,I47/H47)</f>
        <v>0</v>
      </c>
      <c r="L47" s="131"/>
      <c r="M47" s="213">
        <f>L47*J47</f>
        <v>0</v>
      </c>
      <c r="O47" s="164"/>
      <c r="P47" s="215"/>
      <c r="Q47" s="216"/>
      <c r="R47" s="64"/>
      <c r="T47" s="131"/>
      <c r="U47" s="216"/>
      <c r="V47" s="216"/>
      <c r="W47" s="218"/>
      <c r="Y47" s="164"/>
      <c r="Z47" s="215"/>
      <c r="AA47" s="216"/>
      <c r="AB47" s="64"/>
      <c r="AD47" s="131"/>
      <c r="AE47" s="216"/>
      <c r="AF47" s="215"/>
      <c r="AH47" s="131"/>
      <c r="AI47" s="215"/>
      <c r="AJ47" s="216"/>
      <c r="AK47" s="64"/>
      <c r="AM47" s="131"/>
      <c r="AN47" s="216"/>
      <c r="AO47" s="215"/>
      <c r="AQ47" s="131"/>
      <c r="AR47" s="215"/>
      <c r="AS47" s="216"/>
      <c r="AT47" s="476"/>
      <c r="AV47" s="131"/>
      <c r="AW47" s="216"/>
      <c r="AX47" s="215"/>
      <c r="AZ47" s="24"/>
      <c r="BC47" s="131"/>
      <c r="BD47" s="216"/>
      <c r="BE47" s="215"/>
      <c r="BG47" s="24"/>
    </row>
    <row r="48" spans="1:59" x14ac:dyDescent="0.35">
      <c r="A48" s="9168"/>
      <c r="B48" s="141" t="s">
        <v>535</v>
      </c>
      <c r="C48" s="141"/>
      <c r="D48" s="60"/>
      <c r="E48" s="143"/>
      <c r="F48" s="227"/>
      <c r="G48" s="143"/>
      <c r="H48" s="102"/>
      <c r="I48" s="103"/>
      <c r="J48" s="252"/>
      <c r="K48" s="143"/>
      <c r="L48" s="245"/>
      <c r="M48" s="247"/>
      <c r="N48" s="143"/>
      <c r="O48" s="102"/>
      <c r="P48" s="103"/>
      <c r="Q48" s="53"/>
      <c r="R48" s="252"/>
      <c r="S48" s="143"/>
      <c r="T48" s="245"/>
      <c r="U48" s="53"/>
      <c r="V48" s="53"/>
      <c r="W48" s="55"/>
      <c r="X48" s="143"/>
      <c r="Y48" s="102" t="s">
        <v>6718</v>
      </c>
      <c r="Z48" s="103"/>
      <c r="AA48" s="53"/>
      <c r="AB48" s="252"/>
      <c r="AC48" s="143"/>
      <c r="AD48" s="245"/>
      <c r="AE48" s="231" t="s">
        <v>6692</v>
      </c>
      <c r="AF48" s="106"/>
      <c r="AG48" s="143"/>
      <c r="AH48" s="245"/>
      <c r="AI48" s="103"/>
      <c r="AJ48" s="53"/>
      <c r="AK48" s="252"/>
      <c r="AL48" s="143"/>
      <c r="AM48" s="245"/>
      <c r="AN48" s="231" t="s">
        <v>6693</v>
      </c>
      <c r="AO48" s="106"/>
      <c r="AP48" s="143"/>
      <c r="AQ48" s="245"/>
      <c r="AR48" s="103"/>
      <c r="AS48" s="53"/>
      <c r="AT48" s="516"/>
      <c r="AU48" s="143"/>
      <c r="AV48" s="245"/>
      <c r="AW48" s="231" t="s">
        <v>6693</v>
      </c>
      <c r="AX48" s="106"/>
      <c r="AY48" s="143"/>
      <c r="AZ48" s="26"/>
      <c r="BB48" s="143"/>
      <c r="BC48" s="245"/>
      <c r="BD48" s="231"/>
      <c r="BE48" s="106"/>
      <c r="BF48" s="143"/>
      <c r="BG48" s="26"/>
    </row>
    <row r="49" spans="1:59" ht="14.5" customHeight="1" x14ac:dyDescent="0.35">
      <c r="A49" s="9168"/>
      <c r="B49" s="232"/>
      <c r="C49" s="232" t="s">
        <v>5893</v>
      </c>
      <c r="D49" s="60">
        <v>5</v>
      </c>
      <c r="F49" s="111">
        <v>1170213.8181818181</v>
      </c>
      <c r="H49" s="112">
        <f>2500000+300000</f>
        <v>2800000</v>
      </c>
      <c r="I49" s="113">
        <f>864731*12/10</f>
        <v>1037677.2</v>
      </c>
      <c r="J49" s="64">
        <f>IF(H49=0,0,I49/H49)</f>
        <v>0.37059899999999996</v>
      </c>
      <c r="L49" s="112">
        <v>1000000</v>
      </c>
      <c r="M49" s="157">
        <f>L49*J49</f>
        <v>370598.99999999994</v>
      </c>
      <c r="O49" s="117">
        <v>1200000</v>
      </c>
      <c r="P49" s="233">
        <f>865526*12/9</f>
        <v>1154034.6666666667</v>
      </c>
      <c r="Q49" s="106" t="s">
        <v>6719</v>
      </c>
      <c r="R49" s="64">
        <f>P49/O49</f>
        <v>0.96169555555555564</v>
      </c>
      <c r="T49" s="112">
        <v>1200000</v>
      </c>
      <c r="U49" s="106"/>
      <c r="V49" s="106">
        <f>T49*R49</f>
        <v>1154034.6666666667</v>
      </c>
      <c r="W49" s="168"/>
      <c r="Y49" s="117">
        <v>1200000</v>
      </c>
      <c r="Z49" s="233">
        <f>865526*12/10</f>
        <v>1038631.2</v>
      </c>
      <c r="AA49" s="253" t="s">
        <v>6719</v>
      </c>
      <c r="AB49" s="64">
        <f>Z49/Y49</f>
        <v>0.86552599999999991</v>
      </c>
      <c r="AD49" s="112">
        <v>1200000</v>
      </c>
      <c r="AE49" s="254" t="s">
        <v>6720</v>
      </c>
      <c r="AF49" s="233">
        <f>1160011*12/9</f>
        <v>1546681.3333333333</v>
      </c>
      <c r="AH49" s="112">
        <v>1200000</v>
      </c>
      <c r="AI49" s="255">
        <f>AF49</f>
        <v>1546681.3333333333</v>
      </c>
      <c r="AJ49" s="253" t="s">
        <v>6719</v>
      </c>
      <c r="AK49" s="64">
        <f>AI49/AH49</f>
        <v>1.2889011111111111</v>
      </c>
      <c r="AM49" s="256">
        <f>AH49</f>
        <v>1200000</v>
      </c>
      <c r="AN49" s="254"/>
      <c r="AO49" s="255">
        <f>AI49</f>
        <v>1546681.3333333333</v>
      </c>
      <c r="AQ49" s="112">
        <f t="shared" ref="AQ49:AQ56" si="12">AM49</f>
        <v>1200000</v>
      </c>
      <c r="AR49" s="255">
        <f t="shared" ref="AR49:AR56" si="13">AO49</f>
        <v>1546681.3333333333</v>
      </c>
      <c r="AS49" s="253">
        <f t="shared" ref="AS49:AS56" si="14">AN49</f>
        <v>0</v>
      </c>
      <c r="AT49" s="476">
        <f>AR49/AQ49</f>
        <v>1.2889011111111111</v>
      </c>
      <c r="AV49" s="256">
        <f>AQ49</f>
        <v>1200000</v>
      </c>
      <c r="AW49" s="254"/>
      <c r="AX49" s="255">
        <f>AR49</f>
        <v>1546681.3333333333</v>
      </c>
      <c r="AZ49" s="257" t="s">
        <v>6721</v>
      </c>
      <c r="BC49" s="112"/>
      <c r="BD49" s="8249"/>
      <c r="BE49" s="233"/>
      <c r="BG49" s="257"/>
    </row>
    <row r="50" spans="1:59" ht="14.5" customHeight="1" x14ac:dyDescent="0.35">
      <c r="A50" s="9168"/>
      <c r="B50" s="232"/>
      <c r="C50" s="238" t="s">
        <v>933</v>
      </c>
      <c r="D50" s="60"/>
      <c r="F50" s="111"/>
      <c r="H50" s="112"/>
      <c r="I50" s="113"/>
      <c r="J50" s="64"/>
      <c r="L50" s="112"/>
      <c r="M50" s="157"/>
      <c r="O50" s="117"/>
      <c r="P50" s="201"/>
      <c r="Q50" s="57"/>
      <c r="R50" s="64"/>
      <c r="T50" s="112"/>
      <c r="U50" s="57"/>
      <c r="V50" s="57"/>
      <c r="W50" s="55"/>
      <c r="Y50" s="117"/>
      <c r="Z50" s="201"/>
      <c r="AA50" s="253"/>
      <c r="AB50" s="64"/>
      <c r="AD50" s="112"/>
      <c r="AE50" s="57"/>
      <c r="AF50" s="233"/>
      <c r="AH50" s="112"/>
      <c r="AI50" s="201"/>
      <c r="AJ50" s="253"/>
      <c r="AK50" s="64"/>
      <c r="AM50" s="112"/>
      <c r="AN50" s="57"/>
      <c r="AO50" s="233"/>
      <c r="AQ50" s="112">
        <f t="shared" si="12"/>
        <v>0</v>
      </c>
      <c r="AR50" s="201">
        <f t="shared" si="13"/>
        <v>0</v>
      </c>
      <c r="AS50" s="253">
        <f t="shared" si="14"/>
        <v>0</v>
      </c>
      <c r="AT50" s="476"/>
      <c r="AV50" s="112"/>
      <c r="AW50" s="57"/>
      <c r="AX50" s="233"/>
      <c r="AZ50" s="257"/>
      <c r="BC50" s="112"/>
      <c r="BD50" s="57"/>
      <c r="BE50" s="233"/>
      <c r="BG50" s="257"/>
    </row>
    <row r="51" spans="1:59" x14ac:dyDescent="0.35">
      <c r="A51" s="9168"/>
      <c r="B51" s="240"/>
      <c r="C51" s="240" t="s">
        <v>5894</v>
      </c>
      <c r="D51" s="60">
        <v>6</v>
      </c>
      <c r="F51" s="155">
        <v>1377110.1818181819</v>
      </c>
      <c r="H51" s="117">
        <v>2525000</v>
      </c>
      <c r="I51" s="115">
        <f>318712*12/10</f>
        <v>382454.4</v>
      </c>
      <c r="J51" s="64">
        <f>IF(H51=0,0,I51/H51)</f>
        <v>0.15146708910891091</v>
      </c>
      <c r="L51" s="117">
        <v>881000</v>
      </c>
      <c r="M51" s="157">
        <f>L51*J51</f>
        <v>133442.5055049505</v>
      </c>
      <c r="O51" s="117">
        <v>578000</v>
      </c>
      <c r="P51" s="201">
        <f>120772*12/9</f>
        <v>161029.33333333334</v>
      </c>
      <c r="Q51" s="106" t="s">
        <v>6722</v>
      </c>
      <c r="R51" s="64">
        <f>P51/O51</f>
        <v>0.27859746251441753</v>
      </c>
      <c r="T51" s="112">
        <v>503000</v>
      </c>
      <c r="U51" s="106"/>
      <c r="V51" s="106">
        <f>T51*R51</f>
        <v>140134.52364475201</v>
      </c>
      <c r="W51" s="168"/>
      <c r="Y51" s="117">
        <v>578000</v>
      </c>
      <c r="Z51" s="201">
        <f>120772*12/10</f>
        <v>144926.39999999999</v>
      </c>
      <c r="AA51" s="253" t="s">
        <v>6722</v>
      </c>
      <c r="AB51" s="64">
        <f>Z51/Y51</f>
        <v>0.25073771626297575</v>
      </c>
      <c r="AD51" s="112">
        <v>1228000</v>
      </c>
      <c r="AE51" s="254" t="s">
        <v>6723</v>
      </c>
      <c r="AF51" s="233">
        <f>567195*12/9</f>
        <v>756260</v>
      </c>
      <c r="AH51" s="112">
        <v>1228000</v>
      </c>
      <c r="AI51" s="201">
        <f>567195*12/9</f>
        <v>756260</v>
      </c>
      <c r="AJ51" s="253" t="s">
        <v>6724</v>
      </c>
      <c r="AK51" s="64">
        <f>AI51/AH51</f>
        <v>0.61584690553745924</v>
      </c>
      <c r="AM51" s="112">
        <v>4135000</v>
      </c>
      <c r="AN51" s="254" t="s">
        <v>6725</v>
      </c>
      <c r="AO51" s="233">
        <f>1843759*12/3</f>
        <v>7375036</v>
      </c>
      <c r="AQ51" s="112">
        <f t="shared" si="12"/>
        <v>4135000</v>
      </c>
      <c r="AR51" s="201">
        <f t="shared" si="13"/>
        <v>7375036</v>
      </c>
      <c r="AS51" s="253" t="str">
        <f t="shared" si="14"/>
        <v>page 72</v>
      </c>
      <c r="AT51" s="476">
        <f>AR51/AQ51</f>
        <v>1.7835637243047158</v>
      </c>
      <c r="AV51" s="112">
        <f>22632000-AV52</f>
        <v>21059000</v>
      </c>
      <c r="AW51" s="254" t="s">
        <v>6726</v>
      </c>
      <c r="AX51" s="233">
        <f>5957772*12/9-AX52</f>
        <v>7902034.666666667</v>
      </c>
      <c r="AZ51" s="26" t="s">
        <v>6727</v>
      </c>
      <c r="BC51" s="112">
        <f>58622000-BC52</f>
        <v>44927000</v>
      </c>
      <c r="BD51" s="254" t="s">
        <v>6728</v>
      </c>
      <c r="BE51" s="233">
        <f>84260701*12/9</f>
        <v>112347601.33333333</v>
      </c>
      <c r="BG51" s="26" t="s">
        <v>6729</v>
      </c>
    </row>
    <row r="52" spans="1:59" x14ac:dyDescent="0.35">
      <c r="A52" s="9168"/>
      <c r="B52" s="240"/>
      <c r="C52" s="238" t="s">
        <v>933</v>
      </c>
      <c r="D52" s="60"/>
      <c r="F52" s="155"/>
      <c r="H52" s="117"/>
      <c r="I52" s="115"/>
      <c r="J52" s="64"/>
      <c r="L52" s="117"/>
      <c r="M52" s="157"/>
      <c r="O52" s="117"/>
      <c r="P52" s="201"/>
      <c r="Q52" s="106"/>
      <c r="R52" s="64"/>
      <c r="T52" s="112"/>
      <c r="U52" s="106"/>
      <c r="V52" s="106"/>
      <c r="W52" s="168"/>
      <c r="Y52" s="117"/>
      <c r="Z52" s="201"/>
      <c r="AA52" s="253"/>
      <c r="AB52" s="64"/>
      <c r="AD52" s="112">
        <v>304000</v>
      </c>
      <c r="AE52" s="254" t="s">
        <v>6730</v>
      </c>
      <c r="AF52" s="233">
        <f>0</f>
        <v>0</v>
      </c>
      <c r="AH52" s="112">
        <v>304000</v>
      </c>
      <c r="AI52" s="201">
        <v>0</v>
      </c>
      <c r="AJ52" s="253"/>
      <c r="AK52" s="64"/>
      <c r="AM52" s="112">
        <v>810000</v>
      </c>
      <c r="AN52" s="254" t="s">
        <v>6725</v>
      </c>
      <c r="AO52" s="233">
        <f>160642*12/9</f>
        <v>214189.33333333334</v>
      </c>
      <c r="AQ52" s="112">
        <f t="shared" si="12"/>
        <v>810000</v>
      </c>
      <c r="AR52" s="201">
        <f t="shared" si="13"/>
        <v>214189.33333333334</v>
      </c>
      <c r="AS52" s="253" t="str">
        <f t="shared" si="14"/>
        <v>page 72</v>
      </c>
      <c r="AT52" s="476"/>
      <c r="AV52" s="112">
        <v>1573000</v>
      </c>
      <c r="AW52" s="254" t="s">
        <v>6731</v>
      </c>
      <c r="AX52" s="233">
        <f>31246*12/9</f>
        <v>41661.333333333336</v>
      </c>
      <c r="AZ52" s="26"/>
      <c r="BC52" s="112">
        <v>13695000</v>
      </c>
      <c r="BD52" s="254"/>
      <c r="BE52" s="233">
        <v>0</v>
      </c>
      <c r="BG52" s="26"/>
    </row>
    <row r="53" spans="1:59" x14ac:dyDescent="0.35">
      <c r="A53" s="9168"/>
      <c r="B53" s="240"/>
      <c r="C53" s="240" t="s">
        <v>5895</v>
      </c>
      <c r="D53" s="60">
        <v>7</v>
      </c>
      <c r="F53" s="155">
        <v>0</v>
      </c>
      <c r="H53" s="117">
        <v>959000</v>
      </c>
      <c r="I53" s="115">
        <f>270707*12/10</f>
        <v>324848.40000000002</v>
      </c>
      <c r="J53" s="64">
        <f>IF(H53=0,0,I53/H53)</f>
        <v>0.33873660062565175</v>
      </c>
      <c r="L53" s="117">
        <v>605000</v>
      </c>
      <c r="M53" s="157">
        <f>L53*J53</f>
        <v>204935.64337851931</v>
      </c>
      <c r="O53" s="117">
        <v>81000</v>
      </c>
      <c r="P53" s="244">
        <f>78957*12/9</f>
        <v>105276</v>
      </c>
      <c r="Q53" s="106"/>
      <c r="R53" s="64">
        <f>P53/O53</f>
        <v>1.2997037037037038</v>
      </c>
      <c r="T53" s="112">
        <v>0</v>
      </c>
      <c r="U53" s="106"/>
      <c r="V53" s="106">
        <f>T53*R53</f>
        <v>0</v>
      </c>
      <c r="W53" s="168"/>
      <c r="Y53" s="117">
        <v>81000</v>
      </c>
      <c r="Z53" s="244">
        <f>78957*12/10</f>
        <v>94748.4</v>
      </c>
      <c r="AA53" s="253" t="s">
        <v>6732</v>
      </c>
      <c r="AB53" s="64">
        <f>Z53/Y53</f>
        <v>1.1697333333333333</v>
      </c>
      <c r="AD53" s="112">
        <v>0</v>
      </c>
      <c r="AE53" s="106"/>
      <c r="AF53" s="233">
        <v>0</v>
      </c>
      <c r="AH53" s="112">
        <v>0</v>
      </c>
      <c r="AI53" s="244"/>
      <c r="AJ53" s="253" t="s">
        <v>6732</v>
      </c>
      <c r="AK53" s="64" t="e">
        <f>AI53/AH53</f>
        <v>#DIV/0!</v>
      </c>
      <c r="AM53" s="112"/>
      <c r="AN53" s="106"/>
      <c r="AO53" s="233"/>
      <c r="AQ53" s="112">
        <f t="shared" si="12"/>
        <v>0</v>
      </c>
      <c r="AR53" s="244">
        <f t="shared" si="13"/>
        <v>0</v>
      </c>
      <c r="AS53" s="253">
        <f t="shared" si="14"/>
        <v>0</v>
      </c>
      <c r="AT53" s="476" t="e">
        <f>AR53/AQ53</f>
        <v>#DIV/0!</v>
      </c>
      <c r="AV53" s="112"/>
      <c r="AW53" s="106"/>
      <c r="AX53" s="233"/>
      <c r="AZ53" s="26" t="s">
        <v>6733</v>
      </c>
      <c r="BC53" s="112">
        <v>30500000</v>
      </c>
      <c r="BD53" s="106" t="s">
        <v>6734</v>
      </c>
      <c r="BE53" s="233">
        <f>BC53*(BE17/BC17)</f>
        <v>41487293.438997865</v>
      </c>
      <c r="BG53" s="26" t="s">
        <v>6733</v>
      </c>
    </row>
    <row r="54" spans="1:59" x14ac:dyDescent="0.35">
      <c r="A54" s="9168"/>
      <c r="B54" s="240"/>
      <c r="C54" s="238" t="s">
        <v>933</v>
      </c>
      <c r="D54" s="60"/>
      <c r="F54" s="155"/>
      <c r="H54" s="117"/>
      <c r="I54" s="115"/>
      <c r="J54" s="64"/>
      <c r="L54" s="117"/>
      <c r="M54" s="157"/>
      <c r="O54" s="117">
        <v>300000</v>
      </c>
      <c r="P54" s="244">
        <v>0</v>
      </c>
      <c r="Q54" s="106"/>
      <c r="R54" s="64">
        <f>P54/O54</f>
        <v>0</v>
      </c>
      <c r="T54" s="112">
        <v>150000</v>
      </c>
      <c r="U54" s="106"/>
      <c r="V54" s="106">
        <f>T54*R54</f>
        <v>0</v>
      </c>
      <c r="W54" s="168"/>
      <c r="Y54" s="117">
        <v>300000</v>
      </c>
      <c r="Z54" s="244">
        <f>X54*V54</f>
        <v>0</v>
      </c>
      <c r="AA54" s="253" t="s">
        <v>6735</v>
      </c>
      <c r="AB54" s="64">
        <f>Z54/Y54</f>
        <v>0</v>
      </c>
      <c r="AD54" s="112">
        <v>150000</v>
      </c>
      <c r="AE54" s="254" t="s">
        <v>6736</v>
      </c>
      <c r="AF54" s="233">
        <v>0</v>
      </c>
      <c r="AH54" s="112">
        <v>150000</v>
      </c>
      <c r="AI54" s="244"/>
      <c r="AJ54" s="253" t="s">
        <v>6735</v>
      </c>
      <c r="AK54" s="64">
        <f>AI54/AH54</f>
        <v>0</v>
      </c>
      <c r="AM54" s="112"/>
      <c r="AN54" s="254"/>
      <c r="AO54" s="233"/>
      <c r="AQ54" s="112">
        <f t="shared" si="12"/>
        <v>0</v>
      </c>
      <c r="AR54" s="244">
        <f t="shared" si="13"/>
        <v>0</v>
      </c>
      <c r="AS54" s="253">
        <f t="shared" si="14"/>
        <v>0</v>
      </c>
      <c r="AT54" s="476" t="e">
        <f>AR54/AQ54</f>
        <v>#DIV/0!</v>
      </c>
      <c r="AV54" s="112"/>
      <c r="AW54" s="254"/>
      <c r="AX54" s="233"/>
      <c r="AZ54" s="26"/>
      <c r="BC54" s="112"/>
      <c r="BD54" s="254"/>
      <c r="BE54" s="233"/>
      <c r="BG54" s="26"/>
    </row>
    <row r="55" spans="1:59" x14ac:dyDescent="0.35">
      <c r="A55" s="9168"/>
      <c r="B55" s="240"/>
      <c r="C55" s="240" t="s">
        <v>5896</v>
      </c>
      <c r="D55" s="60">
        <v>8</v>
      </c>
      <c r="F55" s="155">
        <v>2217322.9090909092</v>
      </c>
      <c r="H55" s="117">
        <v>4450000</v>
      </c>
      <c r="I55" s="115">
        <f>2519365*12/10</f>
        <v>3023238</v>
      </c>
      <c r="J55" s="64">
        <f>IF(H55=0,0,I55/H55)</f>
        <v>0.67937932584269667</v>
      </c>
      <c r="L55" s="117">
        <v>3149000</v>
      </c>
      <c r="M55" s="157">
        <f>L55*J55</f>
        <v>2139365.497078652</v>
      </c>
      <c r="O55" s="117">
        <f>2724000+214000</f>
        <v>2938000</v>
      </c>
      <c r="P55" s="258">
        <f>2462525*12/9</f>
        <v>3283366.6666666665</v>
      </c>
      <c r="Q55" s="57"/>
      <c r="R55" s="64">
        <f>P55/O55</f>
        <v>1.1175516224188791</v>
      </c>
      <c r="T55" s="112">
        <f>2933000+318000+366000</f>
        <v>3617000</v>
      </c>
      <c r="U55" s="57"/>
      <c r="V55" s="259">
        <f>T55</f>
        <v>3617000</v>
      </c>
      <c r="W55" s="55"/>
      <c r="Y55" s="117">
        <f>2724000+214000</f>
        <v>2938000</v>
      </c>
      <c r="Z55" s="258">
        <f>2426525*12/10</f>
        <v>2911830</v>
      </c>
      <c r="AA55" s="253" t="s">
        <v>6737</v>
      </c>
      <c r="AB55" s="64">
        <f>Z55/Y55</f>
        <v>0.99109257998638534</v>
      </c>
      <c r="AD55" s="112">
        <f>3641279</f>
        <v>3641279</v>
      </c>
      <c r="AE55" s="254" t="s">
        <v>6738</v>
      </c>
      <c r="AF55" s="233">
        <f>2727494*12/9</f>
        <v>3636658.6666666665</v>
      </c>
      <c r="AH55" s="112">
        <f>3641279</f>
        <v>3641279</v>
      </c>
      <c r="AI55" s="258">
        <f>2727494*12/9</f>
        <v>3636658.6666666665</v>
      </c>
      <c r="AJ55" s="253" t="s">
        <v>6739</v>
      </c>
      <c r="AK55" s="64">
        <f>AI55/AH55</f>
        <v>0.99873112350541293</v>
      </c>
      <c r="AM55" s="112">
        <v>6666000</v>
      </c>
      <c r="AN55" s="254" t="s">
        <v>6108</v>
      </c>
      <c r="AO55" s="233">
        <f>3707519*12/9</f>
        <v>4943358.666666667</v>
      </c>
      <c r="AQ55" s="112">
        <f t="shared" si="12"/>
        <v>6666000</v>
      </c>
      <c r="AR55" s="258">
        <f t="shared" si="13"/>
        <v>4943358.666666667</v>
      </c>
      <c r="AS55" s="253" t="str">
        <f t="shared" si="14"/>
        <v>page 224</v>
      </c>
      <c r="AT55" s="476">
        <f>AR55/AQ55</f>
        <v>0.74157795779577962</v>
      </c>
      <c r="AV55" s="112">
        <f>25940000-AV56</f>
        <v>16940000</v>
      </c>
      <c r="AW55" s="254" t="s">
        <v>6740</v>
      </c>
      <c r="AX55" s="233">
        <f>10287695*12/9-AX56</f>
        <v>12955740</v>
      </c>
      <c r="AZ55" s="26" t="s">
        <v>6741</v>
      </c>
      <c r="BC55" s="112">
        <v>88837000</v>
      </c>
      <c r="BD55" s="254" t="s">
        <v>6742</v>
      </c>
      <c r="BE55" s="233">
        <f>66825271.1*12/9</f>
        <v>89100361.466666669</v>
      </c>
      <c r="BG55" s="26" t="s">
        <v>6743</v>
      </c>
    </row>
    <row r="56" spans="1:59" x14ac:dyDescent="0.35">
      <c r="A56" s="9168"/>
      <c r="B56" s="240"/>
      <c r="C56" s="238" t="s">
        <v>933</v>
      </c>
      <c r="D56" s="60"/>
      <c r="F56" s="155"/>
      <c r="H56" s="117"/>
      <c r="I56" s="115"/>
      <c r="J56" s="64">
        <f>IF(H56=0,0,I56/H56)</f>
        <v>0</v>
      </c>
      <c r="L56" s="117"/>
      <c r="M56" s="157">
        <f>L56*J56</f>
        <v>0</v>
      </c>
      <c r="O56" s="117">
        <v>70000</v>
      </c>
      <c r="P56" s="260">
        <v>0</v>
      </c>
      <c r="Q56"/>
      <c r="R56" s="64">
        <f>P56/O56</f>
        <v>0</v>
      </c>
      <c r="T56" s="112">
        <v>630000</v>
      </c>
      <c r="V56" s="106">
        <f>T56*R56</f>
        <v>0</v>
      </c>
      <c r="W56" s="26"/>
      <c r="Y56" s="117">
        <v>70000</v>
      </c>
      <c r="Z56" s="260">
        <v>0</v>
      </c>
      <c r="AA56" s="253" t="s">
        <v>6737</v>
      </c>
      <c r="AB56" s="64">
        <f>Z56/Y56</f>
        <v>0</v>
      </c>
      <c r="AD56" s="112">
        <v>630000</v>
      </c>
      <c r="AE56" s="254" t="s">
        <v>6738</v>
      </c>
      <c r="AF56" s="233">
        <f>194301*12/9</f>
        <v>259068</v>
      </c>
      <c r="AH56" s="112">
        <v>630000</v>
      </c>
      <c r="AI56" s="260">
        <f>194301*12/9</f>
        <v>259068</v>
      </c>
      <c r="AJ56" s="253" t="s">
        <v>6739</v>
      </c>
      <c r="AK56" s="64">
        <f>AI56/AH56</f>
        <v>0.4112190476190476</v>
      </c>
      <c r="AM56" s="112">
        <v>4771000</v>
      </c>
      <c r="AN56" s="254" t="s">
        <v>6108</v>
      </c>
      <c r="AO56" s="233">
        <f>282970*12/9</f>
        <v>377293.33333333331</v>
      </c>
      <c r="AQ56" s="112">
        <f t="shared" si="12"/>
        <v>4771000</v>
      </c>
      <c r="AR56" s="260">
        <f t="shared" si="13"/>
        <v>377293.33333333331</v>
      </c>
      <c r="AS56" s="253" t="str">
        <f t="shared" si="14"/>
        <v>page 224</v>
      </c>
      <c r="AT56" s="476">
        <f>AR56/AQ56</f>
        <v>7.9080556137776842E-2</v>
      </c>
      <c r="AV56" s="112">
        <v>9000000</v>
      </c>
      <c r="AW56" s="254" t="s">
        <v>6740</v>
      </c>
      <c r="AX56" s="233">
        <f>570890*12/9</f>
        <v>761186.66666666663</v>
      </c>
      <c r="AZ56" s="26"/>
      <c r="BC56" s="112"/>
      <c r="BD56" s="254"/>
      <c r="BE56" s="233"/>
      <c r="BG56" s="26"/>
    </row>
    <row r="57" spans="1:59" x14ac:dyDescent="0.35">
      <c r="A57" s="9168"/>
      <c r="B57" s="240"/>
      <c r="C57" s="240" t="s">
        <v>4295</v>
      </c>
      <c r="D57" s="60"/>
      <c r="F57" s="155"/>
      <c r="H57" s="117"/>
      <c r="I57" s="115"/>
      <c r="J57" s="64">
        <f>IF(H57=0,0,I57/H57)</f>
        <v>0</v>
      </c>
      <c r="L57" s="117"/>
      <c r="M57" s="157">
        <f>L57*J57</f>
        <v>0</v>
      </c>
      <c r="O57" s="117"/>
      <c r="P57" s="261"/>
      <c r="Q57" s="106"/>
      <c r="R57" s="64"/>
      <c r="T57" s="262"/>
      <c r="U57" s="106"/>
      <c r="V57" s="106"/>
      <c r="W57" s="168"/>
      <c r="Y57" s="117"/>
      <c r="Z57" s="261"/>
      <c r="AA57" s="253"/>
      <c r="AB57" s="64"/>
      <c r="AD57" s="262"/>
      <c r="AE57" s="106"/>
      <c r="AF57" s="263"/>
      <c r="AH57" s="262"/>
      <c r="AI57" s="261"/>
      <c r="AJ57" s="253"/>
      <c r="AK57" s="64"/>
      <c r="AM57" s="262"/>
      <c r="AN57" s="106"/>
      <c r="AO57" s="263"/>
      <c r="AQ57" s="262"/>
      <c r="AR57" s="261"/>
      <c r="AS57" s="253"/>
      <c r="AT57" s="476"/>
      <c r="AV57" s="262"/>
      <c r="AW57" s="106"/>
      <c r="AX57" s="263"/>
      <c r="AZ57" s="26"/>
      <c r="BC57" s="262"/>
      <c r="BD57" s="106"/>
      <c r="BE57" s="263"/>
      <c r="BG57" s="26"/>
    </row>
    <row r="58" spans="1:59" x14ac:dyDescent="0.35">
      <c r="A58" s="9168"/>
      <c r="B58" s="241"/>
      <c r="C58" s="241" t="s">
        <v>4296</v>
      </c>
      <c r="D58" s="87"/>
      <c r="F58" s="130"/>
      <c r="H58" s="131"/>
      <c r="I58" s="132"/>
      <c r="J58" s="133">
        <f>IF(H58=0,0,I58/H58)</f>
        <v>0</v>
      </c>
      <c r="L58" s="242"/>
      <c r="M58" s="157">
        <f>L58*J58</f>
        <v>0</v>
      </c>
      <c r="O58" s="131"/>
      <c r="P58" s="264"/>
      <c r="Q58" s="216"/>
      <c r="R58" s="133"/>
      <c r="T58" s="242"/>
      <c r="U58" s="216"/>
      <c r="V58" s="216"/>
      <c r="W58" s="218"/>
      <c r="Y58" s="131"/>
      <c r="Z58" s="264"/>
      <c r="AA58" s="265"/>
      <c r="AB58" s="133"/>
      <c r="AD58" s="242"/>
      <c r="AE58" s="216"/>
      <c r="AF58" s="244"/>
      <c r="AH58" s="242"/>
      <c r="AI58" s="264"/>
      <c r="AJ58" s="265"/>
      <c r="AK58" s="133"/>
      <c r="AM58" s="242"/>
      <c r="AN58" s="216"/>
      <c r="AO58" s="244"/>
      <c r="AQ58" s="242"/>
      <c r="AR58" s="264"/>
      <c r="AS58" s="265"/>
      <c r="AT58" s="484"/>
      <c r="AV58" s="242"/>
      <c r="AW58" s="216"/>
      <c r="AX58" s="244"/>
      <c r="AZ58" s="26"/>
      <c r="BC58" s="242"/>
      <c r="BD58" s="216"/>
      <c r="BE58" s="244"/>
      <c r="BG58" s="26"/>
    </row>
    <row r="59" spans="1:59" x14ac:dyDescent="0.35">
      <c r="A59" s="9168"/>
      <c r="B59" s="266" t="s">
        <v>540</v>
      </c>
      <c r="C59" s="266"/>
      <c r="D59" s="140"/>
      <c r="E59" s="141"/>
      <c r="F59" s="227"/>
      <c r="G59" s="141"/>
      <c r="H59" s="245"/>
      <c r="I59" s="106"/>
      <c r="J59" s="267"/>
      <c r="K59" s="141"/>
      <c r="L59" s="102"/>
      <c r="M59" s="268"/>
      <c r="N59" s="141"/>
      <c r="O59" s="245"/>
      <c r="P59" s="106"/>
      <c r="Q59" s="53"/>
      <c r="R59" s="267"/>
      <c r="S59" s="141"/>
      <c r="T59" s="102"/>
      <c r="U59" s="57"/>
      <c r="V59" s="53"/>
      <c r="W59" s="55"/>
      <c r="X59" s="141"/>
      <c r="Y59" s="245"/>
      <c r="Z59" s="106"/>
      <c r="AA59" s="53"/>
      <c r="AB59" s="267"/>
      <c r="AC59" s="141"/>
      <c r="AD59" s="102"/>
      <c r="AE59" s="231" t="s">
        <v>6692</v>
      </c>
      <c r="AF59" s="103"/>
      <c r="AG59" s="141"/>
      <c r="AH59" s="102"/>
      <c r="AI59" s="106"/>
      <c r="AJ59" s="53"/>
      <c r="AK59" s="267"/>
      <c r="AL59" s="141"/>
      <c r="AM59" s="102"/>
      <c r="AN59" s="231" t="s">
        <v>6693</v>
      </c>
      <c r="AO59" s="103"/>
      <c r="AP59" s="141"/>
      <c r="AQ59" s="102"/>
      <c r="AR59" s="106"/>
      <c r="AS59" s="53"/>
      <c r="AT59" s="518"/>
      <c r="AU59" s="141"/>
      <c r="AV59" s="102"/>
      <c r="AW59" s="231" t="s">
        <v>6693</v>
      </c>
      <c r="AX59" s="103"/>
      <c r="AY59" s="141"/>
      <c r="AZ59" s="18"/>
      <c r="BB59" s="141"/>
      <c r="BC59" s="102"/>
      <c r="BD59" s="231"/>
      <c r="BE59" s="103"/>
      <c r="BF59" s="141"/>
      <c r="BG59" s="18"/>
    </row>
    <row r="60" spans="1:59" x14ac:dyDescent="0.35">
      <c r="A60" s="9168"/>
      <c r="B60" s="232"/>
      <c r="C60" s="232" t="s">
        <v>5892</v>
      </c>
      <c r="D60" s="60"/>
      <c r="F60" s="111">
        <v>733044336</v>
      </c>
      <c r="H60" s="112">
        <v>838340000</v>
      </c>
      <c r="I60" s="113">
        <f>652932648*12/10</f>
        <v>783519177.60000002</v>
      </c>
      <c r="J60" s="64">
        <f t="shared" ref="J60:J67" si="15">IF(H60=0,0,I60/H60)</f>
        <v>0.93460788892334856</v>
      </c>
      <c r="L60" s="112">
        <v>873210000</v>
      </c>
      <c r="M60" s="157">
        <f t="shared" ref="M60:M67" si="16">L60*J60</f>
        <v>816108954.68675721</v>
      </c>
      <c r="O60" s="112">
        <v>873210000</v>
      </c>
      <c r="P60" s="233">
        <f>650608544*12/9</f>
        <v>867478058.66666663</v>
      </c>
      <c r="Q60" s="106" t="s">
        <v>6696</v>
      </c>
      <c r="R60" s="64">
        <f>P60/O60</f>
        <v>0.9934357813889747</v>
      </c>
      <c r="T60" s="112">
        <v>797310000</v>
      </c>
      <c r="U60" s="254" t="s">
        <v>6696</v>
      </c>
      <c r="V60" s="106">
        <f>T60*R60</f>
        <v>792076282.85924339</v>
      </c>
      <c r="W60" s="168"/>
      <c r="Y60" s="112">
        <v>797310000</v>
      </c>
      <c r="Z60" s="269">
        <f>Y60*R60</f>
        <v>792076282.85924339</v>
      </c>
      <c r="AA60" s="106" t="s">
        <v>6696</v>
      </c>
      <c r="AB60" s="64">
        <f>Z60/Y60</f>
        <v>0.9934357813889747</v>
      </c>
      <c r="AD60" s="112">
        <v>788969000</v>
      </c>
      <c r="AE60" s="254" t="s">
        <v>6744</v>
      </c>
      <c r="AF60" s="233">
        <f>639509535*12/9</f>
        <v>852679380</v>
      </c>
      <c r="AH60" s="112">
        <v>788969000</v>
      </c>
      <c r="AI60" s="269">
        <f>639509535*12/9</f>
        <v>852679380</v>
      </c>
      <c r="AJ60" s="106" t="s">
        <v>6745</v>
      </c>
      <c r="AK60" s="64">
        <f>AI60/AH60</f>
        <v>1.0807514363682222</v>
      </c>
      <c r="AM60" s="112">
        <v>848753000</v>
      </c>
      <c r="AN60" s="106" t="s">
        <v>6746</v>
      </c>
      <c r="AO60" s="233">
        <f>703804380*12/9</f>
        <v>938405840</v>
      </c>
      <c r="AQ60" s="112">
        <f t="shared" ref="AQ60:AQ65" si="17">AM60</f>
        <v>848753000</v>
      </c>
      <c r="AR60" s="269">
        <f t="shared" ref="AR60:AR65" si="18">AO60</f>
        <v>938405840</v>
      </c>
      <c r="AS60" s="106" t="str">
        <f t="shared" ref="AS60:AS65" si="19">AN60</f>
        <v>page 163</v>
      </c>
      <c r="AT60" s="476">
        <f>AR60/AQ60</f>
        <v>1.1056288932115703</v>
      </c>
      <c r="AV60" s="112">
        <v>1310007000</v>
      </c>
      <c r="AW60" s="313" t="s">
        <v>6700</v>
      </c>
      <c r="AX60" s="233">
        <f>1018747864*12/9</f>
        <v>1358330485.3333333</v>
      </c>
      <c r="AZ60" s="26"/>
      <c r="BC60" s="112">
        <v>3721335000</v>
      </c>
      <c r="BD60" s="313"/>
      <c r="BE60" s="233">
        <f>6810722310*12/9</f>
        <v>9080963080</v>
      </c>
      <c r="BG60" s="26"/>
    </row>
    <row r="61" spans="1:59" x14ac:dyDescent="0.35">
      <c r="A61" s="9168"/>
      <c r="B61" s="240"/>
      <c r="C61" s="240" t="s">
        <v>548</v>
      </c>
      <c r="D61" s="60"/>
      <c r="F61" s="155">
        <v>45316639</v>
      </c>
      <c r="H61" s="117">
        <v>68944000</v>
      </c>
      <c r="I61" s="115">
        <f>56178301*12/10</f>
        <v>67413961.200000003</v>
      </c>
      <c r="J61" s="64">
        <f t="shared" si="15"/>
        <v>0.97780751334416338</v>
      </c>
      <c r="L61" s="117">
        <v>75231000</v>
      </c>
      <c r="M61" s="157">
        <f t="shared" si="16"/>
        <v>73561437.03639476</v>
      </c>
      <c r="O61" s="117">
        <v>75231000</v>
      </c>
      <c r="P61" s="201">
        <f>56652103*12/9</f>
        <v>75536137.333333328</v>
      </c>
      <c r="Q61" s="106" t="s">
        <v>6706</v>
      </c>
      <c r="R61" s="64">
        <f>P61/O61</f>
        <v>1.0040560052815106</v>
      </c>
      <c r="T61" s="117">
        <f>58925000</f>
        <v>58925000</v>
      </c>
      <c r="U61" s="254" t="s">
        <v>6706</v>
      </c>
      <c r="V61" s="106">
        <f>T61*R61</f>
        <v>59164000.111213014</v>
      </c>
      <c r="W61" s="168"/>
      <c r="Y61" s="117">
        <f>58925000</f>
        <v>58925000</v>
      </c>
      <c r="Z61" s="270">
        <f>Y61*R61</f>
        <v>59164000.111213014</v>
      </c>
      <c r="AA61" s="106" t="s">
        <v>6706</v>
      </c>
      <c r="AB61" s="64">
        <f>Z61/Y61</f>
        <v>1.0040560052815106</v>
      </c>
      <c r="AD61" s="117">
        <v>50000000</v>
      </c>
      <c r="AE61" s="254" t="s">
        <v>6747</v>
      </c>
      <c r="AF61" s="201">
        <f>39459458*12/9</f>
        <v>52612610.666666664</v>
      </c>
      <c r="AH61" s="117">
        <v>50000000</v>
      </c>
      <c r="AI61" s="270">
        <f>39459458*12/9</f>
        <v>52612610.666666664</v>
      </c>
      <c r="AJ61" s="106" t="s">
        <v>6748</v>
      </c>
      <c r="AK61" s="64">
        <f>AI61/AH61</f>
        <v>1.0522522133333332</v>
      </c>
      <c r="AM61" s="117">
        <v>51275000</v>
      </c>
      <c r="AN61" s="254" t="s">
        <v>6710</v>
      </c>
      <c r="AO61" s="201">
        <f>40519066*12/9</f>
        <v>54025421.333333336</v>
      </c>
      <c r="AQ61" s="117">
        <f t="shared" si="17"/>
        <v>51275000</v>
      </c>
      <c r="AR61" s="270">
        <f t="shared" si="18"/>
        <v>54025421.333333336</v>
      </c>
      <c r="AS61" s="106" t="str">
        <f t="shared" si="19"/>
        <v>page 180</v>
      </c>
      <c r="AT61" s="476">
        <f>AR61/AQ61</f>
        <v>1.0536405915813425</v>
      </c>
      <c r="AV61" s="117">
        <v>65329000</v>
      </c>
      <c r="AW61" s="254" t="s">
        <v>6711</v>
      </c>
      <c r="AX61" s="201">
        <f>48095742*12/9</f>
        <v>64127656</v>
      </c>
      <c r="AZ61" s="26"/>
      <c r="BC61" s="117">
        <v>181401000</v>
      </c>
      <c r="BD61" s="254"/>
      <c r="BE61" s="201">
        <f>231859876*12/9</f>
        <v>309146501.33333331</v>
      </c>
      <c r="BG61" s="26"/>
    </row>
    <row r="62" spans="1:59" x14ac:dyDescent="0.35">
      <c r="A62" s="9168"/>
      <c r="B62" s="232"/>
      <c r="C62" s="232" t="s">
        <v>4285</v>
      </c>
      <c r="D62" s="60"/>
      <c r="F62" s="163"/>
      <c r="H62" s="242"/>
      <c r="I62" s="243"/>
      <c r="J62" s="64">
        <f t="shared" si="15"/>
        <v>0</v>
      </c>
      <c r="L62" s="242"/>
      <c r="M62" s="157">
        <f t="shared" si="16"/>
        <v>0</v>
      </c>
      <c r="O62" s="242"/>
      <c r="P62" s="233"/>
      <c r="R62" s="64"/>
      <c r="T62" s="242"/>
      <c r="U62" s="106"/>
      <c r="V62" s="6"/>
      <c r="W62" s="168"/>
      <c r="Y62" s="242"/>
      <c r="Z62" s="233"/>
      <c r="AB62" s="64"/>
      <c r="AD62" s="242"/>
      <c r="AE62" s="106"/>
      <c r="AF62" s="244"/>
      <c r="AH62" s="242"/>
      <c r="AI62" s="233"/>
      <c r="AK62" s="64"/>
      <c r="AM62" s="242"/>
      <c r="AN62" s="106"/>
      <c r="AO62" s="244"/>
      <c r="AQ62" s="242">
        <f t="shared" si="17"/>
        <v>0</v>
      </c>
      <c r="AR62" s="233">
        <f t="shared" si="18"/>
        <v>0</v>
      </c>
      <c r="AS62" s="6">
        <f t="shared" si="19"/>
        <v>0</v>
      </c>
      <c r="AT62" s="476"/>
      <c r="AV62" s="242"/>
      <c r="AW62" s="106"/>
      <c r="AX62" s="244"/>
      <c r="AZ62" s="26"/>
      <c r="BC62" s="242"/>
      <c r="BD62" s="106"/>
      <c r="BE62" s="244"/>
      <c r="BG62" s="26"/>
    </row>
    <row r="63" spans="1:59" x14ac:dyDescent="0.35">
      <c r="A63" s="9168"/>
      <c r="B63" s="240"/>
      <c r="C63" s="240" t="s">
        <v>3868</v>
      </c>
      <c r="D63" s="60"/>
      <c r="F63" s="163"/>
      <c r="H63" s="242"/>
      <c r="I63" s="243"/>
      <c r="J63" s="64">
        <f t="shared" si="15"/>
        <v>0</v>
      </c>
      <c r="L63" s="242"/>
      <c r="M63" s="157">
        <f t="shared" si="16"/>
        <v>0</v>
      </c>
      <c r="O63" s="242"/>
      <c r="P63" s="201"/>
      <c r="R63" s="64"/>
      <c r="T63" s="242"/>
      <c r="U63" s="106"/>
      <c r="V63" s="6"/>
      <c r="W63" s="168"/>
      <c r="Y63" s="242"/>
      <c r="Z63" s="201"/>
      <c r="AB63" s="64"/>
      <c r="AD63" s="242"/>
      <c r="AE63" s="106"/>
      <c r="AF63" s="244"/>
      <c r="AH63" s="242">
        <v>675000</v>
      </c>
      <c r="AI63" s="233">
        <f>433413*12/9</f>
        <v>577884</v>
      </c>
      <c r="AJ63" s="6" t="s">
        <v>3428</v>
      </c>
      <c r="AK63" s="64"/>
      <c r="AM63" s="242">
        <v>3000000</v>
      </c>
      <c r="AN63" s="254" t="s">
        <v>6725</v>
      </c>
      <c r="AO63" s="244">
        <f>1363745*12/9</f>
        <v>1818326.6666666667</v>
      </c>
      <c r="AQ63" s="242">
        <f t="shared" si="17"/>
        <v>3000000</v>
      </c>
      <c r="AR63" s="233">
        <f t="shared" si="18"/>
        <v>1818326.6666666667</v>
      </c>
      <c r="AS63" s="6" t="str">
        <f t="shared" si="19"/>
        <v>page 72</v>
      </c>
      <c r="AT63" s="476"/>
      <c r="AV63" s="242">
        <v>4707000</v>
      </c>
      <c r="AW63" s="254" t="s">
        <v>6749</v>
      </c>
      <c r="AX63" s="244">
        <f>1889924*12/9</f>
        <v>2519898.6666666665</v>
      </c>
      <c r="AZ63" s="26"/>
      <c r="BC63" s="242">
        <v>14771000</v>
      </c>
      <c r="BD63" s="254"/>
      <c r="BE63" s="244">
        <f>63102904*12/9</f>
        <v>84137205.333333328</v>
      </c>
      <c r="BG63" s="26"/>
    </row>
    <row r="64" spans="1:59" x14ac:dyDescent="0.35">
      <c r="A64" s="9168"/>
      <c r="B64" s="240"/>
      <c r="C64" s="240" t="s">
        <v>5897</v>
      </c>
      <c r="D64" s="60"/>
      <c r="F64" s="163"/>
      <c r="H64" s="242"/>
      <c r="I64" s="243"/>
      <c r="J64" s="64">
        <f t="shared" si="15"/>
        <v>0</v>
      </c>
      <c r="L64" s="242"/>
      <c r="M64" s="157">
        <f t="shared" si="16"/>
        <v>0</v>
      </c>
      <c r="O64" s="242"/>
      <c r="P64" s="233"/>
      <c r="Q64" s="106"/>
      <c r="R64" s="64"/>
      <c r="T64" s="242"/>
      <c r="U64" s="106"/>
      <c r="V64" s="106"/>
      <c r="W64" s="168"/>
      <c r="Y64" s="242"/>
      <c r="Z64" s="233"/>
      <c r="AA64" s="106"/>
      <c r="AB64" s="64"/>
      <c r="AD64" s="242"/>
      <c r="AE64" s="106"/>
      <c r="AF64" s="244"/>
      <c r="AH64" s="242"/>
      <c r="AI64" s="233"/>
      <c r="AJ64" s="106"/>
      <c r="AK64" s="64"/>
      <c r="AM64" s="242"/>
      <c r="AN64" s="106"/>
      <c r="AO64" s="244"/>
      <c r="AQ64" s="242">
        <f t="shared" si="17"/>
        <v>0</v>
      </c>
      <c r="AR64" s="233">
        <f t="shared" si="18"/>
        <v>0</v>
      </c>
      <c r="AS64" s="106">
        <f t="shared" si="19"/>
        <v>0</v>
      </c>
      <c r="AT64" s="476"/>
      <c r="AV64" s="242"/>
      <c r="AW64" s="106"/>
      <c r="AX64" s="244"/>
      <c r="AZ64" s="26"/>
      <c r="BC64" s="242"/>
      <c r="BD64" s="106"/>
      <c r="BE64" s="244"/>
      <c r="BG64" s="26"/>
    </row>
    <row r="65" spans="1:59" x14ac:dyDescent="0.35">
      <c r="A65" s="9168"/>
      <c r="B65" s="240"/>
      <c r="C65" s="240" t="s">
        <v>5898</v>
      </c>
      <c r="D65" s="60"/>
      <c r="F65" s="163">
        <v>1626318.6666666665</v>
      </c>
      <c r="H65" s="242">
        <v>2137000</v>
      </c>
      <c r="I65" s="243">
        <f>1831857*12/10</f>
        <v>2198228.4</v>
      </c>
      <c r="J65" s="64">
        <f t="shared" si="15"/>
        <v>1.0286515676181562</v>
      </c>
      <c r="L65" s="242">
        <v>2329000</v>
      </c>
      <c r="M65" s="157">
        <f t="shared" si="16"/>
        <v>2395729.5009826859</v>
      </c>
      <c r="O65" s="242">
        <v>2724000</v>
      </c>
      <c r="P65" s="201">
        <f>2462525*12/9</f>
        <v>3283366.6666666665</v>
      </c>
      <c r="Q65" s="106"/>
      <c r="R65" s="64">
        <f>P65/O65</f>
        <v>1.2053475281448849</v>
      </c>
      <c r="T65" s="242">
        <v>2933000</v>
      </c>
      <c r="U65" s="106"/>
      <c r="V65" s="259">
        <f>T65</f>
        <v>2933000</v>
      </c>
      <c r="W65" s="168"/>
      <c r="Y65" s="242">
        <v>2724000</v>
      </c>
      <c r="Z65" s="201">
        <f>2462525*12/10</f>
        <v>2955030</v>
      </c>
      <c r="AA65" s="253" t="s">
        <v>6737</v>
      </c>
      <c r="AB65" s="64">
        <f>Z65/Y65</f>
        <v>1.0848127753303964</v>
      </c>
      <c r="AD65" s="242">
        <v>2957279</v>
      </c>
      <c r="AE65" s="254" t="s">
        <v>6738</v>
      </c>
      <c r="AF65" s="244">
        <f>2076126*12/9</f>
        <v>2768168</v>
      </c>
      <c r="AH65" s="242">
        <v>2957279</v>
      </c>
      <c r="AI65" s="201">
        <f>2076126*12/9</f>
        <v>2768168</v>
      </c>
      <c r="AJ65" s="253" t="s">
        <v>6750</v>
      </c>
      <c r="AK65" s="64">
        <f>AI65/AH65</f>
        <v>0.93605236435250105</v>
      </c>
      <c r="AM65" s="242">
        <v>4352000</v>
      </c>
      <c r="AN65" s="254" t="s">
        <v>6108</v>
      </c>
      <c r="AO65" s="244">
        <f>3032796*12/9</f>
        <v>4043728</v>
      </c>
      <c r="AQ65" s="242">
        <f t="shared" si="17"/>
        <v>4352000</v>
      </c>
      <c r="AR65" s="201">
        <f t="shared" si="18"/>
        <v>4043728</v>
      </c>
      <c r="AS65" s="253" t="str">
        <f t="shared" si="19"/>
        <v>page 224</v>
      </c>
      <c r="AT65" s="476">
        <f>AR65/AQ65</f>
        <v>0.9291654411764706</v>
      </c>
      <c r="AV65" s="242">
        <v>11328000</v>
      </c>
      <c r="AW65" s="254" t="s">
        <v>6740</v>
      </c>
      <c r="AX65" s="244">
        <f>4162224*12/9</f>
        <v>5549632</v>
      </c>
      <c r="AZ65" s="26"/>
      <c r="BC65" s="242"/>
      <c r="BD65" s="254"/>
      <c r="BE65" s="244"/>
      <c r="BG65" s="26" t="s">
        <v>6751</v>
      </c>
    </row>
    <row r="66" spans="1:59" x14ac:dyDescent="0.35">
      <c r="A66" s="9168"/>
      <c r="B66" s="240"/>
      <c r="C66" s="240" t="s">
        <v>4296</v>
      </c>
      <c r="D66" s="60"/>
      <c r="F66" s="163"/>
      <c r="H66" s="242"/>
      <c r="I66" s="243"/>
      <c r="J66" s="64">
        <f t="shared" si="15"/>
        <v>0</v>
      </c>
      <c r="L66" s="242"/>
      <c r="M66" s="157">
        <f t="shared" si="16"/>
        <v>0</v>
      </c>
      <c r="O66" s="242"/>
      <c r="P66" s="201"/>
      <c r="Q66" s="106"/>
      <c r="R66" s="64"/>
      <c r="T66" s="242"/>
      <c r="U66" s="106"/>
      <c r="V66" s="106"/>
      <c r="W66" s="168"/>
      <c r="Y66" s="242"/>
      <c r="Z66" s="201"/>
      <c r="AA66" s="106"/>
      <c r="AB66" s="64"/>
      <c r="AD66" s="242"/>
      <c r="AE66" s="106"/>
      <c r="AF66" s="244"/>
      <c r="AH66" s="242"/>
      <c r="AI66" s="201"/>
      <c r="AJ66" s="106"/>
      <c r="AK66" s="64"/>
      <c r="AM66" s="242"/>
      <c r="AN66" s="106"/>
      <c r="AO66" s="244"/>
      <c r="AQ66" s="242"/>
      <c r="AR66" s="201"/>
      <c r="AS66" s="106"/>
      <c r="AT66" s="476"/>
      <c r="AV66" s="242"/>
      <c r="AW66" s="106"/>
      <c r="AX66" s="244"/>
      <c r="AZ66" s="26"/>
      <c r="BC66" s="242"/>
      <c r="BD66" s="106"/>
      <c r="BE66" s="244"/>
      <c r="BG66" s="26"/>
    </row>
    <row r="67" spans="1:59" x14ac:dyDescent="0.35">
      <c r="A67" s="9168"/>
      <c r="B67" s="250"/>
      <c r="C67" s="250" t="s">
        <v>4301</v>
      </c>
      <c r="D67" s="87"/>
      <c r="F67" s="130"/>
      <c r="H67" s="242"/>
      <c r="I67" s="243"/>
      <c r="J67" s="64">
        <f t="shared" si="15"/>
        <v>0</v>
      </c>
      <c r="L67" s="242"/>
      <c r="M67" s="157">
        <f t="shared" si="16"/>
        <v>0</v>
      </c>
      <c r="O67" s="242"/>
      <c r="P67" s="201"/>
      <c r="Q67" s="216"/>
      <c r="R67" s="64"/>
      <c r="T67" s="242"/>
      <c r="U67" s="216"/>
      <c r="V67" s="216"/>
      <c r="W67" s="218"/>
      <c r="Y67" s="242"/>
      <c r="Z67" s="201"/>
      <c r="AA67" s="216"/>
      <c r="AB67" s="64"/>
      <c r="AD67" s="242"/>
      <c r="AE67" s="216"/>
      <c r="AF67" s="215"/>
      <c r="AH67" s="242"/>
      <c r="AI67" s="201"/>
      <c r="AJ67" s="216"/>
      <c r="AK67" s="64"/>
      <c r="AM67" s="242"/>
      <c r="AN67" s="216"/>
      <c r="AO67" s="215"/>
      <c r="AQ67" s="242"/>
      <c r="AR67" s="201"/>
      <c r="AS67" s="216"/>
      <c r="AT67" s="476"/>
      <c r="AV67" s="242"/>
      <c r="AW67" s="216"/>
      <c r="AX67" s="215"/>
      <c r="AZ67" s="24"/>
      <c r="BC67" s="242"/>
      <c r="BD67" s="216"/>
      <c r="BE67" s="215"/>
      <c r="BG67" s="24"/>
    </row>
    <row r="68" spans="1:59" x14ac:dyDescent="0.35">
      <c r="A68" s="9168"/>
      <c r="B68" s="271" t="s">
        <v>552</v>
      </c>
      <c r="C68" s="271"/>
      <c r="D68" s="140"/>
      <c r="E68" s="143"/>
      <c r="F68" s="227"/>
      <c r="G68" s="143"/>
      <c r="H68" s="102"/>
      <c r="I68" s="103"/>
      <c r="J68" s="228"/>
      <c r="K68" s="143"/>
      <c r="L68" s="102"/>
      <c r="M68" s="268"/>
      <c r="N68" s="143"/>
      <c r="O68" s="102"/>
      <c r="P68" s="103"/>
      <c r="Q68" s="106"/>
      <c r="R68" s="228"/>
      <c r="S68" s="143"/>
      <c r="T68" s="102"/>
      <c r="U68" s="106"/>
      <c r="V68" s="105"/>
      <c r="W68" s="168"/>
      <c r="X68" s="143"/>
      <c r="Y68" s="102"/>
      <c r="Z68" s="103"/>
      <c r="AA68" s="106"/>
      <c r="AB68" s="228"/>
      <c r="AC68" s="143"/>
      <c r="AD68" s="102"/>
      <c r="AE68" s="106"/>
      <c r="AF68" s="105"/>
      <c r="AG68" s="143"/>
      <c r="AH68" s="102"/>
      <c r="AI68" s="103"/>
      <c r="AJ68" s="106"/>
      <c r="AK68" s="228"/>
      <c r="AL68" s="143"/>
      <c r="AM68" s="102"/>
      <c r="AN68" s="106"/>
      <c r="AO68" s="105"/>
      <c r="AP68" s="143"/>
      <c r="AQ68" s="102"/>
      <c r="AR68" s="103"/>
      <c r="AS68" s="106"/>
      <c r="AT68" s="228"/>
      <c r="AU68" s="143"/>
      <c r="AV68" s="102"/>
      <c r="AW68" s="106"/>
      <c r="AX68" s="105"/>
      <c r="AY68" s="143"/>
      <c r="AZ68" s="18"/>
      <c r="BB68" s="143"/>
      <c r="BC68" s="102"/>
      <c r="BD68" s="106"/>
      <c r="BE68" s="105"/>
      <c r="BF68" s="143"/>
      <c r="BG68" s="18"/>
    </row>
    <row r="69" spans="1:59" x14ac:dyDescent="0.35">
      <c r="A69" s="9168"/>
      <c r="B69" s="272"/>
      <c r="C69" s="272" t="s">
        <v>980</v>
      </c>
      <c r="D69" s="60"/>
      <c r="F69" s="155"/>
      <c r="H69" s="117"/>
      <c r="I69" s="115"/>
      <c r="J69" s="64">
        <f>IF(H69=0,0,I69/H69)</f>
        <v>0</v>
      </c>
      <c r="L69" s="117"/>
      <c r="M69" s="157">
        <f>M29*M72</f>
        <v>0</v>
      </c>
      <c r="O69" s="117"/>
      <c r="P69" s="201"/>
      <c r="Q69" s="106"/>
      <c r="R69" s="64"/>
      <c r="T69" s="117"/>
      <c r="U69" s="106"/>
      <c r="V69" s="273"/>
      <c r="W69" s="168"/>
      <c r="Y69" s="117"/>
      <c r="Z69" s="201"/>
      <c r="AA69" s="106"/>
      <c r="AB69" s="64"/>
      <c r="AD69" s="117"/>
      <c r="AE69" s="106"/>
      <c r="AF69" s="273"/>
      <c r="AH69" s="117"/>
      <c r="AI69" s="201"/>
      <c r="AJ69" s="106"/>
      <c r="AK69" s="64"/>
      <c r="AM69" s="117"/>
      <c r="AN69" s="106"/>
      <c r="AO69" s="273"/>
      <c r="AQ69" s="117"/>
      <c r="AR69" s="201"/>
      <c r="AS69" s="106"/>
      <c r="AT69" s="476"/>
      <c r="AV69" s="117"/>
      <c r="AW69" s="106"/>
      <c r="AX69" s="273"/>
      <c r="AZ69" s="26"/>
      <c r="BC69" s="117"/>
      <c r="BD69" s="106"/>
      <c r="BE69" s="273"/>
      <c r="BG69" s="26"/>
    </row>
    <row r="70" spans="1:59" x14ac:dyDescent="0.35">
      <c r="A70" s="9168"/>
      <c r="B70" s="274"/>
      <c r="C70" s="275" t="s">
        <v>11</v>
      </c>
      <c r="D70" s="60"/>
      <c r="F70" s="163"/>
      <c r="H70" s="242"/>
      <c r="I70" s="243"/>
      <c r="J70" s="64"/>
      <c r="L70" s="242"/>
      <c r="M70" s="157"/>
      <c r="O70" s="117"/>
      <c r="P70" s="201"/>
      <c r="Q70" s="106"/>
      <c r="R70" s="64"/>
      <c r="T70" s="117"/>
      <c r="U70" s="106"/>
      <c r="V70" s="276"/>
      <c r="W70" s="168"/>
      <c r="Y70" s="117"/>
      <c r="Z70" s="201"/>
      <c r="AA70" s="106"/>
      <c r="AB70" s="64"/>
      <c r="AD70" s="117"/>
      <c r="AE70" s="106"/>
      <c r="AF70" s="276"/>
      <c r="AH70" s="117"/>
      <c r="AI70" s="201"/>
      <c r="AJ70" s="106"/>
      <c r="AK70" s="64"/>
      <c r="AM70" s="117"/>
      <c r="AN70" s="106"/>
      <c r="AO70" s="276"/>
      <c r="AQ70" s="117"/>
      <c r="AR70" s="201"/>
      <c r="AS70" s="106"/>
      <c r="AT70" s="476"/>
      <c r="AV70" s="117"/>
      <c r="AW70" s="106"/>
      <c r="AX70" s="276"/>
      <c r="AZ70" s="26"/>
      <c r="BC70" s="117"/>
      <c r="BD70" s="106"/>
      <c r="BE70" s="276"/>
      <c r="BG70" s="26"/>
    </row>
    <row r="71" spans="1:59" x14ac:dyDescent="0.35">
      <c r="A71" s="9168"/>
      <c r="B71" s="274"/>
      <c r="C71" s="275" t="s">
        <v>1116</v>
      </c>
      <c r="D71" s="60"/>
      <c r="F71" s="163"/>
      <c r="H71" s="242"/>
      <c r="I71" s="243"/>
      <c r="J71" s="64"/>
      <c r="L71" s="242"/>
      <c r="M71" s="157"/>
      <c r="O71" s="117"/>
      <c r="P71" s="201"/>
      <c r="Q71" s="106"/>
      <c r="R71" s="64"/>
      <c r="T71" s="117"/>
      <c r="U71" s="106"/>
      <c r="V71" s="276"/>
      <c r="W71" s="168"/>
      <c r="Y71" s="117"/>
      <c r="Z71" s="201"/>
      <c r="AA71" s="106"/>
      <c r="AB71" s="64"/>
      <c r="AD71" s="117"/>
      <c r="AE71" s="106"/>
      <c r="AF71" s="276"/>
      <c r="AH71" s="117"/>
      <c r="AI71" s="201"/>
      <c r="AJ71" s="106"/>
      <c r="AK71" s="64"/>
      <c r="AM71" s="117"/>
      <c r="AN71" s="106"/>
      <c r="AO71" s="276"/>
      <c r="AQ71" s="117"/>
      <c r="AR71" s="201"/>
      <c r="AS71" s="106"/>
      <c r="AT71" s="476"/>
      <c r="AV71" s="117"/>
      <c r="AW71" s="106"/>
      <c r="AX71" s="276"/>
      <c r="AZ71" s="26"/>
      <c r="BC71" s="117"/>
      <c r="BD71" s="106"/>
      <c r="BE71" s="276"/>
      <c r="BG71" s="26"/>
    </row>
    <row r="72" spans="1:59" x14ac:dyDescent="0.35">
      <c r="A72" s="9168"/>
      <c r="B72" s="277"/>
      <c r="C72" s="277" t="s">
        <v>555</v>
      </c>
      <c r="D72" s="87"/>
      <c r="F72" s="278"/>
      <c r="G72" s="279"/>
      <c r="H72" s="280"/>
      <c r="I72" s="281"/>
      <c r="J72" s="133"/>
      <c r="L72" s="280"/>
      <c r="M72" s="282"/>
      <c r="O72" s="283"/>
      <c r="P72" s="201"/>
      <c r="Q72" s="284"/>
      <c r="R72" s="133"/>
      <c r="T72" s="283"/>
      <c r="U72" s="284"/>
      <c r="V72" s="285"/>
      <c r="W72" s="286"/>
      <c r="Y72" s="283"/>
      <c r="Z72" s="201"/>
      <c r="AA72" s="284"/>
      <c r="AB72" s="133"/>
      <c r="AD72" s="283"/>
      <c r="AE72" s="284"/>
      <c r="AF72" s="285"/>
      <c r="AH72" s="283"/>
      <c r="AI72" s="201"/>
      <c r="AJ72" s="284"/>
      <c r="AK72" s="133"/>
      <c r="AM72" s="283"/>
      <c r="AN72" s="284"/>
      <c r="AO72" s="285"/>
      <c r="AQ72" s="283"/>
      <c r="AR72" s="201"/>
      <c r="AS72" s="3329"/>
      <c r="AT72" s="484"/>
      <c r="AV72" s="283"/>
      <c r="AW72" s="3329"/>
      <c r="AX72" s="285"/>
      <c r="AZ72" s="24"/>
      <c r="BC72" s="283"/>
      <c r="BD72" s="284"/>
      <c r="BE72" s="285"/>
      <c r="BG72" s="24"/>
    </row>
    <row r="73" spans="1:59" x14ac:dyDescent="0.35">
      <c r="A73" s="9168"/>
      <c r="B73" s="287" t="s">
        <v>556</v>
      </c>
      <c r="C73" s="288"/>
      <c r="D73" s="140"/>
      <c r="E73" s="143"/>
      <c r="F73" s="289"/>
      <c r="G73" s="290"/>
      <c r="H73" s="291"/>
      <c r="I73" s="292"/>
      <c r="J73" s="293"/>
      <c r="L73" s="291"/>
      <c r="M73" s="268"/>
      <c r="N73" s="143"/>
      <c r="O73" s="291"/>
      <c r="P73" s="292"/>
      <c r="Q73" s="106"/>
      <c r="R73" s="293"/>
      <c r="T73" s="291"/>
      <c r="U73" s="106"/>
      <c r="V73" s="294"/>
      <c r="W73" s="168"/>
      <c r="X73" s="143"/>
      <c r="Y73" s="291"/>
      <c r="Z73" s="292"/>
      <c r="AA73" s="106"/>
      <c r="AB73" s="293"/>
      <c r="AD73" s="291"/>
      <c r="AE73" s="106"/>
      <c r="AF73" s="294"/>
      <c r="AG73" s="143"/>
      <c r="AH73" s="291"/>
      <c r="AI73" s="292"/>
      <c r="AJ73" s="106"/>
      <c r="AK73" s="293"/>
      <c r="AM73" s="291"/>
      <c r="AN73" s="106"/>
      <c r="AO73" s="294"/>
      <c r="AP73" s="143"/>
      <c r="AQ73" s="291"/>
      <c r="AR73" s="292"/>
      <c r="AS73" s="106"/>
      <c r="AT73" s="293"/>
      <c r="AV73" s="291"/>
      <c r="AW73" s="106"/>
      <c r="AX73" s="294"/>
      <c r="AY73" s="143"/>
      <c r="AZ73" s="18"/>
      <c r="BC73" s="291"/>
      <c r="BD73" s="106"/>
      <c r="BE73" s="294"/>
      <c r="BF73" s="143"/>
      <c r="BG73" s="18"/>
    </row>
    <row r="74" spans="1:59" x14ac:dyDescent="0.35">
      <c r="A74" s="9168"/>
      <c r="B74" s="295"/>
      <c r="C74" s="296" t="s">
        <v>5892</v>
      </c>
      <c r="D74" s="60"/>
      <c r="F74" s="61"/>
      <c r="G74" s="272"/>
      <c r="H74" s="62"/>
      <c r="I74" s="63"/>
      <c r="J74" s="297">
        <f>IF(H74=0,0,I74/H74)</f>
        <v>0</v>
      </c>
      <c r="L74" s="62"/>
      <c r="M74" s="157">
        <f>L74*J74</f>
        <v>0</v>
      </c>
      <c r="O74" s="298"/>
      <c r="P74" s="299"/>
      <c r="Q74" s="57"/>
      <c r="R74" s="300"/>
      <c r="T74" s="62"/>
      <c r="U74" s="57"/>
      <c r="V74" s="301">
        <v>45380000</v>
      </c>
      <c r="W74" s="55" t="s">
        <v>6752</v>
      </c>
      <c r="Y74" s="298"/>
      <c r="Z74" s="299">
        <v>45380000</v>
      </c>
      <c r="AA74" s="57"/>
      <c r="AB74" s="300"/>
      <c r="AD74" s="62"/>
      <c r="AE74" s="57"/>
      <c r="AF74" s="301"/>
      <c r="AH74" s="62"/>
      <c r="AI74" s="299"/>
      <c r="AJ74" s="57"/>
      <c r="AK74" s="300"/>
      <c r="AM74" s="62"/>
      <c r="AN74" s="57"/>
      <c r="AO74" s="301"/>
      <c r="AQ74" s="62"/>
      <c r="AR74" s="299"/>
      <c r="AS74" s="57"/>
      <c r="AT74" s="5605"/>
      <c r="AV74" s="62"/>
      <c r="AW74" s="57"/>
      <c r="AX74" s="301"/>
      <c r="AZ74" s="26"/>
      <c r="BC74" s="62"/>
      <c r="BD74" s="57"/>
      <c r="BE74" s="301"/>
      <c r="BG74" s="26"/>
    </row>
    <row r="75" spans="1:59" x14ac:dyDescent="0.35">
      <c r="A75" s="9168"/>
      <c r="B75" s="302"/>
      <c r="C75" s="59" t="s">
        <v>548</v>
      </c>
      <c r="D75" s="60"/>
      <c r="F75" s="61"/>
      <c r="G75" s="272"/>
      <c r="H75" s="62"/>
      <c r="I75" s="63"/>
      <c r="J75" s="297">
        <f>IF(H75=0,0,I75/H75)</f>
        <v>0</v>
      </c>
      <c r="L75" s="62"/>
      <c r="M75" s="157">
        <f>L75*J75</f>
        <v>0</v>
      </c>
      <c r="O75" s="62"/>
      <c r="P75" s="303"/>
      <c r="Q75" s="57"/>
      <c r="R75" s="297"/>
      <c r="T75" s="304"/>
      <c r="U75" s="57"/>
      <c r="V75" s="301"/>
      <c r="W75" s="55"/>
      <c r="Y75" s="62"/>
      <c r="Z75" s="303"/>
      <c r="AA75" s="57"/>
      <c r="AB75" s="297"/>
      <c r="AD75" s="304"/>
      <c r="AE75" s="57"/>
      <c r="AF75" s="301"/>
      <c r="AH75" s="304"/>
      <c r="AI75" s="303"/>
      <c r="AJ75" s="57"/>
      <c r="AK75" s="297"/>
      <c r="AM75" s="304"/>
      <c r="AN75" s="57"/>
      <c r="AO75" s="301"/>
      <c r="AQ75" s="304"/>
      <c r="AR75" s="303"/>
      <c r="AS75" s="57"/>
      <c r="AT75" s="523"/>
      <c r="AV75" s="304"/>
      <c r="AW75" s="57"/>
      <c r="AX75" s="301"/>
      <c r="AZ75" s="26"/>
      <c r="BC75" s="304"/>
      <c r="BD75" s="57"/>
      <c r="BE75" s="301"/>
      <c r="BG75" s="26"/>
    </row>
    <row r="76" spans="1:59" x14ac:dyDescent="0.35">
      <c r="A76" s="9168"/>
      <c r="B76" s="305"/>
      <c r="C76" s="59" t="s">
        <v>4268</v>
      </c>
      <c r="D76" s="60"/>
      <c r="F76" s="61"/>
      <c r="G76" s="272"/>
      <c r="H76" s="62"/>
      <c r="I76" s="63"/>
      <c r="J76" s="297">
        <f>IF(H76=0,0,I76/H76)</f>
        <v>0</v>
      </c>
      <c r="L76" s="62"/>
      <c r="M76" s="157">
        <f>L76*J76</f>
        <v>0</v>
      </c>
      <c r="O76" s="62"/>
      <c r="P76" s="72"/>
      <c r="Q76" s="57"/>
      <c r="R76" s="297"/>
      <c r="T76" s="62"/>
      <c r="U76" s="57"/>
      <c r="V76" s="301"/>
      <c r="W76" s="55"/>
      <c r="Y76" s="62"/>
      <c r="Z76" s="72"/>
      <c r="AA76" s="57"/>
      <c r="AB76" s="297"/>
      <c r="AD76" s="62"/>
      <c r="AE76" s="57"/>
      <c r="AF76" s="301"/>
      <c r="AH76" s="62"/>
      <c r="AI76" s="72"/>
      <c r="AJ76" s="57"/>
      <c r="AK76" s="297"/>
      <c r="AM76" s="62"/>
      <c r="AN76" s="57"/>
      <c r="AO76" s="301"/>
      <c r="AQ76" s="62"/>
      <c r="AR76" s="72"/>
      <c r="AS76" s="57"/>
      <c r="AT76" s="523"/>
      <c r="AV76" s="62"/>
      <c r="AW76" s="57"/>
      <c r="AX76" s="301"/>
      <c r="AZ76" s="26"/>
      <c r="BC76" s="62"/>
      <c r="BD76" s="57"/>
      <c r="BE76" s="301"/>
      <c r="BG76" s="26"/>
    </row>
    <row r="77" spans="1:59" x14ac:dyDescent="0.35">
      <c r="A77" s="9169"/>
      <c r="B77" s="306"/>
      <c r="C77" s="86" t="s">
        <v>4318</v>
      </c>
      <c r="D77" s="87"/>
      <c r="F77" s="88"/>
      <c r="G77" s="274"/>
      <c r="H77" s="89"/>
      <c r="I77" s="90"/>
      <c r="J77" s="307">
        <f>IF(H77=0,0,I77/H77)</f>
        <v>0</v>
      </c>
      <c r="L77" s="89"/>
      <c r="M77" s="213">
        <f>L77*J77</f>
        <v>0</v>
      </c>
      <c r="O77" s="89"/>
      <c r="P77" s="308"/>
      <c r="Q77" s="216"/>
      <c r="R77" s="307"/>
      <c r="T77" s="89"/>
      <c r="U77" s="216"/>
      <c r="V77" s="309"/>
      <c r="W77" s="218"/>
      <c r="Y77" s="89"/>
      <c r="Z77" s="308"/>
      <c r="AA77" s="216"/>
      <c r="AB77" s="307"/>
      <c r="AD77" s="89"/>
      <c r="AE77" s="216"/>
      <c r="AF77" s="309"/>
      <c r="AH77" s="89"/>
      <c r="AI77" s="308"/>
      <c r="AJ77" s="216"/>
      <c r="AK77" s="307"/>
      <c r="AM77" s="89"/>
      <c r="AN77" s="216"/>
      <c r="AO77" s="309"/>
      <c r="AQ77" s="89"/>
      <c r="AR77" s="308"/>
      <c r="AS77" s="216"/>
      <c r="AT77" s="527"/>
      <c r="AV77" s="89"/>
      <c r="AW77" s="216"/>
      <c r="AX77" s="309"/>
      <c r="AZ77" s="24"/>
      <c r="BC77" s="89"/>
      <c r="BD77" s="216"/>
      <c r="BE77" s="309"/>
      <c r="BG77" s="24"/>
    </row>
    <row r="78" spans="1:59" ht="14.75" customHeight="1" x14ac:dyDescent="0.35">
      <c r="A78" s="310"/>
      <c r="B78" s="310"/>
      <c r="F78" s="106"/>
      <c r="H78" s="106"/>
      <c r="I78" s="106"/>
      <c r="J78" s="311"/>
      <c r="L78" s="106"/>
      <c r="M78" s="312"/>
      <c r="O78" s="106"/>
      <c r="P78" s="106"/>
      <c r="Q78" s="106"/>
      <c r="R78" s="311"/>
      <c r="T78" s="106"/>
      <c r="U78" s="106"/>
      <c r="V78" s="312"/>
      <c r="W78" s="106"/>
      <c r="Y78" s="313" t="s">
        <v>6753</v>
      </c>
      <c r="Z78" s="106"/>
      <c r="AA78" s="106"/>
      <c r="AB78" s="311"/>
      <c r="AD78" s="106"/>
      <c r="AE78" s="106"/>
      <c r="AF78" s="312"/>
      <c r="AH78" s="313" t="s">
        <v>6754</v>
      </c>
      <c r="AI78" s="106"/>
      <c r="AJ78" s="106"/>
      <c r="AK78" s="311"/>
      <c r="AM78" s="106"/>
      <c r="AN78" s="106"/>
      <c r="AO78" s="312"/>
      <c r="AQ78" s="313" t="s">
        <v>6754</v>
      </c>
      <c r="AR78" s="106"/>
      <c r="AS78" s="106"/>
      <c r="AT78" s="558"/>
      <c r="AV78" s="106"/>
      <c r="AW78" s="106"/>
      <c r="AX78" s="312"/>
      <c r="BC78" s="106"/>
      <c r="BD78" s="106"/>
      <c r="BE78" s="312"/>
    </row>
    <row r="79" spans="1:59" x14ac:dyDescent="0.35">
      <c r="A79" s="9226" t="s">
        <v>1114</v>
      </c>
      <c r="B79" s="314" t="s">
        <v>6755</v>
      </c>
      <c r="C79" s="315"/>
      <c r="D79" s="184"/>
      <c r="F79" s="316"/>
      <c r="H79" s="317"/>
      <c r="I79" s="318"/>
      <c r="J79" s="319"/>
      <c r="L79" s="317"/>
      <c r="M79" s="318"/>
      <c r="O79" s="320"/>
      <c r="P79" s="321"/>
      <c r="Q79" s="322" t="s">
        <v>6756</v>
      </c>
      <c r="R79" s="188"/>
      <c r="T79" s="317"/>
      <c r="U79" s="109"/>
      <c r="V79" s="323"/>
      <c r="W79" s="324"/>
      <c r="Y79" s="320"/>
      <c r="Z79" s="321"/>
      <c r="AA79" s="322" t="s">
        <v>6756</v>
      </c>
      <c r="AB79" s="188"/>
      <c r="AD79" s="317"/>
      <c r="AE79" s="109" t="s">
        <v>6692</v>
      </c>
      <c r="AF79" s="323"/>
      <c r="AH79" s="320"/>
      <c r="AI79" s="321"/>
      <c r="AJ79" s="322"/>
      <c r="AK79" s="188"/>
      <c r="AM79" s="317"/>
      <c r="AN79" s="109" t="s">
        <v>6757</v>
      </c>
      <c r="AO79" s="323"/>
      <c r="AQ79" s="320"/>
      <c r="AR79" s="321"/>
      <c r="AS79" s="322"/>
      <c r="AT79" s="869"/>
      <c r="AV79" s="317"/>
      <c r="AW79" s="109" t="s">
        <v>6694</v>
      </c>
      <c r="AX79" s="323"/>
      <c r="AZ79" s="18"/>
      <c r="BC79" s="317"/>
      <c r="BD79" s="109"/>
      <c r="BE79" s="323"/>
      <c r="BG79" s="18"/>
    </row>
    <row r="80" spans="1:59" x14ac:dyDescent="0.35">
      <c r="A80" s="9227"/>
      <c r="B80" s="325"/>
      <c r="C80" s="326" t="s">
        <v>11</v>
      </c>
      <c r="D80" s="197"/>
      <c r="F80" s="327"/>
      <c r="H80" s="325"/>
      <c r="I80" s="328"/>
      <c r="J80" s="329"/>
      <c r="L80" s="325"/>
      <c r="M80" s="328"/>
      <c r="O80" s="330">
        <f>571604000-O81</f>
        <v>570369000</v>
      </c>
      <c r="P80" s="331">
        <f>423418784*12/9-P81</f>
        <v>563361045.33333325</v>
      </c>
      <c r="R80" s="64">
        <f>(P80+P83)/(O80+O83)</f>
        <v>0.9875102372122313</v>
      </c>
      <c r="T80" s="330">
        <f>373859000-T81</f>
        <v>373529000</v>
      </c>
      <c r="U80" s="332"/>
      <c r="V80" s="333">
        <f>T80*R80</f>
        <v>368863711.39564753</v>
      </c>
      <c r="W80" s="334"/>
      <c r="Y80" s="330">
        <f>373859000-Y81</f>
        <v>373529000</v>
      </c>
      <c r="Z80" s="331">
        <f>X80*V80</f>
        <v>0</v>
      </c>
      <c r="AB80" s="64">
        <f>(Z80+Z83)/(Y80+Y83)</f>
        <v>0</v>
      </c>
      <c r="AD80" s="330">
        <v>302831000</v>
      </c>
      <c r="AE80" s="106" t="s">
        <v>6758</v>
      </c>
      <c r="AF80" s="333">
        <f>301329116*12/9</f>
        <v>401772154.66666669</v>
      </c>
      <c r="AH80" s="330">
        <v>302831000</v>
      </c>
      <c r="AI80" s="331">
        <f>300865406*12/9</f>
        <v>401153874.66666669</v>
      </c>
      <c r="AJ80" s="70" t="s">
        <v>6759</v>
      </c>
      <c r="AK80" s="126">
        <f>(AI80+AI83)/(AH80+AH83)</f>
        <v>1.0751375867963135</v>
      </c>
      <c r="AM80" s="330">
        <v>327688000</v>
      </c>
      <c r="AN80" s="313" t="s">
        <v>6760</v>
      </c>
      <c r="AO80" s="333">
        <f>336375679*12/9</f>
        <v>448500905.33333331</v>
      </c>
      <c r="AQ80" s="330">
        <f t="shared" ref="AQ80:AQ84" si="20">AM80</f>
        <v>327688000</v>
      </c>
      <c r="AR80" s="331">
        <f t="shared" ref="AR80:AR84" si="21">AO80</f>
        <v>448500905.33333331</v>
      </c>
      <c r="AS80" s="70" t="str">
        <f t="shared" ref="AS80:AS84" si="22">AN80</f>
        <v>page 171</v>
      </c>
      <c r="AT80" s="7353">
        <f>(AR80+AR83)/(AQ80+AQ83)</f>
        <v>1.0893148590449928</v>
      </c>
      <c r="AV80" s="330">
        <f>561922000-AV81</f>
        <v>529584000</v>
      </c>
      <c r="AW80" s="313" t="s">
        <v>6761</v>
      </c>
      <c r="AX80" s="333">
        <f>446761908*12/9-AX81</f>
        <v>591342888</v>
      </c>
      <c r="AZ80" s="26" t="s">
        <v>6762</v>
      </c>
      <c r="BC80" s="330">
        <f>2513437000-BC81</f>
        <v>1952307000</v>
      </c>
      <c r="BD80" s="313"/>
      <c r="BE80" s="333">
        <f>3164911571*12/9-BE81</f>
        <v>4165422617.333333</v>
      </c>
      <c r="BG80" s="26" t="s">
        <v>6763</v>
      </c>
    </row>
    <row r="81" spans="1:59" x14ac:dyDescent="0.35">
      <c r="A81" s="9227"/>
      <c r="B81" s="335"/>
      <c r="C81" s="326" t="s">
        <v>1116</v>
      </c>
      <c r="D81" s="197"/>
      <c r="F81" s="336"/>
      <c r="H81" s="330"/>
      <c r="I81" s="337"/>
      <c r="J81" s="329"/>
      <c r="L81" s="330"/>
      <c r="M81" s="337"/>
      <c r="O81" s="330">
        <f>335000+900000</f>
        <v>1235000</v>
      </c>
      <c r="P81" s="331">
        <f>898000*12/9</f>
        <v>1197333.3333333333</v>
      </c>
      <c r="Q81" s="106"/>
      <c r="R81" s="64">
        <f>(P81+P84)/(O81+O84)</f>
        <v>0.9782901056676272</v>
      </c>
      <c r="T81" s="330">
        <f>80000+250000</f>
        <v>330000</v>
      </c>
      <c r="U81" s="106"/>
      <c r="V81" s="333">
        <f>T81*R81</f>
        <v>322835.73487031698</v>
      </c>
      <c r="W81" s="168"/>
      <c r="Y81" s="330">
        <f>80000+250000</f>
        <v>330000</v>
      </c>
      <c r="Z81" s="331">
        <f>X81*V81</f>
        <v>0</v>
      </c>
      <c r="AA81" s="106"/>
      <c r="AB81" s="64">
        <f>(Z81+Z84)/(Y81+Y84)</f>
        <v>0</v>
      </c>
      <c r="AD81" s="330">
        <v>2380000</v>
      </c>
      <c r="AE81" s="106" t="s">
        <v>6764</v>
      </c>
      <c r="AF81" s="333">
        <f>AD81*AB81</f>
        <v>0</v>
      </c>
      <c r="AH81" s="330">
        <v>2380000</v>
      </c>
      <c r="AI81" s="331">
        <f>463710*12/9</f>
        <v>618280</v>
      </c>
      <c r="AJ81" s="70" t="s">
        <v>6759</v>
      </c>
      <c r="AK81" s="64">
        <f t="shared" ref="AK81:AK83" si="23">(AI81+AI84)/(AH81+AH84)</f>
        <v>0.31526862106406084</v>
      </c>
      <c r="AM81" s="330">
        <v>6185000</v>
      </c>
      <c r="AN81" s="313" t="s">
        <v>6760</v>
      </c>
      <c r="AO81" s="333">
        <f>1858617*12/9</f>
        <v>2478156</v>
      </c>
      <c r="AQ81" s="330">
        <f t="shared" si="20"/>
        <v>6185000</v>
      </c>
      <c r="AR81" s="331">
        <f t="shared" si="21"/>
        <v>2478156</v>
      </c>
      <c r="AS81" s="70" t="str">
        <f t="shared" si="22"/>
        <v>page 171</v>
      </c>
      <c r="AT81" s="476">
        <f t="shared" ref="AT81" si="24">(AR81+AR84)/(AQ81+AQ84)</f>
        <v>0.35586950411563945</v>
      </c>
      <c r="AV81" s="330">
        <f>32338000</f>
        <v>32338000</v>
      </c>
      <c r="AW81" s="313" t="s">
        <v>6761</v>
      </c>
      <c r="AX81" s="333">
        <f>3254742*12/9</f>
        <v>4339656</v>
      </c>
      <c r="AZ81" s="26"/>
      <c r="BC81" s="330">
        <v>561130000</v>
      </c>
      <c r="BD81" s="313"/>
      <c r="BE81" s="333">
        <f>40844608*12/9</f>
        <v>54459477.333333336</v>
      </c>
      <c r="BG81" s="26"/>
    </row>
    <row r="82" spans="1:59" x14ac:dyDescent="0.35">
      <c r="A82" s="9227"/>
      <c r="B82" s="330" t="s">
        <v>6765</v>
      </c>
      <c r="C82" s="326"/>
      <c r="D82" s="197"/>
      <c r="F82" s="336"/>
      <c r="H82" s="330"/>
      <c r="I82" s="337"/>
      <c r="J82" s="329"/>
      <c r="L82" s="330"/>
      <c r="M82" s="337"/>
      <c r="O82" s="330"/>
      <c r="P82" s="331"/>
      <c r="Q82" s="106"/>
      <c r="R82" s="64"/>
      <c r="T82" s="330"/>
      <c r="U82" s="106"/>
      <c r="V82" s="333"/>
      <c r="W82" s="168"/>
      <c r="Y82" s="330"/>
      <c r="Z82" s="331"/>
      <c r="AA82" s="106"/>
      <c r="AB82" s="64"/>
      <c r="AD82" s="330"/>
      <c r="AE82" s="106"/>
      <c r="AF82" s="333"/>
      <c r="AH82" s="330"/>
      <c r="AI82" s="331"/>
      <c r="AJ82" s="106"/>
      <c r="AK82" s="64"/>
      <c r="AM82" s="330"/>
      <c r="AN82" s="313"/>
      <c r="AO82" s="333"/>
      <c r="AQ82" s="330">
        <f t="shared" si="20"/>
        <v>0</v>
      </c>
      <c r="AR82" s="331">
        <f t="shared" si="21"/>
        <v>0</v>
      </c>
      <c r="AS82" s="106">
        <f t="shared" si="22"/>
        <v>0</v>
      </c>
      <c r="AT82" s="476"/>
      <c r="AV82" s="330"/>
      <c r="AW82" s="313"/>
      <c r="AX82" s="333"/>
      <c r="AZ82" s="26"/>
      <c r="BC82" s="330"/>
      <c r="BD82" s="313"/>
      <c r="BE82" s="333"/>
      <c r="BG82" s="26"/>
    </row>
    <row r="83" spans="1:59" x14ac:dyDescent="0.35">
      <c r="A83" s="9227"/>
      <c r="B83" s="330"/>
      <c r="C83" s="326" t="s">
        <v>11</v>
      </c>
      <c r="D83" s="197"/>
      <c r="F83" s="336"/>
      <c r="H83" s="330"/>
      <c r="I83" s="337"/>
      <c r="J83" s="329"/>
      <c r="L83" s="330"/>
      <c r="M83" s="337"/>
      <c r="O83" s="330">
        <f>1771000-O84</f>
        <v>1271000</v>
      </c>
      <c r="P83" s="331">
        <f>854480*12/9</f>
        <v>1139306.6666666667</v>
      </c>
      <c r="Q83" s="106"/>
      <c r="R83" s="64"/>
      <c r="T83" s="330">
        <f>144235000-T84</f>
        <v>143970000</v>
      </c>
      <c r="U83" s="106"/>
      <c r="V83" s="333">
        <f>T83*R80</f>
        <v>142171848.85144493</v>
      </c>
      <c r="W83" s="168"/>
      <c r="Y83" s="330">
        <f>144235000-Y84</f>
        <v>143970000</v>
      </c>
      <c r="Z83" s="331">
        <f>X83*V80</f>
        <v>0</v>
      </c>
      <c r="AA83" s="106"/>
      <c r="AB83" s="64"/>
      <c r="AD83" s="330">
        <v>213752000</v>
      </c>
      <c r="AE83" s="106" t="s">
        <v>6766</v>
      </c>
      <c r="AF83" s="333">
        <f>115682944*12/9</f>
        <v>154243925.33333334</v>
      </c>
      <c r="AH83" s="330">
        <v>213752000</v>
      </c>
      <c r="AI83" s="331">
        <f>115682944*12/9</f>
        <v>154243925.33333334</v>
      </c>
      <c r="AJ83" s="313" t="s">
        <v>6767</v>
      </c>
      <c r="AK83" s="64">
        <f t="shared" si="23"/>
        <v>0.72160225557343716</v>
      </c>
      <c r="AM83" s="330">
        <v>238793000</v>
      </c>
      <c r="AN83" s="313" t="s">
        <v>6768</v>
      </c>
      <c r="AO83" s="333">
        <f>126431449*12/9</f>
        <v>168575265.33333334</v>
      </c>
      <c r="AQ83" s="330">
        <f t="shared" si="20"/>
        <v>238793000</v>
      </c>
      <c r="AR83" s="331">
        <f t="shared" si="21"/>
        <v>168575265.33333334</v>
      </c>
      <c r="AS83" s="313" t="str">
        <f t="shared" si="22"/>
        <v>page 169</v>
      </c>
      <c r="AT83" s="476">
        <f t="shared" ref="AT83" si="25">(AR83+AR86)/(AQ83+AQ86)</f>
        <v>0.7059472653441824</v>
      </c>
      <c r="AV83" s="330">
        <f>385110000-AV84</f>
        <v>377372000</v>
      </c>
      <c r="AW83" s="313" t="s">
        <v>6769</v>
      </c>
      <c r="AX83" s="333">
        <f>186857933*12/9-AX84</f>
        <v>247091189.33333331</v>
      </c>
      <c r="AZ83" s="26" t="s">
        <v>6770</v>
      </c>
      <c r="BC83" s="330">
        <f>1764991000-BC84</f>
        <v>1336991000</v>
      </c>
      <c r="BD83" s="313"/>
      <c r="BE83" s="333">
        <f>1135286446*12/9-BE84</f>
        <v>1458993085.3333333</v>
      </c>
      <c r="BG83" s="26"/>
    </row>
    <row r="84" spans="1:59" x14ac:dyDescent="0.35">
      <c r="A84" s="9227"/>
      <c r="B84" s="330"/>
      <c r="C84" s="326" t="s">
        <v>1116</v>
      </c>
      <c r="D84" s="197"/>
      <c r="F84" s="336"/>
      <c r="H84" s="330"/>
      <c r="I84" s="337"/>
      <c r="J84" s="329"/>
      <c r="L84" s="330"/>
      <c r="M84" s="337"/>
      <c r="O84" s="330">
        <v>500000</v>
      </c>
      <c r="P84" s="338">
        <f>O84</f>
        <v>500000</v>
      </c>
      <c r="Q84" s="106"/>
      <c r="R84" s="64"/>
      <c r="T84" s="330">
        <f>15000+250000</f>
        <v>265000</v>
      </c>
      <c r="U84" s="106"/>
      <c r="V84" s="333">
        <f>T84*R81</f>
        <v>259246.8780019212</v>
      </c>
      <c r="W84" s="168"/>
      <c r="Y84" s="330">
        <f>15000+250000</f>
        <v>265000</v>
      </c>
      <c r="Z84" s="338">
        <f>X84*V81</f>
        <v>0</v>
      </c>
      <c r="AA84" s="106"/>
      <c r="AB84" s="64"/>
      <c r="AD84" s="330">
        <v>690000</v>
      </c>
      <c r="AE84" s="106" t="s">
        <v>6771</v>
      </c>
      <c r="AF84" s="333">
        <f>262196*12/9</f>
        <v>349594.66666666669</v>
      </c>
      <c r="AH84" s="330">
        <v>690000</v>
      </c>
      <c r="AI84" s="338">
        <f>262196*12/9</f>
        <v>349594.66666666669</v>
      </c>
      <c r="AJ84" s="313" t="s">
        <v>6767</v>
      </c>
      <c r="AK84" s="64"/>
      <c r="AM84" s="330">
        <v>3777000</v>
      </c>
      <c r="AN84" s="313" t="s">
        <v>6768</v>
      </c>
      <c r="AO84" s="333">
        <f>800262*12/9</f>
        <v>1067016</v>
      </c>
      <c r="AQ84" s="330">
        <f t="shared" si="20"/>
        <v>3777000</v>
      </c>
      <c r="AR84" s="338">
        <f t="shared" si="21"/>
        <v>1067016</v>
      </c>
      <c r="AS84" s="313" t="str">
        <f t="shared" si="22"/>
        <v>page 169</v>
      </c>
      <c r="AT84" s="476"/>
      <c r="AV84" s="330">
        <f>7738000</f>
        <v>7738000</v>
      </c>
      <c r="AW84" s="313" t="s">
        <v>6769</v>
      </c>
      <c r="AX84" s="333">
        <f>1539541*12/9</f>
        <v>2052721.3333333333</v>
      </c>
      <c r="AZ84" s="26"/>
      <c r="BC84" s="330">
        <v>428000000</v>
      </c>
      <c r="BD84" s="313"/>
      <c r="BE84" s="333">
        <f>41041632*12/9</f>
        <v>54722176</v>
      </c>
      <c r="BG84" s="26"/>
    </row>
    <row r="85" spans="1:59" x14ac:dyDescent="0.35">
      <c r="A85" s="9227"/>
      <c r="B85" s="330"/>
      <c r="C85" s="326"/>
      <c r="D85" s="197"/>
      <c r="F85" s="336"/>
      <c r="H85" s="330"/>
      <c r="I85" s="337"/>
      <c r="J85" s="329"/>
      <c r="L85" s="330"/>
      <c r="M85" s="337"/>
      <c r="O85" s="339"/>
      <c r="P85" s="340"/>
      <c r="Q85" s="106"/>
      <c r="R85" s="64"/>
      <c r="T85" s="330"/>
      <c r="U85" s="106"/>
      <c r="V85" s="333"/>
      <c r="W85" s="168"/>
      <c r="Y85" s="339"/>
      <c r="Z85" s="340"/>
      <c r="AA85" s="106"/>
      <c r="AB85" s="64"/>
      <c r="AD85" s="330"/>
      <c r="AE85" s="106"/>
      <c r="AF85" s="333"/>
      <c r="AH85" s="339"/>
      <c r="AI85" s="340"/>
      <c r="AJ85" s="106"/>
      <c r="AK85" s="64"/>
      <c r="AM85" s="330"/>
      <c r="AN85" s="106"/>
      <c r="AO85" s="333"/>
      <c r="AQ85" s="339"/>
      <c r="AR85" s="340"/>
      <c r="AS85" s="106"/>
      <c r="AT85" s="476"/>
      <c r="AV85" s="330"/>
      <c r="AW85" s="106"/>
      <c r="AX85" s="333"/>
      <c r="AZ85" s="26"/>
      <c r="BC85" s="330"/>
      <c r="BD85" s="106"/>
      <c r="BE85" s="333"/>
      <c r="BG85" s="26"/>
    </row>
    <row r="86" spans="1:59" x14ac:dyDescent="0.35">
      <c r="A86" s="9227"/>
      <c r="B86" s="330"/>
      <c r="C86" s="326"/>
      <c r="D86" s="197"/>
      <c r="F86" s="336"/>
      <c r="H86" s="330"/>
      <c r="I86" s="337"/>
      <c r="J86" s="329"/>
      <c r="L86" s="330"/>
      <c r="M86" s="337"/>
      <c r="O86" s="339"/>
      <c r="P86" s="340"/>
      <c r="Q86" s="106"/>
      <c r="R86" s="64"/>
      <c r="T86" s="330"/>
      <c r="U86" s="106"/>
      <c r="V86" s="333"/>
      <c r="W86" s="168"/>
      <c r="Y86" s="339"/>
      <c r="Z86" s="340"/>
      <c r="AA86" s="106"/>
      <c r="AB86" s="64"/>
      <c r="AD86" s="330"/>
      <c r="AE86" s="106"/>
      <c r="AF86" s="333"/>
      <c r="AH86" s="339"/>
      <c r="AI86" s="340"/>
      <c r="AJ86" s="106"/>
      <c r="AK86" s="64"/>
      <c r="AM86" s="330"/>
      <c r="AN86" s="106"/>
      <c r="AO86" s="333"/>
      <c r="AQ86" s="339"/>
      <c r="AR86" s="340"/>
      <c r="AS86" s="106"/>
      <c r="AT86" s="476"/>
      <c r="AV86" s="330"/>
      <c r="AW86" s="106"/>
      <c r="AX86" s="333"/>
      <c r="AZ86" s="26"/>
      <c r="BC86" s="330"/>
      <c r="BD86" s="106"/>
      <c r="BE86" s="333"/>
      <c r="BG86" s="26"/>
    </row>
    <row r="87" spans="1:59" x14ac:dyDescent="0.35">
      <c r="A87" s="9227"/>
      <c r="B87" s="330"/>
      <c r="C87" s="337"/>
      <c r="D87" s="197"/>
      <c r="F87" s="336"/>
      <c r="H87" s="330"/>
      <c r="I87" s="337"/>
      <c r="J87" s="329"/>
      <c r="L87" s="330"/>
      <c r="M87" s="337"/>
      <c r="O87" s="339"/>
      <c r="P87" s="340"/>
      <c r="Q87" s="106"/>
      <c r="R87" s="64"/>
      <c r="T87" s="330"/>
      <c r="U87" s="106"/>
      <c r="V87" s="333"/>
      <c r="W87" s="168"/>
      <c r="Y87" s="339"/>
      <c r="Z87" s="340"/>
      <c r="AA87" s="106"/>
      <c r="AB87" s="64"/>
      <c r="AD87" s="330"/>
      <c r="AE87" s="106"/>
      <c r="AF87" s="333"/>
      <c r="AH87" s="339"/>
      <c r="AI87" s="340"/>
      <c r="AJ87" s="106"/>
      <c r="AK87" s="64"/>
      <c r="AM87" s="330"/>
      <c r="AN87" s="106"/>
      <c r="AO87" s="333"/>
      <c r="AQ87" s="339"/>
      <c r="AR87" s="340"/>
      <c r="AS87" s="106"/>
      <c r="AT87" s="476"/>
      <c r="AV87" s="330"/>
      <c r="AW87" s="106"/>
      <c r="AX87" s="333"/>
      <c r="AZ87" s="26"/>
      <c r="BC87" s="330"/>
      <c r="BD87" s="106"/>
      <c r="BE87" s="333"/>
      <c r="BG87" s="26"/>
    </row>
    <row r="88" spans="1:59" x14ac:dyDescent="0.35">
      <c r="A88" s="9228"/>
      <c r="B88" s="341"/>
      <c r="C88" s="342"/>
      <c r="D88" s="209"/>
      <c r="F88" s="343"/>
      <c r="H88" s="341"/>
      <c r="I88" s="342"/>
      <c r="J88" s="344"/>
      <c r="L88" s="341"/>
      <c r="M88" s="342"/>
      <c r="O88" s="345"/>
      <c r="P88" s="346"/>
      <c r="Q88" s="216"/>
      <c r="R88" s="133"/>
      <c r="T88" s="341"/>
      <c r="U88" s="216"/>
      <c r="V88" s="347"/>
      <c r="W88" s="218"/>
      <c r="Y88" s="345"/>
      <c r="Z88" s="346"/>
      <c r="AA88" s="216"/>
      <c r="AB88" s="133"/>
      <c r="AD88" s="341"/>
      <c r="AE88" s="216"/>
      <c r="AF88" s="347"/>
      <c r="AH88" s="345"/>
      <c r="AI88" s="346"/>
      <c r="AJ88" s="216"/>
      <c r="AK88" s="133"/>
      <c r="AM88" s="341"/>
      <c r="AN88" s="216"/>
      <c r="AO88" s="347"/>
      <c r="AQ88" s="345"/>
      <c r="AR88" s="346"/>
      <c r="AS88" s="216"/>
      <c r="AT88" s="484"/>
      <c r="AV88" s="341"/>
      <c r="AW88" s="216"/>
      <c r="AX88" s="347"/>
      <c r="AZ88" s="24"/>
      <c r="BC88" s="341"/>
      <c r="BD88" s="216"/>
      <c r="BE88" s="347"/>
      <c r="BG88" s="24"/>
    </row>
    <row r="89" spans="1:59" x14ac:dyDescent="0.35">
      <c r="A89" s="310"/>
      <c r="B89" s="310"/>
      <c r="F89" s="106"/>
      <c r="H89" s="106"/>
      <c r="I89" s="106"/>
      <c r="J89" s="311"/>
      <c r="L89" s="106"/>
      <c r="M89" s="312"/>
      <c r="O89" s="106"/>
      <c r="P89" s="106"/>
      <c r="Q89" s="106"/>
      <c r="R89" s="311"/>
      <c r="T89" s="106"/>
      <c r="U89" s="106"/>
      <c r="V89" s="312"/>
      <c r="W89" s="106"/>
      <c r="Y89" s="106"/>
      <c r="Z89" s="106"/>
      <c r="AA89" s="106"/>
      <c r="AB89" s="311"/>
      <c r="AD89" s="106"/>
      <c r="AE89" s="106"/>
      <c r="AF89" s="312"/>
      <c r="AH89" s="106"/>
      <c r="AI89" s="106"/>
      <c r="AJ89" s="106"/>
      <c r="AK89" s="311"/>
      <c r="AM89" s="106"/>
      <c r="AN89" s="106"/>
      <c r="AO89" s="312"/>
      <c r="AQ89" s="106"/>
      <c r="AR89" s="106"/>
      <c r="AS89" s="106"/>
      <c r="AT89" s="558"/>
      <c r="AV89" s="106"/>
      <c r="AW89" s="106"/>
      <c r="AX89" s="312"/>
      <c r="BC89" s="106"/>
      <c r="BD89" s="106"/>
      <c r="BE89" s="312"/>
    </row>
    <row r="90" spans="1:59" x14ac:dyDescent="0.35">
      <c r="A90" s="9167" t="s">
        <v>566</v>
      </c>
      <c r="B90" s="139" t="s">
        <v>567</v>
      </c>
      <c r="C90" s="348"/>
      <c r="D90" s="49"/>
      <c r="E90" s="141"/>
      <c r="F90" s="227"/>
      <c r="G90" s="141"/>
      <c r="H90" s="102"/>
      <c r="I90" s="103"/>
      <c r="J90" s="228"/>
      <c r="K90" s="141"/>
      <c r="L90" s="102"/>
      <c r="M90" s="268"/>
      <c r="N90" s="141"/>
      <c r="O90" s="102"/>
      <c r="P90" s="103"/>
      <c r="Q90" s="103"/>
      <c r="R90" s="228"/>
      <c r="S90" s="141"/>
      <c r="T90" s="102"/>
      <c r="U90" s="103"/>
      <c r="V90" s="268"/>
      <c r="W90" s="103"/>
      <c r="X90" s="141"/>
      <c r="Y90" s="102"/>
      <c r="Z90" s="103"/>
      <c r="AA90" s="103"/>
      <c r="AB90" s="228"/>
      <c r="AC90" s="141"/>
      <c r="AD90" s="102"/>
      <c r="AE90" s="103"/>
      <c r="AF90" s="268"/>
      <c r="AG90" s="141"/>
      <c r="AH90" s="102"/>
      <c r="AI90" s="103"/>
      <c r="AJ90" s="103"/>
      <c r="AK90" s="228"/>
      <c r="AL90" s="141"/>
      <c r="AM90" s="102"/>
      <c r="AN90" s="103"/>
      <c r="AO90" s="268"/>
      <c r="AP90" s="141"/>
      <c r="AQ90" s="102"/>
      <c r="AR90" s="103"/>
      <c r="AS90" s="103"/>
      <c r="AT90" s="228"/>
      <c r="AU90" s="141"/>
      <c r="AV90" s="102"/>
      <c r="AW90" s="103"/>
      <c r="AX90" s="268"/>
      <c r="AY90" s="141"/>
      <c r="BB90" s="141"/>
      <c r="BC90" s="102"/>
      <c r="BD90" s="103"/>
      <c r="BE90" s="268"/>
      <c r="BF90" s="141"/>
    </row>
    <row r="91" spans="1:59" x14ac:dyDescent="0.35">
      <c r="A91" s="9168"/>
      <c r="B91" s="6082"/>
      <c r="C91"/>
      <c r="D91" s="110" t="s">
        <v>568</v>
      </c>
      <c r="F91" s="349">
        <f>SUM(F35:F39)-SUM(F42:F47)</f>
        <v>1018225643</v>
      </c>
      <c r="G91" s="350"/>
      <c r="H91" s="351">
        <f>SUM(H35:H39)-SUM(H42:H47)</f>
        <v>1209400000</v>
      </c>
      <c r="I91" s="352">
        <f>SUM(I35:I39)-SUM(I42:I47)</f>
        <v>1063632587.97</v>
      </c>
      <c r="J91" s="246"/>
      <c r="K91" s="350"/>
      <c r="L91" s="351">
        <f>SUM(L35:L39)-SUM(L42:L47)</f>
        <v>1206053000</v>
      </c>
      <c r="M91" s="353">
        <f>SUM(M35:M39)-SUM(M42:M47)</f>
        <v>1062366849.184456</v>
      </c>
      <c r="O91" s="354">
        <f>SUM(O35:O40)-SUM(O42:O47)</f>
        <v>1206879298</v>
      </c>
      <c r="P91" s="355">
        <f>SUM(P35:P40)-SUM(P42:P47)</f>
        <v>1149806241.3333333</v>
      </c>
      <c r="Q91" s="352"/>
      <c r="R91" s="246"/>
      <c r="S91" s="350"/>
      <c r="T91" s="351">
        <f>SUM(T35:T40)-SUM(T42:T47)</f>
        <v>1118077000</v>
      </c>
      <c r="U91" s="352"/>
      <c r="V91" s="353">
        <f>SUM(V35:V40)-SUM(V42:V47)</f>
        <v>1058493705.5999999</v>
      </c>
      <c r="W91" s="352"/>
      <c r="Y91" s="354">
        <f t="shared" ref="Y91:Z91" si="26">SUM(Y35:Y40)-SUM(Y42:Y47)</f>
        <v>1118077000</v>
      </c>
      <c r="Z91" s="355">
        <f t="shared" si="26"/>
        <v>1124550299</v>
      </c>
      <c r="AA91" s="352"/>
      <c r="AB91" s="246"/>
      <c r="AC91" s="350"/>
      <c r="AD91" s="351">
        <f>SUM(AD35:AD40)-SUM(AD42:AD47)</f>
        <v>1068832000</v>
      </c>
      <c r="AE91" s="352"/>
      <c r="AF91" s="353">
        <f>SUM(AF35:AF40)-SUM(AF42:AF47)</f>
        <v>1127550998.6666667</v>
      </c>
      <c r="AH91" s="354">
        <f t="shared" ref="AH91:AI91" si="27">SUM(AH35:AH40)-SUM(AH42:AH47)</f>
        <v>1068832000</v>
      </c>
      <c r="AI91" s="355">
        <f t="shared" si="27"/>
        <v>1127550998.6666667</v>
      </c>
      <c r="AJ91" s="352"/>
      <c r="AK91" s="246"/>
      <c r="AL91" s="350"/>
      <c r="AM91" s="351">
        <f>SUM(AM35:AM40)-SUM(AM42:AM47)</f>
        <v>1223031000</v>
      </c>
      <c r="AN91" s="352"/>
      <c r="AO91" s="353">
        <f>SUM(AO35:AO40)-SUM(AO42:AO47)</f>
        <v>1249521144</v>
      </c>
      <c r="AQ91" s="354">
        <f t="shared" ref="AQ91:AR91" si="28">SUM(AQ35:AQ40)-SUM(AQ42:AQ47)</f>
        <v>1223031000</v>
      </c>
      <c r="AR91" s="355">
        <f t="shared" si="28"/>
        <v>1249521144</v>
      </c>
      <c r="AS91" s="352"/>
      <c r="AT91" s="246"/>
      <c r="AU91" s="350"/>
      <c r="AV91" s="351">
        <f>SUM(AV35:AV40)-SUM(AV42:AV47)</f>
        <v>2056812000</v>
      </c>
      <c r="AW91" s="352"/>
      <c r="AX91" s="353">
        <f>SUM(AX35:AX40)-SUM(AX42:AX47)</f>
        <v>1998927588</v>
      </c>
      <c r="BB91" s="350"/>
      <c r="BC91" s="351">
        <f>SUM(BC35:BC40)-SUM(BC42:BC47)</f>
        <v>11567112000</v>
      </c>
      <c r="BD91" s="352"/>
      <c r="BE91" s="353">
        <f>SUM(BE35:BE40)-SUM(BE42:BE47)</f>
        <v>12913501327.333334</v>
      </c>
    </row>
    <row r="92" spans="1:59" x14ac:dyDescent="0.35">
      <c r="A92" s="9168"/>
      <c r="B92" s="6082"/>
      <c r="C92"/>
      <c r="D92" s="110" t="s">
        <v>569</v>
      </c>
      <c r="F92" s="349">
        <f>SUM(F49:F58)</f>
        <v>4764646.9090909092</v>
      </c>
      <c r="G92" s="350"/>
      <c r="H92" s="351">
        <f>SUM(H49:H58)</f>
        <v>10734000</v>
      </c>
      <c r="I92" s="352">
        <f>SUM(I49:I58)</f>
        <v>4768218</v>
      </c>
      <c r="J92" s="246"/>
      <c r="K92" s="350"/>
      <c r="L92" s="351">
        <f>SUM(L49:L58)</f>
        <v>5635000</v>
      </c>
      <c r="M92" s="353">
        <f>SUM(M49:M58)</f>
        <v>2848342.6459621219</v>
      </c>
      <c r="O92" s="354">
        <f>SUM(O49:O58)</f>
        <v>5167000</v>
      </c>
      <c r="P92" s="355">
        <f>SUM(P49:P58)</f>
        <v>4703706.666666666</v>
      </c>
      <c r="Q92" s="352"/>
      <c r="R92" s="246"/>
      <c r="S92" s="350"/>
      <c r="T92" s="351">
        <f>SUM(T49:T58)</f>
        <v>6100000</v>
      </c>
      <c r="U92" s="352"/>
      <c r="V92" s="353">
        <f>SUM(V49:V58)</f>
        <v>4911169.1903114188</v>
      </c>
      <c r="W92" s="352"/>
      <c r="Y92" s="354">
        <f t="shared" ref="Y92:Z92" si="29">SUM(Y49:Y58)</f>
        <v>5167000</v>
      </c>
      <c r="Z92" s="355">
        <f t="shared" si="29"/>
        <v>4190136</v>
      </c>
      <c r="AA92" s="352"/>
      <c r="AB92" s="246"/>
      <c r="AC92" s="350"/>
      <c r="AD92" s="351">
        <f>SUM(AD49:AD58)</f>
        <v>7153279</v>
      </c>
      <c r="AE92" s="352"/>
      <c r="AF92" s="353">
        <f>SUM(AF49:AF58)</f>
        <v>6198668</v>
      </c>
      <c r="AH92" s="354">
        <f t="shared" ref="AH92:AI92" si="30">SUM(AH49:AH58)</f>
        <v>7153279</v>
      </c>
      <c r="AI92" s="355">
        <f t="shared" si="30"/>
        <v>6198668</v>
      </c>
      <c r="AJ92" s="352"/>
      <c r="AK92" s="246"/>
      <c r="AL92" s="350"/>
      <c r="AM92" s="351">
        <f>SUM(AM49:AM58)</f>
        <v>17582000</v>
      </c>
      <c r="AN92" s="352"/>
      <c r="AO92" s="353">
        <f>SUM(AO49:AO58)</f>
        <v>14456558.66666667</v>
      </c>
      <c r="AQ92" s="354">
        <f t="shared" ref="AQ92:AR92" si="31">SUM(AQ49:AQ58)</f>
        <v>17582000</v>
      </c>
      <c r="AR92" s="355">
        <f t="shared" si="31"/>
        <v>14456558.66666667</v>
      </c>
      <c r="AS92" s="352"/>
      <c r="AT92" s="246"/>
      <c r="AU92" s="350"/>
      <c r="AV92" s="351">
        <f>SUM(AV49:AV58)</f>
        <v>49772000</v>
      </c>
      <c r="AW92" s="352"/>
      <c r="AX92" s="353">
        <f>SUM(AX49:AX58)</f>
        <v>23207304.000000004</v>
      </c>
      <c r="BB92" s="350"/>
      <c r="BC92" s="351">
        <f>SUM(BC49:BC58)</f>
        <v>177959000</v>
      </c>
      <c r="BD92" s="352"/>
      <c r="BE92" s="353">
        <f>SUM(BE49:BE58)</f>
        <v>242935256.23899785</v>
      </c>
    </row>
    <row r="93" spans="1:59" x14ac:dyDescent="0.35">
      <c r="A93" s="9168"/>
      <c r="B93" s="6082"/>
      <c r="C93"/>
      <c r="D93" s="110" t="s">
        <v>570</v>
      </c>
      <c r="F93" s="349">
        <f>SUM(F60:F67)*F28</f>
        <v>119592116.5561479</v>
      </c>
      <c r="G93" s="350"/>
      <c r="H93" s="351">
        <f>SUM(H60:H67)*H28</f>
        <v>139437633.29699549</v>
      </c>
      <c r="I93" s="352">
        <f>SUM(I60:I67)*I28</f>
        <v>130806984.59107278</v>
      </c>
      <c r="J93" s="246"/>
      <c r="K93" s="350"/>
      <c r="L93" s="351">
        <f>SUM(L60:L67)*L28</f>
        <v>145777498.66099903</v>
      </c>
      <c r="M93" s="353">
        <f>SUM(M60:M67)*M28</f>
        <v>136776683.94277677</v>
      </c>
      <c r="O93" s="354">
        <f>SUM(O60:O67)*O28</f>
        <v>159990281.04529127</v>
      </c>
      <c r="P93" s="355">
        <f>SUM(P60:P67)*P28</f>
        <v>155274942.06943765</v>
      </c>
      <c r="Q93" s="352"/>
      <c r="R93" s="246"/>
      <c r="S93" s="350"/>
      <c r="T93" s="351">
        <f>SUM(T60:T67)*T28</f>
        <v>151226740.17837399</v>
      </c>
      <c r="U93" s="352"/>
      <c r="V93" s="353">
        <f>SUM(V60:V67)*V28</f>
        <v>150347593.40557602</v>
      </c>
      <c r="W93" s="352"/>
      <c r="Y93" s="354">
        <f t="shared" ref="Y93:Z93" si="32">SUM(Y60:Y67)*Y28</f>
        <v>151189952.97412843</v>
      </c>
      <c r="Z93" s="355">
        <f t="shared" si="32"/>
        <v>149316917.31011271</v>
      </c>
      <c r="AA93" s="352"/>
      <c r="AB93" s="246"/>
      <c r="AC93" s="350"/>
      <c r="AD93" s="351">
        <f>SUM(AD60:AD67)*AD28</f>
        <v>148191932.94405544</v>
      </c>
      <c r="AE93" s="352"/>
      <c r="AF93" s="353">
        <f>SUM(AF60:AF67)*AF28</f>
        <v>147252998.7027027</v>
      </c>
      <c r="AH93" s="354">
        <f t="shared" ref="AH93:AI93" si="33">SUM(AH60:AH67)*AH28</f>
        <v>137949530.66310161</v>
      </c>
      <c r="AI93" s="355">
        <f t="shared" si="33"/>
        <v>148760979.4246538</v>
      </c>
      <c r="AJ93" s="352"/>
      <c r="AK93" s="246"/>
      <c r="AL93" s="350"/>
      <c r="AM93" s="351">
        <f>SUM(AM60:AM67)*AM28</f>
        <v>148555014.39736736</v>
      </c>
      <c r="AN93" s="352"/>
      <c r="AO93" s="353">
        <f>SUM(AO60:AO67)*AO28</f>
        <v>163439218.33319622</v>
      </c>
      <c r="AQ93" s="354">
        <f t="shared" ref="AQ93:AR93" si="34">SUM(AQ60:AQ67)*AQ28</f>
        <v>124718858.31316812</v>
      </c>
      <c r="AR93" s="355">
        <f t="shared" si="34"/>
        <v>137214841.22769597</v>
      </c>
      <c r="AS93" s="352"/>
      <c r="AT93" s="246"/>
      <c r="AU93" s="350"/>
      <c r="AV93" s="351">
        <f>SUM(AV60:AV67)*AV28</f>
        <v>190761698.59820813</v>
      </c>
      <c r="AW93" s="352"/>
      <c r="AX93" s="353">
        <f>SUM(AX60:AX67)*AX28</f>
        <v>303668845.49426019</v>
      </c>
      <c r="BB93" s="350"/>
      <c r="BC93" s="351">
        <f>SUM(BC60:BC67)*BC28</f>
        <v>709353737.85657024</v>
      </c>
      <c r="BD93" s="352"/>
      <c r="BE93" s="353">
        <f>SUM(BE60:BE67)*BE28</f>
        <v>1687215825.3670471</v>
      </c>
    </row>
    <row r="94" spans="1:59" x14ac:dyDescent="0.35">
      <c r="A94" s="9168"/>
      <c r="B94" s="6082"/>
      <c r="C94"/>
      <c r="D94" s="110" t="s">
        <v>552</v>
      </c>
      <c r="F94" s="349">
        <f>F69</f>
        <v>0</v>
      </c>
      <c r="G94" s="350"/>
      <c r="H94" s="351">
        <f>H69</f>
        <v>0</v>
      </c>
      <c r="I94" s="352">
        <f>I69</f>
        <v>0</v>
      </c>
      <c r="J94" s="246"/>
      <c r="K94" s="350"/>
      <c r="L94" s="351">
        <f>L69</f>
        <v>0</v>
      </c>
      <c r="M94" s="353">
        <f>M69</f>
        <v>0</v>
      </c>
      <c r="O94" s="354">
        <f>SUM(O69:O72)</f>
        <v>0</v>
      </c>
      <c r="P94" s="355">
        <f>SUM(P69:P72)</f>
        <v>0</v>
      </c>
      <c r="Q94" s="352"/>
      <c r="R94" s="246"/>
      <c r="S94" s="350"/>
      <c r="T94" s="351">
        <f>SUM(T69:T72)</f>
        <v>0</v>
      </c>
      <c r="U94" s="352"/>
      <c r="V94" s="353">
        <f>SUM(V69:V72)</f>
        <v>0</v>
      </c>
      <c r="W94" s="352"/>
      <c r="Y94" s="354">
        <f t="shared" ref="Y94:Z94" si="35">SUM(Y69:Y72)</f>
        <v>0</v>
      </c>
      <c r="Z94" s="355">
        <f t="shared" si="35"/>
        <v>0</v>
      </c>
      <c r="AA94" s="352"/>
      <c r="AB94" s="246"/>
      <c r="AC94" s="350"/>
      <c r="AD94" s="351">
        <f>SUM(AD69:AD72)</f>
        <v>0</v>
      </c>
      <c r="AE94" s="352"/>
      <c r="AF94" s="353">
        <f>SUM(AF69:AF72)</f>
        <v>0</v>
      </c>
      <c r="AH94" s="354">
        <f t="shared" ref="AH94:AI94" si="36">SUM(AH69:AH72)</f>
        <v>0</v>
      </c>
      <c r="AI94" s="355">
        <f t="shared" si="36"/>
        <v>0</v>
      </c>
      <c r="AJ94" s="352"/>
      <c r="AK94" s="246"/>
      <c r="AL94" s="350"/>
      <c r="AM94" s="351">
        <f>SUM(AM69:AM72)</f>
        <v>0</v>
      </c>
      <c r="AN94" s="352"/>
      <c r="AO94" s="353">
        <f>SUM(AO69:AO72)</f>
        <v>0</v>
      </c>
      <c r="AQ94" s="354">
        <f t="shared" ref="AQ94:AR94" si="37">SUM(AQ69:AQ72)</f>
        <v>0</v>
      </c>
      <c r="AR94" s="355">
        <f t="shared" si="37"/>
        <v>0</v>
      </c>
      <c r="AS94" s="352"/>
      <c r="AT94" s="246"/>
      <c r="AU94" s="350"/>
      <c r="AV94" s="351">
        <f>SUM(AV69:AV72)</f>
        <v>0</v>
      </c>
      <c r="AW94" s="352"/>
      <c r="AX94" s="353">
        <f>SUM(AX69:AX72)</f>
        <v>0</v>
      </c>
      <c r="BB94" s="350"/>
      <c r="BC94" s="351">
        <f>SUM(BC69:BC72)</f>
        <v>0</v>
      </c>
      <c r="BD94" s="352"/>
      <c r="BE94" s="353">
        <f>SUM(BE69:BE72)</f>
        <v>0</v>
      </c>
    </row>
    <row r="95" spans="1:59" x14ac:dyDescent="0.35">
      <c r="A95" s="9168"/>
      <c r="B95" s="6082"/>
      <c r="C95"/>
      <c r="D95" s="356" t="s">
        <v>571</v>
      </c>
      <c r="E95" s="143"/>
      <c r="F95" s="357">
        <f>SUM(F91:F94)</f>
        <v>1142582406.4652388</v>
      </c>
      <c r="G95" s="358"/>
      <c r="H95" s="359">
        <f>SUM(H91:H94)</f>
        <v>1359571633.2969954</v>
      </c>
      <c r="I95" s="360">
        <f>SUM(I91:I94)</f>
        <v>1199207790.5610728</v>
      </c>
      <c r="J95" s="361"/>
      <c r="K95" s="358"/>
      <c r="L95" s="359">
        <f>SUM(L91:L94)</f>
        <v>1357465498.6609991</v>
      </c>
      <c r="M95" s="362">
        <f>SUM(M91:M94)</f>
        <v>1201991875.7731948</v>
      </c>
      <c r="N95" s="143"/>
      <c r="O95" s="363">
        <f>SUM(O91:O94)</f>
        <v>1372036579.0452912</v>
      </c>
      <c r="P95" s="364">
        <f>SUM(P91:P94)</f>
        <v>1309784890.0694377</v>
      </c>
      <c r="Q95" s="360"/>
      <c r="R95" s="361"/>
      <c r="S95" s="358"/>
      <c r="T95" s="359">
        <f>SUM(T91:T94)</f>
        <v>1275403740.1783741</v>
      </c>
      <c r="U95" s="360"/>
      <c r="V95" s="362">
        <f>SUM(V91:V94)</f>
        <v>1213752468.1958873</v>
      </c>
      <c r="W95" s="360"/>
      <c r="X95" s="143"/>
      <c r="Y95" s="363">
        <f t="shared" ref="Y95:Z95" si="38">SUM(Y91:Y94)</f>
        <v>1274433952.9741285</v>
      </c>
      <c r="Z95" s="364">
        <f t="shared" si="38"/>
        <v>1278057352.3101127</v>
      </c>
      <c r="AA95" s="360"/>
      <c r="AB95" s="361"/>
      <c r="AC95" s="358"/>
      <c r="AD95" s="359">
        <f>SUM(AD91:AD94)</f>
        <v>1224177211.9440556</v>
      </c>
      <c r="AE95" s="360"/>
      <c r="AF95" s="362">
        <f>SUM(AF91:AF94)</f>
        <v>1281002665.3693695</v>
      </c>
      <c r="AG95" s="143"/>
      <c r="AH95" s="363">
        <f t="shared" ref="AH95:AI95" si="39">SUM(AH91:AH94)</f>
        <v>1213934809.6631017</v>
      </c>
      <c r="AI95" s="364">
        <f t="shared" si="39"/>
        <v>1282510646.0913205</v>
      </c>
      <c r="AJ95" s="360"/>
      <c r="AK95" s="361"/>
      <c r="AL95" s="358"/>
      <c r="AM95" s="359">
        <f>SUM(AM91:AM94)</f>
        <v>1389168014.3973675</v>
      </c>
      <c r="AN95" s="360"/>
      <c r="AO95" s="362">
        <f>SUM(AO91:AO94)</f>
        <v>1427416920.9998629</v>
      </c>
      <c r="AP95" s="143"/>
      <c r="AQ95" s="363">
        <f t="shared" ref="AQ95:AR95" si="40">SUM(AQ91:AQ94)</f>
        <v>1365331858.313168</v>
      </c>
      <c r="AR95" s="364">
        <f t="shared" si="40"/>
        <v>1401192543.8943627</v>
      </c>
      <c r="AS95" s="360"/>
      <c r="AT95" s="361"/>
      <c r="AU95" s="358"/>
      <c r="AV95" s="359">
        <f>SUM(AV91:AV94)</f>
        <v>2297345698.598208</v>
      </c>
      <c r="AW95" s="360"/>
      <c r="AX95" s="362">
        <f>SUM(AX91:AX94)</f>
        <v>2325803737.4942603</v>
      </c>
      <c r="AY95" s="143"/>
      <c r="BB95" s="358"/>
      <c r="BC95" s="359">
        <f>SUM(BC91:BC94)</f>
        <v>12454424737.856571</v>
      </c>
      <c r="BD95" s="360"/>
      <c r="BE95" s="362">
        <f>SUM(BE91:BE94)</f>
        <v>14843652408.939379</v>
      </c>
      <c r="BF95" s="143"/>
    </row>
    <row r="96" spans="1:59" ht="15.5" x14ac:dyDescent="0.35">
      <c r="A96" s="9168"/>
      <c r="B96" s="6082"/>
      <c r="C96"/>
      <c r="D96" s="365" t="s">
        <v>572</v>
      </c>
      <c r="F96" s="366">
        <f>F95/(F17+F18)</f>
        <v>0.28886004887784955</v>
      </c>
      <c r="G96" s="367"/>
      <c r="H96" s="368">
        <f>H95/(H17+H18)</f>
        <v>0.29634126280652001</v>
      </c>
      <c r="I96" s="369">
        <f>I95/(I17+I18)</f>
        <v>0.31936972728608248</v>
      </c>
      <c r="J96" s="370"/>
      <c r="K96" s="367"/>
      <c r="L96" s="368">
        <f>L95/(L17+L18)</f>
        <v>0.29649342535842194</v>
      </c>
      <c r="M96" s="370">
        <f>M95/(M17+M18)</f>
        <v>0.32077245878255561</v>
      </c>
      <c r="O96" s="368">
        <f>O95/(O17+O18+O19)</f>
        <v>0.33938619710720341</v>
      </c>
      <c r="P96" s="369">
        <f>P95/(P17+P18+P19)</f>
        <v>0.35089476520198187</v>
      </c>
      <c r="Q96" s="369"/>
      <c r="R96" s="370"/>
      <c r="S96" s="367"/>
      <c r="T96" s="368">
        <f>T95/(T17+T18+T19)</f>
        <v>0.3188509350445935</v>
      </c>
      <c r="U96" s="369"/>
      <c r="V96" s="370">
        <f>V95/(V17+V18+V19)</f>
        <v>0.31155372522346453</v>
      </c>
      <c r="W96" s="369"/>
      <c r="Y96" s="368">
        <f t="shared" ref="Y96:Z96" si="41">Y95/(Y17+Y18+Y19)</f>
        <v>0.31860848824353211</v>
      </c>
      <c r="Z96" s="369">
        <f t="shared" si="41"/>
        <v>0.26725860026141501</v>
      </c>
      <c r="AA96" s="369"/>
      <c r="AB96" s="370"/>
      <c r="AC96" s="367"/>
      <c r="AD96" s="368">
        <f>AD95/(AD17+AD18+AD19)</f>
        <v>0.31245773220470008</v>
      </c>
      <c r="AE96" s="369"/>
      <c r="AF96" s="370">
        <f>AF95/(AF17+AF18+AF19)</f>
        <v>0.31671850511341781</v>
      </c>
      <c r="AH96" s="368">
        <f t="shared" ref="AH96:AI96" si="42">AH95/(AH17+AH18+AH19)</f>
        <v>0.20081634568454948</v>
      </c>
      <c r="AI96" s="369">
        <f t="shared" si="42"/>
        <v>0.21369942753404866</v>
      </c>
      <c r="AJ96" s="369"/>
      <c r="AK96" s="370"/>
      <c r="AL96" s="367"/>
      <c r="AM96" s="368">
        <f>AM95/(AM17+AM18+AM19)</f>
        <v>0.24188891074305546</v>
      </c>
      <c r="AN96" s="369"/>
      <c r="AO96" s="370">
        <f>AO95/(AO17+AO18+AO19)</f>
        <v>0.23441785272071539</v>
      </c>
      <c r="AQ96" s="561">
        <f t="shared" ref="AQ96:AR96" si="43">AQ95/(AQ17+AQ18+AQ19)</f>
        <v>0.27857293512852838</v>
      </c>
      <c r="AR96" s="562">
        <f t="shared" si="43"/>
        <v>0.26013381661695323</v>
      </c>
      <c r="AS96" s="562"/>
      <c r="AT96" s="563"/>
      <c r="AU96" s="560"/>
      <c r="AV96" s="561">
        <f>AV95/(AV17+AV18+AV19)</f>
        <v>0.31497956966283308</v>
      </c>
      <c r="AW96" s="562"/>
      <c r="AX96" s="563">
        <f>AX95/(AX17+AX18+AX19)</f>
        <v>0.29307137458718613</v>
      </c>
      <c r="BB96" s="367"/>
      <c r="BC96" s="368">
        <f>BC95/(BC17+BC18+BC19)</f>
        <v>0.20193867713625716</v>
      </c>
      <c r="BD96" s="369"/>
      <c r="BE96" s="370">
        <f>BE95/(BE17+BE18+BE19)</f>
        <v>0.19125498723811057</v>
      </c>
    </row>
    <row r="97" spans="1:59" x14ac:dyDescent="0.35">
      <c r="A97" s="9168"/>
      <c r="B97" s="371"/>
      <c r="C97" s="372"/>
      <c r="D97" s="373" t="s">
        <v>573</v>
      </c>
      <c r="E97" s="374"/>
      <c r="F97" s="375"/>
      <c r="G97" s="376"/>
      <c r="H97" s="377"/>
      <c r="I97" s="378"/>
      <c r="J97" s="379"/>
      <c r="K97" s="376"/>
      <c r="L97" s="380"/>
      <c r="M97" s="379"/>
      <c r="O97" s="381">
        <f>O36+O39+O49+O51+O53+O55+O93</f>
        <v>1337146579.0452912</v>
      </c>
      <c r="P97" s="382">
        <f>P36+P39+P49+P51+P53+P55+P93</f>
        <v>1302152024.7361045</v>
      </c>
      <c r="Q97" s="383"/>
      <c r="R97" s="384"/>
      <c r="S97" s="385"/>
      <c r="T97" s="386">
        <f>T36+T39+T49+T51+T53+T55+T93</f>
        <v>1244133740.1783741</v>
      </c>
      <c r="U97" s="383"/>
      <c r="V97" s="387">
        <f>V36+V39+V49+V51+V53+V55+V93</f>
        <v>1186078923.8089468</v>
      </c>
      <c r="W97" s="383"/>
      <c r="Y97" s="381">
        <f t="shared" ref="Y97:Z97" si="44">Y36+Y39+Y49+Y51+Y53+Y55+Y93</f>
        <v>1243573952.9741285</v>
      </c>
      <c r="Z97" s="382">
        <f t="shared" si="44"/>
        <v>1278057352.310113</v>
      </c>
      <c r="AA97" s="383"/>
      <c r="AB97" s="384"/>
      <c r="AC97" s="385"/>
      <c r="AD97" s="386">
        <f>AD36+AD39+AD49+AD51+AD53+AD55+AD93</f>
        <v>1192381211.9440556</v>
      </c>
      <c r="AE97" s="383"/>
      <c r="AF97" s="387">
        <f>AF36+AF39+AF49+AF51+AF53+AF55+AF93</f>
        <v>1273212748.0360363</v>
      </c>
      <c r="AH97" s="381">
        <f t="shared" ref="AH97:AI97" si="45">AH36+AH39+AH49+AH51+AH53+AH55+AH93</f>
        <v>1182138809.6631017</v>
      </c>
      <c r="AI97" s="382">
        <f t="shared" si="45"/>
        <v>1274720728.7579873</v>
      </c>
      <c r="AJ97" s="383"/>
      <c r="AK97" s="384"/>
      <c r="AL97" s="385"/>
      <c r="AM97" s="386">
        <f>AM36+AM39+AM49+AM51+AM53+AM55+AM93</f>
        <v>1323148014.3973675</v>
      </c>
      <c r="AN97" s="383"/>
      <c r="AO97" s="388">
        <f>AO36+AO39+AO49+AO51+AO53+AO55+AO93</f>
        <v>1391545171.6665294</v>
      </c>
      <c r="AQ97" s="381">
        <f t="shared" ref="AQ97:AR97" si="46">AQ36+AQ39+AQ49+AQ51+AQ53+AQ55+AQ93</f>
        <v>1299311858.313168</v>
      </c>
      <c r="AR97" s="382">
        <f t="shared" si="46"/>
        <v>1365320794.5610292</v>
      </c>
      <c r="AS97" s="956"/>
      <c r="AT97" s="955"/>
      <c r="AU97" s="954"/>
      <c r="AV97" s="386">
        <f>AV36+AV39+AV49+AV51+AV53+AV55+AV93</f>
        <v>2121122698.5982082</v>
      </c>
      <c r="AW97" s="956"/>
      <c r="AX97" s="388">
        <f>AX36+AX39+AX49+AX51+AX53+AX55+AX93</f>
        <v>2260231630.8275933</v>
      </c>
      <c r="BB97" s="385"/>
      <c r="BC97" s="386">
        <f>BC36+BC39+BC49+BC51+BC53+BC55+BC93</f>
        <v>10262175737.856571</v>
      </c>
      <c r="BD97" s="383"/>
      <c r="BE97" s="388">
        <f>BE36+BE39+BE49+BE51+BE53+BE55+BE93</f>
        <v>14516538711.606045</v>
      </c>
    </row>
    <row r="98" spans="1:59" x14ac:dyDescent="0.35">
      <c r="A98" s="9168"/>
      <c r="B98" s="371"/>
      <c r="C98" s="372"/>
      <c r="D98" s="389" t="s">
        <v>574</v>
      </c>
      <c r="E98" s="374"/>
      <c r="F98" s="375"/>
      <c r="G98" s="376"/>
      <c r="H98" s="377"/>
      <c r="I98" s="378"/>
      <c r="J98" s="379"/>
      <c r="K98" s="376"/>
      <c r="L98" s="380"/>
      <c r="M98" s="379"/>
      <c r="O98" s="381">
        <f>O37+O40+O50+O52+O54+O56</f>
        <v>34890000</v>
      </c>
      <c r="P98" s="382">
        <f>P37+P40+P50+P52+P54+P56</f>
        <v>7632865.333333333</v>
      </c>
      <c r="Q98" s="383"/>
      <c r="R98" s="384"/>
      <c r="S98" s="385"/>
      <c r="T98" s="386">
        <f>T37+T40+T50+T52+T54+T56</f>
        <v>31270000</v>
      </c>
      <c r="U98" s="383"/>
      <c r="V98" s="387">
        <f>V37+V40+V50+V52+V54+V56</f>
        <v>27673544.386940643</v>
      </c>
      <c r="W98" s="383"/>
      <c r="Y98" s="381">
        <f t="shared" ref="Y98:Z98" si="47">Y37+Y40+Y50+Y52+Y54+Y56</f>
        <v>30860000</v>
      </c>
      <c r="Z98" s="382">
        <f t="shared" si="47"/>
        <v>0</v>
      </c>
      <c r="AA98" s="383"/>
      <c r="AB98" s="384"/>
      <c r="AC98" s="385"/>
      <c r="AD98" s="386">
        <f>AD37+AD40+AD50+AD52+AD54+AD56</f>
        <v>31796000</v>
      </c>
      <c r="AE98" s="383"/>
      <c r="AF98" s="387">
        <f>AF37+AF40+AF50+AF52+AF54+AF56</f>
        <v>7789917.333333334</v>
      </c>
      <c r="AH98" s="381">
        <f t="shared" ref="AH98" si="48">AH37+AH40+AH50+AH52+AH54+AH56</f>
        <v>31796000</v>
      </c>
      <c r="AI98" s="382">
        <f t="shared" ref="AI98" si="49">AI37+AI40+AI50+AI52+AI54+AI56</f>
        <v>7789917.333333334</v>
      </c>
      <c r="AJ98" s="383"/>
      <c r="AK98" s="384"/>
      <c r="AL98" s="385"/>
      <c r="AM98" s="386">
        <f>AM37+AM40+AM50+AM52+AM54+AM56</f>
        <v>66020000</v>
      </c>
      <c r="AN98" s="383"/>
      <c r="AO98" s="388">
        <f>AO37+AO40+AO50+AO52+AO54+AO56</f>
        <v>35871749.333333336</v>
      </c>
      <c r="AQ98" s="381">
        <f t="shared" ref="AQ98:AR98" si="50">AQ37+AQ40+AQ50+AQ52+AQ54+AQ56</f>
        <v>66020000</v>
      </c>
      <c r="AR98" s="382">
        <f t="shared" si="50"/>
        <v>35871749.333333336</v>
      </c>
      <c r="AS98" s="956"/>
      <c r="AT98" s="955"/>
      <c r="AU98" s="954"/>
      <c r="AV98" s="386">
        <f>AV37+AV40+AV50+AV52+AV54+AV56</f>
        <v>176223000</v>
      </c>
      <c r="AW98" s="956"/>
      <c r="AX98" s="388">
        <f>AX37+AX40+AX50+AX52+AX54+AX56</f>
        <v>65572106.666666664</v>
      </c>
      <c r="BB98" s="385"/>
      <c r="BC98" s="386">
        <f>BC37+BC40+BC50+BC52+BC54+BC56</f>
        <v>2192249000</v>
      </c>
      <c r="BD98" s="383"/>
      <c r="BE98" s="388">
        <f>BE37+BE40+BE50+BE52+BE54+BE56</f>
        <v>327113697.33333337</v>
      </c>
    </row>
    <row r="99" spans="1:59" x14ac:dyDescent="0.35">
      <c r="A99" s="9168"/>
      <c r="B99" s="58"/>
      <c r="C99" s="390"/>
      <c r="D99" s="391" t="s">
        <v>575</v>
      </c>
      <c r="E99" s="392"/>
      <c r="F99" s="393"/>
      <c r="G99" s="392"/>
      <c r="H99" s="394"/>
      <c r="I99" s="395"/>
      <c r="J99" s="229"/>
      <c r="K99" s="392"/>
      <c r="L99" s="396"/>
      <c r="M99" s="229"/>
      <c r="O99" s="397">
        <f>(O95-O97)/((O18+O19))</f>
        <v>0.10231671554252199</v>
      </c>
      <c r="P99" s="398">
        <f>(P95-P97)/((P18+P19))</f>
        <v>2.8759854307962525E-2</v>
      </c>
      <c r="Q99" s="399"/>
      <c r="R99" s="400"/>
      <c r="S99" s="401"/>
      <c r="T99" s="402">
        <f>(T95-T97)/((T18+T19))</f>
        <v>9.9269841269841272E-2</v>
      </c>
      <c r="U99" s="399"/>
      <c r="V99" s="403">
        <f>(V95-V97)/((V18+V19))</f>
        <v>9.9905587283391897E-2</v>
      </c>
      <c r="W99" s="399"/>
      <c r="Y99" s="397">
        <f t="shared" ref="Y99:Z99" si="51">(Y95-Y97)/((Y18+Y19))</f>
        <v>9.7968253968253968E-2</v>
      </c>
      <c r="Z99" s="398">
        <f t="shared" si="51"/>
        <v>-2.4642747193959948E-16</v>
      </c>
      <c r="AA99" s="399"/>
      <c r="AB99" s="400"/>
      <c r="AC99" s="401"/>
      <c r="AD99" s="402">
        <f>(AD95-AD97)/((AD18+AD19))</f>
        <v>0.10093968253968254</v>
      </c>
      <c r="AE99" s="399"/>
      <c r="AF99" s="403">
        <f>(AF95-AF97)/((AF18+AF19))</f>
        <v>2.4729896296296044E-2</v>
      </c>
      <c r="AH99" s="397">
        <f t="shared" ref="AH99" si="52">(AH95-AH97)/((AH18+AH19))</f>
        <v>2.0781699346405228E-2</v>
      </c>
      <c r="AI99" s="398"/>
      <c r="AJ99" s="399"/>
      <c r="AK99" s="400"/>
      <c r="AL99" s="401"/>
      <c r="AM99" s="402">
        <f>(AM95-AM97)/((AM18+AM19))</f>
        <v>5.6815834767641994E-2</v>
      </c>
      <c r="AN99" s="399"/>
      <c r="AO99" s="404"/>
      <c r="AQ99" s="397">
        <f t="shared" ref="AQ99" si="53">(AQ95-AQ97)/((AQ18+AQ19))</f>
        <v>8.0069876624763572E-2</v>
      </c>
      <c r="AR99" s="398"/>
      <c r="AS99" s="975"/>
      <c r="AT99" s="974"/>
      <c r="AU99" s="973"/>
      <c r="AV99" s="402">
        <f>(AV95-AV97)/((AV18+AV19))</f>
        <v>9.2869922662415394E-2</v>
      </c>
      <c r="AW99" s="975"/>
      <c r="AX99" s="404"/>
      <c r="BB99" s="401"/>
      <c r="BC99" s="402">
        <f>(BC95-BC97)/((BC18+BC19))</f>
        <v>0.10020088635717403</v>
      </c>
      <c r="BD99" s="399"/>
      <c r="BE99" s="404">
        <f>(BE95-BE97)/((BE18+BE19))</f>
        <v>1.3931525654942678E-2</v>
      </c>
    </row>
    <row r="100" spans="1:59" x14ac:dyDescent="0.35">
      <c r="A100" s="9168"/>
      <c r="B100" s="58"/>
      <c r="C100" s="390"/>
      <c r="D100" s="391" t="s">
        <v>576</v>
      </c>
      <c r="E100" s="392"/>
      <c r="F100" s="393"/>
      <c r="G100" s="392"/>
      <c r="H100" s="394"/>
      <c r="I100" s="395"/>
      <c r="J100" s="229"/>
      <c r="K100" s="392"/>
      <c r="L100" s="396"/>
      <c r="M100" s="229"/>
      <c r="O100" s="397">
        <f>O97/(O17)</f>
        <v>0.36122499906672373</v>
      </c>
      <c r="P100" s="398">
        <f>P97/(P17)</f>
        <v>0.37555216587434154</v>
      </c>
      <c r="Q100" s="399"/>
      <c r="R100" s="400"/>
      <c r="S100" s="401"/>
      <c r="T100" s="402">
        <f>T97/(T17)</f>
        <v>0.33762109638490478</v>
      </c>
      <c r="U100" s="399"/>
      <c r="V100" s="403">
        <f>V97/(V17)</f>
        <v>0.32775405856909234</v>
      </c>
      <c r="W100" s="399"/>
      <c r="Y100" s="397">
        <f t="shared" ref="Y100:Z100" si="54">Y97/(Y17)</f>
        <v>0.33746918669582865</v>
      </c>
      <c r="Z100" s="398">
        <f t="shared" si="54"/>
        <v>0.33504360937191657</v>
      </c>
      <c r="AA100" s="399"/>
      <c r="AB100" s="400"/>
      <c r="AC100" s="401"/>
      <c r="AD100" s="402">
        <f>AD97/(AD17)</f>
        <v>0.33095067985932014</v>
      </c>
      <c r="AE100" s="399"/>
      <c r="AF100" s="403">
        <f>AF97/(AF17)</f>
        <v>0.34137964255869685</v>
      </c>
      <c r="AH100" s="397">
        <f t="shared" ref="AH100" si="55">AH97/(AH17)</f>
        <v>0.26182476404498378</v>
      </c>
      <c r="AI100" s="398">
        <f t="shared" ref="AI100" si="56">AI97/(AI17)</f>
        <v>0.21240142593090849</v>
      </c>
      <c r="AJ100" s="399"/>
      <c r="AK100" s="400"/>
      <c r="AL100" s="401"/>
      <c r="AM100" s="402">
        <f>AM97/(AM17)</f>
        <v>0.28883388220855</v>
      </c>
      <c r="AN100" s="399"/>
      <c r="AO100" s="404"/>
      <c r="AQ100" s="397">
        <f t="shared" ref="AQ100" si="57">AQ97/(AQ17)</f>
        <v>0.31872165823954668</v>
      </c>
      <c r="AR100" s="398"/>
      <c r="AS100" s="975"/>
      <c r="AT100" s="974"/>
      <c r="AU100" s="973"/>
      <c r="AV100" s="402">
        <f>AV97/(AV17)</f>
        <v>0.39308373841192018</v>
      </c>
      <c r="AW100" s="975"/>
      <c r="AX100" s="404"/>
      <c r="BB100" s="401"/>
      <c r="BC100" s="402">
        <f>BC97/(BC17)</f>
        <v>0.25787113503613579</v>
      </c>
      <c r="BD100" s="399"/>
      <c r="BE100" s="404">
        <f>BE97/(BE17)</f>
        <v>0.26817055886085311</v>
      </c>
    </row>
    <row r="101" spans="1:59" x14ac:dyDescent="0.35">
      <c r="A101" s="9168"/>
      <c r="B101" s="58"/>
      <c r="C101" s="390"/>
      <c r="D101" s="391"/>
      <c r="E101" s="392"/>
      <c r="F101" s="393"/>
      <c r="G101" s="392"/>
      <c r="H101" s="394"/>
      <c r="I101" s="395"/>
      <c r="J101" s="229"/>
      <c r="K101" s="392"/>
      <c r="L101" s="396"/>
      <c r="M101" s="229"/>
      <c r="O101" s="405"/>
      <c r="P101" s="406"/>
      <c r="Q101" s="407"/>
      <c r="R101" s="408"/>
      <c r="S101" s="409"/>
      <c r="T101" s="410"/>
      <c r="U101" s="407"/>
      <c r="V101" s="411"/>
      <c r="W101" s="407"/>
      <c r="Y101" s="405"/>
      <c r="Z101" s="406"/>
      <c r="AA101" s="407"/>
      <c r="AB101" s="408"/>
      <c r="AC101" s="409"/>
      <c r="AD101" s="410"/>
      <c r="AE101" s="407"/>
      <c r="AF101" s="411"/>
      <c r="AH101" s="405"/>
      <c r="AI101" s="406"/>
      <c r="AJ101" s="407"/>
      <c r="AK101" s="408"/>
      <c r="AL101" s="409"/>
      <c r="AM101" s="410"/>
      <c r="AN101" s="407"/>
      <c r="AO101" s="412"/>
      <c r="AQ101" s="405"/>
      <c r="AR101" s="406"/>
      <c r="AS101" s="3341"/>
      <c r="AT101" s="3339"/>
      <c r="AU101" s="3338"/>
      <c r="AV101" s="410"/>
      <c r="AW101" s="3341"/>
      <c r="AX101" s="412"/>
      <c r="BB101" s="409"/>
      <c r="BC101" s="410"/>
      <c r="BD101" s="407"/>
      <c r="BE101" s="412"/>
    </row>
    <row r="102" spans="1:59" x14ac:dyDescent="0.35">
      <c r="A102" s="9168"/>
      <c r="B102" s="58"/>
      <c r="C102" s="390"/>
      <c r="D102" s="391" t="s">
        <v>577</v>
      </c>
      <c r="E102" s="392"/>
      <c r="F102" s="413">
        <f>F95/F12</f>
        <v>0.29627563282724056</v>
      </c>
      <c r="G102" s="392"/>
      <c r="H102" s="394"/>
      <c r="I102" s="395"/>
      <c r="J102" s="229"/>
      <c r="K102" s="392"/>
      <c r="L102" s="396"/>
      <c r="M102" s="229"/>
      <c r="O102" s="397">
        <f>O95/O12</f>
        <v>0.34386881680333115</v>
      </c>
      <c r="P102" s="398">
        <f>P95/P12</f>
        <v>0.36455825263567071</v>
      </c>
      <c r="Q102" s="399"/>
      <c r="R102" s="400"/>
      <c r="S102" s="401"/>
      <c r="T102" s="402">
        <f>T95/T12</f>
        <v>0.33127369874762963</v>
      </c>
      <c r="U102" s="399"/>
      <c r="V102" s="403">
        <f>V95/V12</f>
        <v>0.35170465741381401</v>
      </c>
      <c r="W102" s="399"/>
      <c r="Y102" s="397">
        <f t="shared" ref="Y102:Z102" si="58">Y95/Y12</f>
        <v>0.33102180596730613</v>
      </c>
      <c r="Z102" s="398">
        <f t="shared" si="58"/>
        <v>0.36495070025988369</v>
      </c>
      <c r="AA102" s="399"/>
      <c r="AB102" s="400"/>
      <c r="AC102" s="401"/>
      <c r="AD102" s="402">
        <f>AD95/AD12</f>
        <v>0.28216600482748772</v>
      </c>
      <c r="AE102" s="399"/>
      <c r="AF102" s="403">
        <f>AF95/AF12</f>
        <v>0.34166145057860137</v>
      </c>
      <c r="AH102" s="397">
        <f t="shared" ref="AH102" si="59">AH95/AH12</f>
        <v>0.2798051883515274</v>
      </c>
      <c r="AI102" s="398"/>
      <c r="AJ102" s="399"/>
      <c r="AK102" s="400"/>
      <c r="AL102" s="401"/>
      <c r="AM102" s="402">
        <f>AM95/AM12</f>
        <v>0.27944319568662845</v>
      </c>
      <c r="AN102" s="399"/>
      <c r="AO102" s="404"/>
      <c r="AQ102" s="397">
        <f t="shared" ref="AQ102" si="60">AQ95/AQ12</f>
        <v>0.25780132610851286</v>
      </c>
      <c r="AR102" s="398"/>
      <c r="AS102" s="975"/>
      <c r="AT102" s="974"/>
      <c r="AU102" s="973"/>
      <c r="AV102" s="402">
        <f>AV95/AV12</f>
        <v>0.37057590340548141</v>
      </c>
      <c r="AW102" s="975"/>
      <c r="AX102" s="404"/>
      <c r="BB102" s="401"/>
      <c r="BC102" s="402">
        <f>BC95/BC12</f>
        <v>0.20501840793681722</v>
      </c>
      <c r="BD102" s="399"/>
      <c r="BE102" s="404" t="e">
        <f>BE95/BE12</f>
        <v>#DIV/0!</v>
      </c>
    </row>
    <row r="103" spans="1:59" x14ac:dyDescent="0.35">
      <c r="A103" s="9168"/>
      <c r="B103" s="58"/>
      <c r="C103" s="390"/>
      <c r="D103" s="414" t="s">
        <v>578</v>
      </c>
      <c r="E103" s="392"/>
      <c r="F103" s="393"/>
      <c r="G103" s="392"/>
      <c r="H103" s="394"/>
      <c r="I103" s="395"/>
      <c r="J103" s="229"/>
      <c r="K103" s="392"/>
      <c r="L103" s="396"/>
      <c r="M103" s="229"/>
      <c r="O103" s="415"/>
      <c r="P103" s="416"/>
      <c r="Q103" s="417"/>
      <c r="R103" s="418"/>
      <c r="S103" s="419"/>
      <c r="T103" s="420"/>
      <c r="U103" s="417"/>
      <c r="V103" s="421">
        <f>V95-SUM(V73:V77)</f>
        <v>1168372468.1958873</v>
      </c>
      <c r="W103" s="417"/>
      <c r="Y103" s="415"/>
      <c r="Z103" s="416">
        <f>Z95-SUM(Z73:Z77)</f>
        <v>1232677352.3101127</v>
      </c>
      <c r="AA103" s="417"/>
      <c r="AB103" s="418"/>
      <c r="AC103" s="419"/>
      <c r="AD103" s="420"/>
      <c r="AE103" s="417"/>
      <c r="AF103" s="421"/>
      <c r="AH103" s="415"/>
      <c r="AI103" s="416"/>
      <c r="AJ103" s="417"/>
      <c r="AK103" s="418"/>
      <c r="AL103" s="419"/>
      <c r="AM103" s="420"/>
      <c r="AN103" s="417"/>
      <c r="AO103" s="422"/>
      <c r="AQ103" s="415"/>
      <c r="AR103" s="416"/>
      <c r="AS103" s="4724"/>
      <c r="AT103" s="5647"/>
      <c r="AU103" s="4723"/>
      <c r="AV103" s="420"/>
      <c r="AW103" s="4724"/>
      <c r="AX103" s="422"/>
      <c r="BB103" s="419"/>
      <c r="BC103" s="420"/>
      <c r="BD103" s="417"/>
      <c r="BE103" s="422"/>
    </row>
    <row r="104" spans="1:59" x14ac:dyDescent="0.35">
      <c r="A104" s="9168"/>
      <c r="B104" s="58"/>
      <c r="C104" s="390"/>
      <c r="D104" s="391" t="s">
        <v>579</v>
      </c>
      <c r="E104" s="392"/>
      <c r="F104" s="393"/>
      <c r="G104" s="392"/>
      <c r="H104" s="394"/>
      <c r="I104" s="395"/>
      <c r="J104" s="229"/>
      <c r="K104" s="392"/>
      <c r="L104" s="396"/>
      <c r="M104" s="229"/>
      <c r="O104" s="397"/>
      <c r="P104" s="398"/>
      <c r="Q104" s="399"/>
      <c r="R104" s="400"/>
      <c r="S104" s="401"/>
      <c r="T104" s="402"/>
      <c r="U104" s="399"/>
      <c r="V104" s="403">
        <f>V103/V12</f>
        <v>0.33855505914592154</v>
      </c>
      <c r="W104" s="399"/>
      <c r="Y104" s="397"/>
      <c r="Z104" s="398">
        <f>Z103/Z12</f>
        <v>0.35199239072247651</v>
      </c>
      <c r="AA104" s="399"/>
      <c r="AB104" s="400"/>
      <c r="AC104" s="401"/>
      <c r="AD104" s="402"/>
      <c r="AE104" s="399"/>
      <c r="AF104" s="403"/>
      <c r="AH104" s="397"/>
      <c r="AI104" s="398"/>
      <c r="AJ104" s="399"/>
      <c r="AK104" s="400"/>
      <c r="AL104" s="401"/>
      <c r="AM104" s="402"/>
      <c r="AN104" s="399"/>
      <c r="AO104" s="404"/>
      <c r="AQ104" s="397"/>
      <c r="AR104" s="398"/>
      <c r="AS104" s="975"/>
      <c r="AT104" s="974"/>
      <c r="AU104" s="973"/>
      <c r="AV104" s="402"/>
      <c r="AW104" s="975"/>
      <c r="AX104" s="404"/>
      <c r="BB104" s="401"/>
      <c r="BC104" s="402"/>
      <c r="BD104" s="399"/>
      <c r="BE104" s="404"/>
    </row>
    <row r="105" spans="1:59" x14ac:dyDescent="0.35">
      <c r="A105" s="9168"/>
      <c r="B105" s="58"/>
      <c r="C105" s="390"/>
      <c r="D105" s="391"/>
      <c r="E105" s="392"/>
      <c r="F105" s="393"/>
      <c r="G105" s="392"/>
      <c r="H105" s="394"/>
      <c r="I105" s="395"/>
      <c r="J105" s="229"/>
      <c r="K105" s="392"/>
      <c r="L105" s="396"/>
      <c r="M105" s="229"/>
      <c r="O105" s="397"/>
      <c r="P105" s="398"/>
      <c r="Q105" s="399"/>
      <c r="R105" s="400"/>
      <c r="S105" s="401"/>
      <c r="T105" s="402"/>
      <c r="U105" s="399"/>
      <c r="V105" s="403"/>
      <c r="W105" s="399"/>
      <c r="Y105" s="397"/>
      <c r="Z105" s="398"/>
      <c r="AA105" s="399"/>
      <c r="AB105" s="400"/>
      <c r="AC105" s="401"/>
      <c r="AD105" s="402"/>
      <c r="AE105" s="399"/>
      <c r="AF105" s="403"/>
      <c r="AH105" s="397"/>
      <c r="AI105" s="398"/>
      <c r="AJ105" s="399"/>
      <c r="AK105" s="400"/>
      <c r="AL105" s="401"/>
      <c r="AM105" s="402"/>
      <c r="AN105" s="399"/>
      <c r="AO105" s="404"/>
      <c r="AQ105" s="397"/>
      <c r="AR105" s="398"/>
      <c r="AS105" s="975"/>
      <c r="AT105" s="974"/>
      <c r="AU105" s="973"/>
      <c r="AV105" s="402"/>
      <c r="AW105" s="975"/>
      <c r="AX105" s="404"/>
      <c r="BB105" s="401"/>
      <c r="BC105" s="402"/>
      <c r="BD105" s="399"/>
      <c r="BE105" s="404"/>
    </row>
    <row r="106" spans="1:59" x14ac:dyDescent="0.35">
      <c r="A106" s="9168"/>
      <c r="B106" s="58"/>
      <c r="C106" s="390"/>
      <c r="D106" s="423" t="s">
        <v>580</v>
      </c>
      <c r="E106" s="424"/>
      <c r="F106" s="425"/>
      <c r="G106" s="426"/>
      <c r="H106" s="427"/>
      <c r="I106" s="428"/>
      <c r="J106" s="429"/>
      <c r="K106" s="426"/>
      <c r="L106" s="430"/>
      <c r="M106" s="431"/>
      <c r="O106" s="397">
        <f>SUM(O79:O88)/O95</f>
        <v>0.41790066588383046</v>
      </c>
      <c r="P106" s="398">
        <f>SUM(P79:P88)/P95</f>
        <v>0.43228295701541991</v>
      </c>
      <c r="Q106" s="399"/>
      <c r="R106" s="400"/>
      <c r="S106" s="401"/>
      <c r="T106" s="402">
        <f>SUM(T79:T88)/T95</f>
        <v>0.40621960221595477</v>
      </c>
      <c r="U106" s="399"/>
      <c r="V106" s="403">
        <f>SUM(V79:V88)/V95</f>
        <v>0.4215172831907229</v>
      </c>
      <c r="W106" s="399"/>
      <c r="Y106" s="397">
        <f t="shared" ref="Y106" si="61">SUM(Y79:Y88)/Y95</f>
        <v>0.40652871715394223</v>
      </c>
      <c r="Z106" s="398"/>
      <c r="AA106" s="399"/>
      <c r="AB106" s="400"/>
      <c r="AC106" s="401"/>
      <c r="AD106" s="402">
        <f>SUM(AD79:AD88)/AD95</f>
        <v>0.42449164625010838</v>
      </c>
      <c r="AE106" s="399"/>
      <c r="AF106" s="403">
        <f>SUM(AF79:AF88)/AF95</f>
        <v>0.43432046607509744</v>
      </c>
      <c r="AH106" s="397">
        <f t="shared" ref="AH106" si="62">SUM(AH79:AH88)/AH95</f>
        <v>0.42807323413373172</v>
      </c>
      <c r="AI106" s="398"/>
      <c r="AJ106" s="399"/>
      <c r="AK106" s="400"/>
      <c r="AL106" s="401"/>
      <c r="AM106" s="402">
        <f>SUM(AM79:AM88)/AM95</f>
        <v>0.41495556622793806</v>
      </c>
      <c r="AN106" s="399"/>
      <c r="AO106" s="404">
        <f>SUM(AO79:AO88)/AO95</f>
        <v>0.43478631473132595</v>
      </c>
      <c r="AQ106" s="397">
        <f t="shared" ref="AQ106" si="63">SUM(AQ79:AQ88)/AQ95</f>
        <v>0.42219991900883375</v>
      </c>
      <c r="AR106" s="398"/>
      <c r="AS106" s="975"/>
      <c r="AT106" s="974"/>
      <c r="AU106" s="973"/>
      <c r="AV106" s="402">
        <f>SUM(AV79:AV88)/AV95</f>
        <v>0.4122287736572946</v>
      </c>
      <c r="AW106" s="975"/>
      <c r="AX106" s="404">
        <f>SUM(AX79:AX88)/AX95</f>
        <v>0.36324064711360948</v>
      </c>
      <c r="BB106" s="401"/>
      <c r="BC106" s="402">
        <f>SUM(BC79:BC88)/BC95</f>
        <v>0.34352674571915437</v>
      </c>
      <c r="BD106" s="399"/>
      <c r="BE106" s="404">
        <f>SUM(BE79:BE88)/BE95</f>
        <v>0.3862659403521887</v>
      </c>
    </row>
    <row r="107" spans="1:59" x14ac:dyDescent="0.35">
      <c r="A107" s="9169"/>
      <c r="B107" s="85"/>
      <c r="C107" s="432"/>
      <c r="D107" s="433" t="s">
        <v>581</v>
      </c>
      <c r="E107" s="274"/>
      <c r="F107" s="434"/>
      <c r="G107" s="435"/>
      <c r="H107" s="436"/>
      <c r="I107" s="437"/>
      <c r="J107" s="438"/>
      <c r="K107" s="435"/>
      <c r="L107" s="439"/>
      <c r="M107" s="440"/>
      <c r="O107" s="441">
        <f>(O80+O83)/O97</f>
        <v>0.42750735705291565</v>
      </c>
      <c r="P107" s="442">
        <f>(P80+P83)/P97</f>
        <v>0.43351340033772334</v>
      </c>
      <c r="Q107" s="443"/>
      <c r="R107" s="444"/>
      <c r="S107" s="445"/>
      <c r="T107" s="446">
        <f>(T80+T83)/T97</f>
        <v>0.41595126254337023</v>
      </c>
      <c r="U107" s="443"/>
      <c r="V107" s="447">
        <f>(V80+V83)/V97</f>
        <v>0.43086134488079808</v>
      </c>
      <c r="W107" s="443"/>
      <c r="Y107" s="441">
        <f t="shared" ref="Y107" si="64">(Y80+Y83)/Y97</f>
        <v>0.41613850045857798</v>
      </c>
      <c r="Z107" s="442"/>
      <c r="AA107" s="443"/>
      <c r="AB107" s="444"/>
      <c r="AC107" s="445"/>
      <c r="AD107" s="446">
        <f>(AD80+AD83)/AD97</f>
        <v>0.43323644722459548</v>
      </c>
      <c r="AE107" s="443"/>
      <c r="AF107" s="447">
        <f>(AF80+AF83)/AF97</f>
        <v>0.43670319894115828</v>
      </c>
      <c r="AH107" s="441">
        <f t="shared" ref="AH107" si="65">(AH80+AH83)/AH97</f>
        <v>0.43699013667203873</v>
      </c>
      <c r="AI107" s="442"/>
      <c r="AJ107" s="443"/>
      <c r="AK107" s="444"/>
      <c r="AL107" s="445"/>
      <c r="AM107" s="446">
        <f>(AM80+AM83)/AM97</f>
        <v>0.42813123991876739</v>
      </c>
      <c r="AN107" s="443"/>
      <c r="AO107" s="448">
        <f>(AO80+AO83)/AO97</f>
        <v>0.44344674052344962</v>
      </c>
      <c r="AQ107" s="441">
        <f t="shared" ref="AQ107" si="66">(AQ80+AQ83)/AQ97</f>
        <v>0.43598539979111256</v>
      </c>
      <c r="AR107" s="442"/>
      <c r="AS107" s="4741"/>
      <c r="AT107" s="5660"/>
      <c r="AU107" s="4740"/>
      <c r="AV107" s="446">
        <f>(AV80+AV83)/AV97</f>
        <v>0.427582996777783</v>
      </c>
      <c r="AW107" s="4741"/>
      <c r="AX107" s="448">
        <f>(AX80+AX83)/AX97</f>
        <v>0.37095051051309158</v>
      </c>
      <c r="BB107" s="445"/>
      <c r="BC107" s="446">
        <f>(BC80+BC83)/BC97</f>
        <v>0.32052637608474882</v>
      </c>
      <c r="BD107" s="443"/>
      <c r="BE107" s="448">
        <f>(BE80+BE83)/BE97</f>
        <v>0.38744881368792944</v>
      </c>
    </row>
    <row r="108" spans="1:59" s="449" customFormat="1" ht="15.5" x14ac:dyDescent="0.35">
      <c r="C108" s="450"/>
      <c r="D108" s="450"/>
      <c r="E108" s="450"/>
      <c r="F108" s="451"/>
      <c r="G108" s="450"/>
      <c r="H108" s="451"/>
      <c r="I108" s="451"/>
      <c r="J108" s="452"/>
      <c r="K108" s="450"/>
      <c r="L108" s="451"/>
      <c r="M108" s="451"/>
      <c r="N108" s="453"/>
      <c r="O108" s="451">
        <f>((O95-O97)/O95)</f>
        <v>2.5429351179745971E-2</v>
      </c>
      <c r="P108" s="451">
        <f>((P95-P97)/P95)</f>
        <v>5.8275716808189786E-3</v>
      </c>
      <c r="Q108" s="454"/>
      <c r="R108" s="454"/>
      <c r="S108" s="454"/>
      <c r="T108" s="451">
        <f>((T95-T97)/T95)</f>
        <v>2.4517726438238824E-2</v>
      </c>
      <c r="U108" s="454"/>
      <c r="V108" s="451">
        <f>((V95-V97)/V95)</f>
        <v>2.2799990205642367E-2</v>
      </c>
      <c r="W108" s="454"/>
      <c r="Y108" s="451">
        <f>((Y95-Y97)/Y95)</f>
        <v>2.4214671876861452E-2</v>
      </c>
      <c r="Z108" s="451">
        <f>((Z95-Z97)/Z95)</f>
        <v>-1.8654763706074413E-16</v>
      </c>
      <c r="AA108" s="454"/>
      <c r="AB108" s="454"/>
      <c r="AC108" s="454"/>
      <c r="AD108" s="451">
        <f>((AD95-AD97)/AD95)</f>
        <v>2.5973363733430666E-2</v>
      </c>
      <c r="AE108" s="454"/>
      <c r="AF108" s="451">
        <f>((AF95-AF97)/AF95)</f>
        <v>6.0811093871432952E-3</v>
      </c>
      <c r="AH108" s="451">
        <f>((AH95-AH97)/AH95)</f>
        <v>2.619251029536274E-2</v>
      </c>
      <c r="AI108" s="451">
        <f>((AI95-AI97)/AI95)</f>
        <v>6.073959196420251E-3</v>
      </c>
      <c r="AJ108" s="454"/>
      <c r="AK108" s="454"/>
      <c r="AL108" s="454"/>
      <c r="AM108" s="451">
        <f>((AM95-AM97)/AM95)</f>
        <v>4.7524848913714744E-2</v>
      </c>
      <c r="AN108" s="454"/>
      <c r="AO108" s="451">
        <f>((AO95-AO97)/AO95)</f>
        <v>2.5130533907505036E-2</v>
      </c>
      <c r="AQ108" s="451">
        <f>((AQ95-AQ97)/AQ95)</f>
        <v>4.8354544426705164E-2</v>
      </c>
      <c r="AR108" s="451">
        <f>((AR95-AR97)/AR95)</f>
        <v>2.560087083651931E-2</v>
      </c>
      <c r="AS108" s="454"/>
      <c r="AT108" s="454"/>
      <c r="AU108" s="454"/>
      <c r="AV108" s="451">
        <f>((AV95-AV97)/AV95)</f>
        <v>7.6707219164937751E-2</v>
      </c>
      <c r="AW108" s="454"/>
      <c r="AX108" s="451">
        <f>((AX95-AX97)/AX95)</f>
        <v>2.8193310385386208E-2</v>
      </c>
      <c r="BB108" s="454"/>
      <c r="BC108" s="451">
        <f>((BC95-BC97)/BC95)</f>
        <v>0.17602169880527857</v>
      </c>
      <c r="BD108" s="454"/>
      <c r="BE108" s="451">
        <f>((BE95-BE97)/BE95)</f>
        <v>2.203727817934718E-2</v>
      </c>
    </row>
    <row r="109" spans="1:59" s="462" customFormat="1" ht="15.25" customHeight="1" x14ac:dyDescent="0.35">
      <c r="A109" s="455" t="s">
        <v>582</v>
      </c>
      <c r="B109" s="455"/>
      <c r="C109" s="456"/>
      <c r="D109" s="456"/>
      <c r="E109" s="457"/>
      <c r="F109" s="458"/>
      <c r="G109" s="456"/>
      <c r="H109" s="458"/>
      <c r="I109" s="458"/>
      <c r="J109" s="459"/>
      <c r="K109" s="456"/>
      <c r="L109" s="458"/>
      <c r="M109" s="458"/>
      <c r="N109" s="460"/>
      <c r="O109" s="458" t="str">
        <f>IF(O97+O98=O95,"ok","erreur total")</f>
        <v>ok</v>
      </c>
      <c r="P109" s="458" t="str">
        <f>IF(P97+P98=P95,"ok","erreur total")</f>
        <v>ok</v>
      </c>
      <c r="Q109" s="461"/>
      <c r="R109" s="461"/>
      <c r="S109" s="461"/>
      <c r="T109" s="458" t="str">
        <f>IF(T97+T98=T95,"ok","erreur total")</f>
        <v>ok</v>
      </c>
      <c r="U109" s="458"/>
      <c r="V109" s="458"/>
      <c r="W109" s="461"/>
      <c r="X109"/>
      <c r="Y109" s="458" t="str">
        <f>IF(Y97+Y98=Y95,"ok","erreur total")</f>
        <v>ok</v>
      </c>
      <c r="Z109" s="458" t="str">
        <f>IF(Z97+Z98=Z95,"ok","erreur total")</f>
        <v>ok</v>
      </c>
      <c r="AA109" s="461"/>
      <c r="AB109" s="461"/>
      <c r="AC109" s="461"/>
      <c r="AD109" s="458" t="str">
        <f>IF(AD97+AD98=AD95,"ok","erreur total")</f>
        <v>ok</v>
      </c>
      <c r="AE109" s="458"/>
      <c r="AF109" s="458"/>
      <c r="AG109"/>
      <c r="AH109" s="458" t="str">
        <f>IF(AH97+AH98=AH95,"ok","erreur total")</f>
        <v>ok</v>
      </c>
      <c r="AI109" s="458" t="str">
        <f>IF(AI97+AI98=AI95,"ok","erreur total")</f>
        <v>ok</v>
      </c>
      <c r="AJ109" s="461"/>
      <c r="AK109" s="461"/>
      <c r="AL109" s="461"/>
      <c r="AM109" s="458" t="str">
        <f>IF(AM97+AM98=AM95,"ok","erreur total")</f>
        <v>ok</v>
      </c>
      <c r="AN109" s="458"/>
      <c r="AO109" s="458"/>
      <c r="AP109"/>
      <c r="AQ109" s="458" t="str">
        <f>IF(AQ97+AQ98=AQ95,"ok","erreur total")</f>
        <v>ok</v>
      </c>
      <c r="AR109" s="458" t="str">
        <f>IF(AR97+AR98=AR95,"ok","erreur total")</f>
        <v>ok</v>
      </c>
      <c r="AS109" s="461"/>
      <c r="AT109" s="461"/>
      <c r="AU109" s="461"/>
      <c r="AV109" s="458" t="str">
        <f>IF(AV97+AV98=AV95,"ok","erreur total")</f>
        <v>ok</v>
      </c>
      <c r="AW109" s="458"/>
      <c r="AX109" s="458" t="str">
        <f t="shared" ref="AX109" si="67">IF(AX97+AX98=AX95,"ok","erreur total")</f>
        <v>ok</v>
      </c>
      <c r="AY109"/>
      <c r="BB109" s="461"/>
      <c r="BC109" s="458" t="str">
        <f>IF(BC97+BC98=BC95,"ok","erreur total")</f>
        <v>ok</v>
      </c>
      <c r="BD109" s="458"/>
      <c r="BE109" s="458" t="str">
        <f>IF(BE97+BE98=BE95,"ok","erreur total")</f>
        <v>ok</v>
      </c>
      <c r="BF109"/>
    </row>
    <row r="110" spans="1:59" s="462" customFormat="1" ht="12" customHeight="1" x14ac:dyDescent="0.3">
      <c r="A110" s="463">
        <v>1</v>
      </c>
      <c r="B110" s="464">
        <f>AR17</f>
        <v>4561900000</v>
      </c>
      <c r="D110" s="465"/>
      <c r="E110" s="466"/>
      <c r="F110" s="466"/>
      <c r="G110" s="466"/>
      <c r="H110" s="466"/>
      <c r="I110" s="466"/>
      <c r="J110" s="467"/>
      <c r="K110" s="466"/>
      <c r="L110" s="466"/>
      <c r="M110" s="466"/>
      <c r="N110" s="456"/>
      <c r="O110" s="466"/>
      <c r="P110" s="466"/>
      <c r="Q110" s="466"/>
      <c r="R110" s="467"/>
      <c r="S110" s="466"/>
      <c r="T110" s="466"/>
      <c r="U110" s="466"/>
      <c r="V110" s="466"/>
      <c r="W110" s="466"/>
      <c r="X110" s="456"/>
      <c r="Y110" s="466"/>
      <c r="Z110" s="466"/>
      <c r="AA110" s="466"/>
      <c r="AB110" s="467"/>
      <c r="AC110" s="466"/>
      <c r="AD110" s="466"/>
      <c r="AE110" s="466"/>
      <c r="AF110" s="466"/>
      <c r="AG110" s="456"/>
      <c r="AH110" s="466"/>
      <c r="AI110" s="466"/>
      <c r="AJ110" s="466"/>
      <c r="AK110" s="467"/>
      <c r="AL110" s="466"/>
      <c r="AM110" s="466"/>
      <c r="AN110" s="466"/>
      <c r="AO110" s="466"/>
      <c r="AP110" s="456"/>
      <c r="AQ110" s="466"/>
      <c r="AR110" s="466"/>
      <c r="AS110" s="466"/>
      <c r="AT110" s="467"/>
      <c r="AU110" s="466"/>
      <c r="AV110" s="466"/>
      <c r="AW110" s="466"/>
      <c r="AX110" s="466"/>
      <c r="AY110" s="456"/>
      <c r="AZ110" s="4743"/>
      <c r="BB110" s="466"/>
      <c r="BC110" s="466"/>
      <c r="BD110" s="466"/>
      <c r="BE110" s="466"/>
      <c r="BF110" s="456"/>
      <c r="BG110" s="4743"/>
    </row>
    <row r="111" spans="1:59" s="462" customFormat="1" ht="12" x14ac:dyDescent="0.3">
      <c r="A111" s="468">
        <v>2</v>
      </c>
      <c r="B111" s="462">
        <f>AR28</f>
        <v>0.13744942396037838</v>
      </c>
      <c r="D111" s="5"/>
      <c r="E111" s="456"/>
      <c r="F111" s="456"/>
      <c r="G111" s="456"/>
      <c r="H111" s="459"/>
      <c r="I111" s="459"/>
      <c r="J111" s="7"/>
      <c r="K111" s="456"/>
      <c r="N111" s="456"/>
      <c r="O111" s="459"/>
      <c r="P111" s="459"/>
      <c r="Q111" s="459"/>
      <c r="R111" s="7"/>
      <c r="S111" s="456"/>
      <c r="X111" s="456"/>
      <c r="Y111" s="459"/>
      <c r="Z111" s="459"/>
      <c r="AA111" s="459"/>
      <c r="AB111" s="7"/>
      <c r="AC111" s="456"/>
      <c r="AG111" s="456"/>
      <c r="AH111" s="459"/>
      <c r="AI111" s="459"/>
      <c r="AJ111" s="459"/>
      <c r="AK111" s="7"/>
      <c r="AL111" s="456"/>
      <c r="AP111" s="456"/>
      <c r="AQ111" s="459"/>
      <c r="AR111" s="459"/>
      <c r="AS111" s="459"/>
      <c r="AT111" s="7"/>
      <c r="AU111" s="456"/>
      <c r="AY111" s="456"/>
      <c r="AZ111" s="4743"/>
      <c r="BB111" s="456"/>
      <c r="BF111" s="456"/>
      <c r="BG111" s="4743"/>
    </row>
    <row r="112" spans="1:59" s="462" customFormat="1" ht="12" x14ac:dyDescent="0.3">
      <c r="A112" s="468">
        <v>3</v>
      </c>
      <c r="B112" s="469">
        <f>AR42</f>
        <v>0</v>
      </c>
      <c r="D112" s="5"/>
      <c r="E112" s="456"/>
      <c r="F112" s="456"/>
      <c r="G112" s="456"/>
      <c r="H112" s="459"/>
      <c r="I112" s="459"/>
      <c r="J112" s="7"/>
      <c r="K112" s="456"/>
      <c r="N112" s="456"/>
      <c r="O112" s="459"/>
      <c r="P112" s="459"/>
      <c r="Q112" s="459"/>
      <c r="R112" s="7"/>
      <c r="S112" s="456"/>
      <c r="X112" s="456"/>
      <c r="Y112" s="459"/>
      <c r="Z112" s="459"/>
      <c r="AA112" s="459"/>
      <c r="AB112" s="7"/>
      <c r="AC112" s="456"/>
      <c r="AG112" s="456"/>
      <c r="AH112" s="459"/>
      <c r="AI112" s="459"/>
      <c r="AJ112" s="459"/>
      <c r="AK112" s="7"/>
      <c r="AL112" s="456"/>
      <c r="AP112" s="456"/>
      <c r="AQ112" s="459"/>
      <c r="AR112" s="459"/>
      <c r="AS112" s="459"/>
      <c r="AT112" s="7"/>
      <c r="AU112" s="456"/>
      <c r="AY112" s="456"/>
      <c r="AZ112" s="4743"/>
      <c r="BB112" s="456"/>
      <c r="BF112" s="456"/>
      <c r="BG112" s="4743"/>
    </row>
    <row r="113" spans="1:59" s="462" customFormat="1" ht="12" x14ac:dyDescent="0.3">
      <c r="A113" s="468">
        <v>4</v>
      </c>
      <c r="B113" s="469">
        <f>AR45</f>
        <v>0</v>
      </c>
      <c r="D113" s="5"/>
      <c r="E113" s="456"/>
      <c r="F113" s="456"/>
      <c r="G113" s="456"/>
      <c r="H113" s="459"/>
      <c r="I113" s="459"/>
      <c r="J113" s="7"/>
      <c r="K113" s="456"/>
      <c r="N113" s="456"/>
      <c r="O113" s="459"/>
      <c r="P113" s="459"/>
      <c r="Q113" s="459"/>
      <c r="R113" s="7"/>
      <c r="S113" s="456"/>
      <c r="X113" s="456"/>
      <c r="Y113" s="459"/>
      <c r="Z113" s="459"/>
      <c r="AA113" s="459"/>
      <c r="AB113" s="7"/>
      <c r="AC113" s="456"/>
      <c r="AG113" s="456"/>
      <c r="AH113" s="459"/>
      <c r="AI113" s="459"/>
      <c r="AJ113" s="459"/>
      <c r="AK113" s="7"/>
      <c r="AL113" s="456"/>
      <c r="AP113" s="456"/>
      <c r="AQ113" s="459"/>
      <c r="AR113" s="459"/>
      <c r="AS113" s="459"/>
      <c r="AT113" s="7"/>
      <c r="AU113" s="456"/>
      <c r="AY113" s="456"/>
      <c r="AZ113" s="4743"/>
      <c r="BB113" s="456"/>
      <c r="BF113" s="456"/>
      <c r="BG113" s="4743"/>
    </row>
    <row r="114" spans="1:59" s="462" customFormat="1" ht="12" x14ac:dyDescent="0.3">
      <c r="A114" s="468">
        <v>5</v>
      </c>
      <c r="B114" s="469">
        <f>AR49</f>
        <v>1546681.3333333333</v>
      </c>
      <c r="D114" s="5"/>
      <c r="E114" s="456"/>
      <c r="F114" s="456"/>
      <c r="G114" s="456"/>
      <c r="H114" s="459"/>
      <c r="I114" s="459"/>
      <c r="J114" s="7"/>
      <c r="K114" s="456"/>
      <c r="N114" s="456"/>
      <c r="X114" s="456"/>
      <c r="AG114" s="456"/>
      <c r="AP114" s="456"/>
      <c r="AY114" s="456"/>
      <c r="AZ114" s="4743"/>
      <c r="BF114" s="456"/>
      <c r="BG114" s="4743"/>
    </row>
    <row r="115" spans="1:59" s="462" customFormat="1" ht="12" x14ac:dyDescent="0.3">
      <c r="A115" s="468">
        <v>6</v>
      </c>
      <c r="B115" s="469">
        <f>AR51</f>
        <v>7375036</v>
      </c>
      <c r="D115" s="5"/>
      <c r="E115" s="456"/>
      <c r="F115" s="456"/>
      <c r="G115" s="456"/>
      <c r="H115" s="459"/>
      <c r="I115" s="459"/>
      <c r="J115" s="7"/>
      <c r="K115" s="456"/>
      <c r="N115" s="456"/>
      <c r="X115" s="456"/>
      <c r="AG115" s="456"/>
      <c r="AP115" s="456"/>
      <c r="AY115" s="456"/>
      <c r="AZ115" s="4743"/>
      <c r="BF115" s="456"/>
      <c r="BG115" s="4743"/>
    </row>
    <row r="116" spans="1:59" s="462" customFormat="1" ht="12" x14ac:dyDescent="0.3">
      <c r="A116" s="468">
        <v>7</v>
      </c>
      <c r="B116" s="469">
        <f>AR53</f>
        <v>0</v>
      </c>
      <c r="D116" s="5"/>
      <c r="E116" s="456"/>
      <c r="F116" s="456"/>
      <c r="G116" s="456"/>
      <c r="H116" s="459"/>
      <c r="I116" s="459"/>
      <c r="J116" s="7"/>
      <c r="K116" s="456"/>
      <c r="N116" s="456"/>
      <c r="X116" s="456"/>
      <c r="AG116" s="456"/>
      <c r="AP116" s="456"/>
      <c r="AY116" s="456"/>
      <c r="AZ116" s="4743"/>
      <c r="BF116" s="456"/>
      <c r="BG116" s="4743"/>
    </row>
    <row r="117" spans="1:59" s="462" customFormat="1" ht="12" x14ac:dyDescent="0.3">
      <c r="A117" s="468">
        <v>8</v>
      </c>
      <c r="B117" s="469">
        <f>AR55</f>
        <v>4943358.666666667</v>
      </c>
      <c r="D117" s="5"/>
      <c r="E117" s="456"/>
      <c r="F117" s="456"/>
      <c r="G117" s="456"/>
      <c r="H117" s="459"/>
      <c r="I117" s="459"/>
      <c r="J117" s="7"/>
      <c r="K117" s="456"/>
      <c r="N117" s="456"/>
      <c r="X117" s="456"/>
      <c r="AG117" s="456"/>
      <c r="AP117" s="456"/>
      <c r="AY117" s="456"/>
      <c r="AZ117" s="4743"/>
      <c r="BF117" s="456"/>
      <c r="BG117" s="4743"/>
    </row>
    <row r="118" spans="1:59" s="462" customFormat="1" ht="12" x14ac:dyDescent="0.3">
      <c r="D118" s="5"/>
      <c r="E118" s="456"/>
      <c r="F118" s="456"/>
      <c r="G118" s="456"/>
      <c r="H118" s="459"/>
      <c r="I118" s="459"/>
      <c r="J118" s="7"/>
      <c r="K118" s="456"/>
      <c r="N118" s="456"/>
      <c r="X118" s="456"/>
      <c r="AG118" s="456"/>
      <c r="AP118" s="456"/>
      <c r="AY118" s="456"/>
      <c r="AZ118" s="4743"/>
      <c r="BF118" s="456"/>
      <c r="BG118" s="4743"/>
    </row>
    <row r="119" spans="1:59" s="462" customFormat="1" ht="12" x14ac:dyDescent="0.3">
      <c r="B119" s="456"/>
      <c r="D119" s="5"/>
      <c r="E119" s="456"/>
      <c r="F119" s="456"/>
      <c r="G119" s="456"/>
      <c r="H119" s="459"/>
      <c r="I119" s="459"/>
      <c r="J119" s="7"/>
      <c r="K119" s="456"/>
      <c r="N119" s="456"/>
      <c r="X119" s="456"/>
      <c r="AG119" s="456"/>
      <c r="AP119" s="456"/>
      <c r="AY119" s="456"/>
      <c r="AZ119" s="4743"/>
      <c r="BF119" s="456"/>
      <c r="BG119" s="4743"/>
    </row>
    <row r="120" spans="1:59" s="462" customFormat="1" ht="12" x14ac:dyDescent="0.3">
      <c r="B120" s="456"/>
      <c r="D120" s="5"/>
      <c r="E120" s="456"/>
      <c r="F120" s="456"/>
      <c r="G120" s="456"/>
      <c r="H120" s="459"/>
      <c r="I120" s="459"/>
      <c r="J120" s="7"/>
      <c r="K120" s="456"/>
      <c r="N120" s="456"/>
      <c r="X120" s="456"/>
      <c r="AG120" s="456"/>
      <c r="AP120" s="456"/>
      <c r="AY120" s="456"/>
      <c r="AZ120" s="4743"/>
      <c r="BF120" s="456"/>
      <c r="BG120" s="4743"/>
    </row>
    <row r="121" spans="1:59" s="462" customFormat="1" ht="12" x14ac:dyDescent="0.3">
      <c r="B121" s="456"/>
      <c r="D121" s="5"/>
      <c r="E121" s="456"/>
      <c r="F121" s="456"/>
      <c r="G121" s="456"/>
      <c r="H121" s="459"/>
      <c r="I121" s="459"/>
      <c r="J121" s="7"/>
      <c r="K121" s="456"/>
      <c r="N121" s="456"/>
      <c r="O121" s="459"/>
      <c r="P121" s="459"/>
      <c r="Q121" s="459"/>
      <c r="R121" s="7"/>
      <c r="S121" s="456"/>
      <c r="X121" s="456"/>
      <c r="Y121" s="459"/>
      <c r="Z121" s="459"/>
      <c r="AA121" s="459"/>
      <c r="AB121" s="7"/>
      <c r="AC121" s="456"/>
      <c r="AG121" s="456"/>
      <c r="AH121" s="459"/>
      <c r="AI121" s="459"/>
      <c r="AJ121" s="459"/>
      <c r="AK121" s="7"/>
      <c r="AL121" s="456"/>
      <c r="AP121" s="456"/>
      <c r="AQ121" s="459"/>
      <c r="AR121" s="459"/>
      <c r="AS121" s="459"/>
      <c r="AT121" s="7"/>
      <c r="AU121" s="456"/>
      <c r="AY121" s="456"/>
      <c r="AZ121" s="4743"/>
      <c r="BB121" s="456"/>
      <c r="BF121" s="456"/>
      <c r="BG121" s="4743"/>
    </row>
    <row r="122" spans="1:59" s="462" customFormat="1" ht="12" x14ac:dyDescent="0.3">
      <c r="B122" s="456"/>
      <c r="D122" s="5"/>
      <c r="E122" s="456"/>
      <c r="F122" s="456"/>
      <c r="G122" s="456"/>
      <c r="H122" s="459"/>
      <c r="I122" s="459"/>
      <c r="J122" s="7"/>
      <c r="K122" s="456"/>
      <c r="N122" s="456"/>
      <c r="O122" s="459"/>
      <c r="P122" s="459"/>
      <c r="Q122" s="459"/>
      <c r="R122" s="7"/>
      <c r="S122" s="456"/>
      <c r="X122" s="456"/>
      <c r="Y122" s="459"/>
      <c r="Z122" s="459"/>
      <c r="AA122" s="459"/>
      <c r="AB122" s="7"/>
      <c r="AC122" s="456"/>
      <c r="AG122" s="456"/>
      <c r="AH122" s="459"/>
      <c r="AI122" s="459"/>
      <c r="AJ122" s="459"/>
      <c r="AK122" s="7"/>
      <c r="AL122" s="456"/>
      <c r="AP122" s="456"/>
      <c r="AQ122" s="459"/>
      <c r="AR122" s="459"/>
      <c r="AS122" s="459"/>
      <c r="AT122" s="7"/>
      <c r="AU122" s="456"/>
      <c r="AY122" s="456"/>
      <c r="AZ122" s="4743"/>
      <c r="BB122" s="456"/>
      <c r="BF122" s="456"/>
      <c r="BG122" s="4743"/>
    </row>
    <row r="123" spans="1:59" s="462" customFormat="1" ht="12" x14ac:dyDescent="0.3">
      <c r="B123" s="456"/>
      <c r="D123" s="5"/>
      <c r="E123" s="456"/>
      <c r="F123" s="456"/>
      <c r="G123" s="456"/>
      <c r="H123" s="459"/>
      <c r="I123" s="459"/>
      <c r="J123" s="7"/>
      <c r="K123" s="456"/>
      <c r="N123" s="456"/>
      <c r="O123" s="459"/>
      <c r="P123" s="459"/>
      <c r="Q123" s="459"/>
      <c r="R123" s="7"/>
      <c r="S123" s="456"/>
      <c r="X123" s="456"/>
      <c r="Y123" s="459"/>
      <c r="Z123" s="459"/>
      <c r="AA123" s="459"/>
      <c r="AB123" s="7"/>
      <c r="AC123" s="456"/>
      <c r="AG123" s="456"/>
      <c r="AH123" s="459"/>
      <c r="AI123" s="459"/>
      <c r="AJ123" s="459"/>
      <c r="AK123" s="7"/>
      <c r="AL123" s="456"/>
      <c r="AP123" s="456"/>
      <c r="AQ123" s="459"/>
      <c r="AR123" s="459"/>
      <c r="AS123" s="459"/>
      <c r="AT123" s="7"/>
      <c r="AU123" s="456"/>
      <c r="AY123" s="456"/>
      <c r="AZ123" s="4743"/>
      <c r="BB123" s="456"/>
      <c r="BF123" s="456"/>
      <c r="BG123" s="4743"/>
    </row>
    <row r="124" spans="1:59" s="462" customFormat="1" x14ac:dyDescent="0.35">
      <c r="A124" s="455" t="s">
        <v>5663</v>
      </c>
      <c r="B124" s="455"/>
      <c r="C124" s="456"/>
      <c r="D124" s="5"/>
      <c r="E124" s="456"/>
      <c r="F124" s="456"/>
      <c r="G124" s="456"/>
      <c r="H124" s="459"/>
      <c r="I124" s="459"/>
      <c r="J124" s="7"/>
      <c r="K124" s="456"/>
      <c r="N124" s="456"/>
      <c r="O124" s="6"/>
      <c r="P124" s="6"/>
      <c r="Q124" s="6"/>
      <c r="R124" s="7"/>
      <c r="S124" s="1"/>
      <c r="T124"/>
      <c r="U124"/>
      <c r="V124"/>
      <c r="W124"/>
      <c r="X124" s="456"/>
      <c r="Y124" s="6"/>
      <c r="Z124" s="6"/>
      <c r="AA124" s="6"/>
      <c r="AB124" s="7"/>
      <c r="AC124" s="1"/>
      <c r="AD124"/>
      <c r="AE124"/>
      <c r="AF124"/>
      <c r="AG124" s="456"/>
      <c r="AH124" s="6"/>
      <c r="AI124" s="6"/>
      <c r="AJ124" s="6"/>
      <c r="AK124" s="7"/>
      <c r="AL124" s="1"/>
      <c r="AM124"/>
      <c r="AN124"/>
      <c r="AO124"/>
      <c r="AP124" s="456"/>
      <c r="AQ124" s="6"/>
      <c r="AR124" s="6"/>
      <c r="AS124" s="6"/>
      <c r="AT124" s="7"/>
      <c r="AU124" s="1"/>
      <c r="AV124"/>
      <c r="AW124"/>
      <c r="AX124"/>
      <c r="AY124" s="456"/>
      <c r="AZ124" s="4743"/>
      <c r="BB124" s="1"/>
      <c r="BC124"/>
      <c r="BD124"/>
      <c r="BE124"/>
      <c r="BF124" s="456"/>
      <c r="BG124" s="4743"/>
    </row>
    <row r="125" spans="1:59" s="462" customFormat="1" ht="93" customHeight="1" x14ac:dyDescent="0.35">
      <c r="A125" s="9170" t="s">
        <v>6772</v>
      </c>
      <c r="B125" s="9171"/>
      <c r="C125" s="9171"/>
      <c r="D125" s="9171"/>
      <c r="E125" s="9171"/>
      <c r="F125" s="9171"/>
      <c r="G125" s="9171"/>
      <c r="H125" s="9171"/>
      <c r="I125" s="9171"/>
      <c r="J125" s="9171"/>
      <c r="K125" s="9171"/>
      <c r="L125" s="9171"/>
      <c r="M125" s="9172"/>
      <c r="N125" s="456"/>
      <c r="O125" s="6"/>
      <c r="P125" s="6"/>
      <c r="Q125" s="6"/>
      <c r="R125" s="7"/>
      <c r="S125" s="1"/>
      <c r="T125"/>
      <c r="U125"/>
      <c r="V125"/>
      <c r="W125"/>
      <c r="X125" s="456"/>
      <c r="Y125" s="6"/>
      <c r="Z125" s="6"/>
      <c r="AA125" s="6"/>
      <c r="AB125" s="7"/>
      <c r="AC125" s="1"/>
      <c r="AD125"/>
      <c r="AE125"/>
      <c r="AF125"/>
      <c r="AG125" s="456"/>
      <c r="AH125" s="6"/>
      <c r="AI125" s="6"/>
      <c r="AJ125" s="6"/>
      <c r="AK125" s="7"/>
      <c r="AL125" s="1"/>
      <c r="AM125"/>
      <c r="AN125"/>
      <c r="AO125"/>
      <c r="AP125" s="456"/>
      <c r="AQ125" s="6"/>
      <c r="AR125" s="6"/>
      <c r="AS125" s="6"/>
      <c r="AT125" s="7"/>
      <c r="AU125" s="1"/>
      <c r="AV125"/>
      <c r="AW125"/>
      <c r="AX125"/>
      <c r="AY125" s="456"/>
      <c r="AZ125" s="4743"/>
      <c r="BB125" s="1"/>
      <c r="BC125"/>
      <c r="BD125"/>
      <c r="BE125"/>
      <c r="BF125" s="456"/>
      <c r="BG125" s="4743"/>
    </row>
  </sheetData>
  <mergeCells count="57">
    <mergeCell ref="AK7:AK8"/>
    <mergeCell ref="AB7:AB8"/>
    <mergeCell ref="AD7:AF7"/>
    <mergeCell ref="AH33:AI33"/>
    <mergeCell ref="A79:A88"/>
    <mergeCell ref="T7:V7"/>
    <mergeCell ref="Y7:Z7"/>
    <mergeCell ref="A90:A107"/>
    <mergeCell ref="AH7:AI7"/>
    <mergeCell ref="AH5:AK5"/>
    <mergeCell ref="AM5:AO5"/>
    <mergeCell ref="A125:M125"/>
    <mergeCell ref="A33:A77"/>
    <mergeCell ref="Y33:Z33"/>
    <mergeCell ref="H7:I7"/>
    <mergeCell ref="J7:J8"/>
    <mergeCell ref="L7:M7"/>
    <mergeCell ref="O7:P7"/>
    <mergeCell ref="R7:R8"/>
    <mergeCell ref="AM7:AO7"/>
    <mergeCell ref="A10:A31"/>
    <mergeCell ref="O10:P10"/>
    <mergeCell ref="Y10:Z10"/>
    <mergeCell ref="L5:M5"/>
    <mergeCell ref="O5:R5"/>
    <mergeCell ref="T5:V5"/>
    <mergeCell ref="Y5:AB5"/>
    <mergeCell ref="AD5:AF5"/>
    <mergeCell ref="AZ4:AZ5"/>
    <mergeCell ref="AQ5:AT5"/>
    <mergeCell ref="AV5:AX5"/>
    <mergeCell ref="F1:M1"/>
    <mergeCell ref="O1:V1"/>
    <mergeCell ref="Y1:AF1"/>
    <mergeCell ref="AH1:AO1"/>
    <mergeCell ref="H4:J4"/>
    <mergeCell ref="L4:M4"/>
    <mergeCell ref="O4:R4"/>
    <mergeCell ref="T4:V4"/>
    <mergeCell ref="Y4:AB4"/>
    <mergeCell ref="AD4:AF4"/>
    <mergeCell ref="AH4:AK4"/>
    <mergeCell ref="AM4:AO4"/>
    <mergeCell ref="H5:J5"/>
    <mergeCell ref="AQ7:AR7"/>
    <mergeCell ref="AT7:AT8"/>
    <mergeCell ref="AV7:AX7"/>
    <mergeCell ref="AQ33:AR33"/>
    <mergeCell ref="AQ1:AX1"/>
    <mergeCell ref="AQ4:AT4"/>
    <mergeCell ref="AV4:AX4"/>
    <mergeCell ref="BD17:BD22"/>
    <mergeCell ref="BB1:BE1"/>
    <mergeCell ref="BC4:BE4"/>
    <mergeCell ref="BG4:BG5"/>
    <mergeCell ref="BC5:BE5"/>
    <mergeCell ref="BC7:BE7"/>
  </mergeCells>
  <hyperlinks>
    <hyperlink ref="Q10" r:id="rId1" xr:uid="{00000000-0004-0000-3000-000000000000}"/>
    <hyperlink ref="AA10" r:id="rId2" xr:uid="{00000000-0004-0000-3000-000001000000}"/>
    <hyperlink ref="AJ10" r:id="rId3" xr:uid="{00000000-0004-0000-3000-000002000000}"/>
    <hyperlink ref="AS10" r:id="rId4" display="http://www.zimtreasury.gov.zw/index.php/resources/downloads/category/20-budget-policy-statements" xr:uid="{1B7E76F8-A9AF-485F-B87C-27D5BE027A05}"/>
    <hyperlink ref="AW33" r:id="rId5" xr:uid="{9D27B409-D734-4CD8-BCEC-7E3220DD69C7}"/>
  </hyperlinks>
  <pageMargins left="0.23622047244094491" right="0.23622047244094491" top="0.35433070866141736" bottom="0.35433070866141736" header="0.31496062992125984" footer="0.31496062992125984"/>
  <pageSetup paperSize="9" scale="40" orientation="portrait" horizontalDpi="4294967293" r:id="rId6"/>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BCC7D-0255-44F4-9424-93C5ECD94030}">
  <sheetPr>
    <tabColor rgb="FF40A8DE"/>
  </sheetPr>
  <dimension ref="B2:C9"/>
  <sheetViews>
    <sheetView workbookViewId="0">
      <selection activeCell="B2" sqref="B2"/>
    </sheetView>
  </sheetViews>
  <sheetFormatPr defaultColWidth="8.81640625" defaultRowHeight="14.5" x14ac:dyDescent="0.35"/>
  <sheetData>
    <row r="2" spans="2:3" x14ac:dyDescent="0.35">
      <c r="B2" s="6042" t="s">
        <v>6788</v>
      </c>
    </row>
    <row r="4" spans="2:3" x14ac:dyDescent="0.35">
      <c r="B4" s="6043" t="s">
        <v>389</v>
      </c>
      <c r="C4" s="6043" t="s">
        <v>390</v>
      </c>
    </row>
    <row r="5" spans="2:3" x14ac:dyDescent="0.35">
      <c r="B5">
        <v>2016</v>
      </c>
      <c r="C5" s="6042" t="s">
        <v>391</v>
      </c>
    </row>
    <row r="6" spans="2:3" x14ac:dyDescent="0.35">
      <c r="B6">
        <v>2017</v>
      </c>
      <c r="C6" s="6042" t="s">
        <v>392</v>
      </c>
    </row>
    <row r="7" spans="2:3" x14ac:dyDescent="0.35">
      <c r="B7">
        <v>2018</v>
      </c>
      <c r="C7" s="6042" t="s">
        <v>392</v>
      </c>
    </row>
    <row r="8" spans="2:3" x14ac:dyDescent="0.35">
      <c r="B8">
        <v>2019</v>
      </c>
      <c r="C8" s="6042" t="s">
        <v>393</v>
      </c>
    </row>
    <row r="9" spans="2:3" x14ac:dyDescent="0.35">
      <c r="B9">
        <v>2020</v>
      </c>
      <c r="C9" s="6042" t="s">
        <v>1006</v>
      </c>
    </row>
  </sheetData>
  <pageMargins left="0.7" right="0.7" top="0.75" bottom="0.75" header="0.3" footer="0.3"/>
  <pageSetup orientation="portrait" r:id="rId1"/>
  <headerFooter>
    <oddFooter>&amp;R&amp;1#&amp;"Calibri"&amp;12&amp;K000000Official Use</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A6A9E-87D4-4D73-8C8F-9A698458A9F0}">
  <sheetPr>
    <pageSetUpPr fitToPage="1"/>
  </sheetPr>
  <dimension ref="A1:BF111"/>
  <sheetViews>
    <sheetView topLeftCell="A2" zoomScale="80" zoomScaleNormal="80" zoomScalePageLayoutView="72" workbookViewId="0">
      <pane xSplit="3" ySplit="8" topLeftCell="BC32" activePane="bottomRight" state="frozen"/>
      <selection pane="topRight" activeCell="D2" sqref="D2"/>
      <selection pane="bottomLeft" activeCell="A10" sqref="A10"/>
      <selection pane="bottomRight" activeCell="BE51" sqref="BE51"/>
    </sheetView>
  </sheetViews>
  <sheetFormatPr defaultColWidth="9.1796875" defaultRowHeight="14.5" x14ac:dyDescent="0.35"/>
  <cols>
    <col min="1" max="1" width="6.6328125" style="462" customWidth="1"/>
    <col min="2" max="2" width="15.81640625" style="462" customWidth="1"/>
    <col min="3" max="3" width="19.36328125" style="456" customWidth="1"/>
    <col min="4" max="4" width="16.453125" style="456" customWidth="1"/>
    <col min="5" max="5" width="1.6328125" style="456" customWidth="1"/>
    <col min="6" max="6" width="21.6328125" style="456" customWidth="1"/>
    <col min="7" max="7" width="1.6328125" style="456" customWidth="1"/>
    <col min="8" max="9" width="21.6328125" style="459" customWidth="1"/>
    <col min="10" max="10" width="11.1796875" style="459" customWidth="1"/>
    <col min="11" max="11" width="1.6328125" style="456" customWidth="1"/>
    <col min="12" max="13" width="21.6328125" style="462" customWidth="1"/>
    <col min="14" max="14" width="1.6328125" style="1" customWidth="1"/>
    <col min="15" max="17" width="21.6328125" style="6" customWidth="1"/>
    <col min="18" max="18" width="8.6328125" style="7" customWidth="1"/>
    <col min="19" max="19" width="1.6328125" style="1" customWidth="1"/>
    <col min="20" max="22" width="21.6328125" customWidth="1"/>
    <col min="23" max="23" width="1.6328125" style="1" customWidth="1"/>
    <col min="24" max="24" width="36.453125" style="711" customWidth="1"/>
    <col min="25" max="25" width="2.453125" style="462" customWidth="1"/>
    <col min="26" max="28" width="21.6328125" style="6" customWidth="1"/>
    <col min="29" max="29" width="8.6328125" style="7" customWidth="1"/>
    <col min="30" max="30" width="1.6328125" style="1" customWidth="1"/>
    <col min="31" max="33" width="21.6328125" customWidth="1"/>
    <col min="34" max="34" width="1.6328125" style="1" customWidth="1"/>
    <col min="35" max="37" width="21.6328125" style="6" customWidth="1"/>
    <col min="38" max="38" width="8.6328125" style="7" customWidth="1"/>
    <col min="39" max="39" width="1.6328125" style="711" customWidth="1"/>
    <col min="40" max="42" width="21.6328125" style="6" customWidth="1"/>
    <col min="43" max="43" width="19" style="7" customWidth="1"/>
    <col min="44" max="44" width="4.1796875" style="1" customWidth="1"/>
    <col min="45" max="47" width="21.6328125" style="6" customWidth="1"/>
    <col min="48" max="48" width="8.6328125" style="7" customWidth="1"/>
    <col min="49" max="49" width="1.6328125" style="711" customWidth="1"/>
    <col min="50" max="52" width="21.6328125" style="6" customWidth="1"/>
    <col min="53" max="53" width="19" style="7" customWidth="1"/>
    <col min="54" max="54" width="1.6328125" style="711" customWidth="1"/>
    <col min="55" max="57" width="21.6328125" style="6" customWidth="1"/>
    <col min="58" max="58" width="19" style="7" customWidth="1"/>
    <col min="59" max="16384" width="9.1796875" style="462"/>
  </cols>
  <sheetData>
    <row r="1" spans="1:58" s="470" customFormat="1" ht="31" x14ac:dyDescent="0.7">
      <c r="F1" s="9118" t="s">
        <v>394</v>
      </c>
      <c r="G1" s="9119"/>
      <c r="H1" s="9119"/>
      <c r="I1" s="9119"/>
      <c r="J1" s="9119"/>
      <c r="K1" s="9119"/>
      <c r="L1" s="9119"/>
      <c r="M1" s="9120"/>
      <c r="N1" s="710"/>
      <c r="O1" s="9121" t="s">
        <v>395</v>
      </c>
      <c r="P1" s="9122"/>
      <c r="Q1" s="9122"/>
      <c r="R1" s="9122"/>
      <c r="S1" s="9122"/>
      <c r="T1" s="9122"/>
      <c r="U1" s="9122"/>
      <c r="V1" s="9123"/>
      <c r="W1" s="710"/>
      <c r="Z1" s="9124" t="s">
        <v>396</v>
      </c>
      <c r="AA1" s="9125"/>
      <c r="AB1" s="9125"/>
      <c r="AC1" s="9125"/>
      <c r="AD1" s="9125"/>
      <c r="AE1" s="9125"/>
      <c r="AF1" s="9125"/>
      <c r="AG1" s="9126"/>
      <c r="AH1" s="710"/>
      <c r="AI1" s="9127" t="s">
        <v>397</v>
      </c>
      <c r="AJ1" s="9128"/>
      <c r="AK1" s="9128"/>
      <c r="AL1" s="9128"/>
      <c r="AM1" s="9128"/>
      <c r="AN1" s="9128"/>
      <c r="AO1" s="9128"/>
      <c r="AP1" s="9128"/>
      <c r="AQ1" s="9129"/>
      <c r="AR1" s="1"/>
      <c r="AS1" s="9127" t="s">
        <v>398</v>
      </c>
      <c r="AT1" s="9128"/>
      <c r="AU1" s="9128"/>
      <c r="AV1" s="9128"/>
      <c r="AW1" s="9128"/>
      <c r="AX1" s="9128"/>
      <c r="AY1" s="9128"/>
      <c r="AZ1" s="9128"/>
      <c r="BA1" s="9129"/>
      <c r="BC1" s="9115" t="s">
        <v>399</v>
      </c>
      <c r="BD1" s="9116"/>
      <c r="BE1" s="9116"/>
      <c r="BF1" s="9117"/>
    </row>
    <row r="2" spans="1:58" ht="21" x14ac:dyDescent="0.5">
      <c r="B2" s="456" t="s">
        <v>9</v>
      </c>
      <c r="C2" s="4" t="s">
        <v>22</v>
      </c>
      <c r="H2" s="462"/>
    </row>
    <row r="3" spans="1:58" x14ac:dyDescent="0.35">
      <c r="F3" s="459"/>
      <c r="H3" s="462"/>
    </row>
    <row r="4" spans="1:58" ht="14.25" customHeight="1" x14ac:dyDescent="0.3">
      <c r="F4" s="8323" t="s">
        <v>400</v>
      </c>
      <c r="G4" s="712"/>
      <c r="H4" s="9133" t="s">
        <v>401</v>
      </c>
      <c r="I4" s="9134"/>
      <c r="J4" s="9135"/>
      <c r="K4" s="712"/>
      <c r="L4" s="9133" t="s">
        <v>402</v>
      </c>
      <c r="M4" s="9135"/>
      <c r="N4" s="8"/>
      <c r="O4" s="9130" t="s">
        <v>403</v>
      </c>
      <c r="P4" s="9131"/>
      <c r="Q4" s="9131"/>
      <c r="R4" s="9132"/>
      <c r="S4" s="8"/>
      <c r="T4" s="9130" t="s">
        <v>402</v>
      </c>
      <c r="U4" s="9131"/>
      <c r="V4" s="9132"/>
      <c r="W4" s="8"/>
      <c r="X4" s="9136" t="s">
        <v>404</v>
      </c>
      <c r="Z4" s="9130" t="s">
        <v>403</v>
      </c>
      <c r="AA4" s="9131"/>
      <c r="AB4" s="9131"/>
      <c r="AC4" s="9132"/>
      <c r="AD4" s="8"/>
      <c r="AE4" s="9130" t="s">
        <v>402</v>
      </c>
      <c r="AF4" s="9131"/>
      <c r="AG4" s="9132"/>
      <c r="AH4" s="8"/>
      <c r="AI4" s="9130" t="s">
        <v>403</v>
      </c>
      <c r="AJ4" s="9131"/>
      <c r="AK4" s="9131"/>
      <c r="AL4" s="9132"/>
      <c r="AM4" s="713"/>
      <c r="AN4" s="9130" t="s">
        <v>403</v>
      </c>
      <c r="AO4" s="9131"/>
      <c r="AP4" s="9131"/>
      <c r="AQ4" s="9132"/>
      <c r="AR4" s="8"/>
      <c r="AS4" s="9130" t="s">
        <v>403</v>
      </c>
      <c r="AT4" s="9131"/>
      <c r="AU4" s="9131"/>
      <c r="AV4" s="9132"/>
      <c r="AW4" s="713"/>
      <c r="AX4" s="9130" t="s">
        <v>403</v>
      </c>
      <c r="AY4" s="9131"/>
      <c r="AZ4" s="9131"/>
      <c r="BA4" s="9132"/>
      <c r="BB4" s="713"/>
      <c r="BC4" s="9130" t="s">
        <v>405</v>
      </c>
      <c r="BD4" s="9131"/>
      <c r="BE4" s="9131"/>
      <c r="BF4" s="9132"/>
    </row>
    <row r="5" spans="1:58" x14ac:dyDescent="0.3">
      <c r="B5" s="456" t="s">
        <v>406</v>
      </c>
      <c r="C5" s="714"/>
      <c r="F5" s="8324" t="s">
        <v>407</v>
      </c>
      <c r="G5" s="12"/>
      <c r="H5" s="9138" t="s">
        <v>408</v>
      </c>
      <c r="I5" s="9139"/>
      <c r="J5" s="9140"/>
      <c r="K5" s="12"/>
      <c r="L5" s="9138" t="s">
        <v>409</v>
      </c>
      <c r="M5" s="9140"/>
      <c r="N5" s="12"/>
      <c r="O5" s="9138" t="s">
        <v>410</v>
      </c>
      <c r="P5" s="9139"/>
      <c r="Q5" s="9139"/>
      <c r="R5" s="9140"/>
      <c r="S5" s="12"/>
      <c r="T5" s="9138" t="s">
        <v>411</v>
      </c>
      <c r="U5" s="9139"/>
      <c r="V5" s="9140"/>
      <c r="W5" s="12"/>
      <c r="X5" s="9137"/>
      <c r="Z5" s="9138" t="s">
        <v>411</v>
      </c>
      <c r="AA5" s="9139"/>
      <c r="AB5" s="9139"/>
      <c r="AC5" s="9140"/>
      <c r="AD5" s="12"/>
      <c r="AE5" s="9138" t="s">
        <v>412</v>
      </c>
      <c r="AF5" s="9139"/>
      <c r="AG5" s="9140"/>
      <c r="AH5" s="12"/>
      <c r="AI5" s="9138" t="s">
        <v>412</v>
      </c>
      <c r="AJ5" s="9139"/>
      <c r="AK5" s="9139"/>
      <c r="AL5" s="9140"/>
      <c r="AM5" s="713"/>
      <c r="AN5" s="9138" t="s">
        <v>413</v>
      </c>
      <c r="AO5" s="9139"/>
      <c r="AP5" s="9139"/>
      <c r="AQ5" s="9140"/>
      <c r="AR5" s="12"/>
      <c r="AS5" s="9138" t="s">
        <v>413</v>
      </c>
      <c r="AT5" s="9139"/>
      <c r="AU5" s="9139"/>
      <c r="AV5" s="9140"/>
      <c r="AW5" s="713"/>
      <c r="AX5" s="9138" t="s">
        <v>414</v>
      </c>
      <c r="AY5" s="9139"/>
      <c r="AZ5" s="9139"/>
      <c r="BA5" s="9140"/>
      <c r="BB5" s="713"/>
      <c r="BC5" s="9138" t="s">
        <v>415</v>
      </c>
      <c r="BD5" s="9139"/>
      <c r="BE5" s="9139"/>
      <c r="BF5" s="9140"/>
    </row>
    <row r="6" spans="1:58" x14ac:dyDescent="0.35">
      <c r="F6" s="459"/>
      <c r="L6" s="715"/>
      <c r="T6" s="14"/>
      <c r="U6" s="14"/>
      <c r="X6" s="716"/>
      <c r="AE6" s="14"/>
      <c r="AF6" s="14"/>
      <c r="AM6" s="716"/>
      <c r="AW6" s="716"/>
      <c r="BB6" s="716"/>
    </row>
    <row r="7" spans="1:58" ht="15" customHeight="1" x14ac:dyDescent="0.35">
      <c r="B7" s="456" t="s">
        <v>101</v>
      </c>
      <c r="C7" s="714" t="s">
        <v>416</v>
      </c>
      <c r="D7" s="456" t="s">
        <v>417</v>
      </c>
      <c r="F7" s="717" t="s">
        <v>418</v>
      </c>
      <c r="H7" s="9141" t="s">
        <v>418</v>
      </c>
      <c r="I7" s="9142"/>
      <c r="J7" s="9143" t="s">
        <v>419</v>
      </c>
      <c r="L7" s="9145" t="s">
        <v>418</v>
      </c>
      <c r="M7" s="9146"/>
      <c r="O7" s="9145" t="s">
        <v>418</v>
      </c>
      <c r="P7" s="9146"/>
      <c r="Q7" s="16"/>
      <c r="R7" s="9147" t="s">
        <v>419</v>
      </c>
      <c r="T7" s="9149" t="s">
        <v>418</v>
      </c>
      <c r="U7" s="9150"/>
      <c r="V7" s="9151"/>
      <c r="X7" s="718"/>
      <c r="Z7" s="9145" t="s">
        <v>418</v>
      </c>
      <c r="AA7" s="9146"/>
      <c r="AB7" s="16"/>
      <c r="AC7" s="9147" t="s">
        <v>419</v>
      </c>
      <c r="AE7" s="9149" t="s">
        <v>418</v>
      </c>
      <c r="AF7" s="9150"/>
      <c r="AG7" s="9151"/>
      <c r="AI7" s="9145" t="s">
        <v>418</v>
      </c>
      <c r="AJ7" s="9146"/>
      <c r="AK7" s="16"/>
      <c r="AL7" s="9147" t="s">
        <v>419</v>
      </c>
      <c r="AM7" s="719"/>
      <c r="AN7" s="9145" t="s">
        <v>418</v>
      </c>
      <c r="AO7" s="9146"/>
      <c r="AP7" s="16"/>
      <c r="AQ7" s="9147" t="s">
        <v>419</v>
      </c>
      <c r="AS7" s="9145" t="s">
        <v>418</v>
      </c>
      <c r="AT7" s="9146"/>
      <c r="AU7" s="16"/>
      <c r="AV7" s="9147" t="s">
        <v>419</v>
      </c>
      <c r="AW7" s="719"/>
      <c r="AX7" s="9145" t="s">
        <v>418</v>
      </c>
      <c r="AY7" s="9146"/>
      <c r="AZ7" s="16"/>
      <c r="BA7" s="9147" t="s">
        <v>419</v>
      </c>
      <c r="BB7" s="719"/>
      <c r="BC7" s="9145" t="s">
        <v>418</v>
      </c>
      <c r="BD7" s="9146"/>
      <c r="BE7" s="16"/>
      <c r="BF7" s="9147" t="s">
        <v>419</v>
      </c>
    </row>
    <row r="8" spans="1:58" s="712" customFormat="1" ht="9" customHeight="1" x14ac:dyDescent="0.35">
      <c r="B8" s="456" t="s">
        <v>420</v>
      </c>
      <c r="C8" s="714" t="s">
        <v>421</v>
      </c>
      <c r="F8" s="720" t="s">
        <v>96</v>
      </c>
      <c r="G8" s="456"/>
      <c r="H8" s="720" t="s">
        <v>422</v>
      </c>
      <c r="I8" s="720" t="s">
        <v>96</v>
      </c>
      <c r="J8" s="9144"/>
      <c r="K8" s="456"/>
      <c r="L8" s="721" t="s">
        <v>423</v>
      </c>
      <c r="M8" s="720" t="s">
        <v>96</v>
      </c>
      <c r="N8" s="1"/>
      <c r="O8" s="20" t="s">
        <v>424</v>
      </c>
      <c r="P8" s="20" t="s">
        <v>96</v>
      </c>
      <c r="Q8" s="22" t="s">
        <v>425</v>
      </c>
      <c r="R8" s="9148"/>
      <c r="S8" s="1"/>
      <c r="T8" s="21" t="s">
        <v>424</v>
      </c>
      <c r="U8" s="22" t="s">
        <v>425</v>
      </c>
      <c r="V8" s="20" t="s">
        <v>96</v>
      </c>
      <c r="W8" s="1"/>
      <c r="X8" s="722"/>
      <c r="Z8" s="20" t="s">
        <v>424</v>
      </c>
      <c r="AA8" s="20" t="s">
        <v>96</v>
      </c>
      <c r="AB8" s="22" t="s">
        <v>425</v>
      </c>
      <c r="AC8" s="9148"/>
      <c r="AD8" s="1"/>
      <c r="AE8" s="21" t="s">
        <v>424</v>
      </c>
      <c r="AF8" s="22" t="s">
        <v>425</v>
      </c>
      <c r="AG8" s="20" t="s">
        <v>96</v>
      </c>
      <c r="AH8" s="1"/>
      <c r="AI8" s="20" t="s">
        <v>424</v>
      </c>
      <c r="AJ8" s="20" t="s">
        <v>96</v>
      </c>
      <c r="AK8" s="22" t="s">
        <v>425</v>
      </c>
      <c r="AL8" s="9148"/>
      <c r="AM8" s="723"/>
      <c r="AN8" s="20" t="s">
        <v>424</v>
      </c>
      <c r="AO8" s="20" t="s">
        <v>96</v>
      </c>
      <c r="AP8" s="22" t="s">
        <v>425</v>
      </c>
      <c r="AQ8" s="9148"/>
      <c r="AR8" s="1"/>
      <c r="AS8" s="20" t="s">
        <v>424</v>
      </c>
      <c r="AT8" s="20" t="s">
        <v>96</v>
      </c>
      <c r="AU8" s="22" t="s">
        <v>425</v>
      </c>
      <c r="AV8" s="9148"/>
      <c r="AW8" s="723"/>
      <c r="AX8" s="20" t="s">
        <v>424</v>
      </c>
      <c r="AY8" s="20" t="s">
        <v>96</v>
      </c>
      <c r="AZ8" s="22" t="s">
        <v>425</v>
      </c>
      <c r="BA8" s="9148"/>
      <c r="BB8" s="723"/>
      <c r="BC8" s="20" t="s">
        <v>424</v>
      </c>
      <c r="BD8" s="20" t="s">
        <v>96</v>
      </c>
      <c r="BE8" s="22" t="s">
        <v>425</v>
      </c>
      <c r="BF8" s="9148"/>
    </row>
    <row r="9" spans="1:58" ht="14.5" hidden="1" customHeight="1" x14ac:dyDescent="0.35">
      <c r="F9" s="462"/>
      <c r="G9" s="462"/>
      <c r="H9" s="462"/>
      <c r="I9" s="462"/>
      <c r="J9" s="462"/>
      <c r="K9" s="462"/>
      <c r="N9"/>
      <c r="O9"/>
      <c r="P9"/>
      <c r="Q9"/>
      <c r="R9" s="25"/>
      <c r="S9"/>
      <c r="W9"/>
      <c r="Z9"/>
      <c r="AA9"/>
      <c r="AB9"/>
      <c r="AC9" s="25"/>
      <c r="AD9"/>
      <c r="AH9"/>
      <c r="AI9"/>
      <c r="AJ9"/>
      <c r="AK9"/>
      <c r="AL9" s="25"/>
      <c r="AN9"/>
      <c r="AO9"/>
      <c r="AP9"/>
      <c r="AQ9" s="25"/>
      <c r="AR9"/>
      <c r="AS9"/>
      <c r="AT9"/>
      <c r="AU9"/>
      <c r="AV9" s="25"/>
      <c r="AX9"/>
      <c r="AY9"/>
      <c r="AZ9"/>
      <c r="BA9" s="25"/>
      <c r="BC9"/>
      <c r="BD9"/>
      <c r="BE9"/>
      <c r="BF9" s="25"/>
    </row>
    <row r="10" spans="1:58" ht="69.75" customHeight="1" x14ac:dyDescent="0.35">
      <c r="A10" s="9152" t="s">
        <v>426</v>
      </c>
      <c r="B10" s="724"/>
      <c r="C10" s="725" t="s">
        <v>427</v>
      </c>
      <c r="D10" s="580" t="s">
        <v>428</v>
      </c>
      <c r="F10" s="31" t="s">
        <v>429</v>
      </c>
      <c r="G10"/>
      <c r="H10" s="31" t="s">
        <v>430</v>
      </c>
      <c r="I10" s="31" t="s">
        <v>431</v>
      </c>
      <c r="J10" s="32"/>
      <c r="K10" s="33"/>
      <c r="L10" s="31" t="s">
        <v>432</v>
      </c>
      <c r="M10" s="36" t="s">
        <v>433</v>
      </c>
      <c r="N10" s="33"/>
      <c r="O10" s="31" t="s">
        <v>434</v>
      </c>
      <c r="P10" s="31" t="s">
        <v>435</v>
      </c>
      <c r="Q10" s="473" t="s">
        <v>436</v>
      </c>
      <c r="R10" s="32"/>
      <c r="S10" s="33"/>
      <c r="T10" s="31" t="s">
        <v>437</v>
      </c>
      <c r="U10" s="31"/>
      <c r="V10" s="34" t="s">
        <v>438</v>
      </c>
      <c r="W10" s="33"/>
      <c r="X10" s="726"/>
      <c r="Z10" s="31" t="s">
        <v>439</v>
      </c>
      <c r="AA10" s="31" t="s">
        <v>440</v>
      </c>
      <c r="AB10" s="473" t="s">
        <v>436</v>
      </c>
      <c r="AC10" s="32"/>
      <c r="AD10" s="33"/>
      <c r="AE10" s="31" t="s">
        <v>440</v>
      </c>
      <c r="AF10" s="727" t="s">
        <v>436</v>
      </c>
      <c r="AG10" s="34" t="s">
        <v>441</v>
      </c>
      <c r="AH10" s="33"/>
      <c r="AI10" s="31" t="s">
        <v>440</v>
      </c>
      <c r="AJ10" s="31" t="s">
        <v>442</v>
      </c>
      <c r="AK10" s="473" t="s">
        <v>443</v>
      </c>
      <c r="AL10" s="32"/>
      <c r="AM10" s="257"/>
      <c r="AN10" s="31" t="s">
        <v>444</v>
      </c>
      <c r="AO10" s="31" t="s">
        <v>445</v>
      </c>
      <c r="AP10" s="473" t="s">
        <v>443</v>
      </c>
      <c r="AQ10" s="32"/>
      <c r="AR10" s="33"/>
      <c r="AS10" s="31" t="s">
        <v>446</v>
      </c>
      <c r="AT10" s="31" t="s">
        <v>447</v>
      </c>
      <c r="AU10" s="473" t="s">
        <v>443</v>
      </c>
      <c r="AV10" s="32"/>
      <c r="AW10" s="257"/>
      <c r="AX10" s="9155" t="s">
        <v>448</v>
      </c>
      <c r="AY10" s="9156"/>
      <c r="AZ10" s="473" t="s">
        <v>443</v>
      </c>
      <c r="BA10" s="32"/>
      <c r="BB10" s="257"/>
      <c r="BC10" s="9155" t="s">
        <v>449</v>
      </c>
      <c r="BD10" s="9156"/>
      <c r="BE10" s="473" t="s">
        <v>450</v>
      </c>
      <c r="BF10" s="32"/>
    </row>
    <row r="11" spans="1:58" ht="12.75" customHeight="1" x14ac:dyDescent="0.3">
      <c r="A11" s="9153"/>
      <c r="B11" s="40" t="s">
        <v>451</v>
      </c>
      <c r="C11" s="728"/>
      <c r="D11" s="729"/>
      <c r="F11" s="730"/>
      <c r="G11" s="731"/>
      <c r="H11" s="732"/>
      <c r="I11" s="733"/>
      <c r="J11" s="734"/>
      <c r="K11" s="731"/>
      <c r="L11" s="732"/>
      <c r="M11" s="735"/>
      <c r="N11" s="48"/>
      <c r="O11" s="736"/>
      <c r="P11" s="737"/>
      <c r="Q11" s="474"/>
      <c r="R11" s="47"/>
      <c r="S11" s="48"/>
      <c r="T11" s="45"/>
      <c r="U11" s="474"/>
      <c r="V11" s="738"/>
      <c r="W11" s="739"/>
      <c r="X11" s="718"/>
      <c r="Z11" s="740"/>
      <c r="AA11" s="741"/>
      <c r="AB11" s="474"/>
      <c r="AC11" s="47"/>
      <c r="AD11" s="48"/>
      <c r="AE11" s="154"/>
      <c r="AF11" s="474"/>
      <c r="AG11" s="586"/>
      <c r="AH11" s="739"/>
      <c r="AI11" s="740" t="s">
        <v>452</v>
      </c>
      <c r="AJ11" s="741" t="s">
        <v>453</v>
      </c>
      <c r="AK11" s="474"/>
      <c r="AL11" s="47"/>
      <c r="AM11" s="719"/>
      <c r="AN11" s="740"/>
      <c r="AO11" s="742"/>
      <c r="AP11" s="474"/>
      <c r="AQ11" s="47"/>
      <c r="AR11" s="48"/>
      <c r="AS11" s="740" t="s">
        <v>454</v>
      </c>
      <c r="AT11" s="741" t="s">
        <v>455</v>
      </c>
      <c r="AU11" s="474"/>
      <c r="AV11" s="47"/>
      <c r="AW11" s="719"/>
      <c r="AX11" s="740"/>
      <c r="AY11" s="742"/>
      <c r="AZ11" s="474"/>
      <c r="BA11" s="47"/>
      <c r="BB11" s="719"/>
      <c r="BC11" s="740"/>
      <c r="BD11" s="742"/>
      <c r="BE11" s="474"/>
      <c r="BF11" s="47"/>
    </row>
    <row r="12" spans="1:58" x14ac:dyDescent="0.35">
      <c r="A12" s="9153"/>
      <c r="B12" s="58"/>
      <c r="C12" s="743" t="s">
        <v>456</v>
      </c>
      <c r="F12" s="744">
        <v>99342</v>
      </c>
      <c r="G12" s="745"/>
      <c r="H12" s="746">
        <v>114000</v>
      </c>
      <c r="I12" s="747">
        <v>109720</v>
      </c>
      <c r="J12" s="748">
        <f>IF(H12=0,0,I12/H12)</f>
        <v>0.96245614035087723</v>
      </c>
      <c r="K12" s="745"/>
      <c r="L12" s="746">
        <f>L15-L13</f>
        <v>139437</v>
      </c>
      <c r="M12" s="749">
        <v>100011</v>
      </c>
      <c r="N12" s="65"/>
      <c r="O12" s="62">
        <v>125513</v>
      </c>
      <c r="P12" s="63">
        <v>121800</v>
      </c>
      <c r="Q12" s="106" t="s">
        <v>457</v>
      </c>
      <c r="R12" s="476">
        <f>IF(O12=0,0,P12/O12)</f>
        <v>0.97041740696182865</v>
      </c>
      <c r="S12" s="65"/>
      <c r="T12" s="62">
        <v>132927</v>
      </c>
      <c r="U12" s="106" t="s">
        <v>457</v>
      </c>
      <c r="V12" s="301">
        <f>34728.2+111331.1</f>
        <v>146059.29999999999</v>
      </c>
      <c r="W12" s="272"/>
      <c r="X12" s="723"/>
      <c r="Z12" s="71">
        <v>132927</v>
      </c>
      <c r="AA12" s="74">
        <f>111331.1+34728.2</f>
        <v>146059.29999999999</v>
      </c>
      <c r="AB12" s="106" t="s">
        <v>458</v>
      </c>
      <c r="AC12" s="476">
        <f>IF(Z12=0,0,AA12/Z12)</f>
        <v>1.0987933226507782</v>
      </c>
      <c r="AD12" s="65"/>
      <c r="AE12" s="71">
        <v>152500</v>
      </c>
      <c r="AF12" s="106" t="s">
        <v>457</v>
      </c>
      <c r="AG12" s="61">
        <f>AE12*AC12</f>
        <v>167565.98170424369</v>
      </c>
      <c r="AH12" s="272"/>
      <c r="AI12" s="750">
        <f>AI15-AI13</f>
        <v>160561.17199999999</v>
      </c>
      <c r="AJ12" s="751">
        <f>AJ15-AJ13-AJ14</f>
        <v>133148.07245499999</v>
      </c>
      <c r="AK12" s="106"/>
      <c r="AL12" s="476">
        <f>IF(AI12=0,0,AJ12/AI12)</f>
        <v>0.82926694415882807</v>
      </c>
      <c r="AM12" s="719"/>
      <c r="AN12" s="750">
        <v>173500</v>
      </c>
      <c r="AO12" s="106">
        <f>AN12*AL12</f>
        <v>143877.81481155666</v>
      </c>
      <c r="AP12" s="106" t="s">
        <v>458</v>
      </c>
      <c r="AQ12" s="476">
        <f>IF(AN12=0,0,AO12/AN12)</f>
        <v>0.82926694415882796</v>
      </c>
      <c r="AR12" s="65"/>
      <c r="AS12" s="62">
        <v>173500</v>
      </c>
      <c r="AT12" s="671">
        <f>AT15-AT13-AT14</f>
        <v>169473</v>
      </c>
      <c r="AU12" s="106" t="s">
        <v>459</v>
      </c>
      <c r="AV12" s="476">
        <f>IF(AS12=0,0,AT12/AS12)</f>
        <v>0.97678962536023051</v>
      </c>
      <c r="AW12" s="719"/>
      <c r="AX12" s="62">
        <v>188006</v>
      </c>
      <c r="AY12" s="671">
        <v>208111</v>
      </c>
      <c r="AZ12" s="57" t="s">
        <v>460</v>
      </c>
      <c r="BA12" s="476">
        <f>IF(AX12=0,0,AY12/AX12)</f>
        <v>1.1069380764443688</v>
      </c>
      <c r="BB12" s="719"/>
      <c r="BC12" s="62">
        <v>177800</v>
      </c>
      <c r="BD12" s="671">
        <v>173165</v>
      </c>
      <c r="BE12" s="57" t="s">
        <v>461</v>
      </c>
      <c r="BF12" s="476">
        <f>IF(BC12=0,0,BD12/BC12)</f>
        <v>0.97393138357705289</v>
      </c>
    </row>
    <row r="13" spans="1:58" x14ac:dyDescent="0.35">
      <c r="A13" s="9153"/>
      <c r="B13" s="58"/>
      <c r="C13" s="752" t="s">
        <v>462</v>
      </c>
      <c r="E13" s="462"/>
      <c r="F13" s="753">
        <v>98726</v>
      </c>
      <c r="G13" s="745"/>
      <c r="H13" s="746">
        <v>212156</v>
      </c>
      <c r="I13" s="747">
        <f>140082+56215</f>
        <v>196297</v>
      </c>
      <c r="J13" s="754">
        <f>IF(H13=0,0,I13/H13)</f>
        <v>0.92524840211919535</v>
      </c>
      <c r="K13" s="745"/>
      <c r="L13" s="746">
        <v>268092</v>
      </c>
      <c r="M13" s="749">
        <f>M15-M12</f>
        <v>180252</v>
      </c>
      <c r="N13" s="65"/>
      <c r="O13" s="62">
        <f>161784+141130</f>
        <v>302914</v>
      </c>
      <c r="P13" s="63">
        <v>301558</v>
      </c>
      <c r="Q13" s="106" t="s">
        <v>457</v>
      </c>
      <c r="R13" s="73">
        <f>IF(O13=0,0,P13/O13)</f>
        <v>0.99552348191235795</v>
      </c>
      <c r="S13" s="65"/>
      <c r="T13" s="62">
        <v>297233</v>
      </c>
      <c r="U13" s="106" t="s">
        <v>457</v>
      </c>
      <c r="V13" s="301">
        <v>297231</v>
      </c>
      <c r="W13" s="272"/>
      <c r="X13" s="723"/>
      <c r="Z13" s="71">
        <v>297233</v>
      </c>
      <c r="AA13" s="74">
        <v>297231</v>
      </c>
      <c r="AB13" s="106" t="s">
        <v>458</v>
      </c>
      <c r="AC13" s="73">
        <f>IF(Z13=0,0,AA13/Z13)</f>
        <v>0.99999327127203241</v>
      </c>
      <c r="AD13" s="65"/>
      <c r="AE13" s="71">
        <v>258802.5</v>
      </c>
      <c r="AF13" s="106" t="s">
        <v>457</v>
      </c>
      <c r="AG13" s="61">
        <f>AE13*AC13</f>
        <v>258800.75858838018</v>
      </c>
      <c r="AH13" s="272"/>
      <c r="AI13" s="750">
        <v>256147.758</v>
      </c>
      <c r="AJ13" s="751">
        <f>218846457952/1000000</f>
        <v>218846.457952</v>
      </c>
      <c r="AK13" s="106" t="s">
        <v>463</v>
      </c>
      <c r="AL13" s="73">
        <f>IF(AI13=0,0,AJ13/AI13)</f>
        <v>0.85437584799004951</v>
      </c>
      <c r="AM13" s="719"/>
      <c r="AN13" s="750">
        <v>223583.02299999999</v>
      </c>
      <c r="AO13" s="106">
        <f>AN13*AL13</f>
        <v>191023.93487180374</v>
      </c>
      <c r="AP13" s="106" t="s">
        <v>458</v>
      </c>
      <c r="AQ13" s="73">
        <f>IF(AN13=0,0,AO13/AN13)</f>
        <v>0.85437584799004951</v>
      </c>
      <c r="AR13" s="65"/>
      <c r="AS13" s="62">
        <v>223583.02299999999</v>
      </c>
      <c r="AT13" s="671">
        <v>190372</v>
      </c>
      <c r="AU13" s="106" t="s">
        <v>459</v>
      </c>
      <c r="AV13" s="73">
        <f>IF(AS13=0,0,AT13/AS13)</f>
        <v>0.85145999658480331</v>
      </c>
      <c r="AW13" s="719"/>
      <c r="AX13" s="62">
        <v>199016</v>
      </c>
      <c r="AY13" s="671">
        <v>192519</v>
      </c>
      <c r="AZ13" s="106"/>
      <c r="BA13" s="73">
        <f>IF(AX13=0,0,AY13/AX13)</f>
        <v>0.96735438356715042</v>
      </c>
      <c r="BB13" s="719"/>
      <c r="BC13" s="62">
        <v>277475</v>
      </c>
      <c r="BD13" s="671">
        <v>220073</v>
      </c>
      <c r="BE13" s="106" t="s">
        <v>464</v>
      </c>
      <c r="BF13" s="73">
        <f>IF(BC13=0,0,BD13/BC13)</f>
        <v>0.79312730876655557</v>
      </c>
    </row>
    <row r="14" spans="1:58" ht="15" customHeight="1" x14ac:dyDescent="0.35">
      <c r="A14" s="9153"/>
      <c r="B14" s="75"/>
      <c r="C14" s="755" t="s">
        <v>465</v>
      </c>
      <c r="E14" s="462"/>
      <c r="F14" s="756"/>
      <c r="G14" s="745"/>
      <c r="H14" s="757"/>
      <c r="I14" s="758"/>
      <c r="J14" s="754"/>
      <c r="K14" s="745"/>
      <c r="L14" s="746"/>
      <c r="M14" s="749"/>
      <c r="N14" s="80"/>
      <c r="O14" s="62"/>
      <c r="P14" s="63"/>
      <c r="Q14" s="106"/>
      <c r="R14" s="73">
        <f>IF(O14=0,0,P14/O14)</f>
        <v>0</v>
      </c>
      <c r="S14" s="80"/>
      <c r="T14" s="78"/>
      <c r="U14" s="106"/>
      <c r="V14" s="759"/>
      <c r="W14" s="274"/>
      <c r="X14" s="723"/>
      <c r="Z14" s="760"/>
      <c r="AA14" s="84"/>
      <c r="AB14" s="106"/>
      <c r="AC14" s="73"/>
      <c r="AD14" s="80"/>
      <c r="AE14" s="760"/>
      <c r="AF14" s="106"/>
      <c r="AG14" s="77"/>
      <c r="AH14" s="274"/>
      <c r="AI14" s="761"/>
      <c r="AJ14" s="751">
        <f>AG14</f>
        <v>0</v>
      </c>
      <c r="AK14" s="106"/>
      <c r="AL14" s="73"/>
      <c r="AM14" s="719"/>
      <c r="AN14" s="761"/>
      <c r="AO14" s="106">
        <f>AN14*AL14</f>
        <v>0</v>
      </c>
      <c r="AP14" s="106"/>
      <c r="AQ14" s="73"/>
      <c r="AR14" s="80"/>
      <c r="AS14" s="78"/>
      <c r="AT14" s="4874">
        <f>AQ14</f>
        <v>0</v>
      </c>
      <c r="AU14" s="106"/>
      <c r="AV14" s="73"/>
      <c r="AW14" s="719"/>
      <c r="AX14" s="78"/>
      <c r="AY14" s="4874"/>
      <c r="AZ14" s="106"/>
      <c r="BA14" s="73"/>
      <c r="BB14" s="719"/>
      <c r="BC14" s="78"/>
      <c r="BD14" s="4874"/>
      <c r="BE14" s="106"/>
      <c r="BF14" s="73"/>
    </row>
    <row r="15" spans="1:58" ht="12.75" customHeight="1" x14ac:dyDescent="0.35">
      <c r="A15" s="9153"/>
      <c r="B15" s="85"/>
      <c r="C15" s="762" t="s">
        <v>466</v>
      </c>
      <c r="E15" s="223"/>
      <c r="F15" s="763">
        <v>198069</v>
      </c>
      <c r="G15" s="745"/>
      <c r="H15" s="764">
        <v>328496</v>
      </c>
      <c r="I15" s="765">
        <v>306017</v>
      </c>
      <c r="J15" s="766">
        <f>IF(H15=0,0,I15/H15)</f>
        <v>0.93156994301300478</v>
      </c>
      <c r="K15" s="745"/>
      <c r="L15" s="764">
        <v>407529</v>
      </c>
      <c r="M15" s="767">
        <v>280263</v>
      </c>
      <c r="N15" s="80"/>
      <c r="O15" s="89">
        <v>428427</v>
      </c>
      <c r="P15" s="90">
        <v>423358</v>
      </c>
      <c r="Q15" s="216" t="s">
        <v>457</v>
      </c>
      <c r="R15" s="91">
        <f>IF(O15=0,0,P15/O15)</f>
        <v>0.9881683460659576</v>
      </c>
      <c r="S15" s="80"/>
      <c r="T15" s="89">
        <v>430160</v>
      </c>
      <c r="U15" s="216" t="s">
        <v>457</v>
      </c>
      <c r="V15" s="309">
        <v>443290.3</v>
      </c>
      <c r="W15" s="274"/>
      <c r="X15" s="722"/>
      <c r="Z15" s="768">
        <v>430160</v>
      </c>
      <c r="AA15" s="99">
        <v>443290.3</v>
      </c>
      <c r="AB15" s="216" t="s">
        <v>458</v>
      </c>
      <c r="AC15" s="91">
        <f>IF(Z15=0,0,AA15/Z15)</f>
        <v>1.0305242235447276</v>
      </c>
      <c r="AD15" s="80"/>
      <c r="AE15" s="768">
        <v>411302.5</v>
      </c>
      <c r="AF15" s="216" t="s">
        <v>457</v>
      </c>
      <c r="AG15" s="88">
        <f>AE15*AC15</f>
        <v>423857.18945450534</v>
      </c>
      <c r="AH15" s="274"/>
      <c r="AI15" s="769">
        <v>416708.93</v>
      </c>
      <c r="AJ15" s="770">
        <v>351994.53040699998</v>
      </c>
      <c r="AK15" s="265" t="s">
        <v>467</v>
      </c>
      <c r="AL15" s="91">
        <f>IF(AI15=0,0,AJ15/AI15)</f>
        <v>0.84470119324536674</v>
      </c>
      <c r="AM15" s="719"/>
      <c r="AN15" s="769">
        <f>SUM(AN12:AN14)</f>
        <v>397083.02299999999</v>
      </c>
      <c r="AO15" s="216">
        <f>SUM(AO12:AO14)</f>
        <v>334901.74968336039</v>
      </c>
      <c r="AP15" s="216" t="s">
        <v>458</v>
      </c>
      <c r="AQ15" s="91">
        <f>IF(AN15=0,0,AO15/AN15)</f>
        <v>0.8434048556222471</v>
      </c>
      <c r="AR15" s="80"/>
      <c r="AS15" s="89">
        <f>SUM(AS12:AS14)</f>
        <v>397083.02299999999</v>
      </c>
      <c r="AT15" s="672">
        <v>359845</v>
      </c>
      <c r="AU15" s="216" t="s">
        <v>459</v>
      </c>
      <c r="AV15" s="91">
        <f>IF(AS15=0,0,AT15/AS15)</f>
        <v>0.9062210650088659</v>
      </c>
      <c r="AW15" s="719"/>
      <c r="AX15" s="89">
        <f>SUM(AX12:AX14)</f>
        <v>387022</v>
      </c>
      <c r="AY15" s="672">
        <f>SUM(AY12:AY14)</f>
        <v>400630</v>
      </c>
      <c r="AZ15" s="216"/>
      <c r="BA15" s="91">
        <f>IF(AX15=0,0,AY15/AX15)</f>
        <v>1.0351607918929673</v>
      </c>
      <c r="BB15" s="719"/>
      <c r="BC15" s="89">
        <f>SUM(BC12:BC14)</f>
        <v>455275</v>
      </c>
      <c r="BD15" s="672">
        <f>SUM(BD12:BD14)</f>
        <v>393238</v>
      </c>
      <c r="BE15" s="216"/>
      <c r="BF15" s="91">
        <f>IF(BC15=0,0,BD15/BC15)</f>
        <v>0.86373730163088247</v>
      </c>
    </row>
    <row r="16" spans="1:58" x14ac:dyDescent="0.35">
      <c r="A16" s="9153"/>
      <c r="B16" s="100" t="s">
        <v>468</v>
      </c>
      <c r="C16" s="771"/>
      <c r="D16" s="729"/>
      <c r="E16" s="729"/>
      <c r="F16" s="772"/>
      <c r="G16" s="729"/>
      <c r="H16" s="773"/>
      <c r="I16" s="774"/>
      <c r="J16" s="775"/>
      <c r="K16" s="729"/>
      <c r="L16" s="773"/>
      <c r="M16" s="776"/>
      <c r="N16" s="43"/>
      <c r="O16" s="102"/>
      <c r="P16" s="106"/>
      <c r="Q16" s="106"/>
      <c r="R16" s="104"/>
      <c r="S16" s="43"/>
      <c r="T16" s="777"/>
      <c r="U16" s="106"/>
      <c r="V16" s="105"/>
      <c r="W16" s="43"/>
      <c r="X16" s="718"/>
      <c r="Z16" s="102"/>
      <c r="AA16" s="106"/>
      <c r="AB16" s="106"/>
      <c r="AC16" s="104"/>
      <c r="AD16" s="43"/>
      <c r="AE16" s="102"/>
      <c r="AF16" s="106"/>
      <c r="AG16" s="227"/>
      <c r="AH16" s="43"/>
      <c r="AI16" s="102"/>
      <c r="AJ16" s="106"/>
      <c r="AK16" s="106"/>
      <c r="AL16" s="104"/>
      <c r="AM16" s="719"/>
      <c r="AN16" s="102"/>
      <c r="AO16" s="106"/>
      <c r="AP16" s="106"/>
      <c r="AQ16" s="104"/>
      <c r="AR16" s="43"/>
      <c r="AS16" s="6111" t="s">
        <v>469</v>
      </c>
      <c r="AT16" s="106"/>
      <c r="AU16" s="106"/>
      <c r="AV16" s="73"/>
      <c r="AW16" s="719"/>
      <c r="AX16" s="102"/>
      <c r="AY16" s="106"/>
      <c r="AZ16" s="106"/>
      <c r="BA16" s="104"/>
      <c r="BB16" s="719"/>
      <c r="BC16" s="102"/>
      <c r="BD16" s="106"/>
      <c r="BE16" s="106"/>
      <c r="BF16" s="104"/>
    </row>
    <row r="17" spans="1:58" x14ac:dyDescent="0.35">
      <c r="A17" s="9153"/>
      <c r="B17" s="6082"/>
      <c r="C17" s="778" t="s">
        <v>470</v>
      </c>
      <c r="F17" s="779">
        <v>149385</v>
      </c>
      <c r="H17" s="780">
        <v>206586</v>
      </c>
      <c r="I17" s="781">
        <v>197992</v>
      </c>
      <c r="J17" s="782">
        <f>IF(H17=0,0,I17/H17)</f>
        <v>0.95839989157058081</v>
      </c>
      <c r="L17" s="780">
        <v>280472</v>
      </c>
      <c r="M17" s="783">
        <v>228337</v>
      </c>
      <c r="O17" s="112">
        <v>283486</v>
      </c>
      <c r="P17" s="115">
        <v>284386</v>
      </c>
      <c r="Q17" s="106" t="s">
        <v>457</v>
      </c>
      <c r="R17" s="476">
        <f>IF(O17=0,0,P17/O17)</f>
        <v>1.0031747599528724</v>
      </c>
      <c r="T17" s="117">
        <v>276054</v>
      </c>
      <c r="U17" s="127" t="s">
        <v>457</v>
      </c>
      <c r="V17" s="273">
        <f>R17*T17</f>
        <v>276930.40518403024</v>
      </c>
      <c r="X17" s="723" t="s">
        <v>471</v>
      </c>
      <c r="Z17" s="117">
        <v>276054</v>
      </c>
      <c r="AA17" s="123">
        <f>300149-AA19</f>
        <v>299601.2</v>
      </c>
      <c r="AB17" s="106" t="s">
        <v>458</v>
      </c>
      <c r="AC17" s="476">
        <f>IF(Z17=0,0,AA17/Z17)</f>
        <v>1.0852992530446941</v>
      </c>
      <c r="AE17" s="117">
        <f>331478.2-AE19</f>
        <v>330930.40000000002</v>
      </c>
      <c r="AF17" s="127" t="s">
        <v>457</v>
      </c>
      <c r="AG17" s="155">
        <f>AE17*AC17</f>
        <v>359158.51592978189</v>
      </c>
      <c r="AI17" s="330">
        <v>268412.21899999998</v>
      </c>
      <c r="AJ17" s="784">
        <v>254000</v>
      </c>
      <c r="AK17" s="106" t="s">
        <v>472</v>
      </c>
      <c r="AL17" s="476">
        <f>IF(AI17=0,0,AJ17/AI17)</f>
        <v>0.94630565235184028</v>
      </c>
      <c r="AM17" s="719"/>
      <c r="AN17" s="330">
        <f>280262.039681-AN19</f>
        <v>278459.18968100002</v>
      </c>
      <c r="AO17" s="106">
        <f>AN17*AL17</f>
        <v>263507.50514444354</v>
      </c>
      <c r="AP17" s="106" t="s">
        <v>458</v>
      </c>
      <c r="AQ17" s="476">
        <f>IF(AN17=0,0,AO17/AN17)</f>
        <v>0.94630565235184028</v>
      </c>
      <c r="AS17" s="117">
        <f>280522-AS19</f>
        <v>278719.15000000002</v>
      </c>
      <c r="AT17" s="113">
        <f>219051*12/11-AT19</f>
        <v>237161.87727272726</v>
      </c>
      <c r="AU17" s="106" t="s">
        <v>473</v>
      </c>
      <c r="AV17" s="476">
        <f>IF(AS17=0,0,AT17/AS17)</f>
        <v>0.85089911214470637</v>
      </c>
      <c r="AW17" s="719"/>
      <c r="AX17" s="117">
        <f>296059-AX19-AX19</f>
        <v>290521</v>
      </c>
      <c r="AY17" s="113">
        <f>275522-AY19</f>
        <v>273319</v>
      </c>
      <c r="AZ17" s="57" t="s">
        <v>460</v>
      </c>
      <c r="BA17" s="476">
        <f>IF(AX17=0,0,AY17/AX17)</f>
        <v>0.94078913400408237</v>
      </c>
      <c r="BB17" s="719"/>
      <c r="BC17" s="117">
        <f>310212-BC19</f>
        <v>310212</v>
      </c>
      <c r="BD17" s="113">
        <f>275846-BD19</f>
        <v>275846</v>
      </c>
      <c r="BE17" s="57" t="s">
        <v>460</v>
      </c>
      <c r="BF17" s="476">
        <f>IF(BC17=0,0,BD17/BC17)</f>
        <v>0.88921769628512115</v>
      </c>
    </row>
    <row r="18" spans="1:58" x14ac:dyDescent="0.35">
      <c r="A18" s="9153"/>
      <c r="B18" s="6082"/>
      <c r="C18" s="778" t="s">
        <v>474</v>
      </c>
      <c r="F18" s="779">
        <v>50902</v>
      </c>
      <c r="H18" s="785">
        <v>141659</v>
      </c>
      <c r="I18" s="786">
        <v>80153</v>
      </c>
      <c r="J18" s="782"/>
      <c r="L18" s="785">
        <f>L21-L17</f>
        <v>147906</v>
      </c>
      <c r="M18" s="783">
        <f>M21-M17</f>
        <v>85924</v>
      </c>
      <c r="O18" s="117">
        <v>152687</v>
      </c>
      <c r="P18" s="115">
        <v>151115</v>
      </c>
      <c r="Q18" s="106" t="s">
        <v>457</v>
      </c>
      <c r="R18" s="476">
        <f>IF(O18=0,0,P18/O18)</f>
        <v>0.98970442801286296</v>
      </c>
      <c r="T18" s="117">
        <v>168553</v>
      </c>
      <c r="U18" s="127" t="s">
        <v>457</v>
      </c>
      <c r="V18" s="273">
        <f>V21-V17-V19-V20</f>
        <v>168432.79481596977</v>
      </c>
      <c r="X18" s="723" t="s">
        <v>475</v>
      </c>
      <c r="Z18" s="117">
        <v>168553</v>
      </c>
      <c r="AA18" s="123">
        <v>145762</v>
      </c>
      <c r="AB18" s="106" t="s">
        <v>458</v>
      </c>
      <c r="AC18" s="476">
        <f>IF(Z18=0,0,AA18/Z18)</f>
        <v>0.86478437049474055</v>
      </c>
      <c r="AE18" s="117">
        <v>97935.6</v>
      </c>
      <c r="AF18" s="127" t="s">
        <v>457</v>
      </c>
      <c r="AG18" s="155">
        <f>AE18*AC18</f>
        <v>84693.176195024716</v>
      </c>
      <c r="AI18" s="330">
        <v>161001.495</v>
      </c>
      <c r="AJ18" s="784">
        <v>102000</v>
      </c>
      <c r="AK18" s="106" t="s">
        <v>472</v>
      </c>
      <c r="AL18" s="476">
        <f>IF(AI18=0,0,AJ18/AI18)</f>
        <v>0.63353448985054461</v>
      </c>
      <c r="AM18" s="719"/>
      <c r="AN18" s="330">
        <v>132944.63170699999</v>
      </c>
      <c r="AO18" s="106">
        <f>AN18*AL18</f>
        <v>84225.009426862773</v>
      </c>
      <c r="AP18" s="106" t="s">
        <v>458</v>
      </c>
      <c r="AQ18" s="476">
        <f>IF(AN18=0,0,AO18/AN18)</f>
        <v>0.63353448985054461</v>
      </c>
      <c r="AS18" s="117">
        <v>130166.1</v>
      </c>
      <c r="AT18" s="115">
        <f>95247*12/11</f>
        <v>103905.81818181818</v>
      </c>
      <c r="AU18" s="106" t="s">
        <v>473</v>
      </c>
      <c r="AV18" s="476">
        <f>IF(AS18=0,0,AT18/AS18)</f>
        <v>0.798255599436552</v>
      </c>
      <c r="AW18" s="719"/>
      <c r="AX18" s="117">
        <v>149389</v>
      </c>
      <c r="AY18" s="115">
        <v>139300</v>
      </c>
      <c r="AZ18" s="106"/>
      <c r="BA18" s="476">
        <f>IF(AX18=0,0,AY18/AX18)</f>
        <v>0.93246490705473628</v>
      </c>
      <c r="BB18" s="719"/>
      <c r="BC18" s="117">
        <v>196382</v>
      </c>
      <c r="BD18" s="115">
        <v>160639</v>
      </c>
      <c r="BE18" s="106"/>
      <c r="BF18" s="476">
        <f>IF(BC18=0,0,BD18/BC18)</f>
        <v>0.81799248403621516</v>
      </c>
    </row>
    <row r="19" spans="1:58" x14ac:dyDescent="0.35">
      <c r="A19" s="9153"/>
      <c r="B19" s="6082"/>
      <c r="C19" s="787" t="s">
        <v>476</v>
      </c>
      <c r="F19" s="788"/>
      <c r="H19" s="785"/>
      <c r="I19" s="786"/>
      <c r="J19" s="782">
        <f>IF(H19=0,0,I19/H19)</f>
        <v>0</v>
      </c>
      <c r="L19" s="785"/>
      <c r="M19" s="783"/>
      <c r="O19" s="117"/>
      <c r="P19" s="115"/>
      <c r="Q19" s="789"/>
      <c r="R19" s="476">
        <f>IF(O19=0,0,P19/O19)</f>
        <v>0</v>
      </c>
      <c r="T19" s="117"/>
      <c r="U19" s="127"/>
      <c r="V19" s="273">
        <v>547.79999999999995</v>
      </c>
      <c r="X19" s="723"/>
      <c r="Z19" s="117"/>
      <c r="AA19" s="123">
        <v>547.79999999999995</v>
      </c>
      <c r="AB19" s="789"/>
      <c r="AC19" s="476">
        <f>IF(Z19=0,0,AA19/Z19)</f>
        <v>0</v>
      </c>
      <c r="AE19" s="117">
        <v>547.79999999999995</v>
      </c>
      <c r="AF19" s="127"/>
      <c r="AG19" s="155"/>
      <c r="AI19" s="330"/>
      <c r="AJ19" s="784"/>
      <c r="AK19" s="789"/>
      <c r="AL19" s="476">
        <f>IF(AI19=0,0,AJ19/AI19)</f>
        <v>0</v>
      </c>
      <c r="AM19" s="719"/>
      <c r="AN19" s="330">
        <v>1802.85</v>
      </c>
      <c r="AO19" s="106">
        <f>AN19*AL19</f>
        <v>0</v>
      </c>
      <c r="AP19" s="789"/>
      <c r="AQ19" s="476">
        <f>IF(AN19=0,0,AO19/AN19)</f>
        <v>0</v>
      </c>
      <c r="AS19" s="117">
        <v>1802.85</v>
      </c>
      <c r="AT19" s="3983">
        <f>AS19</f>
        <v>1802.85</v>
      </c>
      <c r="AU19" s="106" t="s">
        <v>477</v>
      </c>
      <c r="AV19" s="476">
        <f>IF(AS19=0,0,AT19/AS19)</f>
        <v>1</v>
      </c>
      <c r="AW19" s="719"/>
      <c r="AX19" s="117">
        <v>2769</v>
      </c>
      <c r="AY19" s="3983">
        <v>2203</v>
      </c>
      <c r="AZ19" s="789"/>
      <c r="BA19" s="476">
        <f>IF(AX19=0,0,AY19/AX19)</f>
        <v>0.79559407728421816</v>
      </c>
      <c r="BB19" s="719"/>
      <c r="BC19" s="117"/>
      <c r="BD19" s="3983"/>
      <c r="BE19" s="789"/>
      <c r="BF19" s="476">
        <f>IF(BC19=0,0,BD19/BC19)</f>
        <v>0</v>
      </c>
    </row>
    <row r="20" spans="1:58" x14ac:dyDescent="0.35">
      <c r="A20" s="9153"/>
      <c r="B20" s="6082"/>
      <c r="C20" s="787" t="s">
        <v>478</v>
      </c>
      <c r="F20" s="790"/>
      <c r="H20" s="791"/>
      <c r="I20" s="792"/>
      <c r="J20" s="782"/>
      <c r="L20" s="785"/>
      <c r="M20" s="783"/>
      <c r="O20" s="117"/>
      <c r="P20" s="123"/>
      <c r="Q20" s="789"/>
      <c r="R20" s="476">
        <f>IF(O20=0,0,P20/O20)</f>
        <v>0</v>
      </c>
      <c r="T20" s="114"/>
      <c r="U20" s="127"/>
      <c r="V20" s="482"/>
      <c r="X20" s="723"/>
      <c r="Z20" s="114"/>
      <c r="AA20" s="123"/>
      <c r="AB20" s="789"/>
      <c r="AC20" s="476">
        <f>IF(Z20=0,0,AA20/Z20)</f>
        <v>0</v>
      </c>
      <c r="AE20" s="114"/>
      <c r="AF20" s="127"/>
      <c r="AG20" s="122"/>
      <c r="AI20" s="793"/>
      <c r="AJ20" s="784"/>
      <c r="AK20" s="789"/>
      <c r="AL20" s="476">
        <f>IF(AI20=0,0,AJ20/AI20)</f>
        <v>0</v>
      </c>
      <c r="AM20" s="719"/>
      <c r="AN20" s="793"/>
      <c r="AO20" s="106">
        <f>AN20*AL20</f>
        <v>0</v>
      </c>
      <c r="AP20" s="789"/>
      <c r="AQ20" s="476">
        <f>IF(AN20=0,0,AO20/AN20)</f>
        <v>0</v>
      </c>
      <c r="AS20" s="117"/>
      <c r="AT20" s="115"/>
      <c r="AU20" s="789"/>
      <c r="AV20" s="476">
        <f>IF(AS20=0,0,AT20/AS20)</f>
        <v>0</v>
      </c>
      <c r="AW20" s="719"/>
      <c r="AX20" s="117"/>
      <c r="AY20" s="115">
        <f>AX20*AV20</f>
        <v>0</v>
      </c>
      <c r="AZ20" s="789"/>
      <c r="BA20" s="476">
        <f>IF(AX20=0,0,AY20/AX20)</f>
        <v>0</v>
      </c>
      <c r="BB20" s="719"/>
      <c r="BC20" s="117"/>
      <c r="BD20" s="115">
        <f>BC20*BA20</f>
        <v>0</v>
      </c>
      <c r="BE20" s="789"/>
      <c r="BF20" s="476">
        <f>IF(BC20=0,0,BD20/BC20)</f>
        <v>0</v>
      </c>
    </row>
    <row r="21" spans="1:58" x14ac:dyDescent="0.35">
      <c r="A21" s="9153"/>
      <c r="B21" s="128"/>
      <c r="C21" s="794" t="s">
        <v>479</v>
      </c>
      <c r="E21" s="729"/>
      <c r="F21" s="795">
        <f>SUM(F17:F18)</f>
        <v>200287</v>
      </c>
      <c r="H21" s="796">
        <v>348245</v>
      </c>
      <c r="I21" s="797">
        <f>SUM(I17:I18)</f>
        <v>278145</v>
      </c>
      <c r="J21" s="798">
        <f>IF(H21=0,0,I21/H21)</f>
        <v>0.79870493474421744</v>
      </c>
      <c r="L21" s="796">
        <v>428378</v>
      </c>
      <c r="M21" s="799">
        <v>314261</v>
      </c>
      <c r="O21" s="131">
        <v>436173</v>
      </c>
      <c r="P21" s="132">
        <v>435501</v>
      </c>
      <c r="Q21" s="789" t="s">
        <v>457</v>
      </c>
      <c r="R21" s="484">
        <f>IF(O21=0,0,P21/O21)</f>
        <v>0.99845932691844752</v>
      </c>
      <c r="T21" s="131">
        <v>444607</v>
      </c>
      <c r="U21" s="800" t="s">
        <v>457</v>
      </c>
      <c r="V21" s="658">
        <v>445911</v>
      </c>
      <c r="X21" s="723"/>
      <c r="Z21" s="131">
        <v>444607</v>
      </c>
      <c r="AA21" s="123">
        <v>445911</v>
      </c>
      <c r="AB21" s="789" t="s">
        <v>458</v>
      </c>
      <c r="AC21" s="484">
        <f>IF(Z21=0,0,AA21/Z21)</f>
        <v>1.0029329272818466</v>
      </c>
      <c r="AE21" s="131">
        <f>SUM(AE17:AE20)</f>
        <v>429413.8</v>
      </c>
      <c r="AF21" s="800" t="s">
        <v>457</v>
      </c>
      <c r="AG21" s="130">
        <f>SUM(AG17:AG20)</f>
        <v>443851.69212480658</v>
      </c>
      <c r="AI21" s="341">
        <f>AI17+AI18</f>
        <v>429413.71399999998</v>
      </c>
      <c r="AJ21" s="784">
        <f>AJ17+AJ18</f>
        <v>356000</v>
      </c>
      <c r="AK21" s="789" t="s">
        <v>458</v>
      </c>
      <c r="AL21" s="484">
        <f>IF(AI21=0,0,AJ21/AI21)</f>
        <v>0.82903733251518841</v>
      </c>
      <c r="AM21" s="719"/>
      <c r="AN21" s="341">
        <f>SUM(AN17:AN20)</f>
        <v>413206.67138800002</v>
      </c>
      <c r="AO21" s="216">
        <f>SUM(AO17:AO20)</f>
        <v>347732.5145713063</v>
      </c>
      <c r="AP21" s="789" t="s">
        <v>458</v>
      </c>
      <c r="AQ21" s="484">
        <f>IF(AN21=0,0,AO21/AN21)</f>
        <v>0.8415462252902165</v>
      </c>
      <c r="AS21" s="131">
        <f>SUM(AS17:AS20)</f>
        <v>410688.1</v>
      </c>
      <c r="AT21" s="132">
        <f>SUM(AT17:AT20)</f>
        <v>342870.54545454541</v>
      </c>
      <c r="AU21" s="789"/>
      <c r="AV21" s="484">
        <f>IF(AS21=0,0,AT21/AS21)</f>
        <v>0.834868469416439</v>
      </c>
      <c r="AW21" s="719"/>
      <c r="AX21" s="131">
        <f>SUM(AX17:AX20)</f>
        <v>442679</v>
      </c>
      <c r="AY21" s="132">
        <f>SUM(AY17:AY20)</f>
        <v>414822</v>
      </c>
      <c r="AZ21" s="789"/>
      <c r="BA21" s="484">
        <f>IF(AX21=0,0,AY21/AX21)</f>
        <v>0.93707178339157715</v>
      </c>
      <c r="BB21" s="719"/>
      <c r="BC21" s="131">
        <f>SUM(BC17:BC20)</f>
        <v>506594</v>
      </c>
      <c r="BD21" s="132">
        <f>SUM(BD17:BD20)</f>
        <v>436485</v>
      </c>
      <c r="BE21" s="789"/>
      <c r="BF21" s="484">
        <f>IF(BC21=0,0,BD21/BC21)</f>
        <v>0.86160712523243466</v>
      </c>
    </row>
    <row r="22" spans="1:58" x14ac:dyDescent="0.35">
      <c r="A22" s="9153"/>
      <c r="B22" s="139" t="s">
        <v>480</v>
      </c>
      <c r="C22" s="771"/>
      <c r="D22" s="801"/>
      <c r="F22" s="802"/>
      <c r="G22" s="801"/>
      <c r="H22" s="803"/>
      <c r="I22" s="804"/>
      <c r="J22" s="805"/>
      <c r="K22" s="801"/>
      <c r="L22" s="147"/>
      <c r="M22" s="806"/>
      <c r="N22" s="141"/>
      <c r="O22" s="144"/>
      <c r="P22" s="145"/>
      <c r="Q22" s="145"/>
      <c r="R22" s="486"/>
      <c r="S22" s="141"/>
      <c r="T22" s="151"/>
      <c r="U22" s="145"/>
      <c r="V22" s="148"/>
      <c r="W22" s="141"/>
      <c r="X22" s="718"/>
      <c r="Z22" s="144"/>
      <c r="AA22" s="145"/>
      <c r="AB22" s="145"/>
      <c r="AC22" s="486"/>
      <c r="AD22" s="141"/>
      <c r="AE22" s="144"/>
      <c r="AF22" s="145"/>
      <c r="AG22" s="142"/>
      <c r="AH22" s="141"/>
      <c r="AI22" s="144"/>
      <c r="AJ22" s="145"/>
      <c r="AK22" s="145"/>
      <c r="AL22" s="486"/>
      <c r="AM22" s="719"/>
      <c r="AN22" s="144"/>
      <c r="AO22" s="145"/>
      <c r="AP22" s="145"/>
      <c r="AQ22" s="486"/>
      <c r="AR22" s="141"/>
      <c r="AS22" s="144"/>
      <c r="AT22" s="145"/>
      <c r="AU22" s="145"/>
      <c r="AV22" s="486"/>
      <c r="AW22" s="719"/>
      <c r="AX22" s="144"/>
      <c r="AY22" s="145"/>
      <c r="AZ22" s="145"/>
      <c r="BA22" s="486"/>
      <c r="BB22" s="719"/>
      <c r="BC22" s="911" t="s">
        <v>481</v>
      </c>
      <c r="BD22" s="912" t="s">
        <v>482</v>
      </c>
      <c r="BE22" s="145"/>
      <c r="BF22" s="486"/>
    </row>
    <row r="23" spans="1:58" x14ac:dyDescent="0.35">
      <c r="A23" s="9153"/>
      <c r="B23" s="6082"/>
      <c r="C23" s="778" t="s">
        <v>483</v>
      </c>
      <c r="F23" s="788">
        <v>111717</v>
      </c>
      <c r="H23" s="785">
        <v>138867</v>
      </c>
      <c r="I23" s="786">
        <v>139499</v>
      </c>
      <c r="J23" s="782">
        <f>IF(H23=0,0,I23/H23)</f>
        <v>1.0045511172560795</v>
      </c>
      <c r="L23" s="807">
        <v>152425</v>
      </c>
      <c r="M23" s="808">
        <v>150174</v>
      </c>
      <c r="O23" s="809">
        <v>157484</v>
      </c>
      <c r="P23" s="810">
        <v>153880</v>
      </c>
      <c r="Q23" s="119" t="s">
        <v>484</v>
      </c>
      <c r="R23" s="476">
        <f>IF(O23=0,0,P23/O23)</f>
        <v>0.97711513550582918</v>
      </c>
      <c r="T23" s="811">
        <v>167099.514</v>
      </c>
      <c r="U23" s="789" t="s">
        <v>485</v>
      </c>
      <c r="V23" s="611">
        <v>167471.20000000001</v>
      </c>
      <c r="X23" s="723"/>
      <c r="Z23" s="117">
        <v>167100</v>
      </c>
      <c r="AA23" s="123">
        <v>167471.20000000001</v>
      </c>
      <c r="AB23" s="119" t="s">
        <v>458</v>
      </c>
      <c r="AC23" s="476">
        <f>IF(Z23=0,0,AA23/Z23)</f>
        <v>1.0022214242968284</v>
      </c>
      <c r="AE23" s="117">
        <v>173251.3</v>
      </c>
      <c r="AF23" s="789" t="s">
        <v>486</v>
      </c>
      <c r="AG23" s="155">
        <f>AE23*AC23</f>
        <v>173636.1646472771</v>
      </c>
      <c r="AI23" s="330">
        <v>173251.3</v>
      </c>
      <c r="AJ23" s="812">
        <f>176968425006/1000000</f>
        <v>176968.425006</v>
      </c>
      <c r="AK23" s="119" t="s">
        <v>487</v>
      </c>
      <c r="AL23" s="476">
        <f>IF(AI23=0,0,AJ23/AI23)</f>
        <v>1.0214551059992047</v>
      </c>
      <c r="AM23" s="719"/>
      <c r="AN23" s="330">
        <v>183066.10891800001</v>
      </c>
      <c r="AO23" s="106">
        <f>AN23*AL23</f>
        <v>186993.81168969767</v>
      </c>
      <c r="AP23" s="119" t="s">
        <v>458</v>
      </c>
      <c r="AQ23" s="476">
        <f>IF(AN23=0,0,AO23/AN23)</f>
        <v>1.0214551059992047</v>
      </c>
      <c r="AS23" s="117">
        <v>183066.10891800001</v>
      </c>
      <c r="AT23" s="1033">
        <v>174413</v>
      </c>
      <c r="AU23" s="106" t="s">
        <v>488</v>
      </c>
      <c r="AV23" s="476">
        <f>IF(AS23=0,0,AT23/AS23)</f>
        <v>0.95273232730436219</v>
      </c>
      <c r="AW23" s="719"/>
      <c r="AX23" s="117">
        <v>199485</v>
      </c>
      <c r="AY23" s="1033">
        <v>198733</v>
      </c>
      <c r="AZ23" s="106"/>
      <c r="BA23" s="476">
        <f>IF(AX23=0,0,AY23/AX23)</f>
        <v>0.99623029300448651</v>
      </c>
      <c r="BB23" s="719"/>
      <c r="BC23" s="117">
        <v>201917.398128</v>
      </c>
      <c r="BD23" s="1033">
        <v>198665</v>
      </c>
      <c r="BE23" s="106"/>
      <c r="BF23" s="476">
        <f>IF(BC23=0,0,BD23/BC23)</f>
        <v>0.9838924324592464</v>
      </c>
    </row>
    <row r="24" spans="1:58" x14ac:dyDescent="0.35">
      <c r="A24" s="9153"/>
      <c r="B24" s="6082"/>
      <c r="C24" s="778" t="s">
        <v>489</v>
      </c>
      <c r="F24" s="788"/>
      <c r="H24" s="785"/>
      <c r="I24" s="786"/>
      <c r="J24" s="782">
        <f>IF(H24=0,0,I24/H24)</f>
        <v>0</v>
      </c>
      <c r="L24" s="807"/>
      <c r="M24" s="808"/>
      <c r="O24" s="117"/>
      <c r="P24" s="115"/>
      <c r="Q24" s="789"/>
      <c r="R24" s="476">
        <f>IF(O24=0,0,P24/O24)</f>
        <v>0</v>
      </c>
      <c r="T24" s="156"/>
      <c r="U24" s="789"/>
      <c r="V24" s="611"/>
      <c r="X24" s="723"/>
      <c r="Z24" s="117"/>
      <c r="AA24" s="123"/>
      <c r="AB24" s="789"/>
      <c r="AC24" s="476">
        <f>IF(Z24=0,0,AA24/Z24)</f>
        <v>0</v>
      </c>
      <c r="AE24" s="117"/>
      <c r="AF24" s="789"/>
      <c r="AG24" s="155"/>
      <c r="AI24" s="330"/>
      <c r="AJ24" s="813"/>
      <c r="AK24" s="789"/>
      <c r="AL24" s="476">
        <f>IF(AI24=0,0,AJ24/AI24)</f>
        <v>0</v>
      </c>
      <c r="AM24" s="719"/>
      <c r="AN24" s="330"/>
      <c r="AO24" s="106">
        <f>AN24*AL24</f>
        <v>0</v>
      </c>
      <c r="AP24" s="789"/>
      <c r="AQ24" s="476">
        <f>IF(AN24=0,0,AO24/AN24)</f>
        <v>0</v>
      </c>
      <c r="AS24" s="117"/>
      <c r="AT24" s="204"/>
      <c r="AU24" s="789"/>
      <c r="AV24" s="476">
        <f>IF(AS24=0,0,AT24/AS24)</f>
        <v>0</v>
      </c>
      <c r="AW24" s="719"/>
      <c r="AX24" s="117"/>
      <c r="AY24" s="204"/>
      <c r="AZ24" s="789"/>
      <c r="BA24" s="476">
        <f>IF(AX24=0,0,AY24/AX24)</f>
        <v>0</v>
      </c>
      <c r="BB24" s="719"/>
      <c r="BC24" s="117"/>
      <c r="BD24" s="204"/>
      <c r="BE24" s="789"/>
      <c r="BF24" s="476">
        <f>IF(BC24=0,0,BD24/BC24)</f>
        <v>0</v>
      </c>
    </row>
    <row r="25" spans="1:58" x14ac:dyDescent="0.35">
      <c r="A25" s="9153"/>
      <c r="B25" s="6082"/>
      <c r="C25" s="778" t="s">
        <v>490</v>
      </c>
      <c r="F25" s="788">
        <f>F23*F27</f>
        <v>4915.428935600251</v>
      </c>
      <c r="H25" s="785">
        <v>6110</v>
      </c>
      <c r="I25" s="786">
        <f>I23*I27</f>
        <v>6137.8073264346467</v>
      </c>
      <c r="J25" s="782">
        <f>IF(H25=0,0,I25/H25)</f>
        <v>1.0045511172560797</v>
      </c>
      <c r="L25" s="807">
        <v>5610</v>
      </c>
      <c r="M25" s="814">
        <f>M23*M27</f>
        <v>5527.1519763818278</v>
      </c>
      <c r="O25" s="809">
        <v>5384.0360000000001</v>
      </c>
      <c r="P25" s="815">
        <f>P23*P27</f>
        <v>5260.8230657082631</v>
      </c>
      <c r="Q25" s="119" t="s">
        <v>491</v>
      </c>
      <c r="R25" s="476">
        <f>IF(O25=0,0,P25/O25)</f>
        <v>0.97711513550582929</v>
      </c>
      <c r="T25" s="816">
        <v>5371.7960000000003</v>
      </c>
      <c r="U25" s="789" t="s">
        <v>492</v>
      </c>
      <c r="V25" s="611">
        <f>V23*V27</f>
        <v>5383.7446964399924</v>
      </c>
      <c r="X25" s="723" t="s">
        <v>493</v>
      </c>
      <c r="Z25" s="117">
        <v>5384.0360000000001</v>
      </c>
      <c r="AA25" s="123">
        <f>AA23*AA27</f>
        <v>5395.9962283853984</v>
      </c>
      <c r="AB25" s="119" t="s">
        <v>486</v>
      </c>
      <c r="AC25" s="476">
        <f>IF(Z25=0,0,AA25/Z25)</f>
        <v>1.0022214242968284</v>
      </c>
      <c r="AE25" s="117">
        <v>5670.7960000000003</v>
      </c>
      <c r="AF25" s="119" t="s">
        <v>494</v>
      </c>
      <c r="AG25" s="155">
        <f>AG27*AG23</f>
        <v>5683.3932440167582</v>
      </c>
      <c r="AI25" s="330">
        <v>8061</v>
      </c>
      <c r="AJ25" s="813">
        <f>AG25</f>
        <v>5683.3932440167582</v>
      </c>
      <c r="AK25" s="119" t="s">
        <v>486</v>
      </c>
      <c r="AL25" s="476">
        <f>IF(AI25=0,0,AJ25/AI25)</f>
        <v>0.70504816325725816</v>
      </c>
      <c r="AM25" s="719"/>
      <c r="AN25" s="330">
        <v>25869.795999999998</v>
      </c>
      <c r="AO25" s="106">
        <f>AN25*AL25</f>
        <v>18239.452153639962</v>
      </c>
      <c r="AP25" s="119" t="s">
        <v>486</v>
      </c>
      <c r="AQ25" s="476">
        <f>IF(AN25=0,0,AO25/AN25)</f>
        <v>0.70504816325725816</v>
      </c>
      <c r="AS25" s="117">
        <v>25869.795999999998</v>
      </c>
      <c r="AT25" s="204">
        <v>22315</v>
      </c>
      <c r="AU25" s="106" t="s">
        <v>488</v>
      </c>
      <c r="AV25" s="476">
        <f>IF(AS25=0,0,AT25/AS25)</f>
        <v>0.86258894349224868</v>
      </c>
      <c r="AW25" s="719"/>
      <c r="AX25" s="117"/>
      <c r="AY25" s="204"/>
      <c r="AZ25" s="106" t="s">
        <v>495</v>
      </c>
      <c r="BA25" s="476">
        <f>IF(AX25=0,0,AY25/AX25)</f>
        <v>0</v>
      </c>
      <c r="BB25" s="719"/>
      <c r="BC25" s="117"/>
      <c r="BD25" s="204"/>
      <c r="BE25" s="106" t="s">
        <v>496</v>
      </c>
      <c r="BF25" s="476">
        <f>IF(BC25=0,0,BD25/BC25)</f>
        <v>0</v>
      </c>
    </row>
    <row r="26" spans="1:58" x14ac:dyDescent="0.35">
      <c r="A26" s="9153"/>
      <c r="B26" s="6082"/>
      <c r="C26" s="817" t="s">
        <v>497</v>
      </c>
      <c r="E26" s="801"/>
      <c r="F26" s="790"/>
      <c r="H26" s="818"/>
      <c r="I26" s="819"/>
      <c r="J26" s="782">
        <f>IF(H26=0,0,I26/H26)</f>
        <v>0</v>
      </c>
      <c r="L26" s="820"/>
      <c r="M26" s="808"/>
      <c r="O26" s="164"/>
      <c r="P26" s="165"/>
      <c r="Q26" s="106"/>
      <c r="R26" s="476">
        <f>IF(O26=0,0,P26/O26)</f>
        <v>0</v>
      </c>
      <c r="T26" s="156"/>
      <c r="U26" s="106"/>
      <c r="V26" s="611"/>
      <c r="X26" s="723"/>
      <c r="Z26" s="164"/>
      <c r="AA26" s="165"/>
      <c r="AB26" s="106"/>
      <c r="AC26" s="476">
        <f>IF(Z26=0,0,AA26/Z26)</f>
        <v>0</v>
      </c>
      <c r="AE26" s="164"/>
      <c r="AF26" s="106"/>
      <c r="AG26" s="163"/>
      <c r="AI26" s="761"/>
      <c r="AJ26" s="821"/>
      <c r="AK26" s="106"/>
      <c r="AL26" s="476">
        <f>IF(AI26=0,0,AJ26/AI26)</f>
        <v>0</v>
      </c>
      <c r="AM26" s="719"/>
      <c r="AN26" s="761"/>
      <c r="AO26" s="106">
        <f>AN26*AL26</f>
        <v>0</v>
      </c>
      <c r="AP26" s="106"/>
      <c r="AQ26" s="476">
        <f>IF(AN26=0,0,AO26/AN26)</f>
        <v>0</v>
      </c>
      <c r="AS26" s="164"/>
      <c r="AT26" s="165"/>
      <c r="AU26" s="106"/>
      <c r="AV26" s="476">
        <f>IF(AS26=0,0,AT26/AS26)</f>
        <v>0</v>
      </c>
      <c r="AW26" s="719"/>
      <c r="AX26" s="164"/>
      <c r="AY26" s="165"/>
      <c r="AZ26" s="106" t="s">
        <v>498</v>
      </c>
      <c r="BA26" s="476">
        <f>IF(AX26=0,0,AY26/AX26)</f>
        <v>0</v>
      </c>
      <c r="BB26" s="719"/>
      <c r="BC26" s="164"/>
      <c r="BD26" s="165"/>
      <c r="BE26" s="106"/>
      <c r="BF26" s="476">
        <f>IF(BC26=0,0,BD26/BC26)</f>
        <v>0</v>
      </c>
    </row>
    <row r="27" spans="1:58" x14ac:dyDescent="0.35">
      <c r="A27" s="9153"/>
      <c r="B27" s="128"/>
      <c r="C27" s="794" t="s">
        <v>499</v>
      </c>
      <c r="F27" s="822">
        <f>H27</f>
        <v>4.3998934232034971E-2</v>
      </c>
      <c r="G27" s="823"/>
      <c r="H27" s="824">
        <f>H25/H23</f>
        <v>4.3998934232034971E-2</v>
      </c>
      <c r="I27" s="825">
        <f>H27</f>
        <v>4.3998934232034971E-2</v>
      </c>
      <c r="J27" s="826"/>
      <c r="K27" s="823"/>
      <c r="L27" s="827">
        <f>IF(L23=0,0,L25/L23)</f>
        <v>3.6804986058717404E-2</v>
      </c>
      <c r="M27" s="828">
        <f>L27</f>
        <v>3.6804986058717404E-2</v>
      </c>
      <c r="N27" s="170"/>
      <c r="O27" s="492">
        <f>IF(O23=0,0,O25/O23)</f>
        <v>3.4187828604810649E-2</v>
      </c>
      <c r="P27" s="497">
        <f>O27</f>
        <v>3.4187828604810649E-2</v>
      </c>
      <c r="Q27" s="497"/>
      <c r="R27" s="494"/>
      <c r="S27" s="170"/>
      <c r="T27" s="495">
        <f>IF(T23=0,0,T25/T23)</f>
        <v>3.2147286795819172E-2</v>
      </c>
      <c r="U27" s="497"/>
      <c r="V27" s="496">
        <f>T27</f>
        <v>3.2147286795819172E-2</v>
      </c>
      <c r="W27" s="170"/>
      <c r="X27" s="723"/>
      <c r="Z27" s="829">
        <f>IF(Z23=0,0,Z25/Z23)</f>
        <v>3.2220442848593656E-2</v>
      </c>
      <c r="AA27" s="212">
        <f>Z27</f>
        <v>3.2220442848593656E-2</v>
      </c>
      <c r="AB27" s="497"/>
      <c r="AC27" s="494"/>
      <c r="AD27" s="170"/>
      <c r="AE27" s="829">
        <f>IF(AE23=0,0,AE25/AE23)</f>
        <v>3.2731621638625516E-2</v>
      </c>
      <c r="AF27" s="497"/>
      <c r="AG27" s="830">
        <f>AE27</f>
        <v>3.2731621638625516E-2</v>
      </c>
      <c r="AH27" s="170"/>
      <c r="AI27" s="829">
        <f>IF(AI23=0,0,AI25/AI23)</f>
        <v>4.6527789401868851E-2</v>
      </c>
      <c r="AJ27" s="212">
        <f>AI27</f>
        <v>4.6527789401868851E-2</v>
      </c>
      <c r="AK27" s="497"/>
      <c r="AL27" s="494"/>
      <c r="AM27" s="719"/>
      <c r="AN27" s="829">
        <f>IF(AN23=0,0,AN25/AN23)</f>
        <v>0.14131395566826485</v>
      </c>
      <c r="AO27" s="6040">
        <f>AN27</f>
        <v>0.14131395566826485</v>
      </c>
      <c r="AP27" s="497"/>
      <c r="AQ27" s="494"/>
      <c r="AR27" s="170"/>
      <c r="AS27" s="829">
        <f>IF(AS23=0,0,AS25/AS23)</f>
        <v>0.14131395566826485</v>
      </c>
      <c r="AT27" s="6040">
        <f>IF(AT23=0,0,AT25/AT23)</f>
        <v>0.12794344458268592</v>
      </c>
      <c r="AU27" s="497"/>
      <c r="AV27" s="494"/>
      <c r="AW27" s="719"/>
      <c r="AX27" s="7719">
        <v>0.08</v>
      </c>
      <c r="AY27" s="7720">
        <v>0.08</v>
      </c>
      <c r="AZ27" s="497" t="s">
        <v>500</v>
      </c>
      <c r="BA27" s="494"/>
      <c r="BB27" s="719"/>
      <c r="BC27" s="7719">
        <v>0.08</v>
      </c>
      <c r="BD27" s="7720">
        <v>0.08</v>
      </c>
      <c r="BE27" s="497"/>
      <c r="BF27" s="494"/>
    </row>
    <row r="28" spans="1:58" x14ac:dyDescent="0.35">
      <c r="A28" s="9153"/>
      <c r="B28" s="139" t="s">
        <v>501</v>
      </c>
      <c r="C28" s="831"/>
      <c r="E28" s="1"/>
      <c r="F28" s="832"/>
      <c r="G28" s="170"/>
      <c r="H28" s="833"/>
      <c r="I28" s="834"/>
      <c r="J28" s="835">
        <f>IF(H28=0,0,I28/H28)</f>
        <v>0</v>
      </c>
      <c r="K28" s="170"/>
      <c r="L28" s="836"/>
      <c r="M28" s="837">
        <f>L28*J28</f>
        <v>0</v>
      </c>
      <c r="N28" s="170"/>
      <c r="O28" s="838"/>
      <c r="P28" s="839"/>
      <c r="Q28" s="839"/>
      <c r="R28" s="840"/>
      <c r="S28" s="170"/>
      <c r="T28" s="836"/>
      <c r="U28" s="834"/>
      <c r="V28" s="837"/>
      <c r="W28" s="170"/>
      <c r="X28" s="718"/>
      <c r="Z28" s="833"/>
      <c r="AA28" s="839"/>
      <c r="AB28" s="839"/>
      <c r="AC28" s="840"/>
      <c r="AD28" s="170"/>
      <c r="AE28" s="833"/>
      <c r="AF28" s="834"/>
      <c r="AG28" s="832"/>
      <c r="AH28" s="170"/>
      <c r="AI28" s="833"/>
      <c r="AJ28" s="839"/>
      <c r="AK28" s="839"/>
      <c r="AL28" s="840"/>
      <c r="AM28" s="719"/>
      <c r="AN28" s="833"/>
      <c r="AO28" s="839"/>
      <c r="AP28" s="839"/>
      <c r="AQ28" s="840"/>
      <c r="AR28" s="170"/>
      <c r="AS28" s="833"/>
      <c r="AT28" s="839"/>
      <c r="AU28" s="839"/>
      <c r="AV28" s="840"/>
      <c r="AW28" s="719"/>
      <c r="AX28" s="833"/>
      <c r="AY28" s="839"/>
      <c r="AZ28" s="839"/>
      <c r="BA28" s="840"/>
      <c r="BB28" s="719"/>
      <c r="BC28" s="833"/>
      <c r="BD28" s="839"/>
      <c r="BE28" s="839"/>
      <c r="BF28" s="840"/>
    </row>
    <row r="29" spans="1:58" x14ac:dyDescent="0.35">
      <c r="A29" s="9153"/>
      <c r="B29" s="6082"/>
      <c r="C29" s="121" t="s">
        <v>11</v>
      </c>
      <c r="E29" s="1"/>
      <c r="F29" s="841"/>
      <c r="G29" s="170"/>
      <c r="H29" s="112"/>
      <c r="I29" s="113"/>
      <c r="J29" s="476"/>
      <c r="K29" s="170"/>
      <c r="L29" s="117"/>
      <c r="M29" s="842"/>
      <c r="N29" s="170"/>
      <c r="O29" s="117"/>
      <c r="P29" s="115"/>
      <c r="Q29" s="834"/>
      <c r="R29" s="843">
        <f>IF(O29=0,0,P29/O29)</f>
        <v>0</v>
      </c>
      <c r="S29" s="170"/>
      <c r="T29" s="200"/>
      <c r="U29" s="834"/>
      <c r="V29" s="157">
        <f>T29*R29</f>
        <v>0</v>
      </c>
      <c r="W29" s="170"/>
      <c r="X29" s="723"/>
      <c r="Z29" s="117"/>
      <c r="AA29" s="113"/>
      <c r="AB29" s="834"/>
      <c r="AC29" s="843">
        <f>IF(Z29=0,0,AA29/Z29)</f>
        <v>0</v>
      </c>
      <c r="AD29" s="170"/>
      <c r="AE29" s="117"/>
      <c r="AF29" s="834"/>
      <c r="AG29" s="155">
        <f>AE29*AC29</f>
        <v>0</v>
      </c>
      <c r="AH29" s="170"/>
      <c r="AI29" s="117"/>
      <c r="AJ29" s="113"/>
      <c r="AK29" s="834"/>
      <c r="AL29" s="843">
        <f>IF(AI29=0,0,AJ29/AI29)</f>
        <v>0</v>
      </c>
      <c r="AM29" s="719"/>
      <c r="AN29" s="117"/>
      <c r="AO29" s="113"/>
      <c r="AP29" s="834"/>
      <c r="AQ29" s="843">
        <f>IF(AN29=0,0,AO29/AN29)</f>
        <v>0</v>
      </c>
      <c r="AR29" s="170"/>
      <c r="AS29" s="117"/>
      <c r="AT29" s="113"/>
      <c r="AU29" s="834"/>
      <c r="AV29" s="843">
        <f>IF(AS29=0,0,AT29/AS29)</f>
        <v>0</v>
      </c>
      <c r="AW29" s="719"/>
      <c r="AX29" s="117"/>
      <c r="AY29" s="113"/>
      <c r="AZ29" s="834"/>
      <c r="BA29" s="843">
        <f>IF(AX29=0,0,AY29/AX29)</f>
        <v>0</v>
      </c>
      <c r="BB29" s="719"/>
      <c r="BC29" s="117"/>
      <c r="BD29" s="113"/>
      <c r="BE29" s="834"/>
      <c r="BF29" s="843">
        <f>IF(BC29=0,0,BD29/BC29)</f>
        <v>0</v>
      </c>
    </row>
    <row r="30" spans="1:58" x14ac:dyDescent="0.35">
      <c r="A30" s="9154"/>
      <c r="B30" s="844"/>
      <c r="C30" s="208" t="s">
        <v>502</v>
      </c>
      <c r="E30" s="1"/>
      <c r="F30" s="210"/>
      <c r="G30" s="1"/>
      <c r="H30" s="217"/>
      <c r="I30" s="845"/>
      <c r="J30" s="484"/>
      <c r="K30" s="1"/>
      <c r="L30" s="131"/>
      <c r="M30" s="846"/>
      <c r="O30" s="131"/>
      <c r="P30" s="132"/>
      <c r="Q30" s="216"/>
      <c r="R30" s="484">
        <f>IF(O30=0,0,P30/O30)</f>
        <v>0</v>
      </c>
      <c r="T30" s="211"/>
      <c r="U30" s="216"/>
      <c r="V30" s="213">
        <f>T30*R30</f>
        <v>0</v>
      </c>
      <c r="X30" s="722"/>
      <c r="Z30" s="131"/>
      <c r="AA30" s="132"/>
      <c r="AB30" s="216"/>
      <c r="AC30" s="484">
        <f>IF(Z30=0,0,AA30/Z30)</f>
        <v>0</v>
      </c>
      <c r="AE30" s="131"/>
      <c r="AF30" s="216"/>
      <c r="AG30" s="130">
        <f>AE30*AC30</f>
        <v>0</v>
      </c>
      <c r="AI30" s="131"/>
      <c r="AJ30" s="132"/>
      <c r="AK30" s="216"/>
      <c r="AL30" s="484">
        <f>IF(AI30=0,0,AJ30/AI30)</f>
        <v>0</v>
      </c>
      <c r="AM30" s="719"/>
      <c r="AN30" s="131"/>
      <c r="AO30" s="132"/>
      <c r="AP30" s="216"/>
      <c r="AQ30" s="484">
        <f>IF(AN30=0,0,AO30/AN30)</f>
        <v>0</v>
      </c>
      <c r="AS30" s="131"/>
      <c r="AT30" s="132"/>
      <c r="AU30" s="216"/>
      <c r="AV30" s="484">
        <f>IF(AS30=0,0,AT30/AS30)</f>
        <v>0</v>
      </c>
      <c r="AW30" s="719"/>
      <c r="AX30" s="131"/>
      <c r="AY30" s="132"/>
      <c r="AZ30" s="216"/>
      <c r="BA30" s="484">
        <f>IF(AX30=0,0,AY30/AX30)</f>
        <v>0</v>
      </c>
      <c r="BB30" s="719"/>
      <c r="BC30" s="131"/>
      <c r="BD30" s="132"/>
      <c r="BE30" s="216"/>
      <c r="BF30" s="484">
        <f>IF(BC30=0,0,BD30/BC30)</f>
        <v>0</v>
      </c>
    </row>
    <row r="31" spans="1:58" ht="12" x14ac:dyDescent="0.3">
      <c r="F31" s="847"/>
      <c r="H31" s="847"/>
      <c r="I31" s="847"/>
      <c r="J31" s="847"/>
      <c r="L31" s="847"/>
      <c r="N31" s="462"/>
      <c r="O31" s="462"/>
      <c r="P31" s="462"/>
      <c r="Q31" s="462"/>
      <c r="R31" s="462"/>
      <c r="S31" s="462"/>
      <c r="T31" s="462"/>
      <c r="U31" s="462"/>
      <c r="V31" s="462"/>
      <c r="W31" s="462"/>
      <c r="X31" s="462"/>
      <c r="Z31" s="462"/>
      <c r="AA31" s="462"/>
      <c r="AB31" s="462"/>
      <c r="AC31" s="462"/>
      <c r="AD31" s="462"/>
      <c r="AE31" s="462"/>
      <c r="AF31" s="462"/>
      <c r="AG31" s="462"/>
      <c r="AH31" s="462"/>
      <c r="AI31" s="462"/>
      <c r="AJ31" s="462"/>
      <c r="AK31" s="462"/>
      <c r="AL31" s="462"/>
      <c r="AM31" s="462"/>
      <c r="AN31" s="462"/>
      <c r="AO31" s="462"/>
      <c r="AP31" s="462"/>
      <c r="AQ31" s="462"/>
      <c r="AR31" s="462"/>
      <c r="AS31" s="462"/>
      <c r="AT31" s="462"/>
      <c r="AU31" s="462"/>
      <c r="AV31" s="462"/>
      <c r="AW31" s="462"/>
      <c r="AX31" s="462"/>
      <c r="AY31" s="462"/>
      <c r="AZ31" s="462"/>
      <c r="BA31" s="462"/>
      <c r="BB31" s="462"/>
      <c r="BC31" s="462"/>
      <c r="BD31" s="462"/>
      <c r="BE31" s="462"/>
      <c r="BF31" s="462"/>
    </row>
    <row r="32" spans="1:58" ht="23.25" customHeight="1" x14ac:dyDescent="0.3">
      <c r="A32" s="9152" t="s">
        <v>503</v>
      </c>
      <c r="B32" s="848"/>
      <c r="C32" s="725" t="s">
        <v>427</v>
      </c>
      <c r="D32" s="456" t="s">
        <v>428</v>
      </c>
      <c r="F32" s="849"/>
      <c r="G32" s="223"/>
      <c r="H32" s="850"/>
      <c r="I32" s="8327" t="s">
        <v>504</v>
      </c>
      <c r="J32" s="851" t="s">
        <v>505</v>
      </c>
      <c r="K32" s="223"/>
      <c r="L32" s="850" t="s">
        <v>506</v>
      </c>
      <c r="M32" s="8315" t="s">
        <v>507</v>
      </c>
      <c r="N32" s="170"/>
      <c r="O32" s="852" t="s">
        <v>508</v>
      </c>
      <c r="P32" s="853" t="s">
        <v>509</v>
      </c>
      <c r="Q32" s="854"/>
      <c r="R32" s="855"/>
      <c r="S32" s="170"/>
      <c r="T32" s="856" t="s">
        <v>510</v>
      </c>
      <c r="U32" s="854"/>
      <c r="V32" s="857"/>
      <c r="W32" s="170"/>
      <c r="X32" s="858"/>
      <c r="Z32" s="852" t="s">
        <v>508</v>
      </c>
      <c r="AA32" s="853" t="s">
        <v>509</v>
      </c>
      <c r="AB32" s="854"/>
      <c r="AC32" s="855"/>
      <c r="AD32" s="170"/>
      <c r="AE32" s="852" t="s">
        <v>510</v>
      </c>
      <c r="AF32" s="854"/>
      <c r="AG32" s="859"/>
      <c r="AH32" s="170"/>
      <c r="AI32" s="860" t="s">
        <v>511</v>
      </c>
      <c r="AJ32" s="853"/>
      <c r="AK32" s="861" t="s">
        <v>443</v>
      </c>
      <c r="AL32" s="855"/>
      <c r="AM32" s="719"/>
      <c r="AN32" s="862" t="s">
        <v>511</v>
      </c>
      <c r="AO32" s="853"/>
      <c r="AP32" s="861" t="s">
        <v>443</v>
      </c>
      <c r="AQ32" s="855"/>
      <c r="AR32" s="170"/>
      <c r="AS32" s="9162" t="s">
        <v>469</v>
      </c>
      <c r="AT32" s="9163"/>
      <c r="AU32" s="861" t="s">
        <v>512</v>
      </c>
      <c r="AV32" s="855"/>
      <c r="AW32" s="719"/>
      <c r="AX32" s="9157" t="s">
        <v>513</v>
      </c>
      <c r="AY32" s="9158"/>
      <c r="AZ32" s="861" t="s">
        <v>443</v>
      </c>
      <c r="BA32" s="855"/>
      <c r="BB32" s="719"/>
      <c r="BC32" s="9157" t="s">
        <v>513</v>
      </c>
      <c r="BD32" s="9158"/>
      <c r="BE32" s="861" t="s">
        <v>443</v>
      </c>
      <c r="BF32" s="855"/>
    </row>
    <row r="33" spans="1:58" x14ac:dyDescent="0.35">
      <c r="A33" s="9153"/>
      <c r="B33" s="863" t="s">
        <v>514</v>
      </c>
      <c r="C33" s="864"/>
      <c r="F33" s="865"/>
      <c r="G33" s="457"/>
      <c r="H33" s="866" t="s">
        <v>515</v>
      </c>
      <c r="I33" s="847"/>
      <c r="J33" s="776"/>
      <c r="K33" s="457"/>
      <c r="L33" s="773"/>
      <c r="M33" s="867"/>
      <c r="O33" s="773"/>
      <c r="P33" s="868"/>
      <c r="Q33" s="103"/>
      <c r="R33" s="869"/>
      <c r="T33" s="773"/>
      <c r="U33" s="103"/>
      <c r="V33" s="533"/>
      <c r="X33" s="718"/>
      <c r="Z33" s="773"/>
      <c r="AA33" s="868"/>
      <c r="AB33" s="103"/>
      <c r="AC33" s="869"/>
      <c r="AE33" s="773"/>
      <c r="AF33" s="103"/>
      <c r="AG33" s="870"/>
      <c r="AI33" s="871" t="s">
        <v>516</v>
      </c>
      <c r="AJ33" s="868" t="s">
        <v>517</v>
      </c>
      <c r="AK33" s="103"/>
      <c r="AL33" s="869"/>
      <c r="AM33" s="719"/>
      <c r="AN33" s="872" t="s">
        <v>517</v>
      </c>
      <c r="AO33" s="868"/>
      <c r="AP33" s="103"/>
      <c r="AQ33" s="869"/>
      <c r="AS33" s="871"/>
      <c r="AT33" s="868"/>
      <c r="AU33" s="103"/>
      <c r="AV33" s="869"/>
      <c r="AW33" s="719"/>
      <c r="AX33" s="872"/>
      <c r="AY33" s="868"/>
      <c r="AZ33" s="103"/>
      <c r="BA33" s="869"/>
      <c r="BB33" s="719"/>
      <c r="BC33" s="872"/>
      <c r="BD33" s="912" t="s">
        <v>482</v>
      </c>
      <c r="BE33" s="103"/>
      <c r="BF33" s="869"/>
    </row>
    <row r="34" spans="1:58" ht="15.5" customHeight="1" x14ac:dyDescent="0.35">
      <c r="A34" s="9153"/>
      <c r="B34" s="873"/>
      <c r="C34" s="874" t="s">
        <v>518</v>
      </c>
      <c r="F34" s="779"/>
      <c r="H34" s="780">
        <v>3190.7869999999998</v>
      </c>
      <c r="I34" s="781">
        <f>H34*J34</f>
        <v>3031.2476499999998</v>
      </c>
      <c r="J34" s="782">
        <v>0.95</v>
      </c>
      <c r="L34" s="780">
        <v>4000</v>
      </c>
      <c r="M34" s="875">
        <f>L34*J34</f>
        <v>3800</v>
      </c>
      <c r="O34" s="780">
        <v>4601.3980000000001</v>
      </c>
      <c r="P34" s="876">
        <v>4739.9181930000004</v>
      </c>
      <c r="Q34" s="57" t="s">
        <v>519</v>
      </c>
      <c r="R34" s="877">
        <f t="shared" ref="R34:R60" si="0">IF(O34=0,0,P34/O34)</f>
        <v>1.0301039364558338</v>
      </c>
      <c r="T34" s="878">
        <v>4835.0619999999999</v>
      </c>
      <c r="U34" s="106" t="s">
        <v>520</v>
      </c>
      <c r="V34" s="66">
        <f t="shared" ref="V34:V64" si="1">T34*R34</f>
        <v>4980.6163992080164</v>
      </c>
      <c r="X34" s="723"/>
      <c r="Z34" s="780">
        <v>4601.3980000000001</v>
      </c>
      <c r="AA34" s="123">
        <v>4837.0619999999999</v>
      </c>
      <c r="AB34" s="57" t="s">
        <v>521</v>
      </c>
      <c r="AC34" s="877">
        <f>IF(Z34=0,0,AA34/Z34)</f>
        <v>1.0512157392166468</v>
      </c>
      <c r="AE34" s="780">
        <v>5202.6379999999999</v>
      </c>
      <c r="AF34" s="57" t="s">
        <v>521</v>
      </c>
      <c r="AG34" s="779">
        <f>AE34*AC34</f>
        <v>5469.0949510466171</v>
      </c>
      <c r="AI34" s="879">
        <f>AE34</f>
        <v>5202.6379999999999</v>
      </c>
      <c r="AJ34" s="880">
        <v>5163.5642829999997</v>
      </c>
      <c r="AK34" s="57"/>
      <c r="AL34" s="877">
        <f>IF(AI34=0,0,AJ34/AI34)</f>
        <v>0.99248963372043175</v>
      </c>
      <c r="AM34" s="719"/>
      <c r="AN34" s="879">
        <v>5579.2344629999998</v>
      </c>
      <c r="AO34" s="106">
        <f>AN34*AL34</f>
        <v>5537.3323686232798</v>
      </c>
      <c r="AP34" s="57" t="s">
        <v>521</v>
      </c>
      <c r="AQ34" s="877">
        <f>IF(AN34=0,0,AO34/AN34)</f>
        <v>0.99248963372043175</v>
      </c>
      <c r="AS34" s="780">
        <v>5760.29</v>
      </c>
      <c r="AT34" s="882">
        <f>4539.24*12/11</f>
        <v>4951.8981818181819</v>
      </c>
      <c r="AU34" s="57"/>
      <c r="AV34" s="877">
        <f>IF(AS34=0,0,AT34/AS34)</f>
        <v>0.85966126389785613</v>
      </c>
      <c r="AW34" s="719"/>
      <c r="AX34" s="780">
        <v>8122</v>
      </c>
      <c r="AY34" s="882">
        <v>7758</v>
      </c>
      <c r="AZ34" s="57" t="s">
        <v>522</v>
      </c>
      <c r="BA34" s="877">
        <f>IF(AX34=0,0,AY34/AX34)</f>
        <v>0.95518345235163749</v>
      </c>
      <c r="BB34" s="719"/>
      <c r="BC34" s="780">
        <v>8261</v>
      </c>
      <c r="BD34" s="882">
        <v>7602</v>
      </c>
      <c r="BE34" s="57" t="s">
        <v>523</v>
      </c>
      <c r="BF34" s="877">
        <f>IF(BC34=0,0,BD34/BC34)</f>
        <v>0.9202275753540734</v>
      </c>
    </row>
    <row r="35" spans="1:58" x14ac:dyDescent="0.35">
      <c r="A35" s="9153"/>
      <c r="B35" s="873"/>
      <c r="C35" s="874" t="s">
        <v>524</v>
      </c>
      <c r="F35" s="788"/>
      <c r="H35" s="785">
        <v>3806.3240000000001</v>
      </c>
      <c r="I35" s="786">
        <f>H35*J35</f>
        <v>1412.1462040000001</v>
      </c>
      <c r="J35" s="782">
        <v>0.371</v>
      </c>
      <c r="L35" s="785">
        <v>4099.0020000000004</v>
      </c>
      <c r="M35" s="881">
        <f>L35*J35</f>
        <v>1520.7297420000002</v>
      </c>
      <c r="N35" s="223"/>
      <c r="O35" s="780">
        <v>3068.2359999999999</v>
      </c>
      <c r="P35" s="882">
        <f>38.942*63.53</f>
        <v>2473.9852599999999</v>
      </c>
      <c r="Q35" s="57" t="s">
        <v>525</v>
      </c>
      <c r="R35" s="883">
        <f t="shared" si="0"/>
        <v>0.80632169754868921</v>
      </c>
      <c r="S35" s="223"/>
      <c r="T35" s="884">
        <v>4068.6889999999999</v>
      </c>
      <c r="U35" s="106" t="s">
        <v>520</v>
      </c>
      <c r="V35" s="66">
        <f t="shared" si="1"/>
        <v>3280.6722212776785</v>
      </c>
      <c r="W35" s="223"/>
      <c r="X35" s="723" t="s">
        <v>526</v>
      </c>
      <c r="Z35" s="780">
        <v>3068.2359999999999</v>
      </c>
      <c r="AA35" s="123">
        <v>3504.011</v>
      </c>
      <c r="AB35" s="57" t="s">
        <v>521</v>
      </c>
      <c r="AC35" s="883">
        <f>IF(Z35=0,0,AA35/Z35)</f>
        <v>1.1420278622635287</v>
      </c>
      <c r="AD35" s="223"/>
      <c r="AE35" s="780">
        <v>2814.855</v>
      </c>
      <c r="AF35" s="57" t="s">
        <v>521</v>
      </c>
      <c r="AG35" s="779">
        <f>AE35*AC35</f>
        <v>3214.6428382318049</v>
      </c>
      <c r="AH35" s="223"/>
      <c r="AI35" s="879">
        <f>AE35</f>
        <v>2814.855</v>
      </c>
      <c r="AJ35" s="880">
        <v>2083.1130680000001</v>
      </c>
      <c r="AK35" s="57"/>
      <c r="AL35" s="883">
        <f>IF(AI35=0,0,AJ35/AI35)</f>
        <v>0.74004276170530991</v>
      </c>
      <c r="AM35" s="719"/>
      <c r="AN35" s="879">
        <v>2203.293201</v>
      </c>
      <c r="AO35" s="106">
        <f>AN35*AL35</f>
        <v>1630.5311853145724</v>
      </c>
      <c r="AP35" s="57" t="s">
        <v>521</v>
      </c>
      <c r="AQ35" s="883">
        <f>IF(AN35=0,0,AO35/AN35)</f>
        <v>0.74004276170530991</v>
      </c>
      <c r="AR35" s="223"/>
      <c r="AS35" s="780">
        <v>2243.453</v>
      </c>
      <c r="AT35" s="882">
        <f>1312.95*12/11</f>
        <v>1432.3090909090911</v>
      </c>
      <c r="AU35" s="57"/>
      <c r="AV35" s="883">
        <f>IF(AS35=0,0,AT35/AS35)</f>
        <v>0.6384395353542468</v>
      </c>
      <c r="AW35" s="719"/>
      <c r="AX35" s="780"/>
      <c r="AY35" s="882"/>
      <c r="AZ35" s="57"/>
      <c r="BA35" s="883">
        <f>IF(AX35=0,0,AY35/AX35)</f>
        <v>0</v>
      </c>
      <c r="BB35" s="719"/>
      <c r="BC35" s="780"/>
      <c r="BD35" s="882"/>
      <c r="BE35" s="57"/>
      <c r="BF35" s="883">
        <f>IF(BC35=0,0,BD35/BC35)</f>
        <v>0</v>
      </c>
    </row>
    <row r="36" spans="1:58" x14ac:dyDescent="0.35">
      <c r="A36" s="9153"/>
      <c r="B36" s="873"/>
      <c r="C36" s="874"/>
      <c r="F36" s="790"/>
      <c r="H36" s="791"/>
      <c r="I36" s="792"/>
      <c r="J36" s="782"/>
      <c r="L36" s="785"/>
      <c r="M36" s="881"/>
      <c r="N36" s="223"/>
      <c r="O36" s="780"/>
      <c r="P36" s="882"/>
      <c r="Q36" s="57"/>
      <c r="R36" s="883"/>
      <c r="S36" s="223"/>
      <c r="T36" s="888"/>
      <c r="U36" s="106"/>
      <c r="V36" s="66"/>
      <c r="W36" s="223"/>
      <c r="X36" s="723"/>
      <c r="Z36" s="780"/>
      <c r="AA36" s="123"/>
      <c r="AB36" s="57"/>
      <c r="AC36" s="883"/>
      <c r="AD36" s="223"/>
      <c r="AE36" s="780"/>
      <c r="AF36" s="57"/>
      <c r="AG36" s="779"/>
      <c r="AH36" s="223"/>
      <c r="AI36" s="879"/>
      <c r="AJ36" s="880"/>
      <c r="AK36" s="57"/>
      <c r="AL36" s="883"/>
      <c r="AM36" s="719"/>
      <c r="AN36" s="879"/>
      <c r="AO36" s="106"/>
      <c r="AP36" s="57"/>
      <c r="AQ36" s="883"/>
      <c r="AR36" s="223"/>
      <c r="AS36" s="780"/>
      <c r="AT36" s="882"/>
      <c r="AU36" s="57"/>
      <c r="AV36" s="883"/>
      <c r="AW36" s="719"/>
      <c r="AX36" s="780"/>
      <c r="AY36" s="882"/>
      <c r="AZ36" s="57"/>
      <c r="BA36" s="883"/>
      <c r="BB36" s="719"/>
      <c r="BC36" s="780">
        <v>2026</v>
      </c>
      <c r="BD36" s="882">
        <v>1913</v>
      </c>
      <c r="BE36" s="57" t="s">
        <v>527</v>
      </c>
      <c r="BF36" s="883"/>
    </row>
    <row r="37" spans="1:58" x14ac:dyDescent="0.35">
      <c r="A37" s="9153"/>
      <c r="B37" s="873"/>
      <c r="C37" s="874"/>
      <c r="F37" s="790"/>
      <c r="H37" s="791"/>
      <c r="I37" s="792"/>
      <c r="J37" s="782"/>
      <c r="L37" s="785"/>
      <c r="M37" s="881"/>
      <c r="N37" s="223"/>
      <c r="O37" s="780"/>
      <c r="P37" s="882"/>
      <c r="Q37" s="57"/>
      <c r="R37" s="883"/>
      <c r="S37" s="223"/>
      <c r="T37" s="888"/>
      <c r="U37" s="106"/>
      <c r="V37" s="66"/>
      <c r="W37" s="223"/>
      <c r="X37" s="723"/>
      <c r="Z37" s="780"/>
      <c r="AA37" s="123"/>
      <c r="AB37" s="57"/>
      <c r="AC37" s="883"/>
      <c r="AD37" s="223"/>
      <c r="AE37" s="780"/>
      <c r="AF37" s="57"/>
      <c r="AG37" s="779"/>
      <c r="AH37" s="223"/>
      <c r="AI37" s="879"/>
      <c r="AJ37" s="880"/>
      <c r="AK37" s="57"/>
      <c r="AL37" s="883"/>
      <c r="AM37" s="719"/>
      <c r="AN37" s="879"/>
      <c r="AO37" s="106"/>
      <c r="AP37" s="57"/>
      <c r="AQ37" s="883"/>
      <c r="AR37" s="223"/>
      <c r="AS37" s="780"/>
      <c r="AT37" s="882"/>
      <c r="AU37" s="57"/>
      <c r="AV37" s="883"/>
      <c r="AW37" s="719"/>
      <c r="AX37" s="780"/>
      <c r="AY37" s="882"/>
      <c r="AZ37" s="57"/>
      <c r="BA37" s="883"/>
      <c r="BB37" s="719"/>
      <c r="BC37" s="780"/>
      <c r="BD37" s="882"/>
      <c r="BE37" s="57"/>
      <c r="BF37" s="883"/>
    </row>
    <row r="38" spans="1:58" x14ac:dyDescent="0.35">
      <c r="A38" s="9153"/>
      <c r="B38" s="873"/>
      <c r="C38" s="874" t="s">
        <v>528</v>
      </c>
      <c r="F38" s="790"/>
      <c r="H38" s="791">
        <v>29591.973000000002</v>
      </c>
      <c r="I38" s="792">
        <f>H38*J38</f>
        <v>28704.213810000001</v>
      </c>
      <c r="J38" s="782">
        <v>0.97</v>
      </c>
      <c r="L38" s="785">
        <v>31164.077000000001</v>
      </c>
      <c r="M38" s="881">
        <f>L38*J38</f>
        <v>30229.154689999999</v>
      </c>
      <c r="N38" s="223"/>
      <c r="O38" s="780">
        <v>30162.852999999999</v>
      </c>
      <c r="P38" s="882">
        <v>30410.644178999999</v>
      </c>
      <c r="Q38" s="57" t="s">
        <v>529</v>
      </c>
      <c r="R38" s="883">
        <f t="shared" si="0"/>
        <v>1.008215110785442</v>
      </c>
      <c r="S38" s="223"/>
      <c r="T38" s="818">
        <v>31225.153634999999</v>
      </c>
      <c r="U38" s="106" t="s">
        <v>520</v>
      </c>
      <c r="V38" s="66">
        <f t="shared" si="1"/>
        <v>31481.671731403971</v>
      </c>
      <c r="W38" s="223"/>
      <c r="X38" s="723"/>
      <c r="Z38" s="780">
        <v>30162.852999999999</v>
      </c>
      <c r="AA38" s="123">
        <v>31225.153999999999</v>
      </c>
      <c r="AB38" s="57" t="s">
        <v>521</v>
      </c>
      <c r="AC38" s="883">
        <f>IF(Z38=0,0,AA38/Z38)</f>
        <v>1.0352188501532</v>
      </c>
      <c r="AD38" s="223"/>
      <c r="AE38" s="780">
        <v>33253.678999999996</v>
      </c>
      <c r="AF38" s="57" t="s">
        <v>521</v>
      </c>
      <c r="AG38" s="779">
        <f>AE38*AC38</f>
        <v>34424.835337743614</v>
      </c>
      <c r="AH38" s="223"/>
      <c r="AI38" s="879">
        <f>AE38</f>
        <v>33253.678999999996</v>
      </c>
      <c r="AJ38" s="880">
        <v>33034.674282</v>
      </c>
      <c r="AK38" s="57"/>
      <c r="AL38" s="883">
        <f>IF(AI38=0,0,AJ38/AI38)</f>
        <v>0.99341412064511725</v>
      </c>
      <c r="AM38" s="719"/>
      <c r="AN38" s="879">
        <v>35777.334392999997</v>
      </c>
      <c r="AO38" s="106">
        <f>AN38*AL38</f>
        <v>35541.709185048399</v>
      </c>
      <c r="AP38" s="57" t="s">
        <v>521</v>
      </c>
      <c r="AQ38" s="883">
        <f>IF(AN38=0,0,AO38/AN38)</f>
        <v>0.99341412064511714</v>
      </c>
      <c r="AR38" s="223"/>
      <c r="AS38" s="780">
        <v>36002.97</v>
      </c>
      <c r="AT38" s="882">
        <f>29936.22*12/11</f>
        <v>32657.694545454546</v>
      </c>
      <c r="AU38" s="57"/>
      <c r="AV38" s="883">
        <f>IF(AS38=0,0,AT38/AS38)</f>
        <v>0.9070833474420178</v>
      </c>
      <c r="AW38" s="719"/>
      <c r="AX38" s="780">
        <v>39962</v>
      </c>
      <c r="AY38" s="882">
        <v>39327</v>
      </c>
      <c r="AZ38" s="57"/>
      <c r="BA38" s="883">
        <f>IF(AX38=0,0,AY38/AX38)</f>
        <v>0.98410990440918877</v>
      </c>
      <c r="BB38" s="719"/>
      <c r="BC38" s="780">
        <v>37298</v>
      </c>
      <c r="BD38" s="882">
        <v>35845</v>
      </c>
      <c r="BE38" s="57"/>
      <c r="BF38" s="883">
        <f>IF(BC38=0,0,BD38/BC38)</f>
        <v>0.96104348758646574</v>
      </c>
    </row>
    <row r="39" spans="1:58" x14ac:dyDescent="0.35">
      <c r="A39" s="9153"/>
      <c r="B39" s="885"/>
      <c r="C39" s="886" t="s">
        <v>530</v>
      </c>
      <c r="E39" s="223"/>
      <c r="F39" s="790"/>
      <c r="H39" s="791">
        <v>14535.325999999999</v>
      </c>
      <c r="I39" s="792">
        <f>H39*J39</f>
        <v>9011.9021199999988</v>
      </c>
      <c r="J39" s="782">
        <v>0.62</v>
      </c>
      <c r="L39" s="791">
        <v>13867.79</v>
      </c>
      <c r="M39" s="808">
        <f>L39*J39</f>
        <v>8598.0298000000003</v>
      </c>
      <c r="N39" s="143"/>
      <c r="O39" s="780">
        <v>16505.487000000001</v>
      </c>
      <c r="P39" s="887">
        <f>103.027*63.53</f>
        <v>6545.3053099999997</v>
      </c>
      <c r="Q39" s="57" t="s">
        <v>525</v>
      </c>
      <c r="R39" s="877">
        <f t="shared" si="0"/>
        <v>0.39655329830619351</v>
      </c>
      <c r="S39" s="143"/>
      <c r="T39" s="888">
        <v>16177.528</v>
      </c>
      <c r="U39" s="106" t="s">
        <v>520</v>
      </c>
      <c r="V39" s="66">
        <f t="shared" si="1"/>
        <v>6415.2520868407983</v>
      </c>
      <c r="W39" s="143"/>
      <c r="X39" s="723" t="s">
        <v>526</v>
      </c>
      <c r="Z39" s="780">
        <v>16505.487000000001</v>
      </c>
      <c r="AA39" s="123">
        <v>14962.050999999999</v>
      </c>
      <c r="AB39" s="57" t="s">
        <v>521</v>
      </c>
      <c r="AC39" s="877">
        <f>IF(Z39=0,0,AA39/Z39)</f>
        <v>0.90648952072725864</v>
      </c>
      <c r="AD39" s="143"/>
      <c r="AE39" s="780">
        <v>12815.117</v>
      </c>
      <c r="AF39" s="57" t="s">
        <v>521</v>
      </c>
      <c r="AG39" s="779">
        <f>AE39*AC39</f>
        <v>11616.769267393745</v>
      </c>
      <c r="AH39" s="143"/>
      <c r="AI39" s="879">
        <f>AE39</f>
        <v>12815.117</v>
      </c>
      <c r="AJ39" s="880">
        <v>4393.7265850000003</v>
      </c>
      <c r="AK39" s="57"/>
      <c r="AL39" s="877">
        <f>IF(AI39=0,0,AJ39/AI39)</f>
        <v>0.34285497237364282</v>
      </c>
      <c r="AM39" s="719"/>
      <c r="AN39" s="879">
        <v>4683.1186960000005</v>
      </c>
      <c r="AO39" s="106">
        <f>AN39*AL39</f>
        <v>1605.6305311395704</v>
      </c>
      <c r="AP39" s="57" t="s">
        <v>521</v>
      </c>
      <c r="AQ39" s="877">
        <f>IF(AN39=0,0,AO39/AN39)</f>
        <v>0.34285497237364282</v>
      </c>
      <c r="AR39" s="143"/>
      <c r="AS39" s="780">
        <v>4088.069</v>
      </c>
      <c r="AT39" s="882">
        <f>2610.48*12/11</f>
        <v>2847.7963636363638</v>
      </c>
      <c r="AU39" s="57"/>
      <c r="AV39" s="877">
        <f>IF(AS39=0,0,AT39/AS39)</f>
        <v>0.69661161874625011</v>
      </c>
      <c r="AW39" s="719"/>
      <c r="AX39" s="780"/>
      <c r="AY39" s="882"/>
      <c r="AZ39" s="57"/>
      <c r="BA39" s="877">
        <f>IF(AX39=0,0,AY39/AX39)</f>
        <v>0</v>
      </c>
      <c r="BB39" s="719"/>
      <c r="BC39" s="780"/>
      <c r="BD39" s="882"/>
      <c r="BE39" s="57"/>
      <c r="BF39" s="877">
        <f>IF(BC39=0,0,BD39/BC39)</f>
        <v>0</v>
      </c>
    </row>
    <row r="40" spans="1:58" x14ac:dyDescent="0.35">
      <c r="A40" s="9153"/>
      <c r="B40" s="196" t="s">
        <v>531</v>
      </c>
      <c r="C40" s="889"/>
      <c r="E40" s="457"/>
      <c r="F40" s="865"/>
      <c r="G40" s="457"/>
      <c r="H40" s="866"/>
      <c r="I40" s="847"/>
      <c r="J40" s="890"/>
      <c r="K40" s="457"/>
      <c r="L40" s="866"/>
      <c r="M40" s="891"/>
      <c r="O40" s="866"/>
      <c r="P40" s="892"/>
      <c r="Q40" s="106"/>
      <c r="R40" s="476"/>
      <c r="T40" s="866"/>
      <c r="U40" s="106"/>
      <c r="V40" s="543"/>
      <c r="X40" s="893"/>
      <c r="Z40" s="866"/>
      <c r="AA40" s="892"/>
      <c r="AB40" s="106"/>
      <c r="AC40" s="476"/>
      <c r="AE40" s="866"/>
      <c r="AF40" s="106"/>
      <c r="AG40" s="865"/>
      <c r="AI40" s="866"/>
      <c r="AJ40" s="892"/>
      <c r="AK40" s="106"/>
      <c r="AL40" s="476"/>
      <c r="AM40" s="894"/>
      <c r="AN40" s="866"/>
      <c r="AO40" s="892"/>
      <c r="AP40" s="106"/>
      <c r="AQ40" s="476"/>
      <c r="AS40" s="866"/>
      <c r="AT40" s="892"/>
      <c r="AU40" s="106"/>
      <c r="AV40" s="476"/>
      <c r="AW40" s="894"/>
      <c r="AX40" s="866"/>
      <c r="AY40" s="892"/>
      <c r="AZ40" s="106"/>
      <c r="BA40" s="476"/>
      <c r="BB40" s="894"/>
      <c r="BC40" s="866"/>
      <c r="BD40" s="892"/>
      <c r="BE40" s="106"/>
      <c r="BF40" s="476"/>
    </row>
    <row r="41" spans="1:58" x14ac:dyDescent="0.35">
      <c r="A41" s="9153"/>
      <c r="B41" s="873"/>
      <c r="C41" s="874" t="s">
        <v>532</v>
      </c>
      <c r="F41" s="779"/>
      <c r="H41" s="780"/>
      <c r="I41" s="781"/>
      <c r="J41" s="782">
        <f>IF(H41=0,0,I41/H41)</f>
        <v>0</v>
      </c>
      <c r="L41" s="780"/>
      <c r="M41" s="875">
        <f>L41*J41</f>
        <v>0</v>
      </c>
      <c r="O41" s="780"/>
      <c r="P41" s="876">
        <f>O41*M41</f>
        <v>0</v>
      </c>
      <c r="Q41" s="106"/>
      <c r="R41" s="476">
        <f t="shared" si="0"/>
        <v>0</v>
      </c>
      <c r="T41" s="780"/>
      <c r="U41" s="106"/>
      <c r="V41" s="543">
        <f t="shared" si="1"/>
        <v>0</v>
      </c>
      <c r="X41" s="723"/>
      <c r="Z41" s="780"/>
      <c r="AA41" s="876">
        <f>Z41*X41</f>
        <v>0</v>
      </c>
      <c r="AB41" s="106"/>
      <c r="AC41" s="476">
        <f>IF(Z41=0,0,AA41/Z41)</f>
        <v>0</v>
      </c>
      <c r="AE41" s="780"/>
      <c r="AF41" s="106"/>
      <c r="AG41" s="779">
        <f>AE41*AC41</f>
        <v>0</v>
      </c>
      <c r="AI41" s="780"/>
      <c r="AJ41" s="876"/>
      <c r="AK41" s="106"/>
      <c r="AL41" s="476">
        <f>IF(AI41=0,0,AJ41/AI41)</f>
        <v>0</v>
      </c>
      <c r="AM41" s="719"/>
      <c r="AN41" s="780"/>
      <c r="AO41" s="876"/>
      <c r="AP41" s="106"/>
      <c r="AQ41" s="476">
        <f>IF(AN41=0,0,AO41/AN41)</f>
        <v>0</v>
      </c>
      <c r="AS41" s="780"/>
      <c r="AT41" s="876"/>
      <c r="AU41" s="106"/>
      <c r="AV41" s="476">
        <f>IF(AS41=0,0,AT41/AS41)</f>
        <v>0</v>
      </c>
      <c r="AW41" s="719"/>
      <c r="AX41" s="780"/>
      <c r="AY41" s="876"/>
      <c r="AZ41" s="106"/>
      <c r="BA41" s="476">
        <f>IF(AX41=0,0,AY41/AX41)</f>
        <v>0</v>
      </c>
      <c r="BB41" s="719"/>
      <c r="BC41" s="780"/>
      <c r="BD41" s="876"/>
      <c r="BE41" s="106"/>
      <c r="BF41" s="476">
        <f>IF(BC41=0,0,BD41/BC41)</f>
        <v>0</v>
      </c>
    </row>
    <row r="42" spans="1:58" x14ac:dyDescent="0.35">
      <c r="A42" s="9153"/>
      <c r="B42" s="873"/>
      <c r="C42" s="874" t="s">
        <v>533</v>
      </c>
      <c r="F42" s="788"/>
      <c r="H42" s="785"/>
      <c r="I42" s="786"/>
      <c r="J42" s="782">
        <f>IF(H42=0,0,I42/H42)</f>
        <v>0</v>
      </c>
      <c r="L42" s="785"/>
      <c r="M42" s="881">
        <f>L42*J42</f>
        <v>0</v>
      </c>
      <c r="O42" s="785"/>
      <c r="P42" s="882">
        <f>O42*M42</f>
        <v>0</v>
      </c>
      <c r="Q42" s="106"/>
      <c r="R42" s="476">
        <f t="shared" si="0"/>
        <v>0</v>
      </c>
      <c r="T42" s="785"/>
      <c r="U42" s="106"/>
      <c r="V42" s="543">
        <f t="shared" si="1"/>
        <v>0</v>
      </c>
      <c r="X42" s="723"/>
      <c r="Z42" s="785"/>
      <c r="AA42" s="882">
        <f>Z42*X42</f>
        <v>0</v>
      </c>
      <c r="AB42" s="106"/>
      <c r="AC42" s="476">
        <f>IF(Z42=0,0,AA42/Z42)</f>
        <v>0</v>
      </c>
      <c r="AE42" s="785"/>
      <c r="AF42" s="106"/>
      <c r="AG42" s="788">
        <f>AE42*AC42</f>
        <v>0</v>
      </c>
      <c r="AI42" s="785"/>
      <c r="AJ42" s="882"/>
      <c r="AK42" s="106"/>
      <c r="AL42" s="476">
        <f>IF(AI42=0,0,AJ42/AI42)</f>
        <v>0</v>
      </c>
      <c r="AM42" s="719"/>
      <c r="AN42" s="785"/>
      <c r="AO42" s="882"/>
      <c r="AQ42" s="476">
        <f>IF(AN42=0,0,AO42/AN42)</f>
        <v>0</v>
      </c>
      <c r="AS42" s="785"/>
      <c r="AT42" s="882"/>
      <c r="AU42" s="106"/>
      <c r="AV42" s="476">
        <f>IF(AS42=0,0,AT42/AS42)</f>
        <v>0</v>
      </c>
      <c r="AW42" s="719"/>
      <c r="AX42" s="785"/>
      <c r="AY42" s="882"/>
      <c r="BA42" s="476">
        <f>IF(AX42=0,0,AY42/AX42)</f>
        <v>0</v>
      </c>
      <c r="BB42" s="719"/>
      <c r="BC42" s="785"/>
      <c r="BD42" s="882"/>
      <c r="BF42" s="476">
        <f>IF(BC42=0,0,BD42/BC42)</f>
        <v>0</v>
      </c>
    </row>
    <row r="43" spans="1:58" x14ac:dyDescent="0.35">
      <c r="A43" s="9153"/>
      <c r="B43" s="895"/>
      <c r="C43" s="896" t="s">
        <v>534</v>
      </c>
      <c r="F43" s="795"/>
      <c r="H43" s="791"/>
      <c r="I43" s="792"/>
      <c r="J43" s="782">
        <f>IF(H43=0,0,I43/H43)</f>
        <v>0</v>
      </c>
      <c r="L43" s="796"/>
      <c r="M43" s="897">
        <f>L43*J43</f>
        <v>0</v>
      </c>
      <c r="O43" s="796"/>
      <c r="P43" s="898">
        <f>O43*M43</f>
        <v>0</v>
      </c>
      <c r="Q43" s="216"/>
      <c r="R43" s="484">
        <f t="shared" si="0"/>
        <v>0</v>
      </c>
      <c r="T43" s="796"/>
      <c r="U43" s="216"/>
      <c r="V43" s="553">
        <f t="shared" si="1"/>
        <v>0</v>
      </c>
      <c r="X43" s="722"/>
      <c r="Z43" s="796"/>
      <c r="AA43" s="898">
        <f>Z43*X43</f>
        <v>0</v>
      </c>
      <c r="AB43" s="216"/>
      <c r="AC43" s="484">
        <f>IF(Z43=0,0,AA43/Z43)</f>
        <v>0</v>
      </c>
      <c r="AE43" s="796"/>
      <c r="AF43" s="216"/>
      <c r="AG43" s="795">
        <f>AE43*AC43</f>
        <v>0</v>
      </c>
      <c r="AI43" s="796"/>
      <c r="AJ43" s="898"/>
      <c r="AK43" s="216"/>
      <c r="AL43" s="484">
        <f>IF(AI43=0,0,AJ43/AI43)</f>
        <v>0</v>
      </c>
      <c r="AM43" s="719"/>
      <c r="AN43" s="796"/>
      <c r="AO43" s="898"/>
      <c r="AP43" s="216"/>
      <c r="AQ43" s="484">
        <f>IF(AN43=0,0,AO43/AN43)</f>
        <v>0</v>
      </c>
      <c r="AS43" s="796"/>
      <c r="AT43" s="898"/>
      <c r="AU43" s="216"/>
      <c r="AV43" s="484">
        <f>IF(AS43=0,0,AT43/AS43)</f>
        <v>0</v>
      </c>
      <c r="AW43" s="719"/>
      <c r="AX43" s="796"/>
      <c r="AY43" s="898"/>
      <c r="AZ43" s="216"/>
      <c r="BA43" s="484">
        <f>IF(AX43=0,0,AY43/AX43)</f>
        <v>0</v>
      </c>
      <c r="BB43" s="719"/>
      <c r="BC43" s="796"/>
      <c r="BD43" s="898"/>
      <c r="BE43" s="216"/>
      <c r="BF43" s="484">
        <f>IF(BC43=0,0,BD43/BC43)</f>
        <v>0</v>
      </c>
    </row>
    <row r="44" spans="1:58" x14ac:dyDescent="0.35">
      <c r="A44" s="9153"/>
      <c r="B44" s="141" t="s">
        <v>535</v>
      </c>
      <c r="C44" s="899"/>
      <c r="E44" s="457"/>
      <c r="F44" s="870"/>
      <c r="G44" s="457"/>
      <c r="H44" s="773"/>
      <c r="I44" s="774"/>
      <c r="J44" s="900"/>
      <c r="K44" s="457"/>
      <c r="L44" s="866"/>
      <c r="M44" s="891"/>
      <c r="N44" s="143"/>
      <c r="O44" s="866"/>
      <c r="P44" s="892"/>
      <c r="Q44" s="106"/>
      <c r="R44" s="877"/>
      <c r="S44" s="143"/>
      <c r="T44" s="866"/>
      <c r="U44" s="106"/>
      <c r="V44" s="901"/>
      <c r="W44" s="143"/>
      <c r="X44" s="718"/>
      <c r="Z44" s="866"/>
      <c r="AA44" s="892"/>
      <c r="AB44" s="106"/>
      <c r="AC44" s="877"/>
      <c r="AD44" s="143"/>
      <c r="AE44" s="866"/>
      <c r="AF44" s="106"/>
      <c r="AG44" s="865"/>
      <c r="AH44" s="143"/>
      <c r="AI44" s="866"/>
      <c r="AJ44" s="892"/>
      <c r="AK44" s="106"/>
      <c r="AL44" s="877"/>
      <c r="AM44" s="719"/>
      <c r="AN44" s="866"/>
      <c r="AO44" s="892"/>
      <c r="AP44" s="106"/>
      <c r="AQ44" s="877"/>
      <c r="AR44" s="143"/>
      <c r="AS44" s="866"/>
      <c r="AT44" s="892"/>
      <c r="AU44" s="106"/>
      <c r="AV44" s="877"/>
      <c r="AW44" s="719"/>
      <c r="AX44" s="866"/>
      <c r="AY44" s="892"/>
      <c r="AZ44" s="106"/>
      <c r="BA44" s="877"/>
      <c r="BB44" s="719"/>
      <c r="BC44" s="866"/>
      <c r="BD44" s="892"/>
      <c r="BE44" s="106"/>
      <c r="BF44" s="877"/>
    </row>
    <row r="45" spans="1:58" x14ac:dyDescent="0.35">
      <c r="A45" s="9153"/>
      <c r="B45" s="240"/>
      <c r="C45" s="874" t="s">
        <v>532</v>
      </c>
      <c r="F45" s="779"/>
      <c r="H45" s="780"/>
      <c r="I45" s="781"/>
      <c r="J45" s="782">
        <f t="shared" ref="J45:J51" si="2">IF(H45=0,0,I45/H45)</f>
        <v>0</v>
      </c>
      <c r="L45" s="780"/>
      <c r="M45" s="902">
        <f t="shared" ref="M45:M51" si="3">L45*J45</f>
        <v>0</v>
      </c>
      <c r="O45" s="780"/>
      <c r="P45" s="882">
        <f t="shared" ref="P45:P51" si="4">O45*M45</f>
        <v>0</v>
      </c>
      <c r="Q45" s="106"/>
      <c r="R45" s="476">
        <f t="shared" si="0"/>
        <v>0</v>
      </c>
      <c r="T45" s="780"/>
      <c r="U45" s="106"/>
      <c r="V45" s="543">
        <f t="shared" si="1"/>
        <v>0</v>
      </c>
      <c r="X45" s="903"/>
      <c r="Z45" s="780"/>
      <c r="AA45" s="882">
        <f t="shared" ref="AA45:AA51" si="5">Z45*X45</f>
        <v>0</v>
      </c>
      <c r="AB45" s="106"/>
      <c r="AC45" s="476">
        <f t="shared" ref="AC45:AC51" si="6">IF(Z45=0,0,AA45/Z45)</f>
        <v>0</v>
      </c>
      <c r="AE45" s="780"/>
      <c r="AF45" s="106"/>
      <c r="AG45" s="779">
        <f t="shared" ref="AG45:AG51" si="7">AE45*AC45</f>
        <v>0</v>
      </c>
      <c r="AI45" s="780"/>
      <c r="AJ45" s="882"/>
      <c r="AK45" s="106"/>
      <c r="AL45" s="476">
        <f t="shared" ref="AL45:AL51" si="8">IF(AI45=0,0,AJ45/AI45)</f>
        <v>0</v>
      </c>
      <c r="AM45" s="904"/>
      <c r="AN45" s="780"/>
      <c r="AO45" s="882"/>
      <c r="AP45" s="106"/>
      <c r="AQ45" s="476">
        <f t="shared" ref="AQ45:AQ51" si="9">IF(AN45=0,0,AO45/AN45)</f>
        <v>0</v>
      </c>
      <c r="AS45" s="780"/>
      <c r="AT45" s="882"/>
      <c r="AU45" s="106"/>
      <c r="AV45" s="476">
        <f t="shared" ref="AV45:AV51" si="10">IF(AS45=0,0,AT45/AS45)</f>
        <v>0</v>
      </c>
      <c r="AW45" s="904"/>
      <c r="AX45" s="780"/>
      <c r="AY45" s="882"/>
      <c r="AZ45" s="106"/>
      <c r="BA45" s="476">
        <f t="shared" ref="BA45:BA51" si="11">IF(AX45=0,0,AY45/AX45)</f>
        <v>0</v>
      </c>
      <c r="BB45" s="904"/>
      <c r="BC45" s="780"/>
      <c r="BD45" s="882"/>
      <c r="BE45" s="106"/>
      <c r="BF45" s="476">
        <f t="shared" ref="BF45:BF51" si="12">IF(BC45=0,0,BD45/BC45)</f>
        <v>0</v>
      </c>
    </row>
    <row r="46" spans="1:58" x14ac:dyDescent="0.35">
      <c r="A46" s="9153"/>
      <c r="B46" s="240"/>
      <c r="C46" s="874" t="s">
        <v>533</v>
      </c>
      <c r="F46" s="788"/>
      <c r="H46" s="785"/>
      <c r="I46" s="786"/>
      <c r="J46" s="782">
        <f t="shared" si="2"/>
        <v>0</v>
      </c>
      <c r="L46" s="785"/>
      <c r="M46" s="905">
        <f t="shared" si="3"/>
        <v>0</v>
      </c>
      <c r="O46" s="785"/>
      <c r="P46" s="882">
        <f t="shared" si="4"/>
        <v>0</v>
      </c>
      <c r="Q46" s="106"/>
      <c r="R46" s="476">
        <f t="shared" si="0"/>
        <v>0</v>
      </c>
      <c r="T46" s="785"/>
      <c r="U46" s="106"/>
      <c r="V46" s="543">
        <f t="shared" si="1"/>
        <v>0</v>
      </c>
      <c r="X46" s="723"/>
      <c r="Z46" s="785"/>
      <c r="AA46" s="882">
        <f t="shared" si="5"/>
        <v>0</v>
      </c>
      <c r="AB46" s="106"/>
      <c r="AC46" s="476">
        <f t="shared" si="6"/>
        <v>0</v>
      </c>
      <c r="AE46" s="785"/>
      <c r="AF46" s="106"/>
      <c r="AG46" s="788">
        <f t="shared" si="7"/>
        <v>0</v>
      </c>
      <c r="AI46" s="785"/>
      <c r="AJ46" s="882"/>
      <c r="AK46" s="106"/>
      <c r="AL46" s="476">
        <f t="shared" si="8"/>
        <v>0</v>
      </c>
      <c r="AM46" s="719"/>
      <c r="AN46" s="785"/>
      <c r="AO46" s="882"/>
      <c r="AP46" s="106"/>
      <c r="AQ46" s="476">
        <f t="shared" si="9"/>
        <v>0</v>
      </c>
      <c r="AS46" s="785"/>
      <c r="AT46" s="882"/>
      <c r="AU46" s="106"/>
      <c r="AV46" s="476">
        <f t="shared" si="10"/>
        <v>0</v>
      </c>
      <c r="AW46" s="719"/>
      <c r="AX46" s="785"/>
      <c r="AY46" s="882"/>
      <c r="AZ46" s="106"/>
      <c r="BA46" s="476">
        <f t="shared" si="11"/>
        <v>0</v>
      </c>
      <c r="BB46" s="719"/>
      <c r="BC46" s="785"/>
      <c r="BD46" s="882"/>
      <c r="BE46" s="106"/>
      <c r="BF46" s="476">
        <f t="shared" si="12"/>
        <v>0</v>
      </c>
    </row>
    <row r="47" spans="1:58" x14ac:dyDescent="0.35">
      <c r="A47" s="9153"/>
      <c r="B47" s="240"/>
      <c r="C47" s="874" t="s">
        <v>534</v>
      </c>
      <c r="F47" s="788"/>
      <c r="H47" s="785"/>
      <c r="I47" s="786"/>
      <c r="J47" s="782">
        <f t="shared" si="2"/>
        <v>0</v>
      </c>
      <c r="L47" s="785"/>
      <c r="M47" s="905">
        <f t="shared" si="3"/>
        <v>0</v>
      </c>
      <c r="O47" s="785"/>
      <c r="P47" s="882">
        <f t="shared" si="4"/>
        <v>0</v>
      </c>
      <c r="Q47" s="106"/>
      <c r="R47" s="476">
        <f t="shared" si="0"/>
        <v>0</v>
      </c>
      <c r="T47" s="785"/>
      <c r="U47" s="106"/>
      <c r="V47" s="543">
        <f t="shared" si="1"/>
        <v>0</v>
      </c>
      <c r="X47" s="723"/>
      <c r="Z47" s="785"/>
      <c r="AA47" s="882">
        <f t="shared" si="5"/>
        <v>0</v>
      </c>
      <c r="AB47" s="106"/>
      <c r="AC47" s="476">
        <f t="shared" si="6"/>
        <v>0</v>
      </c>
      <c r="AE47" s="785"/>
      <c r="AF47" s="106"/>
      <c r="AG47" s="788">
        <f t="shared" si="7"/>
        <v>0</v>
      </c>
      <c r="AI47" s="785"/>
      <c r="AJ47" s="882"/>
      <c r="AK47" s="106"/>
      <c r="AL47" s="476">
        <f t="shared" si="8"/>
        <v>0</v>
      </c>
      <c r="AM47" s="719"/>
      <c r="AN47" s="785"/>
      <c r="AO47" s="882"/>
      <c r="AP47" s="106"/>
      <c r="AQ47" s="476">
        <f t="shared" si="9"/>
        <v>0</v>
      </c>
      <c r="AS47" s="785"/>
      <c r="AT47" s="882"/>
      <c r="AU47" s="106"/>
      <c r="AV47" s="476">
        <f t="shared" si="10"/>
        <v>0</v>
      </c>
      <c r="AW47" s="719"/>
      <c r="AX47" s="785"/>
      <c r="AY47" s="882"/>
      <c r="AZ47" s="106"/>
      <c r="BA47" s="476">
        <f t="shared" si="11"/>
        <v>0</v>
      </c>
      <c r="BB47" s="719"/>
      <c r="BC47" s="785"/>
      <c r="BD47" s="882"/>
      <c r="BE47" s="106"/>
      <c r="BF47" s="476">
        <f t="shared" si="12"/>
        <v>0</v>
      </c>
    </row>
    <row r="48" spans="1:58" x14ac:dyDescent="0.35">
      <c r="A48" s="9153"/>
      <c r="B48" s="240"/>
      <c r="C48" s="874" t="s">
        <v>536</v>
      </c>
      <c r="E48" s="457"/>
      <c r="F48" s="788"/>
      <c r="H48" s="785"/>
      <c r="I48" s="786"/>
      <c r="J48" s="782">
        <f t="shared" si="2"/>
        <v>0</v>
      </c>
      <c r="L48" s="785"/>
      <c r="M48" s="905">
        <f t="shared" si="3"/>
        <v>0</v>
      </c>
      <c r="N48" s="143"/>
      <c r="O48" s="785"/>
      <c r="P48" s="882">
        <f t="shared" si="4"/>
        <v>0</v>
      </c>
      <c r="Q48" s="106"/>
      <c r="R48" s="476">
        <f t="shared" si="0"/>
        <v>0</v>
      </c>
      <c r="S48" s="143"/>
      <c r="T48" s="785"/>
      <c r="U48" s="106"/>
      <c r="V48" s="543">
        <f t="shared" si="1"/>
        <v>0</v>
      </c>
      <c r="W48" s="143"/>
      <c r="X48" s="893"/>
      <c r="Z48" s="785"/>
      <c r="AA48" s="882">
        <f t="shared" si="5"/>
        <v>0</v>
      </c>
      <c r="AB48" s="106"/>
      <c r="AC48" s="476">
        <f t="shared" si="6"/>
        <v>0</v>
      </c>
      <c r="AD48" s="143"/>
      <c r="AE48" s="785"/>
      <c r="AF48" s="106"/>
      <c r="AG48" s="788">
        <f t="shared" si="7"/>
        <v>0</v>
      </c>
      <c r="AH48" s="143"/>
      <c r="AI48" s="785"/>
      <c r="AJ48" s="882"/>
      <c r="AK48" s="106"/>
      <c r="AL48" s="476">
        <f t="shared" si="8"/>
        <v>0</v>
      </c>
      <c r="AM48" s="894"/>
      <c r="AN48" s="785"/>
      <c r="AO48" s="882"/>
      <c r="AP48" s="106"/>
      <c r="AQ48" s="476">
        <f t="shared" si="9"/>
        <v>0</v>
      </c>
      <c r="AR48" s="143"/>
      <c r="AS48" s="785"/>
      <c r="AT48" s="882"/>
      <c r="AU48" s="106"/>
      <c r="AV48" s="476">
        <f t="shared" si="10"/>
        <v>0</v>
      </c>
      <c r="AW48" s="894"/>
      <c r="AX48" s="785"/>
      <c r="AY48" s="882"/>
      <c r="AZ48" s="106"/>
      <c r="BA48" s="476">
        <f t="shared" si="11"/>
        <v>0</v>
      </c>
      <c r="BB48" s="894"/>
      <c r="BC48" s="785"/>
      <c r="BD48" s="882"/>
      <c r="BE48" s="106"/>
      <c r="BF48" s="476">
        <f t="shared" si="12"/>
        <v>0</v>
      </c>
    </row>
    <row r="49" spans="1:58" x14ac:dyDescent="0.35">
      <c r="A49" s="9153"/>
      <c r="B49" s="240"/>
      <c r="C49" s="874" t="s">
        <v>537</v>
      </c>
      <c r="F49" s="788"/>
      <c r="H49" s="785"/>
      <c r="I49" s="786"/>
      <c r="J49" s="782">
        <f t="shared" si="2"/>
        <v>0</v>
      </c>
      <c r="L49" s="785"/>
      <c r="M49" s="905">
        <f t="shared" si="3"/>
        <v>0</v>
      </c>
      <c r="O49" s="785"/>
      <c r="P49" s="882">
        <f t="shared" si="4"/>
        <v>0</v>
      </c>
      <c r="Q49" s="106"/>
      <c r="R49" s="476">
        <f t="shared" si="0"/>
        <v>0</v>
      </c>
      <c r="T49" s="785"/>
      <c r="U49" s="106"/>
      <c r="V49" s="543">
        <f t="shared" si="1"/>
        <v>0</v>
      </c>
      <c r="X49" s="723"/>
      <c r="Z49" s="785"/>
      <c r="AA49" s="882">
        <f t="shared" si="5"/>
        <v>0</v>
      </c>
      <c r="AB49" s="106"/>
      <c r="AC49" s="476">
        <f t="shared" si="6"/>
        <v>0</v>
      </c>
      <c r="AE49" s="785"/>
      <c r="AF49" s="106"/>
      <c r="AG49" s="788">
        <f t="shared" si="7"/>
        <v>0</v>
      </c>
      <c r="AI49" s="785"/>
      <c r="AJ49" s="882"/>
      <c r="AK49" s="106"/>
      <c r="AL49" s="476">
        <f t="shared" si="8"/>
        <v>0</v>
      </c>
      <c r="AM49" s="719"/>
      <c r="AN49" s="785"/>
      <c r="AO49" s="882"/>
      <c r="AP49" s="106"/>
      <c r="AQ49" s="476">
        <f t="shared" si="9"/>
        <v>0</v>
      </c>
      <c r="AS49" s="785"/>
      <c r="AT49" s="882"/>
      <c r="AU49" s="106"/>
      <c r="AV49" s="476">
        <f t="shared" si="10"/>
        <v>0</v>
      </c>
      <c r="AW49" s="719"/>
      <c r="AX49" s="785"/>
      <c r="AY49" s="882"/>
      <c r="AZ49" s="106"/>
      <c r="BA49" s="476">
        <f t="shared" si="11"/>
        <v>0</v>
      </c>
      <c r="BB49" s="719"/>
      <c r="BC49" s="785"/>
      <c r="BD49" s="882"/>
      <c r="BE49" s="106"/>
      <c r="BF49" s="476">
        <f t="shared" si="12"/>
        <v>0</v>
      </c>
    </row>
    <row r="50" spans="1:58" x14ac:dyDescent="0.35">
      <c r="A50" s="9153"/>
      <c r="B50" s="240"/>
      <c r="C50" s="874" t="s">
        <v>538</v>
      </c>
      <c r="F50" s="788"/>
      <c r="H50" s="785"/>
      <c r="I50" s="786"/>
      <c r="J50" s="782">
        <f t="shared" si="2"/>
        <v>0</v>
      </c>
      <c r="L50" s="785"/>
      <c r="M50" s="905">
        <f t="shared" si="3"/>
        <v>0</v>
      </c>
      <c r="O50" s="785"/>
      <c r="P50" s="882">
        <f t="shared" si="4"/>
        <v>0</v>
      </c>
      <c r="Q50" s="106"/>
      <c r="R50" s="476">
        <f t="shared" si="0"/>
        <v>0</v>
      </c>
      <c r="T50" s="785"/>
      <c r="U50" s="106"/>
      <c r="V50" s="543">
        <f t="shared" si="1"/>
        <v>0</v>
      </c>
      <c r="X50" s="723"/>
      <c r="Z50" s="785"/>
      <c r="AA50" s="882">
        <f t="shared" si="5"/>
        <v>0</v>
      </c>
      <c r="AB50" s="106"/>
      <c r="AC50" s="476">
        <f t="shared" si="6"/>
        <v>0</v>
      </c>
      <c r="AE50" s="785"/>
      <c r="AF50" s="106"/>
      <c r="AG50" s="788">
        <f t="shared" si="7"/>
        <v>0</v>
      </c>
      <c r="AI50" s="785"/>
      <c r="AJ50" s="882"/>
      <c r="AK50" s="106"/>
      <c r="AL50" s="476">
        <f t="shared" si="8"/>
        <v>0</v>
      </c>
      <c r="AM50" s="719"/>
      <c r="AN50" s="785"/>
      <c r="AO50" s="882"/>
      <c r="AP50" s="106"/>
      <c r="AQ50" s="476">
        <f t="shared" si="9"/>
        <v>0</v>
      </c>
      <c r="AS50" s="785"/>
      <c r="AT50" s="882"/>
      <c r="AU50" s="106"/>
      <c r="AV50" s="476">
        <f t="shared" si="10"/>
        <v>0</v>
      </c>
      <c r="AW50" s="719"/>
      <c r="AX50" s="785"/>
      <c r="AY50" s="882"/>
      <c r="AZ50" s="106"/>
      <c r="BA50" s="476">
        <f t="shared" si="11"/>
        <v>0</v>
      </c>
      <c r="BB50" s="719"/>
      <c r="BC50" s="785"/>
      <c r="BD50" s="882"/>
      <c r="BE50" s="106"/>
      <c r="BF50" s="476">
        <f t="shared" si="12"/>
        <v>0</v>
      </c>
    </row>
    <row r="51" spans="1:58" x14ac:dyDescent="0.35">
      <c r="A51" s="9153"/>
      <c r="B51" s="241"/>
      <c r="C51" s="874" t="s">
        <v>539</v>
      </c>
      <c r="F51" s="795"/>
      <c r="H51" s="796"/>
      <c r="I51" s="797"/>
      <c r="J51" s="798">
        <f t="shared" si="2"/>
        <v>0</v>
      </c>
      <c r="L51" s="791"/>
      <c r="M51" s="906">
        <f t="shared" si="3"/>
        <v>0</v>
      </c>
      <c r="O51" s="791"/>
      <c r="P51" s="907">
        <f t="shared" si="4"/>
        <v>0</v>
      </c>
      <c r="Q51" s="216"/>
      <c r="R51" s="484">
        <f t="shared" si="0"/>
        <v>0</v>
      </c>
      <c r="T51" s="791"/>
      <c r="U51" s="216"/>
      <c r="V51" s="553">
        <f t="shared" si="1"/>
        <v>0</v>
      </c>
      <c r="X51" s="722"/>
      <c r="Z51" s="791"/>
      <c r="AA51" s="907">
        <f t="shared" si="5"/>
        <v>0</v>
      </c>
      <c r="AB51" s="216"/>
      <c r="AC51" s="484">
        <f t="shared" si="6"/>
        <v>0</v>
      </c>
      <c r="AE51" s="791"/>
      <c r="AF51" s="216"/>
      <c r="AG51" s="790">
        <f t="shared" si="7"/>
        <v>0</v>
      </c>
      <c r="AI51" s="791"/>
      <c r="AJ51" s="907"/>
      <c r="AK51" s="216"/>
      <c r="AL51" s="484">
        <f t="shared" si="8"/>
        <v>0</v>
      </c>
      <c r="AM51" s="719"/>
      <c r="AN51" s="791"/>
      <c r="AO51" s="907"/>
      <c r="AP51" s="216"/>
      <c r="AQ51" s="484">
        <f t="shared" si="9"/>
        <v>0</v>
      </c>
      <c r="AS51" s="791"/>
      <c r="AT51" s="907"/>
      <c r="AU51" s="216"/>
      <c r="AV51" s="484">
        <f t="shared" si="10"/>
        <v>0</v>
      </c>
      <c r="AW51" s="719"/>
      <c r="AX51" s="791"/>
      <c r="AY51" s="907"/>
      <c r="AZ51" s="216"/>
      <c r="BA51" s="484">
        <f t="shared" si="11"/>
        <v>0</v>
      </c>
      <c r="BB51" s="719"/>
      <c r="BC51" s="791"/>
      <c r="BD51" s="907"/>
      <c r="BE51" s="216"/>
      <c r="BF51" s="484">
        <f t="shared" si="12"/>
        <v>0</v>
      </c>
    </row>
    <row r="52" spans="1:58" x14ac:dyDescent="0.35">
      <c r="A52" s="9153"/>
      <c r="B52" s="139" t="s">
        <v>540</v>
      </c>
      <c r="C52" s="908"/>
      <c r="F52" s="870"/>
      <c r="G52" s="801"/>
      <c r="H52" s="866"/>
      <c r="I52" s="847"/>
      <c r="J52" s="909"/>
      <c r="K52" s="801"/>
      <c r="L52" s="773"/>
      <c r="M52" s="910"/>
      <c r="O52" s="911" t="s">
        <v>541</v>
      </c>
      <c r="P52" s="912"/>
      <c r="Q52" s="106"/>
      <c r="R52" s="476"/>
      <c r="T52" s="773"/>
      <c r="U52" s="106"/>
      <c r="V52" s="543"/>
      <c r="X52" s="718"/>
      <c r="Z52" s="911" t="s">
        <v>542</v>
      </c>
      <c r="AA52" s="912"/>
      <c r="AB52" s="106"/>
      <c r="AC52" s="476"/>
      <c r="AE52" s="911"/>
      <c r="AF52" s="106"/>
      <c r="AG52" s="913"/>
      <c r="AI52" s="911" t="s">
        <v>543</v>
      </c>
      <c r="AJ52" s="912"/>
      <c r="AK52" s="106"/>
      <c r="AL52" s="476"/>
      <c r="AM52" s="719"/>
      <c r="AN52" s="911" t="s">
        <v>544</v>
      </c>
      <c r="AO52" s="912"/>
      <c r="AP52" s="106"/>
      <c r="AQ52" s="476"/>
      <c r="AS52" s="911" t="s">
        <v>543</v>
      </c>
      <c r="AT52" s="912"/>
      <c r="AU52" s="106"/>
      <c r="AV52" s="476"/>
      <c r="AW52" s="719"/>
      <c r="AX52" s="911" t="s">
        <v>545</v>
      </c>
      <c r="AY52" s="912" t="s">
        <v>546</v>
      </c>
      <c r="AZ52" s="106"/>
      <c r="BA52" s="476"/>
      <c r="BB52" s="719"/>
      <c r="BC52" s="911" t="s">
        <v>481</v>
      </c>
      <c r="BD52" s="912" t="s">
        <v>547</v>
      </c>
      <c r="BE52" s="106"/>
      <c r="BF52" s="476"/>
    </row>
    <row r="53" spans="1:58" x14ac:dyDescent="0.35">
      <c r="A53" s="9153"/>
      <c r="B53" s="873"/>
      <c r="C53" s="914" t="s">
        <v>548</v>
      </c>
      <c r="F53" s="779"/>
      <c r="H53" s="780">
        <v>1371.721</v>
      </c>
      <c r="I53" s="781">
        <f>H53*J53</f>
        <v>1303.1349499999999</v>
      </c>
      <c r="J53" s="782">
        <f>J34</f>
        <v>0.95</v>
      </c>
      <c r="L53" s="780">
        <v>2200</v>
      </c>
      <c r="M53" s="902">
        <f>L53*J53</f>
        <v>2090</v>
      </c>
      <c r="O53" s="780">
        <v>2887.1729999999998</v>
      </c>
      <c r="P53" s="882">
        <f>O53*R34</f>
        <v>2974.0882725289985</v>
      </c>
      <c r="Q53" s="57" t="s">
        <v>549</v>
      </c>
      <c r="R53" s="476">
        <f t="shared" si="0"/>
        <v>1.0301039364558338</v>
      </c>
      <c r="T53" s="780">
        <v>3145.3211070000002</v>
      </c>
      <c r="U53" s="57" t="s">
        <v>550</v>
      </c>
      <c r="V53" s="543">
        <f t="shared" si="1"/>
        <v>3240.0076537383211</v>
      </c>
      <c r="X53" s="723" t="s">
        <v>549</v>
      </c>
      <c r="Z53" s="791">
        <v>3145.3211070000002</v>
      </c>
      <c r="AA53" s="882">
        <f>Z53</f>
        <v>3145.3211070000002</v>
      </c>
      <c r="AB53" s="57"/>
      <c r="AC53" s="476">
        <f t="shared" ref="AC53:AC60" si="13">IF(Z53=0,0,AA53/Z53)</f>
        <v>1</v>
      </c>
      <c r="AE53" s="791">
        <v>3490.5777200000002</v>
      </c>
      <c r="AF53" s="57"/>
      <c r="AG53" s="790">
        <f t="shared" ref="AG53:AG60" si="14">AE53*AC53</f>
        <v>3490.5777200000002</v>
      </c>
      <c r="AI53" s="915">
        <f>AE53</f>
        <v>3490.5777200000002</v>
      </c>
      <c r="AJ53" s="916">
        <f>AI53</f>
        <v>3490.5777200000002</v>
      </c>
      <c r="AK53" s="57"/>
      <c r="AL53" s="476">
        <f t="shared" ref="AL53:AL60" si="15">IF(AI53=0,0,AJ53/AI53)</f>
        <v>1</v>
      </c>
      <c r="AM53" s="719"/>
      <c r="AN53" s="915">
        <v>3829.3647999999998</v>
      </c>
      <c r="AO53" s="106">
        <f>AN53*AL53</f>
        <v>3829.3647999999998</v>
      </c>
      <c r="AP53" s="57"/>
      <c r="AQ53" s="476">
        <f t="shared" ref="AQ53:AQ60" si="16">IF(AN53=0,0,AO53/AN53)</f>
        <v>1</v>
      </c>
      <c r="AS53" s="791">
        <v>3789</v>
      </c>
      <c r="AT53" s="847">
        <f>AS53*AT34/AS34</f>
        <v>3257.2565289089771</v>
      </c>
      <c r="AU53" s="57"/>
      <c r="AV53" s="476">
        <f t="shared" ref="AV53:AV60" si="17">IF(AS53=0,0,AT53/AS53)</f>
        <v>0.85966126389785613</v>
      </c>
      <c r="AW53" s="719"/>
      <c r="AX53" s="791">
        <v>3829</v>
      </c>
      <c r="AY53" s="882">
        <v>4411</v>
      </c>
      <c r="AZ53" s="57"/>
      <c r="BA53" s="476">
        <f t="shared" ref="BA53:BA60" si="18">IF(AX53=0,0,AY53/AX53)</f>
        <v>1.15199791068164</v>
      </c>
      <c r="BB53" s="719"/>
      <c r="BC53" s="791">
        <v>4860.8369339999999</v>
      </c>
      <c r="BD53" s="882">
        <v>4859</v>
      </c>
      <c r="BE53" s="57"/>
      <c r="BF53" s="476">
        <f t="shared" ref="BF53:BF60" si="19">IF(BC53=0,0,BD53/BC53)</f>
        <v>0.99962209511963851</v>
      </c>
    </row>
    <row r="54" spans="1:58" x14ac:dyDescent="0.35">
      <c r="A54" s="9153"/>
      <c r="B54" s="873"/>
      <c r="C54" s="914" t="s">
        <v>551</v>
      </c>
      <c r="F54" s="788"/>
      <c r="H54" s="785">
        <v>26676</v>
      </c>
      <c r="I54" s="786">
        <f>H54*J54</f>
        <v>25875.719999999998</v>
      </c>
      <c r="J54" s="782">
        <f>J38</f>
        <v>0.97</v>
      </c>
      <c r="L54" s="785">
        <v>28302</v>
      </c>
      <c r="M54" s="905">
        <f>L54*J54</f>
        <v>27452.94</v>
      </c>
      <c r="O54" s="785">
        <v>28197.379000000001</v>
      </c>
      <c r="P54" s="882">
        <f>O54*R38</f>
        <v>28429.023592344096</v>
      </c>
      <c r="Q54" s="57" t="s">
        <v>549</v>
      </c>
      <c r="R54" s="476">
        <f t="shared" si="0"/>
        <v>1.008215110785442</v>
      </c>
      <c r="T54" s="785">
        <v>29147.553635</v>
      </c>
      <c r="U54" s="57" t="s">
        <v>550</v>
      </c>
      <c r="V54" s="543">
        <f t="shared" si="1"/>
        <v>29387.004017236137</v>
      </c>
      <c r="X54" s="723" t="s">
        <v>549</v>
      </c>
      <c r="Z54" s="791">
        <v>29147.553635</v>
      </c>
      <c r="AA54" s="882">
        <f>Z54</f>
        <v>29147.553635</v>
      </c>
      <c r="AB54" s="57"/>
      <c r="AC54" s="476">
        <f t="shared" si="13"/>
        <v>1</v>
      </c>
      <c r="AE54" s="791">
        <v>30260.929607999999</v>
      </c>
      <c r="AF54" s="57"/>
      <c r="AG54" s="790">
        <f t="shared" si="14"/>
        <v>30260.929607999999</v>
      </c>
      <c r="AI54" s="915">
        <f>AE54</f>
        <v>30260.929607999999</v>
      </c>
      <c r="AJ54" s="916">
        <f>AI54</f>
        <v>30260.929607999999</v>
      </c>
      <c r="AK54" s="57"/>
      <c r="AL54" s="476">
        <f t="shared" si="15"/>
        <v>1</v>
      </c>
      <c r="AM54" s="719"/>
      <c r="AN54" s="915">
        <v>31964.931465000001</v>
      </c>
      <c r="AO54" s="106">
        <f>AN54*AL54</f>
        <v>31964.931465000001</v>
      </c>
      <c r="AP54" s="57"/>
      <c r="AQ54" s="476">
        <f t="shared" si="16"/>
        <v>1</v>
      </c>
      <c r="AS54" s="791">
        <v>32629</v>
      </c>
      <c r="AT54" s="847">
        <f>AS54*AT38/AS38</f>
        <v>29597.222543685602</v>
      </c>
      <c r="AU54" s="57"/>
      <c r="AV54" s="476">
        <f t="shared" si="17"/>
        <v>0.90708334744201791</v>
      </c>
      <c r="AW54" s="719"/>
      <c r="AX54" s="791">
        <v>31965</v>
      </c>
      <c r="AY54" s="882">
        <v>34309</v>
      </c>
      <c r="AZ54" s="57"/>
      <c r="BA54" s="476">
        <f t="shared" si="18"/>
        <v>1.073330204911622</v>
      </c>
      <c r="BB54" s="719"/>
      <c r="BC54" s="791">
        <v>32887.112493000001</v>
      </c>
      <c r="BD54" s="882">
        <v>31405</v>
      </c>
      <c r="BE54" s="57"/>
      <c r="BF54" s="476">
        <f t="shared" si="19"/>
        <v>0.95493333465151531</v>
      </c>
    </row>
    <row r="55" spans="1:58" x14ac:dyDescent="0.35">
      <c r="A55" s="9153"/>
      <c r="B55" s="873"/>
      <c r="C55" s="914"/>
      <c r="F55" s="790"/>
      <c r="H55" s="791"/>
      <c r="I55" s="792"/>
      <c r="J55" s="782">
        <f>IF(H55=0,0,I55/H55)</f>
        <v>0</v>
      </c>
      <c r="L55" s="791"/>
      <c r="M55" s="905">
        <f>L55*J55</f>
        <v>0</v>
      </c>
      <c r="O55" s="791"/>
      <c r="P55" s="882">
        <f>O55*M55</f>
        <v>0</v>
      </c>
      <c r="Q55" s="106"/>
      <c r="R55" s="476">
        <f t="shared" si="0"/>
        <v>0</v>
      </c>
      <c r="T55" s="791"/>
      <c r="U55" s="106"/>
      <c r="V55" s="543">
        <f t="shared" si="1"/>
        <v>0</v>
      </c>
      <c r="X55" s="723"/>
      <c r="Z55" s="791"/>
      <c r="AA55" s="882">
        <f>Z55*X55</f>
        <v>0</v>
      </c>
      <c r="AB55" s="106"/>
      <c r="AC55" s="476">
        <f t="shared" si="13"/>
        <v>0</v>
      </c>
      <c r="AE55" s="791"/>
      <c r="AF55" s="106"/>
      <c r="AG55" s="790">
        <f t="shared" si="14"/>
        <v>0</v>
      </c>
      <c r="AI55" s="915"/>
      <c r="AJ55" s="882"/>
      <c r="AK55" s="106"/>
      <c r="AL55" s="476">
        <f t="shared" si="15"/>
        <v>0</v>
      </c>
      <c r="AM55" s="719"/>
      <c r="AN55" s="915"/>
      <c r="AO55" s="882"/>
      <c r="AP55" s="106"/>
      <c r="AQ55" s="476">
        <f t="shared" si="16"/>
        <v>0</v>
      </c>
      <c r="AS55" s="791"/>
      <c r="AT55" s="882"/>
      <c r="AU55" s="106"/>
      <c r="AV55" s="476">
        <f t="shared" si="17"/>
        <v>0</v>
      </c>
      <c r="AW55" s="719"/>
      <c r="AX55" s="791"/>
      <c r="AY55" s="882"/>
      <c r="AZ55" s="106"/>
      <c r="BA55" s="476">
        <f t="shared" si="18"/>
        <v>0</v>
      </c>
      <c r="BB55" s="719"/>
      <c r="BC55" s="791">
        <v>1365.3306279999999</v>
      </c>
      <c r="BD55" s="882">
        <v>1309</v>
      </c>
      <c r="BE55" s="57" t="s">
        <v>527</v>
      </c>
      <c r="BF55" s="476">
        <f t="shared" si="19"/>
        <v>0.95874213407010744</v>
      </c>
    </row>
    <row r="56" spans="1:58" x14ac:dyDescent="0.35">
      <c r="A56" s="9153"/>
      <c r="B56" s="873"/>
      <c r="C56" s="914"/>
      <c r="E56" s="801"/>
      <c r="F56" s="790"/>
      <c r="H56" s="791"/>
      <c r="I56" s="792"/>
      <c r="J56" s="782">
        <f>IF(H56=0,0,I56/H56)</f>
        <v>0</v>
      </c>
      <c r="L56" s="791"/>
      <c r="M56" s="905">
        <f>L56*J56</f>
        <v>0</v>
      </c>
      <c r="N56" s="141"/>
      <c r="O56" s="791"/>
      <c r="P56" s="882">
        <f>O56*M56</f>
        <v>0</v>
      </c>
      <c r="Q56" s="106"/>
      <c r="R56" s="476">
        <f t="shared" si="0"/>
        <v>0</v>
      </c>
      <c r="S56" s="141"/>
      <c r="T56" s="791"/>
      <c r="U56" s="106"/>
      <c r="V56" s="543">
        <f t="shared" si="1"/>
        <v>0</v>
      </c>
      <c r="W56" s="141"/>
      <c r="X56" s="893"/>
      <c r="Z56" s="791"/>
      <c r="AA56" s="882">
        <f>Z56*X56</f>
        <v>0</v>
      </c>
      <c r="AB56" s="106"/>
      <c r="AC56" s="476">
        <f t="shared" si="13"/>
        <v>0</v>
      </c>
      <c r="AD56" s="141"/>
      <c r="AE56" s="791"/>
      <c r="AF56" s="106"/>
      <c r="AG56" s="790">
        <f t="shared" si="14"/>
        <v>0</v>
      </c>
      <c r="AH56" s="141"/>
      <c r="AI56" s="915"/>
      <c r="AJ56" s="882"/>
      <c r="AK56" s="106"/>
      <c r="AL56" s="476">
        <f t="shared" si="15"/>
        <v>0</v>
      </c>
      <c r="AM56" s="894"/>
      <c r="AN56" s="915"/>
      <c r="AO56" s="882"/>
      <c r="AP56" s="106"/>
      <c r="AQ56" s="476">
        <f t="shared" si="16"/>
        <v>0</v>
      </c>
      <c r="AR56" s="141"/>
      <c r="AS56" s="791"/>
      <c r="AT56" s="882"/>
      <c r="AU56" s="106"/>
      <c r="AV56" s="476">
        <f t="shared" si="17"/>
        <v>0</v>
      </c>
      <c r="AW56" s="894"/>
      <c r="AX56" s="791"/>
      <c r="AY56" s="882"/>
      <c r="AZ56" s="106"/>
      <c r="BA56" s="476">
        <f t="shared" si="18"/>
        <v>0</v>
      </c>
      <c r="BB56" s="894"/>
      <c r="BC56" s="791"/>
      <c r="BD56" s="882"/>
      <c r="BE56" s="106"/>
      <c r="BF56" s="476">
        <f t="shared" si="19"/>
        <v>0</v>
      </c>
    </row>
    <row r="57" spans="1:58" x14ac:dyDescent="0.35">
      <c r="A57" s="9153"/>
      <c r="B57" s="873"/>
      <c r="C57" s="914"/>
      <c r="F57" s="790"/>
      <c r="H57" s="791"/>
      <c r="I57" s="792"/>
      <c r="J57" s="782">
        <f>IF(H57=0,0,I57/H57)</f>
        <v>0</v>
      </c>
      <c r="L57" s="791"/>
      <c r="M57" s="905">
        <f>L57*J57</f>
        <v>0</v>
      </c>
      <c r="O57" s="791"/>
      <c r="P57" s="882">
        <f>O57*M57</f>
        <v>0</v>
      </c>
      <c r="Q57" s="106"/>
      <c r="R57" s="476">
        <f t="shared" si="0"/>
        <v>0</v>
      </c>
      <c r="T57" s="791"/>
      <c r="U57" s="106"/>
      <c r="V57" s="543">
        <f t="shared" si="1"/>
        <v>0</v>
      </c>
      <c r="X57" s="723"/>
      <c r="Z57" s="791"/>
      <c r="AA57" s="882">
        <f>Z57*X57</f>
        <v>0</v>
      </c>
      <c r="AB57" s="106"/>
      <c r="AC57" s="476">
        <f t="shared" si="13"/>
        <v>0</v>
      </c>
      <c r="AE57" s="791"/>
      <c r="AF57" s="106"/>
      <c r="AG57" s="790">
        <f t="shared" si="14"/>
        <v>0</v>
      </c>
      <c r="AI57" s="915"/>
      <c r="AJ57" s="882"/>
      <c r="AK57" s="106"/>
      <c r="AL57" s="476">
        <f t="shared" si="15"/>
        <v>0</v>
      </c>
      <c r="AM57" s="719"/>
      <c r="AN57" s="915"/>
      <c r="AO57" s="882"/>
      <c r="AP57" s="106"/>
      <c r="AQ57" s="476">
        <f t="shared" si="16"/>
        <v>0</v>
      </c>
      <c r="AS57" s="791"/>
      <c r="AT57" s="882"/>
      <c r="AU57" s="106"/>
      <c r="AV57" s="476">
        <f t="shared" si="17"/>
        <v>0</v>
      </c>
      <c r="AW57" s="719"/>
      <c r="AX57" s="791"/>
      <c r="AY57" s="882"/>
      <c r="AZ57" s="106"/>
      <c r="BA57" s="476">
        <f t="shared" si="18"/>
        <v>0</v>
      </c>
      <c r="BB57" s="719"/>
      <c r="BC57" s="791"/>
      <c r="BD57" s="882"/>
      <c r="BE57" s="106"/>
      <c r="BF57" s="476">
        <f t="shared" si="19"/>
        <v>0</v>
      </c>
    </row>
    <row r="58" spans="1:58" x14ac:dyDescent="0.35">
      <c r="A58" s="9153"/>
      <c r="B58" s="873"/>
      <c r="C58" s="914"/>
      <c r="F58" s="790"/>
      <c r="H58" s="791"/>
      <c r="I58" s="792"/>
      <c r="J58" s="782"/>
      <c r="L58" s="791"/>
      <c r="M58" s="905"/>
      <c r="O58" s="791"/>
      <c r="P58" s="882">
        <f>O58*M58</f>
        <v>0</v>
      </c>
      <c r="Q58" s="106"/>
      <c r="R58" s="476">
        <f t="shared" si="0"/>
        <v>0</v>
      </c>
      <c r="T58" s="791"/>
      <c r="U58" s="106"/>
      <c r="V58" s="543">
        <f t="shared" si="1"/>
        <v>0</v>
      </c>
      <c r="X58" s="723"/>
      <c r="Z58" s="791"/>
      <c r="AA58" s="882">
        <f>Z58*X58</f>
        <v>0</v>
      </c>
      <c r="AB58" s="106"/>
      <c r="AC58" s="476">
        <f t="shared" si="13"/>
        <v>0</v>
      </c>
      <c r="AE58" s="791"/>
      <c r="AF58" s="106"/>
      <c r="AG58" s="790">
        <f t="shared" si="14"/>
        <v>0</v>
      </c>
      <c r="AI58" s="915"/>
      <c r="AJ58" s="882"/>
      <c r="AK58" s="106"/>
      <c r="AL58" s="476">
        <f t="shared" si="15"/>
        <v>0</v>
      </c>
      <c r="AM58" s="719"/>
      <c r="AN58" s="915"/>
      <c r="AO58" s="882"/>
      <c r="AP58" s="106"/>
      <c r="AQ58" s="476">
        <f t="shared" si="16"/>
        <v>0</v>
      </c>
      <c r="AS58" s="791"/>
      <c r="AT58" s="882"/>
      <c r="AU58" s="106"/>
      <c r="AV58" s="476">
        <f t="shared" si="17"/>
        <v>0</v>
      </c>
      <c r="AW58" s="719"/>
      <c r="AX58" s="791"/>
      <c r="AY58" s="882"/>
      <c r="AZ58" s="106"/>
      <c r="BA58" s="476">
        <f t="shared" si="18"/>
        <v>0</v>
      </c>
      <c r="BB58" s="719"/>
      <c r="BC58" s="791"/>
      <c r="BD58" s="882"/>
      <c r="BE58" s="106"/>
      <c r="BF58" s="476">
        <f t="shared" si="19"/>
        <v>0</v>
      </c>
    </row>
    <row r="59" spans="1:58" x14ac:dyDescent="0.35">
      <c r="A59" s="9153"/>
      <c r="B59" s="873"/>
      <c r="C59" s="914"/>
      <c r="F59" s="790"/>
      <c r="H59" s="791"/>
      <c r="I59" s="792"/>
      <c r="J59" s="782">
        <f>IF(H59=0,0,I59/H59)</f>
        <v>0</v>
      </c>
      <c r="L59" s="791"/>
      <c r="M59" s="905">
        <f>L59*J59</f>
        <v>0</v>
      </c>
      <c r="O59" s="791"/>
      <c r="P59" s="882">
        <f>O59*M59</f>
        <v>0</v>
      </c>
      <c r="Q59" s="106"/>
      <c r="R59" s="476">
        <f t="shared" si="0"/>
        <v>0</v>
      </c>
      <c r="T59" s="791"/>
      <c r="U59" s="106"/>
      <c r="V59" s="543">
        <f t="shared" si="1"/>
        <v>0</v>
      </c>
      <c r="X59" s="723"/>
      <c r="Z59" s="791"/>
      <c r="AA59" s="882">
        <f>Z59*X59</f>
        <v>0</v>
      </c>
      <c r="AB59" s="106"/>
      <c r="AC59" s="476">
        <f t="shared" si="13"/>
        <v>0</v>
      </c>
      <c r="AE59" s="791"/>
      <c r="AF59" s="106"/>
      <c r="AG59" s="790">
        <f t="shared" si="14"/>
        <v>0</v>
      </c>
      <c r="AI59" s="915"/>
      <c r="AJ59" s="882"/>
      <c r="AK59" s="106"/>
      <c r="AL59" s="476">
        <f t="shared" si="15"/>
        <v>0</v>
      </c>
      <c r="AM59" s="719"/>
      <c r="AN59" s="915"/>
      <c r="AO59" s="882"/>
      <c r="AP59" s="106"/>
      <c r="AQ59" s="476">
        <f t="shared" si="16"/>
        <v>0</v>
      </c>
      <c r="AS59" s="791"/>
      <c r="AT59" s="882"/>
      <c r="AU59" s="106"/>
      <c r="AV59" s="476">
        <f t="shared" si="17"/>
        <v>0</v>
      </c>
      <c r="AW59" s="719"/>
      <c r="AX59" s="791"/>
      <c r="AY59" s="882"/>
      <c r="AZ59" s="106"/>
      <c r="BA59" s="476">
        <f t="shared" si="18"/>
        <v>0</v>
      </c>
      <c r="BB59" s="719"/>
      <c r="BC59" s="791"/>
      <c r="BD59" s="882"/>
      <c r="BE59" s="106"/>
      <c r="BF59" s="476">
        <f t="shared" si="19"/>
        <v>0</v>
      </c>
    </row>
    <row r="60" spans="1:58" x14ac:dyDescent="0.35">
      <c r="A60" s="9153"/>
      <c r="B60" s="895"/>
      <c r="C60" s="917"/>
      <c r="F60" s="795"/>
      <c r="H60" s="791"/>
      <c r="I60" s="792"/>
      <c r="J60" s="782">
        <f>IF(H60=0,0,I60/H60)</f>
        <v>0</v>
      </c>
      <c r="L60" s="791"/>
      <c r="M60" s="906">
        <f>L60*J60</f>
        <v>0</v>
      </c>
      <c r="O60" s="796"/>
      <c r="P60" s="898">
        <f>M60*O60</f>
        <v>0</v>
      </c>
      <c r="Q60" s="216"/>
      <c r="R60" s="484">
        <f t="shared" si="0"/>
        <v>0</v>
      </c>
      <c r="T60" s="796"/>
      <c r="U60" s="216"/>
      <c r="V60" s="553">
        <f t="shared" si="1"/>
        <v>0</v>
      </c>
      <c r="X60" s="722"/>
      <c r="Z60" s="796"/>
      <c r="AA60" s="898">
        <f>X60*Z60</f>
        <v>0</v>
      </c>
      <c r="AB60" s="216"/>
      <c r="AC60" s="484">
        <f t="shared" si="13"/>
        <v>0</v>
      </c>
      <c r="AE60" s="796"/>
      <c r="AF60" s="216"/>
      <c r="AG60" s="795">
        <f t="shared" si="14"/>
        <v>0</v>
      </c>
      <c r="AI60" s="918"/>
      <c r="AJ60" s="898"/>
      <c r="AK60" s="216"/>
      <c r="AL60" s="484">
        <f t="shared" si="15"/>
        <v>0</v>
      </c>
      <c r="AM60" s="719"/>
      <c r="AN60" s="918"/>
      <c r="AO60" s="898"/>
      <c r="AP60" s="216"/>
      <c r="AQ60" s="484">
        <f t="shared" si="16"/>
        <v>0</v>
      </c>
      <c r="AS60" s="796"/>
      <c r="AT60" s="898"/>
      <c r="AU60" s="216"/>
      <c r="AV60" s="484">
        <f t="shared" si="17"/>
        <v>0</v>
      </c>
      <c r="AW60" s="719"/>
      <c r="AX60" s="796"/>
      <c r="AY60" s="898"/>
      <c r="AZ60" s="216"/>
      <c r="BA60" s="484">
        <f t="shared" si="18"/>
        <v>0</v>
      </c>
      <c r="BB60" s="719"/>
      <c r="BC60" s="796"/>
      <c r="BD60" s="898"/>
      <c r="BE60" s="216"/>
      <c r="BF60" s="484">
        <f t="shared" si="19"/>
        <v>0</v>
      </c>
    </row>
    <row r="61" spans="1:58" x14ac:dyDescent="0.35">
      <c r="A61" s="9153"/>
      <c r="B61" s="139" t="s">
        <v>552</v>
      </c>
      <c r="C61" s="908"/>
      <c r="F61" s="870"/>
      <c r="G61" s="457"/>
      <c r="H61" s="773"/>
      <c r="I61" s="774"/>
      <c r="J61" s="776"/>
      <c r="K61" s="457"/>
      <c r="L61" s="773"/>
      <c r="M61" s="910"/>
      <c r="O61" s="919"/>
      <c r="P61" s="920"/>
      <c r="Q61" s="106"/>
      <c r="R61" s="476"/>
      <c r="T61" s="919"/>
      <c r="U61" s="106"/>
      <c r="V61" s="476"/>
      <c r="X61" s="723"/>
      <c r="Z61" s="919"/>
      <c r="AA61" s="920"/>
      <c r="AB61" s="106"/>
      <c r="AC61" s="476"/>
      <c r="AE61" s="919"/>
      <c r="AF61" s="106"/>
      <c r="AG61" s="168"/>
      <c r="AI61" s="919"/>
      <c r="AJ61" s="920"/>
      <c r="AK61" s="106"/>
      <c r="AL61" s="476"/>
      <c r="AM61" s="719"/>
      <c r="AN61" s="919"/>
      <c r="AO61" s="920"/>
      <c r="AP61" s="106"/>
      <c r="AQ61" s="476"/>
      <c r="AS61" s="919"/>
      <c r="AT61" s="920"/>
      <c r="AU61" s="106"/>
      <c r="AV61" s="476"/>
      <c r="AW61" s="719"/>
      <c r="AX61" s="919"/>
      <c r="AY61" s="920"/>
      <c r="AZ61" s="106"/>
      <c r="BA61" s="476"/>
      <c r="BB61" s="719"/>
      <c r="BC61" s="919"/>
      <c r="BD61" s="920"/>
      <c r="BE61" s="106"/>
      <c r="BF61" s="476"/>
    </row>
    <row r="62" spans="1:58" x14ac:dyDescent="0.35">
      <c r="A62" s="9153"/>
      <c r="B62" s="65"/>
      <c r="C62" s="921" t="s">
        <v>553</v>
      </c>
      <c r="F62" s="779"/>
      <c r="H62" s="780"/>
      <c r="I62" s="781"/>
      <c r="J62" s="782">
        <f>IF(H62=0,0,I62/H62)</f>
        <v>0</v>
      </c>
      <c r="L62" s="780"/>
      <c r="M62" s="902">
        <f>M28*M64</f>
        <v>0</v>
      </c>
      <c r="O62" s="242"/>
      <c r="P62" s="201"/>
      <c r="Q62" s="106"/>
      <c r="R62" s="476">
        <f>IF(O62=0,0,P62/O62)</f>
        <v>0</v>
      </c>
      <c r="T62" s="242"/>
      <c r="U62" s="106"/>
      <c r="V62" s="476">
        <f t="shared" si="1"/>
        <v>0</v>
      </c>
      <c r="X62" s="723"/>
      <c r="Z62" s="242"/>
      <c r="AA62" s="201"/>
      <c r="AB62" s="106"/>
      <c r="AC62" s="476">
        <f>IF(Z62=0,0,AA62/Z62)</f>
        <v>0</v>
      </c>
      <c r="AE62" s="242"/>
      <c r="AF62" s="106"/>
      <c r="AG62" s="163">
        <f>AE62*AC62</f>
        <v>0</v>
      </c>
      <c r="AI62" s="242"/>
      <c r="AJ62" s="201"/>
      <c r="AK62" s="106"/>
      <c r="AL62" s="476">
        <f>IF(AI62=0,0,AJ62/AI62)</f>
        <v>0</v>
      </c>
      <c r="AM62" s="719"/>
      <c r="AN62" s="242"/>
      <c r="AO62" s="201"/>
      <c r="AP62" s="106"/>
      <c r="AQ62" s="476">
        <f>IF(AN62=0,0,AO62/AN62)</f>
        <v>0</v>
      </c>
      <c r="AS62" s="242"/>
      <c r="AT62" s="201"/>
      <c r="AU62" s="106"/>
      <c r="AV62" s="476">
        <f>IF(AS62=0,0,AT62/AS62)</f>
        <v>0</v>
      </c>
      <c r="AW62" s="719"/>
      <c r="AX62" s="242"/>
      <c r="AY62" s="201"/>
      <c r="AZ62" s="106"/>
      <c r="BA62" s="476">
        <f>IF(AX62=0,0,AY62/AX62)</f>
        <v>0</v>
      </c>
      <c r="BB62" s="719"/>
      <c r="BC62" s="242"/>
      <c r="BD62" s="201"/>
      <c r="BE62" s="106"/>
      <c r="BF62" s="476">
        <f>IF(BC62=0,0,BD62/BC62)</f>
        <v>0</v>
      </c>
    </row>
    <row r="63" spans="1:58" x14ac:dyDescent="0.35">
      <c r="A63" s="9153"/>
      <c r="B63" s="80"/>
      <c r="C63" s="921" t="s">
        <v>554</v>
      </c>
      <c r="F63" s="788"/>
      <c r="H63" s="785"/>
      <c r="I63" s="786"/>
      <c r="J63" s="782"/>
      <c r="L63" s="785"/>
      <c r="M63" s="905"/>
      <c r="O63" s="242"/>
      <c r="P63" s="201"/>
      <c r="Q63" s="106"/>
      <c r="R63" s="476">
        <f>IF(O63=0,0,P63/O63)</f>
        <v>0</v>
      </c>
      <c r="T63" s="242"/>
      <c r="U63" s="106"/>
      <c r="V63" s="476">
        <f t="shared" si="1"/>
        <v>0</v>
      </c>
      <c r="X63" s="723"/>
      <c r="Z63" s="242"/>
      <c r="AA63" s="201"/>
      <c r="AB63" s="106"/>
      <c r="AC63" s="476">
        <f>IF(Z63=0,0,AA63/Z63)</f>
        <v>0</v>
      </c>
      <c r="AE63" s="242"/>
      <c r="AF63" s="106"/>
      <c r="AG63" s="163">
        <f>AE63*AC63</f>
        <v>0</v>
      </c>
      <c r="AI63" s="242"/>
      <c r="AJ63" s="201"/>
      <c r="AK63" s="106"/>
      <c r="AL63" s="476">
        <f>IF(AI63=0,0,AJ63/AI63)</f>
        <v>0</v>
      </c>
      <c r="AM63" s="719"/>
      <c r="AN63" s="242"/>
      <c r="AO63" s="201"/>
      <c r="AP63" s="106"/>
      <c r="AQ63" s="476">
        <f>IF(AN63=0,0,AO63/AN63)</f>
        <v>0</v>
      </c>
      <c r="AS63" s="242"/>
      <c r="AT63" s="201"/>
      <c r="AU63" s="106"/>
      <c r="AV63" s="476">
        <f>IF(AS63=0,0,AT63/AS63)</f>
        <v>0</v>
      </c>
      <c r="AW63" s="719"/>
      <c r="AX63" s="242"/>
      <c r="AY63" s="201"/>
      <c r="AZ63" s="106"/>
      <c r="BA63" s="476">
        <f>IF(AX63=0,0,AY63/AX63)</f>
        <v>0</v>
      </c>
      <c r="BB63" s="719"/>
      <c r="BC63" s="242"/>
      <c r="BD63" s="201"/>
      <c r="BE63" s="106"/>
      <c r="BF63" s="476">
        <f>IF(BC63=0,0,BD63/BC63)</f>
        <v>0</v>
      </c>
    </row>
    <row r="64" spans="1:58" x14ac:dyDescent="0.35">
      <c r="A64" s="9153"/>
      <c r="B64" s="922"/>
      <c r="C64" s="923" t="s">
        <v>555</v>
      </c>
      <c r="F64" s="924"/>
      <c r="H64" s="925"/>
      <c r="I64" s="926"/>
      <c r="J64" s="798"/>
      <c r="L64" s="925"/>
      <c r="M64" s="927"/>
      <c r="O64" s="242"/>
      <c r="P64" s="201"/>
      <c r="Q64" s="216"/>
      <c r="R64" s="476">
        <f>IF(O64=0,0,P64/O64)</f>
        <v>0</v>
      </c>
      <c r="T64" s="242"/>
      <c r="U64" s="216"/>
      <c r="V64" s="476">
        <f t="shared" si="1"/>
        <v>0</v>
      </c>
      <c r="X64" s="722"/>
      <c r="Z64" s="242"/>
      <c r="AA64" s="201"/>
      <c r="AB64" s="216"/>
      <c r="AC64" s="476">
        <f>IF(Z64=0,0,AA64/Z64)</f>
        <v>0</v>
      </c>
      <c r="AE64" s="242"/>
      <c r="AF64" s="216"/>
      <c r="AG64" s="163">
        <f>AE64*AC64</f>
        <v>0</v>
      </c>
      <c r="AI64" s="242"/>
      <c r="AJ64" s="201"/>
      <c r="AK64" s="216"/>
      <c r="AL64" s="476">
        <f>IF(AI64=0,0,AJ64/AI64)</f>
        <v>0</v>
      </c>
      <c r="AM64" s="719"/>
      <c r="AN64" s="242"/>
      <c r="AO64" s="201"/>
      <c r="AP64" s="216"/>
      <c r="AQ64" s="476">
        <f>IF(AN64=0,0,AO64/AN64)</f>
        <v>0</v>
      </c>
      <c r="AS64" s="242"/>
      <c r="AT64" s="201"/>
      <c r="AU64" s="216"/>
      <c r="AV64" s="476">
        <f>IF(AS64=0,0,AT64/AS64)</f>
        <v>0</v>
      </c>
      <c r="AW64" s="719"/>
      <c r="AX64" s="242"/>
      <c r="AY64" s="201"/>
      <c r="AZ64" s="216"/>
      <c r="BA64" s="476">
        <f>IF(AX64=0,0,AY64/AX64)</f>
        <v>0</v>
      </c>
      <c r="BB64" s="719"/>
      <c r="BC64" s="242"/>
      <c r="BD64" s="201"/>
      <c r="BE64" s="216"/>
      <c r="BF64" s="476">
        <f>IF(BC64=0,0,BD64/BC64)</f>
        <v>0</v>
      </c>
    </row>
    <row r="65" spans="1:58" x14ac:dyDescent="0.35">
      <c r="A65" s="9153"/>
      <c r="B65" s="287" t="s">
        <v>556</v>
      </c>
      <c r="C65" s="288"/>
      <c r="E65" s="457"/>
      <c r="F65" s="289"/>
      <c r="H65" s="928"/>
      <c r="I65" s="929"/>
      <c r="J65" s="930"/>
      <c r="L65" s="928"/>
      <c r="M65" s="931"/>
      <c r="N65" s="143"/>
      <c r="O65" s="928"/>
      <c r="P65" s="929"/>
      <c r="Q65" s="106"/>
      <c r="R65" s="293"/>
      <c r="T65" s="291"/>
      <c r="U65" s="106"/>
      <c r="V65" s="268"/>
      <c r="X65" s="718"/>
      <c r="Z65" s="928"/>
      <c r="AA65" s="929"/>
      <c r="AB65" s="106"/>
      <c r="AC65" s="293"/>
      <c r="AE65" s="928"/>
      <c r="AF65" s="106"/>
      <c r="AG65" s="289"/>
      <c r="AI65" s="928"/>
      <c r="AJ65" s="929"/>
      <c r="AK65" s="106"/>
      <c r="AL65" s="293"/>
      <c r="AM65" s="719"/>
      <c r="AN65" s="928"/>
      <c r="AO65" s="929"/>
      <c r="AP65" s="106"/>
      <c r="AQ65" s="293"/>
      <c r="AS65" s="3943"/>
      <c r="AT65" s="3944"/>
      <c r="AU65" s="106"/>
      <c r="AV65" s="293"/>
      <c r="AW65" s="719"/>
      <c r="AX65" s="3943"/>
      <c r="AY65" s="3944"/>
      <c r="AZ65" s="106"/>
      <c r="BA65" s="293"/>
      <c r="BB65" s="719"/>
      <c r="BC65" s="3943"/>
      <c r="BD65" s="3944"/>
      <c r="BE65" s="106"/>
      <c r="BF65" s="293"/>
    </row>
    <row r="66" spans="1:58" x14ac:dyDescent="0.35">
      <c r="A66" s="9153"/>
      <c r="B66" s="302"/>
      <c r="C66" s="59" t="s">
        <v>532</v>
      </c>
      <c r="F66" s="521"/>
      <c r="G66" s="457"/>
      <c r="H66" s="304"/>
      <c r="I66" s="932"/>
      <c r="J66" s="890">
        <f>IF(H66=0,0,I66/H66)</f>
        <v>0</v>
      </c>
      <c r="K66" s="457"/>
      <c r="L66" s="304"/>
      <c r="M66" s="933">
        <f>L66*J66</f>
        <v>0</v>
      </c>
      <c r="O66" s="304"/>
      <c r="P66" s="932"/>
      <c r="Q66" s="332"/>
      <c r="R66" s="523">
        <f>IF(O66=0,0,P66/O66)</f>
        <v>0</v>
      </c>
      <c r="T66" s="304"/>
      <c r="U66" s="332"/>
      <c r="V66" s="157">
        <f>T66*R66</f>
        <v>0</v>
      </c>
      <c r="X66" s="723"/>
      <c r="Z66" s="304"/>
      <c r="AA66" s="932"/>
      <c r="AB66" s="332"/>
      <c r="AC66" s="523">
        <f>IF(Z66=0,0,AA66/Z66)</f>
        <v>0</v>
      </c>
      <c r="AE66" s="304"/>
      <c r="AF66" s="332"/>
      <c r="AG66" s="521">
        <f>AE66*AC66</f>
        <v>0</v>
      </c>
      <c r="AI66" s="304"/>
      <c r="AJ66" s="932"/>
      <c r="AK66" s="332"/>
      <c r="AL66" s="523">
        <f>IF(AI66=0,0,AJ66/AI66)</f>
        <v>0</v>
      </c>
      <c r="AM66" s="719"/>
      <c r="AN66" s="304"/>
      <c r="AO66" s="932"/>
      <c r="AP66" s="332"/>
      <c r="AQ66" s="523">
        <f>IF(AN66=0,0,AO66/AN66)</f>
        <v>0</v>
      </c>
      <c r="AS66" s="304"/>
      <c r="AT66" s="932"/>
      <c r="AU66" s="332"/>
      <c r="AV66" s="523">
        <f>IF(AS66=0,0,AT66/AS66)</f>
        <v>0</v>
      </c>
      <c r="AW66" s="719"/>
      <c r="AX66" s="304"/>
      <c r="AY66" s="932"/>
      <c r="AZ66" s="332"/>
      <c r="BA66" s="523">
        <f>IF(AX66=0,0,AY66/AX66)</f>
        <v>0</v>
      </c>
      <c r="BB66" s="719"/>
      <c r="BC66" s="304"/>
      <c r="BD66" s="932"/>
      <c r="BE66" s="332"/>
      <c r="BF66" s="523">
        <f>IF(BC66=0,0,BD66/BC66)</f>
        <v>0</v>
      </c>
    </row>
    <row r="67" spans="1:58" x14ac:dyDescent="0.35">
      <c r="A67" s="9153"/>
      <c r="B67" s="302"/>
      <c r="C67" s="59" t="s">
        <v>533</v>
      </c>
      <c r="F67" s="61"/>
      <c r="H67" s="62"/>
      <c r="I67" s="72"/>
      <c r="J67" s="782">
        <f>IF(H67=0,0,I67/H67)</f>
        <v>0</v>
      </c>
      <c r="L67" s="62"/>
      <c r="M67" s="934">
        <f>L67*J67</f>
        <v>0</v>
      </c>
      <c r="O67" s="62"/>
      <c r="P67" s="72"/>
      <c r="Q67" s="106"/>
      <c r="R67" s="523">
        <f>IF(O67=0,0,P67/O67)</f>
        <v>0</v>
      </c>
      <c r="T67" s="62"/>
      <c r="U67" s="106"/>
      <c r="V67" s="157">
        <f>T67*R67</f>
        <v>0</v>
      </c>
      <c r="X67" s="723"/>
      <c r="Z67" s="62"/>
      <c r="AA67" s="72"/>
      <c r="AB67" s="106"/>
      <c r="AC67" s="523">
        <f>IF(Z67=0,0,AA67/Z67)</f>
        <v>0</v>
      </c>
      <c r="AE67" s="62"/>
      <c r="AF67" s="106"/>
      <c r="AG67" s="61">
        <f>AE67*AC67</f>
        <v>0</v>
      </c>
      <c r="AI67" s="62"/>
      <c r="AJ67" s="72"/>
      <c r="AK67" s="106"/>
      <c r="AL67" s="523">
        <f>IF(AI67=0,0,AJ67/AI67)</f>
        <v>0</v>
      </c>
      <c r="AM67" s="719"/>
      <c r="AN67" s="62"/>
      <c r="AO67" s="72"/>
      <c r="AP67" s="106"/>
      <c r="AQ67" s="523">
        <f>IF(AN67=0,0,AO67/AN67)</f>
        <v>0</v>
      </c>
      <c r="AS67" s="62"/>
      <c r="AT67" s="72"/>
      <c r="AU67" s="106"/>
      <c r="AV67" s="523">
        <f>IF(AS67=0,0,AT67/AS67)</f>
        <v>0</v>
      </c>
      <c r="AW67" s="719"/>
      <c r="AX67" s="62"/>
      <c r="AY67" s="72"/>
      <c r="AZ67" s="106"/>
      <c r="BA67" s="523">
        <f>IF(AX67=0,0,AY67/AX67)</f>
        <v>0</v>
      </c>
      <c r="BB67" s="719"/>
      <c r="BC67" s="62"/>
      <c r="BD67" s="72"/>
      <c r="BE67" s="106"/>
      <c r="BF67" s="523">
        <f>IF(BC67=0,0,BD67/BC67)</f>
        <v>0</v>
      </c>
    </row>
    <row r="68" spans="1:58" x14ac:dyDescent="0.35">
      <c r="A68" s="9153"/>
      <c r="B68" s="305"/>
      <c r="C68" s="59" t="s">
        <v>534</v>
      </c>
      <c r="F68" s="61"/>
      <c r="H68" s="62"/>
      <c r="I68" s="72"/>
      <c r="J68" s="782">
        <f>IF(H68=0,0,I68/H68)</f>
        <v>0</v>
      </c>
      <c r="L68" s="62"/>
      <c r="M68" s="934">
        <f>L68*J68</f>
        <v>0</v>
      </c>
      <c r="O68" s="62"/>
      <c r="P68" s="72"/>
      <c r="Q68" s="106"/>
      <c r="R68" s="523">
        <f>IF(O68=0,0,P68/O68)</f>
        <v>0</v>
      </c>
      <c r="T68" s="62"/>
      <c r="U68" s="106"/>
      <c r="V68" s="157">
        <f>T68*R68</f>
        <v>0</v>
      </c>
      <c r="X68" s="723"/>
      <c r="Z68" s="62"/>
      <c r="AA68" s="72"/>
      <c r="AB68" s="106"/>
      <c r="AC68" s="523">
        <f>IF(Z68=0,0,AA68/Z68)</f>
        <v>0</v>
      </c>
      <c r="AE68" s="62"/>
      <c r="AF68" s="106"/>
      <c r="AG68" s="61">
        <f>AE68*AC68</f>
        <v>0</v>
      </c>
      <c r="AI68" s="62"/>
      <c r="AJ68" s="72"/>
      <c r="AK68" s="106"/>
      <c r="AL68" s="523">
        <f>IF(AI68=0,0,AJ68/AI68)</f>
        <v>0</v>
      </c>
      <c r="AM68" s="719"/>
      <c r="AN68" s="62"/>
      <c r="AO68" s="72"/>
      <c r="AP68" s="106"/>
      <c r="AQ68" s="523">
        <f>IF(AN68=0,0,AO68/AN68)</f>
        <v>0</v>
      </c>
      <c r="AS68" s="62"/>
      <c r="AT68" s="72"/>
      <c r="AU68" s="106"/>
      <c r="AV68" s="523">
        <f>IF(AS68=0,0,AT68/AS68)</f>
        <v>0</v>
      </c>
      <c r="AW68" s="719"/>
      <c r="AX68" s="62"/>
      <c r="AY68" s="72"/>
      <c r="AZ68" s="106"/>
      <c r="BA68" s="523">
        <f>IF(AX68=0,0,AY68/AX68)</f>
        <v>0</v>
      </c>
      <c r="BB68" s="719"/>
      <c r="BC68" s="62"/>
      <c r="BD68" s="72"/>
      <c r="BE68" s="106"/>
      <c r="BF68" s="523">
        <f>IF(BC68=0,0,BD68/BC68)</f>
        <v>0</v>
      </c>
    </row>
    <row r="69" spans="1:58" x14ac:dyDescent="0.35">
      <c r="A69" s="9154"/>
      <c r="B69" s="306"/>
      <c r="C69" s="86" t="s">
        <v>536</v>
      </c>
      <c r="F69" s="88"/>
      <c r="H69" s="89"/>
      <c r="I69" s="308"/>
      <c r="J69" s="798">
        <f>IF(H69=0,0,I69/H69)</f>
        <v>0</v>
      </c>
      <c r="L69" s="89"/>
      <c r="M69" s="935">
        <f>L69*J69</f>
        <v>0</v>
      </c>
      <c r="O69" s="89"/>
      <c r="P69" s="308"/>
      <c r="Q69" s="216"/>
      <c r="R69" s="527">
        <f>IF(O69=0,0,P69/O69)</f>
        <v>0</v>
      </c>
      <c r="T69" s="89"/>
      <c r="U69" s="216"/>
      <c r="V69" s="213">
        <f>T69*R69</f>
        <v>0</v>
      </c>
      <c r="X69" s="722"/>
      <c r="Z69" s="89"/>
      <c r="AA69" s="308"/>
      <c r="AB69" s="216"/>
      <c r="AC69" s="527">
        <f>IF(Z69=0,0,AA69/Z69)</f>
        <v>0</v>
      </c>
      <c r="AE69" s="89"/>
      <c r="AF69" s="216"/>
      <c r="AG69" s="88">
        <f>AE69*AC69</f>
        <v>0</v>
      </c>
      <c r="AI69" s="89"/>
      <c r="AJ69" s="308"/>
      <c r="AK69" s="216"/>
      <c r="AL69" s="527">
        <f>IF(AI69=0,0,AJ69/AI69)</f>
        <v>0</v>
      </c>
      <c r="AM69" s="719"/>
      <c r="AN69" s="89"/>
      <c r="AO69" s="308"/>
      <c r="AP69" s="216"/>
      <c r="AQ69" s="527">
        <f>IF(AN69=0,0,AO69/AN69)</f>
        <v>0</v>
      </c>
      <c r="AS69" s="89"/>
      <c r="AT69" s="308"/>
      <c r="AU69" s="216"/>
      <c r="AV69" s="527">
        <f>IF(AS69=0,0,AT69/AS69)</f>
        <v>0</v>
      </c>
      <c r="AW69" s="719"/>
      <c r="AX69" s="89"/>
      <c r="AY69" s="308"/>
      <c r="AZ69" s="216"/>
      <c r="BA69" s="527">
        <f>IF(AX69=0,0,AY69/AX69)</f>
        <v>0</v>
      </c>
      <c r="BB69" s="719"/>
      <c r="BC69" s="89"/>
      <c r="BD69" s="308"/>
      <c r="BE69" s="216"/>
      <c r="BF69" s="527">
        <f>IF(BC69=0,0,BD69/BC69)</f>
        <v>0</v>
      </c>
    </row>
    <row r="70" spans="1:58" x14ac:dyDescent="0.35">
      <c r="A70" s="936"/>
      <c r="B70" s="936"/>
      <c r="E70" s="457"/>
      <c r="F70" s="847"/>
      <c r="H70" s="847"/>
      <c r="I70" s="847"/>
      <c r="J70" s="937"/>
      <c r="L70" s="847"/>
      <c r="M70" s="938"/>
      <c r="O70" s="106"/>
      <c r="P70" s="106"/>
      <c r="Q70" s="106"/>
      <c r="R70" s="558"/>
      <c r="T70" s="106"/>
      <c r="U70" s="106"/>
      <c r="V70" s="312"/>
      <c r="Z70" s="106"/>
      <c r="AA70" s="106"/>
      <c r="AB70" s="106"/>
      <c r="AC70" s="558"/>
      <c r="AE70" s="106"/>
      <c r="AF70" s="106"/>
      <c r="AG70" s="106"/>
      <c r="AJ70" s="313" t="s">
        <v>557</v>
      </c>
      <c r="AK70" s="106"/>
      <c r="AL70" s="558"/>
      <c r="AN70" s="313" t="s">
        <v>557</v>
      </c>
      <c r="AO70" s="106"/>
      <c r="AP70" s="106"/>
      <c r="AQ70" s="558"/>
      <c r="AT70" s="313" t="s">
        <v>557</v>
      </c>
      <c r="AU70" s="106"/>
      <c r="AV70" s="558"/>
      <c r="AX70" s="313" t="s">
        <v>557</v>
      </c>
      <c r="AY70" s="106"/>
      <c r="AZ70" s="106"/>
      <c r="BA70" s="558"/>
      <c r="BC70" s="313" t="s">
        <v>558</v>
      </c>
      <c r="BD70" s="106"/>
      <c r="BE70" s="106"/>
      <c r="BF70" s="558"/>
    </row>
    <row r="71" spans="1:58" customFormat="1" x14ac:dyDescent="0.35">
      <c r="A71" s="9159" t="s">
        <v>559</v>
      </c>
      <c r="B71" s="939" t="s">
        <v>560</v>
      </c>
      <c r="C71" s="940"/>
      <c r="D71" s="184"/>
      <c r="E71" s="1"/>
      <c r="F71" s="316"/>
      <c r="G71" s="290"/>
      <c r="H71" s="941"/>
      <c r="I71" s="942"/>
      <c r="J71" s="293"/>
      <c r="K71" s="1"/>
      <c r="L71" s="317"/>
      <c r="M71" s="268"/>
      <c r="N71" s="1"/>
      <c r="O71" s="941"/>
      <c r="P71" s="942"/>
      <c r="Q71" s="103"/>
      <c r="R71" s="293"/>
      <c r="S71" s="1"/>
      <c r="T71" s="317"/>
      <c r="U71" s="103"/>
      <c r="V71" s="323"/>
      <c r="W71" s="1"/>
      <c r="X71" s="18"/>
      <c r="Z71" s="941"/>
      <c r="AA71" s="942"/>
      <c r="AB71" s="103"/>
      <c r="AC71" s="293"/>
      <c r="AD71" s="1"/>
      <c r="AE71" s="941"/>
      <c r="AF71" s="103"/>
      <c r="AG71" s="316"/>
      <c r="AH71" s="1"/>
      <c r="AI71" s="941"/>
      <c r="AJ71" s="942"/>
      <c r="AK71" s="103"/>
      <c r="AL71" s="293"/>
      <c r="AM71" s="943"/>
      <c r="AN71" s="941"/>
      <c r="AO71" s="942"/>
      <c r="AP71" s="103"/>
      <c r="AQ71" s="293"/>
      <c r="AR71" s="1"/>
      <c r="AS71" s="3943"/>
      <c r="AT71" s="3944"/>
      <c r="AU71" s="103"/>
      <c r="AV71" s="293"/>
      <c r="AW71" s="943"/>
      <c r="AX71" s="3943"/>
      <c r="AY71" s="3944"/>
      <c r="AZ71" s="103"/>
      <c r="BA71" s="293"/>
      <c r="BB71" s="943"/>
      <c r="BC71" s="3943"/>
      <c r="BD71" s="3944" t="s">
        <v>561</v>
      </c>
      <c r="BE71" s="103"/>
      <c r="BF71" s="293"/>
    </row>
    <row r="72" spans="1:58" customFormat="1" x14ac:dyDescent="0.35">
      <c r="A72" s="9160"/>
      <c r="B72" s="944"/>
      <c r="C72" s="945" t="s">
        <v>562</v>
      </c>
      <c r="D72" s="197"/>
      <c r="E72" s="1"/>
      <c r="F72" s="327"/>
      <c r="G72" s="272"/>
      <c r="H72" s="325"/>
      <c r="I72" s="946"/>
      <c r="J72" s="523">
        <f t="shared" ref="J72:J80" si="20">IF(H72=0,0,I72/H72)</f>
        <v>0</v>
      </c>
      <c r="K72" s="1"/>
      <c r="L72" s="325"/>
      <c r="M72" s="157">
        <f t="shared" ref="M72:M80" si="21">L72*J72</f>
        <v>0</v>
      </c>
      <c r="N72" s="1"/>
      <c r="O72" s="325"/>
      <c r="P72" s="947"/>
      <c r="Q72" s="332"/>
      <c r="R72" s="523">
        <f t="shared" ref="R72:R80" si="22">IF(O72=0,0,P72/O72)</f>
        <v>0</v>
      </c>
      <c r="S72" s="1"/>
      <c r="T72" s="325"/>
      <c r="U72" s="332"/>
      <c r="V72" s="333">
        <f t="shared" ref="V72:V80" si="23">T72*R72</f>
        <v>0</v>
      </c>
      <c r="W72" s="1"/>
      <c r="X72" s="26"/>
      <c r="Z72" s="325"/>
      <c r="AA72" s="947"/>
      <c r="AB72" s="332"/>
      <c r="AC72" s="523">
        <f t="shared" ref="AC72:AC80" si="24">IF(Z72=0,0,AA72/Z72)</f>
        <v>0</v>
      </c>
      <c r="AD72" s="1"/>
      <c r="AE72" s="325"/>
      <c r="AF72" s="332"/>
      <c r="AG72" s="327">
        <f t="shared" ref="AG72:AG80" si="25">AE72*AC72</f>
        <v>0</v>
      </c>
      <c r="AH72" s="1"/>
      <c r="AI72" s="330">
        <v>32685.169611000001</v>
      </c>
      <c r="AJ72" s="331">
        <v>21353</v>
      </c>
      <c r="AK72" s="57" t="s">
        <v>563</v>
      </c>
      <c r="AL72" s="523">
        <f t="shared" ref="AL72:AL80" si="26">IF(AI72=0,0,AJ72/AI72)</f>
        <v>0.65329322913514187</v>
      </c>
      <c r="AM72" s="943"/>
      <c r="AN72" s="330">
        <v>24054.234315999998</v>
      </c>
      <c r="AO72" s="106">
        <f>AN72</f>
        <v>24054.234315999998</v>
      </c>
      <c r="AP72" s="57" t="s">
        <v>563</v>
      </c>
      <c r="AQ72" s="523">
        <f t="shared" ref="AQ72:AQ80" si="27">IF(AN72=0,0,AO72/AN72)</f>
        <v>1</v>
      </c>
      <c r="AR72" s="1"/>
      <c r="AS72" s="330">
        <v>24054.234</v>
      </c>
      <c r="AT72" s="331"/>
      <c r="AU72" s="57"/>
      <c r="AV72" s="523"/>
      <c r="AW72" s="943"/>
      <c r="AX72" s="330">
        <v>17369.057000000001</v>
      </c>
      <c r="AY72" s="6122">
        <v>21007</v>
      </c>
      <c r="AZ72" s="57" t="s">
        <v>564</v>
      </c>
      <c r="BA72" s="523">
        <f t="shared" ref="BA72:BA80" si="28">IF(AX72=0,0,AY72/AX72)</f>
        <v>1.2094496552115639</v>
      </c>
      <c r="BB72" s="943"/>
      <c r="BC72" s="330">
        <v>22186.199364</v>
      </c>
      <c r="BD72" s="6122">
        <v>19135</v>
      </c>
      <c r="BE72" s="57"/>
      <c r="BF72" s="523">
        <f t="shared" ref="BF72:BF80" si="29">IF(BC72=0,0,BD72/BC72)</f>
        <v>0.86247309356865476</v>
      </c>
    </row>
    <row r="73" spans="1:58" customFormat="1" x14ac:dyDescent="0.35">
      <c r="A73" s="9160"/>
      <c r="B73" s="944"/>
      <c r="C73" s="945" t="s">
        <v>565</v>
      </c>
      <c r="D73" s="197"/>
      <c r="E73" s="1"/>
      <c r="F73" s="336"/>
      <c r="G73" s="272"/>
      <c r="H73" s="330"/>
      <c r="I73" s="948"/>
      <c r="J73" s="523">
        <f t="shared" si="20"/>
        <v>0</v>
      </c>
      <c r="K73" s="1"/>
      <c r="L73" s="330"/>
      <c r="M73" s="157">
        <f t="shared" si="21"/>
        <v>0</v>
      </c>
      <c r="N73" s="1"/>
      <c r="O73" s="330"/>
      <c r="P73" s="331"/>
      <c r="Q73" s="106"/>
      <c r="R73" s="523">
        <f t="shared" si="22"/>
        <v>0</v>
      </c>
      <c r="S73" s="1"/>
      <c r="T73" s="330"/>
      <c r="U73" s="106"/>
      <c r="V73" s="333">
        <f t="shared" si="23"/>
        <v>0</v>
      </c>
      <c r="W73" s="1"/>
      <c r="X73" s="26"/>
      <c r="Z73" s="330"/>
      <c r="AA73" s="331"/>
      <c r="AB73" s="106"/>
      <c r="AC73" s="523">
        <f t="shared" si="24"/>
        <v>0</v>
      </c>
      <c r="AD73" s="1"/>
      <c r="AE73" s="330"/>
      <c r="AF73" s="106"/>
      <c r="AG73" s="336">
        <f t="shared" si="25"/>
        <v>0</v>
      </c>
      <c r="AH73" s="1"/>
      <c r="AI73" s="330"/>
      <c r="AJ73" s="331"/>
      <c r="AK73" s="106"/>
      <c r="AL73" s="523">
        <f t="shared" si="26"/>
        <v>0</v>
      </c>
      <c r="AM73" s="943"/>
      <c r="AN73" s="330"/>
      <c r="AO73" s="331"/>
      <c r="AP73" s="106"/>
      <c r="AQ73" s="523">
        <f t="shared" si="27"/>
        <v>0</v>
      </c>
      <c r="AR73" s="1"/>
      <c r="AS73" s="330"/>
      <c r="AT73" s="331"/>
      <c r="AU73" s="106"/>
      <c r="AV73" s="523">
        <f t="shared" ref="AV73:AV80" si="30">IF(AS73=0,0,AT73/AS73)</f>
        <v>0</v>
      </c>
      <c r="AW73" s="943"/>
      <c r="AX73" s="330"/>
      <c r="AY73" s="331"/>
      <c r="AZ73" s="106"/>
      <c r="BA73" s="523">
        <f t="shared" si="28"/>
        <v>0</v>
      </c>
      <c r="BB73" s="943"/>
      <c r="BC73" s="330"/>
      <c r="BD73" s="331"/>
      <c r="BE73" s="106"/>
      <c r="BF73" s="523">
        <f t="shared" si="29"/>
        <v>0</v>
      </c>
    </row>
    <row r="74" spans="1:58" customFormat="1" x14ac:dyDescent="0.35">
      <c r="A74" s="9160"/>
      <c r="B74" s="944"/>
      <c r="C74" s="945"/>
      <c r="D74" s="197"/>
      <c r="E74" s="1"/>
      <c r="F74" s="336"/>
      <c r="G74" s="272"/>
      <c r="H74" s="330"/>
      <c r="I74" s="948"/>
      <c r="J74" s="523">
        <f t="shared" si="20"/>
        <v>0</v>
      </c>
      <c r="K74" s="1"/>
      <c r="L74" s="330"/>
      <c r="M74" s="157">
        <f t="shared" si="21"/>
        <v>0</v>
      </c>
      <c r="N74" s="1"/>
      <c r="O74" s="330"/>
      <c r="P74" s="331"/>
      <c r="Q74" s="106"/>
      <c r="R74" s="523">
        <f t="shared" si="22"/>
        <v>0</v>
      </c>
      <c r="S74" s="1"/>
      <c r="T74" s="330"/>
      <c r="U74" s="106"/>
      <c r="V74" s="333">
        <f t="shared" si="23"/>
        <v>0</v>
      </c>
      <c r="W74" s="1"/>
      <c r="X74" s="26"/>
      <c r="Z74" s="330"/>
      <c r="AA74" s="331"/>
      <c r="AB74" s="106"/>
      <c r="AC74" s="523">
        <f t="shared" si="24"/>
        <v>0</v>
      </c>
      <c r="AD74" s="1"/>
      <c r="AE74" s="330"/>
      <c r="AF74" s="106"/>
      <c r="AG74" s="336">
        <f t="shared" si="25"/>
        <v>0</v>
      </c>
      <c r="AH74" s="1"/>
      <c r="AI74" s="330"/>
      <c r="AJ74" s="331"/>
      <c r="AK74" s="106"/>
      <c r="AL74" s="523">
        <f t="shared" si="26"/>
        <v>0</v>
      </c>
      <c r="AM74" s="943"/>
      <c r="AN74" s="330"/>
      <c r="AO74" s="331"/>
      <c r="AP74" s="106"/>
      <c r="AQ74" s="523">
        <f t="shared" si="27"/>
        <v>0</v>
      </c>
      <c r="AR74" s="1"/>
      <c r="AS74" s="330"/>
      <c r="AT74" s="331"/>
      <c r="AU74" s="106"/>
      <c r="AV74" s="523">
        <f t="shared" si="30"/>
        <v>0</v>
      </c>
      <c r="AW74" s="943"/>
      <c r="AX74" s="330"/>
      <c r="AY74" s="331"/>
      <c r="AZ74" s="106"/>
      <c r="BA74" s="523">
        <f t="shared" si="28"/>
        <v>0</v>
      </c>
      <c r="BB74" s="943"/>
      <c r="BC74" s="330"/>
      <c r="BD74" s="331"/>
      <c r="BE74" s="106"/>
      <c r="BF74" s="523">
        <f t="shared" si="29"/>
        <v>0</v>
      </c>
    </row>
    <row r="75" spans="1:58" customFormat="1" x14ac:dyDescent="0.35">
      <c r="A75" s="9160"/>
      <c r="B75" s="944"/>
      <c r="C75" s="945"/>
      <c r="D75" s="197"/>
      <c r="E75" s="1"/>
      <c r="F75" s="336"/>
      <c r="G75" s="272"/>
      <c r="H75" s="330"/>
      <c r="I75" s="948"/>
      <c r="J75" s="523">
        <f t="shared" si="20"/>
        <v>0</v>
      </c>
      <c r="K75" s="1"/>
      <c r="L75" s="330"/>
      <c r="M75" s="157">
        <f t="shared" si="21"/>
        <v>0</v>
      </c>
      <c r="N75" s="1"/>
      <c r="O75" s="330"/>
      <c r="P75" s="331"/>
      <c r="Q75" s="106"/>
      <c r="R75" s="523">
        <f t="shared" si="22"/>
        <v>0</v>
      </c>
      <c r="S75" s="1"/>
      <c r="T75" s="330"/>
      <c r="U75" s="106"/>
      <c r="V75" s="333">
        <f t="shared" si="23"/>
        <v>0</v>
      </c>
      <c r="W75" s="1"/>
      <c r="X75" s="26"/>
      <c r="Z75" s="330"/>
      <c r="AA75" s="331"/>
      <c r="AB75" s="106"/>
      <c r="AC75" s="523">
        <f t="shared" si="24"/>
        <v>0</v>
      </c>
      <c r="AD75" s="1"/>
      <c r="AE75" s="330"/>
      <c r="AF75" s="106"/>
      <c r="AG75" s="336">
        <f t="shared" si="25"/>
        <v>0</v>
      </c>
      <c r="AH75" s="1"/>
      <c r="AI75" s="330"/>
      <c r="AJ75" s="331"/>
      <c r="AK75" s="106"/>
      <c r="AL75" s="523">
        <f t="shared" si="26"/>
        <v>0</v>
      </c>
      <c r="AM75" s="943"/>
      <c r="AN75" s="330"/>
      <c r="AO75" s="331"/>
      <c r="AP75" s="106"/>
      <c r="AQ75" s="523">
        <f t="shared" si="27"/>
        <v>0</v>
      </c>
      <c r="AR75" s="1"/>
      <c r="AS75" s="330"/>
      <c r="AT75" s="331"/>
      <c r="AU75" s="106"/>
      <c r="AV75" s="523">
        <f t="shared" si="30"/>
        <v>0</v>
      </c>
      <c r="AW75" s="943"/>
      <c r="AX75" s="330"/>
      <c r="AY75" s="331"/>
      <c r="AZ75" s="106"/>
      <c r="BA75" s="523">
        <f t="shared" si="28"/>
        <v>0</v>
      </c>
      <c r="BB75" s="943"/>
      <c r="BC75" s="330"/>
      <c r="BD75" s="331"/>
      <c r="BE75" s="106"/>
      <c r="BF75" s="523">
        <f t="shared" si="29"/>
        <v>0</v>
      </c>
    </row>
    <row r="76" spans="1:58" customFormat="1" x14ac:dyDescent="0.35">
      <c r="A76" s="9160"/>
      <c r="B76" s="944"/>
      <c r="C76" s="945" t="s">
        <v>562</v>
      </c>
      <c r="D76" s="197"/>
      <c r="E76" s="1"/>
      <c r="F76" s="336"/>
      <c r="G76" s="272"/>
      <c r="H76" s="330"/>
      <c r="I76" s="948"/>
      <c r="J76" s="523">
        <f t="shared" si="20"/>
        <v>0</v>
      </c>
      <c r="K76" s="1"/>
      <c r="L76" s="330"/>
      <c r="M76" s="157">
        <f t="shared" si="21"/>
        <v>0</v>
      </c>
      <c r="N76" s="1"/>
      <c r="O76" s="330"/>
      <c r="P76" s="331"/>
      <c r="Q76" s="106"/>
      <c r="R76" s="523">
        <f t="shared" si="22"/>
        <v>0</v>
      </c>
      <c r="S76" s="1"/>
      <c r="T76" s="330"/>
      <c r="U76" s="106"/>
      <c r="V76" s="333">
        <f t="shared" si="23"/>
        <v>0</v>
      </c>
      <c r="W76" s="1"/>
      <c r="X76" s="26"/>
      <c r="Z76" s="330"/>
      <c r="AA76" s="331"/>
      <c r="AB76" s="106"/>
      <c r="AC76" s="523">
        <f t="shared" si="24"/>
        <v>0</v>
      </c>
      <c r="AD76" s="1"/>
      <c r="AE76" s="330"/>
      <c r="AF76" s="106"/>
      <c r="AG76" s="336">
        <f t="shared" si="25"/>
        <v>0</v>
      </c>
      <c r="AH76" s="1"/>
      <c r="AI76" s="330"/>
      <c r="AJ76" s="331"/>
      <c r="AK76" s="106"/>
      <c r="AL76" s="523">
        <f t="shared" si="26"/>
        <v>0</v>
      </c>
      <c r="AM76" s="943"/>
      <c r="AN76" s="330"/>
      <c r="AO76" s="331"/>
      <c r="AP76" s="106"/>
      <c r="AQ76" s="523">
        <f t="shared" si="27"/>
        <v>0</v>
      </c>
      <c r="AR76" s="1"/>
      <c r="AS76" s="330"/>
      <c r="AT76" s="331"/>
      <c r="AU76" s="106"/>
      <c r="AV76" s="523">
        <f t="shared" si="30"/>
        <v>0</v>
      </c>
      <c r="AW76" s="943"/>
      <c r="AX76" s="330"/>
      <c r="AY76" s="331"/>
      <c r="AZ76" s="106"/>
      <c r="BA76" s="523">
        <f t="shared" si="28"/>
        <v>0</v>
      </c>
      <c r="BB76" s="943"/>
      <c r="BC76" s="330"/>
      <c r="BD76" s="331"/>
      <c r="BE76" s="106"/>
      <c r="BF76" s="523">
        <f t="shared" si="29"/>
        <v>0</v>
      </c>
    </row>
    <row r="77" spans="1:58" customFormat="1" x14ac:dyDescent="0.35">
      <c r="A77" s="9160"/>
      <c r="B77" s="944"/>
      <c r="C77" s="945" t="s">
        <v>565</v>
      </c>
      <c r="D77" s="197"/>
      <c r="E77" s="1"/>
      <c r="F77" s="336"/>
      <c r="G77" s="272"/>
      <c r="H77" s="330"/>
      <c r="I77" s="948"/>
      <c r="J77" s="523">
        <f t="shared" si="20"/>
        <v>0</v>
      </c>
      <c r="K77" s="1"/>
      <c r="L77" s="330"/>
      <c r="M77" s="157">
        <f t="shared" si="21"/>
        <v>0</v>
      </c>
      <c r="N77" s="1"/>
      <c r="O77" s="330"/>
      <c r="P77" s="331"/>
      <c r="Q77" s="106"/>
      <c r="R77" s="523">
        <f t="shared" si="22"/>
        <v>0</v>
      </c>
      <c r="S77" s="1"/>
      <c r="T77" s="330"/>
      <c r="U77" s="106"/>
      <c r="V77" s="333">
        <f t="shared" si="23"/>
        <v>0</v>
      </c>
      <c r="W77" s="1"/>
      <c r="X77" s="26"/>
      <c r="Z77" s="330"/>
      <c r="AA77" s="331"/>
      <c r="AB77" s="106"/>
      <c r="AC77" s="523">
        <f t="shared" si="24"/>
        <v>0</v>
      </c>
      <c r="AD77" s="1"/>
      <c r="AE77" s="330"/>
      <c r="AF77" s="106"/>
      <c r="AG77" s="336">
        <f t="shared" si="25"/>
        <v>0</v>
      </c>
      <c r="AH77" s="1"/>
      <c r="AI77" s="330"/>
      <c r="AJ77" s="331"/>
      <c r="AK77" s="106"/>
      <c r="AL77" s="523">
        <f t="shared" si="26"/>
        <v>0</v>
      </c>
      <c r="AM77" s="943"/>
      <c r="AN77" s="330"/>
      <c r="AO77" s="331"/>
      <c r="AP77" s="106"/>
      <c r="AQ77" s="523">
        <f t="shared" si="27"/>
        <v>0</v>
      </c>
      <c r="AR77" s="1"/>
      <c r="AS77" s="330"/>
      <c r="AT77" s="331"/>
      <c r="AU77" s="106"/>
      <c r="AV77" s="523">
        <f t="shared" si="30"/>
        <v>0</v>
      </c>
      <c r="AW77" s="943"/>
      <c r="AX77" s="330"/>
      <c r="AY77" s="331"/>
      <c r="AZ77" s="106"/>
      <c r="BA77" s="523">
        <f t="shared" si="28"/>
        <v>0</v>
      </c>
      <c r="BB77" s="943"/>
      <c r="BC77" s="330"/>
      <c r="BD77" s="331"/>
      <c r="BE77" s="106"/>
      <c r="BF77" s="523">
        <f t="shared" si="29"/>
        <v>0</v>
      </c>
    </row>
    <row r="78" spans="1:58" customFormat="1" x14ac:dyDescent="0.35">
      <c r="A78" s="9160"/>
      <c r="B78" s="944"/>
      <c r="C78" s="945"/>
      <c r="D78" s="197"/>
      <c r="E78" s="1"/>
      <c r="F78" s="336"/>
      <c r="G78" s="272"/>
      <c r="H78" s="330"/>
      <c r="I78" s="948"/>
      <c r="J78" s="523">
        <f t="shared" si="20"/>
        <v>0</v>
      </c>
      <c r="K78" s="1"/>
      <c r="L78" s="330"/>
      <c r="M78" s="157">
        <f t="shared" si="21"/>
        <v>0</v>
      </c>
      <c r="N78" s="1"/>
      <c r="O78" s="330"/>
      <c r="P78" s="331"/>
      <c r="Q78" s="106"/>
      <c r="R78" s="523">
        <f t="shared" si="22"/>
        <v>0</v>
      </c>
      <c r="S78" s="1"/>
      <c r="T78" s="330"/>
      <c r="U78" s="106"/>
      <c r="V78" s="333">
        <f t="shared" si="23"/>
        <v>0</v>
      </c>
      <c r="W78" s="1"/>
      <c r="X78" s="26"/>
      <c r="Z78" s="330"/>
      <c r="AA78" s="331"/>
      <c r="AB78" s="106"/>
      <c r="AC78" s="523">
        <f t="shared" si="24"/>
        <v>0</v>
      </c>
      <c r="AD78" s="1"/>
      <c r="AE78" s="330"/>
      <c r="AF78" s="106"/>
      <c r="AG78" s="336">
        <f t="shared" si="25"/>
        <v>0</v>
      </c>
      <c r="AH78" s="1"/>
      <c r="AI78" s="330"/>
      <c r="AJ78" s="331"/>
      <c r="AK78" s="106"/>
      <c r="AL78" s="523">
        <f t="shared" si="26"/>
        <v>0</v>
      </c>
      <c r="AM78" s="943"/>
      <c r="AN78" s="330"/>
      <c r="AO78" s="331"/>
      <c r="AP78" s="106"/>
      <c r="AQ78" s="523">
        <f t="shared" si="27"/>
        <v>0</v>
      </c>
      <c r="AR78" s="1"/>
      <c r="AS78" s="330"/>
      <c r="AT78" s="331"/>
      <c r="AU78" s="106"/>
      <c r="AV78" s="523">
        <f t="shared" si="30"/>
        <v>0</v>
      </c>
      <c r="AW78" s="943"/>
      <c r="AX78" s="330"/>
      <c r="AY78" s="331"/>
      <c r="AZ78" s="106"/>
      <c r="BA78" s="523">
        <f t="shared" si="28"/>
        <v>0</v>
      </c>
      <c r="BB78" s="943"/>
      <c r="BC78" s="330"/>
      <c r="BD78" s="331"/>
      <c r="BE78" s="106"/>
      <c r="BF78" s="523">
        <f t="shared" si="29"/>
        <v>0</v>
      </c>
    </row>
    <row r="79" spans="1:58" customFormat="1" x14ac:dyDescent="0.35">
      <c r="A79" s="9160"/>
      <c r="B79" s="944"/>
      <c r="C79" s="945"/>
      <c r="D79" s="197"/>
      <c r="E79" s="1"/>
      <c r="F79" s="336"/>
      <c r="G79" s="272"/>
      <c r="H79" s="330"/>
      <c r="I79" s="948"/>
      <c r="J79" s="523">
        <f t="shared" si="20"/>
        <v>0</v>
      </c>
      <c r="K79" s="1"/>
      <c r="L79" s="330"/>
      <c r="M79" s="157">
        <f t="shared" si="21"/>
        <v>0</v>
      </c>
      <c r="N79" s="1"/>
      <c r="O79" s="330"/>
      <c r="P79" s="331"/>
      <c r="Q79" s="106"/>
      <c r="R79" s="523">
        <f t="shared" si="22"/>
        <v>0</v>
      </c>
      <c r="S79" s="1"/>
      <c r="T79" s="330"/>
      <c r="U79" s="106"/>
      <c r="V79" s="333">
        <f t="shared" si="23"/>
        <v>0</v>
      </c>
      <c r="W79" s="1"/>
      <c r="X79" s="26"/>
      <c r="Z79" s="330"/>
      <c r="AA79" s="331"/>
      <c r="AB79" s="106"/>
      <c r="AC79" s="523">
        <f t="shared" si="24"/>
        <v>0</v>
      </c>
      <c r="AD79" s="1"/>
      <c r="AE79" s="330"/>
      <c r="AF79" s="106"/>
      <c r="AG79" s="336">
        <f t="shared" si="25"/>
        <v>0</v>
      </c>
      <c r="AH79" s="1"/>
      <c r="AI79" s="330"/>
      <c r="AJ79" s="331"/>
      <c r="AK79" s="106"/>
      <c r="AL79" s="523">
        <f t="shared" si="26"/>
        <v>0</v>
      </c>
      <c r="AM79" s="943"/>
      <c r="AN79" s="330"/>
      <c r="AO79" s="331"/>
      <c r="AP79" s="106"/>
      <c r="AQ79" s="523">
        <f t="shared" si="27"/>
        <v>0</v>
      </c>
      <c r="AR79" s="1"/>
      <c r="AS79" s="330"/>
      <c r="AT79" s="331"/>
      <c r="AU79" s="106"/>
      <c r="AV79" s="523">
        <f t="shared" si="30"/>
        <v>0</v>
      </c>
      <c r="AW79" s="943"/>
      <c r="AX79" s="330"/>
      <c r="AY79" s="331"/>
      <c r="AZ79" s="106"/>
      <c r="BA79" s="523">
        <f t="shared" si="28"/>
        <v>0</v>
      </c>
      <c r="BB79" s="943"/>
      <c r="BC79" s="330"/>
      <c r="BD79" s="331"/>
      <c r="BE79" s="106"/>
      <c r="BF79" s="523">
        <f t="shared" si="29"/>
        <v>0</v>
      </c>
    </row>
    <row r="80" spans="1:58" customFormat="1" x14ac:dyDescent="0.35">
      <c r="A80" s="9161"/>
      <c r="B80" s="949"/>
      <c r="C80" s="950" t="s">
        <v>10</v>
      </c>
      <c r="D80" s="209"/>
      <c r="E80" s="1"/>
      <c r="F80" s="343"/>
      <c r="G80" s="274"/>
      <c r="H80" s="341"/>
      <c r="I80" s="951"/>
      <c r="J80" s="527">
        <f t="shared" si="20"/>
        <v>0</v>
      </c>
      <c r="K80" s="1"/>
      <c r="L80" s="341"/>
      <c r="M80" s="213">
        <f t="shared" si="21"/>
        <v>0</v>
      </c>
      <c r="N80" s="1"/>
      <c r="O80" s="341"/>
      <c r="P80" s="952"/>
      <c r="Q80" s="216"/>
      <c r="R80" s="527">
        <f t="shared" si="22"/>
        <v>0</v>
      </c>
      <c r="S80" s="1"/>
      <c r="T80" s="341"/>
      <c r="U80" s="216"/>
      <c r="V80" s="347">
        <f t="shared" si="23"/>
        <v>0</v>
      </c>
      <c r="W80" s="1"/>
      <c r="X80" s="24"/>
      <c r="Z80" s="341"/>
      <c r="AA80" s="952"/>
      <c r="AB80" s="216"/>
      <c r="AC80" s="527">
        <f t="shared" si="24"/>
        <v>0</v>
      </c>
      <c r="AD80" s="1"/>
      <c r="AE80" s="341"/>
      <c r="AF80" s="216"/>
      <c r="AG80" s="343">
        <f t="shared" si="25"/>
        <v>0</v>
      </c>
      <c r="AH80" s="1"/>
      <c r="AI80" s="341"/>
      <c r="AJ80" s="952"/>
      <c r="AK80" s="216"/>
      <c r="AL80" s="527">
        <f t="shared" si="26"/>
        <v>0</v>
      </c>
      <c r="AM80" s="943"/>
      <c r="AN80" s="341"/>
      <c r="AO80" s="952"/>
      <c r="AP80" s="216"/>
      <c r="AQ80" s="527">
        <f t="shared" si="27"/>
        <v>0</v>
      </c>
      <c r="AR80" s="1"/>
      <c r="AS80" s="341"/>
      <c r="AT80" s="952"/>
      <c r="AU80" s="216"/>
      <c r="AV80" s="527">
        <f t="shared" si="30"/>
        <v>0</v>
      </c>
      <c r="AW80" s="943"/>
      <c r="AX80" s="341"/>
      <c r="AY80" s="952"/>
      <c r="AZ80" s="216"/>
      <c r="BA80" s="527">
        <f t="shared" si="28"/>
        <v>0</v>
      </c>
      <c r="BB80" s="943"/>
      <c r="BC80" s="341"/>
      <c r="BD80" s="952"/>
      <c r="BE80" s="216"/>
      <c r="BF80" s="527">
        <f t="shared" si="29"/>
        <v>0</v>
      </c>
    </row>
    <row r="81" spans="1:58" x14ac:dyDescent="0.35">
      <c r="A81" s="936"/>
      <c r="B81" s="936"/>
      <c r="E81" s="457"/>
      <c r="F81" s="847"/>
      <c r="H81" s="847"/>
      <c r="I81" s="847"/>
      <c r="J81" s="937"/>
      <c r="L81" s="847"/>
      <c r="M81" s="938"/>
      <c r="O81" s="106"/>
      <c r="P81" s="106"/>
      <c r="Q81" s="106"/>
      <c r="R81" s="558"/>
      <c r="T81" s="106"/>
      <c r="U81" s="106"/>
      <c r="V81" s="312"/>
      <c r="Z81" s="106"/>
      <c r="AA81" s="106"/>
      <c r="AB81" s="106"/>
      <c r="AC81" s="558"/>
      <c r="AE81" s="106"/>
      <c r="AF81" s="106"/>
      <c r="AG81" s="106"/>
      <c r="AI81" s="106"/>
      <c r="AJ81" s="106"/>
      <c r="AK81" s="106"/>
      <c r="AL81" s="558"/>
      <c r="AN81" s="106"/>
      <c r="AO81" s="106"/>
      <c r="AP81" s="106"/>
      <c r="AQ81" s="558"/>
      <c r="AS81" s="106"/>
      <c r="AT81" s="106"/>
      <c r="AU81" s="106"/>
      <c r="AV81" s="558"/>
      <c r="AX81" s="106"/>
      <c r="AY81" s="106"/>
      <c r="AZ81" s="106"/>
      <c r="BA81" s="558"/>
      <c r="BC81" s="106"/>
      <c r="BD81" s="106"/>
      <c r="BE81" s="106"/>
      <c r="BF81" s="558"/>
    </row>
    <row r="82" spans="1:58" customFormat="1" ht="15" customHeight="1" x14ac:dyDescent="0.35">
      <c r="A82" s="9152" t="s">
        <v>566</v>
      </c>
      <c r="B82" s="139" t="s">
        <v>567</v>
      </c>
      <c r="C82" s="348"/>
      <c r="D82" s="49"/>
      <c r="E82" s="141"/>
      <c r="F82" s="227"/>
      <c r="G82" s="141"/>
      <c r="H82" s="102"/>
      <c r="I82" s="103"/>
      <c r="J82" s="228"/>
      <c r="K82" s="141"/>
      <c r="L82" s="102"/>
      <c r="M82" s="268"/>
      <c r="N82" s="141"/>
      <c r="O82" s="102"/>
      <c r="P82" s="103"/>
      <c r="Q82" s="103"/>
      <c r="R82" s="228"/>
      <c r="S82" s="141"/>
      <c r="T82" s="102"/>
      <c r="U82" s="103"/>
      <c r="V82" s="268"/>
      <c r="W82" s="141"/>
      <c r="Z82" s="102"/>
      <c r="AA82" s="103"/>
      <c r="AB82" s="103"/>
      <c r="AC82" s="228"/>
      <c r="AD82" s="141"/>
      <c r="AE82" s="102"/>
      <c r="AF82" s="103"/>
      <c r="AG82" s="227"/>
      <c r="AH82" s="141"/>
      <c r="AI82" s="102"/>
      <c r="AJ82" s="103"/>
      <c r="AK82" s="103"/>
      <c r="AL82" s="228"/>
      <c r="AN82" s="102"/>
      <c r="AO82" s="103"/>
      <c r="AP82" s="103"/>
      <c r="AQ82" s="228"/>
      <c r="AR82" s="141"/>
      <c r="AS82" s="102"/>
      <c r="AT82" s="103"/>
      <c r="AU82" s="103"/>
      <c r="AV82" s="228"/>
      <c r="AX82" s="102"/>
      <c r="AY82" s="103"/>
      <c r="AZ82" s="103"/>
      <c r="BA82" s="228"/>
      <c r="BC82" s="102"/>
      <c r="BD82" s="103"/>
      <c r="BE82" s="103"/>
      <c r="BF82" s="228"/>
    </row>
    <row r="83" spans="1:58" customFormat="1" x14ac:dyDescent="0.35">
      <c r="A83" s="9153"/>
      <c r="B83" s="6082"/>
      <c r="C83" s="110"/>
      <c r="D83" s="1" t="s">
        <v>568</v>
      </c>
      <c r="E83" s="1"/>
      <c r="F83" s="349">
        <f>SUM(F34:F39)-SUM(F41:F43)</f>
        <v>0</v>
      </c>
      <c r="G83" s="350"/>
      <c r="H83" s="351">
        <f>SUM(H34:H39)-SUM(H41:H43)</f>
        <v>51124.41</v>
      </c>
      <c r="I83" s="352">
        <f>SUM(I34:I39)-SUM(I41:I43)</f>
        <v>42159.509784000002</v>
      </c>
      <c r="J83" s="246"/>
      <c r="K83" s="350"/>
      <c r="L83" s="351">
        <f>SUM(L34:L39)-SUM(L41:L43)</f>
        <v>53130.868999999999</v>
      </c>
      <c r="M83" s="353">
        <f>SUM(M34:M39)-SUM(M41:M43)</f>
        <v>44147.914231999996</v>
      </c>
      <c r="N83" s="350"/>
      <c r="O83" s="351">
        <f>SUM(O34:O39)-SUM(O41:O43)</f>
        <v>54337.974000000002</v>
      </c>
      <c r="P83" s="352">
        <f>SUM(P34:P39)-SUM(P41:P43)</f>
        <v>44169.852941999998</v>
      </c>
      <c r="Q83" s="352"/>
      <c r="R83" s="246"/>
      <c r="S83" s="350"/>
      <c r="T83" s="351">
        <f>SUM(T34:T39)-SUM(T41:T43)</f>
        <v>56306.432634999997</v>
      </c>
      <c r="U83" s="352"/>
      <c r="V83" s="353">
        <f>SUM(V34:V39)-SUM(V41:V43)</f>
        <v>46158.212438730458</v>
      </c>
      <c r="W83" s="350"/>
      <c r="Z83" s="351">
        <f>SUM(Z34:Z39)-SUM(Z41:Z43)</f>
        <v>54337.974000000002</v>
      </c>
      <c r="AA83" s="352">
        <f>SUM(AA34:AA39)-SUM(AA41:AA43)</f>
        <v>54528.277999999998</v>
      </c>
      <c r="AB83" s="352"/>
      <c r="AC83" s="246"/>
      <c r="AD83" s="350"/>
      <c r="AE83" s="351">
        <f>SUM(AE34:AE39)-SUM(AE41:AE43)</f>
        <v>54086.288999999997</v>
      </c>
      <c r="AF83" s="352"/>
      <c r="AG83" s="349">
        <f>SUM(AG34:AG39)-SUM(AG41:AG43)</f>
        <v>54725.342394415784</v>
      </c>
      <c r="AH83" s="350"/>
      <c r="AI83" s="351">
        <f>SUM(AI34:AI39)-SUM(AI41:AI43)</f>
        <v>54086.288999999997</v>
      </c>
      <c r="AJ83" s="352">
        <f>SUM(AJ34:AJ39)-SUM(AJ41:AJ43)</f>
        <v>44675.078217999995</v>
      </c>
      <c r="AK83" s="352"/>
      <c r="AL83" s="246"/>
      <c r="AN83" s="351">
        <f>SUM(AN34:AN39)-SUM(AN41:AN43)</f>
        <v>48242.980752999996</v>
      </c>
      <c r="AO83" s="352">
        <f>SUM(AO34:AO39)-SUM(AO41:AO43)</f>
        <v>44315.203270125821</v>
      </c>
      <c r="AP83" s="352"/>
      <c r="AQ83" s="246"/>
      <c r="AR83" s="350"/>
      <c r="AS83" s="351">
        <f>SUM(AS34:AS39)-SUM(AS41:AS43)</f>
        <v>48094.782000000007</v>
      </c>
      <c r="AT83" s="352">
        <f>SUM(AT34:AT39)-SUM(AT41:AT43)</f>
        <v>41889.698181818181</v>
      </c>
      <c r="AU83" s="352"/>
      <c r="AV83" s="246"/>
      <c r="AX83" s="351">
        <f>SUM(AX34:AX39)-SUM(AX41:AX43)</f>
        <v>48084</v>
      </c>
      <c r="AY83" s="352">
        <f>SUM(AY34:AY39)-SUM(AY41:AY43)</f>
        <v>47085</v>
      </c>
      <c r="AZ83" s="352"/>
      <c r="BA83" s="246"/>
      <c r="BC83" s="351">
        <f>SUM(BC34:BC39)-SUM(BC41:BC43)</f>
        <v>47585</v>
      </c>
      <c r="BD83" s="352">
        <f>SUM(BD34:BD39)-SUM(BD41:BD43)</f>
        <v>45360</v>
      </c>
      <c r="BE83" s="352"/>
      <c r="BF83" s="246"/>
    </row>
    <row r="84" spans="1:58" customFormat="1" x14ac:dyDescent="0.35">
      <c r="A84" s="9153"/>
      <c r="B84" s="6082"/>
      <c r="C84" s="110"/>
      <c r="D84" s="1" t="s">
        <v>569</v>
      </c>
      <c r="E84" s="1"/>
      <c r="F84" s="349">
        <f>SUM(F45:F51)</f>
        <v>0</v>
      </c>
      <c r="G84" s="350"/>
      <c r="H84" s="351">
        <f>SUM(H45:H51)</f>
        <v>0</v>
      </c>
      <c r="I84" s="352">
        <f>SUM(I45:I51)</f>
        <v>0</v>
      </c>
      <c r="J84" s="246"/>
      <c r="K84" s="350"/>
      <c r="L84" s="351">
        <f>SUM(L45:L51)</f>
        <v>0</v>
      </c>
      <c r="M84" s="353">
        <f>SUM(M45:M51)</f>
        <v>0</v>
      </c>
      <c r="N84" s="350"/>
      <c r="O84" s="351">
        <f>SUM(O45:O51)</f>
        <v>0</v>
      </c>
      <c r="P84" s="352">
        <f>SUM(P45:P51)</f>
        <v>0</v>
      </c>
      <c r="Q84" s="352"/>
      <c r="R84" s="246"/>
      <c r="S84" s="350"/>
      <c r="T84" s="351">
        <f>SUM(T45:T51)</f>
        <v>0</v>
      </c>
      <c r="U84" s="352"/>
      <c r="V84" s="353">
        <f>SUM(V45:V51)</f>
        <v>0</v>
      </c>
      <c r="W84" s="350"/>
      <c r="Z84" s="351">
        <f>SUM(Z45:Z51)</f>
        <v>0</v>
      </c>
      <c r="AA84" s="352">
        <f>SUM(AA45:AA51)</f>
        <v>0</v>
      </c>
      <c r="AB84" s="352"/>
      <c r="AC84" s="246"/>
      <c r="AD84" s="350"/>
      <c r="AE84" s="351">
        <f>SUM(AE45:AE51)</f>
        <v>0</v>
      </c>
      <c r="AF84" s="352"/>
      <c r="AG84" s="349">
        <f>SUM(AG45:AG51)</f>
        <v>0</v>
      </c>
      <c r="AH84" s="350"/>
      <c r="AI84" s="351">
        <f>SUM(AI45:AI51)</f>
        <v>0</v>
      </c>
      <c r="AJ84" s="352">
        <f>SUM(AJ45:AJ51)</f>
        <v>0</v>
      </c>
      <c r="AK84" s="352"/>
      <c r="AL84" s="246"/>
      <c r="AN84" s="351">
        <f>SUM(AN45:AN51)</f>
        <v>0</v>
      </c>
      <c r="AO84" s="352">
        <f>SUM(AO45:AO51)</f>
        <v>0</v>
      </c>
      <c r="AP84" s="352"/>
      <c r="AQ84" s="246"/>
      <c r="AR84" s="350"/>
      <c r="AS84" s="351">
        <f>SUM(AS45:AS51)</f>
        <v>0</v>
      </c>
      <c r="AT84" s="352">
        <f>SUM(AT45:AT51)</f>
        <v>0</v>
      </c>
      <c r="AU84" s="352"/>
      <c r="AV84" s="246"/>
      <c r="AX84" s="351">
        <f>SUM(AX45:AX51)</f>
        <v>0</v>
      </c>
      <c r="AY84" s="352">
        <f>SUM(AY45:AY51)</f>
        <v>0</v>
      </c>
      <c r="AZ84" s="352"/>
      <c r="BA84" s="246"/>
      <c r="BC84" s="351">
        <f>SUM(BC45:BC51)</f>
        <v>0</v>
      </c>
      <c r="BD84" s="352">
        <f>SUM(BD45:BD51)</f>
        <v>0</v>
      </c>
      <c r="BE84" s="352"/>
      <c r="BF84" s="246"/>
    </row>
    <row r="85" spans="1:58" customFormat="1" x14ac:dyDescent="0.35">
      <c r="A85" s="9153"/>
      <c r="B85" s="6082"/>
      <c r="C85" s="110"/>
      <c r="D85" s="1" t="s">
        <v>570</v>
      </c>
      <c r="E85" s="1"/>
      <c r="F85" s="349">
        <f>SUM(F53:F60)*F27</f>
        <v>0</v>
      </c>
      <c r="G85" s="350"/>
      <c r="H85" s="351">
        <f>SUM(H53:H60)*H27</f>
        <v>1234.0698316374662</v>
      </c>
      <c r="I85" s="352">
        <f>SUM(I53:I60)*I27</f>
        <v>1195.840651447068</v>
      </c>
      <c r="J85" s="246"/>
      <c r="K85" s="350"/>
      <c r="L85" s="351">
        <f>SUM(L53:L60)*L27</f>
        <v>1122.6256847629982</v>
      </c>
      <c r="M85" s="353">
        <f>SUM(M53:M60)*M27</f>
        <v>1087.3274948335247</v>
      </c>
      <c r="N85" s="350"/>
      <c r="O85" s="351">
        <f>SUM(O53:O60)*O27</f>
        <v>1062.7133360333241</v>
      </c>
      <c r="P85" s="352">
        <f>SUM(P53:P60)*P27</f>
        <v>1073.6042060939772</v>
      </c>
      <c r="Q85" s="352"/>
      <c r="R85" s="246"/>
      <c r="S85" s="350"/>
      <c r="T85" s="351">
        <f>SUM(T53:T60)*T27</f>
        <v>1038.1283057925391</v>
      </c>
      <c r="U85" s="352"/>
      <c r="V85" s="353">
        <f>SUM(V53:V60)*V27</f>
        <v>1048.8699014773551</v>
      </c>
      <c r="W85" s="350"/>
      <c r="Z85" s="351">
        <f>SUM(Z53:Z60)*Z27</f>
        <v>1040.4907250414046</v>
      </c>
      <c r="AA85" s="352">
        <f>SUM(AA53:AA60)*AA27</f>
        <v>1040.4907250414046</v>
      </c>
      <c r="AB85" s="352"/>
      <c r="AC85" s="246"/>
      <c r="AD85" s="350"/>
      <c r="AE85" s="351">
        <f>SUM(AE53:AE60)*AE27</f>
        <v>1104.7415675933926</v>
      </c>
      <c r="AF85" s="352"/>
      <c r="AG85" s="349">
        <f>SUM(AG53:AG60)*AG27</f>
        <v>1104.7415675933926</v>
      </c>
      <c r="AH85" s="350"/>
      <c r="AI85" s="351">
        <f>SUM(AI53:AI60)*AI27</f>
        <v>1570.3830249528173</v>
      </c>
      <c r="AJ85" s="352">
        <f>SUM(AJ53:AJ60)*AJ27</f>
        <v>1570.3830249528173</v>
      </c>
      <c r="AK85" s="352"/>
      <c r="AL85" s="246"/>
      <c r="AN85" s="351">
        <f>SUM(AN53:AN60)*AN27</f>
        <v>5058.2335955689487</v>
      </c>
      <c r="AO85" s="352">
        <f>SUM(AO53:AO60)*AO27</f>
        <v>5058.2335955689487</v>
      </c>
      <c r="AP85" s="352"/>
      <c r="AQ85" s="246"/>
      <c r="AR85" s="350"/>
      <c r="AS85" s="351">
        <f>SUM(AS53:AS60)*AS27</f>
        <v>5146.3716375268696</v>
      </c>
      <c r="AT85" s="352">
        <f>SUM(AT53:AT60)*AT27</f>
        <v>4203.5152225175189</v>
      </c>
      <c r="AU85" s="352"/>
      <c r="AV85" s="246"/>
      <c r="AX85" s="351">
        <f>SUM(AX53:AX60)*AX27</f>
        <v>2863.52</v>
      </c>
      <c r="AY85" s="352">
        <f>SUM(AY53:AY60)*AY27</f>
        <v>3097.6</v>
      </c>
      <c r="AZ85" s="352"/>
      <c r="BA85" s="246"/>
      <c r="BC85" s="351">
        <f>SUM(BC53:BC60)*BC27</f>
        <v>3129.0624044000001</v>
      </c>
      <c r="BD85" s="352">
        <f>SUM(BD53:BD60)*BD27</f>
        <v>3005.84</v>
      </c>
      <c r="BE85" s="352"/>
      <c r="BF85" s="246"/>
    </row>
    <row r="86" spans="1:58" customFormat="1" x14ac:dyDescent="0.35">
      <c r="A86" s="9153"/>
      <c r="B86" s="6082"/>
      <c r="C86" s="110"/>
      <c r="D86" s="1" t="s">
        <v>552</v>
      </c>
      <c r="E86" s="1"/>
      <c r="F86" s="349">
        <f>F62+F63+F64</f>
        <v>0</v>
      </c>
      <c r="G86" s="350"/>
      <c r="H86" s="351">
        <f>H62+H63+H64</f>
        <v>0</v>
      </c>
      <c r="I86" s="352">
        <f>I62+I63+I64</f>
        <v>0</v>
      </c>
      <c r="J86" s="246"/>
      <c r="K86" s="350"/>
      <c r="L86" s="351">
        <f>L62+L63+L64</f>
        <v>0</v>
      </c>
      <c r="M86" s="353">
        <f>M62+M63+M64</f>
        <v>0</v>
      </c>
      <c r="N86" s="350"/>
      <c r="O86" s="351">
        <f>O62+O63+O64</f>
        <v>0</v>
      </c>
      <c r="P86" s="352">
        <f>P62+P63+P64</f>
        <v>0</v>
      </c>
      <c r="Q86" s="352"/>
      <c r="R86" s="246"/>
      <c r="S86" s="350"/>
      <c r="T86" s="351">
        <f>T62+T63+T64</f>
        <v>0</v>
      </c>
      <c r="U86" s="352"/>
      <c r="V86" s="353">
        <f>V62+V63+V64</f>
        <v>0</v>
      </c>
      <c r="W86" s="350"/>
      <c r="Z86" s="351">
        <f>Z62+Z63+Z64</f>
        <v>0</v>
      </c>
      <c r="AA86" s="352">
        <f>AA62+AA63+AA64</f>
        <v>0</v>
      </c>
      <c r="AB86" s="352"/>
      <c r="AC86" s="246"/>
      <c r="AD86" s="350"/>
      <c r="AE86" s="351">
        <f>AE62+AE63+AE64</f>
        <v>0</v>
      </c>
      <c r="AF86" s="352"/>
      <c r="AG86" s="349">
        <f>AG62+AG63+AG64</f>
        <v>0</v>
      </c>
      <c r="AH86" s="350"/>
      <c r="AI86" s="351">
        <f>AI62+AI63+AI64</f>
        <v>0</v>
      </c>
      <c r="AJ86" s="352">
        <f>AJ62+AJ63+AJ64</f>
        <v>0</v>
      </c>
      <c r="AK86" s="352"/>
      <c r="AL86" s="246"/>
      <c r="AN86" s="351">
        <f>AN62+AN63+AN64</f>
        <v>0</v>
      </c>
      <c r="AO86" s="352">
        <f>AO62+AO63+AO64</f>
        <v>0</v>
      </c>
      <c r="AP86" s="352"/>
      <c r="AQ86" s="246"/>
      <c r="AR86" s="350"/>
      <c r="AS86" s="351">
        <f>AS62+AS63+AS64</f>
        <v>0</v>
      </c>
      <c r="AT86" s="352">
        <f>AT62+AT63+AT64</f>
        <v>0</v>
      </c>
      <c r="AU86" s="352"/>
      <c r="AV86" s="246"/>
      <c r="AX86" s="351">
        <f>AX62+AX63+AX64</f>
        <v>0</v>
      </c>
      <c r="AY86" s="352">
        <f>AY62+AY63+AY64</f>
        <v>0</v>
      </c>
      <c r="AZ86" s="352"/>
      <c r="BA86" s="246"/>
      <c r="BC86" s="351">
        <f>BC62+BC63+BC64</f>
        <v>0</v>
      </c>
      <c r="BD86" s="352">
        <f>BD62+BD63+BD64</f>
        <v>0</v>
      </c>
      <c r="BE86" s="352"/>
      <c r="BF86" s="246"/>
    </row>
    <row r="87" spans="1:58" customFormat="1" x14ac:dyDescent="0.35">
      <c r="A87" s="9153"/>
      <c r="B87" s="6082"/>
      <c r="C87" s="356"/>
      <c r="D87" s="1" t="s">
        <v>571</v>
      </c>
      <c r="E87" s="143"/>
      <c r="F87" s="357">
        <f>SUM(F83:F86)</f>
        <v>0</v>
      </c>
      <c r="G87" s="358"/>
      <c r="H87" s="359">
        <f>SUM(H83:H86)</f>
        <v>52358.479831637473</v>
      </c>
      <c r="I87" s="360">
        <f>SUM(I83:I86)</f>
        <v>43355.350435447072</v>
      </c>
      <c r="J87" s="361"/>
      <c r="K87" s="358"/>
      <c r="L87" s="359">
        <f>SUM(L83:L86)</f>
        <v>54253.494684762998</v>
      </c>
      <c r="M87" s="362">
        <f>SUM(M83:M86)</f>
        <v>45235.241726833519</v>
      </c>
      <c r="N87" s="358"/>
      <c r="O87" s="359">
        <f>SUM(O83:O86)</f>
        <v>55400.687336033327</v>
      </c>
      <c r="P87" s="360">
        <f>SUM(P83:P86)</f>
        <v>45243.457148093978</v>
      </c>
      <c r="Q87" s="360"/>
      <c r="R87" s="361"/>
      <c r="S87" s="358"/>
      <c r="T87" s="359">
        <f>SUM(T83:T86)</f>
        <v>57344.560940792537</v>
      </c>
      <c r="U87" s="360"/>
      <c r="V87" s="362">
        <f>SUM(V83:V86)</f>
        <v>47207.082340207809</v>
      </c>
      <c r="W87" s="358"/>
      <c r="Z87" s="359">
        <f>SUM(Z83:Z86)</f>
        <v>55378.464725041405</v>
      </c>
      <c r="AA87" s="360">
        <f>SUM(AA83:AA86)</f>
        <v>55568.768725041402</v>
      </c>
      <c r="AB87" s="360"/>
      <c r="AC87" s="361"/>
      <c r="AD87" s="358"/>
      <c r="AE87" s="359">
        <f>SUM(AE83:AE86)</f>
        <v>55191.030567593392</v>
      </c>
      <c r="AF87" s="360"/>
      <c r="AG87" s="357">
        <f>SUM(AG83:AG86)</f>
        <v>55830.083962009179</v>
      </c>
      <c r="AH87" s="358"/>
      <c r="AI87" s="359">
        <f>SUM(AI83:AI86)</f>
        <v>55656.672024952815</v>
      </c>
      <c r="AJ87" s="360">
        <f>SUM(AJ83:AJ86)</f>
        <v>46245.461242952813</v>
      </c>
      <c r="AK87" s="360"/>
      <c r="AL87" s="361"/>
      <c r="AN87" s="359">
        <f>SUM(AN83:AN86)</f>
        <v>53301.214348568945</v>
      </c>
      <c r="AO87" s="360">
        <f>SUM(AO83:AO86)</f>
        <v>49373.43686569477</v>
      </c>
      <c r="AP87" s="360"/>
      <c r="AQ87" s="361"/>
      <c r="AR87" s="358"/>
      <c r="AS87" s="359">
        <f>SUM(AS83:AS86)</f>
        <v>53241.153637526877</v>
      </c>
      <c r="AT87" s="360">
        <f>SUM(AT83:AT86)</f>
        <v>46093.2134043357</v>
      </c>
      <c r="AU87" s="360"/>
      <c r="AV87" s="361"/>
      <c r="AX87" s="359">
        <f>SUM(AX83:AX86)</f>
        <v>50947.519999999997</v>
      </c>
      <c r="AY87" s="360">
        <f>SUM(AY83:AY86)</f>
        <v>50182.6</v>
      </c>
      <c r="AZ87" s="360"/>
      <c r="BA87" s="361"/>
      <c r="BC87" s="359">
        <f>SUM(BC83:BC86)</f>
        <v>50714.0624044</v>
      </c>
      <c r="BD87" s="360">
        <f>SUM(BD83:BD86)</f>
        <v>48365.84</v>
      </c>
      <c r="BE87" s="360"/>
      <c r="BF87" s="361"/>
    </row>
    <row r="88" spans="1:58" customFormat="1" ht="15.5" x14ac:dyDescent="0.35">
      <c r="A88" s="9153"/>
      <c r="B88" s="6082"/>
      <c r="C88" s="356"/>
      <c r="D88" s="1" t="s">
        <v>572</v>
      </c>
      <c r="E88" s="1"/>
      <c r="F88" s="559">
        <f>F87/(F17+F18)</f>
        <v>0</v>
      </c>
      <c r="G88" s="560"/>
      <c r="H88" s="561">
        <f>H87/(H17+H18)</f>
        <v>0.15034955227393781</v>
      </c>
      <c r="I88" s="562">
        <f>I87/(I17+I18)</f>
        <v>0.15587319720090986</v>
      </c>
      <c r="J88" s="563"/>
      <c r="K88" s="560"/>
      <c r="L88" s="561">
        <f>L87/(L17+L18)</f>
        <v>0.12664864835440429</v>
      </c>
      <c r="M88" s="563">
        <f>M87/(M17+M18)</f>
        <v>0.14394163363202409</v>
      </c>
      <c r="N88" s="560"/>
      <c r="O88" s="561">
        <f>O87/(O17+O18)</f>
        <v>0.12701539833055536</v>
      </c>
      <c r="P88" s="562">
        <f>P87/(P17+P18)</f>
        <v>0.10388829680780062</v>
      </c>
      <c r="Q88" s="562"/>
      <c r="R88" s="563"/>
      <c r="S88" s="560"/>
      <c r="T88" s="561">
        <f>T87/(T17+T18)</f>
        <v>0.12897808838095787</v>
      </c>
      <c r="U88" s="562"/>
      <c r="V88" s="563">
        <f>V87/(V17+V18)</f>
        <v>0.10599681864197089</v>
      </c>
      <c r="W88" s="560"/>
      <c r="Z88" s="561">
        <f>Z87/(Z17+Z18)</f>
        <v>0.12455598927826464</v>
      </c>
      <c r="AA88" s="562">
        <f>AA87/(AA17+AA18)</f>
        <v>0.12477180136356439</v>
      </c>
      <c r="AB88" s="562"/>
      <c r="AC88" s="563"/>
      <c r="AD88" s="560"/>
      <c r="AE88" s="561">
        <f>AE87/(AE17+AE18)</f>
        <v>0.12869061797296449</v>
      </c>
      <c r="AF88" s="562"/>
      <c r="AG88" s="559">
        <f>AG87/(AG17+AG18)</f>
        <v>0.12578544805076541</v>
      </c>
      <c r="AH88" s="560"/>
      <c r="AI88" s="561">
        <f>AI87/(AI17+AI18)</f>
        <v>0.12961083964112244</v>
      </c>
      <c r="AJ88" s="562">
        <f>AJ87/(AJ17+AJ18)</f>
        <v>0.12990298101953038</v>
      </c>
      <c r="AK88" s="562"/>
      <c r="AL88" s="563"/>
      <c r="AN88" s="561">
        <f>AN87/(AN17+AN18)</f>
        <v>0.12955935647058539</v>
      </c>
      <c r="AO88" s="562">
        <f>AO87/(AO17+AO18)</f>
        <v>0.14198682837169721</v>
      </c>
      <c r="AP88" s="562"/>
      <c r="AQ88" s="563"/>
      <c r="AR88" s="560"/>
      <c r="AS88" s="561">
        <f>AS87/(AS17+AS18)</f>
        <v>0.13021050193795661</v>
      </c>
      <c r="AT88" s="562">
        <f>AT87/(AT17+AT18)</f>
        <v>0.1351438849783374</v>
      </c>
      <c r="AU88" s="562"/>
      <c r="AV88" s="563"/>
      <c r="AX88" s="561">
        <f>AX87/(AX17+AX18)</f>
        <v>0.11581350730831305</v>
      </c>
      <c r="AY88" s="562">
        <f>AY87/(AY17+AY18)</f>
        <v>0.12161970243735747</v>
      </c>
      <c r="AZ88" s="562"/>
      <c r="BA88" s="563"/>
      <c r="BC88" s="561">
        <f>BC87/(BC17+BC18)</f>
        <v>0.1001079017998634</v>
      </c>
      <c r="BD88" s="562">
        <f>BD87/(BD17+BD18)</f>
        <v>0.11080756497932345</v>
      </c>
      <c r="BE88" s="562"/>
      <c r="BF88" s="563"/>
    </row>
    <row r="89" spans="1:58" customFormat="1" x14ac:dyDescent="0.35">
      <c r="A89" s="9153"/>
      <c r="B89" s="371"/>
      <c r="C89" s="953"/>
      <c r="D89" s="296" t="s">
        <v>573</v>
      </c>
      <c r="E89" s="374"/>
      <c r="F89" s="679"/>
      <c r="G89" s="954"/>
      <c r="H89" s="381">
        <f>H34+H38+H85</f>
        <v>34016.829831637471</v>
      </c>
      <c r="I89" s="382">
        <f>I34+I38+I85</f>
        <v>32931.302111447068</v>
      </c>
      <c r="J89" s="955"/>
      <c r="K89" s="954"/>
      <c r="L89" s="381">
        <f>L34+L38+L85</f>
        <v>36286.702684763004</v>
      </c>
      <c r="M89" s="680">
        <f>M34+M38+M85</f>
        <v>35116.48218483352</v>
      </c>
      <c r="N89" s="954"/>
      <c r="O89" s="381">
        <f>O34+O38+O85</f>
        <v>35826.964336033321</v>
      </c>
      <c r="P89" s="382">
        <f>P34+P38+P85</f>
        <v>36224.16657809398</v>
      </c>
      <c r="Q89" s="956"/>
      <c r="R89" s="955"/>
      <c r="S89" s="954"/>
      <c r="T89" s="386">
        <f>T34+T38+T85</f>
        <v>37098.34394079254</v>
      </c>
      <c r="U89" s="957"/>
      <c r="V89" s="680">
        <f>V34+V38+V85</f>
        <v>37511.158032089341</v>
      </c>
      <c r="W89" s="958"/>
      <c r="Z89" s="381">
        <f>Z34+Z38+Z85</f>
        <v>35804.7417250414</v>
      </c>
      <c r="AA89" s="382">
        <f>AA34+AA38+AA85</f>
        <v>37102.706725041404</v>
      </c>
      <c r="AB89" s="956"/>
      <c r="AC89" s="955"/>
      <c r="AD89" s="954"/>
      <c r="AE89" s="381">
        <f>AE34+AE38+AE85</f>
        <v>39561.058567593391</v>
      </c>
      <c r="AF89" s="957"/>
      <c r="AG89" s="679">
        <f>AG34+AG38+AG85</f>
        <v>40998.671856383626</v>
      </c>
      <c r="AH89" s="958"/>
      <c r="AI89" s="381">
        <f>AI34+AI38+AI85</f>
        <v>40026.700024952814</v>
      </c>
      <c r="AJ89" s="382">
        <f>AJ34+AJ38+AJ85</f>
        <v>39768.621589952818</v>
      </c>
      <c r="AK89" s="956"/>
      <c r="AL89" s="955"/>
      <c r="AN89" s="381">
        <f>AN34+AN38+AN85</f>
        <v>46414.802451568947</v>
      </c>
      <c r="AO89" s="382">
        <f>AO34+AO38+AO85</f>
        <v>46137.275149240624</v>
      </c>
      <c r="AP89" s="956"/>
      <c r="AQ89" s="955"/>
      <c r="AR89" s="954"/>
      <c r="AS89" s="381">
        <f>AS34+AS38+AS85</f>
        <v>46909.631637526873</v>
      </c>
      <c r="AT89" s="382">
        <f>AT34+AT38+AT85</f>
        <v>41813.107949790246</v>
      </c>
      <c r="AU89" s="956"/>
      <c r="AV89" s="955"/>
      <c r="AX89" s="381">
        <f>AX34+AX38+AX85</f>
        <v>50947.519999999997</v>
      </c>
      <c r="AY89" s="382">
        <f>AY34+AY38+AY85</f>
        <v>50182.6</v>
      </c>
      <c r="AZ89" s="956"/>
      <c r="BA89" s="955"/>
      <c r="BC89" s="381"/>
      <c r="BD89" s="382"/>
      <c r="BE89" s="956"/>
      <c r="BF89" s="955"/>
    </row>
    <row r="90" spans="1:58" s="972" customFormat="1" x14ac:dyDescent="0.35">
      <c r="A90" s="9153"/>
      <c r="B90" s="959"/>
      <c r="C90" s="960"/>
      <c r="D90" s="389" t="s">
        <v>574</v>
      </c>
      <c r="E90" s="961"/>
      <c r="F90" s="962"/>
      <c r="G90" s="963"/>
      <c r="H90" s="964">
        <f>H35+H39</f>
        <v>18341.649999999998</v>
      </c>
      <c r="I90" s="965">
        <f>I35+I39</f>
        <v>10424.048323999999</v>
      </c>
      <c r="J90" s="966"/>
      <c r="K90" s="963"/>
      <c r="L90" s="964">
        <f>L35+L39</f>
        <v>17966.792000000001</v>
      </c>
      <c r="M90" s="967">
        <f>M35+M39</f>
        <v>10118.759542</v>
      </c>
      <c r="N90" s="963"/>
      <c r="O90" s="964">
        <f>O35+O39</f>
        <v>19573.723000000002</v>
      </c>
      <c r="P90" s="965">
        <f>P35+P39</f>
        <v>9019.2905699999992</v>
      </c>
      <c r="Q90" s="968"/>
      <c r="R90" s="966"/>
      <c r="S90" s="963"/>
      <c r="T90" s="969">
        <f>T35+T39</f>
        <v>20246.217000000001</v>
      </c>
      <c r="U90" s="970"/>
      <c r="V90" s="967">
        <f>V35+V39</f>
        <v>9695.9243081184759</v>
      </c>
      <c r="W90" s="971"/>
      <c r="Z90" s="964">
        <f>Z35+Z39</f>
        <v>19573.723000000002</v>
      </c>
      <c r="AA90" s="965">
        <f>AA35+AA39</f>
        <v>18466.061999999998</v>
      </c>
      <c r="AB90" s="968"/>
      <c r="AC90" s="966"/>
      <c r="AD90" s="963"/>
      <c r="AE90" s="964">
        <f>AE35+AE39</f>
        <v>15629.972</v>
      </c>
      <c r="AF90" s="970"/>
      <c r="AG90" s="962">
        <f>AG35+AG39</f>
        <v>14831.41210562555</v>
      </c>
      <c r="AH90" s="971"/>
      <c r="AI90" s="964">
        <f>AI35+AI39</f>
        <v>15629.972</v>
      </c>
      <c r="AJ90" s="965">
        <f>AJ35+AJ39</f>
        <v>6476.8396530000009</v>
      </c>
      <c r="AK90" s="968"/>
      <c r="AL90" s="966"/>
      <c r="AN90" s="964">
        <f>AN35+AN39</f>
        <v>6886.411897</v>
      </c>
      <c r="AO90" s="965">
        <f>AO35+AO39</f>
        <v>3236.1617164541431</v>
      </c>
      <c r="AP90" s="968"/>
      <c r="AQ90" s="966"/>
      <c r="AR90" s="963"/>
      <c r="AS90" s="964">
        <f>AS35+AS39</f>
        <v>6331.5219999999999</v>
      </c>
      <c r="AT90" s="965">
        <f>AT35+AT39</f>
        <v>4280.1054545454554</v>
      </c>
      <c r="AU90" s="968"/>
      <c r="AV90" s="966"/>
      <c r="AX90" s="964">
        <f>AX35+AX39</f>
        <v>0</v>
      </c>
      <c r="AY90" s="965">
        <f>AY35+AY39</f>
        <v>0</v>
      </c>
      <c r="AZ90" s="968"/>
      <c r="BA90" s="966"/>
      <c r="BC90" s="964"/>
      <c r="BD90" s="965"/>
      <c r="BE90" s="968"/>
      <c r="BF90" s="966"/>
    </row>
    <row r="91" spans="1:58" customFormat="1" x14ac:dyDescent="0.35">
      <c r="A91" s="9153"/>
      <c r="B91" s="58"/>
      <c r="C91" s="395"/>
      <c r="D91" s="296" t="s">
        <v>575</v>
      </c>
      <c r="E91" s="392"/>
      <c r="F91" s="683"/>
      <c r="G91" s="973"/>
      <c r="H91" s="397">
        <f>(H87-H89)/H18</f>
        <v>0.12947747760467038</v>
      </c>
      <c r="I91" s="398">
        <f>(I87-I89)/I18</f>
        <v>0.1300518798298255</v>
      </c>
      <c r="J91" s="974"/>
      <c r="K91" s="973"/>
      <c r="L91" s="397">
        <f>(L87-L89)/L18</f>
        <v>0.12147439590009868</v>
      </c>
      <c r="M91" s="684">
        <f>(M87-M89)/M18</f>
        <v>0.11776406524370374</v>
      </c>
      <c r="N91" s="973"/>
      <c r="O91" s="397">
        <f>(O87-O89)/O18</f>
        <v>0.12819508537072577</v>
      </c>
      <c r="P91" s="398">
        <f>(P87-P89)/P18</f>
        <v>5.96849457036032E-2</v>
      </c>
      <c r="Q91" s="975"/>
      <c r="R91" s="974"/>
      <c r="S91" s="973"/>
      <c r="T91" s="402">
        <f>(T87-T89)/T18</f>
        <v>0.12011780864179218</v>
      </c>
      <c r="U91" s="976"/>
      <c r="V91" s="684">
        <f>(V87-V89)/V18</f>
        <v>5.7565537155114407E-2</v>
      </c>
      <c r="W91" s="392"/>
      <c r="Z91" s="397">
        <f>(Z87-Z89)/Z18</f>
        <v>0.11612800128149606</v>
      </c>
      <c r="AA91" s="398">
        <f>(AA87-AA89)/AA18</f>
        <v>0.12668639288703501</v>
      </c>
      <c r="AB91" s="975"/>
      <c r="AC91" s="974"/>
      <c r="AD91" s="973"/>
      <c r="AE91" s="397">
        <f>(AE87-AE89)/AE18</f>
        <v>0.1595943865152202</v>
      </c>
      <c r="AF91" s="976"/>
      <c r="AG91" s="683">
        <f>(AG87-AG89)/AG18</f>
        <v>0.17511932804920383</v>
      </c>
      <c r="AH91" s="392"/>
      <c r="AI91" s="397">
        <f>(AI87-AI89)/AI18</f>
        <v>9.7079669974493105E-2</v>
      </c>
      <c r="AJ91" s="398">
        <f>(AJ87-AJ89)/AJ18</f>
        <v>6.3498427970588189E-2</v>
      </c>
      <c r="AK91" s="975"/>
      <c r="AL91" s="974"/>
      <c r="AN91" s="397">
        <f>(AN87-AN89)/AN18</f>
        <v>5.1799097177365791E-2</v>
      </c>
      <c r="AO91" s="398">
        <f>(AO87-AO89)/AO18</f>
        <v>3.8422812160849723E-2</v>
      </c>
      <c r="AP91" s="975"/>
      <c r="AQ91" s="974"/>
      <c r="AR91" s="973"/>
      <c r="AS91" s="397">
        <f>(AS87-AS89)/AS18</f>
        <v>4.8641866046535961E-2</v>
      </c>
      <c r="AT91" s="398">
        <f>(AT87-AT89)/AT18</f>
        <v>4.1192163532709686E-2</v>
      </c>
      <c r="AU91" s="975"/>
      <c r="AV91" s="974"/>
      <c r="AX91" s="397">
        <f>(AX87-AX89)/AX18</f>
        <v>0</v>
      </c>
      <c r="AY91" s="398">
        <f>(AY87-AY89)/AY18</f>
        <v>0</v>
      </c>
      <c r="AZ91" s="975"/>
      <c r="BA91" s="974"/>
      <c r="BC91" s="397"/>
      <c r="BD91" s="398"/>
      <c r="BE91" s="975"/>
      <c r="BF91" s="974"/>
    </row>
    <row r="92" spans="1:58" customFormat="1" x14ac:dyDescent="0.35">
      <c r="A92" s="9153"/>
      <c r="B92" s="58"/>
      <c r="C92" s="395"/>
      <c r="D92" s="296" t="s">
        <v>576</v>
      </c>
      <c r="E92" s="392"/>
      <c r="F92" s="683"/>
      <c r="G92" s="973"/>
      <c r="H92" s="397">
        <f>H89/H17</f>
        <v>0.16466183493381678</v>
      </c>
      <c r="I92" s="398">
        <f>I89/I17</f>
        <v>0.16632642789328392</v>
      </c>
      <c r="J92" s="974"/>
      <c r="K92" s="973"/>
      <c r="L92" s="397">
        <f>L89/L17</f>
        <v>0.12937727361292037</v>
      </c>
      <c r="M92" s="684">
        <f>M89/M17</f>
        <v>0.15379234283026194</v>
      </c>
      <c r="N92" s="973"/>
      <c r="O92" s="397">
        <f>O89/O17</f>
        <v>0.12638001289669798</v>
      </c>
      <c r="P92" s="398">
        <f>P89/P17</f>
        <v>0.12737675756926847</v>
      </c>
      <c r="Q92" s="975"/>
      <c r="R92" s="974"/>
      <c r="S92" s="973"/>
      <c r="T92" s="402">
        <f>T89/T17</f>
        <v>0.13438799633692156</v>
      </c>
      <c r="U92" s="976"/>
      <c r="V92" s="684">
        <f>V89/V17</f>
        <v>0.13545337503536972</v>
      </c>
      <c r="W92" s="392"/>
      <c r="Z92" s="397">
        <f>Z89/Z17</f>
        <v>0.12970194862252096</v>
      </c>
      <c r="AA92" s="398">
        <f>AA89/AA17</f>
        <v>0.12384031414106954</v>
      </c>
      <c r="AB92" s="975"/>
      <c r="AC92" s="974"/>
      <c r="AD92" s="973"/>
      <c r="AE92" s="397">
        <f>AE89/AE17</f>
        <v>0.11954495134805805</v>
      </c>
      <c r="AF92" s="976"/>
      <c r="AG92" s="683">
        <f>AG89/AG17</f>
        <v>0.11415202490813044</v>
      </c>
      <c r="AH92" s="392"/>
      <c r="AI92" s="397">
        <f>AI89/AI17</f>
        <v>0.14912398613623776</v>
      </c>
      <c r="AJ92" s="398">
        <f>AJ89/AJ17</f>
        <v>0.15656937633839693</v>
      </c>
      <c r="AK92" s="975"/>
      <c r="AL92" s="974"/>
      <c r="AN92" s="397">
        <f>AN89/AN17</f>
        <v>0.16668439818682682</v>
      </c>
      <c r="AO92" s="398">
        <f>AO89/AO17</f>
        <v>0.17508903635951525</v>
      </c>
      <c r="AP92" s="975"/>
      <c r="AQ92" s="974"/>
      <c r="AR92" s="973"/>
      <c r="AS92" s="397">
        <f>AS89/AS17</f>
        <v>0.16830430071822072</v>
      </c>
      <c r="AT92" s="398">
        <f>AT89/AT17</f>
        <v>0.17630619402504874</v>
      </c>
      <c r="AU92" s="975"/>
      <c r="AV92" s="974"/>
      <c r="AX92" s="397">
        <f>AX89/AX17</f>
        <v>0.17536604927010438</v>
      </c>
      <c r="AY92" s="398">
        <f>AY89/AY17</f>
        <v>0.18360450608995349</v>
      </c>
      <c r="AZ92" s="975"/>
      <c r="BA92" s="974"/>
      <c r="BC92" s="397"/>
      <c r="BD92" s="398"/>
      <c r="BE92" s="975"/>
      <c r="BF92" s="974"/>
    </row>
    <row r="93" spans="1:58" customFormat="1" x14ac:dyDescent="0.35">
      <c r="A93" s="9153"/>
      <c r="B93" s="58"/>
      <c r="C93" s="395"/>
      <c r="D93" s="296"/>
      <c r="E93" s="392"/>
      <c r="F93" s="393"/>
      <c r="G93" s="392"/>
      <c r="H93" s="394"/>
      <c r="I93" s="395"/>
      <c r="J93" s="229"/>
      <c r="K93" s="392"/>
      <c r="L93" s="394"/>
      <c r="M93" s="977"/>
      <c r="N93" s="392"/>
      <c r="O93" s="394"/>
      <c r="P93" s="395"/>
      <c r="R93" s="229"/>
      <c r="S93" s="392"/>
      <c r="T93" s="396"/>
      <c r="U93" s="978"/>
      <c r="V93" s="977"/>
      <c r="W93" s="392"/>
      <c r="Z93" s="394"/>
      <c r="AA93" s="395"/>
      <c r="AC93" s="229"/>
      <c r="AD93" s="392"/>
      <c r="AE93" s="394"/>
      <c r="AF93" s="978"/>
      <c r="AG93" s="393"/>
      <c r="AH93" s="392"/>
      <c r="AI93" s="394"/>
      <c r="AJ93" s="395"/>
      <c r="AL93" s="229"/>
      <c r="AN93" s="394"/>
      <c r="AO93" s="395"/>
      <c r="AQ93" s="229"/>
      <c r="AR93" s="392"/>
      <c r="AS93" s="394"/>
      <c r="AT93" s="395"/>
      <c r="AV93" s="229"/>
      <c r="AX93" s="394"/>
      <c r="AY93" s="395"/>
      <c r="BA93" s="229"/>
      <c r="BC93" s="394"/>
      <c r="BD93" s="395"/>
      <c r="BF93" s="229"/>
    </row>
    <row r="94" spans="1:58" customFormat="1" x14ac:dyDescent="0.35">
      <c r="A94" s="9153"/>
      <c r="B94" s="58"/>
      <c r="C94" s="395"/>
      <c r="D94" s="296" t="s">
        <v>577</v>
      </c>
      <c r="E94" s="392"/>
      <c r="F94" s="683"/>
      <c r="G94" s="973"/>
      <c r="H94" s="397">
        <f>H87/H12</f>
        <v>0.45928491080383749</v>
      </c>
      <c r="I94" s="398">
        <f>I87/I12</f>
        <v>0.39514537400152272</v>
      </c>
      <c r="J94" s="974"/>
      <c r="K94" s="973"/>
      <c r="L94" s="397">
        <f>L87/L12</f>
        <v>0.38908965830276754</v>
      </c>
      <c r="M94" s="684">
        <f>M87/M12</f>
        <v>0.45230266397529789</v>
      </c>
      <c r="N94" s="973"/>
      <c r="O94" s="397">
        <f>O87/O12</f>
        <v>0.44139401763987257</v>
      </c>
      <c r="P94" s="398">
        <f>P87/P12</f>
        <v>0.37145695523886679</v>
      </c>
      <c r="Q94" s="975"/>
      <c r="R94" s="974"/>
      <c r="S94" s="973"/>
      <c r="T94" s="402">
        <f>T87/T12</f>
        <v>0.43139889518903263</v>
      </c>
      <c r="U94" s="976"/>
      <c r="V94" s="684">
        <f>V87/V12</f>
        <v>0.32320490609093577</v>
      </c>
      <c r="W94" s="392"/>
      <c r="Z94" s="397">
        <f>Z87/Z12</f>
        <v>0.41660809861834996</v>
      </c>
      <c r="AA94" s="398">
        <f>AA87/AA12</f>
        <v>0.38045347831354392</v>
      </c>
      <c r="AB94" s="975"/>
      <c r="AC94" s="974"/>
      <c r="AD94" s="973"/>
      <c r="AE94" s="397">
        <f>AE87/AE12</f>
        <v>0.36190839716454681</v>
      </c>
      <c r="AF94" s="976"/>
      <c r="AG94" s="683">
        <f>AG87/AG12</f>
        <v>0.3331826865702972</v>
      </c>
      <c r="AH94" s="392"/>
      <c r="AI94" s="397">
        <f>AI87/AI12</f>
        <v>0.34663842653660265</v>
      </c>
      <c r="AJ94" s="398">
        <f>AJ87/AJ12</f>
        <v>0.34732355031712814</v>
      </c>
      <c r="AK94" s="975"/>
      <c r="AL94" s="974"/>
      <c r="AN94" s="397">
        <f>AN87/AN12</f>
        <v>0.30721161007820719</v>
      </c>
      <c r="AO94" s="398">
        <f>AO87/AO12</f>
        <v>0.34316226535940525</v>
      </c>
      <c r="AP94" s="975"/>
      <c r="AQ94" s="974"/>
      <c r="AR94" s="973"/>
      <c r="AS94" s="397">
        <f>AS87/AS12</f>
        <v>0.30686543883300793</v>
      </c>
      <c r="AT94" s="398">
        <f>AT87/AT12</f>
        <v>0.27197968646531129</v>
      </c>
      <c r="AU94" s="975"/>
      <c r="AV94" s="974"/>
      <c r="AX94" s="397">
        <f>AX87/AX12</f>
        <v>0.27098879822984373</v>
      </c>
      <c r="AY94" s="398">
        <f>AY87/AY12</f>
        <v>0.2411338180105809</v>
      </c>
      <c r="AZ94" s="975"/>
      <c r="BA94" s="974"/>
      <c r="BC94" s="397">
        <f>BC87/BC12</f>
        <v>0.28523094715635544</v>
      </c>
      <c r="BD94" s="398">
        <f>BD87/BD12</f>
        <v>0.27930494037478704</v>
      </c>
      <c r="BE94" s="975"/>
      <c r="BF94" s="974"/>
    </row>
    <row r="95" spans="1:58" customFormat="1" x14ac:dyDescent="0.35">
      <c r="A95" s="9153"/>
      <c r="B95" s="58"/>
      <c r="C95" s="395"/>
      <c r="D95" s="59" t="s">
        <v>578</v>
      </c>
      <c r="E95" s="392"/>
      <c r="F95" s="393"/>
      <c r="G95" s="392"/>
      <c r="H95" s="394"/>
      <c r="I95" s="395"/>
      <c r="J95" s="229"/>
      <c r="K95" s="392"/>
      <c r="L95" s="394"/>
      <c r="M95" s="977"/>
      <c r="N95" s="392"/>
      <c r="O95" s="394"/>
      <c r="P95" s="395"/>
      <c r="R95" s="229"/>
      <c r="S95" s="392"/>
      <c r="T95" s="396"/>
      <c r="U95" s="978"/>
      <c r="V95" s="977"/>
      <c r="W95" s="392"/>
      <c r="Z95" s="394"/>
      <c r="AA95" s="395"/>
      <c r="AC95" s="229"/>
      <c r="AD95" s="392"/>
      <c r="AE95" s="394"/>
      <c r="AF95" s="978"/>
      <c r="AG95" s="393"/>
      <c r="AH95" s="392"/>
      <c r="AI95" s="394"/>
      <c r="AJ95" s="395"/>
      <c r="AL95" s="229"/>
      <c r="AN95" s="394"/>
      <c r="AO95" s="395"/>
      <c r="AQ95" s="229"/>
      <c r="AR95" s="392"/>
      <c r="AS95" s="394"/>
      <c r="AT95" s="395"/>
      <c r="AV95" s="229"/>
      <c r="AX95" s="394"/>
      <c r="AY95" s="395"/>
      <c r="BA95" s="229"/>
      <c r="BC95" s="394"/>
      <c r="BD95" s="395"/>
      <c r="BF95" s="229"/>
    </row>
    <row r="96" spans="1:58" customFormat="1" x14ac:dyDescent="0.35">
      <c r="A96" s="9153"/>
      <c r="B96" s="58"/>
      <c r="C96" s="395"/>
      <c r="D96" s="296" t="s">
        <v>579</v>
      </c>
      <c r="E96" s="392"/>
      <c r="F96" s="393"/>
      <c r="G96" s="392"/>
      <c r="H96" s="394"/>
      <c r="I96" s="395"/>
      <c r="J96" s="229"/>
      <c r="K96" s="392"/>
      <c r="L96" s="394"/>
      <c r="M96" s="977"/>
      <c r="N96" s="392"/>
      <c r="O96" s="394"/>
      <c r="P96" s="395"/>
      <c r="R96" s="229"/>
      <c r="S96" s="392"/>
      <c r="T96" s="396"/>
      <c r="U96" s="978"/>
      <c r="V96" s="977"/>
      <c r="W96" s="392"/>
      <c r="Z96" s="394"/>
      <c r="AA96" s="395"/>
      <c r="AC96" s="229"/>
      <c r="AD96" s="392"/>
      <c r="AE96" s="394"/>
      <c r="AF96" s="978"/>
      <c r="AG96" s="393"/>
      <c r="AH96" s="392"/>
      <c r="AI96" s="394"/>
      <c r="AJ96" s="395"/>
      <c r="AL96" s="229"/>
      <c r="AN96" s="394"/>
      <c r="AO96" s="395"/>
      <c r="AQ96" s="229"/>
      <c r="AR96" s="392"/>
      <c r="AS96" s="394"/>
      <c r="AT96" s="395"/>
      <c r="AV96" s="229"/>
      <c r="AX96" s="394"/>
      <c r="AY96" s="395"/>
      <c r="BA96" s="229"/>
      <c r="BC96" s="394"/>
      <c r="BD96" s="395"/>
      <c r="BF96" s="229"/>
    </row>
    <row r="97" spans="1:58" customFormat="1" x14ac:dyDescent="0.35">
      <c r="A97" s="9153"/>
      <c r="B97" s="58"/>
      <c r="C97" s="395"/>
      <c r="D97" s="296"/>
      <c r="E97" s="392"/>
      <c r="F97" s="393"/>
      <c r="G97" s="392"/>
      <c r="H97" s="394"/>
      <c r="I97" s="395"/>
      <c r="J97" s="229"/>
      <c r="K97" s="392"/>
      <c r="L97" s="394"/>
      <c r="M97" s="977"/>
      <c r="N97" s="392"/>
      <c r="O97" s="394"/>
      <c r="P97" s="395"/>
      <c r="R97" s="229"/>
      <c r="S97" s="392"/>
      <c r="T97" s="396"/>
      <c r="U97" s="978"/>
      <c r="V97" s="977"/>
      <c r="W97" s="392"/>
      <c r="Z97" s="394"/>
      <c r="AA97" s="395"/>
      <c r="AC97" s="229"/>
      <c r="AD97" s="392"/>
      <c r="AE97" s="394"/>
      <c r="AF97" s="978"/>
      <c r="AG97" s="393"/>
      <c r="AH97" s="392"/>
      <c r="AI97" s="394"/>
      <c r="AJ97" s="395"/>
      <c r="AL97" s="229"/>
      <c r="AN97" s="394"/>
      <c r="AO97" s="395"/>
      <c r="AQ97" s="229"/>
      <c r="AR97" s="392"/>
      <c r="AS97" s="394"/>
      <c r="AT97" s="395"/>
      <c r="AV97" s="229"/>
      <c r="AX97" s="394"/>
      <c r="AY97" s="395"/>
      <c r="BA97" s="229"/>
      <c r="BC97" s="394"/>
      <c r="BD97" s="395"/>
      <c r="BF97" s="229"/>
    </row>
    <row r="98" spans="1:58" customFormat="1" x14ac:dyDescent="0.35">
      <c r="A98" s="9153"/>
      <c r="B98" s="58"/>
      <c r="C98" s="979"/>
      <c r="D98" s="980" t="s">
        <v>580</v>
      </c>
      <c r="E98" s="424"/>
      <c r="F98" s="981"/>
      <c r="G98" s="982"/>
      <c r="H98" s="983"/>
      <c r="I98" s="979"/>
      <c r="J98" s="246"/>
      <c r="K98" s="982"/>
      <c r="L98" s="983"/>
      <c r="M98" s="984"/>
      <c r="N98" s="982"/>
      <c r="O98" s="983"/>
      <c r="P98" s="979"/>
      <c r="Q98" s="985"/>
      <c r="R98" s="246"/>
      <c r="S98" s="982"/>
      <c r="T98" s="986"/>
      <c r="U98" s="987"/>
      <c r="V98" s="984"/>
      <c r="W98" s="982"/>
      <c r="Z98" s="983"/>
      <c r="AA98" s="979"/>
      <c r="AB98" s="985"/>
      <c r="AC98" s="246"/>
      <c r="AD98" s="982"/>
      <c r="AE98" s="983"/>
      <c r="AF98" s="987"/>
      <c r="AG98" s="981"/>
      <c r="AH98" s="982"/>
      <c r="AI98" s="695">
        <f>AI72/AI87</f>
        <v>0.58726417555735466</v>
      </c>
      <c r="AJ98" s="696">
        <f>AJ72/AJ87</f>
        <v>0.46173179866929992</v>
      </c>
      <c r="AK98" s="985"/>
      <c r="AL98" s="246"/>
      <c r="AN98" s="695">
        <f>AN72/AN87</f>
        <v>0.45128867343799678</v>
      </c>
      <c r="AO98" s="696">
        <f>AO72/AO87</f>
        <v>0.48718978955084968</v>
      </c>
      <c r="AP98" s="985"/>
      <c r="AQ98" s="246"/>
      <c r="AR98" s="982"/>
      <c r="AS98" s="695">
        <f>AS72/AS87</f>
        <v>0.45179776087807083</v>
      </c>
      <c r="AT98" s="696">
        <f>AT72/AT87</f>
        <v>0</v>
      </c>
      <c r="AU98" s="985"/>
      <c r="AV98" s="246"/>
      <c r="AX98" s="695">
        <f>AX72/AX87</f>
        <v>0.34092055903800622</v>
      </c>
      <c r="AY98" s="696">
        <f>AY72/AY87</f>
        <v>0.41861123178153387</v>
      </c>
      <c r="AZ98" s="985"/>
      <c r="BA98" s="246"/>
      <c r="BC98" s="695">
        <f>BC72/BC87</f>
        <v>0.43747627999280736</v>
      </c>
      <c r="BD98" s="696">
        <f>BD72/BD87</f>
        <v>0.39563046976957295</v>
      </c>
      <c r="BE98" s="985"/>
      <c r="BF98" s="246"/>
    </row>
    <row r="99" spans="1:58" customFormat="1" x14ac:dyDescent="0.35">
      <c r="A99" s="9154"/>
      <c r="B99" s="85"/>
      <c r="C99" s="705"/>
      <c r="D99" s="86" t="s">
        <v>581</v>
      </c>
      <c r="E99" s="274"/>
      <c r="F99" s="702"/>
      <c r="G99" s="460"/>
      <c r="H99" s="704"/>
      <c r="I99" s="705"/>
      <c r="J99" s="988"/>
      <c r="K99" s="460"/>
      <c r="L99" s="704"/>
      <c r="M99" s="708"/>
      <c r="N99" s="460"/>
      <c r="O99" s="704"/>
      <c r="P99" s="705"/>
      <c r="Q99" s="989"/>
      <c r="R99" s="988"/>
      <c r="S99" s="460"/>
      <c r="T99" s="707"/>
      <c r="U99" s="990"/>
      <c r="V99" s="708"/>
      <c r="W99" s="460"/>
      <c r="Z99" s="704"/>
      <c r="AA99" s="705"/>
      <c r="AB99" s="989"/>
      <c r="AC99" s="988"/>
      <c r="AD99" s="460"/>
      <c r="AE99" s="704"/>
      <c r="AF99" s="990"/>
      <c r="AG99" s="702"/>
      <c r="AH99" s="460"/>
      <c r="AI99" s="704"/>
      <c r="AJ99" s="705"/>
      <c r="AK99" s="989"/>
      <c r="AL99" s="988"/>
      <c r="AN99" s="704"/>
      <c r="AO99" s="705"/>
      <c r="AP99" s="989"/>
      <c r="AQ99" s="988"/>
      <c r="AR99" s="460"/>
      <c r="AS99" s="704"/>
      <c r="AT99" s="705"/>
      <c r="AU99" s="989"/>
      <c r="AV99" s="988"/>
      <c r="AX99" s="704"/>
      <c r="AY99" s="705"/>
      <c r="AZ99" s="989"/>
      <c r="BA99" s="988"/>
      <c r="BC99" s="704"/>
      <c r="BD99" s="705"/>
      <c r="BE99" s="989"/>
      <c r="BF99" s="988"/>
    </row>
    <row r="100" spans="1:58" s="449" customFormat="1" ht="15.5" x14ac:dyDescent="0.35">
      <c r="C100" s="450"/>
      <c r="D100" s="450"/>
      <c r="E100" s="450"/>
      <c r="F100" s="451" t="e">
        <f>((F87-F89)/F87)</f>
        <v>#DIV/0!</v>
      </c>
      <c r="G100" s="450"/>
      <c r="H100" s="451">
        <f>((H87-H89)/H87)</f>
        <v>0.35030906281043528</v>
      </c>
      <c r="I100" s="451">
        <f>((I87-I89)/I87)</f>
        <v>0.24043280054951105</v>
      </c>
      <c r="J100" s="452"/>
      <c r="K100" s="450"/>
      <c r="L100" s="451">
        <f>((L87-L89)/L87)</f>
        <v>0.33116377303241146</v>
      </c>
      <c r="M100" s="451">
        <f>((M87-M89)/M87)</f>
        <v>0.22369195246275334</v>
      </c>
      <c r="N100" s="453"/>
      <c r="O100" s="451">
        <f>((O87-O89)/O87)</f>
        <v>0.35331191617308694</v>
      </c>
      <c r="P100" s="451">
        <f>((P87-P89)/P87)</f>
        <v>0.19935016328388519</v>
      </c>
      <c r="Q100" s="454"/>
      <c r="R100" s="454"/>
      <c r="S100" s="454"/>
      <c r="T100" s="451">
        <f>((T87-T89)/T87)</f>
        <v>0.35306255149296434</v>
      </c>
      <c r="U100" s="454"/>
      <c r="V100" s="451">
        <f>((V87-V89)/V87)</f>
        <v>0.20539130629261818</v>
      </c>
      <c r="W100" s="454"/>
      <c r="Z100" s="451">
        <f>((Z87-Z89)/Z87)</f>
        <v>0.35345369535224813</v>
      </c>
      <c r="AA100" s="451">
        <f>((AA87-AA89)/AA87)</f>
        <v>0.33231008035055648</v>
      </c>
      <c r="AB100" s="454"/>
      <c r="AC100" s="454"/>
      <c r="AD100" s="454"/>
      <c r="AE100" s="451">
        <f>((AE87-AE89)/AE87)</f>
        <v>0.28319768337823858</v>
      </c>
      <c r="AF100" s="454"/>
      <c r="AG100" s="451">
        <f>((AG87-AG89)/AG87)</f>
        <v>0.2656526921169941</v>
      </c>
      <c r="AH100" s="454"/>
      <c r="AI100" s="451">
        <f>((AI87-AI89)/AI87)</f>
        <v>0.28082836129678296</v>
      </c>
      <c r="AJ100" s="451">
        <f>((AJ87-AJ89)/AJ87)</f>
        <v>0.140053520473579</v>
      </c>
      <c r="AK100" s="454"/>
      <c r="AL100" s="454"/>
      <c r="AN100" s="451">
        <f>((AN87-AN89)/AN87)</f>
        <v>0.12919803012302078</v>
      </c>
      <c r="AO100" s="451">
        <f>((AO87-AO89)/AO87)</f>
        <v>6.5544590814229267E-2</v>
      </c>
      <c r="AP100" s="454"/>
      <c r="AQ100" s="454"/>
      <c r="AR100" s="454"/>
      <c r="AS100" s="451">
        <f>((AS87-AS89)/AS87)</f>
        <v>0.11892157790392523</v>
      </c>
      <c r="AT100" s="451">
        <f>((AT87-AT89)/AT87)</f>
        <v>9.285760610786252E-2</v>
      </c>
      <c r="AU100" s="454"/>
      <c r="AV100" s="454"/>
      <c r="AX100" s="451">
        <f>((AX87-AX89)/AX87)</f>
        <v>0</v>
      </c>
      <c r="AY100" s="451">
        <f>((AY87-AY89)/AY87)</f>
        <v>0</v>
      </c>
      <c r="AZ100" s="454"/>
      <c r="BA100" s="454"/>
      <c r="BC100" s="451">
        <f>((BC87-BC89)/BC87)</f>
        <v>1</v>
      </c>
      <c r="BD100" s="451">
        <f>((BD87-BD89)/BD87)</f>
        <v>1</v>
      </c>
      <c r="BE100" s="454"/>
      <c r="BF100" s="454"/>
    </row>
    <row r="101" spans="1:58" ht="15" customHeight="1" x14ac:dyDescent="0.35">
      <c r="A101" s="455" t="s">
        <v>582</v>
      </c>
      <c r="B101" s="455"/>
      <c r="E101" s="457"/>
      <c r="F101" s="458" t="str">
        <f>IF(F89+F90=F87,"ok","erreur total")</f>
        <v>ok</v>
      </c>
      <c r="H101" s="458" t="str">
        <f>IF(H89+H90=H87,"ok","erreur total")</f>
        <v>ok</v>
      </c>
      <c r="I101" s="458" t="str">
        <f>IF(I89+I90=I87,"ok","erreur total")</f>
        <v>ok</v>
      </c>
      <c r="L101" s="458" t="str">
        <f>IF(L89+L90=L87,"ok","erreur total")</f>
        <v>ok</v>
      </c>
      <c r="M101" s="458" t="str">
        <f>IF(M89+M90=M87,"ok","erreur total")</f>
        <v>ok</v>
      </c>
      <c r="N101" s="460"/>
      <c r="O101" s="458" t="str">
        <f>IF(O89+O90=O87,"ok","erreur total")</f>
        <v>ok</v>
      </c>
      <c r="P101" s="458" t="str">
        <f>IF(P89+P90=P87,"ok","erreur total")</f>
        <v>ok</v>
      </c>
      <c r="Q101" s="461"/>
      <c r="R101" s="461"/>
      <c r="S101" s="461"/>
      <c r="T101" s="458" t="str">
        <f>IF(T89+T90=T87,"ok","erreur total")</f>
        <v>ok</v>
      </c>
      <c r="U101" s="458"/>
      <c r="V101" s="458" t="str">
        <f>IF(V89+V90=V87,"ok","erreur total")</f>
        <v>ok</v>
      </c>
      <c r="W101" s="461"/>
      <c r="X101"/>
      <c r="Z101" s="458" t="str">
        <f>IF(Z89+Z90=Z87,"ok","erreur total")</f>
        <v>ok</v>
      </c>
      <c r="AA101" s="458" t="str">
        <f>IF(AA89+AA90=AA87,"ok","erreur total")</f>
        <v>ok</v>
      </c>
      <c r="AB101" s="461"/>
      <c r="AC101" s="461"/>
      <c r="AD101" s="461"/>
      <c r="AE101" s="458" t="str">
        <f>IF(AE89+AE90=AE87,"ok","erreur total")</f>
        <v>ok</v>
      </c>
      <c r="AF101" s="458"/>
      <c r="AG101" s="458" t="str">
        <f>IF(AG89+AG90=AG87,"ok","erreur total")</f>
        <v>ok</v>
      </c>
      <c r="AH101" s="461"/>
      <c r="AI101" s="458" t="str">
        <f>IF(AI89+AI90=AI87,"ok","erreur total")</f>
        <v>ok</v>
      </c>
      <c r="AJ101" s="458" t="str">
        <f>IF(AJ89+AJ90=AJ87,"ok","erreur total")</f>
        <v>ok</v>
      </c>
      <c r="AK101" s="461"/>
      <c r="AL101" s="461"/>
      <c r="AM101"/>
      <c r="AN101" s="458" t="str">
        <f>IF(AN89+AN90=AN87,"ok","erreur total")</f>
        <v>ok</v>
      </c>
      <c r="AO101" s="458" t="str">
        <f>IF(AO89+AO90=AO87,"ok","erreur total")</f>
        <v>ok</v>
      </c>
      <c r="AP101" s="461"/>
      <c r="AQ101" s="461"/>
      <c r="AR101" s="461"/>
      <c r="AS101" s="458" t="str">
        <f>IF(AS89+AS90=AS87,"ok","erreur total")</f>
        <v>ok</v>
      </c>
      <c r="AT101" s="458" t="str">
        <f>IF(AT89+AT90=AT87,"ok","erreur total")</f>
        <v>ok</v>
      </c>
      <c r="AU101" s="461"/>
      <c r="AV101" s="461"/>
      <c r="AW101"/>
      <c r="AX101" s="458" t="str">
        <f>IF(AX89+AX90=AX87,"ok","erreur total")</f>
        <v>ok</v>
      </c>
      <c r="AY101" s="458" t="str">
        <f>IF(AY89+AY90=AY87,"ok","erreur total")</f>
        <v>ok</v>
      </c>
      <c r="AZ101" s="461"/>
      <c r="BA101" s="461"/>
      <c r="BB101"/>
      <c r="BC101" s="458" t="str">
        <f>IF(BC89+BC90=BC87,"ok","erreur total")</f>
        <v>erreur total</v>
      </c>
      <c r="BD101" s="458" t="str">
        <f>IF(BD89+BD90=BD87,"ok","erreur total")</f>
        <v>erreur total</v>
      </c>
      <c r="BE101" s="461"/>
      <c r="BF101" s="461"/>
    </row>
    <row r="102" spans="1:58" ht="12" customHeight="1" x14ac:dyDescent="0.35">
      <c r="A102" s="991">
        <v>1</v>
      </c>
      <c r="B102" s="992" t="str">
        <f>X25</f>
        <v>Pensions for Civilians and Military staff (900007)</v>
      </c>
      <c r="C102" s="992"/>
      <c r="D102" s="992"/>
      <c r="E102" s="992"/>
      <c r="F102" s="992"/>
      <c r="G102" s="992"/>
      <c r="H102" s="992"/>
      <c r="I102" s="992"/>
      <c r="J102" s="992"/>
      <c r="K102" s="992"/>
      <c r="L102" s="992"/>
      <c r="M102" s="993"/>
      <c r="N102" s="456"/>
      <c r="O102" s="461"/>
      <c r="P102" s="461"/>
      <c r="Q102" s="461"/>
      <c r="R102" s="461"/>
      <c r="S102" s="461"/>
      <c r="T102" s="461"/>
      <c r="U102" s="461"/>
      <c r="V102" s="461"/>
      <c r="W102" s="461"/>
      <c r="X102"/>
      <c r="Z102" s="461"/>
      <c r="AA102" s="461"/>
      <c r="AB102" s="461"/>
      <c r="AC102" s="461"/>
      <c r="AD102" s="461"/>
      <c r="AE102" s="461"/>
      <c r="AF102" s="461"/>
      <c r="AG102" s="461"/>
      <c r="AH102" s="461"/>
      <c r="AI102" s="461"/>
      <c r="AJ102" s="461"/>
      <c r="AK102" s="461"/>
      <c r="AL102" s="461"/>
      <c r="AM102"/>
      <c r="AN102" s="461"/>
      <c r="AO102" s="461"/>
      <c r="AP102" s="461"/>
      <c r="AQ102" s="461"/>
      <c r="AR102" s="461"/>
      <c r="AS102" s="461"/>
      <c r="AT102" s="461"/>
      <c r="AU102" s="461"/>
      <c r="AV102" s="461"/>
      <c r="AW102"/>
      <c r="AX102" s="461"/>
      <c r="AY102" s="461"/>
      <c r="AZ102" s="461"/>
      <c r="BA102" s="461"/>
      <c r="BB102"/>
      <c r="BC102" s="461"/>
      <c r="BD102" s="461"/>
      <c r="BE102" s="461"/>
      <c r="BF102" s="461"/>
    </row>
    <row r="103" spans="1:58" x14ac:dyDescent="0.35">
      <c r="A103" s="462">
        <v>2</v>
      </c>
      <c r="X103"/>
      <c r="AM103"/>
      <c r="AW103"/>
      <c r="BB103"/>
    </row>
    <row r="104" spans="1:58" x14ac:dyDescent="0.35">
      <c r="X104"/>
      <c r="AM104"/>
      <c r="AW104"/>
      <c r="BB104"/>
    </row>
    <row r="105" spans="1:58" x14ac:dyDescent="0.35">
      <c r="A105" s="462" t="s">
        <v>583</v>
      </c>
    </row>
    <row r="106" spans="1:58" x14ac:dyDescent="0.35">
      <c r="A106" s="462" t="s">
        <v>584</v>
      </c>
    </row>
    <row r="107" spans="1:58" x14ac:dyDescent="0.35">
      <c r="X107"/>
      <c r="AM107"/>
      <c r="AW107"/>
      <c r="BB107"/>
    </row>
    <row r="108" spans="1:58" x14ac:dyDescent="0.35">
      <c r="X108"/>
      <c r="AM108"/>
      <c r="AW108"/>
      <c r="BB108"/>
    </row>
    <row r="109" spans="1:58" x14ac:dyDescent="0.35">
      <c r="X109"/>
      <c r="AM109"/>
      <c r="AW109"/>
      <c r="BB109"/>
    </row>
    <row r="110" spans="1:58" x14ac:dyDescent="0.35">
      <c r="X110"/>
      <c r="AM110"/>
      <c r="AW110"/>
      <c r="BB110"/>
    </row>
    <row r="111" spans="1:58" x14ac:dyDescent="0.35">
      <c r="X111"/>
      <c r="AM111"/>
      <c r="AW111"/>
      <c r="BB111"/>
    </row>
  </sheetData>
  <mergeCells count="57">
    <mergeCell ref="AX32:AY32"/>
    <mergeCell ref="BC32:BD32"/>
    <mergeCell ref="A71:A80"/>
    <mergeCell ref="A82:A99"/>
    <mergeCell ref="AX7:AY7"/>
    <mergeCell ref="BA7:BA8"/>
    <mergeCell ref="BC7:BD7"/>
    <mergeCell ref="A32:A69"/>
    <mergeCell ref="AS32:AT32"/>
    <mergeCell ref="BF7:BF8"/>
    <mergeCell ref="A10:A30"/>
    <mergeCell ref="AX10:AY10"/>
    <mergeCell ref="BC10:BD10"/>
    <mergeCell ref="AI7:AJ7"/>
    <mergeCell ref="AL7:AL8"/>
    <mergeCell ref="AN7:AO7"/>
    <mergeCell ref="AQ7:AQ8"/>
    <mergeCell ref="AS7:AT7"/>
    <mergeCell ref="AV7:AV8"/>
    <mergeCell ref="BC5:BF5"/>
    <mergeCell ref="H7:I7"/>
    <mergeCell ref="J7:J8"/>
    <mergeCell ref="L7:M7"/>
    <mergeCell ref="O7:P7"/>
    <mergeCell ref="R7:R8"/>
    <mergeCell ref="T7:V7"/>
    <mergeCell ref="Z7:AA7"/>
    <mergeCell ref="AC7:AC8"/>
    <mergeCell ref="AE7:AG7"/>
    <mergeCell ref="Z5:AC5"/>
    <mergeCell ref="AE5:AG5"/>
    <mergeCell ref="AI5:AL5"/>
    <mergeCell ref="AN5:AQ5"/>
    <mergeCell ref="AS5:AV5"/>
    <mergeCell ref="AX5:BA5"/>
    <mergeCell ref="BC4:BF4"/>
    <mergeCell ref="H4:J4"/>
    <mergeCell ref="L4:M4"/>
    <mergeCell ref="O4:R4"/>
    <mergeCell ref="T4:V4"/>
    <mergeCell ref="X4:X5"/>
    <mergeCell ref="Z4:AC4"/>
    <mergeCell ref="H5:J5"/>
    <mergeCell ref="L5:M5"/>
    <mergeCell ref="O5:R5"/>
    <mergeCell ref="T5:V5"/>
    <mergeCell ref="AE4:AG4"/>
    <mergeCell ref="AI4:AL4"/>
    <mergeCell ref="AN4:AQ4"/>
    <mergeCell ref="AS4:AV4"/>
    <mergeCell ref="AX4:BA4"/>
    <mergeCell ref="BC1:BF1"/>
    <mergeCell ref="F1:M1"/>
    <mergeCell ref="O1:V1"/>
    <mergeCell ref="Z1:AG1"/>
    <mergeCell ref="AI1:AQ1"/>
    <mergeCell ref="AS1:BA1"/>
  </mergeCells>
  <hyperlinks>
    <hyperlink ref="Q10" r:id="rId1" xr:uid="{EE3B6824-21DF-412B-9A51-C5C751B91CC2}"/>
    <hyperlink ref="AB10" r:id="rId2" xr:uid="{77285826-7A81-4795-A276-AB97B662BB1D}"/>
    <hyperlink ref="AF10" r:id="rId3" xr:uid="{6C3D78B3-6EB6-4278-8AC5-8175972CDA26}"/>
    <hyperlink ref="AP10" r:id="rId4" xr:uid="{BD9DEAF0-7C98-4F98-B0B6-3BF5AB6D52EC}"/>
    <hyperlink ref="AZ10" r:id="rId5" xr:uid="{E6DCF30C-37EE-4804-BFE5-2DBAD549AFFE}"/>
    <hyperlink ref="AU10" r:id="rId6" xr:uid="{821006F2-CFC6-4B84-AC86-B76B14D5E7B6}"/>
    <hyperlink ref="BE10" r:id="rId7" xr:uid="{981A81CB-C3E2-49C8-A7A1-40264F53A8B8}"/>
  </hyperlinks>
  <pageMargins left="0.23622047244094491" right="0.23622047244094491" top="0.35433070866141736" bottom="0.35433070866141736" header="0.31496062992125984" footer="0.31496062992125984"/>
  <pageSetup paperSize="9" scale="45" orientation="portrait" horizontalDpi="4294967293" verticalDpi="4294967293" r:id="rId8"/>
  <headerFooter>
    <oddFooter>&amp;R&amp;1#&amp;"Calibri"&amp;12&amp;K000000Official Use</oddFooter>
  </headerFooter>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H121"/>
  <sheetViews>
    <sheetView topLeftCell="A48" zoomScale="77" zoomScaleNormal="100" workbookViewId="0">
      <pane xSplit="3" topLeftCell="BC1" activePane="topRight" state="frozen"/>
      <selection activeCell="A14" sqref="A14"/>
      <selection pane="topRight" activeCell="BH92" sqref="BH92"/>
    </sheetView>
  </sheetViews>
  <sheetFormatPr defaultColWidth="9.1796875" defaultRowHeight="14.5" x14ac:dyDescent="0.35"/>
  <cols>
    <col min="1" max="1" width="6.6328125" customWidth="1"/>
    <col min="2" max="2" width="19.453125" customWidth="1"/>
    <col min="3" max="3" width="19.453125" style="1" customWidth="1"/>
    <col min="4" max="4" width="4.6328125" style="2" customWidth="1"/>
    <col min="5" max="5" width="1.6328125" style="1" customWidth="1"/>
    <col min="6" max="6" width="21.6328125" style="1" customWidth="1"/>
    <col min="7" max="7" width="1.6328125" style="1" customWidth="1"/>
    <col min="8" max="9" width="21.6328125" style="6" customWidth="1"/>
    <col min="10" max="10" width="8.6328125" style="7" customWidth="1"/>
    <col min="11" max="11" width="1.6328125" style="1" customWidth="1"/>
    <col min="12" max="13" width="21.6328125" customWidth="1"/>
    <col min="14" max="14" width="1.6328125" style="1" customWidth="1"/>
    <col min="15" max="17" width="21.6328125" style="6" customWidth="1"/>
    <col min="18" max="18" width="8.6328125" style="7" customWidth="1"/>
    <col min="19" max="19" width="1.6328125" style="1" customWidth="1"/>
    <col min="20" max="20" width="21.6328125" customWidth="1"/>
    <col min="21" max="21" width="23.1796875" customWidth="1"/>
    <col min="22" max="22" width="21.6328125" customWidth="1"/>
    <col min="23" max="23" width="1.6328125" style="1" customWidth="1"/>
    <col min="24" max="24" width="2.453125" customWidth="1"/>
    <col min="25" max="26" width="21.6328125" customWidth="1"/>
    <col min="27" max="27" width="21.6328125" style="6" customWidth="1"/>
    <col min="28" max="28" width="10.81640625" style="7" customWidth="1"/>
    <col min="29" max="29" width="1.6328125" style="1" customWidth="1"/>
    <col min="30" max="30" width="21.6328125" customWidth="1"/>
    <col min="31" max="31" width="38" customWidth="1"/>
    <col min="32" max="32" width="21.6328125" customWidth="1"/>
    <col min="33" max="33" width="1.6328125" style="1" customWidth="1"/>
    <col min="34" max="34" width="24.81640625" customWidth="1"/>
    <col min="35" max="36" width="21.6328125" customWidth="1"/>
    <col min="37" max="37" width="21.6328125" style="6" customWidth="1"/>
    <col min="38" max="38" width="10.81640625" style="7" customWidth="1"/>
    <col min="39" max="39" width="1.6328125" style="1" customWidth="1"/>
    <col min="40" max="40" width="21.6328125" customWidth="1"/>
    <col min="41" max="41" width="38" customWidth="1"/>
    <col min="42" max="42" width="21.6328125" customWidth="1"/>
    <col min="44" max="45" width="21.6328125" customWidth="1"/>
    <col min="46" max="46" width="21.6328125" style="6" customWidth="1"/>
    <col min="47" max="47" width="10.81640625" style="7" customWidth="1"/>
    <col min="48" max="48" width="1.6328125" style="1" customWidth="1"/>
    <col min="49" max="49" width="21.6328125" customWidth="1"/>
    <col min="50" max="50" width="38" customWidth="1"/>
    <col min="51" max="51" width="21.6328125" customWidth="1"/>
    <col min="53" max="54" width="21.6328125" customWidth="1"/>
    <col min="55" max="55" width="26" style="6" customWidth="1"/>
    <col min="56" max="56" width="10.81640625" style="7" customWidth="1"/>
    <col min="57" max="57" width="1.6328125" style="1" customWidth="1"/>
    <col min="58" max="58" width="21.6328125" customWidth="1"/>
    <col min="59" max="59" width="33.1796875" customWidth="1"/>
    <col min="60" max="60" width="21.6328125" customWidth="1"/>
  </cols>
  <sheetData>
    <row r="1" spans="1:60" ht="31" x14ac:dyDescent="0.7">
      <c r="F1" s="9118" t="s">
        <v>585</v>
      </c>
      <c r="G1" s="9119"/>
      <c r="H1" s="9119"/>
      <c r="I1" s="9119"/>
      <c r="J1" s="9119"/>
      <c r="K1" s="9119"/>
      <c r="L1" s="9119"/>
      <c r="M1" s="9120"/>
      <c r="O1" s="9174" t="s">
        <v>395</v>
      </c>
      <c r="P1" s="9175"/>
      <c r="Q1" s="9175"/>
      <c r="R1" s="9175"/>
      <c r="S1" s="9175"/>
      <c r="T1" s="9175"/>
      <c r="U1" s="9175"/>
      <c r="V1" s="9176"/>
      <c r="Y1" s="9124" t="s">
        <v>396</v>
      </c>
      <c r="Z1" s="9125"/>
      <c r="AA1" s="9125"/>
      <c r="AB1" s="9125"/>
      <c r="AC1" s="9125"/>
      <c r="AD1" s="9125"/>
      <c r="AE1" s="9125"/>
      <c r="AF1" s="9126"/>
      <c r="AI1" s="9177" t="s">
        <v>397</v>
      </c>
      <c r="AJ1" s="9178"/>
      <c r="AK1" s="9178"/>
      <c r="AL1" s="9178"/>
      <c r="AM1" s="9178"/>
      <c r="AN1" s="9178"/>
      <c r="AO1" s="9178"/>
      <c r="AP1" s="9179"/>
      <c r="AR1" s="9164" t="s">
        <v>398</v>
      </c>
      <c r="AS1" s="9165"/>
      <c r="AT1" s="9165"/>
      <c r="AU1" s="9165"/>
      <c r="AV1" s="9165"/>
      <c r="AW1" s="9165"/>
      <c r="AX1" s="9165"/>
      <c r="AY1" s="9166"/>
      <c r="BA1" s="9184" t="s">
        <v>399</v>
      </c>
      <c r="BB1" s="9185"/>
      <c r="BC1" s="9185"/>
      <c r="BD1" s="9185"/>
      <c r="BE1" s="9185"/>
      <c r="BF1" s="9185"/>
      <c r="BG1" s="9185"/>
      <c r="BH1" s="9186"/>
    </row>
    <row r="2" spans="1:60" ht="21" x14ac:dyDescent="0.5">
      <c r="B2" s="1" t="s">
        <v>9</v>
      </c>
      <c r="C2" s="4" t="s">
        <v>23</v>
      </c>
      <c r="H2"/>
    </row>
    <row r="4" spans="1:60" s="8" customFormat="1" ht="15.25" customHeight="1" x14ac:dyDescent="0.35">
      <c r="D4" s="579"/>
      <c r="F4" s="8326" t="s">
        <v>400</v>
      </c>
      <c r="H4" s="9130" t="s">
        <v>401</v>
      </c>
      <c r="I4" s="9131"/>
      <c r="J4" s="9132"/>
      <c r="L4" s="9130" t="s">
        <v>402</v>
      </c>
      <c r="M4" s="9132"/>
      <c r="O4" s="9130" t="s">
        <v>403</v>
      </c>
      <c r="P4" s="9131"/>
      <c r="Q4" s="9131"/>
      <c r="R4" s="9132"/>
      <c r="T4" s="9130" t="s">
        <v>402</v>
      </c>
      <c r="U4" s="9131"/>
      <c r="V4" s="9132"/>
      <c r="X4" s="9180" t="s">
        <v>404</v>
      </c>
      <c r="Y4" s="9130" t="s">
        <v>403</v>
      </c>
      <c r="Z4" s="9131"/>
      <c r="AA4" s="9131"/>
      <c r="AB4" s="9132"/>
      <c r="AD4" s="9130" t="s">
        <v>402</v>
      </c>
      <c r="AE4" s="9131"/>
      <c r="AF4" s="9132"/>
      <c r="AH4" s="9180" t="s">
        <v>404</v>
      </c>
      <c r="AI4" s="9130" t="s">
        <v>403</v>
      </c>
      <c r="AJ4" s="9131"/>
      <c r="AK4" s="9131"/>
      <c r="AL4" s="9132"/>
      <c r="AN4" s="9130" t="s">
        <v>402</v>
      </c>
      <c r="AO4" s="9131"/>
      <c r="AP4" s="9132"/>
      <c r="AR4" s="9130" t="s">
        <v>403</v>
      </c>
      <c r="AS4" s="9131"/>
      <c r="AT4" s="9131"/>
      <c r="AU4" s="9132"/>
      <c r="AW4" s="9130" t="s">
        <v>402</v>
      </c>
      <c r="AX4" s="9131"/>
      <c r="AY4" s="9132"/>
      <c r="BA4" s="9130" t="s">
        <v>403</v>
      </c>
      <c r="BB4" s="9131"/>
      <c r="BC4" s="9131"/>
      <c r="BD4" s="9132"/>
      <c r="BF4" s="9130" t="s">
        <v>402</v>
      </c>
      <c r="BG4" s="9131"/>
      <c r="BH4" s="9132"/>
    </row>
    <row r="5" spans="1:60" x14ac:dyDescent="0.35">
      <c r="B5" s="1" t="s">
        <v>406</v>
      </c>
      <c r="C5" s="11">
        <v>2006</v>
      </c>
      <c r="F5" s="8324">
        <v>2011</v>
      </c>
      <c r="G5" s="12"/>
      <c r="H5" s="9138">
        <v>2014</v>
      </c>
      <c r="I5" s="9139"/>
      <c r="J5" s="9140"/>
      <c r="K5" s="12"/>
      <c r="L5" s="9138">
        <v>2015</v>
      </c>
      <c r="M5" s="9140"/>
      <c r="O5" s="9138">
        <v>2015</v>
      </c>
      <c r="P5" s="9139"/>
      <c r="Q5" s="9139"/>
      <c r="R5" s="9140"/>
      <c r="S5" s="12"/>
      <c r="T5" s="9138">
        <v>2016</v>
      </c>
      <c r="U5" s="9139"/>
      <c r="V5" s="9140"/>
      <c r="X5" s="9181"/>
      <c r="Y5" s="9138">
        <v>2016</v>
      </c>
      <c r="Z5" s="9139"/>
      <c r="AA5" s="9139"/>
      <c r="AB5" s="9140"/>
      <c r="AC5" s="12"/>
      <c r="AD5" s="9138">
        <v>2017</v>
      </c>
      <c r="AE5" s="9139"/>
      <c r="AF5" s="9140"/>
      <c r="AH5" s="9181"/>
      <c r="AI5" s="9138">
        <v>2017</v>
      </c>
      <c r="AJ5" s="9139"/>
      <c r="AK5" s="9139"/>
      <c r="AL5" s="9140"/>
      <c r="AM5" s="12"/>
      <c r="AN5" s="9138">
        <v>2018</v>
      </c>
      <c r="AO5" s="9139"/>
      <c r="AP5" s="9140"/>
      <c r="AR5" s="9138">
        <v>2018</v>
      </c>
      <c r="AS5" s="9139"/>
      <c r="AT5" s="9139"/>
      <c r="AU5" s="9140"/>
      <c r="AV5" s="12"/>
      <c r="AW5" s="9138">
        <v>2019</v>
      </c>
      <c r="AX5" s="9139"/>
      <c r="AY5" s="9140"/>
      <c r="BA5" s="9138">
        <v>2019</v>
      </c>
      <c r="BB5" s="9139"/>
      <c r="BC5" s="9139"/>
      <c r="BD5" s="9140"/>
      <c r="BE5" s="12"/>
      <c r="BF5" s="9138">
        <v>2020</v>
      </c>
      <c r="BG5" s="9139"/>
      <c r="BH5" s="9140"/>
    </row>
    <row r="6" spans="1:60" x14ac:dyDescent="0.35">
      <c r="C6"/>
      <c r="F6" s="6"/>
      <c r="L6" s="14"/>
      <c r="T6" s="14"/>
      <c r="U6" s="14"/>
      <c r="X6" s="6"/>
      <c r="Y6" s="14"/>
      <c r="AD6" s="14"/>
      <c r="AE6" s="14"/>
      <c r="AH6" s="6"/>
      <c r="AI6" s="14"/>
      <c r="AN6" s="14"/>
      <c r="AO6" s="14"/>
      <c r="AR6" s="14"/>
      <c r="AW6" s="14"/>
      <c r="AX6" s="14"/>
      <c r="BA6" s="14"/>
      <c r="BF6" s="14"/>
      <c r="BG6" s="14"/>
    </row>
    <row r="7" spans="1:60" ht="12.75" customHeight="1" x14ac:dyDescent="0.35">
      <c r="B7" s="1" t="s">
        <v>101</v>
      </c>
      <c r="C7" s="15" t="s">
        <v>586</v>
      </c>
      <c r="D7" s="2" t="s">
        <v>417</v>
      </c>
      <c r="F7" s="8322" t="s">
        <v>587</v>
      </c>
      <c r="H7" s="9173" t="s">
        <v>587</v>
      </c>
      <c r="I7" s="9173"/>
      <c r="J7" s="9147" t="s">
        <v>419</v>
      </c>
      <c r="L7" s="9149" t="s">
        <v>587</v>
      </c>
      <c r="M7" s="9151"/>
      <c r="O7" s="9149" t="s">
        <v>587</v>
      </c>
      <c r="P7" s="9151"/>
      <c r="Q7" s="16"/>
      <c r="R7" s="9147" t="s">
        <v>419</v>
      </c>
      <c r="T7" s="9149" t="s">
        <v>587</v>
      </c>
      <c r="U7" s="9150"/>
      <c r="V7" s="9151"/>
      <c r="X7" s="18"/>
      <c r="Y7" s="9149" t="s">
        <v>587</v>
      </c>
      <c r="Z7" s="9151"/>
      <c r="AA7" s="16"/>
      <c r="AB7" s="9147" t="s">
        <v>419</v>
      </c>
      <c r="AD7" s="9149" t="s">
        <v>587</v>
      </c>
      <c r="AE7" s="9150"/>
      <c r="AF7" s="9151"/>
      <c r="AH7" s="18"/>
      <c r="AI7" s="9149" t="s">
        <v>587</v>
      </c>
      <c r="AJ7" s="9151"/>
      <c r="AK7" s="16"/>
      <c r="AL7" s="9147" t="s">
        <v>419</v>
      </c>
      <c r="AN7" s="9149" t="s">
        <v>587</v>
      </c>
      <c r="AO7" s="9150"/>
      <c r="AP7" s="9151"/>
      <c r="AR7" s="9149" t="s">
        <v>588</v>
      </c>
      <c r="AS7" s="9151"/>
      <c r="AT7" s="16"/>
      <c r="AU7" s="9147" t="s">
        <v>419</v>
      </c>
      <c r="AW7" s="9149" t="s">
        <v>588</v>
      </c>
      <c r="AX7" s="9150"/>
      <c r="AY7" s="9151"/>
      <c r="BA7" s="9149" t="s">
        <v>588</v>
      </c>
      <c r="BB7" s="9151"/>
      <c r="BC7" s="16"/>
      <c r="BD7" s="9147" t="s">
        <v>419</v>
      </c>
      <c r="BF7" s="9149" t="s">
        <v>588</v>
      </c>
      <c r="BG7" s="9150"/>
      <c r="BH7" s="9151"/>
    </row>
    <row r="8" spans="1:60" x14ac:dyDescent="0.35">
      <c r="B8" s="1" t="s">
        <v>420</v>
      </c>
      <c r="C8" s="19" t="s">
        <v>589</v>
      </c>
      <c r="F8" s="20" t="s">
        <v>96</v>
      </c>
      <c r="H8" s="20" t="s">
        <v>423</v>
      </c>
      <c r="I8" s="20" t="s">
        <v>96</v>
      </c>
      <c r="J8" s="9148"/>
      <c r="L8" s="21" t="s">
        <v>423</v>
      </c>
      <c r="M8" s="20" t="s">
        <v>96</v>
      </c>
      <c r="O8" s="20" t="s">
        <v>424</v>
      </c>
      <c r="P8" s="20" t="s">
        <v>96</v>
      </c>
      <c r="Q8" s="22" t="s">
        <v>425</v>
      </c>
      <c r="R8" s="9148"/>
      <c r="T8" s="21" t="s">
        <v>424</v>
      </c>
      <c r="U8" s="22" t="s">
        <v>425</v>
      </c>
      <c r="V8" s="20" t="s">
        <v>96</v>
      </c>
      <c r="X8" s="24"/>
      <c r="Y8" s="21" t="s">
        <v>424</v>
      </c>
      <c r="Z8" s="20" t="s">
        <v>96</v>
      </c>
      <c r="AA8" s="22" t="s">
        <v>425</v>
      </c>
      <c r="AB8" s="9148"/>
      <c r="AD8" s="21" t="s">
        <v>424</v>
      </c>
      <c r="AE8" s="22" t="s">
        <v>425</v>
      </c>
      <c r="AF8" s="20" t="s">
        <v>96</v>
      </c>
      <c r="AH8" s="24"/>
      <c r="AI8" s="21" t="s">
        <v>424</v>
      </c>
      <c r="AJ8" s="20" t="s">
        <v>96</v>
      </c>
      <c r="AK8" s="22" t="s">
        <v>425</v>
      </c>
      <c r="AL8" s="9148"/>
      <c r="AN8" s="21" t="s">
        <v>424</v>
      </c>
      <c r="AO8" s="22" t="s">
        <v>425</v>
      </c>
      <c r="AP8" s="20" t="s">
        <v>96</v>
      </c>
      <c r="AR8" s="21" t="s">
        <v>424</v>
      </c>
      <c r="AS8" s="20" t="s">
        <v>96</v>
      </c>
      <c r="AT8" s="22" t="s">
        <v>425</v>
      </c>
      <c r="AU8" s="9148"/>
      <c r="AW8" s="21" t="s">
        <v>424</v>
      </c>
      <c r="AX8" s="22" t="s">
        <v>425</v>
      </c>
      <c r="AY8" s="20" t="s">
        <v>96</v>
      </c>
      <c r="BA8" s="21" t="s">
        <v>424</v>
      </c>
      <c r="BB8" s="20" t="s">
        <v>96</v>
      </c>
      <c r="BC8" s="22" t="s">
        <v>425</v>
      </c>
      <c r="BD8" s="9148"/>
      <c r="BF8" s="21" t="s">
        <v>424</v>
      </c>
      <c r="BG8" s="22" t="s">
        <v>425</v>
      </c>
      <c r="BH8" s="20" t="s">
        <v>96</v>
      </c>
    </row>
    <row r="9" spans="1:60" x14ac:dyDescent="0.35">
      <c r="C9"/>
      <c r="E9"/>
      <c r="F9"/>
      <c r="G9"/>
      <c r="H9"/>
      <c r="I9"/>
      <c r="J9" s="25"/>
      <c r="K9"/>
      <c r="N9"/>
      <c r="O9"/>
      <c r="P9"/>
      <c r="Q9"/>
      <c r="R9" s="25"/>
      <c r="S9"/>
      <c r="W9"/>
      <c r="AA9"/>
      <c r="AB9" s="25"/>
      <c r="AC9"/>
      <c r="AG9"/>
      <c r="AK9"/>
      <c r="AL9" s="25"/>
      <c r="AM9"/>
      <c r="AT9"/>
      <c r="AU9" s="25"/>
      <c r="AV9"/>
      <c r="BC9"/>
      <c r="BD9" s="25"/>
      <c r="BE9"/>
    </row>
    <row r="10" spans="1:60" ht="33.25" customHeight="1" x14ac:dyDescent="0.35">
      <c r="A10" s="9167" t="s">
        <v>426</v>
      </c>
      <c r="B10" s="27"/>
      <c r="C10" s="28" t="s">
        <v>427</v>
      </c>
      <c r="D10" s="580" t="s">
        <v>428</v>
      </c>
      <c r="E10" s="30"/>
      <c r="F10" s="31"/>
      <c r="G10"/>
      <c r="H10" s="4872" t="s">
        <v>590</v>
      </c>
      <c r="I10" s="31" t="s">
        <v>591</v>
      </c>
      <c r="J10" s="32"/>
      <c r="K10" s="33"/>
      <c r="L10" s="4872" t="s">
        <v>592</v>
      </c>
      <c r="M10" s="34" t="s">
        <v>593</v>
      </c>
      <c r="N10" s="33"/>
      <c r="O10" s="8314" t="s">
        <v>594</v>
      </c>
      <c r="P10" s="8315" t="s">
        <v>595</v>
      </c>
      <c r="Q10" s="3236" t="s">
        <v>596</v>
      </c>
      <c r="R10" s="32"/>
      <c r="S10" s="33"/>
      <c r="T10" s="31" t="s">
        <v>597</v>
      </c>
      <c r="U10" s="3236" t="s">
        <v>598</v>
      </c>
      <c r="V10" s="34" t="s">
        <v>597</v>
      </c>
      <c r="W10" s="33"/>
      <c r="X10" s="39"/>
      <c r="Y10" s="31" t="s">
        <v>597</v>
      </c>
      <c r="Z10" s="36" t="s">
        <v>597</v>
      </c>
      <c r="AA10" s="581" t="s">
        <v>599</v>
      </c>
      <c r="AB10" s="32"/>
      <c r="AC10" s="33"/>
      <c r="AD10" s="36" t="s">
        <v>597</v>
      </c>
      <c r="AE10" s="581" t="s">
        <v>600</v>
      </c>
      <c r="AF10" s="36" t="s">
        <v>601</v>
      </c>
      <c r="AG10" s="33"/>
      <c r="AH10" s="39"/>
      <c r="AI10" s="31" t="s">
        <v>597</v>
      </c>
      <c r="AJ10" s="36" t="s">
        <v>601</v>
      </c>
      <c r="AK10" s="581" t="s">
        <v>599</v>
      </c>
      <c r="AL10" s="32"/>
      <c r="AM10" s="33"/>
      <c r="AN10" s="36" t="s">
        <v>602</v>
      </c>
      <c r="AO10" s="581"/>
      <c r="AP10" s="36" t="s">
        <v>603</v>
      </c>
      <c r="AR10" s="31" t="s">
        <v>604</v>
      </c>
      <c r="AS10" s="31" t="s">
        <v>605</v>
      </c>
      <c r="AT10" s="581" t="s">
        <v>606</v>
      </c>
      <c r="AU10" s="32"/>
      <c r="AV10" s="33"/>
      <c r="AW10" s="36" t="s">
        <v>607</v>
      </c>
      <c r="AX10" s="581"/>
      <c r="AY10" s="36" t="s">
        <v>607</v>
      </c>
      <c r="BA10" s="31" t="s">
        <v>608</v>
      </c>
      <c r="BB10" s="31" t="s">
        <v>609</v>
      </c>
      <c r="BC10" s="581" t="s">
        <v>606</v>
      </c>
      <c r="BD10" s="32"/>
      <c r="BE10" s="33"/>
      <c r="BF10" s="36" t="s">
        <v>610</v>
      </c>
      <c r="BG10" s="581" t="s">
        <v>606</v>
      </c>
      <c r="BH10" s="36" t="s">
        <v>610</v>
      </c>
    </row>
    <row r="11" spans="1:60" ht="12.75" customHeight="1" x14ac:dyDescent="0.35">
      <c r="A11" s="9168"/>
      <c r="B11" s="40" t="s">
        <v>451</v>
      </c>
      <c r="C11" s="41"/>
      <c r="D11" s="585"/>
      <c r="E11" s="43"/>
      <c r="F11" s="44"/>
      <c r="G11"/>
      <c r="H11" s="45"/>
      <c r="I11" s="46"/>
      <c r="J11" s="47"/>
      <c r="K11" s="48"/>
      <c r="L11" s="45"/>
      <c r="M11" s="49"/>
      <c r="N11" s="50"/>
      <c r="O11" s="45"/>
      <c r="P11" s="46"/>
      <c r="Q11" s="474"/>
      <c r="R11" s="47"/>
      <c r="S11" s="48"/>
      <c r="T11" s="45"/>
      <c r="U11" s="474"/>
      <c r="V11" s="738"/>
      <c r="W11" s="50"/>
      <c r="X11" s="18"/>
      <c r="Y11" s="45"/>
      <c r="Z11" s="738"/>
      <c r="AA11" s="474"/>
      <c r="AB11" s="47"/>
      <c r="AC11" s="48"/>
      <c r="AD11" s="45"/>
      <c r="AE11" s="474"/>
      <c r="AF11" s="738"/>
      <c r="AG11" s="50"/>
      <c r="AH11" s="18"/>
      <c r="AI11" s="45"/>
      <c r="AJ11" s="46"/>
      <c r="AK11" s="474"/>
      <c r="AL11" s="47"/>
      <c r="AM11" s="48"/>
      <c r="AN11" s="6123" t="s">
        <v>611</v>
      </c>
      <c r="AO11" s="474"/>
      <c r="AP11" s="4873"/>
      <c r="AR11" s="45"/>
      <c r="AS11" s="46"/>
      <c r="AT11" s="474"/>
      <c r="AU11" s="47"/>
      <c r="AV11" s="48"/>
      <c r="AW11" s="6123" t="s">
        <v>612</v>
      </c>
      <c r="AX11" s="474"/>
      <c r="AY11" s="738" t="s">
        <v>613</v>
      </c>
      <c r="BA11" s="154" t="s">
        <v>614</v>
      </c>
      <c r="BB11" s="54" t="s">
        <v>615</v>
      </c>
      <c r="BC11" s="474"/>
      <c r="BD11" s="47"/>
      <c r="BE11" s="48"/>
      <c r="BF11" s="6123" t="s">
        <v>612</v>
      </c>
      <c r="BG11" s="474"/>
      <c r="BH11" s="738" t="s">
        <v>613</v>
      </c>
    </row>
    <row r="12" spans="1:60" x14ac:dyDescent="0.35">
      <c r="A12" s="9168"/>
      <c r="B12" s="58"/>
      <c r="C12" s="59" t="s">
        <v>456</v>
      </c>
      <c r="D12" s="197"/>
      <c r="F12" s="61">
        <f>235509000+11791000+22731000</f>
        <v>270031000</v>
      </c>
      <c r="G12"/>
      <c r="H12" s="62"/>
      <c r="I12" s="63">
        <f>253413000+12447000+20667000</f>
        <v>286527000</v>
      </c>
      <c r="J12" s="64">
        <f>IF(H12=0,0,I12/H12)</f>
        <v>0</v>
      </c>
      <c r="K12" s="65"/>
      <c r="L12" s="62">
        <f>272358000+12563000+30600000</f>
        <v>315521000</v>
      </c>
      <c r="M12" s="66">
        <f>L12*J12</f>
        <v>0</v>
      </c>
      <c r="N12" s="67"/>
      <c r="O12" s="71">
        <f>L12</f>
        <v>315521000</v>
      </c>
      <c r="P12" s="74">
        <f>260461000+11700000+25574000</f>
        <v>297735000</v>
      </c>
      <c r="Q12" s="53" t="s">
        <v>616</v>
      </c>
      <c r="R12" s="64">
        <f>IF(O12=0,0,P12/O12)</f>
        <v>0.94362974255279364</v>
      </c>
      <c r="S12" s="65"/>
      <c r="T12" s="62">
        <f>282211000+14502000+25680000</f>
        <v>322393000</v>
      </c>
      <c r="U12" s="53" t="s">
        <v>616</v>
      </c>
      <c r="V12" s="301">
        <f>275776000+14951000+22356000</f>
        <v>313083000</v>
      </c>
      <c r="W12" s="67"/>
      <c r="X12" s="26"/>
      <c r="Y12" s="62">
        <f>282211000+14502000+25680000</f>
        <v>322393000</v>
      </c>
      <c r="Z12" s="301">
        <f>275776000+14951000+22356000</f>
        <v>313083000</v>
      </c>
      <c r="AA12" s="53" t="s">
        <v>616</v>
      </c>
      <c r="AB12" s="64">
        <f>IF(Y12=0,0,Z12/Y12)</f>
        <v>0.97112220178477826</v>
      </c>
      <c r="AC12" s="65"/>
      <c r="AD12" s="71">
        <f>(299400+20901+24400)*1000</f>
        <v>344701000</v>
      </c>
      <c r="AE12" s="57" t="s">
        <v>616</v>
      </c>
      <c r="AF12" s="998">
        <f>(293386+18447+20683)*1000</f>
        <v>332516000</v>
      </c>
      <c r="AG12" s="67"/>
      <c r="AH12" s="26"/>
      <c r="AI12" s="62">
        <v>344701000</v>
      </c>
      <c r="AJ12" s="671">
        <v>332516000</v>
      </c>
      <c r="AK12" s="53" t="s">
        <v>616</v>
      </c>
      <c r="AL12" s="64">
        <f>IF(AI12=0,0,AJ12/AI12)</f>
        <v>0.96465052320706934</v>
      </c>
      <c r="AM12" s="65"/>
      <c r="AN12" s="62">
        <f>317597000+18787000+25757000</f>
        <v>362141000</v>
      </c>
      <c r="AO12" s="53" t="s">
        <v>616</v>
      </c>
      <c r="AP12" s="998">
        <f>AP16-AP13-AP15</f>
        <v>348178000</v>
      </c>
      <c r="AR12" s="62">
        <v>362140</v>
      </c>
      <c r="AS12" s="671">
        <v>348592.21</v>
      </c>
      <c r="AT12" s="53" t="s">
        <v>616</v>
      </c>
      <c r="AU12" s="64">
        <f>IF(AR12=0,0,AS12/AR12)</f>
        <v>0.96258963384326512</v>
      </c>
      <c r="AV12" s="65"/>
      <c r="AW12" s="62">
        <v>372105</v>
      </c>
      <c r="AX12" s="53" t="s">
        <v>616</v>
      </c>
      <c r="AY12" s="998">
        <v>353127.44000000006</v>
      </c>
      <c r="BA12" s="62">
        <f>BA16-BA15-BA13</f>
        <v>372105</v>
      </c>
      <c r="BB12" s="671">
        <f>BB16-BB15-BB13</f>
        <v>353127.44000000006</v>
      </c>
      <c r="BC12" s="53" t="s">
        <v>617</v>
      </c>
      <c r="BD12" s="64">
        <f>IF(BA12=0,0,BB12/BA12)</f>
        <v>0.94899944908023293</v>
      </c>
      <c r="BE12" s="65"/>
      <c r="BF12" s="62">
        <f>BF16-BF15-BF13</f>
        <v>333570</v>
      </c>
      <c r="BG12" s="53" t="s">
        <v>616</v>
      </c>
      <c r="BH12" s="998">
        <f>BH16-BH15-BH13</f>
        <v>319911.63999999996</v>
      </c>
    </row>
    <row r="13" spans="1:60" x14ac:dyDescent="0.35">
      <c r="A13" s="9168"/>
      <c r="B13" s="58"/>
      <c r="C13" s="587" t="s">
        <v>462</v>
      </c>
      <c r="D13" s="197"/>
      <c r="F13" s="61">
        <v>3811000</v>
      </c>
      <c r="G13"/>
      <c r="H13" s="62"/>
      <c r="I13" s="63">
        <v>10186000</v>
      </c>
      <c r="J13" s="73">
        <f>IF(H13=0,0,I13/H13)</f>
        <v>0</v>
      </c>
      <c r="K13" s="65"/>
      <c r="L13" s="62">
        <v>12000000</v>
      </c>
      <c r="M13" s="66">
        <f>L13*J13</f>
        <v>0</v>
      </c>
      <c r="N13" s="67"/>
      <c r="O13" s="71">
        <f>L13</f>
        <v>12000000</v>
      </c>
      <c r="P13" s="74">
        <v>10001000</v>
      </c>
      <c r="Q13" s="3249" t="s">
        <v>618</v>
      </c>
      <c r="R13" s="73">
        <f>IF(O13=0,0,P13/O13)</f>
        <v>0.83341666666666669</v>
      </c>
      <c r="S13" s="65"/>
      <c r="T13" s="62">
        <v>13000000</v>
      </c>
      <c r="U13" s="3249" t="s">
        <v>618</v>
      </c>
      <c r="V13" s="301">
        <v>12719000</v>
      </c>
      <c r="W13" s="67"/>
      <c r="X13" s="26"/>
      <c r="Y13" s="62">
        <v>13000000</v>
      </c>
      <c r="Z13" s="301">
        <v>12719000</v>
      </c>
      <c r="AA13" s="3249" t="s">
        <v>618</v>
      </c>
      <c r="AB13" s="73">
        <f>IF(Y13=0,0,Z13/Y13)</f>
        <v>0.97838461538461541</v>
      </c>
      <c r="AC13" s="65"/>
      <c r="AD13" s="71">
        <f>(13000)*1000</f>
        <v>13000000</v>
      </c>
      <c r="AE13" s="254" t="s">
        <v>618</v>
      </c>
      <c r="AF13" s="998">
        <f>11085*1000</f>
        <v>11085000</v>
      </c>
      <c r="AG13" s="67"/>
      <c r="AH13" s="26"/>
      <c r="AI13" s="62">
        <v>13000000</v>
      </c>
      <c r="AJ13" s="671">
        <v>11085000</v>
      </c>
      <c r="AK13" s="3249" t="s">
        <v>618</v>
      </c>
      <c r="AL13" s="73">
        <f>IF(AI13=0,0,AJ13/AI13)</f>
        <v>0.85269230769230764</v>
      </c>
      <c r="AM13" s="65"/>
      <c r="AN13" s="62">
        <v>14500000</v>
      </c>
      <c r="AO13" s="3249" t="s">
        <v>618</v>
      </c>
      <c r="AP13" s="998">
        <v>8133000</v>
      </c>
      <c r="AR13" s="62">
        <v>14500</v>
      </c>
      <c r="AS13" s="671">
        <v>8164.41</v>
      </c>
      <c r="AT13" s="3249" t="s">
        <v>619</v>
      </c>
      <c r="AU13" s="73">
        <f>IF(AR13=0,0,AS13/AR13)</f>
        <v>0.56306275862068966</v>
      </c>
      <c r="AV13" s="65"/>
      <c r="AW13" s="62">
        <v>15500</v>
      </c>
      <c r="AX13" s="3249" t="s">
        <v>618</v>
      </c>
      <c r="AY13" s="998">
        <v>8810.5300000000007</v>
      </c>
      <c r="BA13" s="62">
        <v>15500</v>
      </c>
      <c r="BB13" s="671">
        <v>8810.5300000000007</v>
      </c>
      <c r="BC13" s="3249" t="s">
        <v>620</v>
      </c>
      <c r="BD13" s="73">
        <f>IF(BA13=0,0,BB13/BA13)</f>
        <v>0.56842129032258071</v>
      </c>
      <c r="BE13" s="65"/>
      <c r="BF13" s="62">
        <v>16000</v>
      </c>
      <c r="BG13" s="3249" t="s">
        <v>618</v>
      </c>
      <c r="BH13" s="998">
        <v>8294.49</v>
      </c>
    </row>
    <row r="14" spans="1:60" x14ac:dyDescent="0.35">
      <c r="A14" s="9168"/>
      <c r="B14" s="75"/>
      <c r="C14" s="1096" t="s">
        <v>465</v>
      </c>
      <c r="D14" s="197"/>
      <c r="F14" s="77"/>
      <c r="G14"/>
      <c r="H14" s="78"/>
      <c r="I14" s="79"/>
      <c r="J14" s="73"/>
      <c r="K14" s="80"/>
      <c r="L14" s="78"/>
      <c r="M14" s="66"/>
      <c r="N14" s="67"/>
      <c r="O14" s="71">
        <f>L14</f>
        <v>0</v>
      </c>
      <c r="P14" s="84"/>
      <c r="Q14" s="120"/>
      <c r="R14" s="73">
        <f>IF(O14=0,0,P14/O14)</f>
        <v>0</v>
      </c>
      <c r="S14" s="80"/>
      <c r="T14" s="78"/>
      <c r="U14" s="120"/>
      <c r="V14" s="759"/>
      <c r="W14" s="67"/>
      <c r="X14" s="26"/>
      <c r="Y14" s="78"/>
      <c r="Z14" s="759"/>
      <c r="AA14" s="120"/>
      <c r="AB14" s="73">
        <f>IF(Y14=0,0,Z14/Y14)</f>
        <v>0</v>
      </c>
      <c r="AC14" s="80"/>
      <c r="AD14" s="760"/>
      <c r="AE14" s="106"/>
      <c r="AF14" s="999"/>
      <c r="AG14" s="67"/>
      <c r="AH14" s="26"/>
      <c r="AI14" s="78"/>
      <c r="AJ14" s="4874"/>
      <c r="AK14" s="120"/>
      <c r="AL14" s="73">
        <f>IF(AI14=0,0,AJ14/AI14)</f>
        <v>0</v>
      </c>
      <c r="AM14" s="80"/>
      <c r="AN14" s="78"/>
      <c r="AO14" s="120"/>
      <c r="AP14" s="999"/>
      <c r="AR14" s="78"/>
      <c r="AS14" s="4874"/>
      <c r="AT14" s="120"/>
      <c r="AU14" s="73">
        <f>IF(AR14=0,0,AS14/AR14)</f>
        <v>0</v>
      </c>
      <c r="AV14" s="80"/>
      <c r="AW14" s="78"/>
      <c r="AX14" s="120"/>
      <c r="AY14" s="999"/>
      <c r="BA14" s="78"/>
      <c r="BB14" s="4874"/>
      <c r="BC14" s="120"/>
      <c r="BD14" s="73">
        <f>IF(BA14=0,0,BB14/BA14)</f>
        <v>0</v>
      </c>
      <c r="BE14" s="80"/>
      <c r="BF14" s="78"/>
      <c r="BG14" s="120"/>
      <c r="BH14" s="999"/>
    </row>
    <row r="15" spans="1:60" x14ac:dyDescent="0.35">
      <c r="A15" s="9168"/>
      <c r="B15" s="75"/>
      <c r="C15" s="1096" t="s">
        <v>621</v>
      </c>
      <c r="D15" s="197"/>
      <c r="F15" s="77">
        <v>56627000</v>
      </c>
      <c r="G15"/>
      <c r="H15" s="78"/>
      <c r="I15" s="79">
        <v>70008000</v>
      </c>
      <c r="J15" s="73"/>
      <c r="K15" s="80"/>
      <c r="L15" s="78">
        <v>70689000</v>
      </c>
      <c r="M15" s="66"/>
      <c r="N15" s="67"/>
      <c r="O15" s="71">
        <f>L15</f>
        <v>70689000</v>
      </c>
      <c r="P15" s="84">
        <v>73407000</v>
      </c>
      <c r="Q15" s="53" t="s">
        <v>622</v>
      </c>
      <c r="R15" s="73">
        <f>IF(O15=0,0,P15/O15)</f>
        <v>1.038450112464457</v>
      </c>
      <c r="S15" s="80"/>
      <c r="T15" s="78">
        <f>79101000</f>
        <v>79101000</v>
      </c>
      <c r="U15" s="53" t="s">
        <v>622</v>
      </c>
      <c r="V15" s="759">
        <v>79170000</v>
      </c>
      <c r="W15" s="67"/>
      <c r="X15" s="26"/>
      <c r="Y15" s="78">
        <f>79101000</f>
        <v>79101000</v>
      </c>
      <c r="Z15" s="759">
        <v>79170000</v>
      </c>
      <c r="AA15" s="53" t="s">
        <v>622</v>
      </c>
      <c r="AB15" s="73">
        <f>IF(Y15=0,0,Z15/Y15)</f>
        <v>1.0008723024993362</v>
      </c>
      <c r="AC15" s="80"/>
      <c r="AD15" s="760">
        <f>(85200)*1000</f>
        <v>85200000</v>
      </c>
      <c r="AE15" s="57" t="s">
        <v>622</v>
      </c>
      <c r="AF15" s="999">
        <v>86795000</v>
      </c>
      <c r="AG15" s="67"/>
      <c r="AH15" s="26"/>
      <c r="AI15" s="78">
        <v>85200000</v>
      </c>
      <c r="AJ15" s="4874">
        <v>86795000</v>
      </c>
      <c r="AK15" s="53" t="s">
        <v>622</v>
      </c>
      <c r="AL15" s="73">
        <f>IF(AI15=0,0,AJ15/AI15)</f>
        <v>1.0187206572769953</v>
      </c>
      <c r="AM15" s="80"/>
      <c r="AN15" s="78">
        <v>88062000</v>
      </c>
      <c r="AO15" s="53" t="s">
        <v>622</v>
      </c>
      <c r="AP15" s="999">
        <v>93154000</v>
      </c>
      <c r="AR15" s="78">
        <v>88062</v>
      </c>
      <c r="AS15" s="4874">
        <v>93152.81</v>
      </c>
      <c r="AT15" s="53" t="s">
        <v>623</v>
      </c>
      <c r="AU15" s="73">
        <f>IF(AR15=0,0,AS15/AR15)</f>
        <v>1.0578093842974268</v>
      </c>
      <c r="AV15" s="80"/>
      <c r="AW15" s="78">
        <v>99071</v>
      </c>
      <c r="AX15" s="53" t="s">
        <v>622</v>
      </c>
      <c r="AY15" s="999">
        <v>98410.72</v>
      </c>
      <c r="BA15" s="78">
        <v>99071</v>
      </c>
      <c r="BB15" s="4874">
        <v>98410.72</v>
      </c>
      <c r="BC15" s="53" t="s">
        <v>624</v>
      </c>
      <c r="BD15" s="73">
        <f>IF(BA15=0,0,BB15/BA15)</f>
        <v>0.9933352847957525</v>
      </c>
      <c r="BE15" s="80"/>
      <c r="BF15" s="78">
        <v>97000</v>
      </c>
      <c r="BG15" s="53" t="s">
        <v>622</v>
      </c>
      <c r="BH15" s="999">
        <v>97698.650000000009</v>
      </c>
    </row>
    <row r="16" spans="1:60" x14ac:dyDescent="0.35">
      <c r="A16" s="9168"/>
      <c r="B16" s="85"/>
      <c r="C16" s="86" t="s">
        <v>466</v>
      </c>
      <c r="D16" s="209">
        <v>1</v>
      </c>
      <c r="F16" s="4875">
        <f>SUM(F12:F15)</f>
        <v>330469000</v>
      </c>
      <c r="G16"/>
      <c r="H16" s="89">
        <v>367949000</v>
      </c>
      <c r="I16" s="4876">
        <f>SUM(I12:I15)</f>
        <v>366721000</v>
      </c>
      <c r="J16" s="91">
        <f>IF(H16=0,0,I16/H16)</f>
        <v>0.99666258095551286</v>
      </c>
      <c r="K16" s="80"/>
      <c r="L16" s="1776">
        <f>SUM(L12:L15)</f>
        <v>398210000</v>
      </c>
      <c r="M16" s="92">
        <f>L16*J16</f>
        <v>396881006.36229479</v>
      </c>
      <c r="N16" s="67"/>
      <c r="O16" s="3004">
        <f>L16</f>
        <v>398210000</v>
      </c>
      <c r="P16" s="1775">
        <f>SUM(P12:P15)</f>
        <v>381143000</v>
      </c>
      <c r="Q16" s="95" t="s">
        <v>10</v>
      </c>
      <c r="R16" s="91">
        <f>IF(O16=0,0,P16/O16)</f>
        <v>0.95714070465332357</v>
      </c>
      <c r="S16" s="80"/>
      <c r="T16" s="1776">
        <f>SUM(T12:T15)</f>
        <v>414494000</v>
      </c>
      <c r="U16" s="95" t="s">
        <v>10</v>
      </c>
      <c r="V16" s="1778">
        <f>SUM(V12:V15)</f>
        <v>404972000</v>
      </c>
      <c r="W16" s="67"/>
      <c r="X16" s="24" t="s">
        <v>625</v>
      </c>
      <c r="Y16" s="1776">
        <f>SUM(Y12:Y15)</f>
        <v>414494000</v>
      </c>
      <c r="Z16" s="1778">
        <f>SUM(Z12:Z15)</f>
        <v>404972000</v>
      </c>
      <c r="AA16" s="95" t="s">
        <v>10</v>
      </c>
      <c r="AB16" s="91">
        <f>IF(Y16=0,0,Z16/Y16)</f>
        <v>0.97702741173575491</v>
      </c>
      <c r="AC16" s="80"/>
      <c r="AD16" s="3004">
        <f>SUM(AD12:AD15)</f>
        <v>442901000</v>
      </c>
      <c r="AE16" s="98" t="s">
        <v>10</v>
      </c>
      <c r="AF16" s="4877">
        <v>430397000</v>
      </c>
      <c r="AG16" s="67"/>
      <c r="AH16" s="24" t="s">
        <v>625</v>
      </c>
      <c r="AI16" s="1776">
        <v>442901000</v>
      </c>
      <c r="AJ16" s="4878">
        <v>430397000</v>
      </c>
      <c r="AK16" s="95" t="s">
        <v>10</v>
      </c>
      <c r="AL16" s="91">
        <f>IF(AI16=0,0,AJ16/AI16)</f>
        <v>0.97176795717327347</v>
      </c>
      <c r="AM16" s="80"/>
      <c r="AN16" s="1776">
        <f>SUM(AN12:AN15)</f>
        <v>464703000</v>
      </c>
      <c r="AO16" s="95" t="s">
        <v>10</v>
      </c>
      <c r="AP16" s="4877">
        <v>449465000</v>
      </c>
      <c r="AR16" s="1776">
        <v>464702</v>
      </c>
      <c r="AS16" s="4878">
        <v>449909.43</v>
      </c>
      <c r="AT16" s="95" t="s">
        <v>10</v>
      </c>
      <c r="AU16" s="91">
        <f>IF(AR16=0,0,AS16/AR16)</f>
        <v>0.96816762140038126</v>
      </c>
      <c r="AV16" s="80"/>
      <c r="AW16" s="1776">
        <v>486676</v>
      </c>
      <c r="AX16" s="95" t="s">
        <v>10</v>
      </c>
      <c r="AY16" s="4877">
        <v>460348.69000000006</v>
      </c>
      <c r="BA16" s="1776">
        <v>486676</v>
      </c>
      <c r="BB16" s="4878">
        <v>460348.69000000006</v>
      </c>
      <c r="BC16" s="95" t="s">
        <v>626</v>
      </c>
      <c r="BD16" s="91">
        <f>IF(BA16=0,0,BB16/BA16)</f>
        <v>0.9459038251321209</v>
      </c>
      <c r="BE16" s="80"/>
      <c r="BF16" s="1776">
        <v>446570</v>
      </c>
      <c r="BG16" s="95" t="s">
        <v>10</v>
      </c>
      <c r="BH16" s="4877">
        <v>425904.77999999997</v>
      </c>
    </row>
    <row r="17" spans="1:60" x14ac:dyDescent="0.35">
      <c r="A17" s="9168"/>
      <c r="B17" s="100" t="s">
        <v>468</v>
      </c>
      <c r="C17" s="49"/>
      <c r="D17" s="585"/>
      <c r="E17" s="43"/>
      <c r="F17" s="101"/>
      <c r="G17"/>
      <c r="H17" s="102"/>
      <c r="I17" s="103"/>
      <c r="J17" s="104"/>
      <c r="K17" s="43"/>
      <c r="L17" s="102"/>
      <c r="M17" s="105"/>
      <c r="N17" s="43"/>
      <c r="O17" s="102"/>
      <c r="P17" s="106"/>
      <c r="Q17" s="106"/>
      <c r="R17" s="104"/>
      <c r="S17" s="43"/>
      <c r="T17" s="102"/>
      <c r="U17" s="103"/>
      <c r="V17" s="105"/>
      <c r="W17" s="43"/>
      <c r="X17" s="18"/>
      <c r="Y17" s="102"/>
      <c r="Z17" s="105"/>
      <c r="AA17" s="106"/>
      <c r="AB17" s="104"/>
      <c r="AC17" s="43"/>
      <c r="AD17" s="102"/>
      <c r="AE17" s="103"/>
      <c r="AF17" s="105"/>
      <c r="AG17" s="43"/>
      <c r="AH17" s="18"/>
      <c r="AI17" s="102"/>
      <c r="AJ17" s="103"/>
      <c r="AK17" s="106"/>
      <c r="AL17" s="104"/>
      <c r="AM17" s="43"/>
      <c r="AN17" s="7718" t="s">
        <v>627</v>
      </c>
      <c r="AO17" s="103"/>
      <c r="AP17" s="105"/>
      <c r="AR17" s="102"/>
      <c r="AS17" s="103"/>
      <c r="AT17" s="106"/>
      <c r="AU17" s="104"/>
      <c r="AV17" s="43"/>
      <c r="AW17" s="7718" t="s">
        <v>627</v>
      </c>
      <c r="AX17" s="103"/>
      <c r="AY17" s="105"/>
      <c r="BA17" s="102"/>
      <c r="BB17" s="103"/>
      <c r="BC17" s="106"/>
      <c r="BD17" s="104"/>
      <c r="BE17" s="43"/>
      <c r="BF17" s="7718" t="s">
        <v>627</v>
      </c>
      <c r="BG17" s="103"/>
      <c r="BH17" s="105"/>
    </row>
    <row r="18" spans="1:60" x14ac:dyDescent="0.35">
      <c r="A18" s="9168"/>
      <c r="B18" s="6082"/>
      <c r="C18" s="110" t="s">
        <v>470</v>
      </c>
      <c r="D18" s="197"/>
      <c r="F18" s="111"/>
      <c r="G18"/>
      <c r="H18" s="200">
        <v>136396907</v>
      </c>
      <c r="I18" s="115">
        <v>105096000</v>
      </c>
      <c r="J18" s="64">
        <f>IF(H18=0,0,I18/H18)</f>
        <v>0.77051600590913694</v>
      </c>
      <c r="L18" s="200">
        <v>147572000.05000001</v>
      </c>
      <c r="M18" s="66">
        <f>L18*J18</f>
        <v>113706588.06254897</v>
      </c>
      <c r="O18" s="200">
        <f>72109000+43493000+1760000+42877000+273000</f>
        <v>160512000</v>
      </c>
      <c r="P18" s="115">
        <f>72489000+42409000+1735000+33849000+0</f>
        <v>150482000</v>
      </c>
      <c r="Q18" s="57" t="s">
        <v>628</v>
      </c>
      <c r="R18" s="64">
        <f>IF(O18=0,0,P18/O18)</f>
        <v>0.93751246012759171</v>
      </c>
      <c r="T18" s="200">
        <f>67579000+43460000+1740000+51449000+3800000</f>
        <v>168028000</v>
      </c>
      <c r="U18" s="57" t="s">
        <v>628</v>
      </c>
      <c r="V18" s="273">
        <f>67540000+44343000+1725000+43558000+0</f>
        <v>157166000</v>
      </c>
      <c r="X18" s="26"/>
      <c r="Y18" s="200">
        <f>67579000+43460000+1740000+51449000+3800000</f>
        <v>168028000</v>
      </c>
      <c r="Z18" s="273">
        <f>67540000+44343000+1725000+43558000+0</f>
        <v>157166000</v>
      </c>
      <c r="AA18" s="57" t="s">
        <v>628</v>
      </c>
      <c r="AB18" s="64">
        <f>IF(Y18=0,0,Z18/Y18)</f>
        <v>0.93535601209322261</v>
      </c>
      <c r="AD18" s="200">
        <f>(74970+44988+2339+46400+2400)*1000</f>
        <v>171097000</v>
      </c>
      <c r="AE18" s="57" t="s">
        <v>628</v>
      </c>
      <c r="AF18" s="273">
        <f>(72642+43441+2310+46487+0)*1000</f>
        <v>164880000</v>
      </c>
      <c r="AH18" s="26"/>
      <c r="AI18" s="200">
        <v>171097000</v>
      </c>
      <c r="AJ18" s="204">
        <v>164880000</v>
      </c>
      <c r="AK18" s="57" t="s">
        <v>628</v>
      </c>
      <c r="AL18" s="64">
        <f>IF(AI18=0,0,AJ18/AI18)</f>
        <v>0.96366388656726887</v>
      </c>
      <c r="AN18" s="200">
        <f>(78898+45520+46188+23300+2700)*1000</f>
        <v>196606000</v>
      </c>
      <c r="AO18" s="57" t="s">
        <v>628</v>
      </c>
      <c r="AP18" s="273">
        <f>(73582+45498+1883+49606+22004+368)*1000</f>
        <v>192941000</v>
      </c>
      <c r="AR18" s="200">
        <v>175396</v>
      </c>
      <c r="AS18" s="204">
        <v>170578.25</v>
      </c>
      <c r="AT18" s="57" t="s">
        <v>628</v>
      </c>
      <c r="AU18" s="64">
        <f>IF(AR18=0,0,AS18/AR18)</f>
        <v>0.97253215580743002</v>
      </c>
      <c r="AW18" s="200">
        <v>213062</v>
      </c>
      <c r="AX18" s="57" t="s">
        <v>628</v>
      </c>
      <c r="AY18" s="273">
        <v>213062</v>
      </c>
      <c r="BA18" s="200">
        <f>BA24-SUM(BA19:BA23)</f>
        <v>213062</v>
      </c>
      <c r="BB18" s="204">
        <f>BB24-SUM(BB19:BB23)</f>
        <v>206133.52000000008</v>
      </c>
      <c r="BC18" s="57" t="s">
        <v>629</v>
      </c>
      <c r="BD18" s="64">
        <f>IF(BA18=0,0,BB18/BA18)</f>
        <v>0.96748139039340697</v>
      </c>
      <c r="BF18" s="200">
        <f>BF24-SUM(BF19:BF23)</f>
        <v>261666</v>
      </c>
      <c r="BG18" s="57" t="s">
        <v>628</v>
      </c>
      <c r="BH18" s="273">
        <f>BH24-SUM(BH19:BH23)</f>
        <v>237441.04000000015</v>
      </c>
    </row>
    <row r="19" spans="1:60" x14ac:dyDescent="0.35">
      <c r="A19" s="9168"/>
      <c r="B19" s="6082"/>
      <c r="C19" s="121" t="s">
        <v>630</v>
      </c>
      <c r="D19" s="197"/>
      <c r="F19" s="111"/>
      <c r="G19"/>
      <c r="H19" s="200">
        <v>66459500</v>
      </c>
      <c r="I19" s="115">
        <v>60749000</v>
      </c>
      <c r="J19" s="64">
        <f>IF(H19=0,0,I19/H19)</f>
        <v>0.91407548958388196</v>
      </c>
      <c r="L19" s="200">
        <v>66720798</v>
      </c>
      <c r="M19" s="66">
        <f>L19*J19</f>
        <v>60987846.097277291</v>
      </c>
      <c r="O19" s="200">
        <f>35570000+1000000</f>
        <v>36570000</v>
      </c>
      <c r="P19" s="115">
        <f>38133000</f>
        <v>38133000</v>
      </c>
      <c r="Q19" s="57" t="s">
        <v>631</v>
      </c>
      <c r="R19" s="64">
        <f>IF(O19=0,0,P19/O19)</f>
        <v>1.0427399507793274</v>
      </c>
      <c r="T19" s="200">
        <f>35950000+883000</f>
        <v>36833000</v>
      </c>
      <c r="U19" s="57" t="s">
        <v>631</v>
      </c>
      <c r="V19" s="273">
        <f>39117000</f>
        <v>39117000</v>
      </c>
      <c r="X19" s="26"/>
      <c r="Y19" s="200">
        <f>35950000+883000</f>
        <v>36833000</v>
      </c>
      <c r="Z19" s="273">
        <f>39117000</f>
        <v>39117000</v>
      </c>
      <c r="AA19" s="57" t="s">
        <v>631</v>
      </c>
      <c r="AB19" s="64">
        <f>IF(Y19=0,0,Z19/Y19)</f>
        <v>1.0620096109467054</v>
      </c>
      <c r="AD19" s="200">
        <f>(48060+700)*1000</f>
        <v>48760000</v>
      </c>
      <c r="AE19" s="57" t="s">
        <v>631</v>
      </c>
      <c r="AF19" s="273">
        <f>(45589+588)*1000</f>
        <v>46177000</v>
      </c>
      <c r="AH19" s="26"/>
      <c r="AI19" s="200">
        <v>48760000</v>
      </c>
      <c r="AJ19" s="204">
        <v>46177000</v>
      </c>
      <c r="AK19" s="57" t="s">
        <v>631</v>
      </c>
      <c r="AL19" s="64">
        <f>IF(AI19=0,0,AJ19/AI19)</f>
        <v>0.9470262510254307</v>
      </c>
      <c r="AN19" s="200">
        <v>55878000</v>
      </c>
      <c r="AO19" s="57" t="s">
        <v>631</v>
      </c>
      <c r="AP19" s="273">
        <f>51552000+672000</f>
        <v>52224000</v>
      </c>
      <c r="AR19" s="200">
        <v>55878</v>
      </c>
      <c r="AS19" s="204">
        <v>52592.6</v>
      </c>
      <c r="AT19" s="57" t="s">
        <v>631</v>
      </c>
      <c r="AU19" s="64">
        <f>IF(AR19=0,0,AS19/AR19)</f>
        <v>0.94120405168402588</v>
      </c>
      <c r="AW19" s="200">
        <v>55138</v>
      </c>
      <c r="AX19" s="57" t="s">
        <v>631</v>
      </c>
      <c r="AY19" s="273">
        <v>55138</v>
      </c>
      <c r="BA19" s="200">
        <f>54038+1100</f>
        <v>55138</v>
      </c>
      <c r="BB19" s="204">
        <f>50640.61+890.37</f>
        <v>51530.98</v>
      </c>
      <c r="BC19" s="57" t="s">
        <v>631</v>
      </c>
      <c r="BD19" s="64">
        <f>IF(BA19=0,0,BB19/BA19)</f>
        <v>0.93458195799630028</v>
      </c>
      <c r="BF19" s="200">
        <f>60653+1000</f>
        <v>61653</v>
      </c>
      <c r="BG19" s="57" t="s">
        <v>631</v>
      </c>
      <c r="BH19" s="273">
        <f>59546.71+1040.31</f>
        <v>60587.02</v>
      </c>
    </row>
    <row r="20" spans="1:60" x14ac:dyDescent="0.35">
      <c r="A20" s="9168"/>
      <c r="B20" s="6082"/>
      <c r="C20" s="121" t="s">
        <v>632</v>
      </c>
      <c r="D20" s="197"/>
      <c r="F20" s="111"/>
      <c r="G20"/>
      <c r="H20" s="200"/>
      <c r="I20" s="115"/>
      <c r="J20" s="64"/>
      <c r="L20" s="200"/>
      <c r="M20" s="66"/>
      <c r="O20" s="200">
        <f>25151000</f>
        <v>25151000</v>
      </c>
      <c r="P20" s="115">
        <v>23489000</v>
      </c>
      <c r="Q20" s="254" t="s">
        <v>633</v>
      </c>
      <c r="R20" s="64"/>
      <c r="T20" s="200">
        <v>21850000</v>
      </c>
      <c r="U20" s="254" t="s">
        <v>633</v>
      </c>
      <c r="V20" s="273">
        <f>17882000</f>
        <v>17882000</v>
      </c>
      <c r="X20" s="26"/>
      <c r="Y20" s="200">
        <v>21850000</v>
      </c>
      <c r="Z20" s="273">
        <f>17882000</f>
        <v>17882000</v>
      </c>
      <c r="AA20" s="254" t="s">
        <v>633</v>
      </c>
      <c r="AB20" s="64"/>
      <c r="AD20" s="200">
        <f>(24570)*1000</f>
        <v>24570000</v>
      </c>
      <c r="AE20" s="254" t="s">
        <v>633</v>
      </c>
      <c r="AF20" s="273">
        <f>22278*1000</f>
        <v>22278000</v>
      </c>
      <c r="AH20" s="26"/>
      <c r="AI20" s="200">
        <v>24570000</v>
      </c>
      <c r="AJ20" s="204">
        <v>22278000</v>
      </c>
      <c r="AK20" s="254" t="s">
        <v>633</v>
      </c>
      <c r="AL20" s="64"/>
      <c r="AN20" s="200">
        <v>30510000</v>
      </c>
      <c r="AO20" s="254" t="s">
        <v>633</v>
      </c>
      <c r="AP20" s="273">
        <v>26209000</v>
      </c>
      <c r="AR20" s="200">
        <v>30510</v>
      </c>
      <c r="AS20" s="204">
        <v>26209.78</v>
      </c>
      <c r="AT20" s="254" t="s">
        <v>633</v>
      </c>
      <c r="AU20" s="64"/>
      <c r="AW20" s="200">
        <v>31000</v>
      </c>
      <c r="AX20" s="254" t="s">
        <v>633</v>
      </c>
      <c r="AY20" s="273">
        <v>31000</v>
      </c>
      <c r="BA20" s="200">
        <v>31000</v>
      </c>
      <c r="BB20" s="204">
        <v>23461.63</v>
      </c>
      <c r="BC20" s="254" t="s">
        <v>633</v>
      </c>
      <c r="BD20" s="64"/>
      <c r="BF20" s="200">
        <v>27684</v>
      </c>
      <c r="BG20" s="254" t="s">
        <v>633</v>
      </c>
      <c r="BH20" s="273">
        <v>24688.44</v>
      </c>
    </row>
    <row r="21" spans="1:60" x14ac:dyDescent="0.35">
      <c r="A21" s="9168"/>
      <c r="B21" s="6082"/>
      <c r="C21" s="121" t="s">
        <v>634</v>
      </c>
      <c r="D21" s="197"/>
      <c r="F21" s="111"/>
      <c r="G21"/>
      <c r="H21" s="200"/>
      <c r="I21" s="115"/>
      <c r="J21" s="64"/>
      <c r="L21" s="200"/>
      <c r="M21" s="66"/>
      <c r="O21" s="200">
        <v>39400000</v>
      </c>
      <c r="P21" s="115">
        <v>38643000</v>
      </c>
      <c r="Q21" s="57" t="s">
        <v>635</v>
      </c>
      <c r="R21" s="64"/>
      <c r="T21" s="200">
        <v>42600000</v>
      </c>
      <c r="U21" s="57" t="s">
        <v>635</v>
      </c>
      <c r="V21" s="273">
        <v>36259000</v>
      </c>
      <c r="X21" s="26"/>
      <c r="Y21" s="200">
        <v>42600000</v>
      </c>
      <c r="Z21" s="273">
        <v>36259000</v>
      </c>
      <c r="AA21" s="57" t="s">
        <v>635</v>
      </c>
      <c r="AB21" s="64"/>
      <c r="AD21" s="200">
        <f>37900*1000</f>
        <v>37900000</v>
      </c>
      <c r="AE21" s="57" t="s">
        <v>635</v>
      </c>
      <c r="AF21" s="273">
        <f>31904*1000</f>
        <v>31904000</v>
      </c>
      <c r="AH21" s="26"/>
      <c r="AI21" s="200">
        <v>37900000</v>
      </c>
      <c r="AJ21" s="204">
        <v>31904000</v>
      </c>
      <c r="AK21" s="57" t="s">
        <v>635</v>
      </c>
      <c r="AL21" s="64"/>
      <c r="AN21" s="200">
        <v>41500000</v>
      </c>
      <c r="AO21" s="57" t="s">
        <v>635</v>
      </c>
      <c r="AP21" s="273">
        <v>36513000</v>
      </c>
      <c r="AR21" s="200">
        <v>41500</v>
      </c>
      <c r="AS21" s="204">
        <v>36513.370000000003</v>
      </c>
      <c r="AT21" s="57" t="s">
        <v>635</v>
      </c>
      <c r="AU21" s="64"/>
      <c r="AW21" s="200">
        <v>40100</v>
      </c>
      <c r="AX21" s="57" t="s">
        <v>635</v>
      </c>
      <c r="AY21" s="273">
        <v>40100</v>
      </c>
      <c r="BA21" s="200">
        <v>40100</v>
      </c>
      <c r="BB21" s="204">
        <v>35142.82</v>
      </c>
      <c r="BC21" s="57" t="s">
        <v>635</v>
      </c>
      <c r="BD21" s="64"/>
      <c r="BF21" s="200">
        <v>39160</v>
      </c>
      <c r="BG21" s="57" t="s">
        <v>635</v>
      </c>
      <c r="BH21" s="273">
        <v>34393.4</v>
      </c>
    </row>
    <row r="22" spans="1:60" x14ac:dyDescent="0.35">
      <c r="A22" s="9168"/>
      <c r="B22" s="6082"/>
      <c r="C22" s="121" t="s">
        <v>478</v>
      </c>
      <c r="D22" s="197">
        <v>2</v>
      </c>
      <c r="F22" s="111"/>
      <c r="H22" s="198">
        <v>127429000</v>
      </c>
      <c r="I22" s="123"/>
      <c r="J22" s="64">
        <f>IF(H22=0,0,I22/H22)</f>
        <v>0</v>
      </c>
      <c r="L22" s="198">
        <v>126967000</v>
      </c>
      <c r="M22" s="66">
        <f>L22*J22</f>
        <v>0</v>
      </c>
      <c r="O22" s="198">
        <f>18500000+2000000+5000000</f>
        <v>25500000</v>
      </c>
      <c r="P22" s="123">
        <f>17597000+1000000+5000000</f>
        <v>23597000</v>
      </c>
      <c r="Q22" s="57" t="s">
        <v>636</v>
      </c>
      <c r="R22" s="64"/>
      <c r="T22" s="198">
        <v>3000000</v>
      </c>
      <c r="U22" s="57" t="s">
        <v>637</v>
      </c>
      <c r="V22" s="482">
        <v>5499000</v>
      </c>
      <c r="Y22" s="198">
        <v>3000000</v>
      </c>
      <c r="Z22" s="482">
        <v>5499000</v>
      </c>
      <c r="AA22" s="57" t="s">
        <v>636</v>
      </c>
      <c r="AB22" s="64"/>
      <c r="AD22" s="198">
        <f>(4500)*1000</f>
        <v>4500000</v>
      </c>
      <c r="AE22" s="57" t="s">
        <v>637</v>
      </c>
      <c r="AF22" s="482">
        <f>9217*1000</f>
        <v>9217000</v>
      </c>
      <c r="AI22" s="198">
        <v>4500000</v>
      </c>
      <c r="AJ22" s="199">
        <v>9217000</v>
      </c>
      <c r="AK22" s="57" t="s">
        <v>636</v>
      </c>
      <c r="AL22" s="64"/>
      <c r="AN22" s="198"/>
      <c r="AO22" s="57" t="s">
        <v>636</v>
      </c>
      <c r="AP22" s="482"/>
      <c r="AR22" s="198"/>
      <c r="AS22" s="199"/>
      <c r="AT22" s="57" t="s">
        <v>636</v>
      </c>
      <c r="AU22" s="64"/>
      <c r="AW22" s="198"/>
      <c r="AX22" s="57" t="s">
        <v>636</v>
      </c>
      <c r="AY22" s="482"/>
      <c r="BA22" s="198"/>
      <c r="BB22" s="199"/>
      <c r="BC22" s="57" t="s">
        <v>636</v>
      </c>
      <c r="BD22" s="64"/>
      <c r="BF22" s="198"/>
      <c r="BG22" s="57" t="s">
        <v>636</v>
      </c>
      <c r="BH22" s="482"/>
    </row>
    <row r="23" spans="1:60" x14ac:dyDescent="0.35">
      <c r="A23" s="9168"/>
      <c r="B23" s="6082"/>
      <c r="C23" s="110" t="s">
        <v>621</v>
      </c>
      <c r="D23" s="197">
        <v>2</v>
      </c>
      <c r="F23" s="111"/>
      <c r="H23" s="198">
        <v>127069640</v>
      </c>
      <c r="I23" s="123"/>
      <c r="J23" s="64">
        <f>IF(H23=0,0,I23/H23)</f>
        <v>0</v>
      </c>
      <c r="L23" s="198">
        <v>131436814</v>
      </c>
      <c r="M23" s="66">
        <f>L23*J23</f>
        <v>0</v>
      </c>
      <c r="O23" s="198">
        <f>144500000+24804000</f>
        <v>169304000</v>
      </c>
      <c r="P23" s="123">
        <f>141166000+20927000</f>
        <v>162093000</v>
      </c>
      <c r="Q23" s="57" t="s">
        <v>638</v>
      </c>
      <c r="R23" s="64">
        <f>IF(O23=0,0,P23/O23)</f>
        <v>0.95740797618485096</v>
      </c>
      <c r="T23" s="198">
        <f>155243000+22670000</f>
        <v>177913000</v>
      </c>
      <c r="U23" s="57" t="s">
        <v>638</v>
      </c>
      <c r="V23" s="482">
        <f>152590000+22696000</f>
        <v>175286000</v>
      </c>
      <c r="X23" s="26"/>
      <c r="Y23" s="198">
        <f>155243000+22670000</f>
        <v>177913000</v>
      </c>
      <c r="Z23" s="482">
        <f>152590000+22696000</f>
        <v>175286000</v>
      </c>
      <c r="AA23" s="57" t="s">
        <v>638</v>
      </c>
      <c r="AB23" s="64">
        <f>IF(Y23=0,0,Z23/Y23)</f>
        <v>0.9852343561178778</v>
      </c>
      <c r="AD23" s="198">
        <f>(163322+23452)*1000</f>
        <v>186774000</v>
      </c>
      <c r="AE23" s="57" t="s">
        <v>638</v>
      </c>
      <c r="AF23" s="482">
        <f>(162146+23357)*1000</f>
        <v>185503000</v>
      </c>
      <c r="AH23" s="26"/>
      <c r="AI23" s="198">
        <v>186774000</v>
      </c>
      <c r="AJ23" s="199">
        <v>185503000</v>
      </c>
      <c r="AK23" s="57" t="s">
        <v>638</v>
      </c>
      <c r="AL23" s="64">
        <f>IF(AI23=0,0,AJ23/AI23)</f>
        <v>0.99319498431259168</v>
      </c>
      <c r="AN23" s="198">
        <v>170485000</v>
      </c>
      <c r="AO23" s="57" t="s">
        <v>638</v>
      </c>
      <c r="AP23" s="482">
        <v>168250000</v>
      </c>
      <c r="AR23" s="198">
        <v>193785</v>
      </c>
      <c r="AS23" s="199">
        <v>190253.14</v>
      </c>
      <c r="AT23" s="57" t="s">
        <v>638</v>
      </c>
      <c r="AU23" s="64">
        <f>IF(AR23=0,0,AS23/AR23)</f>
        <v>0.98177433753902532</v>
      </c>
      <c r="AW23" s="198">
        <v>180277</v>
      </c>
      <c r="AX23" s="57" t="s">
        <v>638</v>
      </c>
      <c r="AY23" s="482">
        <v>180277</v>
      </c>
      <c r="BA23" s="198">
        <v>180277</v>
      </c>
      <c r="BB23" s="199">
        <v>175628.28999999998</v>
      </c>
      <c r="BC23" s="57" t="s">
        <v>638</v>
      </c>
      <c r="BD23" s="64">
        <f>IF(BA23=0,0,BB23/BA23)</f>
        <v>0.97421351586724858</v>
      </c>
      <c r="BF23" s="198">
        <v>189372</v>
      </c>
      <c r="BG23" s="57" t="s">
        <v>638</v>
      </c>
      <c r="BH23" s="482">
        <v>179363.69999999998</v>
      </c>
    </row>
    <row r="24" spans="1:60" x14ac:dyDescent="0.35">
      <c r="A24" s="9168"/>
      <c r="B24" s="128"/>
      <c r="C24" s="129" t="s">
        <v>479</v>
      </c>
      <c r="D24" s="209"/>
      <c r="F24" s="130"/>
      <c r="H24" s="1783">
        <v>456403521</v>
      </c>
      <c r="I24" s="4879">
        <f>SUM(I18:I23)</f>
        <v>165845000</v>
      </c>
      <c r="J24" s="64">
        <f>IF(H24=0,0,I24/H24)</f>
        <v>0.36337362086214053</v>
      </c>
      <c r="L24" s="1783">
        <f>SUM(L18:L23)</f>
        <v>472696612.05000001</v>
      </c>
      <c r="M24" s="92">
        <f>SUM(M18:M23)</f>
        <v>174694434.15982625</v>
      </c>
      <c r="O24" s="1783">
        <f>SUM(O18:O23)</f>
        <v>456437000</v>
      </c>
      <c r="P24" s="4879">
        <f>SUM(P18:P23)</f>
        <v>436437000</v>
      </c>
      <c r="Q24" s="1696"/>
      <c r="R24" s="133">
        <f>IF(O24=0,0,P24/O24)</f>
        <v>0.95618234279867753</v>
      </c>
      <c r="T24" s="1783">
        <f>SUM(T18:T23)</f>
        <v>450224000</v>
      </c>
      <c r="U24" s="216"/>
      <c r="V24" s="1784">
        <f>SUM(V18:V23)</f>
        <v>431209000</v>
      </c>
      <c r="X24" s="24"/>
      <c r="Y24" s="1783">
        <f>SUM(Y18:Y23)</f>
        <v>450224000</v>
      </c>
      <c r="Z24" s="1784">
        <f>SUM(Z18:Z23)</f>
        <v>431209000</v>
      </c>
      <c r="AA24" s="1696"/>
      <c r="AB24" s="133">
        <f>IF(Y24=0,0,Z24/Y24)</f>
        <v>0.95776546785600059</v>
      </c>
      <c r="AD24" s="1783">
        <f>SUM(AD18:AD23)</f>
        <v>473601000</v>
      </c>
      <c r="AE24" s="216"/>
      <c r="AF24" s="1784">
        <f>SUM(AF18:AF23)</f>
        <v>459959000</v>
      </c>
      <c r="AH24" s="24"/>
      <c r="AI24" s="1783">
        <v>473601000</v>
      </c>
      <c r="AJ24" s="4880">
        <v>459959000</v>
      </c>
      <c r="AK24" s="1696"/>
      <c r="AL24" s="133">
        <f>IF(AI24=0,0,AJ24/AI24)</f>
        <v>0.97119516217237722</v>
      </c>
      <c r="AN24" s="1783">
        <f>SUM(AN18:AN23)</f>
        <v>494979000</v>
      </c>
      <c r="AO24" s="216"/>
      <c r="AP24" s="1784">
        <f>SUM(AP18:AP23)</f>
        <v>476137000</v>
      </c>
      <c r="AR24" s="1783">
        <v>497069</v>
      </c>
      <c r="AS24" s="4880">
        <v>476147.14000000007</v>
      </c>
      <c r="AT24" s="1696"/>
      <c r="AU24" s="133">
        <f>IF(AR24=0,0,AS24/AR24)</f>
        <v>0.95790954575722898</v>
      </c>
      <c r="AW24" s="1783">
        <f>SUM(AW18:AW23)</f>
        <v>519577</v>
      </c>
      <c r="AX24" s="216"/>
      <c r="AY24" s="1784">
        <f>SUM(AY18:AY23)</f>
        <v>519577</v>
      </c>
      <c r="BA24" s="1783">
        <v>519577</v>
      </c>
      <c r="BB24" s="4880">
        <v>491897.24000000005</v>
      </c>
      <c r="BC24" s="1696"/>
      <c r="BD24" s="133">
        <f>IF(BA24=0,0,BB24/BA24)</f>
        <v>0.94672635624748602</v>
      </c>
      <c r="BF24" s="1783">
        <v>579535</v>
      </c>
      <c r="BG24" s="216"/>
      <c r="BH24" s="1784">
        <v>536473.60000000009</v>
      </c>
    </row>
    <row r="25" spans="1:60" x14ac:dyDescent="0.35">
      <c r="A25" s="9168"/>
      <c r="B25" s="139" t="s">
        <v>480</v>
      </c>
      <c r="C25" s="49"/>
      <c r="D25" s="184"/>
      <c r="E25" s="141"/>
      <c r="F25" s="142"/>
      <c r="G25" s="143"/>
      <c r="H25" s="144"/>
      <c r="I25" s="145"/>
      <c r="J25" s="146"/>
      <c r="K25" s="141"/>
      <c r="L25" s="147"/>
      <c r="M25" s="148"/>
      <c r="N25" s="141"/>
      <c r="O25" s="144"/>
      <c r="P25" s="145"/>
      <c r="Q25" s="145"/>
      <c r="R25" s="146"/>
      <c r="S25" s="141"/>
      <c r="T25" s="151"/>
      <c r="U25" s="145"/>
      <c r="V25" s="148"/>
      <c r="W25" s="141"/>
      <c r="X25" s="18"/>
      <c r="Y25" s="151"/>
      <c r="Z25" s="148"/>
      <c r="AA25" s="145"/>
      <c r="AB25" s="146"/>
      <c r="AC25" s="141"/>
      <c r="AD25" s="3460"/>
      <c r="AE25" s="145"/>
      <c r="AF25" s="148"/>
      <c r="AG25" s="141"/>
      <c r="AH25" s="18"/>
      <c r="AI25" s="151"/>
      <c r="AJ25" s="152"/>
      <c r="AK25" s="145"/>
      <c r="AL25" s="146"/>
      <c r="AM25" s="141"/>
      <c r="AN25" s="6124"/>
      <c r="AO25" s="145"/>
      <c r="AP25" s="148"/>
      <c r="AR25" s="151"/>
      <c r="AS25" s="152"/>
      <c r="AT25" s="145"/>
      <c r="AU25" s="146"/>
      <c r="AV25" s="141"/>
      <c r="AW25" s="6124"/>
      <c r="AX25" s="145"/>
      <c r="AY25" s="148"/>
      <c r="BA25" s="151"/>
      <c r="BB25" s="152"/>
      <c r="BC25" s="145"/>
      <c r="BD25" s="146"/>
      <c r="BE25" s="141"/>
      <c r="BF25" s="6124"/>
      <c r="BG25" s="145"/>
      <c r="BH25" s="148"/>
    </row>
    <row r="26" spans="1:60" x14ac:dyDescent="0.35">
      <c r="A26" s="9168"/>
      <c r="B26" s="6082"/>
      <c r="C26" s="110" t="s">
        <v>483</v>
      </c>
      <c r="D26" s="197">
        <v>3</v>
      </c>
      <c r="F26" s="155"/>
      <c r="H26" s="117">
        <v>61722000</v>
      </c>
      <c r="I26" s="115"/>
      <c r="J26" s="64">
        <f>IF(H26=0,0,I26/H26)</f>
        <v>0</v>
      </c>
      <c r="L26" s="156">
        <v>64233962.950000003</v>
      </c>
      <c r="M26" s="157">
        <f>L26*J26</f>
        <v>0</v>
      </c>
      <c r="O26" s="117"/>
      <c r="P26" s="115"/>
      <c r="Q26" s="4621" t="s">
        <v>639</v>
      </c>
      <c r="R26" s="64">
        <f>IF(O26=0,0,P26/O26)</f>
        <v>0</v>
      </c>
      <c r="T26" s="156"/>
      <c r="U26" s="4621" t="s">
        <v>639</v>
      </c>
      <c r="V26" s="3265"/>
      <c r="X26" s="26" t="s">
        <v>640</v>
      </c>
      <c r="Y26" s="156"/>
      <c r="Z26" s="3265"/>
      <c r="AA26" s="4621" t="s">
        <v>639</v>
      </c>
      <c r="AB26" s="64">
        <f>IF(Y26=0,0,Z26/Y26)</f>
        <v>0</v>
      </c>
      <c r="AD26" s="155"/>
      <c r="AE26" s="4621" t="s">
        <v>639</v>
      </c>
      <c r="AF26" s="3265"/>
      <c r="AH26" s="26" t="s">
        <v>640</v>
      </c>
      <c r="AI26" s="156"/>
      <c r="AJ26" s="649"/>
      <c r="AK26" s="6125" t="s">
        <v>639</v>
      </c>
      <c r="AL26" s="64">
        <f>IF(AI26=0,0,AJ26/AI26)</f>
        <v>0</v>
      </c>
      <c r="AN26" s="200"/>
      <c r="AO26" s="6125"/>
      <c r="AP26" s="3265"/>
      <c r="AR26" s="156"/>
      <c r="AS26" s="649"/>
      <c r="AT26" s="6125" t="s">
        <v>639</v>
      </c>
      <c r="AU26" s="64">
        <f>IF(AR26=0,0,AS26/AR26)</f>
        <v>0</v>
      </c>
      <c r="AW26" s="200"/>
      <c r="AX26" s="6125" t="s">
        <v>639</v>
      </c>
      <c r="AY26" s="3265"/>
      <c r="BA26" s="156">
        <v>80177</v>
      </c>
      <c r="BB26" s="649">
        <v>76961.679999999993</v>
      </c>
      <c r="BC26" s="6125"/>
      <c r="BD26" s="64">
        <f>IF(BA26=0,0,BB26/BA26)</f>
        <v>0.95989722738441186</v>
      </c>
      <c r="BF26" s="200">
        <v>81134</v>
      </c>
      <c r="BG26" s="6125" t="s">
        <v>639</v>
      </c>
      <c r="BH26" s="3265">
        <v>76894.820000000007</v>
      </c>
    </row>
    <row r="27" spans="1:60" x14ac:dyDescent="0.35">
      <c r="A27" s="9168"/>
      <c r="B27" s="6082"/>
      <c r="C27" s="110" t="s">
        <v>489</v>
      </c>
      <c r="D27" s="197"/>
      <c r="F27" s="155"/>
      <c r="H27" s="117"/>
      <c r="I27" s="115"/>
      <c r="J27" s="64">
        <f>IF(H27=0,0,I27/H27)</f>
        <v>0</v>
      </c>
      <c r="L27" s="156"/>
      <c r="M27" s="157">
        <f>L27*J27</f>
        <v>0</v>
      </c>
      <c r="O27" s="117"/>
      <c r="P27" s="115"/>
      <c r="Q27" s="127"/>
      <c r="R27" s="64">
        <f>IF(O27=0,0,P27/O27)</f>
        <v>0</v>
      </c>
      <c r="T27" s="156"/>
      <c r="U27" s="127"/>
      <c r="V27" s="3265"/>
      <c r="X27" s="26"/>
      <c r="Y27" s="156"/>
      <c r="Z27" s="3265"/>
      <c r="AA27" s="127"/>
      <c r="AB27" s="64">
        <f>IF(Y27=0,0,Z27/Y27)</f>
        <v>0</v>
      </c>
      <c r="AD27" s="155"/>
      <c r="AE27" s="127"/>
      <c r="AF27" s="3265"/>
      <c r="AH27" s="26"/>
      <c r="AI27" s="156"/>
      <c r="AJ27" s="649"/>
      <c r="AK27" s="120"/>
      <c r="AL27" s="64">
        <f>IF(AI27=0,0,AJ27/AI27)</f>
        <v>0</v>
      </c>
      <c r="AN27" s="200"/>
      <c r="AO27" s="120"/>
      <c r="AP27" s="3265"/>
      <c r="AR27" s="156"/>
      <c r="AS27" s="649"/>
      <c r="AT27" s="120"/>
      <c r="AU27" s="64">
        <f>IF(AR27=0,0,AS27/AR27)</f>
        <v>0</v>
      </c>
      <c r="AW27" s="200"/>
      <c r="AX27" s="120"/>
      <c r="AY27" s="3265"/>
      <c r="BA27" s="156"/>
      <c r="BB27" s="649"/>
      <c r="BC27" s="120"/>
      <c r="BD27" s="64">
        <f>IF(BA27=0,0,BB27/BA27)</f>
        <v>0</v>
      </c>
      <c r="BF27" s="200"/>
      <c r="BG27" s="120"/>
      <c r="BH27" s="3265"/>
    </row>
    <row r="28" spans="1:60" x14ac:dyDescent="0.35">
      <c r="A28" s="9168"/>
      <c r="B28" s="6082"/>
      <c r="C28" s="110" t="s">
        <v>490</v>
      </c>
      <c r="D28" s="197"/>
      <c r="F28" s="155"/>
      <c r="H28" s="117"/>
      <c r="I28" s="115"/>
      <c r="J28" s="64">
        <f>IF(H28=0,0,I28/H28)</f>
        <v>0</v>
      </c>
      <c r="L28" s="156"/>
      <c r="M28" s="157">
        <f>L28*J28</f>
        <v>0</v>
      </c>
      <c r="O28" s="117"/>
      <c r="P28" s="115"/>
      <c r="Q28" s="127"/>
      <c r="R28" s="64">
        <f>IF(O28=0,0,P28/O28)</f>
        <v>0</v>
      </c>
      <c r="T28" s="156"/>
      <c r="U28" s="127"/>
      <c r="V28" s="3265"/>
      <c r="X28" s="26"/>
      <c r="Y28" s="156"/>
      <c r="Z28" s="3265"/>
      <c r="AA28" s="127"/>
      <c r="AB28" s="64">
        <f>IF(Y28=0,0,Z28/Y28)</f>
        <v>0</v>
      </c>
      <c r="AD28" s="155"/>
      <c r="AE28" s="127"/>
      <c r="AF28" s="3265"/>
      <c r="AH28" s="26"/>
      <c r="AI28" s="156"/>
      <c r="AJ28" s="649"/>
      <c r="AK28" s="120"/>
      <c r="AL28" s="64">
        <f>IF(AI28=0,0,AJ28/AI28)</f>
        <v>0</v>
      </c>
      <c r="AN28" s="200"/>
      <c r="AO28" s="120"/>
      <c r="AP28" s="3265"/>
      <c r="AR28" s="156"/>
      <c r="AS28" s="649"/>
      <c r="AT28" s="120"/>
      <c r="AU28" s="64">
        <f>IF(AR28=0,0,AS28/AR28)</f>
        <v>0</v>
      </c>
      <c r="AW28" s="200"/>
      <c r="AX28" s="120"/>
      <c r="AY28" s="3265"/>
      <c r="BA28" s="156"/>
      <c r="BB28" s="649"/>
      <c r="BC28" s="120"/>
      <c r="BD28" s="64">
        <f>IF(BA28=0,0,BB28/BA28)</f>
        <v>0</v>
      </c>
      <c r="BF28" s="200"/>
      <c r="BG28" s="120"/>
      <c r="BH28" s="3265"/>
    </row>
    <row r="29" spans="1:60" x14ac:dyDescent="0.35">
      <c r="A29" s="9168"/>
      <c r="B29" s="6082"/>
      <c r="C29" s="161" t="s">
        <v>497</v>
      </c>
      <c r="D29" s="610"/>
      <c r="F29" s="163"/>
      <c r="H29" s="164"/>
      <c r="I29" s="165"/>
      <c r="J29" s="64">
        <f>IF(H29=0,0,I29/H29)</f>
        <v>0</v>
      </c>
      <c r="L29" s="166"/>
      <c r="M29" s="157">
        <f>L29*J29</f>
        <v>0</v>
      </c>
      <c r="O29" s="164"/>
      <c r="P29" s="165"/>
      <c r="Q29" s="106"/>
      <c r="R29" s="64">
        <f>IF(O29=0,0,P29/O29)</f>
        <v>0</v>
      </c>
      <c r="T29" s="156"/>
      <c r="U29" s="106"/>
      <c r="V29" s="276"/>
      <c r="X29" s="26"/>
      <c r="Y29" s="156"/>
      <c r="Z29" s="276"/>
      <c r="AA29" s="106"/>
      <c r="AB29" s="64">
        <f>IF(Y29=0,0,Z29/Y29)</f>
        <v>0</v>
      </c>
      <c r="AD29" s="163"/>
      <c r="AE29" s="106"/>
      <c r="AF29" s="276"/>
      <c r="AH29" s="26"/>
      <c r="AI29" s="156"/>
      <c r="AJ29" s="165"/>
      <c r="AK29" s="106"/>
      <c r="AL29" s="64">
        <f>IF(AI29=0,0,AJ29/AI29)</f>
        <v>0</v>
      </c>
      <c r="AN29" s="164"/>
      <c r="AO29" s="106"/>
      <c r="AP29" s="276"/>
      <c r="AR29" s="156"/>
      <c r="AS29" s="165"/>
      <c r="AT29" s="106"/>
      <c r="AU29" s="64">
        <f>IF(AR29=0,0,AS29/AR29)</f>
        <v>0</v>
      </c>
      <c r="AW29" s="164"/>
      <c r="AX29" s="106"/>
      <c r="AY29" s="276"/>
      <c r="BA29" s="156"/>
      <c r="BB29" s="165"/>
      <c r="BC29" s="106"/>
      <c r="BD29" s="64">
        <f>IF(BA29=0,0,BB29/BA29)</f>
        <v>0</v>
      </c>
      <c r="BF29" s="164"/>
      <c r="BG29" s="106"/>
      <c r="BH29" s="276"/>
    </row>
    <row r="30" spans="1:60" x14ac:dyDescent="0.35">
      <c r="A30" s="9168"/>
      <c r="B30" s="128"/>
      <c r="C30" s="129" t="s">
        <v>499</v>
      </c>
      <c r="D30" s="209"/>
      <c r="F30" s="169">
        <f>IF(F27=0,0,(F28-F29)/F27)</f>
        <v>0</v>
      </c>
      <c r="G30" s="170"/>
      <c r="H30" s="171">
        <f>IF(H27=0,0,(H28-H29)/H27)</f>
        <v>0</v>
      </c>
      <c r="I30" s="172">
        <f>IF(I27=0,0,(I28-I29)/I27)</f>
        <v>0</v>
      </c>
      <c r="J30" s="173"/>
      <c r="K30" s="170"/>
      <c r="L30" s="174">
        <f>IF(L27=0,0,L28/L27)</f>
        <v>0</v>
      </c>
      <c r="M30" s="175">
        <f>IF(M27=0,0,M28/M27)</f>
        <v>0</v>
      </c>
      <c r="N30" s="176"/>
      <c r="O30" s="171">
        <f>IF(O27=0,0,(O28-O29)/O27)</f>
        <v>0</v>
      </c>
      <c r="P30" s="177"/>
      <c r="Q30" s="177"/>
      <c r="R30" s="173"/>
      <c r="S30" s="170"/>
      <c r="T30" s="174">
        <f>IF(T27=0,0,T28/T27)</f>
        <v>0</v>
      </c>
      <c r="U30" s="177"/>
      <c r="V30" s="175">
        <f>IF(V27=0,0,V28/V27)</f>
        <v>0</v>
      </c>
      <c r="W30" s="176"/>
      <c r="X30" s="24"/>
      <c r="Y30" s="174">
        <f>IF(Y27=0,0,Y28/Y27)</f>
        <v>0</v>
      </c>
      <c r="Z30" s="175">
        <f>IF(Z27=0,0,Z28/Z27)</f>
        <v>0</v>
      </c>
      <c r="AA30" s="177"/>
      <c r="AB30" s="173"/>
      <c r="AC30" s="170"/>
      <c r="AD30" s="4881">
        <f>IF(AD27=0,0,AD28/AD27)</f>
        <v>0</v>
      </c>
      <c r="AE30" s="177"/>
      <c r="AF30" s="175">
        <f>IF(AF27=0,0,AF28/AF27)</f>
        <v>0</v>
      </c>
      <c r="AG30" s="176"/>
      <c r="AH30" s="24"/>
      <c r="AI30" s="174">
        <v>0</v>
      </c>
      <c r="AJ30" s="178">
        <v>0</v>
      </c>
      <c r="AK30" s="177"/>
      <c r="AL30" s="173"/>
      <c r="AM30" s="170"/>
      <c r="AN30" s="4882"/>
      <c r="AO30" s="1340"/>
      <c r="AP30" s="4058"/>
      <c r="AR30" s="174">
        <v>0</v>
      </c>
      <c r="AS30" s="178">
        <v>0</v>
      </c>
      <c r="AT30" s="177"/>
      <c r="AU30" s="173"/>
      <c r="AV30" s="170"/>
      <c r="AW30" s="4882"/>
      <c r="AX30" s="1340"/>
      <c r="AY30" s="4058"/>
      <c r="BA30" s="174">
        <v>0</v>
      </c>
      <c r="BB30" s="178">
        <v>0</v>
      </c>
      <c r="BC30" s="177"/>
      <c r="BD30" s="173"/>
      <c r="BE30" s="170"/>
      <c r="BF30" s="4882"/>
      <c r="BG30" s="1340"/>
      <c r="BH30" s="4058"/>
    </row>
    <row r="31" spans="1:60" x14ac:dyDescent="0.35">
      <c r="A31" s="9168"/>
      <c r="B31" s="139" t="s">
        <v>501</v>
      </c>
      <c r="C31" s="49"/>
      <c r="D31" s="184"/>
      <c r="F31" s="227"/>
      <c r="H31" s="777"/>
      <c r="I31" s="1341"/>
      <c r="J31" s="188"/>
      <c r="L31" s="777"/>
      <c r="M31" s="148">
        <f>L31*J31</f>
        <v>0</v>
      </c>
      <c r="O31" s="189"/>
      <c r="P31" s="190"/>
      <c r="Q31" s="190"/>
      <c r="R31" s="191"/>
      <c r="S31" s="170"/>
      <c r="T31" s="192"/>
      <c r="U31" s="190"/>
      <c r="V31" s="616"/>
      <c r="X31" s="3315"/>
      <c r="Y31" s="192"/>
      <c r="Z31" s="616"/>
      <c r="AA31" s="190"/>
      <c r="AB31" s="191"/>
      <c r="AC31" s="170"/>
      <c r="AD31" s="4321"/>
      <c r="AE31" s="190"/>
      <c r="AF31" s="616"/>
      <c r="AH31" s="3315"/>
      <c r="AI31" s="192"/>
      <c r="AJ31" s="193"/>
      <c r="AK31" s="190"/>
      <c r="AL31" s="191"/>
      <c r="AM31" s="170"/>
      <c r="AN31" s="4883"/>
      <c r="AO31" s="4884"/>
      <c r="AP31" s="4885"/>
      <c r="AR31" s="192"/>
      <c r="AS31" s="193"/>
      <c r="AT31" s="190"/>
      <c r="AU31" s="191"/>
      <c r="AV31" s="170"/>
      <c r="AW31" s="4883"/>
      <c r="AX31" s="4884"/>
      <c r="AY31" s="4885"/>
      <c r="BA31" s="192"/>
      <c r="BB31" s="193"/>
      <c r="BC31" s="190"/>
      <c r="BD31" s="191"/>
      <c r="BE31" s="170"/>
      <c r="BF31" s="4883"/>
      <c r="BG31" s="4884"/>
      <c r="BH31" s="4885"/>
    </row>
    <row r="32" spans="1:60" x14ac:dyDescent="0.35">
      <c r="A32" s="9168"/>
      <c r="B32" s="6082"/>
      <c r="C32" s="121" t="s">
        <v>11</v>
      </c>
      <c r="D32" s="197"/>
      <c r="F32" s="841"/>
      <c r="G32" s="170"/>
      <c r="H32" s="112"/>
      <c r="I32" s="113"/>
      <c r="J32" s="64">
        <f>IF(H32=0,0,I32/H32)</f>
        <v>0</v>
      </c>
      <c r="K32" s="170"/>
      <c r="L32" s="112"/>
      <c r="M32" s="157">
        <f>L32*J32</f>
        <v>0</v>
      </c>
      <c r="O32" s="248">
        <v>42877000</v>
      </c>
      <c r="P32" s="233"/>
      <c r="Q32" s="202"/>
      <c r="R32" s="203"/>
      <c r="S32" s="170"/>
      <c r="T32" s="248">
        <v>51449000</v>
      </c>
      <c r="U32" s="202"/>
      <c r="V32" s="1034">
        <v>43558000</v>
      </c>
      <c r="X32" s="1788"/>
      <c r="Y32" s="248">
        <v>51449000</v>
      </c>
      <c r="Z32" s="1034">
        <v>43558000</v>
      </c>
      <c r="AA32" s="202"/>
      <c r="AB32" s="203"/>
      <c r="AC32" s="170"/>
      <c r="AD32" s="111">
        <f>(13000)*1000</f>
        <v>13000000</v>
      </c>
      <c r="AE32" s="202"/>
      <c r="AF32" s="1034">
        <f>11085*1000</f>
        <v>11085000</v>
      </c>
      <c r="AH32" s="1788"/>
      <c r="AI32" s="248">
        <v>13000000</v>
      </c>
      <c r="AJ32" s="1033">
        <v>11085000</v>
      </c>
      <c r="AK32" s="202"/>
      <c r="AL32" s="203"/>
      <c r="AM32" s="170"/>
      <c r="AN32" s="248"/>
      <c r="AO32" s="4886"/>
      <c r="AP32" s="1034"/>
      <c r="AR32" s="248">
        <v>46188</v>
      </c>
      <c r="AS32" s="1033">
        <v>49615.41</v>
      </c>
      <c r="AT32" s="1824" t="s">
        <v>641</v>
      </c>
      <c r="AU32" s="203"/>
      <c r="AV32" s="170"/>
      <c r="AW32" s="248">
        <v>55286</v>
      </c>
      <c r="AX32" s="7721" t="s">
        <v>641</v>
      </c>
      <c r="AY32" s="1034">
        <v>56226.75</v>
      </c>
      <c r="BA32" s="248">
        <v>55286</v>
      </c>
      <c r="BB32" s="1033">
        <v>56226.75</v>
      </c>
      <c r="BC32" s="7721" t="s">
        <v>641</v>
      </c>
      <c r="BD32" s="203"/>
      <c r="BE32" s="170"/>
      <c r="BF32" s="248">
        <v>53285</v>
      </c>
      <c r="BG32" s="7721" t="s">
        <v>641</v>
      </c>
      <c r="BH32" s="1034">
        <v>51626.37</v>
      </c>
    </row>
    <row r="33" spans="1:60" x14ac:dyDescent="0.35">
      <c r="A33" s="9169"/>
      <c r="B33" s="844"/>
      <c r="C33" s="208" t="s">
        <v>502</v>
      </c>
      <c r="D33" s="209"/>
      <c r="F33" s="210"/>
      <c r="H33" s="217"/>
      <c r="I33" s="845"/>
      <c r="J33" s="133">
        <f>IF(H33=0,0,I33/H33)</f>
        <v>0</v>
      </c>
      <c r="L33" s="217"/>
      <c r="M33" s="213">
        <f>L33*J33</f>
        <v>0</v>
      </c>
      <c r="O33" s="214"/>
      <c r="P33" s="215"/>
      <c r="Q33" s="216"/>
      <c r="R33" s="133">
        <f>IF(O33=0,0,P33/O33)</f>
        <v>0</v>
      </c>
      <c r="T33" s="211"/>
      <c r="U33" s="216"/>
      <c r="V33" s="485">
        <f>T33*R33</f>
        <v>0</v>
      </c>
      <c r="X33" s="1789"/>
      <c r="Y33" s="211"/>
      <c r="Z33" s="485">
        <f>X33*V33</f>
        <v>0</v>
      </c>
      <c r="AA33" s="216"/>
      <c r="AB33" s="133">
        <f>IF(Y33=0,0,Z33/Y33)</f>
        <v>0</v>
      </c>
      <c r="AD33" s="210">
        <f>AB33*Z33</f>
        <v>0</v>
      </c>
      <c r="AE33" s="216"/>
      <c r="AF33" s="485">
        <f>AD33*AB33</f>
        <v>0</v>
      </c>
      <c r="AH33" s="1789"/>
      <c r="AI33" s="211">
        <v>0</v>
      </c>
      <c r="AJ33" s="212">
        <v>0</v>
      </c>
      <c r="AK33" s="216"/>
      <c r="AL33" s="133">
        <f>IF(AI33=0,0,AJ33/AI33)</f>
        <v>0</v>
      </c>
      <c r="AN33" s="211"/>
      <c r="AO33" s="216"/>
      <c r="AP33" s="485"/>
      <c r="AR33" s="211">
        <v>0</v>
      </c>
      <c r="AS33" s="212">
        <v>0</v>
      </c>
      <c r="AT33" s="216"/>
      <c r="AU33" s="133">
        <f>IF(AR33=0,0,AS33/AR33)</f>
        <v>0</v>
      </c>
      <c r="AW33" s="211"/>
      <c r="AX33" s="216"/>
      <c r="AY33" s="485"/>
      <c r="BA33" s="211">
        <v>0</v>
      </c>
      <c r="BB33" s="212">
        <v>0</v>
      </c>
      <c r="BC33" s="216"/>
      <c r="BD33" s="133">
        <f>IF(BA33=0,0,BB33/BA33)</f>
        <v>0</v>
      </c>
      <c r="BF33" s="211"/>
      <c r="BG33" s="216"/>
      <c r="BH33" s="485"/>
    </row>
    <row r="34" spans="1:60" x14ac:dyDescent="0.35">
      <c r="A34" s="220"/>
      <c r="B34" s="220"/>
      <c r="F34" s="106"/>
      <c r="H34" s="106"/>
      <c r="I34" s="106"/>
      <c r="J34" s="221"/>
      <c r="L34" s="106"/>
      <c r="O34" s="106"/>
      <c r="P34" s="106"/>
      <c r="Q34" s="106"/>
      <c r="R34" s="221"/>
      <c r="T34" s="106"/>
      <c r="U34" s="106"/>
      <c r="Y34" s="106"/>
      <c r="AA34" s="106"/>
      <c r="AB34" s="221"/>
      <c r="AE34" s="106"/>
      <c r="AI34" s="106"/>
      <c r="AK34" s="106"/>
      <c r="AL34" s="221"/>
      <c r="AO34" s="106"/>
      <c r="AR34" s="106"/>
      <c r="AT34" s="106"/>
      <c r="AU34" s="221"/>
      <c r="AX34" s="106"/>
      <c r="BA34" s="106"/>
      <c r="BC34" s="106"/>
      <c r="BD34" s="221"/>
      <c r="BG34" s="106"/>
    </row>
    <row r="35" spans="1:60" ht="37.5" customHeight="1" x14ac:dyDescent="0.35">
      <c r="A35" s="9167" t="s">
        <v>503</v>
      </c>
      <c r="B35" s="27"/>
      <c r="C35" s="28" t="s">
        <v>427</v>
      </c>
      <c r="D35" s="585" t="s">
        <v>428</v>
      </c>
      <c r="E35" s="30"/>
      <c r="F35" s="222"/>
      <c r="G35" s="223"/>
      <c r="H35" s="31" t="s">
        <v>591</v>
      </c>
      <c r="I35" s="31" t="s">
        <v>591</v>
      </c>
      <c r="J35" s="224"/>
      <c r="K35" s="223"/>
      <c r="L35" s="4872" t="s">
        <v>642</v>
      </c>
      <c r="M35" s="511"/>
      <c r="N35" s="30"/>
      <c r="O35" s="31" t="s">
        <v>643</v>
      </c>
      <c r="P35" s="4887" t="s">
        <v>593</v>
      </c>
      <c r="Q35" s="225" t="s">
        <v>644</v>
      </c>
      <c r="R35" s="224"/>
      <c r="S35" s="223"/>
      <c r="T35" s="36" t="s">
        <v>645</v>
      </c>
      <c r="U35" s="3267" t="s">
        <v>646</v>
      </c>
      <c r="V35" s="34" t="s">
        <v>593</v>
      </c>
      <c r="W35" s="30"/>
      <c r="X35" s="39"/>
      <c r="Y35" s="36" t="s">
        <v>645</v>
      </c>
      <c r="Z35" s="36" t="s">
        <v>647</v>
      </c>
      <c r="AA35" s="225" t="s">
        <v>644</v>
      </c>
      <c r="AB35" s="224"/>
      <c r="AC35" s="223"/>
      <c r="AD35" s="36" t="s">
        <v>648</v>
      </c>
      <c r="AE35" s="8344" t="s">
        <v>649</v>
      </c>
      <c r="AF35" s="36" t="s">
        <v>648</v>
      </c>
      <c r="AG35" s="30"/>
      <c r="AH35" s="39"/>
      <c r="AI35" s="36" t="s">
        <v>648</v>
      </c>
      <c r="AJ35" s="36" t="s">
        <v>648</v>
      </c>
      <c r="AK35" s="225" t="s">
        <v>644</v>
      </c>
      <c r="AL35" s="224"/>
      <c r="AM35" s="223"/>
      <c r="AN35" s="36" t="s">
        <v>650</v>
      </c>
      <c r="AO35" s="4888"/>
      <c r="AP35" s="36"/>
      <c r="AR35" s="9155" t="s">
        <v>651</v>
      </c>
      <c r="AS35" s="9156"/>
      <c r="AT35" s="225"/>
      <c r="AU35" s="224"/>
      <c r="AV35" s="223"/>
      <c r="AW35" s="36" t="s">
        <v>652</v>
      </c>
      <c r="AX35" s="4888"/>
      <c r="AY35" s="34" t="s">
        <v>653</v>
      </c>
      <c r="BA35" s="9182" t="s">
        <v>654</v>
      </c>
      <c r="BB35" s="9183"/>
      <c r="BC35" s="225"/>
      <c r="BD35" s="224"/>
      <c r="BE35" s="223"/>
      <c r="BF35" s="36" t="s">
        <v>652</v>
      </c>
      <c r="BG35" s="4888"/>
      <c r="BH35" s="34" t="s">
        <v>653</v>
      </c>
    </row>
    <row r="36" spans="1:60" x14ac:dyDescent="0.35">
      <c r="A36" s="9168"/>
      <c r="B36" s="141" t="s">
        <v>514</v>
      </c>
      <c r="C36"/>
      <c r="D36" s="184"/>
      <c r="E36" s="143"/>
      <c r="F36" s="227"/>
      <c r="G36" s="143"/>
      <c r="H36" s="102"/>
      <c r="I36" s="103"/>
      <c r="J36" s="228"/>
      <c r="K36" s="143"/>
      <c r="L36" s="102"/>
      <c r="M36" s="229"/>
      <c r="N36" s="143"/>
      <c r="O36" s="102"/>
      <c r="P36" s="103"/>
      <c r="Q36" s="106"/>
      <c r="R36" s="228"/>
      <c r="S36" s="143"/>
      <c r="T36" s="102"/>
      <c r="U36" s="106"/>
      <c r="V36" s="229"/>
      <c r="W36" s="143"/>
      <c r="X36" s="18"/>
      <c r="Y36" s="102"/>
      <c r="Z36" s="102" t="s">
        <v>655</v>
      </c>
      <c r="AA36" s="106"/>
      <c r="AB36" s="228"/>
      <c r="AC36" s="143"/>
      <c r="AD36" s="229"/>
      <c r="AE36" s="106"/>
      <c r="AF36" s="229"/>
      <c r="AG36" s="143"/>
      <c r="AH36" s="18"/>
      <c r="AI36" s="517" t="s">
        <v>656</v>
      </c>
      <c r="AK36" s="313" t="s">
        <v>657</v>
      </c>
      <c r="AL36" s="6129"/>
      <c r="AM36" s="141"/>
      <c r="AN36" s="517" t="s">
        <v>656</v>
      </c>
      <c r="AO36" s="106"/>
      <c r="AP36" s="229" t="s">
        <v>657</v>
      </c>
      <c r="AR36" s="517" t="s">
        <v>658</v>
      </c>
      <c r="AS36" t="s">
        <v>659</v>
      </c>
      <c r="AT36" s="313" t="s">
        <v>660</v>
      </c>
      <c r="AU36" s="6129"/>
      <c r="AV36" s="141"/>
      <c r="AW36" s="517"/>
      <c r="AX36" s="106"/>
      <c r="AY36" s="229"/>
      <c r="BA36" s="7722"/>
      <c r="BB36" s="6444"/>
      <c r="BC36" s="313"/>
      <c r="BD36" s="6129"/>
      <c r="BE36" s="141"/>
      <c r="BF36" s="517"/>
      <c r="BG36" s="106"/>
      <c r="BH36" s="229"/>
    </row>
    <row r="37" spans="1:60" x14ac:dyDescent="0.35">
      <c r="A37" s="9168"/>
      <c r="B37" s="240"/>
      <c r="C37" s="240" t="s">
        <v>661</v>
      </c>
      <c r="D37" s="197"/>
      <c r="F37" s="111"/>
      <c r="H37" s="112">
        <v>42549216</v>
      </c>
      <c r="I37" s="113">
        <v>40840309</v>
      </c>
      <c r="J37" s="64">
        <f>IF(H37=0,0,I37/H37)</f>
        <v>0.95983693330565711</v>
      </c>
      <c r="L37" s="112">
        <v>39049980</v>
      </c>
      <c r="M37" s="157">
        <f>L37*J37</f>
        <v>37481613.048847243</v>
      </c>
      <c r="O37" s="112">
        <v>36740480</v>
      </c>
      <c r="P37" s="3271">
        <f>O37*J37</f>
        <v>35264869.651377827</v>
      </c>
      <c r="Q37" s="57" t="s">
        <v>662</v>
      </c>
      <c r="R37" s="64">
        <f>IF(O37=0,0,P37/O37)</f>
        <v>0.959836933305657</v>
      </c>
      <c r="T37" s="112">
        <v>32205810</v>
      </c>
      <c r="U37" s="57" t="s">
        <v>662</v>
      </c>
      <c r="V37" s="157">
        <f>T37*R37</f>
        <v>30912325.905024663</v>
      </c>
      <c r="X37" s="26"/>
      <c r="Y37" s="112">
        <v>32205810</v>
      </c>
      <c r="Z37" s="112">
        <v>31723066</v>
      </c>
      <c r="AA37" s="57" t="s">
        <v>662</v>
      </c>
      <c r="AB37" s="64">
        <f>Z37/Y37</f>
        <v>0.98501065490978179</v>
      </c>
      <c r="AC37" s="64">
        <v>0.959836933305657</v>
      </c>
      <c r="AD37" s="611">
        <v>32231042</v>
      </c>
      <c r="AE37" s="57" t="s">
        <v>662</v>
      </c>
      <c r="AF37" s="1034">
        <v>34506900</v>
      </c>
      <c r="AH37" s="26"/>
      <c r="AI37" s="248">
        <v>32231042</v>
      </c>
      <c r="AJ37" s="1033">
        <v>35329300</v>
      </c>
      <c r="AK37" s="57" t="s">
        <v>662</v>
      </c>
      <c r="AL37" s="64">
        <f>AJ37/AI37</f>
        <v>1.0961265229960608</v>
      </c>
      <c r="AM37" s="64">
        <v>0.959836933305657</v>
      </c>
      <c r="AN37" s="112">
        <f>38374242-AN38</f>
        <v>34540242</v>
      </c>
      <c r="AO37" s="57" t="s">
        <v>662</v>
      </c>
      <c r="AP37" s="1034">
        <v>37485400</v>
      </c>
      <c r="AR37" s="248">
        <v>34807.311999999998</v>
      </c>
      <c r="AS37" s="1033">
        <f>30816.273+3677.153</f>
        <v>34493.425999999999</v>
      </c>
      <c r="AT37" s="57" t="s">
        <v>663</v>
      </c>
      <c r="AU37" s="64">
        <f>AS37/AR37</f>
        <v>0.99098218213460443</v>
      </c>
      <c r="AV37" s="64">
        <v>0.959836933305657</v>
      </c>
      <c r="AW37" s="112">
        <v>35121.142999999996</v>
      </c>
      <c r="AX37" s="57" t="s">
        <v>662</v>
      </c>
      <c r="AY37" s="3012">
        <f>AW37*AU37</f>
        <v>34804.426929201487</v>
      </c>
      <c r="BA37" s="5826">
        <v>35121.143004999998</v>
      </c>
      <c r="BB37" s="7723">
        <v>38280.799189600002</v>
      </c>
      <c r="BC37" s="57"/>
      <c r="BD37" s="64">
        <f>BB37/BA37</f>
        <v>1.0899645032665988</v>
      </c>
      <c r="BE37" s="64">
        <v>0.959836933305657</v>
      </c>
      <c r="BF37" s="112">
        <v>38058.762999999999</v>
      </c>
      <c r="BG37" s="57" t="s">
        <v>662</v>
      </c>
      <c r="BH37" s="66">
        <f>BF37*BD37</f>
        <v>41482.700708236211</v>
      </c>
    </row>
    <row r="38" spans="1:60" x14ac:dyDescent="0.35">
      <c r="A38" s="9168"/>
      <c r="B38" s="240"/>
      <c r="C38" s="240" t="s">
        <v>664</v>
      </c>
      <c r="D38" s="197"/>
      <c r="F38" s="155"/>
      <c r="H38" s="117"/>
      <c r="I38" s="115"/>
      <c r="J38" s="64">
        <f>IF(H38=0,0,I38/H38)</f>
        <v>0</v>
      </c>
      <c r="L38" s="117"/>
      <c r="M38" s="157">
        <f>L38*J38</f>
        <v>0</v>
      </c>
      <c r="O38" s="112">
        <v>2730500</v>
      </c>
      <c r="P38" s="3271">
        <f>O38*J37</f>
        <v>2620834.7463910966</v>
      </c>
      <c r="Q38" s="57" t="s">
        <v>665</v>
      </c>
      <c r="R38" s="64">
        <f>IF(O38=0,0,P38/O38)</f>
        <v>0.95983693330565711</v>
      </c>
      <c r="T38" s="112">
        <v>3149500</v>
      </c>
      <c r="U38" s="57" t="s">
        <v>665</v>
      </c>
      <c r="V38" s="157">
        <f>T38*R38</f>
        <v>3023006.4214461669</v>
      </c>
      <c r="X38" s="26"/>
      <c r="Y38" s="112">
        <v>3149500</v>
      </c>
      <c r="Z38" s="112">
        <v>2743680</v>
      </c>
      <c r="AA38" s="57" t="s">
        <v>665</v>
      </c>
      <c r="AB38" s="64">
        <f>Z38/Y38</f>
        <v>0.87114780123829183</v>
      </c>
      <c r="AC38" s="64">
        <v>0.95983693330565711</v>
      </c>
      <c r="AD38" s="611">
        <v>2595000</v>
      </c>
      <c r="AE38" s="57" t="s">
        <v>665</v>
      </c>
      <c r="AF38" s="1034"/>
      <c r="AH38" s="26"/>
      <c r="AI38" s="248">
        <v>2595000</v>
      </c>
      <c r="AJ38" s="1033"/>
      <c r="AK38" s="57" t="s">
        <v>665</v>
      </c>
      <c r="AL38" s="64">
        <f>AJ38/AI38</f>
        <v>0</v>
      </c>
      <c r="AM38" s="64">
        <v>0.95983693330565711</v>
      </c>
      <c r="AN38" s="112">
        <v>3834000</v>
      </c>
      <c r="AO38" s="57" t="s">
        <v>665</v>
      </c>
      <c r="AP38" s="1034"/>
      <c r="AR38" s="248">
        <v>3499.3429999999998</v>
      </c>
      <c r="AS38" s="1033">
        <v>2991.982</v>
      </c>
      <c r="AT38" s="57" t="s">
        <v>666</v>
      </c>
      <c r="AU38" s="64">
        <f>AS38/AR38</f>
        <v>0.85501249806035018</v>
      </c>
      <c r="AV38" s="64">
        <v>0.95983693330565711</v>
      </c>
      <c r="AW38" s="112">
        <v>4014</v>
      </c>
      <c r="AX38" s="57" t="s">
        <v>665</v>
      </c>
      <c r="AY38" s="3012">
        <f>AW38*AU38</f>
        <v>3432.0201672142457</v>
      </c>
      <c r="BA38" s="5826">
        <v>4014.0000340000001</v>
      </c>
      <c r="BB38" s="7723">
        <v>4393.9256005200004</v>
      </c>
      <c r="BC38" s="57"/>
      <c r="BD38" s="64">
        <f>BB38/BA38</f>
        <v>1.0946501154214989</v>
      </c>
      <c r="BE38" s="64">
        <v>0.95983693330565711</v>
      </c>
      <c r="BF38" s="112">
        <v>3921</v>
      </c>
      <c r="BG38" s="57" t="s">
        <v>665</v>
      </c>
      <c r="BH38" s="66">
        <f>BF38*BD38</f>
        <v>4292.1231025676971</v>
      </c>
    </row>
    <row r="39" spans="1:60" x14ac:dyDescent="0.35">
      <c r="A39" s="9168"/>
      <c r="B39" s="241"/>
      <c r="C39" s="241" t="s">
        <v>534</v>
      </c>
      <c r="D39" s="197"/>
      <c r="F39" s="163"/>
      <c r="H39" s="242"/>
      <c r="I39" s="243"/>
      <c r="J39" s="64">
        <f>IF(H39=0,0,I39/H39)</f>
        <v>0</v>
      </c>
      <c r="L39" s="242"/>
      <c r="M39" s="157">
        <f>L39*J39</f>
        <v>0</v>
      </c>
      <c r="O39" s="117"/>
      <c r="P39" s="115"/>
      <c r="Q39" s="106"/>
      <c r="R39" s="64">
        <f>IF(O39=0,0,P39/O39)</f>
        <v>0</v>
      </c>
      <c r="T39" s="117"/>
      <c r="U39" s="106"/>
      <c r="V39" s="157">
        <f>T39*R39</f>
        <v>0</v>
      </c>
      <c r="X39" s="26"/>
      <c r="Y39" s="117"/>
      <c r="Z39" s="117">
        <f t="shared" ref="Z39:Z53" si="0">Y39*AB39</f>
        <v>0</v>
      </c>
      <c r="AA39" s="106"/>
      <c r="AB39" s="64">
        <v>0</v>
      </c>
      <c r="AC39" s="64">
        <v>0</v>
      </c>
      <c r="AD39" s="611"/>
      <c r="AE39" s="106"/>
      <c r="AF39" s="273"/>
      <c r="AH39" s="26"/>
      <c r="AI39" s="200"/>
      <c r="AJ39" s="204"/>
      <c r="AK39" s="106"/>
      <c r="AL39" s="64">
        <v>0</v>
      </c>
      <c r="AM39" s="64">
        <v>0</v>
      </c>
      <c r="AN39" s="117"/>
      <c r="AO39" s="106"/>
      <c r="AP39" s="273"/>
      <c r="AR39" s="200"/>
      <c r="AS39" s="204"/>
      <c r="AT39" s="106"/>
      <c r="AU39" s="64">
        <v>0</v>
      </c>
      <c r="AV39" s="64">
        <v>0</v>
      </c>
      <c r="AW39" s="117"/>
      <c r="AX39" s="106"/>
      <c r="AY39" s="2991"/>
      <c r="BA39" s="5833"/>
      <c r="BB39" s="7724"/>
      <c r="BC39" s="106"/>
      <c r="BD39" s="64">
        <v>0</v>
      </c>
      <c r="BE39" s="64">
        <v>0</v>
      </c>
      <c r="BF39" s="117"/>
      <c r="BG39" s="106"/>
      <c r="BH39" s="66"/>
    </row>
    <row r="40" spans="1:60" x14ac:dyDescent="0.35">
      <c r="A40" s="9168"/>
      <c r="B40" s="241"/>
      <c r="C40" s="241" t="s">
        <v>536</v>
      </c>
      <c r="D40" s="197"/>
      <c r="F40" s="163"/>
      <c r="H40" s="242"/>
      <c r="I40" s="243"/>
      <c r="J40" s="64">
        <f>IF(H40=0,0,I40/H40)</f>
        <v>0</v>
      </c>
      <c r="L40" s="242"/>
      <c r="M40" s="157">
        <f>L40*J40</f>
        <v>0</v>
      </c>
      <c r="O40" s="242"/>
      <c r="P40" s="115"/>
      <c r="Q40" s="106"/>
      <c r="R40" s="64">
        <f>IF(O40=0,0,P40/O40)</f>
        <v>0</v>
      </c>
      <c r="T40" s="242"/>
      <c r="U40" s="106"/>
      <c r="V40" s="157">
        <f>T40*R40</f>
        <v>0</v>
      </c>
      <c r="X40" s="26"/>
      <c r="Y40" s="242"/>
      <c r="Z40" s="242" t="s">
        <v>667</v>
      </c>
      <c r="AA40" s="106"/>
      <c r="AB40" s="64">
        <v>0</v>
      </c>
      <c r="AC40" s="64">
        <v>0</v>
      </c>
      <c r="AD40" s="611"/>
      <c r="AE40" s="106"/>
      <c r="AF40" s="276"/>
      <c r="AH40" s="26"/>
      <c r="AI40" s="164"/>
      <c r="AJ40" s="165"/>
      <c r="AK40" s="106"/>
      <c r="AL40" s="64">
        <v>0</v>
      </c>
      <c r="AM40" s="64">
        <v>0</v>
      </c>
      <c r="AN40" s="242"/>
      <c r="AO40" s="106"/>
      <c r="AP40" s="276"/>
      <c r="AR40" s="164"/>
      <c r="AS40" s="165"/>
      <c r="AT40" s="106"/>
      <c r="AU40" s="64">
        <v>0</v>
      </c>
      <c r="AV40" s="64">
        <v>0</v>
      </c>
      <c r="AW40" s="242"/>
      <c r="AX40" s="106"/>
      <c r="AY40" s="3031"/>
      <c r="BA40" s="5674"/>
      <c r="BB40" s="5675"/>
      <c r="BC40" s="106"/>
      <c r="BD40" s="64">
        <v>0</v>
      </c>
      <c r="BE40" s="64">
        <v>0</v>
      </c>
      <c r="BF40" s="242"/>
      <c r="BG40" s="106"/>
      <c r="BH40" s="66"/>
    </row>
    <row r="41" spans="1:60" x14ac:dyDescent="0.35">
      <c r="A41" s="9168"/>
      <c r="B41" s="141" t="s">
        <v>531</v>
      </c>
      <c r="C41"/>
      <c r="D41" s="197"/>
      <c r="E41" s="143"/>
      <c r="F41" s="168"/>
      <c r="G41" s="143"/>
      <c r="H41" s="245"/>
      <c r="I41" s="106"/>
      <c r="J41" s="246"/>
      <c r="K41" s="143"/>
      <c r="L41" s="245"/>
      <c r="M41" s="247"/>
      <c r="N41" s="143"/>
      <c r="O41" s="245"/>
      <c r="P41" s="106"/>
      <c r="Q41" s="106"/>
      <c r="R41" s="64"/>
      <c r="S41" s="143"/>
      <c r="T41" s="245"/>
      <c r="U41" s="106"/>
      <c r="V41" s="247"/>
      <c r="W41" s="143"/>
      <c r="X41" s="18"/>
      <c r="Y41" s="245"/>
      <c r="Z41" s="245" t="s">
        <v>668</v>
      </c>
      <c r="AA41" s="106"/>
      <c r="AB41" s="64"/>
      <c r="AC41" s="64"/>
      <c r="AD41" s="7855"/>
      <c r="AE41" s="106"/>
      <c r="AF41" s="482"/>
      <c r="AG41" s="143"/>
      <c r="AH41" s="18"/>
      <c r="AI41" s="245"/>
      <c r="AJ41" s="106"/>
      <c r="AK41" s="106"/>
      <c r="AL41" s="64"/>
      <c r="AM41" s="64"/>
      <c r="AN41" s="245"/>
      <c r="AO41" s="106"/>
      <c r="AP41" s="66"/>
      <c r="AR41" s="245"/>
      <c r="AS41" s="106"/>
      <c r="AT41" s="106" t="s">
        <v>669</v>
      </c>
      <c r="AU41" s="64"/>
      <c r="AV41" s="64"/>
      <c r="AW41" s="245"/>
      <c r="AX41" s="106"/>
      <c r="AY41" s="66"/>
      <c r="BA41" s="654" t="s">
        <v>652</v>
      </c>
      <c r="BB41" s="106"/>
      <c r="BC41" s="106"/>
      <c r="BD41" s="64"/>
      <c r="BE41" s="64"/>
      <c r="BF41" s="245"/>
      <c r="BG41" s="106"/>
      <c r="BH41" s="66"/>
    </row>
    <row r="42" spans="1:60" x14ac:dyDescent="0.35">
      <c r="A42" s="9168"/>
      <c r="B42" s="240"/>
      <c r="C42" s="240" t="s">
        <v>670</v>
      </c>
      <c r="D42" s="197"/>
      <c r="F42" s="111"/>
      <c r="H42" s="112">
        <v>181457</v>
      </c>
      <c r="I42" s="113">
        <v>172771</v>
      </c>
      <c r="J42" s="64">
        <f>IF(H42=0,0,I42/H42)</f>
        <v>0.95213191003929309</v>
      </c>
      <c r="L42" s="112">
        <v>177000</v>
      </c>
      <c r="M42" s="157">
        <f>L42*J42</f>
        <v>168527.34807695489</v>
      </c>
      <c r="O42" s="248">
        <v>177000</v>
      </c>
      <c r="P42" s="3273">
        <f>O42*J42</f>
        <v>168527.34807695489</v>
      </c>
      <c r="Q42" s="57" t="s">
        <v>671</v>
      </c>
      <c r="R42" s="64">
        <f>IF(O42=0,0,P42/O42)</f>
        <v>0.95213191003929321</v>
      </c>
      <c r="T42" s="112">
        <v>290800</v>
      </c>
      <c r="U42" s="57" t="s">
        <v>671</v>
      </c>
      <c r="V42" s="157">
        <f>T42*R42</f>
        <v>276879.95943942649</v>
      </c>
      <c r="X42" s="26"/>
      <c r="Y42" s="112">
        <v>290800</v>
      </c>
      <c r="Z42" s="112">
        <v>275141.5</v>
      </c>
      <c r="AA42" s="57" t="s">
        <v>671</v>
      </c>
      <c r="AB42" s="64">
        <f t="shared" ref="AB42:AB45" si="1">Z42/Y42</f>
        <v>0.94615371389270975</v>
      </c>
      <c r="AC42" s="64">
        <v>0.95213191003929321</v>
      </c>
      <c r="AD42" s="611">
        <v>315800</v>
      </c>
      <c r="AE42" s="57" t="s">
        <v>671</v>
      </c>
      <c r="AF42" s="1034">
        <v>283000</v>
      </c>
      <c r="AH42" s="26"/>
      <c r="AI42" s="248">
        <v>315800</v>
      </c>
      <c r="AJ42" s="1033">
        <v>325600</v>
      </c>
      <c r="AK42" s="57" t="s">
        <v>671</v>
      </c>
      <c r="AL42" s="64">
        <f t="shared" ref="AL42:AL45" si="2">AJ42/AI42</f>
        <v>1.0310322989233691</v>
      </c>
      <c r="AM42" s="64">
        <v>0.95213191003929321</v>
      </c>
      <c r="AN42" s="112">
        <v>318300</v>
      </c>
      <c r="AO42" s="57" t="s">
        <v>671</v>
      </c>
      <c r="AP42" s="1034">
        <v>318200</v>
      </c>
      <c r="AR42" s="248">
        <v>318.3</v>
      </c>
      <c r="AS42" s="1033">
        <v>414.9</v>
      </c>
      <c r="AT42" s="57" t="s">
        <v>671</v>
      </c>
      <c r="AU42" s="64">
        <f>AS42/(AR42+AR43)</f>
        <v>1.0764824011083953</v>
      </c>
      <c r="AV42" s="64">
        <v>0.95213191003929321</v>
      </c>
      <c r="AW42" s="112">
        <v>350</v>
      </c>
      <c r="AX42" s="57" t="s">
        <v>671</v>
      </c>
      <c r="AY42" s="3012">
        <f>AW42*AU37</f>
        <v>346.84376374711155</v>
      </c>
      <c r="BA42" s="248">
        <v>350</v>
      </c>
      <c r="BB42" s="106">
        <f>BA42*BD37</f>
        <v>381.48757614330958</v>
      </c>
      <c r="BC42" s="57" t="s">
        <v>671</v>
      </c>
      <c r="BD42" s="64">
        <f>BB42/(BA42+BA43)</f>
        <v>0.61530254216662839</v>
      </c>
      <c r="BE42" s="64">
        <v>0.95213191003929321</v>
      </c>
      <c r="BF42" s="112">
        <v>300</v>
      </c>
      <c r="BG42" s="57" t="s">
        <v>671</v>
      </c>
      <c r="BH42" s="66">
        <f>BF42*BD37</f>
        <v>326.98935097997963</v>
      </c>
    </row>
    <row r="43" spans="1:60" x14ac:dyDescent="0.35">
      <c r="A43" s="9168"/>
      <c r="B43" s="240"/>
      <c r="C43" s="240" t="s">
        <v>672</v>
      </c>
      <c r="D43" s="197"/>
      <c r="F43" s="111"/>
      <c r="H43" s="112"/>
      <c r="I43" s="113"/>
      <c r="J43" s="64">
        <f>J42</f>
        <v>0.95213191003929309</v>
      </c>
      <c r="L43" s="112"/>
      <c r="M43" s="157"/>
      <c r="O43" s="248"/>
      <c r="P43" s="3273">
        <f>O43*J43</f>
        <v>0</v>
      </c>
      <c r="Q43" s="57" t="s">
        <v>673</v>
      </c>
      <c r="R43" s="64">
        <f>IF(O43=0,0,P43/O43)</f>
        <v>0</v>
      </c>
      <c r="T43" s="112">
        <v>63000</v>
      </c>
      <c r="U43" s="57" t="s">
        <v>673</v>
      </c>
      <c r="V43" s="157">
        <f>T43*R43</f>
        <v>0</v>
      </c>
      <c r="X43" s="26"/>
      <c r="Y43" s="112">
        <v>63000</v>
      </c>
      <c r="Z43" s="112">
        <v>7812.8</v>
      </c>
      <c r="AA43" s="57" t="s">
        <v>673</v>
      </c>
      <c r="AB43" s="64">
        <f t="shared" si="1"/>
        <v>0.12401269841269842</v>
      </c>
      <c r="AC43" s="64">
        <v>0</v>
      </c>
      <c r="AD43" s="611">
        <v>55000</v>
      </c>
      <c r="AE43" s="57" t="s">
        <v>673</v>
      </c>
      <c r="AF43" s="1034"/>
      <c r="AH43" s="26"/>
      <c r="AI43" s="248">
        <v>55000</v>
      </c>
      <c r="AJ43" s="1033"/>
      <c r="AK43" s="57" t="s">
        <v>673</v>
      </c>
      <c r="AL43" s="64">
        <f t="shared" si="2"/>
        <v>0</v>
      </c>
      <c r="AM43" s="64">
        <v>0</v>
      </c>
      <c r="AN43" s="112">
        <v>162122</v>
      </c>
      <c r="AO43" s="57" t="s">
        <v>673</v>
      </c>
      <c r="AP43" s="1034"/>
      <c r="AR43" s="248">
        <v>67.122</v>
      </c>
      <c r="AS43" s="1033"/>
      <c r="AT43" s="57" t="s">
        <v>673</v>
      </c>
      <c r="AU43" s="64"/>
      <c r="AV43" s="64">
        <v>0</v>
      </c>
      <c r="AW43" s="112">
        <v>270</v>
      </c>
      <c r="AX43" s="57" t="s">
        <v>673</v>
      </c>
      <c r="AY43" s="3012">
        <f>AW43*AU38</f>
        <v>230.85337447629456</v>
      </c>
      <c r="BA43" s="248">
        <v>270</v>
      </c>
      <c r="BB43" s="106">
        <f>BA43*BD38</f>
        <v>295.55553116380469</v>
      </c>
      <c r="BC43" s="57" t="s">
        <v>673</v>
      </c>
      <c r="BD43" s="64"/>
      <c r="BE43" s="64">
        <v>0</v>
      </c>
      <c r="BF43" s="112">
        <v>200</v>
      </c>
      <c r="BG43" s="57" t="s">
        <v>673</v>
      </c>
      <c r="BH43" s="66">
        <f>BF43*BD38</f>
        <v>218.93002308429979</v>
      </c>
    </row>
    <row r="44" spans="1:60" x14ac:dyDescent="0.35">
      <c r="A44" s="9168"/>
      <c r="B44" s="240"/>
      <c r="C44" s="240" t="s">
        <v>674</v>
      </c>
      <c r="D44" s="197"/>
      <c r="F44" s="155"/>
      <c r="H44" s="117">
        <v>818827</v>
      </c>
      <c r="I44" s="115">
        <v>811221</v>
      </c>
      <c r="J44" s="64">
        <f>IF(H44=0,0,I44/H44)</f>
        <v>0.99071110258943584</v>
      </c>
      <c r="L44" s="117">
        <v>502769</v>
      </c>
      <c r="M44" s="157">
        <f>L44*J44</f>
        <v>498098.83033778809</v>
      </c>
      <c r="O44" s="200">
        <v>1664769</v>
      </c>
      <c r="P44" s="3273">
        <f>O44*J44</f>
        <v>1649305.1315467125</v>
      </c>
      <c r="Q44" s="57" t="s">
        <v>675</v>
      </c>
      <c r="R44" s="64">
        <f>IF(O44=0,0,P44/O44)</f>
        <v>0.99071110258943584</v>
      </c>
      <c r="T44" s="117">
        <v>276001</v>
      </c>
      <c r="U44" s="57" t="s">
        <v>675</v>
      </c>
      <c r="V44" s="157">
        <f>T44*R44</f>
        <v>273437.25502578687</v>
      </c>
      <c r="X44" s="26"/>
      <c r="Y44" s="117">
        <v>276001</v>
      </c>
      <c r="Z44" s="117">
        <v>359670.4</v>
      </c>
      <c r="AA44" s="57" t="s">
        <v>675</v>
      </c>
      <c r="AB44" s="64">
        <f t="shared" si="1"/>
        <v>1.3031489016344144</v>
      </c>
      <c r="AC44" s="64">
        <v>0.99071110258943584</v>
      </c>
      <c r="AD44" s="611">
        <v>186500</v>
      </c>
      <c r="AE44" s="57" t="s">
        <v>675</v>
      </c>
      <c r="AF44" s="273">
        <v>751900</v>
      </c>
      <c r="AH44" s="26"/>
      <c r="AI44" s="200">
        <v>186500</v>
      </c>
      <c r="AJ44" s="204">
        <v>278700</v>
      </c>
      <c r="AK44" s="57" t="s">
        <v>675</v>
      </c>
      <c r="AL44" s="64">
        <f t="shared" si="2"/>
        <v>1.4943699731903486</v>
      </c>
      <c r="AM44" s="64">
        <v>0.99071110258943584</v>
      </c>
      <c r="AN44" s="117">
        <v>212500</v>
      </c>
      <c r="AO44" s="57" t="s">
        <v>675</v>
      </c>
      <c r="AP44" s="273">
        <v>629000</v>
      </c>
      <c r="AR44" s="200">
        <v>412.5</v>
      </c>
      <c r="AS44" s="204">
        <v>675.5</v>
      </c>
      <c r="AT44" s="57" t="s">
        <v>675</v>
      </c>
      <c r="AU44" s="64">
        <f>AS44/(AR44+AR45)</f>
        <v>1.4232378608661207</v>
      </c>
      <c r="AV44" s="64">
        <v>0.99071110258943584</v>
      </c>
      <c r="AW44" s="117">
        <v>218</v>
      </c>
      <c r="AX44" s="57" t="s">
        <v>675</v>
      </c>
      <c r="AY44" s="2991">
        <f>AW44*AU37</f>
        <v>216.03411570534377</v>
      </c>
      <c r="BA44" s="200">
        <v>218</v>
      </c>
      <c r="BB44" s="106">
        <f>BA44*BD37</f>
        <v>237.61226171211854</v>
      </c>
      <c r="BC44" s="57" t="s">
        <v>675</v>
      </c>
      <c r="BD44" s="64">
        <f>BB44/(BA44+BA45)</f>
        <v>0.50771850793187723</v>
      </c>
      <c r="BE44" s="64">
        <v>0.99071110258943584</v>
      </c>
      <c r="BF44" s="117">
        <v>220</v>
      </c>
      <c r="BG44" s="57" t="s">
        <v>675</v>
      </c>
      <c r="BH44" s="66">
        <f>BF44*BD37</f>
        <v>239.79219071865174</v>
      </c>
    </row>
    <row r="45" spans="1:60" x14ac:dyDescent="0.35">
      <c r="A45" s="9168"/>
      <c r="B45" s="241"/>
      <c r="C45" s="240" t="s">
        <v>676</v>
      </c>
      <c r="D45" s="197"/>
      <c r="F45" s="163"/>
      <c r="H45" s="242"/>
      <c r="I45" s="243"/>
      <c r="J45" s="64">
        <f>J44</f>
        <v>0.99071110258943584</v>
      </c>
      <c r="L45" s="242"/>
      <c r="M45" s="157"/>
      <c r="O45" s="164">
        <v>123000</v>
      </c>
      <c r="P45" s="3273">
        <f>O45*J45</f>
        <v>121857.4656185006</v>
      </c>
      <c r="Q45" s="57" t="s">
        <v>677</v>
      </c>
      <c r="R45" s="64">
        <f>IF(O45=0,0,P45/O45)</f>
        <v>0.99071110258943584</v>
      </c>
      <c r="T45" s="242">
        <v>402000</v>
      </c>
      <c r="U45" s="57" t="s">
        <v>677</v>
      </c>
      <c r="V45" s="157">
        <f>T45*R45</f>
        <v>398265.86324095319</v>
      </c>
      <c r="X45" s="26"/>
      <c r="Y45" s="242">
        <v>402000</v>
      </c>
      <c r="Z45" s="242">
        <v>392184.1</v>
      </c>
      <c r="AA45" s="57" t="s">
        <v>677</v>
      </c>
      <c r="AB45" s="64">
        <f t="shared" si="1"/>
        <v>0.97558233830845764</v>
      </c>
      <c r="AC45" s="64">
        <v>0.99071110258943584</v>
      </c>
      <c r="AD45" s="611">
        <v>122</v>
      </c>
      <c r="AE45" s="57" t="s">
        <v>677</v>
      </c>
      <c r="AF45" s="276"/>
      <c r="AH45" s="26"/>
      <c r="AI45" s="164">
        <v>122</v>
      </c>
      <c r="AJ45" s="165"/>
      <c r="AK45" s="57" t="s">
        <v>677</v>
      </c>
      <c r="AL45" s="64">
        <f t="shared" si="2"/>
        <v>0</v>
      </c>
      <c r="AM45" s="64">
        <v>0.99071110258943584</v>
      </c>
      <c r="AN45" s="242">
        <v>309816</v>
      </c>
      <c r="AO45" s="57" t="s">
        <v>677</v>
      </c>
      <c r="AP45" s="276"/>
      <c r="AR45" s="164">
        <v>62.122</v>
      </c>
      <c r="AS45" s="165"/>
      <c r="AT45" s="57" t="s">
        <v>677</v>
      </c>
      <c r="AU45" s="64"/>
      <c r="AV45" s="64">
        <v>0.99071110258943584</v>
      </c>
      <c r="AW45" s="242">
        <v>250</v>
      </c>
      <c r="AX45" s="57" t="s">
        <v>677</v>
      </c>
      <c r="AY45" s="3031">
        <f>AW45*AU37</f>
        <v>247.7455455336511</v>
      </c>
      <c r="BA45" s="164">
        <v>250</v>
      </c>
      <c r="BB45" s="106">
        <f>BA45*BD38</f>
        <v>273.66252885537472</v>
      </c>
      <c r="BC45" s="57" t="s">
        <v>677</v>
      </c>
      <c r="BD45" s="64"/>
      <c r="BE45" s="64">
        <v>0.99071110258943584</v>
      </c>
      <c r="BF45" s="242">
        <v>110</v>
      </c>
      <c r="BG45" s="57" t="s">
        <v>677</v>
      </c>
      <c r="BH45" s="66">
        <f>BF45*BD37</f>
        <v>119.89609535932587</v>
      </c>
    </row>
    <row r="46" spans="1:60" x14ac:dyDescent="0.35">
      <c r="A46" s="9168"/>
      <c r="B46" s="250"/>
      <c r="C46" s="250" t="s">
        <v>534</v>
      </c>
      <c r="D46" s="209"/>
      <c r="F46" s="130"/>
      <c r="H46" s="242"/>
      <c r="I46" s="243"/>
      <c r="J46" s="64">
        <f>IF(H46=0,0,I46/H46)</f>
        <v>0</v>
      </c>
      <c r="L46" s="131"/>
      <c r="M46" s="213">
        <f>L46*J46</f>
        <v>0</v>
      </c>
      <c r="O46" s="164"/>
      <c r="P46" s="215"/>
      <c r="Q46" s="216"/>
      <c r="R46" s="64">
        <f>IF(O46=0,0,P46/O46)</f>
        <v>0</v>
      </c>
      <c r="T46" s="131"/>
      <c r="U46" s="216"/>
      <c r="V46" s="213">
        <f>T46*R46</f>
        <v>0</v>
      </c>
      <c r="X46" s="24"/>
      <c r="Y46" s="131"/>
      <c r="Z46" s="131">
        <f t="shared" si="0"/>
        <v>0</v>
      </c>
      <c r="AA46" s="216"/>
      <c r="AB46" s="64">
        <v>0</v>
      </c>
      <c r="AC46" s="64">
        <v>0</v>
      </c>
      <c r="AD46" s="1345">
        <f>AB46*Z46</f>
        <v>0</v>
      </c>
      <c r="AE46" s="216"/>
      <c r="AF46" s="1345"/>
      <c r="AH46" s="24"/>
      <c r="AI46" s="6130">
        <v>0</v>
      </c>
      <c r="AJ46" s="3054"/>
      <c r="AK46" s="216"/>
      <c r="AL46" s="64">
        <v>0</v>
      </c>
      <c r="AM46" s="64">
        <v>0</v>
      </c>
      <c r="AN46" s="131"/>
      <c r="AO46" s="216"/>
      <c r="AP46" s="213"/>
      <c r="AR46" s="6130"/>
      <c r="AS46" s="3054"/>
      <c r="AT46" s="216"/>
      <c r="AU46" s="64"/>
      <c r="AV46" s="64">
        <v>0</v>
      </c>
      <c r="AW46" s="131"/>
      <c r="AX46" s="216"/>
      <c r="AY46" s="213"/>
      <c r="BA46" s="6130"/>
      <c r="BB46" s="3054"/>
      <c r="BC46" s="216"/>
      <c r="BD46" s="64"/>
      <c r="BE46" s="64">
        <v>0</v>
      </c>
      <c r="BF46" s="131"/>
      <c r="BG46" s="216"/>
      <c r="BH46" s="213"/>
    </row>
    <row r="47" spans="1:60" x14ac:dyDescent="0.35">
      <c r="A47" s="9168"/>
      <c r="B47" s="141" t="s">
        <v>535</v>
      </c>
      <c r="C47" s="141"/>
      <c r="D47" s="197"/>
      <c r="E47" s="143"/>
      <c r="F47" s="227"/>
      <c r="G47" s="143"/>
      <c r="H47" s="102"/>
      <c r="I47" s="103"/>
      <c r="J47" s="252"/>
      <c r="K47" s="143"/>
      <c r="L47" s="245"/>
      <c r="M47" s="247"/>
      <c r="N47" s="143"/>
      <c r="O47" s="102"/>
      <c r="P47" s="103"/>
      <c r="Q47" s="106"/>
      <c r="R47" s="252"/>
      <c r="S47" s="143"/>
      <c r="T47" s="245"/>
      <c r="U47" s="106"/>
      <c r="V47" s="247"/>
      <c r="W47" s="143"/>
      <c r="X47" s="26"/>
      <c r="Y47" s="245"/>
      <c r="Z47" s="245"/>
      <c r="AA47" s="106"/>
      <c r="AB47" s="252"/>
      <c r="AC47" s="252"/>
      <c r="AD47" s="247"/>
      <c r="AE47" s="106"/>
      <c r="AF47" s="157">
        <f t="shared" ref="AF47:AF53" si="3">AD47*AB47</f>
        <v>0</v>
      </c>
      <c r="AG47" s="143"/>
      <c r="AH47" s="26"/>
      <c r="AI47" s="102"/>
      <c r="AJ47" s="103" t="s">
        <v>678</v>
      </c>
      <c r="AK47" s="106"/>
      <c r="AL47" s="252"/>
      <c r="AM47" s="252"/>
      <c r="AN47" s="245"/>
      <c r="AO47" s="106"/>
      <c r="AP47" s="157" t="s">
        <v>678</v>
      </c>
      <c r="AR47" s="517" t="s">
        <v>679</v>
      </c>
      <c r="AS47" s="103"/>
      <c r="AT47" s="106"/>
      <c r="AU47" s="252"/>
      <c r="AV47" s="252"/>
      <c r="AW47" s="245"/>
      <c r="AX47" s="106"/>
      <c r="AY47" s="157" t="s">
        <v>678</v>
      </c>
      <c r="BA47" s="230" t="s">
        <v>680</v>
      </c>
      <c r="BB47" s="103"/>
      <c r="BC47" s="106"/>
      <c r="BD47" s="252"/>
      <c r="BE47" s="252"/>
      <c r="BF47" s="245"/>
      <c r="BG47" s="106"/>
      <c r="BH47" s="157" t="s">
        <v>678</v>
      </c>
    </row>
    <row r="48" spans="1:60" ht="24.75" customHeight="1" x14ac:dyDescent="0.35">
      <c r="A48" s="9168"/>
      <c r="B48" s="240"/>
      <c r="C48" s="240" t="s">
        <v>681</v>
      </c>
      <c r="D48" s="197"/>
      <c r="F48" s="111"/>
      <c r="H48" s="117">
        <v>1840000</v>
      </c>
      <c r="I48" s="113">
        <v>1556821</v>
      </c>
      <c r="J48" s="64">
        <f>IF(H48=0,0,I48/H48)</f>
        <v>0.84609836956521745</v>
      </c>
      <c r="L48" s="112">
        <v>1951262</v>
      </c>
      <c r="M48" s="157">
        <f t="shared" ref="M48:M54" si="4">L48*J48</f>
        <v>1650959.5967945652</v>
      </c>
      <c r="O48" s="117">
        <v>1297570</v>
      </c>
      <c r="P48" s="3273">
        <f t="shared" ref="P48:P53" si="5">O48*J48</f>
        <v>1097871.8613967393</v>
      </c>
      <c r="Q48" s="57" t="s">
        <v>682</v>
      </c>
      <c r="R48" s="64">
        <f t="shared" ref="R48:R54" si="6">IF(O48=0,0,P48/O48)</f>
        <v>0.84609836956521745</v>
      </c>
      <c r="T48" s="112">
        <v>1360238</v>
      </c>
      <c r="U48" s="57" t="s">
        <v>682</v>
      </c>
      <c r="V48" s="157">
        <f t="shared" ref="V48:V54" si="7">T48*R48</f>
        <v>1150895.1540206522</v>
      </c>
      <c r="X48" s="257"/>
      <c r="Y48" s="112">
        <v>1360238</v>
      </c>
      <c r="Z48" s="112">
        <v>1301473</v>
      </c>
      <c r="AA48" s="57" t="s">
        <v>682</v>
      </c>
      <c r="AB48" s="64">
        <f t="shared" ref="AB48:AB51" si="8">Z48/Y48</f>
        <v>0.95679800152620353</v>
      </c>
      <c r="AC48" s="64">
        <v>0.84609836956521745</v>
      </c>
      <c r="AD48" s="611">
        <v>1568860</v>
      </c>
      <c r="AE48" s="57" t="s">
        <v>682</v>
      </c>
      <c r="AF48" s="611">
        <f t="shared" si="3"/>
        <v>1501082.1126743997</v>
      </c>
      <c r="AH48" s="257"/>
      <c r="AI48" s="112">
        <v>1568860</v>
      </c>
      <c r="AJ48" s="312">
        <v>1501082.1126743997</v>
      </c>
      <c r="AK48" s="57" t="s">
        <v>682</v>
      </c>
      <c r="AL48" s="64">
        <f t="shared" ref="AL48:AL51" si="9">AJ48/AI48</f>
        <v>0.95679800152620353</v>
      </c>
      <c r="AM48" s="64">
        <v>0.84609836956521745</v>
      </c>
      <c r="AN48" s="112">
        <v>1680000</v>
      </c>
      <c r="AO48" s="57" t="s">
        <v>683</v>
      </c>
      <c r="AP48" s="157">
        <f>AN48*AL48</f>
        <v>1607420.642564022</v>
      </c>
      <c r="AR48" s="112">
        <v>1680.6</v>
      </c>
      <c r="AS48" s="312">
        <f>AR48*AU37</f>
        <v>1665.4446552954162</v>
      </c>
      <c r="AT48" s="57" t="s">
        <v>684</v>
      </c>
      <c r="AU48" s="64">
        <f t="shared" ref="AU48:AU51" si="10">AS48/AR48</f>
        <v>0.99098218213460443</v>
      </c>
      <c r="AV48" s="64">
        <v>0.84609836956521745</v>
      </c>
      <c r="AW48" s="112">
        <v>1805</v>
      </c>
      <c r="AX48" s="57" t="s">
        <v>683</v>
      </c>
      <c r="AY48" s="157">
        <f>AW48*AU37</f>
        <v>1788.722838752961</v>
      </c>
      <c r="BA48" s="5698">
        <v>1805</v>
      </c>
      <c r="BB48" s="7723">
        <v>1649.7322065999999</v>
      </c>
      <c r="BC48" s="57" t="s">
        <v>685</v>
      </c>
      <c r="BD48" s="64">
        <f t="shared" ref="BD48:BD53" si="11">IF(BA48=0,0,BB48/BA48)</f>
        <v>0.91397906182825484</v>
      </c>
      <c r="BE48" s="64">
        <v>0.84609836956521745</v>
      </c>
      <c r="BF48" s="112">
        <v>2058.5</v>
      </c>
      <c r="BG48" s="57" t="s">
        <v>683</v>
      </c>
      <c r="BH48" s="157">
        <f>BF48*BD48</f>
        <v>1881.4258987734627</v>
      </c>
    </row>
    <row r="49" spans="1:60" x14ac:dyDescent="0.35">
      <c r="A49" s="9168"/>
      <c r="B49" s="240"/>
      <c r="C49" s="240" t="s">
        <v>686</v>
      </c>
      <c r="D49" s="197"/>
      <c r="F49" s="155"/>
      <c r="H49" s="117"/>
      <c r="I49" s="115"/>
      <c r="J49" s="64">
        <f>J48</f>
        <v>0.84609836956521745</v>
      </c>
      <c r="L49" s="117"/>
      <c r="M49" s="157">
        <f t="shared" si="4"/>
        <v>0</v>
      </c>
      <c r="O49" s="117">
        <v>162498</v>
      </c>
      <c r="P49" s="3273">
        <f t="shared" si="5"/>
        <v>137489.2928576087</v>
      </c>
      <c r="Q49" s="57" t="s">
        <v>687</v>
      </c>
      <c r="R49" s="64">
        <f t="shared" si="6"/>
        <v>0.84609836956521745</v>
      </c>
      <c r="T49" s="112">
        <v>551034</v>
      </c>
      <c r="U49" s="57" t="s">
        <v>687</v>
      </c>
      <c r="V49" s="157">
        <f t="shared" si="7"/>
        <v>466228.96897500003</v>
      </c>
      <c r="X49" s="26"/>
      <c r="Y49" s="112">
        <v>551034</v>
      </c>
      <c r="Z49" s="112">
        <v>543676</v>
      </c>
      <c r="AA49" s="57" t="s">
        <v>687</v>
      </c>
      <c r="AB49" s="64">
        <f t="shared" si="8"/>
        <v>0.98664692196851733</v>
      </c>
      <c r="AC49" s="64">
        <v>0.84609836956521745</v>
      </c>
      <c r="AD49" s="611">
        <v>1162710.3</v>
      </c>
      <c r="AE49" s="57" t="s">
        <v>687</v>
      </c>
      <c r="AF49" s="611">
        <f t="shared" si="3"/>
        <v>1147184.5386360914</v>
      </c>
      <c r="AH49" s="26"/>
      <c r="AI49" s="112">
        <v>1162710.3</v>
      </c>
      <c r="AJ49" s="312">
        <v>1147184.5386360914</v>
      </c>
      <c r="AK49" s="57" t="s">
        <v>687</v>
      </c>
      <c r="AL49" s="64">
        <f t="shared" si="9"/>
        <v>0.98664692196851733</v>
      </c>
      <c r="AM49" s="64">
        <v>0.84609836956521745</v>
      </c>
      <c r="AN49" s="112">
        <v>1316000</v>
      </c>
      <c r="AO49" s="57"/>
      <c r="AP49" s="157">
        <f t="shared" ref="AP49:AP53" si="12">AN49*AL49</f>
        <v>1298427.3493105688</v>
      </c>
      <c r="AR49" s="112">
        <v>1316.2</v>
      </c>
      <c r="AS49" s="312">
        <f>AR49*AU38</f>
        <v>1125.367449947033</v>
      </c>
      <c r="AT49" s="57" t="s">
        <v>688</v>
      </c>
      <c r="AU49" s="64">
        <f t="shared" si="10"/>
        <v>0.85501249806035029</v>
      </c>
      <c r="AV49" s="64">
        <v>0.84609836956521745</v>
      </c>
      <c r="AW49" s="112">
        <v>1513.3440000000001</v>
      </c>
      <c r="AX49" s="57"/>
      <c r="AY49" s="157">
        <f>AW49*AU38</f>
        <v>1293.9280338646427</v>
      </c>
      <c r="BA49" s="5698">
        <v>1513.3440000000001</v>
      </c>
      <c r="BB49" s="7723">
        <v>1045.5537238500001</v>
      </c>
      <c r="BC49" s="57" t="s">
        <v>689</v>
      </c>
      <c r="BD49" s="64">
        <f t="shared" si="11"/>
        <v>0.69088966147154918</v>
      </c>
      <c r="BE49" s="64">
        <v>0.84609836956521745</v>
      </c>
      <c r="BF49" s="112">
        <v>1179.3689999999999</v>
      </c>
      <c r="BG49" s="57"/>
      <c r="BH49" s="157">
        <f t="shared" ref="BH49:BH53" si="13">BF49*BD49</f>
        <v>814.81384916003947</v>
      </c>
    </row>
    <row r="50" spans="1:60" x14ac:dyDescent="0.35">
      <c r="A50" s="9168"/>
      <c r="B50" s="240"/>
      <c r="C50" s="240" t="s">
        <v>690</v>
      </c>
      <c r="D50" s="197"/>
      <c r="F50" s="155"/>
      <c r="H50" s="117">
        <v>858325</v>
      </c>
      <c r="I50" s="115">
        <v>757013</v>
      </c>
      <c r="J50" s="64">
        <f>IF(H50=0,0,I50/H50)</f>
        <v>0.88196545597530074</v>
      </c>
      <c r="L50" s="117">
        <v>645600</v>
      </c>
      <c r="M50" s="157">
        <f t="shared" si="4"/>
        <v>569396.89837765414</v>
      </c>
      <c r="O50" s="117">
        <v>541600</v>
      </c>
      <c r="P50" s="3273">
        <f t="shared" si="5"/>
        <v>477672.49095622287</v>
      </c>
      <c r="Q50" s="57" t="s">
        <v>691</v>
      </c>
      <c r="R50" s="64">
        <f t="shared" si="6"/>
        <v>0.88196545597530074</v>
      </c>
      <c r="T50" s="117">
        <v>472500</v>
      </c>
      <c r="U50" s="57" t="s">
        <v>691</v>
      </c>
      <c r="V50" s="157">
        <f t="shared" si="7"/>
        <v>416728.6779483296</v>
      </c>
      <c r="X50" s="26"/>
      <c r="Y50" s="117">
        <v>472500</v>
      </c>
      <c r="Z50" s="117">
        <v>469620</v>
      </c>
      <c r="AA50" s="57" t="s">
        <v>691</v>
      </c>
      <c r="AB50" s="64">
        <f t="shared" si="8"/>
        <v>0.99390476190476196</v>
      </c>
      <c r="AC50" s="64">
        <v>0.88196545597530074</v>
      </c>
      <c r="AD50" s="611">
        <v>580100</v>
      </c>
      <c r="AE50" s="57" t="s">
        <v>691</v>
      </c>
      <c r="AF50" s="611">
        <f t="shared" si="3"/>
        <v>576564.15238095238</v>
      </c>
      <c r="AH50" s="26"/>
      <c r="AI50" s="117">
        <v>580100</v>
      </c>
      <c r="AJ50" s="312">
        <v>576564.15238095238</v>
      </c>
      <c r="AK50" s="57" t="s">
        <v>691</v>
      </c>
      <c r="AL50" s="64">
        <f t="shared" si="9"/>
        <v>0.99390476190476185</v>
      </c>
      <c r="AM50" s="64">
        <v>0.88196545597530074</v>
      </c>
      <c r="AN50" s="117">
        <v>598100</v>
      </c>
      <c r="AO50" s="57" t="s">
        <v>691</v>
      </c>
      <c r="AP50" s="157">
        <f t="shared" si="12"/>
        <v>594454.43809523806</v>
      </c>
      <c r="AR50" s="117">
        <v>598.1</v>
      </c>
      <c r="AS50" s="312">
        <f>AR50*AU37</f>
        <v>592.70644313470689</v>
      </c>
      <c r="AT50" s="57" t="s">
        <v>691</v>
      </c>
      <c r="AU50" s="64">
        <f t="shared" si="10"/>
        <v>0.99098218213460432</v>
      </c>
      <c r="AV50" s="64">
        <v>0.88196545597530074</v>
      </c>
      <c r="AW50" s="117">
        <v>600.04999999999995</v>
      </c>
      <c r="AX50" s="57" t="s">
        <v>691</v>
      </c>
      <c r="AY50" s="157">
        <f>AW50*AU37</f>
        <v>594.63885838986937</v>
      </c>
      <c r="BA50" s="5832">
        <v>600.04999999999995</v>
      </c>
      <c r="BB50" s="7723">
        <v>541.62515685000005</v>
      </c>
      <c r="BC50" s="57" t="s">
        <v>692</v>
      </c>
      <c r="BD50" s="64">
        <f t="shared" si="11"/>
        <v>0.90263337530205834</v>
      </c>
      <c r="BE50" s="64">
        <v>0.88196545597530074</v>
      </c>
      <c r="BF50" s="117">
        <v>600.04999999999995</v>
      </c>
      <c r="BG50" s="57" t="s">
        <v>691</v>
      </c>
      <c r="BH50" s="157">
        <f t="shared" si="13"/>
        <v>541.62515685000005</v>
      </c>
    </row>
    <row r="51" spans="1:60" x14ac:dyDescent="0.35">
      <c r="A51" s="9168"/>
      <c r="B51" s="240"/>
      <c r="C51" s="240" t="s">
        <v>693</v>
      </c>
      <c r="D51" s="197"/>
      <c r="F51" s="155"/>
      <c r="H51" s="117"/>
      <c r="I51" s="115"/>
      <c r="J51" s="64">
        <f>J50</f>
        <v>0.88196545597530074</v>
      </c>
      <c r="L51" s="117"/>
      <c r="M51" s="157">
        <f t="shared" si="4"/>
        <v>0</v>
      </c>
      <c r="O51" s="117">
        <v>0</v>
      </c>
      <c r="P51" s="3273">
        <f t="shared" si="5"/>
        <v>0</v>
      </c>
      <c r="Q51" s="57" t="s">
        <v>694</v>
      </c>
      <c r="R51" s="64">
        <f t="shared" si="6"/>
        <v>0</v>
      </c>
      <c r="T51" s="117">
        <v>15000</v>
      </c>
      <c r="U51" s="57" t="s">
        <v>694</v>
      </c>
      <c r="V51" s="157">
        <f t="shared" si="7"/>
        <v>0</v>
      </c>
      <c r="X51" s="26"/>
      <c r="Y51" s="117">
        <v>15000</v>
      </c>
      <c r="Z51" s="117">
        <v>15000</v>
      </c>
      <c r="AA51" s="57" t="s">
        <v>694</v>
      </c>
      <c r="AB51" s="64">
        <f t="shared" si="8"/>
        <v>1</v>
      </c>
      <c r="AC51" s="64">
        <v>0</v>
      </c>
      <c r="AD51" s="611">
        <v>15000</v>
      </c>
      <c r="AE51" s="57" t="s">
        <v>694</v>
      </c>
      <c r="AF51" s="611">
        <f t="shared" si="3"/>
        <v>15000</v>
      </c>
      <c r="AH51" s="26"/>
      <c r="AI51" s="117">
        <v>15000</v>
      </c>
      <c r="AJ51" s="312">
        <v>15000</v>
      </c>
      <c r="AK51" s="57" t="s">
        <v>694</v>
      </c>
      <c r="AL51" s="64">
        <f t="shared" si="9"/>
        <v>1</v>
      </c>
      <c r="AM51" s="64">
        <v>0</v>
      </c>
      <c r="AN51" s="117">
        <v>0</v>
      </c>
      <c r="AO51" s="57" t="s">
        <v>694</v>
      </c>
      <c r="AP51" s="157">
        <f t="shared" si="12"/>
        <v>0</v>
      </c>
      <c r="AR51" s="117">
        <v>0</v>
      </c>
      <c r="AS51" s="312">
        <f>AR51*AU38</f>
        <v>0</v>
      </c>
      <c r="AT51" s="57" t="s">
        <v>694</v>
      </c>
      <c r="AU51" s="64" t="e">
        <f t="shared" si="10"/>
        <v>#DIV/0!</v>
      </c>
      <c r="AV51" s="64">
        <v>0</v>
      </c>
      <c r="AW51" s="117">
        <v>0</v>
      </c>
      <c r="AX51" s="57" t="s">
        <v>694</v>
      </c>
      <c r="AY51" s="157">
        <f>AW51*AU38</f>
        <v>0</v>
      </c>
      <c r="BA51" s="5832">
        <v>0</v>
      </c>
      <c r="BB51" s="7723">
        <v>0</v>
      </c>
      <c r="BC51" s="57" t="s">
        <v>695</v>
      </c>
      <c r="BD51" s="64">
        <f t="shared" si="11"/>
        <v>0</v>
      </c>
      <c r="BE51" s="64">
        <v>0</v>
      </c>
      <c r="BF51" s="117">
        <v>110</v>
      </c>
      <c r="BG51" s="57" t="s">
        <v>694</v>
      </c>
      <c r="BH51" s="157">
        <f t="shared" si="13"/>
        <v>0</v>
      </c>
    </row>
    <row r="52" spans="1:60" x14ac:dyDescent="0.35">
      <c r="A52" s="9168"/>
      <c r="B52" s="240"/>
      <c r="C52" s="240" t="s">
        <v>537</v>
      </c>
      <c r="D52" s="197"/>
      <c r="F52" s="155"/>
      <c r="H52" s="117"/>
      <c r="I52" s="115"/>
      <c r="J52" s="64">
        <f>J51</f>
        <v>0.88196545597530074</v>
      </c>
      <c r="L52" s="117"/>
      <c r="M52" s="157">
        <f t="shared" si="4"/>
        <v>0</v>
      </c>
      <c r="O52" s="117">
        <f>60500-O53</f>
        <v>57000</v>
      </c>
      <c r="P52" s="3273">
        <f t="shared" si="5"/>
        <v>50272.030990592139</v>
      </c>
      <c r="Q52" s="57" t="s">
        <v>696</v>
      </c>
      <c r="R52" s="64">
        <f t="shared" si="6"/>
        <v>0.88196545597530063</v>
      </c>
      <c r="T52" s="117">
        <v>60900</v>
      </c>
      <c r="U52" s="57" t="s">
        <v>696</v>
      </c>
      <c r="V52" s="157">
        <f t="shared" si="7"/>
        <v>53711.696268895808</v>
      </c>
      <c r="X52" s="26"/>
      <c r="Y52" s="117">
        <v>60900</v>
      </c>
      <c r="Z52" s="117">
        <f t="shared" si="0"/>
        <v>53711.696268895808</v>
      </c>
      <c r="AA52" s="57" t="s">
        <v>696</v>
      </c>
      <c r="AB52" s="64">
        <v>0.88196545597530063</v>
      </c>
      <c r="AC52" s="64">
        <v>0.88196545597530063</v>
      </c>
      <c r="AD52" s="611">
        <v>89000</v>
      </c>
      <c r="AE52" s="57" t="s">
        <v>696</v>
      </c>
      <c r="AF52" s="611">
        <f t="shared" si="3"/>
        <v>78494.925581801755</v>
      </c>
      <c r="AH52" s="26"/>
      <c r="AI52" s="117">
        <v>89000</v>
      </c>
      <c r="AJ52" s="312">
        <v>78494.925581801755</v>
      </c>
      <c r="AK52" s="57" t="s">
        <v>696</v>
      </c>
      <c r="AL52" s="64">
        <v>0.88196545597530063</v>
      </c>
      <c r="AM52" s="64">
        <v>0.88196545597530063</v>
      </c>
      <c r="AN52" s="117">
        <v>120000</v>
      </c>
      <c r="AO52" s="57" t="s">
        <v>696</v>
      </c>
      <c r="AP52" s="157">
        <f t="shared" si="12"/>
        <v>105835.85471703607</v>
      </c>
      <c r="AR52" s="117">
        <v>120</v>
      </c>
      <c r="AS52" s="312">
        <f>AR52*AU37</f>
        <v>118.91786185615253</v>
      </c>
      <c r="AT52" s="57" t="s">
        <v>696</v>
      </c>
      <c r="AU52" s="64">
        <v>0.88196545597530063</v>
      </c>
      <c r="AV52" s="64">
        <v>0.88196545597530063</v>
      </c>
      <c r="AW52" s="117">
        <v>170.7</v>
      </c>
      <c r="AX52" s="57" t="s">
        <v>696</v>
      </c>
      <c r="AY52" s="157">
        <f>AW52*AU37</f>
        <v>169.16065849037696</v>
      </c>
      <c r="BA52" s="5832">
        <v>170.7</v>
      </c>
      <c r="BB52" s="7723">
        <v>151.63566800000001</v>
      </c>
      <c r="BC52" s="57" t="s">
        <v>697</v>
      </c>
      <c r="BD52" s="64">
        <f t="shared" si="11"/>
        <v>0.88831674282366735</v>
      </c>
      <c r="BE52" s="64">
        <v>0.88196545597530063</v>
      </c>
      <c r="BF52" s="117">
        <v>189</v>
      </c>
      <c r="BG52" s="57" t="s">
        <v>696</v>
      </c>
      <c r="BH52" s="157">
        <f t="shared" si="13"/>
        <v>167.89186439367313</v>
      </c>
    </row>
    <row r="53" spans="1:60" x14ac:dyDescent="0.35">
      <c r="A53" s="9168"/>
      <c r="B53" s="240"/>
      <c r="C53" s="240" t="s">
        <v>538</v>
      </c>
      <c r="D53" s="197"/>
      <c r="F53" s="155"/>
      <c r="H53" s="117"/>
      <c r="I53" s="115"/>
      <c r="J53" s="64">
        <f>J52</f>
        <v>0.88196545597530074</v>
      </c>
      <c r="L53" s="117"/>
      <c r="M53" s="157">
        <f t="shared" si="4"/>
        <v>0</v>
      </c>
      <c r="O53" s="117">
        <v>3500</v>
      </c>
      <c r="P53" s="3273">
        <f t="shared" si="5"/>
        <v>3086.8790959135526</v>
      </c>
      <c r="Q53" s="57" t="s">
        <v>698</v>
      </c>
      <c r="R53" s="64">
        <f t="shared" si="6"/>
        <v>0.88196545597530074</v>
      </c>
      <c r="T53" s="117">
        <v>7000</v>
      </c>
      <c r="U53" s="57" t="s">
        <v>698</v>
      </c>
      <c r="V53" s="157">
        <f t="shared" si="7"/>
        <v>6173.7581918271053</v>
      </c>
      <c r="X53" s="26"/>
      <c r="Y53" s="117">
        <v>7000</v>
      </c>
      <c r="Z53" s="117">
        <f t="shared" si="0"/>
        <v>6173.7581918271053</v>
      </c>
      <c r="AA53" s="57" t="s">
        <v>698</v>
      </c>
      <c r="AB53" s="64">
        <v>0.88196545597530074</v>
      </c>
      <c r="AC53" s="64">
        <v>0.88196545597530074</v>
      </c>
      <c r="AD53" s="611">
        <v>2000</v>
      </c>
      <c r="AE53" s="57" t="s">
        <v>698</v>
      </c>
      <c r="AF53" s="611">
        <f t="shared" si="3"/>
        <v>1763.9309119506015</v>
      </c>
      <c r="AH53" s="26"/>
      <c r="AI53" s="117">
        <v>2000</v>
      </c>
      <c r="AJ53" s="312">
        <v>1763.9309119506015</v>
      </c>
      <c r="AK53" s="57" t="s">
        <v>698</v>
      </c>
      <c r="AL53" s="64">
        <v>0.88196545597530074</v>
      </c>
      <c r="AM53" s="64">
        <v>0.88196545597530074</v>
      </c>
      <c r="AN53" s="117">
        <v>1000</v>
      </c>
      <c r="AO53" s="57" t="s">
        <v>698</v>
      </c>
      <c r="AP53" s="157">
        <f t="shared" si="12"/>
        <v>881.96545597530076</v>
      </c>
      <c r="AR53" s="117">
        <v>1</v>
      </c>
      <c r="AS53" s="312">
        <f>AR53*AU38</f>
        <v>0.85501249806035018</v>
      </c>
      <c r="AT53" s="57" t="s">
        <v>698</v>
      </c>
      <c r="AU53" s="64">
        <v>0.88196545597530074</v>
      </c>
      <c r="AV53" s="64">
        <v>0.88196545597530074</v>
      </c>
      <c r="AW53" s="117">
        <v>8</v>
      </c>
      <c r="AX53" s="57" t="s">
        <v>698</v>
      </c>
      <c r="AY53" s="157">
        <f>AW53*AU38</f>
        <v>6.8400999844828014</v>
      </c>
      <c r="BA53" s="5832">
        <v>8</v>
      </c>
      <c r="BB53" s="7723">
        <v>6.8977560000000002</v>
      </c>
      <c r="BC53" s="57" t="s">
        <v>699</v>
      </c>
      <c r="BD53" s="64">
        <f t="shared" si="11"/>
        <v>0.86221950000000003</v>
      </c>
      <c r="BE53" s="64">
        <v>0.88196545597530074</v>
      </c>
      <c r="BF53" s="117">
        <v>3</v>
      </c>
      <c r="BG53" s="57" t="s">
        <v>698</v>
      </c>
      <c r="BH53" s="157">
        <f t="shared" si="13"/>
        <v>2.5866585</v>
      </c>
    </row>
    <row r="54" spans="1:60" x14ac:dyDescent="0.35">
      <c r="A54" s="9168"/>
      <c r="B54" s="241"/>
      <c r="C54" s="241" t="s">
        <v>539</v>
      </c>
      <c r="D54" s="209"/>
      <c r="F54" s="130"/>
      <c r="H54" s="131"/>
      <c r="I54" s="132"/>
      <c r="J54" s="133">
        <f>IF(H54=0,0,I54/H54)</f>
        <v>0</v>
      </c>
      <c r="L54" s="242"/>
      <c r="M54" s="157">
        <f t="shared" si="4"/>
        <v>0</v>
      </c>
      <c r="O54" s="131"/>
      <c r="P54" s="132"/>
      <c r="Q54" s="216"/>
      <c r="R54" s="133">
        <f t="shared" si="6"/>
        <v>0</v>
      </c>
      <c r="T54" s="242"/>
      <c r="U54" s="216"/>
      <c r="V54" s="157">
        <f t="shared" si="7"/>
        <v>0</v>
      </c>
      <c r="X54" s="26"/>
      <c r="Y54" s="242"/>
      <c r="Z54" s="611">
        <f t="shared" ref="Z54" si="14">X54*V54</f>
        <v>0</v>
      </c>
      <c r="AA54" s="216"/>
      <c r="AB54" s="133">
        <v>0</v>
      </c>
      <c r="AC54" s="133">
        <v>0</v>
      </c>
      <c r="AD54" s="611">
        <f t="shared" ref="AD54" si="15">AB54*Z54</f>
        <v>0</v>
      </c>
      <c r="AE54" s="216"/>
      <c r="AF54" s="611">
        <v>0</v>
      </c>
      <c r="AH54" s="26"/>
      <c r="AI54" s="242">
        <v>0</v>
      </c>
      <c r="AJ54" s="312">
        <v>0</v>
      </c>
      <c r="AK54" s="216"/>
      <c r="AL54" s="133">
        <v>0</v>
      </c>
      <c r="AM54" s="133">
        <v>0</v>
      </c>
      <c r="AN54" s="242"/>
      <c r="AO54" s="216"/>
      <c r="AP54" s="157"/>
      <c r="AR54" s="242">
        <v>0</v>
      </c>
      <c r="AS54" s="312">
        <v>0</v>
      </c>
      <c r="AT54" s="216"/>
      <c r="AU54" s="133">
        <v>0</v>
      </c>
      <c r="AV54" s="133">
        <v>0</v>
      </c>
      <c r="AW54" s="242"/>
      <c r="AX54" s="216"/>
      <c r="AY54" s="157"/>
      <c r="BA54" s="5704"/>
      <c r="BB54" s="7725"/>
      <c r="BC54" s="216"/>
      <c r="BD54" s="133"/>
      <c r="BE54" s="133">
        <v>0</v>
      </c>
      <c r="BF54" s="242"/>
      <c r="BG54" s="216"/>
      <c r="BH54" s="157"/>
    </row>
    <row r="55" spans="1:60" x14ac:dyDescent="0.35">
      <c r="A55" s="9168"/>
      <c r="B55" s="271" t="s">
        <v>540</v>
      </c>
      <c r="C55" s="271"/>
      <c r="D55" s="184"/>
      <c r="E55" s="141"/>
      <c r="F55" s="227"/>
      <c r="G55" s="141"/>
      <c r="H55" s="245"/>
      <c r="I55" s="106"/>
      <c r="J55" s="267"/>
      <c r="K55" s="141"/>
      <c r="L55" s="102"/>
      <c r="M55" s="268"/>
      <c r="N55" s="141"/>
      <c r="O55" s="245"/>
      <c r="P55" s="106"/>
      <c r="Q55" s="106"/>
      <c r="R55" s="267"/>
      <c r="S55" s="141"/>
      <c r="T55" s="102"/>
      <c r="U55" s="106"/>
      <c r="V55" s="268"/>
      <c r="W55" s="141"/>
      <c r="X55" s="18"/>
      <c r="Y55" s="102"/>
      <c r="Z55" s="268"/>
      <c r="AA55" s="106"/>
      <c r="AB55" s="267"/>
      <c r="AC55" s="141"/>
      <c r="AD55" s="268"/>
      <c r="AE55" s="106"/>
      <c r="AF55" s="268"/>
      <c r="AG55" s="141"/>
      <c r="AH55" s="18"/>
      <c r="AI55" s="102"/>
      <c r="AJ55" s="2909"/>
      <c r="AK55" s="106"/>
      <c r="AL55" s="267"/>
      <c r="AM55" s="141"/>
      <c r="AN55" s="102"/>
      <c r="AO55" s="106"/>
      <c r="AP55" s="268"/>
      <c r="AR55" s="102"/>
      <c r="AS55" s="2909"/>
      <c r="AT55" s="106"/>
      <c r="AU55" s="267"/>
      <c r="AV55" s="141"/>
      <c r="AW55" s="102"/>
      <c r="AX55" s="106"/>
      <c r="AY55" s="268"/>
      <c r="BA55" s="5696"/>
      <c r="BB55" s="2697"/>
      <c r="BC55" s="106"/>
      <c r="BD55" s="267"/>
      <c r="BE55" s="141"/>
      <c r="BF55" s="102"/>
      <c r="BG55" s="106"/>
      <c r="BH55" s="268"/>
    </row>
    <row r="56" spans="1:60" x14ac:dyDescent="0.35">
      <c r="A56" s="9168"/>
      <c r="B56" s="240"/>
      <c r="C56" s="240" t="s">
        <v>700</v>
      </c>
      <c r="D56" s="197">
        <v>3</v>
      </c>
      <c r="F56" s="111"/>
      <c r="H56" s="112">
        <v>25469000</v>
      </c>
      <c r="I56" s="113"/>
      <c r="J56" s="64">
        <f t="shared" ref="J56:J63" si="16">IF(H56=0,0,I56/H56)</f>
        <v>0</v>
      </c>
      <c r="L56" s="112">
        <f>24996874</f>
        <v>24996874</v>
      </c>
      <c r="M56" s="157">
        <f t="shared" ref="M56:M63" si="17">L56*J56</f>
        <v>0</v>
      </c>
      <c r="O56" s="112"/>
      <c r="P56" s="233"/>
      <c r="Q56" s="106" t="s">
        <v>639</v>
      </c>
      <c r="R56" s="64">
        <f t="shared" ref="R56:R63" si="18">IF(O56=0,0,P56/O56)</f>
        <v>0</v>
      </c>
      <c r="T56" s="112"/>
      <c r="U56" s="106" t="s">
        <v>639</v>
      </c>
      <c r="V56" s="157">
        <f t="shared" ref="V56:V63" si="19">T56*R56</f>
        <v>0</v>
      </c>
      <c r="X56" s="26" t="s">
        <v>640</v>
      </c>
      <c r="Y56" s="112"/>
      <c r="Z56" s="157">
        <v>0</v>
      </c>
      <c r="AA56" s="106" t="s">
        <v>639</v>
      </c>
      <c r="AB56" s="64">
        <f t="shared" ref="AB56:AB63" si="20">IF(Y56=0,0,Z56/Y56)</f>
        <v>0</v>
      </c>
      <c r="AD56" s="611">
        <v>0</v>
      </c>
      <c r="AE56" s="106" t="s">
        <v>639</v>
      </c>
      <c r="AF56" s="611"/>
      <c r="AH56" s="26" t="s">
        <v>640</v>
      </c>
      <c r="AI56" s="112">
        <v>0</v>
      </c>
      <c r="AJ56" s="312"/>
      <c r="AK56" s="106" t="s">
        <v>639</v>
      </c>
      <c r="AL56" s="64">
        <f t="shared" ref="AL56:AL63" si="21">IF(AI56=0,0,AJ56/AI56)</f>
        <v>0</v>
      </c>
      <c r="AN56" s="112"/>
      <c r="AO56" s="106" t="s">
        <v>639</v>
      </c>
      <c r="AP56" s="157"/>
      <c r="AR56" s="112">
        <v>0</v>
      </c>
      <c r="AS56" s="312"/>
      <c r="AT56" s="106" t="s">
        <v>639</v>
      </c>
      <c r="AU56" s="64">
        <f t="shared" ref="AU56:AU63" si="22">IF(AR56=0,0,AS56/AR56)</f>
        <v>0</v>
      </c>
      <c r="AW56" s="112"/>
      <c r="AX56" s="106" t="s">
        <v>639</v>
      </c>
      <c r="AY56" s="157"/>
      <c r="BA56" s="5698">
        <v>26859.079478</v>
      </c>
      <c r="BB56" s="7723">
        <v>28250.250163410001</v>
      </c>
      <c r="BC56" s="106"/>
      <c r="BD56" s="64">
        <f t="shared" ref="BD56:BD63" si="23">IF(BA56=0,0,BB56/BA56)</f>
        <v>1.0517951736413564</v>
      </c>
      <c r="BF56" s="112"/>
      <c r="BG56" s="106" t="s">
        <v>639</v>
      </c>
      <c r="BH56" s="157"/>
    </row>
    <row r="57" spans="1:60" x14ac:dyDescent="0.35">
      <c r="A57" s="9168"/>
      <c r="B57" s="240"/>
      <c r="C57" s="7856" t="s">
        <v>701</v>
      </c>
      <c r="D57" s="197"/>
      <c r="F57" s="155"/>
      <c r="H57" s="117">
        <v>-37000</v>
      </c>
      <c r="I57" s="115"/>
      <c r="J57" s="64">
        <f t="shared" si="16"/>
        <v>0</v>
      </c>
      <c r="L57" s="117">
        <v>-52000</v>
      </c>
      <c r="M57" s="157">
        <f t="shared" si="17"/>
        <v>0</v>
      </c>
      <c r="O57" s="117"/>
      <c r="P57" s="201"/>
      <c r="Q57" s="106"/>
      <c r="R57" s="64">
        <f t="shared" si="18"/>
        <v>0</v>
      </c>
      <c r="T57" s="117"/>
      <c r="U57" s="106"/>
      <c r="V57" s="157">
        <f t="shared" si="19"/>
        <v>0</v>
      </c>
      <c r="X57" s="26"/>
      <c r="Y57" s="117"/>
      <c r="Z57" s="157">
        <f t="shared" ref="Z57:Z63" si="24">X57*V57</f>
        <v>0</v>
      </c>
      <c r="AA57" s="106"/>
      <c r="AB57" s="64">
        <f t="shared" si="20"/>
        <v>0</v>
      </c>
      <c r="AD57" s="611">
        <f t="shared" ref="AD57:AF63" si="25">AB57*Z57</f>
        <v>0</v>
      </c>
      <c r="AE57" s="106"/>
      <c r="AF57" s="611">
        <f t="shared" si="25"/>
        <v>0</v>
      </c>
      <c r="AH57" s="26"/>
      <c r="AI57" s="117">
        <v>0</v>
      </c>
      <c r="AJ57" s="312">
        <v>0</v>
      </c>
      <c r="AK57" s="106"/>
      <c r="AL57" s="64">
        <f t="shared" si="21"/>
        <v>0</v>
      </c>
      <c r="AN57" s="117"/>
      <c r="AO57" s="106"/>
      <c r="AP57" s="157"/>
      <c r="AR57" s="117">
        <v>0</v>
      </c>
      <c r="AS57" s="312">
        <v>0</v>
      </c>
      <c r="AT57" s="106"/>
      <c r="AU57" s="64">
        <f t="shared" si="22"/>
        <v>0</v>
      </c>
      <c r="AW57" s="117"/>
      <c r="AX57" s="106"/>
      <c r="AY57" s="157"/>
      <c r="BA57" s="5832">
        <v>0</v>
      </c>
      <c r="BB57" s="7723">
        <v>0</v>
      </c>
      <c r="BC57" s="106"/>
      <c r="BD57" s="64">
        <f t="shared" si="23"/>
        <v>0</v>
      </c>
      <c r="BF57" s="117"/>
      <c r="BG57" s="106"/>
      <c r="BH57" s="157"/>
    </row>
    <row r="58" spans="1:60" x14ac:dyDescent="0.35">
      <c r="A58" s="9168"/>
      <c r="B58" s="240"/>
      <c r="C58" s="240" t="s">
        <v>702</v>
      </c>
      <c r="D58" s="197"/>
      <c r="F58" s="163"/>
      <c r="H58" s="242">
        <v>550000</v>
      </c>
      <c r="I58" s="243"/>
      <c r="J58" s="64">
        <f t="shared" si="16"/>
        <v>0</v>
      </c>
      <c r="L58" s="242">
        <v>455000</v>
      </c>
      <c r="M58" s="157">
        <f t="shared" si="17"/>
        <v>0</v>
      </c>
      <c r="O58" s="242"/>
      <c r="P58" s="233"/>
      <c r="Q58" s="106"/>
      <c r="R58" s="64">
        <f t="shared" si="18"/>
        <v>0</v>
      </c>
      <c r="T58" s="242"/>
      <c r="U58" s="106"/>
      <c r="V58" s="157">
        <f t="shared" si="19"/>
        <v>0</v>
      </c>
      <c r="X58" s="26"/>
      <c r="Y58" s="242"/>
      <c r="Z58" s="157">
        <f t="shared" si="24"/>
        <v>0</v>
      </c>
      <c r="AA58" s="106"/>
      <c r="AB58" s="64">
        <f t="shared" si="20"/>
        <v>0</v>
      </c>
      <c r="AD58" s="611">
        <f t="shared" si="25"/>
        <v>0</v>
      </c>
      <c r="AE58" s="106"/>
      <c r="AF58" s="611">
        <f t="shared" si="25"/>
        <v>0</v>
      </c>
      <c r="AH58" s="26"/>
      <c r="AI58" s="242">
        <v>0</v>
      </c>
      <c r="AJ58" s="312">
        <v>0</v>
      </c>
      <c r="AK58" s="106"/>
      <c r="AL58" s="64">
        <f t="shared" si="21"/>
        <v>0</v>
      </c>
      <c r="AN58" s="242"/>
      <c r="AO58" s="106"/>
      <c r="AP58" s="157"/>
      <c r="AR58" s="242">
        <v>0</v>
      </c>
      <c r="AS58" s="312">
        <v>0</v>
      </c>
      <c r="AT58" s="106"/>
      <c r="AU58" s="64">
        <f t="shared" si="22"/>
        <v>0</v>
      </c>
      <c r="AW58" s="242"/>
      <c r="AX58" s="106"/>
      <c r="AY58" s="157"/>
      <c r="BA58" s="5704">
        <v>0</v>
      </c>
      <c r="BB58" s="7723">
        <v>0</v>
      </c>
      <c r="BC58" s="106"/>
      <c r="BD58" s="64">
        <f t="shared" si="23"/>
        <v>0</v>
      </c>
      <c r="BF58" s="242"/>
      <c r="BG58" s="106"/>
      <c r="BH58" s="157"/>
    </row>
    <row r="59" spans="1:60" x14ac:dyDescent="0.35">
      <c r="A59" s="9168"/>
      <c r="B59" s="240"/>
      <c r="C59" s="240" t="s">
        <v>703</v>
      </c>
      <c r="D59" s="197"/>
      <c r="F59" s="163"/>
      <c r="H59" s="242">
        <v>333000</v>
      </c>
      <c r="I59" s="243"/>
      <c r="J59" s="64">
        <f t="shared" si="16"/>
        <v>0</v>
      </c>
      <c r="L59" s="242">
        <v>943060</v>
      </c>
      <c r="M59" s="157">
        <f t="shared" si="17"/>
        <v>0</v>
      </c>
      <c r="O59" s="242"/>
      <c r="P59" s="201"/>
      <c r="Q59" s="106"/>
      <c r="R59" s="64">
        <f t="shared" si="18"/>
        <v>0</v>
      </c>
      <c r="T59" s="242"/>
      <c r="U59" s="106"/>
      <c r="V59" s="157">
        <f t="shared" si="19"/>
        <v>0</v>
      </c>
      <c r="X59" s="26"/>
      <c r="Y59" s="242"/>
      <c r="Z59" s="157">
        <f t="shared" si="24"/>
        <v>0</v>
      </c>
      <c r="AA59" s="106"/>
      <c r="AB59" s="64">
        <f t="shared" si="20"/>
        <v>0</v>
      </c>
      <c r="AD59" s="611">
        <f t="shared" si="25"/>
        <v>0</v>
      </c>
      <c r="AE59" s="106"/>
      <c r="AF59" s="611">
        <f t="shared" si="25"/>
        <v>0</v>
      </c>
      <c r="AH59" s="26"/>
      <c r="AI59" s="242">
        <v>0</v>
      </c>
      <c r="AJ59" s="312">
        <v>0</v>
      </c>
      <c r="AK59" s="106"/>
      <c r="AL59" s="64">
        <f t="shared" si="21"/>
        <v>0</v>
      </c>
      <c r="AN59" s="242"/>
      <c r="AO59" s="106"/>
      <c r="AP59" s="157"/>
      <c r="AR59" s="242">
        <v>0</v>
      </c>
      <c r="AS59" s="312">
        <v>0</v>
      </c>
      <c r="AT59" s="106"/>
      <c r="AU59" s="64">
        <f t="shared" si="22"/>
        <v>0</v>
      </c>
      <c r="AW59" s="242"/>
      <c r="AX59" s="106"/>
      <c r="AY59" s="157"/>
      <c r="BA59" s="5704">
        <v>0</v>
      </c>
      <c r="BB59" s="7723">
        <v>0</v>
      </c>
      <c r="BC59" s="106"/>
      <c r="BD59" s="64">
        <f t="shared" si="23"/>
        <v>0</v>
      </c>
      <c r="BF59" s="242"/>
      <c r="BG59" s="106"/>
      <c r="BH59" s="157"/>
    </row>
    <row r="60" spans="1:60" x14ac:dyDescent="0.35">
      <c r="A60" s="9168"/>
      <c r="B60" s="240"/>
      <c r="C60" s="240" t="s">
        <v>537</v>
      </c>
      <c r="D60" s="197"/>
      <c r="F60" s="163"/>
      <c r="H60" s="242"/>
      <c r="I60" s="243"/>
      <c r="J60" s="64">
        <f t="shared" si="16"/>
        <v>0</v>
      </c>
      <c r="L60" s="242"/>
      <c r="M60" s="157">
        <f t="shared" si="17"/>
        <v>0</v>
      </c>
      <c r="O60" s="242"/>
      <c r="P60" s="233"/>
      <c r="Q60" s="106"/>
      <c r="R60" s="64">
        <f t="shared" si="18"/>
        <v>0</v>
      </c>
      <c r="T60" s="242"/>
      <c r="U60" s="106"/>
      <c r="V60" s="157">
        <f t="shared" si="19"/>
        <v>0</v>
      </c>
      <c r="X60" s="26"/>
      <c r="Y60" s="242"/>
      <c r="Z60" s="157">
        <f t="shared" si="24"/>
        <v>0</v>
      </c>
      <c r="AA60" s="106"/>
      <c r="AB60" s="64">
        <f t="shared" si="20"/>
        <v>0</v>
      </c>
      <c r="AD60" s="611">
        <f t="shared" si="25"/>
        <v>0</v>
      </c>
      <c r="AE60" s="106"/>
      <c r="AF60" s="611">
        <f t="shared" si="25"/>
        <v>0</v>
      </c>
      <c r="AH60" s="26"/>
      <c r="AI60" s="242">
        <v>0</v>
      </c>
      <c r="AJ60" s="312">
        <v>0</v>
      </c>
      <c r="AK60" s="106"/>
      <c r="AL60" s="64">
        <f t="shared" si="21"/>
        <v>0</v>
      </c>
      <c r="AN60" s="242"/>
      <c r="AO60" s="106"/>
      <c r="AP60" s="157"/>
      <c r="AR60" s="242">
        <v>0</v>
      </c>
      <c r="AS60" s="312">
        <v>0</v>
      </c>
      <c r="AT60" s="106"/>
      <c r="AU60" s="64">
        <f t="shared" si="22"/>
        <v>0</v>
      </c>
      <c r="AW60" s="242"/>
      <c r="AX60" s="106"/>
      <c r="AY60" s="157"/>
      <c r="BA60" s="5704">
        <v>0</v>
      </c>
      <c r="BB60" s="7723">
        <v>0</v>
      </c>
      <c r="BC60" s="106"/>
      <c r="BD60" s="64">
        <f t="shared" si="23"/>
        <v>0</v>
      </c>
      <c r="BF60" s="242"/>
      <c r="BG60" s="106"/>
      <c r="BH60" s="157"/>
    </row>
    <row r="61" spans="1:60" x14ac:dyDescent="0.35">
      <c r="A61" s="9168"/>
      <c r="B61" s="240"/>
      <c r="C61" s="240" t="s">
        <v>538</v>
      </c>
      <c r="D61" s="197"/>
      <c r="F61" s="163"/>
      <c r="H61" s="242"/>
      <c r="I61" s="243"/>
      <c r="J61" s="64">
        <f t="shared" si="16"/>
        <v>0</v>
      </c>
      <c r="L61" s="242"/>
      <c r="M61" s="157">
        <f t="shared" si="17"/>
        <v>0</v>
      </c>
      <c r="O61" s="242"/>
      <c r="P61" s="201"/>
      <c r="Q61" s="106"/>
      <c r="R61" s="64">
        <f t="shared" si="18"/>
        <v>0</v>
      </c>
      <c r="T61" s="242"/>
      <c r="U61" s="106"/>
      <c r="V61" s="157">
        <f t="shared" si="19"/>
        <v>0</v>
      </c>
      <c r="X61" s="26"/>
      <c r="Y61" s="242"/>
      <c r="Z61" s="157">
        <f t="shared" si="24"/>
        <v>0</v>
      </c>
      <c r="AA61" s="106"/>
      <c r="AB61" s="64">
        <f t="shared" si="20"/>
        <v>0</v>
      </c>
      <c r="AD61" s="611">
        <f t="shared" si="25"/>
        <v>0</v>
      </c>
      <c r="AE61" s="106"/>
      <c r="AF61" s="611">
        <f t="shared" si="25"/>
        <v>0</v>
      </c>
      <c r="AH61" s="26"/>
      <c r="AI61" s="242">
        <v>0</v>
      </c>
      <c r="AJ61" s="312">
        <v>0</v>
      </c>
      <c r="AK61" s="106"/>
      <c r="AL61" s="64">
        <f t="shared" si="21"/>
        <v>0</v>
      </c>
      <c r="AN61" s="242"/>
      <c r="AO61" s="106"/>
      <c r="AP61" s="157"/>
      <c r="AR61" s="242">
        <v>0</v>
      </c>
      <c r="AS61" s="312">
        <v>0</v>
      </c>
      <c r="AT61" s="106"/>
      <c r="AU61" s="64">
        <f t="shared" si="22"/>
        <v>0</v>
      </c>
      <c r="AW61" s="242"/>
      <c r="AX61" s="106"/>
      <c r="AY61" s="157"/>
      <c r="BA61" s="5704">
        <v>0</v>
      </c>
      <c r="BB61" s="7723">
        <v>0</v>
      </c>
      <c r="BC61" s="106"/>
      <c r="BD61" s="64">
        <f t="shared" si="23"/>
        <v>0</v>
      </c>
      <c r="BF61" s="242"/>
      <c r="BG61" s="106"/>
      <c r="BH61" s="157"/>
    </row>
    <row r="62" spans="1:60" x14ac:dyDescent="0.35">
      <c r="A62" s="9168"/>
      <c r="B62" s="240"/>
      <c r="C62" s="240" t="s">
        <v>539</v>
      </c>
      <c r="D62" s="197"/>
      <c r="F62" s="163"/>
      <c r="H62" s="242"/>
      <c r="I62" s="243"/>
      <c r="J62" s="64">
        <f t="shared" si="16"/>
        <v>0</v>
      </c>
      <c r="L62" s="242"/>
      <c r="M62" s="157">
        <f t="shared" si="17"/>
        <v>0</v>
      </c>
      <c r="O62" s="242"/>
      <c r="P62" s="201"/>
      <c r="Q62" s="106"/>
      <c r="R62" s="64">
        <f t="shared" si="18"/>
        <v>0</v>
      </c>
      <c r="T62" s="242"/>
      <c r="U62" s="106"/>
      <c r="V62" s="157">
        <f t="shared" si="19"/>
        <v>0</v>
      </c>
      <c r="X62" s="26"/>
      <c r="Y62" s="242"/>
      <c r="Z62" s="157">
        <f t="shared" si="24"/>
        <v>0</v>
      </c>
      <c r="AA62" s="106"/>
      <c r="AB62" s="64">
        <f t="shared" si="20"/>
        <v>0</v>
      </c>
      <c r="AD62" s="611">
        <f t="shared" si="25"/>
        <v>0</v>
      </c>
      <c r="AE62" s="106"/>
      <c r="AF62" s="611">
        <f t="shared" si="25"/>
        <v>0</v>
      </c>
      <c r="AH62" s="26"/>
      <c r="AI62" s="242">
        <v>0</v>
      </c>
      <c r="AJ62" s="312">
        <v>0</v>
      </c>
      <c r="AK62" s="106"/>
      <c r="AL62" s="64">
        <f t="shared" si="21"/>
        <v>0</v>
      </c>
      <c r="AN62" s="242"/>
      <c r="AO62" s="106"/>
      <c r="AP62" s="157"/>
      <c r="AR62" s="242">
        <v>0</v>
      </c>
      <c r="AS62" s="312">
        <v>0</v>
      </c>
      <c r="AT62" s="106"/>
      <c r="AU62" s="64">
        <f t="shared" si="22"/>
        <v>0</v>
      </c>
      <c r="AW62" s="242"/>
      <c r="AX62" s="106"/>
      <c r="AY62" s="157"/>
      <c r="BA62" s="5704">
        <v>0</v>
      </c>
      <c r="BB62" s="7723">
        <v>0</v>
      </c>
      <c r="BC62" s="106"/>
      <c r="BD62" s="64">
        <f t="shared" si="23"/>
        <v>0</v>
      </c>
      <c r="BF62" s="242"/>
      <c r="BG62" s="106"/>
      <c r="BH62" s="157"/>
    </row>
    <row r="63" spans="1:60" x14ac:dyDescent="0.35">
      <c r="A63" s="9168"/>
      <c r="B63" s="250"/>
      <c r="C63" s="250" t="s">
        <v>704</v>
      </c>
      <c r="D63" s="209"/>
      <c r="F63" s="130"/>
      <c r="H63" s="242"/>
      <c r="I63" s="243"/>
      <c r="J63" s="64">
        <f t="shared" si="16"/>
        <v>0</v>
      </c>
      <c r="L63" s="242"/>
      <c r="M63" s="157">
        <f t="shared" si="17"/>
        <v>0</v>
      </c>
      <c r="O63" s="242"/>
      <c r="P63" s="201"/>
      <c r="Q63" s="216"/>
      <c r="R63" s="64">
        <f t="shared" si="18"/>
        <v>0</v>
      </c>
      <c r="T63" s="242"/>
      <c r="U63" s="216"/>
      <c r="V63" s="157">
        <f t="shared" si="19"/>
        <v>0</v>
      </c>
      <c r="X63" s="24"/>
      <c r="Y63" s="242"/>
      <c r="Z63" s="157">
        <f t="shared" si="24"/>
        <v>0</v>
      </c>
      <c r="AA63" s="216"/>
      <c r="AB63" s="64">
        <f t="shared" si="20"/>
        <v>0</v>
      </c>
      <c r="AD63" s="611">
        <f t="shared" si="25"/>
        <v>0</v>
      </c>
      <c r="AE63" s="216"/>
      <c r="AF63" s="611">
        <f t="shared" si="25"/>
        <v>0</v>
      </c>
      <c r="AH63" s="24"/>
      <c r="AI63" s="242">
        <v>0</v>
      </c>
      <c r="AJ63" s="312">
        <v>0</v>
      </c>
      <c r="AK63" s="216"/>
      <c r="AL63" s="64">
        <f t="shared" si="21"/>
        <v>0</v>
      </c>
      <c r="AN63" s="242"/>
      <c r="AO63" s="216"/>
      <c r="AP63" s="157"/>
      <c r="AR63" s="242">
        <v>0</v>
      </c>
      <c r="AS63" s="312">
        <v>0</v>
      </c>
      <c r="AT63" s="216"/>
      <c r="AU63" s="64">
        <f t="shared" si="22"/>
        <v>0</v>
      </c>
      <c r="AW63" s="242"/>
      <c r="AX63" s="216"/>
      <c r="AY63" s="157"/>
      <c r="BA63" s="5704">
        <v>0</v>
      </c>
      <c r="BB63" s="7723">
        <v>0</v>
      </c>
      <c r="BC63" s="216"/>
      <c r="BD63" s="64">
        <f t="shared" si="23"/>
        <v>0</v>
      </c>
      <c r="BF63" s="242"/>
      <c r="BG63" s="216"/>
      <c r="BH63" s="157"/>
    </row>
    <row r="64" spans="1:60" s="4655" customFormat="1" ht="43.5" x14ac:dyDescent="0.35">
      <c r="A64" s="9168"/>
      <c r="B64" s="4889" t="s">
        <v>552</v>
      </c>
      <c r="C64" s="4889"/>
      <c r="D64" s="7857"/>
      <c r="E64" s="3278"/>
      <c r="F64" s="7858"/>
      <c r="G64" s="3278"/>
      <c r="H64" s="3274"/>
      <c r="I64" s="3275"/>
      <c r="J64" s="3277"/>
      <c r="K64" s="3278"/>
      <c r="L64" s="3274"/>
      <c r="M64" s="3281"/>
      <c r="N64" s="3278"/>
      <c r="O64" s="3274"/>
      <c r="P64" s="3275"/>
      <c r="Q64" s="3276"/>
      <c r="R64" s="3277"/>
      <c r="S64" s="3278"/>
      <c r="T64" s="3279"/>
      <c r="U64" s="3280"/>
      <c r="V64" s="3281"/>
      <c r="W64" s="3278"/>
      <c r="X64" s="7859"/>
      <c r="Y64" s="3279"/>
      <c r="Z64" s="3281"/>
      <c r="AA64" s="3276"/>
      <c r="AB64" s="3277"/>
      <c r="AC64" s="3278"/>
      <c r="AD64" s="3281"/>
      <c r="AE64" s="3280" t="s">
        <v>646</v>
      </c>
      <c r="AF64" s="3281"/>
      <c r="AG64" s="3278"/>
      <c r="AH64" s="7859"/>
      <c r="AI64" s="6131"/>
      <c r="AJ64" s="6132"/>
      <c r="AK64" s="3275"/>
      <c r="AL64" s="3277"/>
      <c r="AM64" s="3278"/>
      <c r="AN64" s="6131"/>
      <c r="AO64" s="4890"/>
      <c r="AP64" s="3281"/>
      <c r="AR64" s="6131"/>
      <c r="AS64" s="6132"/>
      <c r="AT64" s="3275"/>
      <c r="AU64" s="3277"/>
      <c r="AV64" s="3278"/>
      <c r="AW64" s="6131"/>
      <c r="AX64" s="4890"/>
      <c r="AY64" s="3281"/>
      <c r="BA64" s="7726" t="s">
        <v>680</v>
      </c>
      <c r="BB64" s="6132"/>
      <c r="BC64" s="3275"/>
      <c r="BD64" s="3277"/>
      <c r="BE64" s="3278"/>
      <c r="BF64" s="6131"/>
      <c r="BG64" s="4890"/>
      <c r="BH64" s="3281"/>
    </row>
    <row r="65" spans="1:60" x14ac:dyDescent="0.35">
      <c r="A65" s="9168"/>
      <c r="B65" s="272"/>
      <c r="C65" s="272" t="s">
        <v>705</v>
      </c>
      <c r="D65" s="7860"/>
      <c r="E65"/>
      <c r="F65" s="155"/>
      <c r="H65" s="117">
        <v>1303286.9132000001</v>
      </c>
      <c r="I65" s="115">
        <v>2001931.13298</v>
      </c>
      <c r="J65" s="64">
        <f>IF(H65=0,0,I65/H65)</f>
        <v>1.5360632510799925</v>
      </c>
      <c r="L65" s="117">
        <v>1286980.44567</v>
      </c>
      <c r="M65" s="157">
        <f>L65*J65</f>
        <v>1976883.367452238</v>
      </c>
      <c r="O65" s="117">
        <v>1286980.44567</v>
      </c>
      <c r="P65" s="201">
        <v>1909558.4191099999</v>
      </c>
      <c r="Q65" s="106"/>
      <c r="R65" s="64">
        <f>IF(O65=0,0,P65/O65)</f>
        <v>1.4837509190871092</v>
      </c>
      <c r="T65" s="200">
        <v>5385854.3197999997</v>
      </c>
      <c r="U65" s="57"/>
      <c r="V65" s="157">
        <f>T65*R65</f>
        <v>7991266.297072527</v>
      </c>
      <c r="X65" s="26"/>
      <c r="Y65" s="200">
        <v>5385854.3197999997</v>
      </c>
      <c r="Z65" s="611">
        <v>6453092.3409099998</v>
      </c>
      <c r="AA65" s="2990" t="s">
        <v>706</v>
      </c>
      <c r="AB65" s="3768">
        <f>IF(Y65=0,0,Z65/Y65)</f>
        <v>1.1981557535239147</v>
      </c>
      <c r="AD65" s="611">
        <v>7483184.7797900001</v>
      </c>
      <c r="AE65" s="57" t="s">
        <v>707</v>
      </c>
      <c r="AF65" s="3173">
        <f>AD65*AB65</f>
        <v>8966020.8985879775</v>
      </c>
      <c r="AH65" s="26"/>
      <c r="AI65" s="242">
        <v>7483184.7797900001</v>
      </c>
      <c r="AJ65" s="656">
        <v>7035275.9092899999</v>
      </c>
      <c r="AK65" s="2990" t="s">
        <v>706</v>
      </c>
      <c r="AL65" s="64">
        <f>IF(AI65=0,0,AJ65/AI65)</f>
        <v>0.94014461974670493</v>
      </c>
      <c r="AN65" s="7861">
        <f>AR65*1000</f>
        <v>8509656.7243299987</v>
      </c>
      <c r="AO65" s="6134" t="s">
        <v>706</v>
      </c>
      <c r="AP65" s="157">
        <f>AN65*AL65</f>
        <v>8000307.9852702171</v>
      </c>
      <c r="AR65" s="6133">
        <v>8509.6567243299996</v>
      </c>
      <c r="AS65" s="312">
        <v>7891.6635946799997</v>
      </c>
      <c r="AT65" s="2990" t="s">
        <v>706</v>
      </c>
      <c r="AU65" s="64">
        <f>IF(AR65=0,0,AS65/AR65)</f>
        <v>0.92737743135006934</v>
      </c>
      <c r="AW65" s="5704">
        <v>9843.0606278199994</v>
      </c>
      <c r="AX65" s="6134" t="s">
        <v>706</v>
      </c>
      <c r="AY65" s="157">
        <f>AU65*AW65</f>
        <v>9128.2322816507112</v>
      </c>
      <c r="BA65" s="5704">
        <v>9843.0606278199994</v>
      </c>
      <c r="BB65" s="7723">
        <v>8441.5582099200001</v>
      </c>
      <c r="BC65" s="2990" t="s">
        <v>708</v>
      </c>
      <c r="BD65" s="64">
        <f>IF(BA65=0,0,BB65/BA65)</f>
        <v>0.85761517978068191</v>
      </c>
      <c r="BF65" s="6133">
        <v>9963.8772539199999</v>
      </c>
      <c r="BG65" s="2990" t="s">
        <v>706</v>
      </c>
      <c r="BH65" s="157">
        <f t="shared" ref="BH65:BH68" si="26">BF65*BD65</f>
        <v>8545.1723824332475</v>
      </c>
    </row>
    <row r="66" spans="1:60" x14ac:dyDescent="0.35">
      <c r="A66" s="9168"/>
      <c r="B66" s="274"/>
      <c r="C66" s="272" t="s">
        <v>709</v>
      </c>
      <c r="D66" s="7860"/>
      <c r="E66"/>
      <c r="F66" s="163"/>
      <c r="H66" s="242"/>
      <c r="I66" s="243"/>
      <c r="J66" s="64">
        <f t="shared" ref="J66:J67" si="27">IF(H66=0,0,I66/H66)</f>
        <v>0</v>
      </c>
      <c r="L66" s="242"/>
      <c r="M66" s="157">
        <f t="shared" ref="M66:M67" si="28">L66*J66</f>
        <v>0</v>
      </c>
      <c r="O66" s="242"/>
      <c r="P66" s="201"/>
      <c r="Q66" s="106"/>
      <c r="R66" s="64">
        <f t="shared" ref="R66:R67" si="29">IF(O66=0,0,P66/O66)</f>
        <v>0</v>
      </c>
      <c r="T66" s="164">
        <v>4803061.2230000002</v>
      </c>
      <c r="U66" s="57"/>
      <c r="V66" s="157">
        <f t="shared" ref="V66:V67" si="30">T66*R66</f>
        <v>0</v>
      </c>
      <c r="X66" s="26"/>
      <c r="Y66" s="164">
        <v>4803061.2230000002</v>
      </c>
      <c r="Z66" s="611">
        <v>4906061.2230000002</v>
      </c>
      <c r="AA66" s="2990" t="s">
        <v>710</v>
      </c>
      <c r="AB66" s="3768">
        <f t="shared" ref="AB66:AB67" si="31">IF(Y66=0,0,Z66/Y66)</f>
        <v>1.0214446569006392</v>
      </c>
      <c r="AD66" s="611">
        <v>4991558.7779000001</v>
      </c>
      <c r="AE66" s="57" t="s">
        <v>711</v>
      </c>
      <c r="AF66" s="3173">
        <f t="shared" ref="AF66:AF67" si="32">AD66*AB66</f>
        <v>5098601.0432914393</v>
      </c>
      <c r="AH66" s="26"/>
      <c r="AI66" s="242">
        <v>4991558.7779000001</v>
      </c>
      <c r="AJ66" s="656">
        <v>5323753.5525000002</v>
      </c>
      <c r="AK66" s="2990" t="s">
        <v>712</v>
      </c>
      <c r="AL66" s="64">
        <f>IF(AI66=0,0,AJ66/AI66)</f>
        <v>1.0665513097974091</v>
      </c>
      <c r="AN66" s="7861">
        <f t="shared" ref="AN66:AN67" si="33">AR66*1000</f>
        <v>5607420.8059999999</v>
      </c>
      <c r="AO66" s="6134" t="s">
        <v>712</v>
      </c>
      <c r="AP66" s="157">
        <f t="shared" ref="AP66:AP67" si="34">AN66*AL66</f>
        <v>5980602.0052245436</v>
      </c>
      <c r="AR66" s="6133">
        <v>5607.4208060000001</v>
      </c>
      <c r="AS66" s="312">
        <v>5612.420803</v>
      </c>
      <c r="AT66" s="2990" t="s">
        <v>712</v>
      </c>
      <c r="AU66" s="64">
        <f t="shared" ref="AU66:AU67" si="35">IF(AR66=0,0,AS66/AR66)</f>
        <v>1.0008916750094179</v>
      </c>
      <c r="AW66" s="5704">
        <v>5944.5632180000002</v>
      </c>
      <c r="AX66" s="6134" t="s">
        <v>712</v>
      </c>
      <c r="AY66" s="157">
        <f t="shared" ref="AY66:AY67" si="36">AU66*AW66</f>
        <v>5949.8638364633953</v>
      </c>
      <c r="BA66" s="5704">
        <v>5944.5632180000002</v>
      </c>
      <c r="BB66" s="7723">
        <v>6032.9670097999997</v>
      </c>
      <c r="BC66" s="2990" t="s">
        <v>713</v>
      </c>
      <c r="BD66" s="64">
        <f>IF(BA66=0,0,BB66/BA66)</f>
        <v>1.0148713687714372</v>
      </c>
      <c r="BF66" s="6133">
        <v>6068.5585377999996</v>
      </c>
      <c r="BG66" s="2990" t="s">
        <v>712</v>
      </c>
      <c r="BH66" s="157">
        <f t="shared" si="26"/>
        <v>6158.8063097266777</v>
      </c>
    </row>
    <row r="67" spans="1:60" x14ac:dyDescent="0.35">
      <c r="A67" s="9168"/>
      <c r="B67" s="274"/>
      <c r="C67" s="272" t="s">
        <v>714</v>
      </c>
      <c r="D67" s="7860"/>
      <c r="E67"/>
      <c r="F67" s="163"/>
      <c r="H67" s="242">
        <v>154417.777</v>
      </c>
      <c r="I67" s="243">
        <v>381554.33100000001</v>
      </c>
      <c r="J67" s="64">
        <f t="shared" si="27"/>
        <v>2.4709223148575696</v>
      </c>
      <c r="L67" s="242">
        <v>303390.42200000002</v>
      </c>
      <c r="M67" s="157">
        <f t="shared" si="28"/>
        <v>749654.16383385495</v>
      </c>
      <c r="O67" s="242">
        <v>303390.42200000002</v>
      </c>
      <c r="P67" s="201">
        <v>404081.86900000001</v>
      </c>
      <c r="Q67" s="106"/>
      <c r="R67" s="64">
        <f t="shared" si="29"/>
        <v>1.3318873626142356</v>
      </c>
      <c r="T67" s="164">
        <v>550123.81700000004</v>
      </c>
      <c r="U67" s="57"/>
      <c r="V67" s="157">
        <f t="shared" si="30"/>
        <v>732702.95973540645</v>
      </c>
      <c r="X67" s="26"/>
      <c r="Y67" s="164">
        <v>550123.81700000004</v>
      </c>
      <c r="Z67" s="611">
        <v>750003.34600000002</v>
      </c>
      <c r="AA67" s="106"/>
      <c r="AB67" s="3768">
        <f t="shared" si="31"/>
        <v>1.3633355306992643</v>
      </c>
      <c r="AD67" s="611">
        <v>1604144.67206</v>
      </c>
      <c r="AE67" s="57" t="s">
        <v>715</v>
      </c>
      <c r="AF67" s="3173">
        <f t="shared" si="32"/>
        <v>2186987.4278013175</v>
      </c>
      <c r="AH67" s="26"/>
      <c r="AI67" s="242">
        <v>1604144.67206</v>
      </c>
      <c r="AJ67" s="656">
        <v>737218.25800000003</v>
      </c>
      <c r="AK67" s="106"/>
      <c r="AL67" s="64">
        <f>IF(AI67=0,0,AJ67/AI67)</f>
        <v>0.45957092950555634</v>
      </c>
      <c r="AN67" s="7861">
        <f t="shared" si="33"/>
        <v>2072049.3787800001</v>
      </c>
      <c r="AO67" s="57"/>
      <c r="AP67" s="157">
        <f t="shared" si="34"/>
        <v>952253.65898733528</v>
      </c>
      <c r="AR67" s="6133">
        <v>2072.0493787800001</v>
      </c>
      <c r="AS67" s="312">
        <v>1291.5964498000001</v>
      </c>
      <c r="AT67" s="106"/>
      <c r="AU67" s="64">
        <f t="shared" si="35"/>
        <v>0.6233425047816562</v>
      </c>
      <c r="AW67" s="5704">
        <v>3304.4042516899999</v>
      </c>
      <c r="AX67" s="57"/>
      <c r="AY67" s="157">
        <f t="shared" si="36"/>
        <v>2059.7756230595987</v>
      </c>
      <c r="BA67" s="5704">
        <v>3304.4042516899999</v>
      </c>
      <c r="BB67" s="7723">
        <v>2358.9696128400001</v>
      </c>
      <c r="BC67" s="106" t="s">
        <v>716</v>
      </c>
      <c r="BD67" s="64">
        <f>IF(BA67=0,0,BB67/BA67)</f>
        <v>0.71388650817572696</v>
      </c>
      <c r="BF67" s="6133">
        <v>2901.8805732000001</v>
      </c>
      <c r="BG67" s="57"/>
      <c r="BH67" s="157">
        <f t="shared" si="26"/>
        <v>2071.6133895447251</v>
      </c>
    </row>
    <row r="68" spans="1:60" x14ac:dyDescent="0.35">
      <c r="A68" s="9168"/>
      <c r="B68" s="274"/>
      <c r="C68" s="272"/>
      <c r="D68" s="197"/>
      <c r="F68" s="163"/>
      <c r="H68" s="242"/>
      <c r="I68" s="243"/>
      <c r="J68" s="64"/>
      <c r="L68" s="242"/>
      <c r="M68" s="157"/>
      <c r="O68" s="242"/>
      <c r="P68" s="201"/>
      <c r="Q68" s="106"/>
      <c r="R68" s="64"/>
      <c r="T68" s="164"/>
      <c r="U68" s="57"/>
      <c r="V68" s="157"/>
      <c r="X68" s="26"/>
      <c r="Y68" s="164"/>
      <c r="Z68" s="611"/>
      <c r="AA68" s="106"/>
      <c r="AB68" s="3768"/>
      <c r="AD68" s="611"/>
      <c r="AE68" s="57"/>
      <c r="AF68" s="157"/>
      <c r="AH68" s="26"/>
      <c r="AI68" s="164"/>
      <c r="AJ68" s="656"/>
      <c r="AK68" s="106"/>
      <c r="AL68" s="64"/>
      <c r="AN68" s="6133"/>
      <c r="AO68" s="57"/>
      <c r="AP68" s="157"/>
      <c r="AR68" s="164"/>
      <c r="AS68" s="312"/>
      <c r="AT68" s="106"/>
      <c r="AU68" s="64"/>
      <c r="AW68" s="6133"/>
      <c r="AX68" s="57"/>
      <c r="AY68" s="157"/>
      <c r="BA68" s="5674"/>
      <c r="BB68" s="7723"/>
      <c r="BC68" s="106"/>
      <c r="BD68" s="64"/>
      <c r="BF68" s="6133"/>
      <c r="BG68" s="57"/>
      <c r="BH68" s="157">
        <f t="shared" si="26"/>
        <v>0</v>
      </c>
    </row>
    <row r="69" spans="1:60" x14ac:dyDescent="0.35">
      <c r="A69" s="9168"/>
      <c r="B69" s="277"/>
      <c r="C69" s="277" t="s">
        <v>555</v>
      </c>
      <c r="D69" s="209"/>
      <c r="F69" s="665"/>
      <c r="G69" s="666"/>
      <c r="H69" s="283"/>
      <c r="I69" s="667"/>
      <c r="J69" s="133"/>
      <c r="L69" s="283"/>
      <c r="M69" s="668"/>
      <c r="O69" s="283"/>
      <c r="P69" s="201"/>
      <c r="Q69" s="284"/>
      <c r="R69" s="133"/>
      <c r="T69" s="3284">
        <f>SUM(T65:T68)/T32</f>
        <v>0.20873174133219305</v>
      </c>
      <c r="U69" s="284"/>
      <c r="V69" s="4891"/>
      <c r="X69" s="24"/>
      <c r="Y69" s="4892">
        <f>SUM(Y65:Y68)/Y32</f>
        <v>0.20873174133219305</v>
      </c>
      <c r="Z69" s="4894"/>
      <c r="AA69" s="4893"/>
      <c r="AB69" s="3770"/>
      <c r="AD69" s="4894"/>
      <c r="AE69" s="284"/>
      <c r="AF69" s="3285"/>
      <c r="AH69" s="24"/>
      <c r="AI69" s="3284"/>
      <c r="AJ69" s="7862"/>
      <c r="AK69" s="284"/>
      <c r="AL69" s="133"/>
      <c r="AN69" s="4892"/>
      <c r="AO69" s="4893"/>
      <c r="AP69" s="4891"/>
      <c r="AR69" s="3284"/>
      <c r="AS69" s="4895"/>
      <c r="AT69" s="284"/>
      <c r="AU69" s="133"/>
      <c r="AW69" s="4892"/>
      <c r="AX69" s="4893"/>
      <c r="AY69" s="4891"/>
      <c r="BA69" s="7727"/>
      <c r="BB69" s="7723"/>
      <c r="BC69" s="284"/>
      <c r="BD69" s="133"/>
      <c r="BF69" s="4892"/>
      <c r="BG69" s="4893"/>
      <c r="BH69" s="7728"/>
    </row>
    <row r="70" spans="1:60" ht="15.25" customHeight="1" x14ac:dyDescent="0.35">
      <c r="A70" s="9168"/>
      <c r="B70" s="287" t="s">
        <v>556</v>
      </c>
      <c r="C70" s="288"/>
      <c r="D70" s="184"/>
      <c r="E70" s="143"/>
      <c r="F70" s="289"/>
      <c r="G70" s="290"/>
      <c r="H70" s="291"/>
      <c r="I70" s="292"/>
      <c r="J70" s="293"/>
      <c r="L70" s="291"/>
      <c r="M70" s="268"/>
      <c r="N70" s="143"/>
      <c r="O70" s="291"/>
      <c r="P70" s="292"/>
      <c r="Q70" s="106"/>
      <c r="R70" s="293"/>
      <c r="T70" s="1990" t="s">
        <v>645</v>
      </c>
      <c r="U70" s="106"/>
      <c r="V70" s="268"/>
      <c r="W70" s="143"/>
      <c r="X70" s="18"/>
      <c r="Y70" s="1990" t="s">
        <v>645</v>
      </c>
      <c r="Z70" s="268"/>
      <c r="AA70" s="106"/>
      <c r="AB70" s="7863"/>
      <c r="AD70" s="268"/>
      <c r="AE70" s="106"/>
      <c r="AF70" s="268"/>
      <c r="AG70" s="143"/>
      <c r="AH70" s="18"/>
      <c r="AI70" s="1990"/>
      <c r="AJ70" s="2909"/>
      <c r="AK70" s="106"/>
      <c r="AL70" s="293"/>
      <c r="AN70" s="4896"/>
      <c r="AO70" s="106"/>
      <c r="AP70" s="268"/>
      <c r="AR70" s="1990"/>
      <c r="AS70" s="2909"/>
      <c r="AT70" s="106"/>
      <c r="AU70" s="293"/>
      <c r="AW70" s="4896"/>
      <c r="AX70" s="106"/>
      <c r="AY70" s="268"/>
      <c r="BA70" s="654" t="s">
        <v>652</v>
      </c>
      <c r="BB70" s="2909"/>
      <c r="BC70" s="106"/>
      <c r="BD70" s="293"/>
      <c r="BF70" s="4896"/>
      <c r="BG70" s="106"/>
      <c r="BH70" s="268"/>
    </row>
    <row r="71" spans="1:60" x14ac:dyDescent="0.35">
      <c r="A71" s="9168"/>
      <c r="B71" s="302"/>
      <c r="C71" s="59" t="s">
        <v>717</v>
      </c>
      <c r="D71" s="197"/>
      <c r="F71" s="521"/>
      <c r="G71" s="272"/>
      <c r="H71" s="304">
        <v>410000</v>
      </c>
      <c r="I71" s="522"/>
      <c r="J71" s="297">
        <f>IF(H71=0,0,I71/H71)</f>
        <v>0</v>
      </c>
      <c r="L71" s="304">
        <v>300000</v>
      </c>
      <c r="M71" s="157">
        <f>L71*J71</f>
        <v>0</v>
      </c>
      <c r="O71" s="62">
        <v>300000</v>
      </c>
      <c r="P71" s="3287">
        <f>O71</f>
        <v>300000</v>
      </c>
      <c r="Q71" s="332"/>
      <c r="R71" s="297">
        <f>IF(O71=0,0,P71/O71)</f>
        <v>1</v>
      </c>
      <c r="T71" s="62">
        <v>350000</v>
      </c>
      <c r="U71" s="57" t="s">
        <v>718</v>
      </c>
      <c r="V71" s="157">
        <f>T71</f>
        <v>350000</v>
      </c>
      <c r="X71" s="26"/>
      <c r="Y71" s="62">
        <v>350000</v>
      </c>
      <c r="Z71" s="62">
        <f>Y71</f>
        <v>350000</v>
      </c>
      <c r="AA71" s="106"/>
      <c r="AB71" s="4897">
        <f>IF(Y71=0,0,Z71/Y71)</f>
        <v>1</v>
      </c>
      <c r="AD71" s="62">
        <v>196330</v>
      </c>
      <c r="AE71" s="57" t="s">
        <v>718</v>
      </c>
      <c r="AF71" s="157">
        <f>AD71</f>
        <v>196330</v>
      </c>
      <c r="AH71" s="26"/>
      <c r="AI71" s="62">
        <v>196330</v>
      </c>
      <c r="AJ71" s="789">
        <f>AI71</f>
        <v>196330</v>
      </c>
      <c r="AK71" s="332"/>
      <c r="AL71" s="297">
        <f>IF(AI71=0,0,AJ71/AI71)</f>
        <v>1</v>
      </c>
      <c r="AN71" s="4898">
        <v>200000</v>
      </c>
      <c r="AO71" s="57" t="s">
        <v>718</v>
      </c>
      <c r="AP71" s="157">
        <f>AN71</f>
        <v>200000</v>
      </c>
      <c r="AR71" s="62">
        <v>200</v>
      </c>
      <c r="AS71" s="789">
        <f>AR71</f>
        <v>200</v>
      </c>
      <c r="AT71" s="332"/>
      <c r="AU71" s="297">
        <f>IF(AR71=0,0,AS71/AR71)</f>
        <v>1</v>
      </c>
      <c r="AW71" s="4898">
        <v>200</v>
      </c>
      <c r="AX71" s="57" t="s">
        <v>718</v>
      </c>
      <c r="AY71" s="157">
        <f>AW71</f>
        <v>200</v>
      </c>
      <c r="BA71" s="62">
        <v>200</v>
      </c>
      <c r="BB71" s="7295">
        <f>BA71</f>
        <v>200</v>
      </c>
      <c r="BC71" s="332"/>
      <c r="BD71" s="297">
        <f>IF(BA71=0,0,BB71/BA71)</f>
        <v>1</v>
      </c>
      <c r="BF71" s="4898">
        <v>216</v>
      </c>
      <c r="BG71" s="57" t="s">
        <v>718</v>
      </c>
      <c r="BH71" s="157">
        <f>BF71</f>
        <v>216</v>
      </c>
    </row>
    <row r="72" spans="1:60" x14ac:dyDescent="0.35">
      <c r="A72" s="9168"/>
      <c r="B72" s="302"/>
      <c r="C72" s="59" t="s">
        <v>719</v>
      </c>
      <c r="D72" s="197"/>
      <c r="F72" s="61"/>
      <c r="G72" s="272"/>
      <c r="H72" s="62"/>
      <c r="I72" s="63"/>
      <c r="J72" s="297">
        <f>IF(H72=0,0,I72/H72)</f>
        <v>0</v>
      </c>
      <c r="L72" s="62"/>
      <c r="M72" s="157">
        <f>L72*J72</f>
        <v>0</v>
      </c>
      <c r="O72" s="62">
        <v>0</v>
      </c>
      <c r="P72" s="3287">
        <f>O72</f>
        <v>0</v>
      </c>
      <c r="Q72" s="106"/>
      <c r="R72" s="297">
        <f>IF(O72=0,0,P72/O72)</f>
        <v>0</v>
      </c>
      <c r="T72" s="62">
        <v>-63000</v>
      </c>
      <c r="U72" s="57" t="s">
        <v>720</v>
      </c>
      <c r="V72" s="157">
        <f>T72</f>
        <v>-63000</v>
      </c>
      <c r="X72" s="26"/>
      <c r="Y72" s="62">
        <v>-63000</v>
      </c>
      <c r="Z72" s="62">
        <f t="shared" ref="Z72:Z73" si="37">Y72</f>
        <v>-63000</v>
      </c>
      <c r="AA72" s="106"/>
      <c r="AB72" s="4897">
        <f>IF(Y72=0,0,Z72/Y72)</f>
        <v>1</v>
      </c>
      <c r="AD72" s="62">
        <v>-27950</v>
      </c>
      <c r="AE72" s="57" t="s">
        <v>720</v>
      </c>
      <c r="AF72" s="157">
        <f>AD72</f>
        <v>-27950</v>
      </c>
      <c r="AH72" s="26"/>
      <c r="AI72" s="62">
        <v>-27950</v>
      </c>
      <c r="AJ72" s="789">
        <f t="shared" ref="AJ72:AJ73" si="38">AI72</f>
        <v>-27950</v>
      </c>
      <c r="AK72" s="106"/>
      <c r="AL72" s="297">
        <f>IF(AI72=0,0,AJ72/AI72)</f>
        <v>1</v>
      </c>
      <c r="AN72" s="4898">
        <v>-100000</v>
      </c>
      <c r="AO72" s="57" t="s">
        <v>720</v>
      </c>
      <c r="AP72" s="157">
        <f t="shared" ref="AP72:AP73" si="39">AN72</f>
        <v>-100000</v>
      </c>
      <c r="AR72" s="62">
        <v>-100</v>
      </c>
      <c r="AS72" s="789">
        <f t="shared" ref="AS72:AS73" si="40">AR72</f>
        <v>-100</v>
      </c>
      <c r="AT72" s="106"/>
      <c r="AU72" s="297">
        <f>IF(AR72=0,0,AS72/AR72)</f>
        <v>1</v>
      </c>
      <c r="AW72" s="4898">
        <v>-100</v>
      </c>
      <c r="AX72" s="57" t="s">
        <v>720</v>
      </c>
      <c r="AY72" s="157">
        <f t="shared" ref="AY72:AY73" si="41">AW72</f>
        <v>-100</v>
      </c>
      <c r="BA72" s="62">
        <v>-100</v>
      </c>
      <c r="BB72" s="7295">
        <f t="shared" ref="BB72:BB73" si="42">BA72</f>
        <v>-100</v>
      </c>
      <c r="BC72" s="106"/>
      <c r="BD72" s="297">
        <f>IF(BA72=0,0,BB72/BA72)</f>
        <v>1</v>
      </c>
      <c r="BF72" s="4898">
        <f>-100-16</f>
        <v>-116</v>
      </c>
      <c r="BG72" s="57" t="s">
        <v>720</v>
      </c>
      <c r="BH72" s="157">
        <f t="shared" ref="BH72:BH73" si="43">BF72</f>
        <v>-116</v>
      </c>
    </row>
    <row r="73" spans="1:60" x14ac:dyDescent="0.35">
      <c r="A73" s="9168"/>
      <c r="B73" s="305"/>
      <c r="C73" s="59" t="s">
        <v>702</v>
      </c>
      <c r="D73" s="197"/>
      <c r="F73" s="61"/>
      <c r="G73" s="272"/>
      <c r="H73" s="62"/>
      <c r="I73" s="63"/>
      <c r="J73" s="297">
        <f>IF(H73=0,0,I73/H73)</f>
        <v>0</v>
      </c>
      <c r="L73" s="62"/>
      <c r="M73" s="157">
        <f>L73*J73</f>
        <v>0</v>
      </c>
      <c r="O73" s="62">
        <v>400000</v>
      </c>
      <c r="P73" s="3287">
        <f>O73</f>
        <v>400000</v>
      </c>
      <c r="Q73" s="106"/>
      <c r="R73" s="297">
        <f>IF(O73=0,0,P73/O73)</f>
        <v>1</v>
      </c>
      <c r="T73" s="62">
        <v>2000</v>
      </c>
      <c r="U73" s="57" t="s">
        <v>721</v>
      </c>
      <c r="V73" s="157">
        <f>T73</f>
        <v>2000</v>
      </c>
      <c r="X73" s="26"/>
      <c r="Y73" s="62">
        <v>2000</v>
      </c>
      <c r="Z73" s="62">
        <f t="shared" si="37"/>
        <v>2000</v>
      </c>
      <c r="AA73" s="106"/>
      <c r="AB73" s="4897">
        <f>IF(Y73=0,0,Z73/Y73)</f>
        <v>1</v>
      </c>
      <c r="AD73" s="62">
        <v>343000</v>
      </c>
      <c r="AE73" s="57" t="s">
        <v>722</v>
      </c>
      <c r="AF73" s="157">
        <f>AD73</f>
        <v>343000</v>
      </c>
      <c r="AH73" s="26"/>
      <c r="AI73" s="62">
        <v>343000</v>
      </c>
      <c r="AJ73" s="789">
        <f t="shared" si="38"/>
        <v>343000</v>
      </c>
      <c r="AK73" s="106"/>
      <c r="AL73" s="297">
        <f>IF(AI73=0,0,AJ73/AI73)</f>
        <v>1</v>
      </c>
      <c r="AN73" s="4898">
        <v>792000</v>
      </c>
      <c r="AO73" s="57" t="s">
        <v>722</v>
      </c>
      <c r="AP73" s="157">
        <f t="shared" si="39"/>
        <v>792000</v>
      </c>
      <c r="AR73" s="62">
        <v>792</v>
      </c>
      <c r="AS73" s="789">
        <f t="shared" si="40"/>
        <v>792</v>
      </c>
      <c r="AT73" s="106"/>
      <c r="AU73" s="297">
        <f>IF(AR73=0,0,AS73/AR73)</f>
        <v>1</v>
      </c>
      <c r="AW73" s="4898">
        <v>692.64400000000001</v>
      </c>
      <c r="AX73" s="57" t="s">
        <v>722</v>
      </c>
      <c r="AY73" s="157">
        <f t="shared" si="41"/>
        <v>692.64400000000001</v>
      </c>
      <c r="BA73" s="62">
        <v>692.64400000000001</v>
      </c>
      <c r="BB73" s="7295">
        <f t="shared" si="42"/>
        <v>692.64400000000001</v>
      </c>
      <c r="BC73" s="106"/>
      <c r="BD73" s="297">
        <f>IF(BA73=0,0,BB73/BA73)</f>
        <v>1</v>
      </c>
      <c r="BF73" s="4898">
        <v>703.9</v>
      </c>
      <c r="BG73" s="57" t="s">
        <v>722</v>
      </c>
      <c r="BH73" s="157">
        <f t="shared" si="43"/>
        <v>703.9</v>
      </c>
    </row>
    <row r="74" spans="1:60" x14ac:dyDescent="0.35">
      <c r="A74" s="9169"/>
      <c r="B74" s="306"/>
      <c r="C74" s="86" t="s">
        <v>536</v>
      </c>
      <c r="D74" s="209"/>
      <c r="F74" s="88"/>
      <c r="G74" s="274"/>
      <c r="H74" s="89"/>
      <c r="I74" s="90"/>
      <c r="J74" s="307">
        <f>IF(H74=0,0,I74/H74)</f>
        <v>0</v>
      </c>
      <c r="L74" s="89"/>
      <c r="M74" s="213">
        <f>L74*J74</f>
        <v>0</v>
      </c>
      <c r="O74" s="89"/>
      <c r="P74" s="308"/>
      <c r="Q74" s="216"/>
      <c r="R74" s="307">
        <f>IF(O74=0,0,P74/O74)</f>
        <v>0</v>
      </c>
      <c r="T74" s="89"/>
      <c r="U74" s="216"/>
      <c r="V74" s="213">
        <f>T74*R74</f>
        <v>0</v>
      </c>
      <c r="X74" s="24"/>
      <c r="Y74" s="89"/>
      <c r="Z74" s="213">
        <f>X74*V74</f>
        <v>0</v>
      </c>
      <c r="AA74" s="216"/>
      <c r="AB74" s="4899">
        <f>IF(Y74=0,0,Z74/Y74)</f>
        <v>0</v>
      </c>
      <c r="AD74" s="213">
        <f>AB74*Z74</f>
        <v>0</v>
      </c>
      <c r="AE74" s="216"/>
      <c r="AF74" s="213">
        <f>AD74*AB74</f>
        <v>0</v>
      </c>
      <c r="AH74" s="24"/>
      <c r="AI74" s="89">
        <v>0</v>
      </c>
      <c r="AJ74" s="6135">
        <v>0</v>
      </c>
      <c r="AK74" s="216"/>
      <c r="AL74" s="307">
        <f>IF(AI74=0,0,AJ74/AI74)</f>
        <v>0</v>
      </c>
      <c r="AN74" s="4900"/>
      <c r="AO74" s="216"/>
      <c r="AP74" s="213"/>
      <c r="AR74" s="89"/>
      <c r="AS74" s="6135">
        <v>0</v>
      </c>
      <c r="AT74" s="216"/>
      <c r="AU74" s="307">
        <f>IF(AR74=0,0,AS74/AR74)</f>
        <v>0</v>
      </c>
      <c r="AW74" s="4900"/>
      <c r="AX74" s="216"/>
      <c r="AY74" s="213"/>
      <c r="BA74" s="89"/>
      <c r="BB74" s="7729">
        <v>0</v>
      </c>
      <c r="BC74" s="216"/>
      <c r="BD74" s="307">
        <f>IF(BA74=0,0,BB74/BA74)</f>
        <v>0</v>
      </c>
      <c r="BF74" s="4900"/>
      <c r="BG74" s="216"/>
      <c r="BH74" s="213"/>
    </row>
    <row r="75" spans="1:60" x14ac:dyDescent="0.35">
      <c r="A75" s="310"/>
      <c r="B75" s="310"/>
      <c r="F75" s="106"/>
      <c r="H75" s="106"/>
      <c r="I75" s="106"/>
      <c r="J75" s="311"/>
      <c r="L75" s="106"/>
      <c r="M75" s="312"/>
      <c r="O75" s="106"/>
      <c r="P75" s="106"/>
      <c r="Q75" s="106"/>
      <c r="R75" s="311"/>
      <c r="T75" s="106"/>
      <c r="U75" s="106"/>
      <c r="V75" s="312"/>
      <c r="Y75" s="106"/>
      <c r="Z75" s="312"/>
      <c r="AA75" s="106"/>
      <c r="AB75" s="3769"/>
      <c r="AD75" s="312"/>
      <c r="AE75" s="106"/>
      <c r="AF75" s="312"/>
      <c r="AI75" s="106"/>
      <c r="AJ75" s="312"/>
      <c r="AK75" s="106"/>
      <c r="AL75" s="311"/>
      <c r="AN75" s="312"/>
      <c r="AO75" s="106"/>
      <c r="AP75" s="312"/>
      <c r="AR75" s="106"/>
      <c r="AS75" s="312"/>
      <c r="AT75" s="106"/>
      <c r="AU75" s="311"/>
      <c r="AW75" s="312"/>
      <c r="AX75" s="106"/>
      <c r="AY75" s="312"/>
      <c r="BA75" s="106"/>
      <c r="BB75" s="312"/>
      <c r="BC75" s="106"/>
      <c r="BD75" s="311"/>
      <c r="BF75" s="312"/>
      <c r="BG75" s="106"/>
      <c r="BH75" s="312"/>
    </row>
    <row r="76" spans="1:60" ht="14.5" customHeight="1" x14ac:dyDescent="0.35">
      <c r="A76" s="9159" t="s">
        <v>559</v>
      </c>
      <c r="B76" s="939" t="s">
        <v>560</v>
      </c>
      <c r="C76" s="940"/>
      <c r="D76" s="184"/>
      <c r="F76" s="316"/>
      <c r="G76" s="290"/>
      <c r="H76" s="317"/>
      <c r="I76" s="1687"/>
      <c r="J76" s="293"/>
      <c r="L76" s="317"/>
      <c r="M76" s="268"/>
      <c r="O76" s="317"/>
      <c r="P76" s="1687"/>
      <c r="Q76" s="103"/>
      <c r="R76" s="293"/>
      <c r="T76" s="317"/>
      <c r="U76" s="103"/>
      <c r="V76" s="323"/>
      <c r="X76" s="18"/>
      <c r="Y76" s="317"/>
      <c r="Z76" s="323"/>
      <c r="AA76" s="103"/>
      <c r="AB76" s="7863"/>
      <c r="AD76" s="7864"/>
      <c r="AE76" s="103"/>
      <c r="AF76" s="323"/>
      <c r="AH76" s="18"/>
      <c r="AI76" s="317"/>
      <c r="AJ76" s="4098"/>
      <c r="AK76" s="103"/>
      <c r="AL76" s="293"/>
      <c r="AN76" s="7864"/>
      <c r="AO76" s="103"/>
      <c r="AP76" s="323"/>
      <c r="AR76" s="1688" t="s">
        <v>651</v>
      </c>
      <c r="AS76" s="6136"/>
      <c r="AT76" s="103"/>
      <c r="AU76" s="293"/>
      <c r="AW76" s="1688"/>
      <c r="AX76" s="103"/>
      <c r="AY76" s="268"/>
      <c r="BA76" s="7730" t="s">
        <v>723</v>
      </c>
      <c r="BB76" s="6136"/>
      <c r="BC76" s="103"/>
      <c r="BD76" s="293"/>
      <c r="BF76" s="1688"/>
      <c r="BG76" s="103"/>
      <c r="BH76" s="268"/>
    </row>
    <row r="77" spans="1:60" ht="14" customHeight="1" x14ac:dyDescent="0.35">
      <c r="A77" s="9160"/>
      <c r="B77" s="944"/>
      <c r="C77" s="945" t="s">
        <v>724</v>
      </c>
      <c r="D77" s="197"/>
      <c r="F77" s="327"/>
      <c r="G77" s="272"/>
      <c r="H77" s="325"/>
      <c r="I77" s="946"/>
      <c r="J77" s="297">
        <f t="shared" ref="J77:J85" si="44">IF(H77=0,0,I77/H77)</f>
        <v>0</v>
      </c>
      <c r="L77" s="325"/>
      <c r="M77" s="157">
        <f t="shared" ref="M77:M85" si="45">L77*J77</f>
        <v>0</v>
      </c>
      <c r="O77" s="330">
        <v>23532920</v>
      </c>
      <c r="P77" s="947">
        <f>O77*R37</f>
        <v>22587765.764527362</v>
      </c>
      <c r="Q77" s="332"/>
      <c r="R77" s="297">
        <f t="shared" ref="R77:R85" si="46">IF(O77=0,0,P77/O77)</f>
        <v>0.959836933305657</v>
      </c>
      <c r="T77" s="330">
        <v>19123400</v>
      </c>
      <c r="U77" s="57" t="s">
        <v>645</v>
      </c>
      <c r="V77" s="333">
        <f>T77*R77</f>
        <v>18355345.610377401</v>
      </c>
      <c r="X77" s="26" t="s">
        <v>725</v>
      </c>
      <c r="Y77" s="330">
        <v>19123400</v>
      </c>
      <c r="Z77" s="333">
        <v>18886480</v>
      </c>
      <c r="AA77" s="106"/>
      <c r="AB77" s="4897">
        <f t="shared" ref="AB77:AB85" si="47">IF(Y77=0,0,Z77/Y77)</f>
        <v>0.98761098967756777</v>
      </c>
      <c r="AD77" s="7865">
        <v>19108100</v>
      </c>
      <c r="AE77" s="4901" t="s">
        <v>726</v>
      </c>
      <c r="AF77" s="333">
        <v>19956100</v>
      </c>
      <c r="AH77" s="26" t="s">
        <v>725</v>
      </c>
      <c r="AI77" s="330">
        <v>19108100</v>
      </c>
      <c r="AJ77" s="4099">
        <v>20692000</v>
      </c>
      <c r="AK77" s="332"/>
      <c r="AL77" s="297">
        <f t="shared" ref="AL77:AL85" si="48">IF(AI77=0,0,AJ77/AI77)</f>
        <v>1.0828915486102753</v>
      </c>
      <c r="AN77" s="7865">
        <v>20416580</v>
      </c>
      <c r="AO77" s="4901" t="s">
        <v>727</v>
      </c>
      <c r="AP77" s="333">
        <v>21825400</v>
      </c>
      <c r="AR77" s="330">
        <v>22174.5</v>
      </c>
      <c r="AS77" s="6137">
        <v>21825.4</v>
      </c>
      <c r="AT77" s="332" t="s">
        <v>728</v>
      </c>
      <c r="AU77" s="297">
        <f t="shared" ref="AU77:AU85" si="49">IF(AR77=0,0,AS77/AR77)</f>
        <v>0.98425669124444748</v>
      </c>
      <c r="AW77" s="330">
        <v>20788.5</v>
      </c>
      <c r="AX77" s="4901" t="s">
        <v>727</v>
      </c>
      <c r="AY77" s="157">
        <f>AW77*AU37</f>
        <v>20601.033093305225</v>
      </c>
      <c r="BA77" s="330">
        <v>20788.500005000002</v>
      </c>
      <c r="BB77" s="6137">
        <v>20822.033476640001</v>
      </c>
      <c r="BC77" s="332" t="s">
        <v>729</v>
      </c>
      <c r="BD77" s="297">
        <f t="shared" ref="BD77:BD85" si="50">IF(BA77=0,0,BB77/BA77)</f>
        <v>1.0016130779821504</v>
      </c>
      <c r="BF77" s="330">
        <v>21583.72</v>
      </c>
      <c r="BG77" s="4901" t="s">
        <v>727</v>
      </c>
      <c r="BH77" s="157">
        <f>BF77*BD77</f>
        <v>21618.5362235049</v>
      </c>
    </row>
    <row r="78" spans="1:60" x14ac:dyDescent="0.35">
      <c r="A78" s="9160"/>
      <c r="B78" s="944"/>
      <c r="C78" s="945" t="s">
        <v>730</v>
      </c>
      <c r="D78" s="197"/>
      <c r="F78" s="336"/>
      <c r="G78" s="272"/>
      <c r="H78" s="330"/>
      <c r="I78" s="948"/>
      <c r="J78" s="297">
        <f t="shared" si="44"/>
        <v>0</v>
      </c>
      <c r="L78" s="330"/>
      <c r="M78" s="157">
        <f t="shared" si="45"/>
        <v>0</v>
      </c>
      <c r="O78" s="330">
        <v>1354700</v>
      </c>
      <c r="P78" s="338">
        <f>O78*R38</f>
        <v>1300291.0935491738</v>
      </c>
      <c r="Q78" s="106"/>
      <c r="R78" s="297">
        <f t="shared" si="46"/>
        <v>0.95983693330565723</v>
      </c>
      <c r="T78" s="330">
        <v>1219000</v>
      </c>
      <c r="U78" s="106"/>
      <c r="V78" s="333">
        <f>T78*R78</f>
        <v>1170041.2216995961</v>
      </c>
      <c r="X78" s="26"/>
      <c r="Y78" s="330">
        <v>1219000</v>
      </c>
      <c r="Z78" s="333">
        <v>1069612</v>
      </c>
      <c r="AA78" s="106"/>
      <c r="AB78" s="4897">
        <f t="shared" si="47"/>
        <v>0.87745036915504515</v>
      </c>
      <c r="AD78" s="7865">
        <v>1329205</v>
      </c>
      <c r="AE78" s="4901"/>
      <c r="AF78" s="333"/>
      <c r="AH78" s="26"/>
      <c r="AI78" s="330">
        <v>1329205</v>
      </c>
      <c r="AJ78" s="4099"/>
      <c r="AK78" s="106"/>
      <c r="AL78" s="297">
        <f t="shared" si="48"/>
        <v>0</v>
      </c>
      <c r="AN78" s="7865">
        <v>1757947</v>
      </c>
      <c r="AO78" s="4901"/>
      <c r="AP78" s="333"/>
      <c r="AR78" s="330"/>
      <c r="AS78" s="6137"/>
      <c r="AT78" s="106"/>
      <c r="AU78" s="297">
        <f t="shared" si="49"/>
        <v>0</v>
      </c>
      <c r="AW78" s="330">
        <v>1720</v>
      </c>
      <c r="AX78" s="4901"/>
      <c r="AY78" s="157">
        <f>AW78*AU38</f>
        <v>1470.6214966638024</v>
      </c>
      <c r="BA78" s="330">
        <v>1720</v>
      </c>
      <c r="BB78" s="6137">
        <v>1660.2680666000001</v>
      </c>
      <c r="BC78" s="106"/>
      <c r="BD78" s="297">
        <f t="shared" si="50"/>
        <v>0.96527213174418613</v>
      </c>
      <c r="BF78" s="330">
        <v>1737</v>
      </c>
      <c r="BG78" s="4901"/>
      <c r="BH78" s="157">
        <f>BF78*BD78</f>
        <v>1676.6776928396514</v>
      </c>
    </row>
    <row r="79" spans="1:60" ht="21" customHeight="1" x14ac:dyDescent="0.35">
      <c r="A79" s="9160"/>
      <c r="B79" s="944"/>
      <c r="C79" s="945"/>
      <c r="D79" s="197"/>
      <c r="F79" s="336"/>
      <c r="G79" s="272"/>
      <c r="H79" s="330"/>
      <c r="I79" s="948"/>
      <c r="J79" s="297">
        <f t="shared" si="44"/>
        <v>0</v>
      </c>
      <c r="L79" s="330"/>
      <c r="M79" s="157">
        <f t="shared" si="45"/>
        <v>0</v>
      </c>
      <c r="O79" s="330">
        <f>O66</f>
        <v>0</v>
      </c>
      <c r="P79" s="331"/>
      <c r="Q79" s="106"/>
      <c r="R79" s="297">
        <f t="shared" si="46"/>
        <v>0</v>
      </c>
      <c r="T79" s="330">
        <f>T66</f>
        <v>4803061.2230000002</v>
      </c>
      <c r="U79" s="57" t="s">
        <v>731</v>
      </c>
      <c r="V79" s="333">
        <f>T79</f>
        <v>4803061.2230000002</v>
      </c>
      <c r="X79" s="26"/>
      <c r="Y79" s="330">
        <f>Y66</f>
        <v>4803061.2230000002</v>
      </c>
      <c r="Z79" s="333">
        <f>X79</f>
        <v>0</v>
      </c>
      <c r="AA79" s="106"/>
      <c r="AB79" s="4897">
        <f t="shared" si="47"/>
        <v>0</v>
      </c>
      <c r="AD79" s="7865">
        <v>4135911</v>
      </c>
      <c r="AE79" s="4901" t="s">
        <v>732</v>
      </c>
      <c r="AF79" s="333"/>
      <c r="AH79" s="26"/>
      <c r="AI79" s="330">
        <v>4135911</v>
      </c>
      <c r="AJ79" s="4099"/>
      <c r="AK79" s="106"/>
      <c r="AL79" s="297">
        <f t="shared" si="48"/>
        <v>0</v>
      </c>
      <c r="AN79" s="7865"/>
      <c r="AO79" s="4901"/>
      <c r="AP79" s="333"/>
      <c r="AR79" s="330"/>
      <c r="AS79" s="6137"/>
      <c r="AT79" s="106"/>
      <c r="AU79" s="297">
        <f t="shared" si="49"/>
        <v>0</v>
      </c>
      <c r="AW79" s="330"/>
      <c r="AX79" s="4901"/>
      <c r="AY79" s="157"/>
      <c r="BA79" s="330"/>
      <c r="BB79" s="6137"/>
      <c r="BC79" s="106"/>
      <c r="BD79" s="297">
        <f t="shared" si="50"/>
        <v>0</v>
      </c>
      <c r="BF79" s="330"/>
      <c r="BG79" s="4901"/>
      <c r="BH79" s="157"/>
    </row>
    <row r="80" spans="1:60" x14ac:dyDescent="0.35">
      <c r="A80" s="9160"/>
      <c r="B80" s="944"/>
      <c r="C80" s="945"/>
      <c r="D80" s="197"/>
      <c r="F80" s="336"/>
      <c r="G80" s="272"/>
      <c r="H80" s="330"/>
      <c r="I80" s="948"/>
      <c r="J80" s="297">
        <f t="shared" si="44"/>
        <v>0</v>
      </c>
      <c r="L80" s="330"/>
      <c r="M80" s="157">
        <f t="shared" si="45"/>
        <v>0</v>
      </c>
      <c r="O80" s="330"/>
      <c r="P80" s="331"/>
      <c r="Q80" s="106"/>
      <c r="R80" s="297">
        <f t="shared" si="46"/>
        <v>0</v>
      </c>
      <c r="T80" s="330"/>
      <c r="U80" s="106"/>
      <c r="V80" s="333">
        <f t="shared" ref="V80:V85" si="51">T80*R80</f>
        <v>0</v>
      </c>
      <c r="X80" s="26"/>
      <c r="Y80" s="330"/>
      <c r="Z80" s="333">
        <f t="shared" ref="Z80:Z85" si="52">X80*V80</f>
        <v>0</v>
      </c>
      <c r="AA80" s="106"/>
      <c r="AB80" s="4897">
        <f t="shared" si="47"/>
        <v>0</v>
      </c>
      <c r="AD80" s="7865">
        <f t="shared" ref="AD80:AF85" si="53">AB80*Z80</f>
        <v>0</v>
      </c>
      <c r="AE80" s="106"/>
      <c r="AF80" s="333">
        <f t="shared" si="53"/>
        <v>0</v>
      </c>
      <c r="AH80" s="26"/>
      <c r="AI80" s="330">
        <v>0</v>
      </c>
      <c r="AJ80" s="4099">
        <v>0</v>
      </c>
      <c r="AK80" s="106"/>
      <c r="AL80" s="297">
        <f t="shared" si="48"/>
        <v>0</v>
      </c>
      <c r="AN80" s="7865"/>
      <c r="AO80" s="106"/>
      <c r="AP80" s="333"/>
      <c r="AR80" s="330"/>
      <c r="AS80" s="6137"/>
      <c r="AT80" s="106"/>
      <c r="AU80" s="297">
        <f t="shared" si="49"/>
        <v>0</v>
      </c>
      <c r="AW80" s="330"/>
      <c r="AX80" s="106"/>
      <c r="AY80" s="157"/>
      <c r="BA80" s="330"/>
      <c r="BB80" s="6137"/>
      <c r="BC80" s="106"/>
      <c r="BD80" s="297">
        <f t="shared" si="50"/>
        <v>0</v>
      </c>
      <c r="BF80" s="330"/>
      <c r="BG80" s="106"/>
      <c r="BH80" s="157"/>
    </row>
    <row r="81" spans="1:60" x14ac:dyDescent="0.35">
      <c r="A81" s="9160"/>
      <c r="B81" s="944"/>
      <c r="C81" s="945"/>
      <c r="D81" s="197"/>
      <c r="F81" s="336"/>
      <c r="G81" s="272"/>
      <c r="H81" s="330"/>
      <c r="I81" s="948"/>
      <c r="J81" s="297">
        <f t="shared" si="44"/>
        <v>0</v>
      </c>
      <c r="L81" s="330"/>
      <c r="M81" s="157">
        <f t="shared" si="45"/>
        <v>0</v>
      </c>
      <c r="O81" s="330"/>
      <c r="P81" s="331"/>
      <c r="Q81" s="106"/>
      <c r="R81" s="297">
        <f t="shared" si="46"/>
        <v>0</v>
      </c>
      <c r="T81" s="330"/>
      <c r="U81" s="106"/>
      <c r="V81" s="333">
        <f t="shared" si="51"/>
        <v>0</v>
      </c>
      <c r="X81" s="26"/>
      <c r="Y81" s="330"/>
      <c r="Z81" s="333">
        <f t="shared" si="52"/>
        <v>0</v>
      </c>
      <c r="AA81" s="106"/>
      <c r="AB81" s="4897">
        <f t="shared" si="47"/>
        <v>0</v>
      </c>
      <c r="AD81" s="7865">
        <f t="shared" si="53"/>
        <v>0</v>
      </c>
      <c r="AE81" s="106"/>
      <c r="AF81" s="333">
        <f t="shared" si="53"/>
        <v>0</v>
      </c>
      <c r="AH81" s="26"/>
      <c r="AI81" s="330">
        <v>0</v>
      </c>
      <c r="AJ81" s="4099">
        <v>0</v>
      </c>
      <c r="AK81" s="106"/>
      <c r="AL81" s="297">
        <f t="shared" si="48"/>
        <v>0</v>
      </c>
      <c r="AN81" s="7865"/>
      <c r="AO81" s="106"/>
      <c r="AP81" s="333"/>
      <c r="AR81" s="330"/>
      <c r="AS81" s="6137"/>
      <c r="AT81" s="106"/>
      <c r="AU81" s="297">
        <f t="shared" si="49"/>
        <v>0</v>
      </c>
      <c r="AW81" s="330"/>
      <c r="AX81" s="106"/>
      <c r="AY81" s="157"/>
      <c r="BA81" s="330"/>
      <c r="BB81" s="6137"/>
      <c r="BC81" s="106"/>
      <c r="BD81" s="297">
        <f t="shared" si="50"/>
        <v>0</v>
      </c>
      <c r="BF81" s="330"/>
      <c r="BG81" s="106"/>
      <c r="BH81" s="157"/>
    </row>
    <row r="82" spans="1:60" x14ac:dyDescent="0.35">
      <c r="A82" s="9160"/>
      <c r="B82" s="944"/>
      <c r="C82" s="945"/>
      <c r="D82" s="197"/>
      <c r="F82" s="336"/>
      <c r="G82" s="272"/>
      <c r="H82" s="330"/>
      <c r="I82" s="948"/>
      <c r="J82" s="297">
        <f t="shared" si="44"/>
        <v>0</v>
      </c>
      <c r="L82" s="330"/>
      <c r="M82" s="157">
        <f t="shared" si="45"/>
        <v>0</v>
      </c>
      <c r="O82" s="330"/>
      <c r="P82" s="331"/>
      <c r="Q82" s="106"/>
      <c r="R82" s="297">
        <f t="shared" si="46"/>
        <v>0</v>
      </c>
      <c r="T82" s="330"/>
      <c r="U82" s="106"/>
      <c r="V82" s="333">
        <f t="shared" si="51"/>
        <v>0</v>
      </c>
      <c r="X82" s="26"/>
      <c r="Y82" s="330"/>
      <c r="Z82" s="333">
        <f t="shared" si="52"/>
        <v>0</v>
      </c>
      <c r="AA82" s="106"/>
      <c r="AB82" s="4897">
        <f t="shared" si="47"/>
        <v>0</v>
      </c>
      <c r="AD82" s="7865">
        <f t="shared" si="53"/>
        <v>0</v>
      </c>
      <c r="AE82" s="106"/>
      <c r="AF82" s="333">
        <f t="shared" si="53"/>
        <v>0</v>
      </c>
      <c r="AH82" s="26"/>
      <c r="AI82" s="330">
        <v>0</v>
      </c>
      <c r="AJ82" s="4099">
        <v>0</v>
      </c>
      <c r="AK82" s="106"/>
      <c r="AL82" s="297">
        <f t="shared" si="48"/>
        <v>0</v>
      </c>
      <c r="AN82" s="7865"/>
      <c r="AO82" s="106"/>
      <c r="AP82" s="333"/>
      <c r="AR82" s="330"/>
      <c r="AS82" s="6137"/>
      <c r="AT82" s="106"/>
      <c r="AU82" s="297">
        <f t="shared" si="49"/>
        <v>0</v>
      </c>
      <c r="AW82" s="330"/>
      <c r="AX82" s="106"/>
      <c r="AY82" s="157"/>
      <c r="BA82" s="330"/>
      <c r="BB82" s="6137"/>
      <c r="BC82" s="106"/>
      <c r="BD82" s="297">
        <f t="shared" si="50"/>
        <v>0</v>
      </c>
      <c r="BF82" s="330"/>
      <c r="BG82" s="106"/>
      <c r="BH82" s="157"/>
    </row>
    <row r="83" spans="1:60" x14ac:dyDescent="0.35">
      <c r="A83" s="9160"/>
      <c r="B83" s="944"/>
      <c r="C83" s="945"/>
      <c r="D83" s="197"/>
      <c r="F83" s="336"/>
      <c r="G83" s="272"/>
      <c r="H83" s="330"/>
      <c r="I83" s="948"/>
      <c r="J83" s="297">
        <f t="shared" si="44"/>
        <v>0</v>
      </c>
      <c r="L83" s="330"/>
      <c r="M83" s="157">
        <f t="shared" si="45"/>
        <v>0</v>
      </c>
      <c r="O83" s="330"/>
      <c r="P83" s="331"/>
      <c r="Q83" s="106"/>
      <c r="R83" s="297">
        <f t="shared" si="46"/>
        <v>0</v>
      </c>
      <c r="T83" s="330"/>
      <c r="U83" s="106"/>
      <c r="V83" s="333">
        <f t="shared" si="51"/>
        <v>0</v>
      </c>
      <c r="X83" s="26"/>
      <c r="Y83" s="330"/>
      <c r="Z83" s="333">
        <f t="shared" si="52"/>
        <v>0</v>
      </c>
      <c r="AA83" s="106"/>
      <c r="AB83" s="297">
        <f t="shared" si="47"/>
        <v>0</v>
      </c>
      <c r="AD83" s="7865">
        <f t="shared" si="53"/>
        <v>0</v>
      </c>
      <c r="AE83" s="106"/>
      <c r="AF83" s="333">
        <f t="shared" si="53"/>
        <v>0</v>
      </c>
      <c r="AH83" s="26"/>
      <c r="AI83" s="330">
        <v>0</v>
      </c>
      <c r="AJ83" s="4099">
        <v>0</v>
      </c>
      <c r="AK83" s="106"/>
      <c r="AL83" s="297">
        <f t="shared" si="48"/>
        <v>0</v>
      </c>
      <c r="AN83" s="7865"/>
      <c r="AO83" s="106"/>
      <c r="AP83" s="333"/>
      <c r="AR83" s="330"/>
      <c r="AS83" s="6137"/>
      <c r="AT83" s="106"/>
      <c r="AU83" s="297">
        <f t="shared" si="49"/>
        <v>0</v>
      </c>
      <c r="AW83" s="330"/>
      <c r="AX83" s="106"/>
      <c r="AY83" s="157"/>
      <c r="BA83" s="330"/>
      <c r="BB83" s="6137"/>
      <c r="BC83" s="106"/>
      <c r="BD83" s="297">
        <f t="shared" si="50"/>
        <v>0</v>
      </c>
      <c r="BF83" s="330"/>
      <c r="BG83" s="106"/>
      <c r="BH83" s="157"/>
    </row>
    <row r="84" spans="1:60" x14ac:dyDescent="0.35">
      <c r="A84" s="9160"/>
      <c r="B84" s="944"/>
      <c r="C84" s="945"/>
      <c r="D84" s="197"/>
      <c r="F84" s="336"/>
      <c r="G84" s="272"/>
      <c r="H84" s="330"/>
      <c r="I84" s="948"/>
      <c r="J84" s="297">
        <f t="shared" si="44"/>
        <v>0</v>
      </c>
      <c r="L84" s="330"/>
      <c r="M84" s="157">
        <f t="shared" si="45"/>
        <v>0</v>
      </c>
      <c r="O84" s="330"/>
      <c r="P84" s="331"/>
      <c r="Q84" s="106"/>
      <c r="R84" s="297">
        <f t="shared" si="46"/>
        <v>0</v>
      </c>
      <c r="T84" s="330"/>
      <c r="U84" s="106"/>
      <c r="V84" s="333">
        <f t="shared" si="51"/>
        <v>0</v>
      </c>
      <c r="X84" s="26"/>
      <c r="Y84" s="330"/>
      <c r="Z84" s="333">
        <f t="shared" si="52"/>
        <v>0</v>
      </c>
      <c r="AA84" s="106"/>
      <c r="AB84" s="297">
        <f t="shared" si="47"/>
        <v>0</v>
      </c>
      <c r="AD84" s="7865">
        <f t="shared" si="53"/>
        <v>0</v>
      </c>
      <c r="AE84" s="106"/>
      <c r="AF84" s="333">
        <f t="shared" si="53"/>
        <v>0</v>
      </c>
      <c r="AH84" s="26"/>
      <c r="AI84" s="330">
        <v>0</v>
      </c>
      <c r="AJ84" s="4099">
        <v>0</v>
      </c>
      <c r="AK84" s="106"/>
      <c r="AL84" s="297">
        <f t="shared" si="48"/>
        <v>0</v>
      </c>
      <c r="AN84" s="7865"/>
      <c r="AO84" s="106"/>
      <c r="AP84" s="333"/>
      <c r="AR84" s="330"/>
      <c r="AS84" s="6137"/>
      <c r="AT84" s="106"/>
      <c r="AU84" s="297">
        <f t="shared" si="49"/>
        <v>0</v>
      </c>
      <c r="AW84" s="330"/>
      <c r="AX84" s="106"/>
      <c r="AY84" s="157"/>
      <c r="BA84" s="330"/>
      <c r="BB84" s="6137"/>
      <c r="BC84" s="106"/>
      <c r="BD84" s="297">
        <f t="shared" si="50"/>
        <v>0</v>
      </c>
      <c r="BF84" s="330"/>
      <c r="BG84" s="106"/>
      <c r="BH84" s="157"/>
    </row>
    <row r="85" spans="1:60" x14ac:dyDescent="0.35">
      <c r="A85" s="9161"/>
      <c r="B85" s="949"/>
      <c r="C85" s="950" t="s">
        <v>10</v>
      </c>
      <c r="D85" s="209"/>
      <c r="F85" s="343"/>
      <c r="G85" s="274"/>
      <c r="H85" s="341"/>
      <c r="I85" s="951"/>
      <c r="J85" s="307">
        <f t="shared" si="44"/>
        <v>0</v>
      </c>
      <c r="L85" s="341"/>
      <c r="M85" s="213">
        <f t="shared" si="45"/>
        <v>0</v>
      </c>
      <c r="O85" s="341"/>
      <c r="P85" s="952"/>
      <c r="Q85" s="216"/>
      <c r="R85" s="307">
        <f t="shared" si="46"/>
        <v>0</v>
      </c>
      <c r="T85" s="341"/>
      <c r="U85" s="216"/>
      <c r="V85" s="347">
        <f t="shared" si="51"/>
        <v>0</v>
      </c>
      <c r="X85" s="24"/>
      <c r="Y85" s="341"/>
      <c r="Z85" s="347">
        <f t="shared" si="52"/>
        <v>0</v>
      </c>
      <c r="AA85" s="216"/>
      <c r="AB85" s="307">
        <f t="shared" si="47"/>
        <v>0</v>
      </c>
      <c r="AD85" s="7866">
        <f t="shared" si="53"/>
        <v>0</v>
      </c>
      <c r="AE85" s="216"/>
      <c r="AF85" s="347">
        <f t="shared" si="53"/>
        <v>0</v>
      </c>
      <c r="AH85" s="24"/>
      <c r="AI85" s="341">
        <v>0</v>
      </c>
      <c r="AJ85" s="4101">
        <v>0</v>
      </c>
      <c r="AK85" s="216"/>
      <c r="AL85" s="307">
        <f t="shared" si="48"/>
        <v>0</v>
      </c>
      <c r="AN85" s="7866"/>
      <c r="AO85" s="216"/>
      <c r="AP85" s="347"/>
      <c r="AR85" s="341"/>
      <c r="AS85" s="6138"/>
      <c r="AT85" s="216"/>
      <c r="AU85" s="307">
        <f t="shared" si="49"/>
        <v>0</v>
      </c>
      <c r="AW85" s="341"/>
      <c r="AX85" s="216"/>
      <c r="AY85" s="213"/>
      <c r="BA85" s="341"/>
      <c r="BB85" s="6138"/>
      <c r="BC85" s="216"/>
      <c r="BD85" s="307">
        <f t="shared" si="50"/>
        <v>0</v>
      </c>
      <c r="BF85" s="341"/>
      <c r="BG85" s="216"/>
      <c r="BH85" s="213"/>
    </row>
    <row r="86" spans="1:60" x14ac:dyDescent="0.35">
      <c r="A86" s="310"/>
      <c r="B86" s="310"/>
      <c r="F86" s="106"/>
      <c r="H86" s="106"/>
      <c r="I86" s="106"/>
      <c r="J86" s="311"/>
      <c r="L86" s="106"/>
      <c r="M86" s="312"/>
      <c r="O86" s="106"/>
      <c r="P86" s="106"/>
      <c r="Q86" s="106"/>
      <c r="R86" s="311"/>
      <c r="T86" s="106"/>
      <c r="U86" s="106"/>
      <c r="V86" s="312"/>
      <c r="Y86" s="106"/>
      <c r="Z86" s="312"/>
      <c r="AA86" s="106"/>
      <c r="AB86" s="311"/>
      <c r="AD86" s="312"/>
      <c r="AE86" s="106"/>
      <c r="AF86" s="312"/>
      <c r="AI86" s="106"/>
      <c r="AJ86" s="312"/>
      <c r="AK86" s="106"/>
      <c r="AL86" s="311"/>
      <c r="AN86" s="312"/>
      <c r="AO86" s="106"/>
      <c r="AP86" s="312"/>
      <c r="AR86" s="106"/>
      <c r="AS86" s="312"/>
      <c r="AT86" s="106"/>
      <c r="AU86" s="311"/>
      <c r="AW86" s="312"/>
      <c r="AX86" s="106"/>
      <c r="AY86" s="312"/>
      <c r="BA86" s="106"/>
      <c r="BB86" s="312"/>
      <c r="BC86" s="106"/>
      <c r="BD86" s="311"/>
      <c r="BF86" s="312"/>
      <c r="BG86" s="106"/>
      <c r="BH86" s="312"/>
    </row>
    <row r="87" spans="1:60" ht="14.5" customHeight="1" x14ac:dyDescent="0.35">
      <c r="A87" s="9167" t="s">
        <v>566</v>
      </c>
      <c r="B87" s="139" t="s">
        <v>567</v>
      </c>
      <c r="C87" s="348"/>
      <c r="D87" s="49"/>
      <c r="E87" s="141"/>
      <c r="F87" s="227"/>
      <c r="G87" s="141"/>
      <c r="H87" s="102"/>
      <c r="I87" s="103"/>
      <c r="J87" s="228"/>
      <c r="K87" s="141"/>
      <c r="L87" s="102"/>
      <c r="M87" s="268"/>
      <c r="N87" s="141"/>
      <c r="O87" s="102"/>
      <c r="P87" s="103"/>
      <c r="Q87" s="103"/>
      <c r="R87" s="228"/>
      <c r="S87" s="141"/>
      <c r="T87" s="102"/>
      <c r="U87" s="103"/>
      <c r="V87" s="268"/>
      <c r="W87" s="141"/>
      <c r="Y87" s="102"/>
      <c r="Z87" s="268"/>
      <c r="AA87" s="103"/>
      <c r="AB87" s="228"/>
      <c r="AC87" s="141"/>
      <c r="AD87" s="634"/>
      <c r="AE87" s="103"/>
      <c r="AF87" s="268"/>
      <c r="AG87" s="141"/>
      <c r="AI87" s="634"/>
      <c r="AJ87" s="2909"/>
      <c r="AK87" s="103"/>
      <c r="AL87" s="228"/>
      <c r="AM87" s="141"/>
      <c r="AN87" s="634"/>
      <c r="AO87" s="103"/>
      <c r="AP87" s="268"/>
      <c r="AR87" s="634"/>
      <c r="AS87" s="2909"/>
      <c r="AT87" s="103"/>
      <c r="AU87" s="228"/>
      <c r="AV87" s="141"/>
      <c r="AW87" s="634"/>
      <c r="AX87" s="103"/>
      <c r="AY87" s="268"/>
      <c r="BA87" s="634"/>
      <c r="BB87" s="2909"/>
      <c r="BC87" s="103"/>
      <c r="BD87" s="228"/>
      <c r="BE87" s="141"/>
      <c r="BF87" s="634"/>
      <c r="BG87" s="103"/>
      <c r="BH87" s="268"/>
    </row>
    <row r="88" spans="1:60" x14ac:dyDescent="0.35">
      <c r="A88" s="9168"/>
      <c r="B88" s="6082"/>
      <c r="C88"/>
      <c r="D88" s="110" t="s">
        <v>568</v>
      </c>
      <c r="F88" s="349">
        <f>SUM(F37:F39)-SUM(F42:F46)</f>
        <v>0</v>
      </c>
      <c r="G88" s="350"/>
      <c r="H88" s="351">
        <f t="shared" ref="H88" si="54">SUM(H37:H40)-SUM(H42:H46)</f>
        <v>41548932</v>
      </c>
      <c r="I88" s="352">
        <f>SUM(I37:I39)-SUM(I42:I46)</f>
        <v>39856317</v>
      </c>
      <c r="J88" s="246"/>
      <c r="K88" s="350"/>
      <c r="L88" s="351">
        <f t="shared" ref="L88:M88" si="55">SUM(L37:L40)-SUM(L42:L46)</f>
        <v>38370211</v>
      </c>
      <c r="M88" s="353">
        <f t="shared" si="55"/>
        <v>36814986.870432504</v>
      </c>
      <c r="O88" s="351">
        <f t="shared" ref="O88:P88" si="56">SUM(O37:O40)-SUM(O42:O46)</f>
        <v>37506211</v>
      </c>
      <c r="P88" s="352">
        <f t="shared" si="56"/>
        <v>35946014.452526756</v>
      </c>
      <c r="Q88" s="352"/>
      <c r="R88" s="246"/>
      <c r="S88" s="350"/>
      <c r="T88" s="351">
        <f>SUM(T37:T40)-SUM(T42:T46)</f>
        <v>34323509</v>
      </c>
      <c r="U88" s="352"/>
      <c r="V88" s="353">
        <f>SUM(V37:V40)-SUM(V42:V46)</f>
        <v>32986749.248764664</v>
      </c>
      <c r="Y88" s="351">
        <f>SUM(Y37:Y40)-SUM(Y42:Y46)</f>
        <v>34323509</v>
      </c>
      <c r="Z88" s="353">
        <f>SUM(Z37:Z40)-SUM(Z42:Z46)</f>
        <v>33431937.199999999</v>
      </c>
      <c r="AA88" s="352"/>
      <c r="AB88" s="246"/>
      <c r="AC88" s="350"/>
      <c r="AD88" s="351">
        <f>SUM(AD37:AD40)-SUM(AD42:AD46)</f>
        <v>34268620</v>
      </c>
      <c r="AE88" s="106"/>
      <c r="AF88" s="353">
        <f>SUM(AF37:AF40)-SUM(AF42:AF46)</f>
        <v>33472000</v>
      </c>
      <c r="AI88" s="351">
        <f>SUM(AI37:AI40)-SUM(AI42:AI46)</f>
        <v>34268620</v>
      </c>
      <c r="AJ88" s="106">
        <f>SUM(AJ37:AJ40)-SUM(AJ42:AJ46)</f>
        <v>34725000</v>
      </c>
      <c r="AK88" s="352"/>
      <c r="AL88" s="246"/>
      <c r="AM88" s="350"/>
      <c r="AN88" s="351">
        <f>SUM(AN37:AN40)-SUM(AN42:AN46)</f>
        <v>37371504</v>
      </c>
      <c r="AO88" s="352"/>
      <c r="AP88" s="353">
        <f>SUM(AP37:AP40)-SUM(AP42:AP46)</f>
        <v>36538200</v>
      </c>
      <c r="AR88" s="351">
        <f>SUM(AR37:AR40)-SUM(AR42:AR46)</f>
        <v>37446.610999999997</v>
      </c>
      <c r="AS88" s="106">
        <f>SUM(AS37:AS40)-SUM(AS42:AS46)</f>
        <v>36395.007999999994</v>
      </c>
      <c r="AT88" s="352"/>
      <c r="AU88" s="246"/>
      <c r="AV88" s="350"/>
      <c r="AW88" s="351">
        <f>SUM(AW37:AW40)-SUM(AW42:AW46)</f>
        <v>38047.142999999996</v>
      </c>
      <c r="AX88" s="352"/>
      <c r="AY88" s="353">
        <f>SUM(AY37:AY40)-SUM(AY42:AY46)</f>
        <v>37194.970296953332</v>
      </c>
      <c r="BA88" s="351">
        <f>SUM(BA37:BA40)-SUM(BA42:BA46)</f>
        <v>38047.143038999995</v>
      </c>
      <c r="BB88" s="106">
        <f>SUM(BB37:BB40)-SUM(BB42:BB46)</f>
        <v>41486.406892245395</v>
      </c>
      <c r="BC88" s="352"/>
      <c r="BD88" s="246"/>
      <c r="BE88" s="350"/>
      <c r="BF88" s="351">
        <f>SUM(BF37:BF40)-SUM(BF42:BF46)</f>
        <v>41149.762999999999</v>
      </c>
      <c r="BG88" s="352"/>
      <c r="BH88" s="353">
        <f>SUM(BH37:BH40)-SUM(BH42:BH46)</f>
        <v>44869.216150661654</v>
      </c>
    </row>
    <row r="89" spans="1:60" x14ac:dyDescent="0.35">
      <c r="A89" s="9168"/>
      <c r="B89" s="6082"/>
      <c r="C89"/>
      <c r="D89" s="110" t="s">
        <v>569</v>
      </c>
      <c r="F89" s="349">
        <f>SUM(F48:F54)</f>
        <v>0</v>
      </c>
      <c r="G89" s="350"/>
      <c r="H89" s="351">
        <f t="shared" ref="H89" si="57">SUM(H48:H54)</f>
        <v>2698325</v>
      </c>
      <c r="I89" s="352">
        <f>SUM(I48:I54)</f>
        <v>2313834</v>
      </c>
      <c r="J89" s="246"/>
      <c r="K89" s="350"/>
      <c r="L89" s="351">
        <f t="shared" ref="L89:M89" si="58">SUM(L48:L54)</f>
        <v>2596862</v>
      </c>
      <c r="M89" s="353">
        <f t="shared" si="58"/>
        <v>2220356.4951722194</v>
      </c>
      <c r="O89" s="351">
        <f t="shared" ref="O89:P89" si="59">SUM(O48:O54)</f>
        <v>2062168</v>
      </c>
      <c r="P89" s="352">
        <f t="shared" si="59"/>
        <v>1766392.5552970767</v>
      </c>
      <c r="Q89" s="352"/>
      <c r="R89" s="246"/>
      <c r="S89" s="350"/>
      <c r="T89" s="351">
        <f>SUM(T48:T54)</f>
        <v>2466672</v>
      </c>
      <c r="U89" s="352"/>
      <c r="V89" s="353">
        <f>SUM(V48:V54)</f>
        <v>2093738.2554047049</v>
      </c>
      <c r="Y89" s="351">
        <f>SUM(Y48:Y54)</f>
        <v>2466672</v>
      </c>
      <c r="Z89" s="353">
        <f>SUM(Z48:Z54)</f>
        <v>2389654.4544607229</v>
      </c>
      <c r="AA89" s="352"/>
      <c r="AB89" s="246"/>
      <c r="AC89" s="350"/>
      <c r="AD89" s="351">
        <f>SUM(AD48:AD54)</f>
        <v>3417670.3</v>
      </c>
      <c r="AE89" s="106"/>
      <c r="AF89" s="353">
        <f>SUM(AF48:AF54)</f>
        <v>3320089.6601851964</v>
      </c>
      <c r="AI89" s="351">
        <f>SUM(AI48:AI54)</f>
        <v>3417670.3</v>
      </c>
      <c r="AJ89" s="106">
        <f>SUM(AJ48:AJ54)</f>
        <v>3320089.6601851964</v>
      </c>
      <c r="AK89" s="352"/>
      <c r="AL89" s="246"/>
      <c r="AM89" s="350"/>
      <c r="AN89" s="351">
        <f>SUM(AN48:AN54)</f>
        <v>3715100</v>
      </c>
      <c r="AO89" s="352"/>
      <c r="AP89" s="353">
        <f>SUM(AP48:AP54)</f>
        <v>3607020.2501428402</v>
      </c>
      <c r="AR89" s="351">
        <f>SUM(AR48:AR54)</f>
        <v>3715.9</v>
      </c>
      <c r="AS89" s="106">
        <f>SUM(AS48:AS54)</f>
        <v>3503.2914227313695</v>
      </c>
      <c r="AT89" s="352"/>
      <c r="AU89" s="246"/>
      <c r="AV89" s="350"/>
      <c r="AW89" s="351">
        <f>SUM(AW48:AW54)</f>
        <v>4097.0940000000001</v>
      </c>
      <c r="AX89" s="352"/>
      <c r="AY89" s="353">
        <f>SUM(AY48:AY54)</f>
        <v>3853.2904894823328</v>
      </c>
      <c r="BA89" s="351">
        <f>SUM(BA48:BA54)</f>
        <v>4097.0940000000001</v>
      </c>
      <c r="BB89" s="106">
        <f>SUM(BB48:BB54)</f>
        <v>3395.4445112999997</v>
      </c>
      <c r="BC89" s="352"/>
      <c r="BD89" s="246"/>
      <c r="BE89" s="350"/>
      <c r="BF89" s="351">
        <f>SUM(BF48:BF54)</f>
        <v>4139.9189999999999</v>
      </c>
      <c r="BG89" s="352"/>
      <c r="BH89" s="353">
        <f>SUM(BH48:BH54)</f>
        <v>3408.3434276771754</v>
      </c>
    </row>
    <row r="90" spans="1:60" x14ac:dyDescent="0.35">
      <c r="A90" s="9168"/>
      <c r="B90" s="6082"/>
      <c r="C90"/>
      <c r="D90" s="110" t="s">
        <v>570</v>
      </c>
      <c r="F90" s="349">
        <f>SUM(F56:F63)*F30</f>
        <v>0</v>
      </c>
      <c r="G90" s="350"/>
      <c r="H90" s="351">
        <f t="shared" ref="H90" si="60">SUM(H56:H63)*H30</f>
        <v>0</v>
      </c>
      <c r="I90" s="352">
        <f>SUM(I56:I63)*I30</f>
        <v>0</v>
      </c>
      <c r="J90" s="246"/>
      <c r="K90" s="350"/>
      <c r="L90" s="351">
        <f t="shared" ref="L90:M90" si="61">SUM(L56:L63)*L30</f>
        <v>0</v>
      </c>
      <c r="M90" s="353">
        <f t="shared" si="61"/>
        <v>0</v>
      </c>
      <c r="O90" s="351">
        <f t="shared" ref="O90:P90" si="62">SUM(O56:O63)*O30</f>
        <v>0</v>
      </c>
      <c r="P90" s="352">
        <f t="shared" si="62"/>
        <v>0</v>
      </c>
      <c r="Q90" s="352"/>
      <c r="R90" s="246"/>
      <c r="S90" s="350"/>
      <c r="T90" s="351">
        <f>SUM(T56:T63)*T30</f>
        <v>0</v>
      </c>
      <c r="U90" s="352"/>
      <c r="V90" s="353">
        <f>SUM(V56:V63)*V30</f>
        <v>0</v>
      </c>
      <c r="Y90" s="351">
        <f>SUM(Y56:Y63)*Y30</f>
        <v>0</v>
      </c>
      <c r="Z90" s="353">
        <f>SUM(Z56:Z63)*Z30</f>
        <v>0</v>
      </c>
      <c r="AA90" s="352"/>
      <c r="AB90" s="246"/>
      <c r="AC90" s="350"/>
      <c r="AD90" s="351">
        <f>SUM(AD56:AD63)*AD30</f>
        <v>0</v>
      </c>
      <c r="AE90" s="352"/>
      <c r="AF90" s="353">
        <f>SUM(AF56:AF63)*AF30</f>
        <v>0</v>
      </c>
      <c r="AI90" s="351">
        <f>SUM(AI56:AI63)*AI30</f>
        <v>0</v>
      </c>
      <c r="AJ90" s="106">
        <f>SUM(AJ56:AJ63)*AJ30</f>
        <v>0</v>
      </c>
      <c r="AK90" s="352"/>
      <c r="AL90" s="246"/>
      <c r="AM90" s="350"/>
      <c r="AN90" s="351">
        <f>SUM(AN56:AN63)*AN30</f>
        <v>0</v>
      </c>
      <c r="AO90" s="352"/>
      <c r="AP90" s="353">
        <f>SUM(AP56:AP63)*AP30</f>
        <v>0</v>
      </c>
      <c r="AR90" s="351">
        <f>SUM(AR56:AR63)*AR30</f>
        <v>0</v>
      </c>
      <c r="AS90" s="106">
        <f>SUM(AS56:AS63)*AS30</f>
        <v>0</v>
      </c>
      <c r="AT90" s="352"/>
      <c r="AU90" s="246"/>
      <c r="AV90" s="350"/>
      <c r="AW90" s="351">
        <f>SUM(AW56:AW63)*AW30</f>
        <v>0</v>
      </c>
      <c r="AX90" s="352"/>
      <c r="AY90" s="353">
        <f>SUM(AY56:AY63)*AY30</f>
        <v>0</v>
      </c>
      <c r="BA90" s="351">
        <f>SUM(BA56:BA63)*BA30</f>
        <v>0</v>
      </c>
      <c r="BB90" s="106">
        <f>SUM(BB56:BB63)*BB30</f>
        <v>0</v>
      </c>
      <c r="BC90" s="352"/>
      <c r="BD90" s="246"/>
      <c r="BE90" s="350"/>
      <c r="BF90" s="351">
        <f>SUM(BF56:BF63)*BF30</f>
        <v>0</v>
      </c>
      <c r="BG90" s="352"/>
      <c r="BH90" s="353">
        <f>SUM(BH56:BH63)*BH30</f>
        <v>0</v>
      </c>
    </row>
    <row r="91" spans="1:60" x14ac:dyDescent="0.35">
      <c r="A91" s="9168"/>
      <c r="B91" s="6082"/>
      <c r="C91"/>
      <c r="D91" s="110" t="s">
        <v>552</v>
      </c>
      <c r="F91" s="349">
        <f>SUM(F65:F68)</f>
        <v>0</v>
      </c>
      <c r="G91" s="350"/>
      <c r="H91" s="351">
        <f>SUM(H65:H68)</f>
        <v>1457704.6902000001</v>
      </c>
      <c r="I91" s="352">
        <f>SUM(I65:I68)</f>
        <v>2383485.46398</v>
      </c>
      <c r="J91" s="246"/>
      <c r="K91" s="350"/>
      <c r="L91" s="351">
        <f>SUM(L65:L68)</f>
        <v>1590370.8676700001</v>
      </c>
      <c r="M91" s="353">
        <f>SUM(M65:M68)</f>
        <v>2726537.5312860929</v>
      </c>
      <c r="O91" s="352">
        <f t="shared" ref="O91:P91" si="63">SUM(O65:O68)</f>
        <v>1590370.8676700001</v>
      </c>
      <c r="P91" s="352">
        <f t="shared" si="63"/>
        <v>2313640.2881100001</v>
      </c>
      <c r="Q91" s="352"/>
      <c r="R91" s="246"/>
      <c r="S91" s="350"/>
      <c r="T91" s="352">
        <f>SUM(T65:T68)</f>
        <v>10739039.3598</v>
      </c>
      <c r="U91" s="352"/>
      <c r="V91" s="353">
        <f>SUM(V65:V68)</f>
        <v>8723969.2568079326</v>
      </c>
      <c r="Y91" s="352">
        <f t="shared" ref="Y91:Z91" si="64">SUM(Y65:Y68)</f>
        <v>10739039.3598</v>
      </c>
      <c r="Z91" s="353">
        <f t="shared" si="64"/>
        <v>12109156.909910001</v>
      </c>
      <c r="AA91" s="352"/>
      <c r="AB91" s="246"/>
      <c r="AC91" s="350"/>
      <c r="AD91" s="351">
        <f>SUM(AD65:AD68)</f>
        <v>14078888.22975</v>
      </c>
      <c r="AE91" s="352"/>
      <c r="AF91" s="353">
        <f>SUM(AF65:AF68)</f>
        <v>16251609.369680736</v>
      </c>
      <c r="AI91" s="351">
        <f t="shared" ref="AI91:AJ91" si="65">SUM(AI65:AI68)</f>
        <v>14078888.22975</v>
      </c>
      <c r="AJ91" s="352">
        <f t="shared" si="65"/>
        <v>13096247.719789999</v>
      </c>
      <c r="AK91" s="352"/>
      <c r="AL91" s="246"/>
      <c r="AM91" s="350"/>
      <c r="AN91" s="351">
        <f>SUM(AN65:AN68)</f>
        <v>16189126.909109998</v>
      </c>
      <c r="AO91" s="352"/>
      <c r="AP91" s="353">
        <f>SUM(AP65:AP68)</f>
        <v>14933163.649482097</v>
      </c>
      <c r="AR91" s="351">
        <f>SUM(AR65:AR68)</f>
        <v>16189.12690911</v>
      </c>
      <c r="AS91" s="352">
        <f t="shared" ref="AS91" si="66">SUM(AS65:AS68)</f>
        <v>14795.680847479998</v>
      </c>
      <c r="AT91" s="352"/>
      <c r="AU91" s="246"/>
      <c r="AV91" s="350"/>
      <c r="AW91" s="351">
        <f t="shared" ref="AW91" si="67">SUM(AW65:AW68)</f>
        <v>19092.028097509999</v>
      </c>
      <c r="AX91" s="352"/>
      <c r="AY91" s="353">
        <f t="shared" ref="AY91" si="68">SUM(AY65:AY68)</f>
        <v>17137.871741173705</v>
      </c>
      <c r="BA91" s="351">
        <f t="shared" ref="BA91:BB91" si="69">SUM(BA65:BA68)</f>
        <v>19092.028097509999</v>
      </c>
      <c r="BB91" s="352">
        <f t="shared" si="69"/>
        <v>16833.494832559998</v>
      </c>
      <c r="BC91" s="352"/>
      <c r="BD91" s="246"/>
      <c r="BE91" s="350"/>
      <c r="BF91" s="351">
        <f t="shared" ref="BF91" si="70">SUM(BF65:BF68)</f>
        <v>18934.31636492</v>
      </c>
      <c r="BG91" s="352"/>
      <c r="BH91" s="353">
        <f t="shared" ref="BH91" si="71">SUM(BH65:BH68)</f>
        <v>16775.59208170465</v>
      </c>
    </row>
    <row r="92" spans="1:60" x14ac:dyDescent="0.35">
      <c r="A92" s="9168"/>
      <c r="B92" s="6082"/>
      <c r="C92"/>
      <c r="D92" s="356" t="s">
        <v>571</v>
      </c>
      <c r="E92" s="143"/>
      <c r="F92" s="357">
        <f>SUM(F88:F91)</f>
        <v>0</v>
      </c>
      <c r="G92" s="358"/>
      <c r="H92" s="359">
        <f t="shared" ref="H92" si="72">SUM(H88:H91)</f>
        <v>45704961.690200001</v>
      </c>
      <c r="I92" s="360">
        <f>SUM(I88:I91)</f>
        <v>44553636.463979997</v>
      </c>
      <c r="J92" s="361"/>
      <c r="K92" s="358"/>
      <c r="L92" s="359">
        <f t="shared" ref="L92:M92" si="73">SUM(L88:L91)</f>
        <v>42557443.86767</v>
      </c>
      <c r="M92" s="362">
        <f t="shared" si="73"/>
        <v>41761880.896890812</v>
      </c>
      <c r="N92" s="143"/>
      <c r="O92" s="359">
        <f t="shared" ref="O92:P92" si="74">SUM(O88:O91)</f>
        <v>41158749.86767</v>
      </c>
      <c r="P92" s="360">
        <f t="shared" si="74"/>
        <v>40026047.295933835</v>
      </c>
      <c r="Q92" s="360"/>
      <c r="R92" s="361"/>
      <c r="S92" s="358"/>
      <c r="T92" s="359">
        <f>SUM(T88:T91)</f>
        <v>47529220.359799996</v>
      </c>
      <c r="U92" s="360"/>
      <c r="V92" s="362">
        <f>SUM(V88:V91)</f>
        <v>43804456.760977298</v>
      </c>
      <c r="W92" s="143"/>
      <c r="Y92" s="359">
        <f>SUM(Y88:Y91)</f>
        <v>47529220.359799996</v>
      </c>
      <c r="Z92" s="362">
        <f>SUM(Z88:Z91)</f>
        <v>47930748.564370722</v>
      </c>
      <c r="AA92" s="360"/>
      <c r="AB92" s="361"/>
      <c r="AC92" s="358"/>
      <c r="AD92" s="359">
        <f>SUM(AD88:AD91)</f>
        <v>51765178.529749997</v>
      </c>
      <c r="AE92" s="360"/>
      <c r="AF92" s="362">
        <f>SUM(AF88:AF91)</f>
        <v>53043699.029865935</v>
      </c>
      <c r="AG92" s="143"/>
      <c r="AI92" s="359">
        <f>SUM(AI88:AI91)</f>
        <v>51765178.529749997</v>
      </c>
      <c r="AJ92" s="360">
        <f>SUM(AJ88:AJ91)</f>
        <v>51141337.379975192</v>
      </c>
      <c r="AK92" s="360"/>
      <c r="AL92" s="361"/>
      <c r="AM92" s="358"/>
      <c r="AN92" s="359">
        <f>SUM(AN88:AN91)</f>
        <v>57275730.909109995</v>
      </c>
      <c r="AO92" s="360"/>
      <c r="AP92" s="362">
        <f>SUM(AP88:AP91)</f>
        <v>55078383.899624944</v>
      </c>
      <c r="AR92" s="359">
        <f>SUM(AR88:AR91)</f>
        <v>57351.637909109995</v>
      </c>
      <c r="AS92" s="360">
        <f>SUM(AS88:AS91)</f>
        <v>54693.980270211359</v>
      </c>
      <c r="AT92" s="360"/>
      <c r="AU92" s="361"/>
      <c r="AV92" s="358"/>
      <c r="AW92" s="359">
        <f>SUM(AW88:AW91)</f>
        <v>61236.265097509997</v>
      </c>
      <c r="AX92" s="360"/>
      <c r="AY92" s="362">
        <f>SUM(AY88:AY91)</f>
        <v>58186.13252760937</v>
      </c>
      <c r="BA92" s="359">
        <f>SUM(BA88:BA91)</f>
        <v>61236.265136509988</v>
      </c>
      <c r="BB92" s="360">
        <f>SUM(BB88:BB91)</f>
        <v>61715.34623610539</v>
      </c>
      <c r="BC92" s="360"/>
      <c r="BD92" s="361"/>
      <c r="BE92" s="358"/>
      <c r="BF92" s="359">
        <f>SUM(BF88:BF91)</f>
        <v>64223.99836492</v>
      </c>
      <c r="BG92" s="360"/>
      <c r="BH92" s="362">
        <f>SUM(BH88:BH91)</f>
        <v>65053.151660043477</v>
      </c>
    </row>
    <row r="93" spans="1:60" ht="15.5" x14ac:dyDescent="0.35">
      <c r="A93" s="9168"/>
      <c r="B93" s="6082"/>
      <c r="C93"/>
      <c r="D93" s="356" t="s">
        <v>733</v>
      </c>
      <c r="F93" s="366" t="e">
        <f>F92/(F18+F19+F20)</f>
        <v>#DIV/0!</v>
      </c>
      <c r="G93" s="367"/>
      <c r="H93" s="368">
        <f t="shared" ref="H93" si="75">H92/(H18+H19+H20)</f>
        <v>0.22530696647012979</v>
      </c>
      <c r="I93" s="369">
        <f>I92/(I18+I19+I20)</f>
        <v>0.26864624477059901</v>
      </c>
      <c r="J93" s="370"/>
      <c r="K93" s="367"/>
      <c r="L93" s="368">
        <f t="shared" ref="L93:M93" si="76">L92/(L18+L19+L20)</f>
        <v>0.1985948396536418</v>
      </c>
      <c r="M93" s="370">
        <f t="shared" si="76"/>
        <v>0.23905673410684206</v>
      </c>
      <c r="O93" s="368">
        <f t="shared" ref="O93:P93" si="77">O92/(O18+O19+O20)</f>
        <v>0.18520539194300575</v>
      </c>
      <c r="P93" s="369">
        <f t="shared" si="77"/>
        <v>0.18870953539741747</v>
      </c>
      <c r="Q93" s="369"/>
      <c r="R93" s="370"/>
      <c r="S93" s="367"/>
      <c r="T93" s="368">
        <f>T92/(T18+T19+T20)</f>
        <v>0.20964673244703608</v>
      </c>
      <c r="U93" s="369"/>
      <c r="V93" s="370">
        <f>V92/(V18+V19+V20)</f>
        <v>0.20453602017592651</v>
      </c>
      <c r="Y93" s="368">
        <f>Y92/(Y18+Y19+Y20)</f>
        <v>0.20964673244703608</v>
      </c>
      <c r="Z93" s="370">
        <f>Z92/(Z18+Z19+Z20)</f>
        <v>0.22380290226867472</v>
      </c>
      <c r="AA93" s="369"/>
      <c r="AB93" s="370"/>
      <c r="AC93" s="367"/>
      <c r="AD93" s="368">
        <f>AD92/(AD18+AD19+AD20)</f>
        <v>0.21178175295589274</v>
      </c>
      <c r="AE93" s="369"/>
      <c r="AF93" s="370">
        <f>AF92/(AF18+AF19+AF20)</f>
        <v>0.22732851492431883</v>
      </c>
      <c r="AI93" s="368">
        <f>AI92/(AI18+AI19+AI20)</f>
        <v>0.21178175295589274</v>
      </c>
      <c r="AJ93" s="369">
        <f>AJ92/(AJ18+AJ19+AJ20)</f>
        <v>0.21917559465993183</v>
      </c>
      <c r="AK93" s="369"/>
      <c r="AL93" s="370"/>
      <c r="AM93" s="367"/>
      <c r="AN93" s="368">
        <f>AN92/(AN18+AN19+AN20)</f>
        <v>0.20239203272546413</v>
      </c>
      <c r="AO93" s="369"/>
      <c r="AP93" s="370">
        <f>AP92/(AP18+AP19+AP20)</f>
        <v>0.20296116761231711</v>
      </c>
      <c r="AR93" s="368">
        <f>AR92/(AR18+AR19+AR20)</f>
        <v>0.21907999690244628</v>
      </c>
      <c r="AS93" s="369">
        <f>AS92/(AS18+AS19+AS20)</f>
        <v>0.21931928021118305</v>
      </c>
      <c r="AT93" s="369"/>
      <c r="AU93" s="370"/>
      <c r="AV93" s="367"/>
      <c r="AW93" s="368">
        <f>AW92/(AW18+AW19+AW20)</f>
        <v>0.20466666142215909</v>
      </c>
      <c r="AX93" s="369"/>
      <c r="AY93" s="370">
        <f>AY92/(AY18+AY19+AY20)</f>
        <v>0.19447236807356072</v>
      </c>
      <c r="BA93" s="368">
        <f>BA92/(BA18+BA19+BA20)</f>
        <v>0.20466666155250665</v>
      </c>
      <c r="BB93" s="369">
        <f>BB92/(BB18+BB19+BB20)</f>
        <v>0.21952902861112689</v>
      </c>
      <c r="BC93" s="369"/>
      <c r="BD93" s="370"/>
      <c r="BE93" s="367"/>
      <c r="BF93" s="368">
        <f>BF92/(BF18+BF19+BF20)</f>
        <v>0.18297279044600759</v>
      </c>
      <c r="BG93" s="369"/>
      <c r="BH93" s="370">
        <f>BH92/(BH18+BH19+BH20)</f>
        <v>0.20157987478187028</v>
      </c>
    </row>
    <row r="94" spans="1:60" x14ac:dyDescent="0.35">
      <c r="A94" s="9168"/>
      <c r="B94" s="371"/>
      <c r="C94" s="372"/>
      <c r="D94" s="296" t="s">
        <v>573</v>
      </c>
      <c r="E94" s="374"/>
      <c r="F94" s="679"/>
      <c r="G94" s="385"/>
      <c r="H94" s="386">
        <f t="shared" ref="H94:I94" si="78">H37-H42-H44+H48+H50+H52+H65+H66</f>
        <v>45550543.913199998</v>
      </c>
      <c r="I94" s="382">
        <f t="shared" si="78"/>
        <v>44172082.132979997</v>
      </c>
      <c r="J94" s="384"/>
      <c r="K94" s="385"/>
      <c r="L94" s="386">
        <f>L37-L42-L44+L48+L50+L52+L65+L66</f>
        <v>42254053.445670001</v>
      </c>
      <c r="M94" s="384"/>
      <c r="N94" s="235"/>
      <c r="O94" s="386">
        <f>O37-O42-O44+O48+O50+O52+O65+O66</f>
        <v>38081861.445670001</v>
      </c>
      <c r="P94" s="382">
        <f>P37-P42-P44+P48+P50+P52+P65+P66</f>
        <v>36982411.974207714</v>
      </c>
      <c r="Q94" s="383"/>
      <c r="R94" s="384"/>
      <c r="S94" s="385"/>
      <c r="T94" s="386">
        <f>T37-T42-T44+T48+T50+T52+T65+T66</f>
        <v>43721562.542799994</v>
      </c>
      <c r="U94" s="383"/>
      <c r="V94" s="387">
        <f>V37-V42-V44+V48+V50+V52+V65+V66</f>
        <v>39974610.515869856</v>
      </c>
      <c r="Y94" s="386">
        <f t="shared" ref="Y94:Z94" si="79">Y37-Y42-Y44+Y48+Y50+Y52+Y65+Y66</f>
        <v>43721562.542799994</v>
      </c>
      <c r="Z94" s="387">
        <f t="shared" si="79"/>
        <v>44272212.360178895</v>
      </c>
      <c r="AA94" s="383"/>
      <c r="AB94" s="384"/>
      <c r="AC94" s="385"/>
      <c r="AD94" s="4902">
        <f>AD37-AD42-AD44+AD48+AD50+AD52+AD65+AD66</f>
        <v>46441445.557690002</v>
      </c>
      <c r="AE94" s="383"/>
      <c r="AF94" s="387">
        <f>AF37-AF42-AF44+AF48+AF50+AF52+AF65+AF66</f>
        <v>49692763.132516578</v>
      </c>
      <c r="AI94" s="4902">
        <f>AI37-AI42-AI44+AI48+AI50+AI52+AI65+AI66</f>
        <v>46441445.557690002</v>
      </c>
      <c r="AJ94" s="4903">
        <f>AJ37-AJ42-AJ44+AJ48+AJ50+AJ52+AJ65+AJ66</f>
        <v>49240170.652427159</v>
      </c>
      <c r="AK94" s="383"/>
      <c r="AL94" s="384"/>
      <c r="AM94" s="385"/>
      <c r="AN94" s="4902">
        <f>AN37-AN42-AN44+AN48+AN50+AN52+AN65+AN66</f>
        <v>50524619.530330002</v>
      </c>
      <c r="AO94" s="383"/>
      <c r="AP94" s="387">
        <f>AP37-AP42-AP44+AP48+AP50+AP52+AP65+AP66</f>
        <v>52826820.925871052</v>
      </c>
      <c r="AR94" s="381">
        <f t="shared" ref="AR94:AS94" si="80">AR37-AR42-AR44+AR48+AR50+AR52+AR65+AR66</f>
        <v>50592.289530329996</v>
      </c>
      <c r="AS94" s="382">
        <f t="shared" si="80"/>
        <v>49284.179357966277</v>
      </c>
      <c r="AT94" s="383"/>
      <c r="AU94" s="384"/>
      <c r="AV94" s="385"/>
      <c r="AW94" s="386">
        <f>AW37-AW42-AW44+AW48+AW50+AW52+AW65+AW66</f>
        <v>52916.516845819999</v>
      </c>
      <c r="AX94" s="383"/>
      <c r="AY94" s="388">
        <f>AY37-AY42-AY44+AY48+AY50+AY52+AY65+AY66</f>
        <v>51872.167523496348</v>
      </c>
      <c r="BA94" s="381">
        <f t="shared" ref="BA94:BB94" si="81">BA37-BA42-BA44+BA48+BA50+BA52+BA65+BA66</f>
        <v>52916.51685082</v>
      </c>
      <c r="BB94" s="382">
        <f t="shared" si="81"/>
        <v>54479.21760291457</v>
      </c>
      <c r="BC94" s="383"/>
      <c r="BD94" s="384"/>
      <c r="BE94" s="385"/>
      <c r="BF94" s="386">
        <f>BF37-BF42-BF44+BF48+BF50+BF52+BF65+BF66</f>
        <v>56418.748791720005</v>
      </c>
      <c r="BG94" s="383"/>
      <c r="BH94" s="388">
        <f>BH37-BH42-BH44+BH48+BH50+BH52+BH65+BH66</f>
        <v>58210.840778714635</v>
      </c>
    </row>
    <row r="95" spans="1:60" x14ac:dyDescent="0.35">
      <c r="A95" s="9168"/>
      <c r="B95" s="371"/>
      <c r="C95" s="372"/>
      <c r="D95" s="296" t="s">
        <v>575</v>
      </c>
      <c r="E95" s="374"/>
      <c r="F95" s="1054"/>
      <c r="G95" s="1055"/>
      <c r="H95" s="1203">
        <f t="shared" ref="H95:I95" si="82">(H92-H94)/(H19+H20)</f>
        <v>2.3234868905123054E-3</v>
      </c>
      <c r="I95" s="953">
        <f t="shared" si="82"/>
        <v>6.2808331165945157E-3</v>
      </c>
      <c r="J95" s="1057"/>
      <c r="K95" s="1055"/>
      <c r="L95" s="1203">
        <f t="shared" ref="L95" si="83">(L92-L94)/(L19+L20)</f>
        <v>4.5471641691095842E-3</v>
      </c>
      <c r="M95" s="1057"/>
      <c r="O95" s="1203">
        <f t="shared" ref="O95:P95" si="84">(O92-O94)/(O19+O20)</f>
        <v>4.9851564653845507E-2</v>
      </c>
      <c r="P95" s="953">
        <f t="shared" si="84"/>
        <v>4.9392024305055356E-2</v>
      </c>
      <c r="Q95" s="1820"/>
      <c r="R95" s="1057"/>
      <c r="S95" s="1055"/>
      <c r="T95" s="1203">
        <f>(T92-T94)/(T19+T20)</f>
        <v>6.4885193616549972E-2</v>
      </c>
      <c r="U95" s="1820"/>
      <c r="V95" s="1821">
        <f>(V92-V94)/(V19+V20)</f>
        <v>6.7191463799495463E-2</v>
      </c>
      <c r="Y95" s="1203">
        <f>(Y92-Y94)/(Y19+Y20)</f>
        <v>6.4885193616549972E-2</v>
      </c>
      <c r="Z95" s="1821">
        <f>(Z92-Z94)/(Z19+Z20)</f>
        <v>6.418597175725585E-2</v>
      </c>
      <c r="AA95" s="1820"/>
      <c r="AB95" s="1057"/>
      <c r="AC95" s="1055"/>
      <c r="AD95" s="3297">
        <f>(AD92-AD94)/(AD19+AD20)</f>
        <v>7.2599658694395136E-2</v>
      </c>
      <c r="AE95" s="1820"/>
      <c r="AF95" s="1821">
        <f>(AF92-AF94)/(AF19+AF20)</f>
        <v>4.8950929769182056E-2</v>
      </c>
      <c r="AI95" s="3297">
        <f>(AI92-AI94)/(AI19+AI20)</f>
        <v>7.2599658694395136E-2</v>
      </c>
      <c r="AJ95" s="4904">
        <f>(AJ92-AJ94)/(AJ19+AJ20)</f>
        <v>2.777250350665449E-2</v>
      </c>
      <c r="AK95" s="1820"/>
      <c r="AL95" s="1057"/>
      <c r="AM95" s="1055"/>
      <c r="AN95" s="3297">
        <f>(AN92-AN94)/(AN19+AN20)</f>
        <v>7.8148717168819659E-2</v>
      </c>
      <c r="AO95" s="1820"/>
      <c r="AP95" s="1821">
        <f>(AP92-AP94)/(AP19+AP20)</f>
        <v>2.8706832248592964E-2</v>
      </c>
      <c r="AR95" s="6139">
        <f>(AR92-AR94)/(AR19+AR20)</f>
        <v>7.8244066059869416E-2</v>
      </c>
      <c r="AS95" s="6140">
        <f>(AS92-AS94)/(AS19+AS20)</f>
        <v>6.8650222394870328E-2</v>
      </c>
      <c r="AT95" s="1820"/>
      <c r="AU95" s="1057"/>
      <c r="AV95" s="1055"/>
      <c r="AW95" s="6141">
        <f>(AW92-AW94)/(AW19+AW20)</f>
        <v>9.6586271467761012E-2</v>
      </c>
      <c r="AX95" s="1820"/>
      <c r="AY95" s="6142">
        <f>(AY92-AY94)/(AY19+AY20)</f>
        <v>7.3300575867944723E-2</v>
      </c>
      <c r="BA95" s="6139">
        <f>(BA92-BA94)/(BA19+BA20)</f>
        <v>9.6586271862476356E-2</v>
      </c>
      <c r="BB95" s="6140">
        <f>(BB92-BB94)/(BB19+BB20)</f>
        <v>9.6491222711022048E-2</v>
      </c>
      <c r="BC95" s="1820"/>
      <c r="BD95" s="1057"/>
      <c r="BE95" s="1055"/>
      <c r="BF95" s="6141">
        <f>(BF92-BF94)/(BF19+BF20)</f>
        <v>8.7368610689859696E-2</v>
      </c>
      <c r="BG95" s="1820"/>
      <c r="BH95" s="6142">
        <f>(BH92-BH94)/(BH19+BH20)</f>
        <v>8.0237748132098524E-2</v>
      </c>
    </row>
    <row r="96" spans="1:60" x14ac:dyDescent="0.35">
      <c r="A96" s="9168"/>
      <c r="B96" s="371"/>
      <c r="C96" s="372"/>
      <c r="D96" s="296" t="s">
        <v>576</v>
      </c>
      <c r="E96" s="374"/>
      <c r="F96" s="1054"/>
      <c r="G96" s="1055"/>
      <c r="H96" s="1203">
        <f t="shared" ref="H96:I96" si="85">H94/H18</f>
        <v>0.33395584192535976</v>
      </c>
      <c r="I96" s="953">
        <f t="shared" si="85"/>
        <v>0.42030222018897007</v>
      </c>
      <c r="J96" s="1057"/>
      <c r="K96" s="1055"/>
      <c r="L96" s="1203">
        <f t="shared" ref="L96" si="86">L94/L18</f>
        <v>0.28632839177725838</v>
      </c>
      <c r="M96" s="1057"/>
      <c r="O96" s="1203">
        <f t="shared" ref="O96:P96" si="87">O94/O18</f>
        <v>0.23725242627136914</v>
      </c>
      <c r="P96" s="953">
        <f t="shared" si="87"/>
        <v>0.24575970530832733</v>
      </c>
      <c r="Q96" s="1820"/>
      <c r="R96" s="1057"/>
      <c r="S96" s="1055"/>
      <c r="T96" s="1203">
        <f>T94/T18</f>
        <v>0.26020402874997023</v>
      </c>
      <c r="U96" s="1820"/>
      <c r="V96" s="1821">
        <f>V94/V18</f>
        <v>0.25434642680904174</v>
      </c>
      <c r="Y96" s="1203">
        <f>Y94/Y18</f>
        <v>0.26020402874997023</v>
      </c>
      <c r="Z96" s="1821">
        <f>Z94/Z18</f>
        <v>0.28169077510516838</v>
      </c>
      <c r="AA96" s="1820"/>
      <c r="AB96" s="1057"/>
      <c r="AC96" s="1055"/>
      <c r="AD96" s="3297">
        <f>AD94/AD18</f>
        <v>0.27143342991221353</v>
      </c>
      <c r="AE96" s="1820"/>
      <c r="AF96" s="1821">
        <f>AF94/AF18</f>
        <v>0.30138745228357944</v>
      </c>
      <c r="AI96" s="3297">
        <f>AI94/AI18</f>
        <v>0.27143342991221353</v>
      </c>
      <c r="AJ96" s="4904">
        <f>AJ94/AJ18</f>
        <v>0.2986424712058901</v>
      </c>
      <c r="AK96" s="1820"/>
      <c r="AL96" s="1057"/>
      <c r="AM96" s="1055"/>
      <c r="AN96" s="3297">
        <f>AN94/AN18</f>
        <v>0.25698411813642513</v>
      </c>
      <c r="AO96" s="1820"/>
      <c r="AP96" s="1821">
        <f>AP94/AP18</f>
        <v>0.27379779790646391</v>
      </c>
      <c r="AR96" s="6139">
        <f>AR94/AR18</f>
        <v>0.28844608503232683</v>
      </c>
      <c r="AS96" s="6140">
        <f>AS94/AS18</f>
        <v>0.28892417033218643</v>
      </c>
      <c r="AT96" s="1820"/>
      <c r="AU96" s="1057"/>
      <c r="AV96" s="1055"/>
      <c r="AW96" s="6141">
        <f>AW94/AW18</f>
        <v>0.24836205820756399</v>
      </c>
      <c r="AX96" s="1820"/>
      <c r="AY96" s="6142">
        <f>AY94/AY18</f>
        <v>0.24346043650907412</v>
      </c>
      <c r="BA96" s="6139">
        <f>BA94/BA18</f>
        <v>0.24836205823103136</v>
      </c>
      <c r="BB96" s="6140">
        <f>BB94/BB18</f>
        <v>0.26429091980243946</v>
      </c>
      <c r="BC96" s="1820"/>
      <c r="BD96" s="1057"/>
      <c r="BE96" s="1055"/>
      <c r="BF96" s="6141">
        <f>BF94/BF18</f>
        <v>0.21561360204122815</v>
      </c>
      <c r="BG96" s="1820"/>
      <c r="BH96" s="6142">
        <f>BH94/BH18</f>
        <v>0.2451591383642634</v>
      </c>
    </row>
    <row r="97" spans="1:60" x14ac:dyDescent="0.35">
      <c r="A97" s="9168"/>
      <c r="B97" s="371"/>
      <c r="C97" s="372"/>
      <c r="D97" s="296"/>
      <c r="E97" s="374"/>
      <c r="F97" s="1054"/>
      <c r="G97" s="1055"/>
      <c r="H97" s="1203"/>
      <c r="I97" s="953"/>
      <c r="J97" s="1057"/>
      <c r="K97" s="1055"/>
      <c r="L97" s="1203"/>
      <c r="M97" s="1057"/>
      <c r="O97" s="1203"/>
      <c r="P97" s="953"/>
      <c r="Q97" s="1820"/>
      <c r="R97" s="1057"/>
      <c r="S97" s="1055"/>
      <c r="T97" s="1203"/>
      <c r="U97" s="1820"/>
      <c r="V97" s="1821"/>
      <c r="Y97" s="1203"/>
      <c r="Z97" s="1821"/>
      <c r="AA97" s="1820"/>
      <c r="AB97" s="1057"/>
      <c r="AC97" s="1055"/>
      <c r="AD97" s="3297"/>
      <c r="AE97" s="1820"/>
      <c r="AF97" s="1821"/>
      <c r="AI97" s="3297"/>
      <c r="AJ97" s="4904"/>
      <c r="AK97" s="1820"/>
      <c r="AL97" s="1057"/>
      <c r="AM97" s="1055"/>
      <c r="AN97" s="3297"/>
      <c r="AO97" s="1820"/>
      <c r="AP97" s="1821"/>
      <c r="AR97" s="6139"/>
      <c r="AS97" s="6140"/>
      <c r="AT97" s="1820"/>
      <c r="AU97" s="1057"/>
      <c r="AV97" s="1055"/>
      <c r="AW97" s="6141"/>
      <c r="AX97" s="1820"/>
      <c r="AY97" s="6142"/>
      <c r="BA97" s="6139"/>
      <c r="BB97" s="6140"/>
      <c r="BC97" s="1820"/>
      <c r="BD97" s="1057"/>
      <c r="BE97" s="1055"/>
      <c r="BF97" s="6141"/>
      <c r="BG97" s="1820"/>
      <c r="BH97" s="6142"/>
    </row>
    <row r="98" spans="1:60" x14ac:dyDescent="0.35">
      <c r="A98" s="9168"/>
      <c r="B98" s="371"/>
      <c r="C98" s="372"/>
      <c r="D98" s="296" t="s">
        <v>577</v>
      </c>
      <c r="E98" s="374"/>
      <c r="F98" s="1054"/>
      <c r="G98" s="1055"/>
      <c r="H98" s="1203"/>
      <c r="I98" s="953">
        <f t="shared" ref="I98" si="88">I92/I12</f>
        <v>0.15549542089918225</v>
      </c>
      <c r="J98" s="1057"/>
      <c r="K98" s="1055"/>
      <c r="L98" s="1203">
        <f t="shared" ref="L98" si="89">L92/L12</f>
        <v>0.13487990931719282</v>
      </c>
      <c r="M98" s="1057"/>
      <c r="O98" s="1203">
        <f t="shared" ref="O98:P98" si="90">O92/O12</f>
        <v>0.13044694289023551</v>
      </c>
      <c r="P98" s="953">
        <f t="shared" si="90"/>
        <v>0.13443514298263165</v>
      </c>
      <c r="Q98" s="1820"/>
      <c r="R98" s="1057"/>
      <c r="S98" s="1055"/>
      <c r="T98" s="1203">
        <f>T92/T12</f>
        <v>0.14742634101795013</v>
      </c>
      <c r="U98" s="1820"/>
      <c r="V98" s="1821">
        <f>V92/V12</f>
        <v>0.13991323949552451</v>
      </c>
      <c r="Y98" s="1203">
        <f>Y92/Y12</f>
        <v>0.14742634101795013</v>
      </c>
      <c r="Z98" s="1821">
        <f>Z92/Z12</f>
        <v>0.15309278550534752</v>
      </c>
      <c r="AA98" s="1820"/>
      <c r="AB98" s="1057"/>
      <c r="AC98" s="1055"/>
      <c r="AD98" s="3297">
        <f>AD92/AD12</f>
        <v>0.1501741466655159</v>
      </c>
      <c r="AE98" s="1820"/>
      <c r="AF98" s="1821">
        <f>AF92/AF12</f>
        <v>0.15952224563589704</v>
      </c>
      <c r="AI98" s="3297">
        <f>AI92/AI12</f>
        <v>0.1501741466655159</v>
      </c>
      <c r="AJ98" s="4904">
        <f>AJ92/AJ12</f>
        <v>0.1538011325168569</v>
      </c>
      <c r="AK98" s="1820"/>
      <c r="AL98" s="1057"/>
      <c r="AM98" s="1055"/>
      <c r="AN98" s="3297">
        <f>AN92/AN12</f>
        <v>0.15815864789987877</v>
      </c>
      <c r="AO98" s="1820"/>
      <c r="AP98" s="1821">
        <f>AP92/AP12</f>
        <v>0.15819030467067116</v>
      </c>
      <c r="AR98" s="6139">
        <f>AR92/AR12</f>
        <v>0.15836869141522614</v>
      </c>
      <c r="AS98" s="6140">
        <f>AS92/AS12</f>
        <v>0.1568996056171518</v>
      </c>
      <c r="AT98" s="1820"/>
      <c r="AU98" s="1057"/>
      <c r="AV98" s="1055"/>
      <c r="AW98" s="6141">
        <f>AW92/AW12</f>
        <v>0.16456716544392039</v>
      </c>
      <c r="AX98" s="1820"/>
      <c r="AY98" s="6142">
        <f>AY92/AY12</f>
        <v>0.16477375003089356</v>
      </c>
      <c r="BA98" s="6139">
        <f>BA92/BA12</f>
        <v>0.16456716554872949</v>
      </c>
      <c r="BB98" s="6140">
        <f>BB92/BB12</f>
        <v>0.17476791448465567</v>
      </c>
      <c r="BC98" s="1820"/>
      <c r="BD98" s="1057"/>
      <c r="BE98" s="1055"/>
      <c r="BF98" s="6141">
        <f>BF92/BF12</f>
        <v>0.19253529503528494</v>
      </c>
      <c r="BG98" s="1820"/>
      <c r="BH98" s="6142">
        <f>BH92/BH12</f>
        <v>0.20334724819654418</v>
      </c>
    </row>
    <row r="99" spans="1:60" x14ac:dyDescent="0.35">
      <c r="A99" s="9168"/>
      <c r="B99" s="58"/>
      <c r="C99" s="390"/>
      <c r="D99" s="59" t="s">
        <v>578</v>
      </c>
      <c r="E99" s="424"/>
      <c r="F99" s="981"/>
      <c r="G99" s="982"/>
      <c r="H99" s="986">
        <f>H92-SUM(H71:H74)</f>
        <v>45294961.690200001</v>
      </c>
      <c r="I99" s="979">
        <f t="shared" ref="I99" si="91">I92-SUM(I71:I74)</f>
        <v>44553636.463979997</v>
      </c>
      <c r="J99" s="246"/>
      <c r="K99" s="982"/>
      <c r="L99" s="986">
        <f t="shared" ref="L99" si="92">L92-SUM(L71:L74)</f>
        <v>42257443.86767</v>
      </c>
      <c r="M99" s="1233"/>
      <c r="O99" s="986">
        <f t="shared" ref="O99:P99" si="93">O92-SUM(O71:O74)</f>
        <v>40458749.86767</v>
      </c>
      <c r="P99" s="979">
        <f t="shared" si="93"/>
        <v>39326047.295933835</v>
      </c>
      <c r="Q99" s="985"/>
      <c r="R99" s="246"/>
      <c r="S99" s="982"/>
      <c r="T99" s="986">
        <f>T92-SUM(T71:T74)</f>
        <v>47240220.359799996</v>
      </c>
      <c r="U99" s="985"/>
      <c r="V99" s="1823">
        <f>V92-SUM(V71:V74)</f>
        <v>43515456.760977298</v>
      </c>
      <c r="Y99" s="986">
        <f>Y92-SUM(Y71:Y74)</f>
        <v>47240220.359799996</v>
      </c>
      <c r="Z99" s="1823">
        <f>Z92-SUM(Z71:Z74)</f>
        <v>47641748.564370722</v>
      </c>
      <c r="AA99" s="985"/>
      <c r="AB99" s="246"/>
      <c r="AC99" s="982"/>
      <c r="AD99" s="4905">
        <f>AD92-SUM(AD71:AD74)</f>
        <v>51253798.529749997</v>
      </c>
      <c r="AE99" s="985"/>
      <c r="AF99" s="1823">
        <f>AF92-SUM(AF71:AF74)</f>
        <v>52532319.029865935</v>
      </c>
      <c r="AI99" s="4905">
        <f>AI92-SUM(AI71:AI74)</f>
        <v>51253798.529749997</v>
      </c>
      <c r="AJ99" s="7867">
        <f>AJ92-SUM(AJ71:AJ74)</f>
        <v>50629957.379975192</v>
      </c>
      <c r="AK99" s="985"/>
      <c r="AL99" s="246"/>
      <c r="AM99" s="982"/>
      <c r="AN99" s="4905">
        <f>AN92-SUM(AN71:AN74)</f>
        <v>56383730.909109995</v>
      </c>
      <c r="AO99" s="985"/>
      <c r="AP99" s="1823">
        <f>AP92-SUM(AP71:AP74)</f>
        <v>54186383.899624944</v>
      </c>
      <c r="AR99" s="983">
        <f>AR92-SUM(AR71:AR74)</f>
        <v>56459.637909109995</v>
      </c>
      <c r="AS99" s="979">
        <f>AS92-SUM(AS71:AS74)</f>
        <v>53801.980270211359</v>
      </c>
      <c r="AT99" s="985"/>
      <c r="AU99" s="246"/>
      <c r="AV99" s="982"/>
      <c r="AW99" s="986">
        <f>AW92-SUM(AW71:AW74)</f>
        <v>60443.621097509997</v>
      </c>
      <c r="AX99" s="985"/>
      <c r="AY99" s="6143">
        <f>AY92-SUM(AY71:AY74)</f>
        <v>57393.48852760937</v>
      </c>
      <c r="BA99" s="983">
        <f>BA92-SUM(BA71:BA74)</f>
        <v>60443.621136509988</v>
      </c>
      <c r="BB99" s="979">
        <f>BB92-SUM(BB71:BB74)</f>
        <v>60922.70223610539</v>
      </c>
      <c r="BC99" s="985"/>
      <c r="BD99" s="246"/>
      <c r="BE99" s="982"/>
      <c r="BF99" s="986">
        <f>BF92-SUM(BF71:BF74)</f>
        <v>63420.098364919999</v>
      </c>
      <c r="BG99" s="985"/>
      <c r="BH99" s="6143">
        <f>BH92-SUM(BH71:BH74)</f>
        <v>64249.251660043476</v>
      </c>
    </row>
    <row r="100" spans="1:60" x14ac:dyDescent="0.35">
      <c r="A100" s="9168"/>
      <c r="B100" s="371"/>
      <c r="C100" s="372"/>
      <c r="D100" s="296" t="s">
        <v>579</v>
      </c>
      <c r="E100" s="374"/>
      <c r="F100" s="1054"/>
      <c r="G100" s="1055"/>
      <c r="H100" s="1203"/>
      <c r="I100" s="953">
        <f t="shared" ref="I100" si="94">I99/I12</f>
        <v>0.15549542089918225</v>
      </c>
      <c r="J100" s="1057"/>
      <c r="K100" s="1055"/>
      <c r="L100" s="1203">
        <f t="shared" ref="L100" si="95">L99/L12</f>
        <v>0.13392910097163105</v>
      </c>
      <c r="M100" s="1057"/>
      <c r="O100" s="1203">
        <f t="shared" ref="O100:P100" si="96">O99/O12</f>
        <v>0.12822839008392467</v>
      </c>
      <c r="P100" s="953">
        <f t="shared" si="96"/>
        <v>0.13208405896496495</v>
      </c>
      <c r="Q100" s="1820"/>
      <c r="R100" s="1057"/>
      <c r="S100" s="1055"/>
      <c r="T100" s="1203">
        <f>T99/T12</f>
        <v>0.14652991956959363</v>
      </c>
      <c r="U100" s="1820"/>
      <c r="V100" s="1821">
        <f>V99/V12</f>
        <v>0.13899016158966568</v>
      </c>
      <c r="Y100" s="1203">
        <f>Y99/Y12</f>
        <v>0.14652991956959363</v>
      </c>
      <c r="Z100" s="1821">
        <f>Z99/Z12</f>
        <v>0.1521697075994887</v>
      </c>
      <c r="AA100" s="1820"/>
      <c r="AB100" s="1057"/>
      <c r="AC100" s="1055"/>
      <c r="AD100" s="3297">
        <f>AD99/AD12</f>
        <v>0.14869060005555537</v>
      </c>
      <c r="AE100" s="1820"/>
      <c r="AF100" s="1821">
        <f>AF99/AF12</f>
        <v>0.15798433467822881</v>
      </c>
      <c r="AI100" s="3297">
        <f>AI99/AI12</f>
        <v>0.14869060005555537</v>
      </c>
      <c r="AJ100" s="4904">
        <f>AJ99/AJ12</f>
        <v>0.1522632215591887</v>
      </c>
      <c r="AK100" s="1820"/>
      <c r="AL100" s="1057"/>
      <c r="AM100" s="1055"/>
      <c r="AN100" s="3297">
        <f>AN99/AN12</f>
        <v>0.1556955188976393</v>
      </c>
      <c r="AO100" s="1820"/>
      <c r="AP100" s="1821">
        <f>AP99/AP12</f>
        <v>0.15562839668107964</v>
      </c>
      <c r="AR100" s="6139">
        <f>AR99/AR12</f>
        <v>0.15590555561139338</v>
      </c>
      <c r="AS100" s="6140">
        <f>AS99/AS12</f>
        <v>0.15434074178023471</v>
      </c>
      <c r="AT100" s="1820"/>
      <c r="AU100" s="1057"/>
      <c r="AV100" s="1055"/>
      <c r="AW100" s="6141">
        <f>AW99/AW12</f>
        <v>0.16243700325851573</v>
      </c>
      <c r="AX100" s="1820"/>
      <c r="AY100" s="6142">
        <f>AY99/AY12</f>
        <v>0.16252910996553924</v>
      </c>
      <c r="BA100" s="6139">
        <f>BA99/BA12</f>
        <v>0.16243700336332484</v>
      </c>
      <c r="BB100" s="6140">
        <f>BB99/BB12</f>
        <v>0.17252327441930138</v>
      </c>
      <c r="BC100" s="1820"/>
      <c r="BD100" s="1057"/>
      <c r="BE100" s="1055"/>
      <c r="BF100" s="6141">
        <f>BF99/BF12</f>
        <v>0.19012530612740955</v>
      </c>
      <c r="BG100" s="1820"/>
      <c r="BH100" s="6142">
        <f>BH99/BH12</f>
        <v>0.20083436682717604</v>
      </c>
    </row>
    <row r="101" spans="1:60" x14ac:dyDescent="0.35">
      <c r="A101" s="9168"/>
      <c r="B101" s="371"/>
      <c r="C101" s="372"/>
      <c r="D101" s="296"/>
      <c r="E101" s="374"/>
      <c r="F101" s="1054"/>
      <c r="G101" s="1055"/>
      <c r="H101" s="1203"/>
      <c r="I101" s="953"/>
      <c r="J101" s="1057"/>
      <c r="K101" s="1055"/>
      <c r="L101" s="1203"/>
      <c r="M101" s="1057"/>
      <c r="O101" s="1203"/>
      <c r="P101" s="953"/>
      <c r="Q101" s="1820"/>
      <c r="R101" s="1057"/>
      <c r="S101" s="1055"/>
      <c r="T101" s="1203"/>
      <c r="U101" s="1820"/>
      <c r="V101" s="1821"/>
      <c r="Y101" s="1203"/>
      <c r="Z101" s="1821"/>
      <c r="AA101" s="1820"/>
      <c r="AB101" s="1057"/>
      <c r="AC101" s="1055"/>
      <c r="AD101" s="3297"/>
      <c r="AE101" s="1820"/>
      <c r="AF101" s="1821"/>
      <c r="AI101" s="3297"/>
      <c r="AJ101" s="4904"/>
      <c r="AK101" s="1820"/>
      <c r="AL101" s="1057"/>
      <c r="AM101" s="1055"/>
      <c r="AN101" s="3297"/>
      <c r="AO101" s="1820"/>
      <c r="AP101" s="1821"/>
      <c r="AR101" s="6139"/>
      <c r="AS101" s="6140"/>
      <c r="AT101" s="1820"/>
      <c r="AU101" s="1057"/>
      <c r="AV101" s="1055"/>
      <c r="AW101" s="6141"/>
      <c r="AX101" s="1820"/>
      <c r="AY101" s="6142"/>
      <c r="BA101" s="6139"/>
      <c r="BB101" s="6140"/>
      <c r="BC101" s="1820"/>
      <c r="BD101" s="1057"/>
      <c r="BE101" s="1055"/>
      <c r="BF101" s="6141"/>
      <c r="BG101" s="1820"/>
      <c r="BH101" s="6142"/>
    </row>
    <row r="102" spans="1:60" x14ac:dyDescent="0.35">
      <c r="A102" s="9168"/>
      <c r="B102" s="4906"/>
      <c r="C102" s="4907"/>
      <c r="D102" s="980" t="s">
        <v>580</v>
      </c>
      <c r="F102" s="4908"/>
      <c r="G102" s="1060"/>
      <c r="H102" s="3297"/>
      <c r="I102" s="3296"/>
      <c r="J102" s="1057"/>
      <c r="K102" s="1060"/>
      <c r="L102" s="3297"/>
      <c r="M102" s="1057"/>
      <c r="O102" s="3297">
        <f t="shared" ref="O102:P102" si="97">SUM(O77:O85)/O92</f>
        <v>0.60467385622781289</v>
      </c>
      <c r="P102" s="3296">
        <f t="shared" si="97"/>
        <v>0.59681278746960542</v>
      </c>
      <c r="Q102" s="1820"/>
      <c r="R102" s="1057"/>
      <c r="S102" s="1060"/>
      <c r="T102" s="3297">
        <f>SUM(T77:T85)/T92</f>
        <v>0.52905267607267381</v>
      </c>
      <c r="U102" s="3298" t="s">
        <v>734</v>
      </c>
      <c r="V102" s="1821">
        <f>SUM(V77:V85)/V92</f>
        <v>0.55538750743622323</v>
      </c>
      <c r="Y102" s="3297">
        <f>SUM(Y77:Y85)/Y92</f>
        <v>0.52905267607267381</v>
      </c>
      <c r="Z102" s="1821">
        <f>SUM(Z77:Z85)/Z92</f>
        <v>0.41635260449143796</v>
      </c>
      <c r="AA102" s="1820"/>
      <c r="AB102" s="1057"/>
      <c r="AC102" s="1060"/>
      <c r="AD102" s="3297">
        <f>SUM(AD77:AD85)/AD92</f>
        <v>0.47470552015729089</v>
      </c>
      <c r="AE102" s="3298" t="s">
        <v>734</v>
      </c>
      <c r="AF102" s="1821">
        <f>SUM(AF77:AF85)/AF92</f>
        <v>0.37621999153497643</v>
      </c>
      <c r="AI102" s="3297">
        <f>SUM(AI77:AI85)/AI92</f>
        <v>0.47470552015729089</v>
      </c>
      <c r="AJ102" s="4904">
        <f>SUM(AJ77:AJ85)/AJ92</f>
        <v>0.40460420200317487</v>
      </c>
      <c r="AK102" s="1820"/>
      <c r="AL102" s="1057"/>
      <c r="AM102" s="1060"/>
      <c r="AN102" s="3297">
        <f>SUM(AN77:AN85)/AN92</f>
        <v>0.38715397687702019</v>
      </c>
      <c r="AO102" s="3298"/>
      <c r="AP102" s="1821">
        <f>SUM(AP77:AP85)/AP92</f>
        <v>0.39626071890153297</v>
      </c>
      <c r="AR102" s="6139">
        <f>SUM(AR77:AR85)/AR92</f>
        <v>0.38664109358379284</v>
      </c>
      <c r="AS102" s="6140">
        <f>SUM(AS77:AS85)/AS92</f>
        <v>0.3990457430995753</v>
      </c>
      <c r="AT102" s="1820"/>
      <c r="AU102" s="1057"/>
      <c r="AV102" s="1060"/>
      <c r="AW102" s="6141">
        <f>SUM(AW77:AW85)/AW92</f>
        <v>0.3675681389803645</v>
      </c>
      <c r="AX102" s="3298"/>
      <c r="AY102" s="6142">
        <f>SUM(AY77:AY85)/AY92</f>
        <v>0.37932843499258195</v>
      </c>
      <c r="BA102" s="6139">
        <f>SUM(BA77:BA85)/BA92</f>
        <v>0.36756813882791967</v>
      </c>
      <c r="BB102" s="6140">
        <f>SUM(BB77:BB85)/BB92</f>
        <v>0.36429029268067459</v>
      </c>
      <c r="BC102" s="1820"/>
      <c r="BD102" s="1057"/>
      <c r="BE102" s="1060"/>
      <c r="BF102" s="6141">
        <f>SUM(BF77:BF85)/BF92</f>
        <v>0.36311535553255259</v>
      </c>
      <c r="BG102" s="3298"/>
      <c r="BH102" s="6142">
        <f>SUM(BH77:BH85)/BH92</f>
        <v>0.35809508566289472</v>
      </c>
    </row>
    <row r="103" spans="1:60" x14ac:dyDescent="0.35">
      <c r="A103" s="9169"/>
      <c r="B103" s="85"/>
      <c r="C103" s="432"/>
      <c r="D103" s="86" t="s">
        <v>581</v>
      </c>
      <c r="E103" s="3659"/>
      <c r="F103" s="4909"/>
      <c r="G103" s="460"/>
      <c r="H103" s="4910"/>
      <c r="I103" s="4911"/>
      <c r="J103" s="3514"/>
      <c r="K103" s="460"/>
      <c r="L103" s="4910"/>
      <c r="M103" s="7868"/>
      <c r="O103" s="1998">
        <f t="shared" ref="O103:P103" si="98">(O77+O79)/O94</f>
        <v>0.61795613729579779</v>
      </c>
      <c r="P103" s="1997">
        <f t="shared" si="98"/>
        <v>0.61077048680006396</v>
      </c>
      <c r="Q103" s="1534"/>
      <c r="R103" s="706"/>
      <c r="S103" s="703"/>
      <c r="T103" s="1998">
        <f>(T77+T79)/T94</f>
        <v>0.54724625176828634</v>
      </c>
      <c r="U103" s="1534"/>
      <c r="V103" s="1999">
        <f>(V77+V79)/V94</f>
        <v>0.57932789174227362</v>
      </c>
      <c r="Y103" s="1998">
        <f>(Y77+Y79)/Y94</f>
        <v>0.54724625176828634</v>
      </c>
      <c r="Z103" s="1999">
        <f>(Z77+Z79)/Z94</f>
        <v>0.42659896565249678</v>
      </c>
      <c r="AA103" s="1534"/>
      <c r="AB103" s="706"/>
      <c r="AC103" s="703"/>
      <c r="AD103" s="4912">
        <f>(AD77+AD79)/AD94</f>
        <v>0.50050145340816465</v>
      </c>
      <c r="AE103" s="1534"/>
      <c r="AF103" s="1999">
        <f>(AF77+AF79)/AF94</f>
        <v>0.40158966300148602</v>
      </c>
      <c r="AI103" s="4912">
        <f>(AI77+AI79)/AI94</f>
        <v>0.50050145340816465</v>
      </c>
      <c r="AJ103" s="4913">
        <f>(AJ77+AJ79)/AJ94</f>
        <v>0.42022600096289564</v>
      </c>
      <c r="AK103" s="1534"/>
      <c r="AL103" s="706"/>
      <c r="AM103" s="703"/>
      <c r="AN103" s="4912">
        <f>(AN77+AN79)/AN94</f>
        <v>0.40409171191767013</v>
      </c>
      <c r="AO103" s="1534"/>
      <c r="AP103" s="1999">
        <f>(AP77+AP79)/AP94</f>
        <v>0.41314997982987417</v>
      </c>
      <c r="AR103" s="1996">
        <f>(AR77+AR79)/AR94</f>
        <v>0.43829801350868741</v>
      </c>
      <c r="AS103" s="1997">
        <f>(AS77+AS79)/AS94</f>
        <v>0.44284799471804842</v>
      </c>
      <c r="AT103" s="1534"/>
      <c r="AU103" s="706"/>
      <c r="AV103" s="703"/>
      <c r="AW103" s="1998">
        <f>(AW77+AW79)/AW94</f>
        <v>0.39285465558079591</v>
      </c>
      <c r="AX103" s="1534"/>
      <c r="AY103" s="6147">
        <f>(AY77+AY79)/AY94</f>
        <v>0.39715003395556298</v>
      </c>
      <c r="BA103" s="1996">
        <f>(BA77+BA79)/BA94</f>
        <v>0.39285465563816413</v>
      </c>
      <c r="BB103" s="1997">
        <f>(BB77+BB79)/BB94</f>
        <v>0.38220140436682865</v>
      </c>
      <c r="BC103" s="1534"/>
      <c r="BD103" s="706"/>
      <c r="BE103" s="703"/>
      <c r="BF103" s="1998">
        <f>(BF77+BF79)/BF94</f>
        <v>0.38256289730352228</v>
      </c>
      <c r="BG103" s="1534"/>
      <c r="BH103" s="6147">
        <f>(BH77+BH79)/BH94</f>
        <v>0.3713833357206881</v>
      </c>
    </row>
    <row r="104" spans="1:60" s="462" customFormat="1" ht="12" x14ac:dyDescent="0.3">
      <c r="C104" s="456"/>
      <c r="D104" s="2"/>
      <c r="E104" s="456"/>
      <c r="F104" s="456"/>
      <c r="G104" s="456"/>
      <c r="H104" s="459"/>
      <c r="I104" s="459"/>
      <c r="J104" s="7"/>
      <c r="K104" s="456"/>
      <c r="N104" s="456"/>
      <c r="O104" s="459"/>
      <c r="P104" s="459"/>
      <c r="Q104" s="459"/>
      <c r="R104" s="7"/>
      <c r="S104" s="456"/>
      <c r="W104" s="456"/>
      <c r="AA104" s="459"/>
      <c r="AB104" s="7"/>
      <c r="AC104" s="456"/>
      <c r="AG104" s="456"/>
      <c r="AK104" s="459"/>
      <c r="AL104" s="7"/>
      <c r="AM104" s="456"/>
      <c r="AT104" s="459"/>
      <c r="AU104" s="7"/>
      <c r="AV104" s="456"/>
      <c r="BC104" s="459"/>
      <c r="BD104" s="7"/>
      <c r="BE104" s="456"/>
    </row>
    <row r="105" spans="1:60" s="462" customFormat="1" ht="12" x14ac:dyDescent="0.3">
      <c r="A105" s="455" t="s">
        <v>582</v>
      </c>
      <c r="B105" s="455"/>
      <c r="C105" s="456"/>
      <c r="D105" s="2"/>
      <c r="E105" s="456"/>
      <c r="F105" s="456"/>
      <c r="G105" s="456"/>
      <c r="H105" s="459"/>
      <c r="I105" s="459"/>
      <c r="J105" s="7"/>
      <c r="K105" s="456"/>
      <c r="N105" s="456"/>
      <c r="O105" s="459"/>
      <c r="P105" s="459"/>
      <c r="Q105" s="459"/>
      <c r="R105" s="7"/>
      <c r="S105" s="456"/>
      <c r="W105" s="456"/>
      <c r="AA105" s="459"/>
      <c r="AB105" s="7"/>
      <c r="AC105" s="456"/>
      <c r="AG105" s="456"/>
      <c r="AK105" s="459"/>
      <c r="AL105" s="7"/>
      <c r="AM105" s="456"/>
      <c r="AT105" s="459"/>
      <c r="AU105" s="7"/>
      <c r="AV105" s="456"/>
      <c r="BC105" s="459"/>
      <c r="BD105" s="7"/>
      <c r="BE105" s="456"/>
    </row>
    <row r="106" spans="1:60" s="462" customFormat="1" ht="12" customHeight="1" x14ac:dyDescent="0.3">
      <c r="A106" s="463">
        <v>1</v>
      </c>
      <c r="B106" s="464" t="str">
        <f>X16</f>
        <v>Include social security</v>
      </c>
      <c r="D106" s="709"/>
      <c r="E106" s="466"/>
      <c r="F106" s="466"/>
      <c r="G106" s="466"/>
      <c r="H106" s="466"/>
      <c r="I106" s="466"/>
      <c r="J106" s="467"/>
      <c r="K106" s="466"/>
      <c r="L106" s="466"/>
      <c r="M106" s="466"/>
      <c r="N106" s="456"/>
      <c r="O106" s="466"/>
      <c r="P106" s="466"/>
      <c r="Q106" s="466"/>
      <c r="R106" s="467"/>
      <c r="S106" s="466"/>
      <c r="T106" s="466"/>
      <c r="U106" s="466"/>
      <c r="V106" s="466"/>
      <c r="W106" s="456"/>
      <c r="X106" s="577"/>
      <c r="Y106" s="466"/>
      <c r="Z106" s="466"/>
      <c r="AA106" s="466"/>
      <c r="AB106" s="467"/>
      <c r="AC106" s="466"/>
      <c r="AD106" s="466"/>
      <c r="AE106" s="466"/>
      <c r="AF106" s="466"/>
      <c r="AG106" s="456"/>
      <c r="AH106" s="577"/>
      <c r="AI106" s="466"/>
      <c r="AJ106" s="466"/>
      <c r="AK106" s="466"/>
      <c r="AL106" s="467"/>
      <c r="AM106" s="466"/>
      <c r="AN106" s="466"/>
      <c r="AO106" s="466"/>
      <c r="AP106" s="466"/>
      <c r="AR106" s="466"/>
      <c r="AS106" s="466"/>
      <c r="AT106" s="466"/>
      <c r="AU106" s="467"/>
      <c r="AV106" s="466"/>
      <c r="AW106" s="466"/>
      <c r="AX106" s="466"/>
      <c r="AY106" s="466"/>
      <c r="BA106" s="466"/>
      <c r="BB106" s="466"/>
      <c r="BC106" s="466"/>
      <c r="BD106" s="467"/>
      <c r="BE106" s="466"/>
      <c r="BF106" s="466"/>
      <c r="BG106" s="466"/>
      <c r="BH106" s="466"/>
    </row>
    <row r="107" spans="1:60" s="462" customFormat="1" ht="12" x14ac:dyDescent="0.3">
      <c r="A107" s="468">
        <v>2</v>
      </c>
      <c r="B107" s="469">
        <f>Q24</f>
        <v>0</v>
      </c>
      <c r="D107" s="2"/>
      <c r="E107" s="456"/>
      <c r="F107" s="456"/>
      <c r="G107" s="456"/>
      <c r="H107" s="459"/>
      <c r="I107" s="459"/>
      <c r="J107" s="7"/>
      <c r="K107" s="456"/>
      <c r="N107" s="456"/>
      <c r="O107" s="459"/>
      <c r="P107" s="459"/>
      <c r="Q107" s="459"/>
      <c r="R107" s="7"/>
      <c r="S107" s="456"/>
      <c r="W107" s="456"/>
      <c r="X107" s="577"/>
      <c r="AA107" s="459"/>
      <c r="AB107" s="7"/>
      <c r="AC107" s="456"/>
      <c r="AG107" s="456"/>
      <c r="AH107" s="577"/>
      <c r="AK107" s="459"/>
      <c r="AL107" s="7"/>
      <c r="AM107" s="456"/>
      <c r="AT107" s="459"/>
      <c r="AU107" s="7"/>
      <c r="AV107" s="456"/>
      <c r="BC107" s="459"/>
      <c r="BD107" s="7"/>
      <c r="BE107" s="456"/>
    </row>
    <row r="108" spans="1:60" s="462" customFormat="1" ht="12" x14ac:dyDescent="0.3">
      <c r="A108" s="463">
        <v>3</v>
      </c>
      <c r="B108" s="469" t="str">
        <f>X56</f>
        <v>not used as it seems Gvt subsidy to SS scheme is global, not attached to employed staff</v>
      </c>
      <c r="D108" s="2"/>
      <c r="E108" s="456"/>
      <c r="F108" s="456"/>
      <c r="G108" s="456"/>
      <c r="H108" s="459"/>
      <c r="I108" s="459"/>
      <c r="J108" s="7"/>
      <c r="K108" s="456"/>
      <c r="N108" s="456"/>
      <c r="O108" s="459"/>
      <c r="P108" s="459"/>
      <c r="Q108" s="459"/>
      <c r="R108" s="7"/>
      <c r="S108" s="456"/>
      <c r="W108" s="456"/>
      <c r="X108" s="577"/>
      <c r="AA108" s="459"/>
      <c r="AB108" s="7"/>
      <c r="AC108" s="456"/>
      <c r="AG108" s="456"/>
      <c r="AH108" s="577"/>
      <c r="AK108" s="459"/>
      <c r="AL108" s="7"/>
      <c r="AM108" s="456"/>
      <c r="AT108" s="459"/>
      <c r="AU108" s="7"/>
      <c r="AV108" s="456"/>
      <c r="BC108" s="459"/>
      <c r="BD108" s="7"/>
      <c r="BE108" s="456"/>
    </row>
    <row r="109" spans="1:60" s="462" customFormat="1" ht="12" x14ac:dyDescent="0.3">
      <c r="A109" s="468"/>
      <c r="B109" s="469"/>
      <c r="D109" s="2"/>
      <c r="E109" s="456"/>
      <c r="F109" s="456"/>
      <c r="G109" s="456"/>
      <c r="H109" s="459"/>
      <c r="I109" s="459"/>
      <c r="J109" s="7"/>
      <c r="K109" s="456"/>
      <c r="N109" s="456"/>
      <c r="O109" s="459"/>
      <c r="P109" s="459"/>
      <c r="Q109" s="459"/>
      <c r="R109" s="7"/>
      <c r="S109" s="456"/>
      <c r="W109" s="456"/>
      <c r="X109" s="577"/>
      <c r="AA109" s="459"/>
      <c r="AB109" s="7"/>
      <c r="AC109" s="456"/>
      <c r="AG109" s="456"/>
      <c r="AH109" s="577"/>
      <c r="AK109" s="459"/>
      <c r="AL109" s="7"/>
      <c r="AM109" s="456"/>
      <c r="AT109" s="459"/>
      <c r="AU109" s="7"/>
      <c r="AV109" s="456"/>
      <c r="BC109" s="459"/>
      <c r="BD109" s="7"/>
      <c r="BE109" s="456"/>
    </row>
    <row r="110" spans="1:60" s="462" customFormat="1" ht="12" x14ac:dyDescent="0.3">
      <c r="A110" s="468"/>
      <c r="B110" s="469"/>
      <c r="D110" s="2"/>
      <c r="E110" s="456"/>
      <c r="F110" s="456"/>
      <c r="G110" s="456"/>
      <c r="H110" s="459"/>
      <c r="I110" s="459"/>
      <c r="J110" s="7"/>
      <c r="K110" s="456"/>
      <c r="N110" s="456"/>
      <c r="O110" s="459"/>
      <c r="P110" s="459"/>
      <c r="Q110" s="459"/>
      <c r="R110" s="7"/>
      <c r="S110" s="456"/>
      <c r="W110" s="456"/>
      <c r="X110" s="577"/>
      <c r="AA110" s="459"/>
      <c r="AB110" s="7"/>
      <c r="AC110" s="456"/>
      <c r="AG110" s="456"/>
      <c r="AH110" s="577"/>
      <c r="AK110" s="459"/>
      <c r="AL110" s="7"/>
      <c r="AM110" s="456"/>
      <c r="AT110" s="459"/>
      <c r="AU110" s="7"/>
      <c r="AV110" s="456"/>
      <c r="BC110" s="459"/>
      <c r="BD110" s="7"/>
      <c r="BE110" s="456"/>
    </row>
    <row r="111" spans="1:60" s="462" customFormat="1" ht="12" x14ac:dyDescent="0.3">
      <c r="A111" s="468"/>
      <c r="B111" s="469"/>
      <c r="D111" s="2"/>
      <c r="E111" s="456"/>
      <c r="F111" s="456"/>
      <c r="G111" s="456"/>
      <c r="H111" s="459"/>
      <c r="I111" s="459"/>
      <c r="J111" s="7"/>
      <c r="K111" s="456"/>
      <c r="N111" s="456"/>
      <c r="O111" s="459"/>
      <c r="P111" s="459"/>
      <c r="Q111" s="459"/>
      <c r="R111" s="7"/>
      <c r="S111" s="456"/>
      <c r="W111" s="456"/>
      <c r="X111" s="577"/>
      <c r="AA111" s="459"/>
      <c r="AB111" s="7"/>
      <c r="AC111" s="456"/>
      <c r="AG111" s="456"/>
      <c r="AH111" s="577"/>
      <c r="AK111" s="459"/>
      <c r="AL111" s="7"/>
      <c r="AM111" s="456"/>
      <c r="AT111" s="459"/>
      <c r="AU111" s="7"/>
      <c r="AV111" s="456"/>
      <c r="BC111" s="459"/>
      <c r="BD111" s="7"/>
      <c r="BE111" s="456"/>
    </row>
    <row r="112" spans="1:60" s="462" customFormat="1" ht="12" x14ac:dyDescent="0.3">
      <c r="A112" s="468"/>
      <c r="B112" s="469"/>
      <c r="D112" s="2"/>
      <c r="E112" s="456"/>
      <c r="F112" s="456"/>
      <c r="G112" s="456"/>
      <c r="H112" s="459"/>
      <c r="I112" s="459"/>
      <c r="J112" s="7"/>
      <c r="K112" s="456"/>
      <c r="N112" s="456"/>
      <c r="O112" s="459"/>
      <c r="P112" s="459"/>
      <c r="Q112" s="459"/>
      <c r="R112" s="7"/>
      <c r="S112" s="456"/>
      <c r="W112" s="456"/>
      <c r="X112" s="577"/>
      <c r="AA112" s="459"/>
      <c r="AB112" s="7"/>
      <c r="AC112" s="456"/>
      <c r="AG112" s="456"/>
      <c r="AH112" s="577"/>
      <c r="AK112" s="459"/>
      <c r="AL112" s="7"/>
      <c r="AM112" s="456"/>
      <c r="AT112" s="459"/>
      <c r="AU112" s="7"/>
      <c r="AV112" s="456"/>
      <c r="BC112" s="459"/>
      <c r="BD112" s="7"/>
      <c r="BE112" s="456"/>
    </row>
    <row r="113" spans="1:60" s="462" customFormat="1" ht="12" x14ac:dyDescent="0.3">
      <c r="A113" s="468"/>
      <c r="B113" s="469"/>
      <c r="D113" s="2"/>
      <c r="E113" s="456"/>
      <c r="F113" s="456"/>
      <c r="G113" s="456"/>
      <c r="H113" s="459"/>
      <c r="I113" s="459"/>
      <c r="J113" s="7"/>
      <c r="K113" s="456"/>
      <c r="N113" s="456"/>
      <c r="O113" s="459"/>
      <c r="P113" s="459"/>
      <c r="Q113" s="459"/>
      <c r="R113" s="7"/>
      <c r="S113" s="456"/>
      <c r="W113" s="456"/>
      <c r="X113" s="577"/>
      <c r="AA113" s="459"/>
      <c r="AB113" s="7"/>
      <c r="AC113" s="456"/>
      <c r="AG113" s="456"/>
      <c r="AH113" s="577"/>
      <c r="AK113" s="459"/>
      <c r="AL113" s="7"/>
      <c r="AM113" s="456"/>
      <c r="AT113" s="459"/>
      <c r="AU113" s="7"/>
      <c r="AV113" s="456"/>
      <c r="BC113" s="459"/>
      <c r="BD113" s="7"/>
      <c r="BE113" s="456"/>
    </row>
    <row r="114" spans="1:60" s="462" customFormat="1" ht="12" x14ac:dyDescent="0.3">
      <c r="A114" s="468"/>
      <c r="B114" s="469"/>
      <c r="D114" s="2"/>
      <c r="E114" s="456"/>
      <c r="F114" s="456"/>
      <c r="G114" s="456"/>
      <c r="H114" s="459"/>
      <c r="I114" s="459"/>
      <c r="J114" s="7"/>
      <c r="K114" s="456"/>
      <c r="N114" s="456"/>
      <c r="O114" s="459"/>
      <c r="P114" s="459"/>
      <c r="Q114" s="459"/>
      <c r="R114" s="7"/>
      <c r="S114" s="456"/>
      <c r="W114" s="456"/>
      <c r="X114" s="577"/>
      <c r="AA114" s="459"/>
      <c r="AB114" s="7"/>
      <c r="AC114" s="456"/>
      <c r="AG114" s="456"/>
      <c r="AH114" s="577"/>
      <c r="AK114" s="459"/>
      <c r="AL114" s="7"/>
      <c r="AM114" s="456"/>
      <c r="AT114" s="459"/>
      <c r="AU114" s="7"/>
      <c r="AV114" s="456"/>
      <c r="BC114" s="459"/>
      <c r="BD114" s="7"/>
      <c r="BE114" s="456"/>
    </row>
    <row r="115" spans="1:60" s="462" customFormat="1" ht="12" x14ac:dyDescent="0.3">
      <c r="A115" s="468"/>
      <c r="B115" s="469"/>
      <c r="D115" s="2"/>
      <c r="E115" s="456"/>
      <c r="F115" s="456"/>
      <c r="G115" s="456"/>
      <c r="H115" s="459"/>
      <c r="I115" s="459"/>
      <c r="J115" s="7"/>
      <c r="K115" s="456"/>
      <c r="N115" s="456"/>
      <c r="O115" s="459"/>
      <c r="P115" s="459"/>
      <c r="Q115" s="459"/>
      <c r="R115" s="7"/>
      <c r="S115" s="456"/>
      <c r="W115" s="456"/>
      <c r="X115" s="577"/>
      <c r="AA115" s="459"/>
      <c r="AB115" s="7"/>
      <c r="AC115" s="456"/>
      <c r="AG115" s="456"/>
      <c r="AH115" s="577"/>
      <c r="AK115" s="459"/>
      <c r="AL115" s="7"/>
      <c r="AM115" s="456"/>
      <c r="AT115" s="459"/>
      <c r="AU115" s="7"/>
      <c r="AV115" s="456"/>
      <c r="BC115" s="459"/>
      <c r="BD115" s="7"/>
      <c r="BE115" s="456"/>
    </row>
    <row r="116" spans="1:60" s="462" customFormat="1" ht="12" x14ac:dyDescent="0.3">
      <c r="A116" s="468"/>
      <c r="B116" s="469"/>
      <c r="D116" s="2"/>
      <c r="E116" s="456"/>
      <c r="F116" s="456"/>
      <c r="G116" s="456"/>
      <c r="H116" s="459"/>
      <c r="I116" s="459"/>
      <c r="J116" s="7"/>
      <c r="K116" s="456"/>
      <c r="N116" s="456"/>
      <c r="O116" s="459"/>
      <c r="P116" s="459"/>
      <c r="Q116" s="459"/>
      <c r="R116" s="7"/>
      <c r="S116" s="456"/>
      <c r="W116" s="456"/>
      <c r="X116" s="577"/>
      <c r="AA116" s="459"/>
      <c r="AB116" s="7"/>
      <c r="AC116" s="456"/>
      <c r="AG116" s="456"/>
      <c r="AH116" s="577"/>
      <c r="AK116" s="459"/>
      <c r="AL116" s="7"/>
      <c r="AM116" s="456"/>
      <c r="AT116" s="459"/>
      <c r="AU116" s="7"/>
      <c r="AV116" s="456"/>
      <c r="BC116" s="459"/>
      <c r="BD116" s="7"/>
      <c r="BE116" s="456"/>
    </row>
    <row r="117" spans="1:60" s="462" customFormat="1" ht="12" x14ac:dyDescent="0.3">
      <c r="A117" s="468"/>
      <c r="B117" s="469"/>
      <c r="D117" s="2"/>
      <c r="E117" s="456"/>
      <c r="F117" s="456"/>
      <c r="G117" s="456"/>
      <c r="H117" s="459"/>
      <c r="I117" s="459"/>
      <c r="J117" s="7"/>
      <c r="K117" s="456"/>
      <c r="N117" s="456"/>
      <c r="O117" s="459"/>
      <c r="P117" s="459"/>
      <c r="Q117" s="459"/>
      <c r="R117" s="7"/>
      <c r="S117" s="456"/>
      <c r="W117" s="456"/>
      <c r="X117" s="577"/>
      <c r="AA117" s="459"/>
      <c r="AB117" s="7"/>
      <c r="AC117" s="456"/>
      <c r="AG117" s="456"/>
      <c r="AH117" s="577"/>
      <c r="AK117" s="459"/>
      <c r="AL117" s="7"/>
      <c r="AM117" s="456"/>
      <c r="AT117" s="459"/>
      <c r="AU117" s="7"/>
      <c r="AV117" s="456"/>
      <c r="BC117" s="459"/>
      <c r="BD117" s="7"/>
      <c r="BE117" s="456"/>
    </row>
    <row r="118" spans="1:60" s="462" customFormat="1" ht="12" x14ac:dyDescent="0.3">
      <c r="A118" s="468"/>
      <c r="B118" s="469"/>
      <c r="D118" s="2"/>
      <c r="E118" s="456"/>
      <c r="F118" s="456"/>
      <c r="G118" s="456"/>
      <c r="H118" s="459"/>
      <c r="I118" s="459"/>
      <c r="J118" s="7"/>
      <c r="K118" s="456"/>
      <c r="N118" s="456"/>
      <c r="O118" s="459"/>
      <c r="P118" s="459"/>
      <c r="Q118" s="459"/>
      <c r="R118" s="7"/>
      <c r="S118" s="456"/>
      <c r="W118" s="456"/>
      <c r="X118" s="577"/>
      <c r="AA118" s="459"/>
      <c r="AB118" s="7"/>
      <c r="AC118" s="456"/>
      <c r="AG118" s="456"/>
      <c r="AH118" s="577"/>
      <c r="AK118" s="459"/>
      <c r="AL118" s="7"/>
      <c r="AM118" s="456"/>
      <c r="AT118" s="459"/>
      <c r="AU118" s="7"/>
      <c r="AV118" s="456"/>
      <c r="BC118" s="459"/>
      <c r="BD118" s="7"/>
      <c r="BE118" s="456"/>
    </row>
    <row r="119" spans="1:60" s="462" customFormat="1" ht="12" x14ac:dyDescent="0.3">
      <c r="A119" s="468"/>
      <c r="B119" s="469"/>
      <c r="D119" s="2"/>
      <c r="E119" s="456"/>
      <c r="F119" s="456"/>
      <c r="G119" s="456"/>
      <c r="H119" s="459"/>
      <c r="I119" s="459"/>
      <c r="J119" s="7"/>
      <c r="K119" s="456"/>
      <c r="N119" s="456"/>
      <c r="O119" s="459"/>
      <c r="P119" s="459"/>
      <c r="Q119" s="459"/>
      <c r="R119" s="7"/>
      <c r="S119" s="456"/>
      <c r="W119" s="456"/>
      <c r="X119" s="577"/>
      <c r="AA119" s="459"/>
      <c r="AB119" s="7"/>
      <c r="AC119" s="456"/>
      <c r="AG119" s="456"/>
      <c r="AH119" s="577"/>
      <c r="AK119" s="459"/>
      <c r="AL119" s="7"/>
      <c r="AM119" s="456"/>
      <c r="AT119" s="459"/>
      <c r="AU119" s="7"/>
      <c r="AV119" s="456"/>
      <c r="BC119" s="459"/>
      <c r="BD119" s="7"/>
      <c r="BE119" s="456"/>
    </row>
    <row r="120" spans="1:60" s="462" customFormat="1" ht="12" x14ac:dyDescent="0.3">
      <c r="A120" s="455" t="s">
        <v>583</v>
      </c>
      <c r="B120" s="455"/>
      <c r="C120" s="456"/>
      <c r="D120" s="2"/>
      <c r="E120" s="456"/>
      <c r="F120" s="456"/>
      <c r="G120" s="456"/>
      <c r="H120" s="459"/>
      <c r="I120" s="459"/>
      <c r="J120" s="7"/>
      <c r="K120" s="456"/>
      <c r="N120" s="456"/>
      <c r="O120" s="459"/>
      <c r="P120" s="459"/>
      <c r="Q120" s="459"/>
      <c r="R120" s="7"/>
      <c r="S120" s="456"/>
      <c r="W120" s="456"/>
      <c r="X120" s="577"/>
      <c r="AA120" s="459"/>
      <c r="AB120" s="7"/>
      <c r="AC120" s="456"/>
      <c r="AG120" s="456"/>
      <c r="AH120" s="577"/>
      <c r="AK120" s="459"/>
      <c r="AL120" s="7"/>
      <c r="AM120" s="456"/>
      <c r="AT120" s="459"/>
      <c r="AU120" s="7"/>
      <c r="AV120" s="456"/>
      <c r="BC120" s="459"/>
      <c r="BD120" s="7"/>
      <c r="BE120" s="456"/>
    </row>
    <row r="121" spans="1:60" s="462" customFormat="1" ht="93" customHeight="1" x14ac:dyDescent="0.3">
      <c r="A121" s="9170" t="s">
        <v>735</v>
      </c>
      <c r="B121" s="9171"/>
      <c r="C121" s="9171"/>
      <c r="D121" s="9171"/>
      <c r="E121" s="9171"/>
      <c r="F121" s="9171"/>
      <c r="G121" s="9171"/>
      <c r="H121" s="9171"/>
      <c r="I121" s="9171"/>
      <c r="J121" s="9171"/>
      <c r="K121" s="9171"/>
      <c r="L121" s="9171"/>
      <c r="M121" s="9172"/>
      <c r="N121" s="456"/>
      <c r="O121" s="7731"/>
      <c r="P121" s="7731"/>
      <c r="Q121" s="7731"/>
      <c r="R121" s="7731"/>
      <c r="S121" s="461"/>
      <c r="T121" s="461"/>
      <c r="U121" s="461"/>
      <c r="V121" s="461"/>
      <c r="W121" s="456"/>
      <c r="X121" s="577"/>
      <c r="Y121" s="461"/>
      <c r="Z121" s="461"/>
      <c r="AA121" s="7731"/>
      <c r="AB121" s="7731"/>
      <c r="AC121" s="461"/>
      <c r="AD121" s="461"/>
      <c r="AE121" s="461"/>
      <c r="AF121" s="461"/>
      <c r="AG121" s="456"/>
      <c r="AH121" s="577"/>
      <c r="AI121" s="461"/>
      <c r="AJ121" s="461"/>
      <c r="AK121" s="7731"/>
      <c r="AL121" s="7731"/>
      <c r="AM121" s="461"/>
      <c r="AN121" s="461"/>
      <c r="AO121" s="461"/>
      <c r="AP121" s="461"/>
      <c r="AR121" s="461"/>
      <c r="AS121" s="461"/>
      <c r="AT121" s="7731"/>
      <c r="AU121" s="7731"/>
      <c r="AV121" s="461"/>
      <c r="AW121" s="461"/>
      <c r="AX121" s="461"/>
      <c r="AY121" s="461"/>
      <c r="BA121" s="461"/>
      <c r="BB121" s="461"/>
      <c r="BC121" s="7731"/>
      <c r="BD121" s="7731"/>
      <c r="BE121" s="461"/>
      <c r="BF121" s="461"/>
      <c r="BG121" s="461"/>
      <c r="BH121" s="461"/>
    </row>
  </sheetData>
  <mergeCells count="57">
    <mergeCell ref="BA7:BB7"/>
    <mergeCell ref="BD7:BD8"/>
    <mergeCell ref="BF7:BH7"/>
    <mergeCell ref="BA35:BB35"/>
    <mergeCell ref="BA1:BH1"/>
    <mergeCell ref="BA4:BD4"/>
    <mergeCell ref="BF4:BH4"/>
    <mergeCell ref="BA5:BD5"/>
    <mergeCell ref="BF5:BH5"/>
    <mergeCell ref="AL7:AL8"/>
    <mergeCell ref="F1:M1"/>
    <mergeCell ref="O1:V1"/>
    <mergeCell ref="Y1:AF1"/>
    <mergeCell ref="AI1:AP1"/>
    <mergeCell ref="H4:J4"/>
    <mergeCell ref="L4:M4"/>
    <mergeCell ref="O4:R4"/>
    <mergeCell ref="T4:V4"/>
    <mergeCell ref="X4:X5"/>
    <mergeCell ref="Y4:AB4"/>
    <mergeCell ref="AD4:AF4"/>
    <mergeCell ref="AH4:AH5"/>
    <mergeCell ref="AD7:AF7"/>
    <mergeCell ref="AI7:AJ7"/>
    <mergeCell ref="T5:V5"/>
    <mergeCell ref="A87:A103"/>
    <mergeCell ref="A121:M121"/>
    <mergeCell ref="AI4:AL4"/>
    <mergeCell ref="AN4:AP4"/>
    <mergeCell ref="AN7:AP7"/>
    <mergeCell ref="A10:A33"/>
    <mergeCell ref="A35:A74"/>
    <mergeCell ref="AI5:AL5"/>
    <mergeCell ref="AN5:AP5"/>
    <mergeCell ref="H7:I7"/>
    <mergeCell ref="J7:J8"/>
    <mergeCell ref="L7:M7"/>
    <mergeCell ref="O7:P7"/>
    <mergeCell ref="R7:R8"/>
    <mergeCell ref="T7:V7"/>
    <mergeCell ref="Y7:Z7"/>
    <mergeCell ref="AD5:AF5"/>
    <mergeCell ref="Y5:AB5"/>
    <mergeCell ref="A76:A85"/>
    <mergeCell ref="AB7:AB8"/>
    <mergeCell ref="O5:R5"/>
    <mergeCell ref="H5:J5"/>
    <mergeCell ref="L5:M5"/>
    <mergeCell ref="AR7:AS7"/>
    <mergeCell ref="AU7:AU8"/>
    <mergeCell ref="AW7:AY7"/>
    <mergeCell ref="AR35:AS35"/>
    <mergeCell ref="AR1:AY1"/>
    <mergeCell ref="AR4:AU4"/>
    <mergeCell ref="AW4:AY4"/>
    <mergeCell ref="AR5:AU5"/>
    <mergeCell ref="AW5:AY5"/>
  </mergeCells>
  <hyperlinks>
    <hyperlink ref="U10" r:id="rId1" xr:uid="{BC9D0659-6056-4EF7-A8A5-6CDCCEE3C539}"/>
    <hyperlink ref="Q35" r:id="rId2" xr:uid="{67BDD9EA-1E9C-46D2-A099-AAB9924890C6}"/>
    <hyperlink ref="U35" r:id="rId3" xr:uid="{668A5D2D-64B1-4C81-9B56-627D86C57704}"/>
    <hyperlink ref="AE10" r:id="rId4" xr:uid="{2BA6F468-336D-4AE5-95CF-0C4DDF19031F}"/>
    <hyperlink ref="AA35" r:id="rId5" xr:uid="{33FD7549-4C36-451C-B98A-BBBE25BE40F0}"/>
    <hyperlink ref="AE35" r:id="rId6" xr:uid="{B776F47A-FD02-4385-A00E-60C83CB679FC}"/>
    <hyperlink ref="AE64" r:id="rId7" xr:uid="{F32A4364-4645-4BF1-B717-33DD5BA4AE4E}"/>
    <hyperlink ref="AA10" r:id="rId8" xr:uid="{C601FB6F-DC8D-4EE5-B539-4428ADC8E7C6}"/>
    <hyperlink ref="Z41" r:id="rId9" display="http://www.arsimi.gov.al/files/userfiles/buxheti/2016/2016_Aneksi_13_Raportimi_12-M-1.pdf" xr:uid="{CA570F74-597B-418B-B1D1-0C86E1BC560A}"/>
    <hyperlink ref="Z40" r:id="rId10" xr:uid="{47AC5BB1-AFE9-4394-8C89-8AF9127F719A}"/>
    <hyperlink ref="AK35" r:id="rId11" xr:uid="{D282EBAB-3D25-4F9E-975C-DB863B3CED89}"/>
    <hyperlink ref="AK10" r:id="rId12" xr:uid="{B91105CB-4D0C-41B3-B3CE-68344C543BD6}"/>
    <hyperlink ref="AJ40" r:id="rId13" display="http://www.arsimi.gov.al/al/ministria/buxheti-dhe-financat  " xr:uid="{017EB66C-B103-4273-A1DD-1AC19BB778AB}"/>
    <hyperlink ref="AJ41" r:id="rId14" display="http://www.arsimi.gov.al/files/userfiles/buxheti/2016/2016_Aneksi_13_Raportimi_12-M-1.pdf" xr:uid="{8A7A27EA-A077-44F4-BC66-1BD10C328E9C}"/>
    <hyperlink ref="AS40" r:id="rId15" display="http://www.arsimi.gov.al/al/ministria/buxheti-dhe-financat  " xr:uid="{50EABEEA-09B2-4F60-9F07-DCA65EFB44E8}"/>
    <hyperlink ref="AS41" r:id="rId16" display="http://www.arsimi.gov.al/files/userfiles/buxheti/2016/2016_Aneksi_13_Raportimi_12-M-1.pdf" xr:uid="{68248101-ED9B-491C-A439-45B5C909AEFA}"/>
    <hyperlink ref="AT10" r:id="rId17" xr:uid="{B7C7D0E9-BEA5-4BE8-B865-9ECA1DB15AE5}"/>
    <hyperlink ref="BB40" r:id="rId18" display="http://www.arsimi.gov.al/al/ministria/buxheti-dhe-financat  " xr:uid="{D59FCE79-6A57-4EC2-B4B6-04593FAC8912}"/>
    <hyperlink ref="BB41" r:id="rId19" display="http://www.arsimi.gov.al/files/userfiles/buxheti/2016/2016_Aneksi_13_Raportimi_12-M-1.pdf" xr:uid="{56ED0295-164A-4D1C-868F-754ED52C19DE}"/>
    <hyperlink ref="BC10" r:id="rId20" xr:uid="{2A13D1FD-E5CD-46A1-82E2-64B136EED13A}"/>
    <hyperlink ref="BG10" r:id="rId21" xr:uid="{97FFC583-D3AA-40CF-9562-13A2571CE5C8}"/>
  </hyperlinks>
  <pageMargins left="0.23622047244094491" right="0.23622047244094491" top="0.35433070866141736" bottom="0.35433070866141736" header="0.31496062992125984" footer="0.31496062992125984"/>
  <pageSetup paperSize="9" scale="41" orientation="portrait" horizontalDpi="4294967293" verticalDpi="1200" r:id="rId22"/>
  <headerFooter>
    <oddFooter>&amp;R&amp;1#&amp;"Calibri"&amp;12&amp;K000000Official Use</oddFooter>
  </headerFooter>
  <legacyDrawing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377EF96F20A7F4EA6ABB1B3759EC605" ma:contentTypeVersion="14" ma:contentTypeDescription="Create a new document." ma:contentTypeScope="" ma:versionID="b52c35a8e1e8fea42945353db97b19ed">
  <xsd:schema xmlns:xsd="http://www.w3.org/2001/XMLSchema" xmlns:xs="http://www.w3.org/2001/XMLSchema" xmlns:p="http://schemas.microsoft.com/office/2006/metadata/properties" xmlns:ns2="e75a9ecc-2866-4a0d-9585-52d9157563db" xmlns:ns3="a7db5255-73a5-4cb0-b494-1685d94d2d4e" targetNamespace="http://schemas.microsoft.com/office/2006/metadata/properties" ma:root="true" ma:fieldsID="47461a57e48d159c82116d9a38b6340e" ns2:_="" ns3:_="">
    <xsd:import namespace="e75a9ecc-2866-4a0d-9585-52d9157563db"/>
    <xsd:import namespace="a7db5255-73a5-4cb0-b494-1685d94d2d4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OCR" minOccurs="0"/>
                <xsd:element ref="ns2:MediaServiceDateTaken" minOccurs="0"/>
                <xsd:element ref="ns2:MediaServiceLocation" minOccurs="0"/>
                <xsd:element ref="ns2:Country"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9ecc-2866-4a0d-9585-52d9157563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Country" ma:index="18" nillable="true" ma:displayName="Country" ma:format="Dropdown" ma:internalName="Country">
      <xsd:simpleType>
        <xsd:restriction base="dms:Text">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db5255-73a5-4cb0-b494-1685d94d2d4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untry xmlns="e75a9ecc-2866-4a0d-9585-52d9157563db" xsi:nil="true"/>
  </documentManagement>
</p:properties>
</file>

<file path=customXml/itemProps1.xml><?xml version="1.0" encoding="utf-8"?>
<ds:datastoreItem xmlns:ds="http://schemas.openxmlformats.org/officeDocument/2006/customXml" ds:itemID="{C90FD104-ADFB-4894-8ABE-75DD2C10846D}">
  <ds:schemaRefs>
    <ds:schemaRef ds:uri="http://schemas.microsoft.com/sharepoint/v3/contenttype/forms"/>
  </ds:schemaRefs>
</ds:datastoreItem>
</file>

<file path=customXml/itemProps2.xml><?xml version="1.0" encoding="utf-8"?>
<ds:datastoreItem xmlns:ds="http://schemas.openxmlformats.org/officeDocument/2006/customXml" ds:itemID="{5C27F87A-FE24-447D-B578-606FA34DA2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9ecc-2866-4a0d-9585-52d9157563db"/>
    <ds:schemaRef ds:uri="a7db5255-73a5-4cb0-b494-1685d94d2d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4F74F4-27BF-4861-9566-3D254C15A228}">
  <ds:schemaRefs>
    <ds:schemaRef ds:uri="http://schemas.microsoft.com/office/2006/metadata/properties"/>
    <ds:schemaRef ds:uri="http://schemas.microsoft.com/office/infopath/2007/PartnerControls"/>
    <ds:schemaRef ds:uri="e75a9ecc-2866-4a0d-9585-52d9157563d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48</vt:i4>
      </vt:variant>
    </vt:vector>
  </HeadingPairs>
  <TitlesOfParts>
    <vt:vector size="113" baseType="lpstr">
      <vt:lpstr>Summary input sheet</vt:lpstr>
      <vt:lpstr>Note</vt:lpstr>
      <vt:lpstr>Summary</vt:lpstr>
      <vt:lpstr>Summary_inputs</vt:lpstr>
      <vt:lpstr>SOURCE_IMF</vt:lpstr>
      <vt:lpstr>IMF__GDP</vt:lpstr>
      <vt:lpstr>SOURCE_RF10</vt:lpstr>
      <vt:lpstr>Afghanistan</vt:lpstr>
      <vt:lpstr>Albania</vt:lpstr>
      <vt:lpstr>Bangladesh</vt:lpstr>
      <vt:lpstr>Benin</vt:lpstr>
      <vt:lpstr>Bhutan</vt:lpstr>
      <vt:lpstr>Burkina Faso</vt:lpstr>
      <vt:lpstr>Burundi</vt:lpstr>
      <vt:lpstr>Côte d'Ivoire</vt:lpstr>
      <vt:lpstr>Cambodia</vt:lpstr>
      <vt:lpstr>Cameroon</vt:lpstr>
      <vt:lpstr>Central African Republic</vt:lpstr>
      <vt:lpstr>Chad</vt:lpstr>
      <vt:lpstr>Comoros</vt:lpstr>
      <vt:lpstr>Congo, Republic of</vt:lpstr>
      <vt:lpstr>Djibouti</vt:lpstr>
      <vt:lpstr>Congo, Democratic Republic of</vt:lpstr>
      <vt:lpstr>Ethiopia</vt:lpstr>
      <vt:lpstr>The Gambia</vt:lpstr>
      <vt:lpstr>Ghana</vt:lpstr>
      <vt:lpstr>Guinea</vt:lpstr>
      <vt:lpstr>Guyana</vt:lpstr>
      <vt:lpstr>Haïti</vt:lpstr>
      <vt:lpstr>Honduras</vt:lpstr>
      <vt:lpstr>Kenya</vt:lpstr>
      <vt:lpstr>Lao PDR</vt:lpstr>
      <vt:lpstr>Lesotho</vt:lpstr>
      <vt:lpstr>Liberia</vt:lpstr>
      <vt:lpstr>Madagascar</vt:lpstr>
      <vt:lpstr>Malawi</vt:lpstr>
      <vt:lpstr>Mali</vt:lpstr>
      <vt:lpstr>Mauritania</vt:lpstr>
      <vt:lpstr>Moldova</vt:lpstr>
      <vt:lpstr>Mozambique</vt:lpstr>
      <vt:lpstr>Nepal</vt:lpstr>
      <vt:lpstr>Nicaragua</vt:lpstr>
      <vt:lpstr>Niger</vt:lpstr>
      <vt:lpstr>Nigeria (Jigawa)</vt:lpstr>
      <vt:lpstr>Nigeria (Kaduna)</vt:lpstr>
      <vt:lpstr>Nigeria (Kano)</vt:lpstr>
      <vt:lpstr>Nigeria (Sotoko)</vt:lpstr>
      <vt:lpstr>Palistan (Balochistan)</vt:lpstr>
      <vt:lpstr>Pakistan (Sindh)</vt:lpstr>
      <vt:lpstr>Papua New Guinea</vt:lpstr>
      <vt:lpstr>Rwanda</vt:lpstr>
      <vt:lpstr>Sao Tome and Principe</vt:lpstr>
      <vt:lpstr>Senegal</vt:lpstr>
      <vt:lpstr>Sierra Leone</vt:lpstr>
      <vt:lpstr>South Sudan</vt:lpstr>
      <vt:lpstr>Tajikistan</vt:lpstr>
      <vt:lpstr>Tanzania (Mainland)</vt:lpstr>
      <vt:lpstr>Tanzania (Zanzibar)</vt:lpstr>
      <vt:lpstr>Timor Leste</vt:lpstr>
      <vt:lpstr>Togo</vt:lpstr>
      <vt:lpstr>Uganda</vt:lpstr>
      <vt:lpstr>Uzbekistan</vt:lpstr>
      <vt:lpstr>Vietnam</vt:lpstr>
      <vt:lpstr>Zambia</vt:lpstr>
      <vt:lpstr>Zimbabwe</vt:lpstr>
      <vt:lpstr>Afghanistan!Print_Area</vt:lpstr>
      <vt:lpstr>Albania!Print_Area</vt:lpstr>
      <vt:lpstr>Bangladesh!Print_Area</vt:lpstr>
      <vt:lpstr>Benin!Print_Area</vt:lpstr>
      <vt:lpstr>Bhutan!Print_Area</vt:lpstr>
      <vt:lpstr>'Burkina Faso'!Print_Area</vt:lpstr>
      <vt:lpstr>Cameroon!Print_Area</vt:lpstr>
      <vt:lpstr>'Central African Republic'!Print_Area</vt:lpstr>
      <vt:lpstr>Chad!Print_Area</vt:lpstr>
      <vt:lpstr>Comoros!Print_Area</vt:lpstr>
      <vt:lpstr>'Congo, Democratic Republic of'!Print_Area</vt:lpstr>
      <vt:lpstr>'Congo, Republic of'!Print_Area</vt:lpstr>
      <vt:lpstr>'Côte d''Ivoire'!Print_Area</vt:lpstr>
      <vt:lpstr>Ethiopia!Print_Area</vt:lpstr>
      <vt:lpstr>Ghana!Print_Area</vt:lpstr>
      <vt:lpstr>Guinea!Print_Area</vt:lpstr>
      <vt:lpstr>Guyana!Print_Area</vt:lpstr>
      <vt:lpstr>Haïti!Print_Area</vt:lpstr>
      <vt:lpstr>Honduras!Print_Area</vt:lpstr>
      <vt:lpstr>Kenya!Print_Area</vt:lpstr>
      <vt:lpstr>Lesotho!Print_Area</vt:lpstr>
      <vt:lpstr>Liberia!Print_Area</vt:lpstr>
      <vt:lpstr>Madagascar!Print_Area</vt:lpstr>
      <vt:lpstr>Malawi!Print_Area</vt:lpstr>
      <vt:lpstr>Mali!Print_Area</vt:lpstr>
      <vt:lpstr>Mauritania!Print_Area</vt:lpstr>
      <vt:lpstr>Moldova!Print_Area</vt:lpstr>
      <vt:lpstr>Mozambique!Print_Area</vt:lpstr>
      <vt:lpstr>Nepal!Print_Area</vt:lpstr>
      <vt:lpstr>Nicaragua!Print_Area</vt:lpstr>
      <vt:lpstr>Niger!Print_Area</vt:lpstr>
      <vt:lpstr>'Nigeria (Jigawa)'!Print_Area</vt:lpstr>
      <vt:lpstr>'Nigeria (Kaduna)'!Print_Area</vt:lpstr>
      <vt:lpstr>'Nigeria (Kano)'!Print_Area</vt:lpstr>
      <vt:lpstr>'Nigeria (Sotoko)'!Print_Area</vt:lpstr>
      <vt:lpstr>'Pakistan (Sindh)'!Print_Area</vt:lpstr>
      <vt:lpstr>'Palistan (Balochistan)'!Print_Area</vt:lpstr>
      <vt:lpstr>'Papua New Guinea'!Print_Area</vt:lpstr>
      <vt:lpstr>Rwanda!Print_Area</vt:lpstr>
      <vt:lpstr>'Sao Tome and Principe'!Print_Area</vt:lpstr>
      <vt:lpstr>Senegal!Print_Area</vt:lpstr>
      <vt:lpstr>'Sierra Leone'!Print_Area</vt:lpstr>
      <vt:lpstr>'South Sudan'!Print_Area</vt:lpstr>
      <vt:lpstr>'Tanzania (Mainland)'!Print_Area</vt:lpstr>
      <vt:lpstr>'Tanzania (Zanzibar)'!Print_Area</vt:lpstr>
      <vt:lpstr>'Timor Leste'!Print_Area</vt:lpstr>
      <vt:lpstr>Zambia!Print_Area</vt:lpstr>
      <vt:lpstr>Zimbabwe!Print_Area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Serge PEANO</dc:creator>
  <cp:keywords/>
  <dc:description/>
  <cp:lastModifiedBy>Stefania Sechi</cp:lastModifiedBy>
  <cp:revision/>
  <dcterms:created xsi:type="dcterms:W3CDTF">2019-05-02T03:06:24Z</dcterms:created>
  <dcterms:modified xsi:type="dcterms:W3CDTF">2022-05-12T20:56:30Z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0x010100E377EF96F20A7F4EA6ABB1B3759EC605</vt:lpwstr>
  </property>
  <property fmtid="{D5CDD505-2E9C-101B-9397-08002B2CF9AE}" pid="3" name="MSIP_Label_48e3fdf0-05a2-4411-bba7-a0945bfb4a0a_Enabled">
    <vt:lpwstr>true</vt:lpwstr>
  </property>
  <property fmtid="{D5CDD505-2E9C-101B-9397-08002B2CF9AE}" pid="4" name="MSIP_Label_48e3fdf0-05a2-4411-bba7-a0945bfb4a0a_SetDate">
    <vt:lpwstr>2022-05-06T10:48:06Z</vt:lpwstr>
  </property>
  <property fmtid="{D5CDD505-2E9C-101B-9397-08002B2CF9AE}" pid="5" name="MSIP_Label_48e3fdf0-05a2-4411-bba7-a0945bfb4a0a_Method">
    <vt:lpwstr>Privileged</vt:lpwstr>
  </property>
  <property fmtid="{D5CDD505-2E9C-101B-9397-08002B2CF9AE}" pid="6" name="MSIP_Label_48e3fdf0-05a2-4411-bba7-a0945bfb4a0a_Name">
    <vt:lpwstr>Label Only - Official Use</vt:lpwstr>
  </property>
  <property fmtid="{D5CDD505-2E9C-101B-9397-08002B2CF9AE}" pid="7" name="MSIP_Label_48e3fdf0-05a2-4411-bba7-a0945bfb4a0a_SiteId">
    <vt:lpwstr>31a2fec0-266b-4c67-b56e-2796d8f59c36</vt:lpwstr>
  </property>
  <property fmtid="{D5CDD505-2E9C-101B-9397-08002B2CF9AE}" pid="8" name="MSIP_Label_48e3fdf0-05a2-4411-bba7-a0945bfb4a0a_ActionId">
    <vt:lpwstr>e04c5a5c-bd95-4099-8d0b-245820bcfda2</vt:lpwstr>
  </property>
  <property fmtid="{D5CDD505-2E9C-101B-9397-08002B2CF9AE}" pid="9" name="MSIP_Label_48e3fdf0-05a2-4411-bba7-a0945bfb4a0a_ContentBits">
    <vt:lpwstr>2</vt:lpwstr>
  </property>
</Properties>
</file>